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20115" windowHeight="7740"/>
  </bookViews>
  <sheets>
    <sheet name="DISCLAIMER-TERMS&amp;CONDITIONS" sheetId="1" r:id="rId1"/>
    <sheet name="SERIALS" sheetId="2" r:id="rId2"/>
    <sheet name="NON-SERIALS" sheetId="3" r:id="rId3"/>
    <sheet name="DISCONTINUED" sheetId="4" r:id="rId4"/>
    <sheet name="DEFINITIONS" sheetId="5" r:id="rId5"/>
  </sheets>
  <definedNames>
    <definedName name="_xlnm._FilterDatabase" localSheetId="2" hidden="1">'NON-SERIALS'!$A$2:$C$2</definedName>
    <definedName name="_xlnm._FilterDatabase" localSheetId="1" hidden="1">SERIALS!$A$2:$F$4895</definedName>
    <definedName name="cpxjrnl20160104" localSheetId="2">'NON-SERIALS'!$A$2:$C$20097</definedName>
    <definedName name="cpxjrnl20160104" localSheetId="1">SERIALS!$A$2:$F$4838</definedName>
  </definedNames>
  <calcPr calcId="145621"/>
</workbook>
</file>

<file path=xl/calcChain.xml><?xml version="1.0" encoding="utf-8"?>
<calcChain xmlns="http://schemas.openxmlformats.org/spreadsheetml/2006/main">
  <c r="B20097" i="3" l="1"/>
  <c r="A20097" i="3"/>
  <c r="B20096" i="3"/>
  <c r="A20096" i="3"/>
  <c r="B20095" i="3"/>
  <c r="A20095" i="3"/>
  <c r="B20094" i="3"/>
  <c r="A20094" i="3"/>
  <c r="B20093" i="3"/>
  <c r="A20093" i="3"/>
  <c r="B20092" i="3"/>
  <c r="A20092" i="3"/>
  <c r="B20091" i="3"/>
  <c r="A20091" i="3"/>
  <c r="B20090" i="3"/>
  <c r="A20090" i="3"/>
  <c r="B20089" i="3"/>
  <c r="A20089" i="3"/>
  <c r="B20088" i="3"/>
  <c r="B20087" i="3"/>
  <c r="A20087" i="3"/>
  <c r="B20086" i="3"/>
  <c r="A20086" i="3"/>
  <c r="B20085" i="3"/>
  <c r="A20085" i="3"/>
  <c r="B20084" i="3"/>
  <c r="A20084" i="3"/>
  <c r="B20083" i="3"/>
  <c r="A20083" i="3"/>
  <c r="B20082" i="3"/>
  <c r="A20082" i="3"/>
  <c r="B20081" i="3"/>
  <c r="A20081" i="3"/>
  <c r="B20080" i="3"/>
  <c r="A20080" i="3"/>
  <c r="B20079" i="3"/>
  <c r="A20079" i="3"/>
  <c r="B20078" i="3"/>
  <c r="A20078" i="3"/>
  <c r="B20077" i="3"/>
  <c r="A20077" i="3"/>
  <c r="B20076" i="3"/>
  <c r="A20076" i="3"/>
  <c r="B20075" i="3"/>
  <c r="A20075" i="3"/>
  <c r="B20074" i="3"/>
  <c r="A20074" i="3"/>
  <c r="B20073" i="3"/>
  <c r="A20073" i="3"/>
  <c r="B20072" i="3"/>
  <c r="A20072" i="3"/>
  <c r="B20071" i="3"/>
  <c r="A20071" i="3"/>
  <c r="B20070" i="3"/>
  <c r="A20070" i="3"/>
  <c r="B20069" i="3"/>
  <c r="A20069" i="3"/>
  <c r="B20068" i="3"/>
  <c r="A20068" i="3"/>
  <c r="B20067" i="3"/>
  <c r="A20067" i="3"/>
  <c r="B20066" i="3"/>
  <c r="A20066" i="3"/>
  <c r="B20065" i="3"/>
  <c r="A20065" i="3"/>
  <c r="B20064" i="3"/>
  <c r="A20064" i="3"/>
  <c r="B20063" i="3"/>
  <c r="A20063" i="3"/>
  <c r="B20062" i="3"/>
  <c r="A20062" i="3"/>
  <c r="B20061" i="3"/>
  <c r="A20061" i="3"/>
  <c r="B20060" i="3"/>
  <c r="A20060" i="3"/>
  <c r="B20059" i="3"/>
  <c r="A20059" i="3"/>
  <c r="B20058" i="3"/>
  <c r="A20058" i="3"/>
  <c r="B20057" i="3"/>
  <c r="A20057" i="3"/>
  <c r="B20056" i="3"/>
  <c r="A20056" i="3"/>
  <c r="B20055" i="3"/>
  <c r="A20055" i="3"/>
  <c r="B20054" i="3"/>
  <c r="A20054" i="3"/>
  <c r="B20053" i="3"/>
  <c r="A20053" i="3"/>
  <c r="B20052" i="3"/>
  <c r="A20052" i="3"/>
  <c r="B20051" i="3"/>
  <c r="A20051" i="3"/>
  <c r="B20050" i="3"/>
  <c r="A20050" i="3"/>
  <c r="B20049" i="3"/>
  <c r="A20049" i="3"/>
  <c r="B20048" i="3"/>
  <c r="A20048" i="3"/>
  <c r="B20047" i="3"/>
  <c r="A20047" i="3"/>
  <c r="B20046" i="3"/>
  <c r="A20046" i="3"/>
  <c r="B20045" i="3"/>
  <c r="A20045" i="3"/>
  <c r="B20044" i="3"/>
  <c r="A20044" i="3"/>
  <c r="B20043" i="3"/>
  <c r="A20043" i="3"/>
  <c r="B20042" i="3"/>
  <c r="A20042" i="3"/>
  <c r="B20041" i="3"/>
  <c r="A20041" i="3"/>
  <c r="B20040" i="3"/>
  <c r="A20040" i="3"/>
  <c r="B20039" i="3"/>
  <c r="A20039" i="3"/>
  <c r="B20038" i="3"/>
  <c r="A20038" i="3"/>
  <c r="B20037" i="3"/>
  <c r="A20037" i="3"/>
  <c r="B20036" i="3"/>
  <c r="A20036" i="3"/>
  <c r="B20035" i="3"/>
  <c r="A20035" i="3"/>
  <c r="B20034" i="3"/>
  <c r="A20034" i="3"/>
  <c r="B20033" i="3"/>
  <c r="A20033" i="3"/>
  <c r="B20032" i="3"/>
  <c r="A20032" i="3"/>
  <c r="B20031" i="3"/>
  <c r="A20031" i="3"/>
  <c r="B20030" i="3"/>
  <c r="A20030" i="3"/>
  <c r="B20029" i="3"/>
  <c r="A20029" i="3"/>
  <c r="B20028" i="3"/>
  <c r="A20028" i="3"/>
  <c r="B20027" i="3"/>
  <c r="A20027" i="3"/>
  <c r="B20026" i="3"/>
  <c r="A20026" i="3"/>
  <c r="B20025" i="3"/>
  <c r="A20025" i="3"/>
  <c r="B20024" i="3"/>
  <c r="A20024" i="3"/>
  <c r="B20023" i="3"/>
  <c r="A20023" i="3"/>
  <c r="B20022" i="3"/>
  <c r="A20022" i="3"/>
  <c r="B20021" i="3"/>
  <c r="A20021" i="3"/>
  <c r="B20020" i="3"/>
  <c r="A20020" i="3"/>
  <c r="B20019" i="3"/>
  <c r="A20019" i="3"/>
  <c r="B20018" i="3"/>
  <c r="A20018" i="3"/>
  <c r="B20017" i="3"/>
  <c r="A20017" i="3"/>
  <c r="B20016" i="3"/>
  <c r="A20016" i="3"/>
  <c r="B20015" i="3"/>
  <c r="A20015" i="3"/>
  <c r="B20014" i="3"/>
  <c r="A20014" i="3"/>
  <c r="B20013" i="3"/>
  <c r="A20013" i="3"/>
  <c r="B20012" i="3"/>
  <c r="A20012" i="3"/>
  <c r="B20011" i="3"/>
  <c r="A20011" i="3"/>
  <c r="B20010" i="3"/>
  <c r="A20010" i="3"/>
  <c r="B20009" i="3"/>
  <c r="A20009" i="3"/>
  <c r="B20008" i="3"/>
  <c r="B20007" i="3"/>
  <c r="A20007" i="3"/>
  <c r="B20006" i="3"/>
  <c r="A20006" i="3"/>
  <c r="B20005" i="3"/>
  <c r="A20005" i="3"/>
  <c r="B20004" i="3"/>
  <c r="A20004" i="3"/>
  <c r="B20003" i="3"/>
  <c r="A20003" i="3"/>
  <c r="B20002" i="3"/>
  <c r="A20002" i="3"/>
  <c r="B20001" i="3"/>
  <c r="A20001" i="3"/>
  <c r="B20000" i="3"/>
  <c r="A20000" i="3"/>
  <c r="B19999" i="3"/>
  <c r="A19999" i="3"/>
  <c r="B19998" i="3"/>
  <c r="A19998" i="3"/>
  <c r="B19997" i="3"/>
  <c r="A19997" i="3"/>
  <c r="B19996" i="3"/>
  <c r="A19996" i="3"/>
  <c r="B19995" i="3"/>
  <c r="A19995" i="3"/>
  <c r="B19994" i="3"/>
  <c r="A19994" i="3"/>
  <c r="B19993" i="3"/>
  <c r="A19993" i="3"/>
  <c r="B19992" i="3"/>
  <c r="A19992" i="3"/>
  <c r="B19991" i="3"/>
  <c r="A19991" i="3"/>
  <c r="B19990" i="3"/>
  <c r="A19990" i="3"/>
  <c r="B19989" i="3"/>
  <c r="A19989" i="3"/>
  <c r="B19988" i="3"/>
  <c r="A19988" i="3"/>
  <c r="B19987" i="3"/>
  <c r="A19987" i="3"/>
  <c r="B19986" i="3"/>
  <c r="A19986" i="3"/>
  <c r="B19985" i="3"/>
  <c r="A19985" i="3"/>
  <c r="B19984" i="3"/>
  <c r="A19984" i="3"/>
  <c r="B19983" i="3"/>
  <c r="A19983" i="3"/>
  <c r="B19982" i="3"/>
  <c r="A19982" i="3"/>
  <c r="B19981" i="3"/>
  <c r="A19981" i="3"/>
  <c r="B19980" i="3"/>
  <c r="A19980" i="3"/>
  <c r="B19979" i="3"/>
  <c r="A19979" i="3"/>
  <c r="B19978" i="3"/>
  <c r="B19977" i="3"/>
  <c r="B19976" i="3"/>
  <c r="A19976" i="3"/>
  <c r="B19975" i="3"/>
  <c r="A19975" i="3"/>
  <c r="B19974" i="3"/>
  <c r="A19974" i="3"/>
  <c r="B19973" i="3"/>
  <c r="A19973" i="3"/>
  <c r="B19972" i="3"/>
  <c r="A19972" i="3"/>
  <c r="B19971" i="3"/>
  <c r="A19971" i="3"/>
  <c r="B19970" i="3"/>
  <c r="A19970" i="3"/>
  <c r="B19969" i="3"/>
  <c r="A19969" i="3"/>
  <c r="B19968" i="3"/>
  <c r="A19968" i="3"/>
  <c r="B19967" i="3"/>
  <c r="A19967" i="3"/>
  <c r="B19966" i="3"/>
  <c r="A19966" i="3"/>
  <c r="B19965" i="3"/>
  <c r="A19965" i="3"/>
  <c r="B19964" i="3"/>
  <c r="A19964" i="3"/>
  <c r="B19963" i="3"/>
  <c r="A19963" i="3"/>
  <c r="B19962" i="3"/>
  <c r="A19962" i="3"/>
  <c r="B19961" i="3"/>
  <c r="A19961" i="3"/>
  <c r="B19960" i="3"/>
  <c r="A19960" i="3"/>
  <c r="B19959" i="3"/>
  <c r="A19959" i="3"/>
  <c r="B19958" i="3"/>
  <c r="A19958" i="3"/>
  <c r="B19957" i="3"/>
  <c r="A19957" i="3"/>
  <c r="B19956" i="3"/>
  <c r="A19956" i="3"/>
  <c r="B19955" i="3"/>
  <c r="A19955" i="3"/>
  <c r="B19954" i="3"/>
  <c r="A19954" i="3"/>
  <c r="B19953" i="3"/>
  <c r="A19953" i="3"/>
  <c r="B19952" i="3"/>
  <c r="A19952" i="3"/>
  <c r="B19951" i="3"/>
  <c r="A19951" i="3"/>
  <c r="B19950" i="3"/>
  <c r="A19950" i="3"/>
  <c r="B19949" i="3"/>
  <c r="A19949" i="3"/>
  <c r="B19948" i="3"/>
  <c r="A19948" i="3"/>
  <c r="B19947" i="3"/>
  <c r="A19947" i="3"/>
  <c r="B19946" i="3"/>
  <c r="A19946" i="3"/>
  <c r="B19945" i="3"/>
  <c r="A19945" i="3"/>
  <c r="B19944" i="3"/>
  <c r="A19944" i="3"/>
  <c r="B19943" i="3"/>
  <c r="A19943" i="3"/>
  <c r="B19942" i="3"/>
  <c r="A19942" i="3"/>
  <c r="B19941" i="3"/>
  <c r="A19941" i="3"/>
  <c r="B19940" i="3"/>
  <c r="A19940" i="3"/>
  <c r="B19939" i="3"/>
  <c r="A19939" i="3"/>
  <c r="B19938" i="3"/>
  <c r="A19938" i="3"/>
  <c r="B19937" i="3"/>
  <c r="A19937" i="3"/>
  <c r="B19936" i="3"/>
  <c r="A19936" i="3"/>
  <c r="B19935" i="3"/>
  <c r="A19935" i="3"/>
  <c r="B19934" i="3"/>
  <c r="A19934" i="3"/>
  <c r="B19933" i="3"/>
  <c r="A19933" i="3"/>
  <c r="B19932" i="3"/>
  <c r="A19932" i="3"/>
  <c r="B19931" i="3"/>
  <c r="A19931" i="3"/>
  <c r="B19930" i="3"/>
  <c r="A19930" i="3"/>
  <c r="B19929" i="3"/>
  <c r="A19929" i="3"/>
  <c r="B19928" i="3"/>
  <c r="A19928" i="3"/>
  <c r="B19927" i="3"/>
  <c r="A19927" i="3"/>
  <c r="B19926" i="3"/>
  <c r="A19926" i="3"/>
  <c r="B19925" i="3"/>
  <c r="A19925" i="3"/>
  <c r="B19924" i="3"/>
  <c r="A19924" i="3"/>
  <c r="B19923" i="3"/>
  <c r="A19923" i="3"/>
  <c r="B19922" i="3"/>
  <c r="A19922" i="3"/>
  <c r="B19921" i="3"/>
  <c r="A19921" i="3"/>
  <c r="B19920" i="3"/>
  <c r="A19920" i="3"/>
  <c r="B19919" i="3"/>
  <c r="A19919" i="3"/>
  <c r="B19918" i="3"/>
  <c r="A19918" i="3"/>
  <c r="B19917" i="3"/>
  <c r="A19917" i="3"/>
  <c r="B19916" i="3"/>
  <c r="A19916" i="3"/>
  <c r="B19915" i="3"/>
  <c r="A19915" i="3"/>
  <c r="B19914" i="3"/>
  <c r="A19914" i="3"/>
  <c r="B19913" i="3"/>
  <c r="A19913" i="3"/>
  <c r="B19912" i="3"/>
  <c r="A19912" i="3"/>
  <c r="B19911" i="3"/>
  <c r="A19911" i="3"/>
  <c r="B19910" i="3"/>
  <c r="A19910" i="3"/>
  <c r="B19909" i="3"/>
  <c r="A19909" i="3"/>
  <c r="B19908" i="3"/>
  <c r="A19908" i="3"/>
  <c r="B19907" i="3"/>
  <c r="A19907" i="3"/>
  <c r="B19906" i="3"/>
  <c r="A19906" i="3"/>
  <c r="B19905" i="3"/>
  <c r="A19905" i="3"/>
  <c r="B19904" i="3"/>
  <c r="A19904" i="3"/>
  <c r="B19903" i="3"/>
  <c r="A19903" i="3"/>
  <c r="B19902" i="3"/>
  <c r="A19902" i="3"/>
  <c r="B19901" i="3"/>
  <c r="A19901" i="3"/>
  <c r="B19900" i="3"/>
  <c r="A19900" i="3"/>
  <c r="B19899" i="3"/>
  <c r="A19899" i="3"/>
  <c r="B19898" i="3"/>
  <c r="A19898" i="3"/>
  <c r="B19897" i="3"/>
  <c r="A19897" i="3"/>
  <c r="B19896" i="3"/>
  <c r="A19896" i="3"/>
  <c r="B19895" i="3"/>
  <c r="A19895" i="3"/>
  <c r="B19894" i="3"/>
  <c r="A19894" i="3"/>
  <c r="B19893" i="3"/>
  <c r="A19893" i="3"/>
  <c r="B19892" i="3"/>
  <c r="A19892" i="3"/>
  <c r="B19891" i="3"/>
  <c r="A19891" i="3"/>
  <c r="B19890" i="3"/>
  <c r="A19890" i="3"/>
  <c r="B19889" i="3"/>
  <c r="A19889" i="3"/>
  <c r="B19888" i="3"/>
  <c r="A19888" i="3"/>
  <c r="B19887" i="3"/>
  <c r="A19887" i="3"/>
  <c r="B19886" i="3"/>
  <c r="A19886" i="3"/>
  <c r="B19885" i="3"/>
  <c r="A19885" i="3"/>
  <c r="B19884" i="3"/>
  <c r="A19884" i="3"/>
  <c r="B19883" i="3"/>
  <c r="A19883" i="3"/>
  <c r="B19882" i="3"/>
  <c r="A19882" i="3"/>
  <c r="B19881" i="3"/>
  <c r="A19881" i="3"/>
  <c r="B19880" i="3"/>
  <c r="A19880" i="3"/>
  <c r="B19879" i="3"/>
  <c r="A19879" i="3"/>
  <c r="B19878" i="3"/>
  <c r="A19878" i="3"/>
  <c r="B19877" i="3"/>
  <c r="A19877" i="3"/>
  <c r="B19876" i="3"/>
  <c r="A19876" i="3"/>
  <c r="B19875" i="3"/>
  <c r="A19875" i="3"/>
  <c r="B19874" i="3"/>
  <c r="A19874" i="3"/>
  <c r="B19873" i="3"/>
  <c r="A19873" i="3"/>
  <c r="B19872" i="3"/>
  <c r="A19872" i="3"/>
  <c r="B19871" i="3"/>
  <c r="A19871" i="3"/>
  <c r="B19870" i="3"/>
  <c r="A19870" i="3"/>
  <c r="B19869" i="3"/>
  <c r="A19869" i="3"/>
  <c r="B19868" i="3"/>
  <c r="A19868" i="3"/>
  <c r="B19867" i="3"/>
  <c r="A19867" i="3"/>
  <c r="B19866" i="3"/>
  <c r="A19866" i="3"/>
  <c r="B19865" i="3"/>
  <c r="A19865" i="3"/>
  <c r="B19864" i="3"/>
  <c r="A19864" i="3"/>
  <c r="B19863" i="3"/>
  <c r="A19863" i="3"/>
  <c r="B19862" i="3"/>
  <c r="A19862" i="3"/>
  <c r="B19861" i="3"/>
  <c r="A19861" i="3"/>
  <c r="B19860" i="3"/>
  <c r="A19860" i="3"/>
  <c r="B19859" i="3"/>
  <c r="A19859" i="3"/>
  <c r="B19858" i="3"/>
  <c r="A19858" i="3"/>
  <c r="B19857" i="3"/>
  <c r="A19857" i="3"/>
  <c r="B19856" i="3"/>
  <c r="A19856" i="3"/>
  <c r="B19855" i="3"/>
  <c r="A19855" i="3"/>
  <c r="B19854" i="3"/>
  <c r="A19854" i="3"/>
  <c r="B19853" i="3"/>
  <c r="A19853" i="3"/>
  <c r="B19852" i="3"/>
  <c r="A19852" i="3"/>
  <c r="B19851" i="3"/>
  <c r="A19851" i="3"/>
  <c r="B19850" i="3"/>
  <c r="A19850" i="3"/>
  <c r="B19849" i="3"/>
  <c r="A19849" i="3"/>
  <c r="B19848" i="3"/>
  <c r="A19848" i="3"/>
  <c r="B19847" i="3"/>
  <c r="A19847" i="3"/>
  <c r="B19846" i="3"/>
  <c r="A19846" i="3"/>
  <c r="B19845" i="3"/>
  <c r="A19845" i="3"/>
  <c r="B19844" i="3"/>
  <c r="A19844" i="3"/>
  <c r="B19843" i="3"/>
  <c r="A19843" i="3"/>
  <c r="B19842" i="3"/>
  <c r="A19842" i="3"/>
  <c r="B19841" i="3"/>
  <c r="A19841" i="3"/>
  <c r="B19840" i="3"/>
  <c r="A19840" i="3"/>
  <c r="B19839" i="3"/>
  <c r="A19839" i="3"/>
  <c r="B19838" i="3"/>
  <c r="A19838" i="3"/>
  <c r="B19837" i="3"/>
  <c r="A19837" i="3"/>
  <c r="B19836" i="3"/>
  <c r="A19836" i="3"/>
  <c r="B19835" i="3"/>
  <c r="A19835" i="3"/>
  <c r="B19834" i="3"/>
  <c r="A19834" i="3"/>
  <c r="B19833" i="3"/>
  <c r="A19833" i="3"/>
  <c r="B19832" i="3"/>
  <c r="A19832" i="3"/>
  <c r="B19831" i="3"/>
  <c r="A19831" i="3"/>
  <c r="B19830" i="3"/>
  <c r="A19830" i="3"/>
  <c r="B19829" i="3"/>
  <c r="A19829" i="3"/>
  <c r="B19828" i="3"/>
  <c r="A19828" i="3"/>
  <c r="B19827" i="3"/>
  <c r="A19827" i="3"/>
  <c r="B19826" i="3"/>
  <c r="A19826" i="3"/>
  <c r="B19825" i="3"/>
  <c r="A19825" i="3"/>
  <c r="B19824" i="3"/>
  <c r="A19824" i="3"/>
  <c r="B19823" i="3"/>
  <c r="A19823" i="3"/>
  <c r="B19822" i="3"/>
  <c r="A19822" i="3"/>
  <c r="B19821" i="3"/>
  <c r="A19821" i="3"/>
  <c r="B19820" i="3"/>
  <c r="B19819" i="3"/>
  <c r="A19819" i="3"/>
  <c r="B19818" i="3"/>
  <c r="A19818" i="3"/>
  <c r="B19817" i="3"/>
  <c r="A19817" i="3"/>
  <c r="B19816" i="3"/>
  <c r="A19816" i="3"/>
  <c r="B19815" i="3"/>
  <c r="A19815" i="3"/>
  <c r="B19814" i="3"/>
  <c r="A19814" i="3"/>
  <c r="B19813" i="3"/>
  <c r="A19813" i="3"/>
  <c r="B19812" i="3"/>
  <c r="A19812" i="3"/>
  <c r="B19811" i="3"/>
  <c r="A19811" i="3"/>
  <c r="B19810" i="3"/>
  <c r="A19810" i="3"/>
  <c r="B19809" i="3"/>
  <c r="A19809" i="3"/>
  <c r="B19808" i="3"/>
  <c r="A19808" i="3"/>
  <c r="B19807" i="3"/>
  <c r="A19807" i="3"/>
  <c r="B19806" i="3"/>
  <c r="A19806" i="3"/>
  <c r="B19805" i="3"/>
  <c r="A19805" i="3"/>
  <c r="B19804" i="3"/>
  <c r="A19804" i="3"/>
  <c r="B19803" i="3"/>
  <c r="A19803" i="3"/>
  <c r="B19802" i="3"/>
  <c r="A19802" i="3"/>
  <c r="B19801" i="3"/>
  <c r="A19801" i="3"/>
  <c r="B19800" i="3"/>
  <c r="A19800" i="3"/>
  <c r="B19799" i="3"/>
  <c r="A19799" i="3"/>
  <c r="B19798" i="3"/>
  <c r="A19798" i="3"/>
  <c r="B19797" i="3"/>
  <c r="A19797" i="3"/>
  <c r="B19796" i="3"/>
  <c r="A19796" i="3"/>
  <c r="B19795" i="3"/>
  <c r="A19795" i="3"/>
  <c r="B19794" i="3"/>
  <c r="A19794" i="3"/>
  <c r="B19793" i="3"/>
  <c r="A19793" i="3"/>
  <c r="B19792" i="3"/>
  <c r="A19792" i="3"/>
  <c r="B19791" i="3"/>
  <c r="A19791" i="3"/>
  <c r="B19790" i="3"/>
  <c r="A19790" i="3"/>
  <c r="B19789" i="3"/>
  <c r="A19789" i="3"/>
  <c r="B19788" i="3"/>
  <c r="A19788" i="3"/>
  <c r="B19787" i="3"/>
  <c r="A19787" i="3"/>
  <c r="B19786" i="3"/>
  <c r="A19786" i="3"/>
  <c r="B19785" i="3"/>
  <c r="A19785" i="3"/>
  <c r="B19784" i="3"/>
  <c r="A19784" i="3"/>
  <c r="B19783" i="3"/>
  <c r="A19783" i="3"/>
  <c r="B19782" i="3"/>
  <c r="A19782" i="3"/>
  <c r="B19781" i="3"/>
  <c r="A19781" i="3"/>
  <c r="B19780" i="3"/>
  <c r="A19780" i="3"/>
  <c r="B19779" i="3"/>
  <c r="A19779" i="3"/>
  <c r="B19778" i="3"/>
  <c r="A19778" i="3"/>
  <c r="B19777" i="3"/>
  <c r="A19777" i="3"/>
  <c r="B19776" i="3"/>
  <c r="A19776" i="3"/>
  <c r="B19775" i="3"/>
  <c r="A19775" i="3"/>
  <c r="B19774" i="3"/>
  <c r="A19774" i="3"/>
  <c r="B19773" i="3"/>
  <c r="A19773" i="3"/>
  <c r="B19772" i="3"/>
  <c r="A19772" i="3"/>
  <c r="B19771" i="3"/>
  <c r="A19771" i="3"/>
  <c r="B19770" i="3"/>
  <c r="A19770" i="3"/>
  <c r="B19769" i="3"/>
  <c r="A19769" i="3"/>
  <c r="B19768" i="3"/>
  <c r="A19768" i="3"/>
  <c r="B19767" i="3"/>
  <c r="A19767" i="3"/>
  <c r="B19766" i="3"/>
  <c r="A19766" i="3"/>
  <c r="B19765" i="3"/>
  <c r="A19765" i="3"/>
  <c r="B19764" i="3"/>
  <c r="A19764" i="3"/>
  <c r="B19763" i="3"/>
  <c r="A19763" i="3"/>
  <c r="B19762" i="3"/>
  <c r="A19762" i="3"/>
  <c r="B19761" i="3"/>
  <c r="A19761" i="3"/>
  <c r="B19760" i="3"/>
  <c r="A19760" i="3"/>
  <c r="B19759" i="3"/>
  <c r="A19759" i="3"/>
  <c r="B19758" i="3"/>
  <c r="A19758" i="3"/>
  <c r="B19757" i="3"/>
  <c r="A19757" i="3"/>
  <c r="B19756" i="3"/>
  <c r="A19756" i="3"/>
  <c r="B19755" i="3"/>
  <c r="A19755" i="3"/>
  <c r="B19754" i="3"/>
  <c r="A19754" i="3"/>
  <c r="B19753" i="3"/>
  <c r="A19753" i="3"/>
  <c r="B19752" i="3"/>
  <c r="A19752" i="3"/>
  <c r="B19751" i="3"/>
  <c r="A19751" i="3"/>
  <c r="B19750" i="3"/>
  <c r="A19750" i="3"/>
  <c r="B19749" i="3"/>
  <c r="A19749" i="3"/>
  <c r="B19748" i="3"/>
  <c r="A19748" i="3"/>
  <c r="B19747" i="3"/>
  <c r="A19747" i="3"/>
  <c r="B19746" i="3"/>
  <c r="A19746" i="3"/>
  <c r="B19745" i="3"/>
  <c r="A19745" i="3"/>
  <c r="B19744" i="3"/>
  <c r="A19744" i="3"/>
  <c r="B19743" i="3"/>
  <c r="A19743" i="3"/>
  <c r="B19742" i="3"/>
  <c r="A19742" i="3"/>
  <c r="B19741" i="3"/>
  <c r="A19741" i="3"/>
  <c r="B19740" i="3"/>
  <c r="A19740" i="3"/>
  <c r="B19739" i="3"/>
  <c r="A19739" i="3"/>
  <c r="B19738" i="3"/>
  <c r="A19738" i="3"/>
  <c r="B19737" i="3"/>
  <c r="A19737" i="3"/>
  <c r="B19736" i="3"/>
  <c r="A19736" i="3"/>
  <c r="B19735" i="3"/>
  <c r="A19735" i="3"/>
  <c r="B19734" i="3"/>
  <c r="A19734" i="3"/>
  <c r="B19733" i="3"/>
  <c r="A19733" i="3"/>
  <c r="B19732" i="3"/>
  <c r="A19732" i="3"/>
  <c r="B19731" i="3"/>
  <c r="A19731" i="3"/>
  <c r="B19730" i="3"/>
  <c r="A19730" i="3"/>
  <c r="B19729" i="3"/>
  <c r="A19729" i="3"/>
  <c r="B19728" i="3"/>
  <c r="A19728" i="3"/>
  <c r="B19727" i="3"/>
  <c r="A19727" i="3"/>
  <c r="B19726" i="3"/>
  <c r="A19726" i="3"/>
  <c r="B19725" i="3"/>
  <c r="A19725" i="3"/>
  <c r="B19724" i="3"/>
  <c r="A19724" i="3"/>
  <c r="B19723" i="3"/>
  <c r="A19723" i="3"/>
  <c r="B19722" i="3"/>
  <c r="A19722" i="3"/>
  <c r="B19721" i="3"/>
  <c r="A19721" i="3"/>
  <c r="B19720" i="3"/>
  <c r="A19720" i="3"/>
  <c r="B19719" i="3"/>
  <c r="A19719" i="3"/>
  <c r="B19718" i="3"/>
  <c r="A19718" i="3"/>
  <c r="B19717" i="3"/>
  <c r="A19717" i="3"/>
  <c r="B19716" i="3"/>
  <c r="A19716" i="3"/>
  <c r="B19715" i="3"/>
  <c r="A19715" i="3"/>
  <c r="B19714" i="3"/>
  <c r="A19714" i="3"/>
  <c r="B19713" i="3"/>
  <c r="A19713" i="3"/>
  <c r="B19712" i="3"/>
  <c r="A19712" i="3"/>
  <c r="B19711" i="3"/>
  <c r="A19711" i="3"/>
  <c r="B19710" i="3"/>
  <c r="A19710" i="3"/>
  <c r="B19709" i="3"/>
  <c r="A19709" i="3"/>
  <c r="B19708" i="3"/>
  <c r="A19708" i="3"/>
  <c r="B19707" i="3"/>
  <c r="A19707" i="3"/>
  <c r="B19706" i="3"/>
  <c r="A19706" i="3"/>
  <c r="B19705" i="3"/>
  <c r="A19705" i="3"/>
  <c r="B19704" i="3"/>
  <c r="A19704" i="3"/>
  <c r="B19703" i="3"/>
  <c r="A19703" i="3"/>
  <c r="B19702" i="3"/>
  <c r="A19702" i="3"/>
  <c r="B19701" i="3"/>
  <c r="A19701" i="3"/>
  <c r="B19700" i="3"/>
  <c r="A19700" i="3"/>
  <c r="B19699" i="3"/>
  <c r="A19699" i="3"/>
  <c r="B19698" i="3"/>
  <c r="A19698" i="3"/>
  <c r="B19697" i="3"/>
  <c r="A19697" i="3"/>
  <c r="B19696" i="3"/>
  <c r="A19696" i="3"/>
  <c r="B19695" i="3"/>
  <c r="A19695" i="3"/>
  <c r="B19694" i="3"/>
  <c r="A19694" i="3"/>
  <c r="B19693" i="3"/>
  <c r="A19693" i="3"/>
  <c r="B19692" i="3"/>
  <c r="A19692" i="3"/>
  <c r="B19691" i="3"/>
  <c r="A19691" i="3"/>
  <c r="B19690" i="3"/>
  <c r="A19690" i="3"/>
  <c r="B19689" i="3"/>
  <c r="A19689" i="3"/>
  <c r="B19688" i="3"/>
  <c r="A19688" i="3"/>
  <c r="B19687" i="3"/>
  <c r="A19687" i="3"/>
  <c r="B19686" i="3"/>
  <c r="A19686" i="3"/>
  <c r="B19685" i="3"/>
  <c r="A19685" i="3"/>
  <c r="B19684" i="3"/>
  <c r="A19684" i="3"/>
  <c r="B19683" i="3"/>
  <c r="A19683" i="3"/>
  <c r="B19682" i="3"/>
  <c r="B19681" i="3"/>
  <c r="A19681" i="3"/>
  <c r="B19680" i="3"/>
  <c r="A19680" i="3"/>
  <c r="B19679" i="3"/>
  <c r="A19679" i="3"/>
  <c r="B19678" i="3"/>
  <c r="A19678" i="3"/>
  <c r="B19677" i="3"/>
  <c r="A19677" i="3"/>
  <c r="B19676" i="3"/>
  <c r="A19676" i="3"/>
  <c r="B19675" i="3"/>
  <c r="A19675" i="3"/>
  <c r="B19674" i="3"/>
  <c r="A19674" i="3"/>
  <c r="B19673" i="3"/>
  <c r="A19673" i="3"/>
  <c r="B19672" i="3"/>
  <c r="A19672" i="3"/>
  <c r="B19671" i="3"/>
  <c r="A19671" i="3"/>
  <c r="B19670" i="3"/>
  <c r="A19670" i="3"/>
  <c r="B19669" i="3"/>
  <c r="A19669" i="3"/>
  <c r="B19668" i="3"/>
  <c r="A19668" i="3"/>
  <c r="B19667" i="3"/>
  <c r="A19667" i="3"/>
  <c r="B19666" i="3"/>
  <c r="A19666" i="3"/>
  <c r="B19665" i="3"/>
  <c r="A19665" i="3"/>
  <c r="B19664" i="3"/>
  <c r="A19664" i="3"/>
  <c r="B19663" i="3"/>
  <c r="A19663" i="3"/>
  <c r="B19662" i="3"/>
  <c r="A19662" i="3"/>
  <c r="B19661" i="3"/>
  <c r="A19661" i="3"/>
  <c r="B19660" i="3"/>
  <c r="A19660" i="3"/>
  <c r="B19659" i="3"/>
  <c r="A19659" i="3"/>
  <c r="B19658" i="3"/>
  <c r="A19658" i="3"/>
  <c r="B19657" i="3"/>
  <c r="A19657" i="3"/>
  <c r="B19656" i="3"/>
  <c r="A19656" i="3"/>
  <c r="B19655" i="3"/>
  <c r="A19655" i="3"/>
  <c r="B19654" i="3"/>
  <c r="A19654" i="3"/>
  <c r="B19653" i="3"/>
  <c r="A19653" i="3"/>
  <c r="B19652" i="3"/>
  <c r="A19652" i="3"/>
  <c r="B19651" i="3"/>
  <c r="A19651" i="3"/>
  <c r="B19650" i="3"/>
  <c r="A19650" i="3"/>
  <c r="B19649" i="3"/>
  <c r="A19649" i="3"/>
  <c r="B19648" i="3"/>
  <c r="A19648" i="3"/>
  <c r="B19647" i="3"/>
  <c r="A19647" i="3"/>
  <c r="B19646" i="3"/>
  <c r="A19646" i="3"/>
  <c r="B19645" i="3"/>
  <c r="A19645" i="3"/>
  <c r="B19644" i="3"/>
  <c r="A19644" i="3"/>
  <c r="B19643" i="3"/>
  <c r="A19643" i="3"/>
  <c r="B19642" i="3"/>
  <c r="A19642" i="3"/>
  <c r="B19641" i="3"/>
  <c r="A19641" i="3"/>
  <c r="B19640" i="3"/>
  <c r="A19640" i="3"/>
  <c r="B19639" i="3"/>
  <c r="A19639" i="3"/>
  <c r="B19638" i="3"/>
  <c r="A19638" i="3"/>
  <c r="B19637" i="3"/>
  <c r="A19637" i="3"/>
  <c r="B19636" i="3"/>
  <c r="A19636" i="3"/>
  <c r="B19635" i="3"/>
  <c r="A19635" i="3"/>
  <c r="B19634" i="3"/>
  <c r="A19634" i="3"/>
  <c r="B19633" i="3"/>
  <c r="A19633" i="3"/>
  <c r="B19632" i="3"/>
  <c r="A19632" i="3"/>
  <c r="B19631" i="3"/>
  <c r="A19631" i="3"/>
  <c r="B19630" i="3"/>
  <c r="A19630" i="3"/>
  <c r="B19629" i="3"/>
  <c r="A19629" i="3"/>
  <c r="B19628" i="3"/>
  <c r="A19628" i="3"/>
  <c r="B19627" i="3"/>
  <c r="A19627" i="3"/>
  <c r="B19626" i="3"/>
  <c r="A19626" i="3"/>
  <c r="B19625" i="3"/>
  <c r="A19625" i="3"/>
  <c r="B19624" i="3"/>
  <c r="A19624" i="3"/>
  <c r="B19623" i="3"/>
  <c r="A19623" i="3"/>
  <c r="B19622" i="3"/>
  <c r="A19622" i="3"/>
  <c r="B19621" i="3"/>
  <c r="A19621" i="3"/>
  <c r="B19620" i="3"/>
  <c r="A19620" i="3"/>
  <c r="B19619" i="3"/>
  <c r="A19619" i="3"/>
  <c r="B19618" i="3"/>
  <c r="A19618" i="3"/>
  <c r="B19617" i="3"/>
  <c r="A19617" i="3"/>
  <c r="B19616" i="3"/>
  <c r="A19616" i="3"/>
  <c r="B19615" i="3"/>
  <c r="A19615" i="3"/>
  <c r="B19614" i="3"/>
  <c r="A19614" i="3"/>
  <c r="B19613" i="3"/>
  <c r="A19613" i="3"/>
  <c r="B19612" i="3"/>
  <c r="A19612" i="3"/>
  <c r="B19611" i="3"/>
  <c r="A19611" i="3"/>
  <c r="B19610" i="3"/>
  <c r="A19610" i="3"/>
  <c r="B19609" i="3"/>
  <c r="A19609" i="3"/>
  <c r="B19608" i="3"/>
  <c r="A19608" i="3"/>
  <c r="B19607" i="3"/>
  <c r="A19607" i="3"/>
  <c r="B19606" i="3"/>
  <c r="A19606" i="3"/>
  <c r="B19605" i="3"/>
  <c r="A19605" i="3"/>
  <c r="B19604" i="3"/>
  <c r="A19604" i="3"/>
  <c r="B19603" i="3"/>
  <c r="A19603" i="3"/>
  <c r="B19602" i="3"/>
  <c r="A19602" i="3"/>
  <c r="B19601" i="3"/>
  <c r="A19601" i="3"/>
  <c r="B19600" i="3"/>
  <c r="A19600" i="3"/>
  <c r="B19599" i="3"/>
  <c r="A19599" i="3"/>
  <c r="B19598" i="3"/>
  <c r="A19598" i="3"/>
  <c r="B19597" i="3"/>
  <c r="A19597" i="3"/>
  <c r="B19596" i="3"/>
  <c r="A19596" i="3"/>
  <c r="B19595" i="3"/>
  <c r="A19595" i="3"/>
  <c r="B19594" i="3"/>
  <c r="A19594" i="3"/>
  <c r="B19593" i="3"/>
  <c r="A19593" i="3"/>
  <c r="B19592" i="3"/>
  <c r="A19592" i="3"/>
  <c r="B19591" i="3"/>
  <c r="A19591" i="3"/>
  <c r="B19590" i="3"/>
  <c r="A19590" i="3"/>
  <c r="B19589" i="3"/>
  <c r="A19589" i="3"/>
  <c r="B19588" i="3"/>
  <c r="A19588" i="3"/>
  <c r="B19587" i="3"/>
  <c r="A19587" i="3"/>
  <c r="B19586" i="3"/>
  <c r="A19586" i="3"/>
  <c r="B19585" i="3"/>
  <c r="A19585" i="3"/>
  <c r="B19584" i="3"/>
  <c r="A19584" i="3"/>
  <c r="B19583" i="3"/>
  <c r="A19583" i="3"/>
  <c r="B19582" i="3"/>
  <c r="A19582" i="3"/>
  <c r="B19581" i="3"/>
  <c r="A19581" i="3"/>
  <c r="B19580" i="3"/>
  <c r="A19580" i="3"/>
  <c r="B19579" i="3"/>
  <c r="A19579" i="3"/>
  <c r="B19578" i="3"/>
  <c r="A19578" i="3"/>
  <c r="B19577" i="3"/>
  <c r="A19577" i="3"/>
  <c r="B19576" i="3"/>
  <c r="A19576" i="3"/>
  <c r="B19575" i="3"/>
  <c r="A19575" i="3"/>
  <c r="B19574" i="3"/>
  <c r="A19574" i="3"/>
  <c r="B19573" i="3"/>
  <c r="A19573" i="3"/>
  <c r="B19572" i="3"/>
  <c r="A19572" i="3"/>
  <c r="B19571" i="3"/>
  <c r="A19571" i="3"/>
  <c r="B19570" i="3"/>
  <c r="A19570" i="3"/>
  <c r="B19569" i="3"/>
  <c r="A19569" i="3"/>
  <c r="B19568" i="3"/>
  <c r="A19568" i="3"/>
  <c r="B19567" i="3"/>
  <c r="A19567" i="3"/>
  <c r="B19566" i="3"/>
  <c r="A19566" i="3"/>
  <c r="B19565" i="3"/>
  <c r="A19565" i="3"/>
  <c r="B19564" i="3"/>
  <c r="A19564" i="3"/>
  <c r="B19563" i="3"/>
  <c r="A19563" i="3"/>
  <c r="B19562" i="3"/>
  <c r="A19562" i="3"/>
  <c r="B19561" i="3"/>
  <c r="A19561" i="3"/>
  <c r="B19560" i="3"/>
  <c r="A19560" i="3"/>
  <c r="B19559" i="3"/>
  <c r="A19559" i="3"/>
  <c r="B19558" i="3"/>
  <c r="A19558" i="3"/>
  <c r="B19557" i="3"/>
  <c r="A19557" i="3"/>
  <c r="B19556" i="3"/>
  <c r="A19556" i="3"/>
  <c r="B19555" i="3"/>
  <c r="A19555" i="3"/>
  <c r="B19554" i="3"/>
  <c r="A19554" i="3"/>
  <c r="B19553" i="3"/>
  <c r="A19553" i="3"/>
  <c r="B19552" i="3"/>
  <c r="A19552" i="3"/>
  <c r="B19551" i="3"/>
  <c r="A19551" i="3"/>
  <c r="B19550" i="3"/>
  <c r="A19550" i="3"/>
  <c r="B19549" i="3"/>
  <c r="A19549" i="3"/>
  <c r="B19548" i="3"/>
  <c r="A19548" i="3"/>
  <c r="B19547" i="3"/>
  <c r="A19547" i="3"/>
  <c r="B19546" i="3"/>
  <c r="A19546" i="3"/>
  <c r="B19545" i="3"/>
  <c r="A19545" i="3"/>
  <c r="B19544" i="3"/>
  <c r="A19544" i="3"/>
  <c r="B19543" i="3"/>
  <c r="A19543" i="3"/>
  <c r="B19542" i="3"/>
  <c r="A19542" i="3"/>
  <c r="B19541" i="3"/>
  <c r="A19541" i="3"/>
  <c r="B19540" i="3"/>
  <c r="A19540" i="3"/>
  <c r="B19539" i="3"/>
  <c r="A19539" i="3"/>
  <c r="B19538" i="3"/>
  <c r="A19538" i="3"/>
  <c r="B19537" i="3"/>
  <c r="A19537" i="3"/>
  <c r="B19536" i="3"/>
  <c r="A19536" i="3"/>
  <c r="B19535" i="3"/>
  <c r="A19535" i="3"/>
  <c r="B19534" i="3"/>
  <c r="A19534" i="3"/>
  <c r="B19533" i="3"/>
  <c r="A19533" i="3"/>
  <c r="B19532" i="3"/>
  <c r="A19532" i="3"/>
  <c r="B19531" i="3"/>
  <c r="A19531" i="3"/>
  <c r="B19530" i="3"/>
  <c r="A19530" i="3"/>
  <c r="B19529" i="3"/>
  <c r="A19529" i="3"/>
  <c r="B19528" i="3"/>
  <c r="A19528" i="3"/>
  <c r="B19527" i="3"/>
  <c r="A19527" i="3"/>
  <c r="B19526" i="3"/>
  <c r="A19526" i="3"/>
  <c r="B19525" i="3"/>
  <c r="A19525" i="3"/>
  <c r="B19524" i="3"/>
  <c r="A19524" i="3"/>
  <c r="B19523" i="3"/>
  <c r="A19523" i="3"/>
  <c r="B19522" i="3"/>
  <c r="A19522" i="3"/>
  <c r="B19521" i="3"/>
  <c r="A19521" i="3"/>
  <c r="B19520" i="3"/>
  <c r="A19520" i="3"/>
  <c r="B19519" i="3"/>
  <c r="A19519" i="3"/>
  <c r="B19518" i="3"/>
  <c r="A19518" i="3"/>
  <c r="B19517" i="3"/>
  <c r="B19516" i="3"/>
  <c r="A19516" i="3"/>
  <c r="B19515" i="3"/>
  <c r="A19515" i="3"/>
  <c r="B19514" i="3"/>
  <c r="A19514" i="3"/>
  <c r="B19513" i="3"/>
  <c r="A19513" i="3"/>
  <c r="B19512" i="3"/>
  <c r="A19512" i="3"/>
  <c r="B19511" i="3"/>
  <c r="A19511" i="3"/>
  <c r="B19510" i="3"/>
  <c r="A19510" i="3"/>
  <c r="B19509" i="3"/>
  <c r="A19509" i="3"/>
  <c r="B19508" i="3"/>
  <c r="A19508" i="3"/>
  <c r="B19507" i="3"/>
  <c r="A19507" i="3"/>
  <c r="B19506" i="3"/>
  <c r="A19506" i="3"/>
  <c r="B19505" i="3"/>
  <c r="A19505" i="3"/>
  <c r="B19504" i="3"/>
  <c r="A19504" i="3"/>
  <c r="B19503" i="3"/>
  <c r="A19503" i="3"/>
  <c r="B19502" i="3"/>
  <c r="A19502" i="3"/>
  <c r="B19501" i="3"/>
  <c r="A19501" i="3"/>
  <c r="B19500" i="3"/>
  <c r="A19500" i="3"/>
  <c r="B19499" i="3"/>
  <c r="A19499" i="3"/>
  <c r="B19498" i="3"/>
  <c r="A19498" i="3"/>
  <c r="B19497" i="3"/>
  <c r="A19497" i="3"/>
  <c r="B19496" i="3"/>
  <c r="A19496" i="3"/>
  <c r="B19495" i="3"/>
  <c r="A19495" i="3"/>
  <c r="B19494" i="3"/>
  <c r="A19494" i="3"/>
  <c r="B19493" i="3"/>
  <c r="A19493" i="3"/>
  <c r="B19492" i="3"/>
  <c r="A19492" i="3"/>
  <c r="B19491" i="3"/>
  <c r="A19491" i="3"/>
  <c r="B19490" i="3"/>
  <c r="A19490" i="3"/>
  <c r="B19489" i="3"/>
  <c r="A19489" i="3"/>
  <c r="B19488" i="3"/>
  <c r="A19488" i="3"/>
  <c r="B19487" i="3"/>
  <c r="A19487" i="3"/>
  <c r="B19486" i="3"/>
  <c r="A19486" i="3"/>
  <c r="B19485" i="3"/>
  <c r="A19485" i="3"/>
  <c r="B19484" i="3"/>
  <c r="A19484" i="3"/>
  <c r="B19483" i="3"/>
  <c r="A19483" i="3"/>
  <c r="B19482" i="3"/>
  <c r="A19482" i="3"/>
  <c r="B19481" i="3"/>
  <c r="A19481" i="3"/>
  <c r="B19480" i="3"/>
  <c r="A19480" i="3"/>
  <c r="B19479" i="3"/>
  <c r="A19479" i="3"/>
  <c r="B19478" i="3"/>
  <c r="A19478" i="3"/>
  <c r="B19477" i="3"/>
  <c r="A19477" i="3"/>
  <c r="B19476" i="3"/>
  <c r="A19476" i="3"/>
  <c r="B19475" i="3"/>
  <c r="A19475" i="3"/>
  <c r="B19474" i="3"/>
  <c r="A19474" i="3"/>
  <c r="B19473" i="3"/>
  <c r="A19473" i="3"/>
  <c r="B19472" i="3"/>
  <c r="A19472" i="3"/>
  <c r="B19471" i="3"/>
  <c r="A19471" i="3"/>
  <c r="B19470" i="3"/>
  <c r="A19470" i="3"/>
  <c r="B19469" i="3"/>
  <c r="A19469" i="3"/>
  <c r="B19468" i="3"/>
  <c r="A19468" i="3"/>
  <c r="B19467" i="3"/>
  <c r="A19467" i="3"/>
  <c r="B19466" i="3"/>
  <c r="A19466" i="3"/>
  <c r="B19465" i="3"/>
  <c r="A19465" i="3"/>
  <c r="B19464" i="3"/>
  <c r="A19464" i="3"/>
  <c r="B19463" i="3"/>
  <c r="A19463" i="3"/>
  <c r="B19462" i="3"/>
  <c r="A19462" i="3"/>
  <c r="B19461" i="3"/>
  <c r="A19461" i="3"/>
  <c r="B19460" i="3"/>
  <c r="A19460" i="3"/>
  <c r="B19459" i="3"/>
  <c r="A19459" i="3"/>
  <c r="B19458" i="3"/>
  <c r="A19458" i="3"/>
  <c r="B19457" i="3"/>
  <c r="A19457" i="3"/>
  <c r="B19456" i="3"/>
  <c r="A19456" i="3"/>
  <c r="B19455" i="3"/>
  <c r="A19455" i="3"/>
  <c r="B19454" i="3"/>
  <c r="A19454" i="3"/>
  <c r="B19453" i="3"/>
  <c r="A19453" i="3"/>
  <c r="B19452" i="3"/>
  <c r="A19452" i="3"/>
  <c r="B19451" i="3"/>
  <c r="A19451" i="3"/>
  <c r="B19450" i="3"/>
  <c r="A19450" i="3"/>
  <c r="B19449" i="3"/>
  <c r="A19449" i="3"/>
  <c r="B19448" i="3"/>
  <c r="A19448" i="3"/>
  <c r="B19447" i="3"/>
  <c r="A19447" i="3"/>
  <c r="B19446" i="3"/>
  <c r="A19446" i="3"/>
  <c r="B19445" i="3"/>
  <c r="A19445" i="3"/>
  <c r="B19444" i="3"/>
  <c r="A19444" i="3"/>
  <c r="B19443" i="3"/>
  <c r="A19443" i="3"/>
  <c r="B19442" i="3"/>
  <c r="A19442" i="3"/>
  <c r="B19441" i="3"/>
  <c r="A19441" i="3"/>
  <c r="B19440" i="3"/>
  <c r="A19440" i="3"/>
  <c r="B19439" i="3"/>
  <c r="A19439" i="3"/>
  <c r="B19438" i="3"/>
  <c r="A19438" i="3"/>
  <c r="B19437" i="3"/>
  <c r="A19437" i="3"/>
  <c r="B19436" i="3"/>
  <c r="A19436" i="3"/>
  <c r="B19435" i="3"/>
  <c r="A19435" i="3"/>
  <c r="B19434" i="3"/>
  <c r="A19434" i="3"/>
  <c r="B19433" i="3"/>
  <c r="A19433" i="3"/>
  <c r="B19432" i="3"/>
  <c r="A19432" i="3"/>
  <c r="B19431" i="3"/>
  <c r="A19431" i="3"/>
  <c r="B19430" i="3"/>
  <c r="A19430" i="3"/>
  <c r="B19429" i="3"/>
  <c r="A19429" i="3"/>
  <c r="B19428" i="3"/>
  <c r="A19428" i="3"/>
  <c r="B19427" i="3"/>
  <c r="A19427" i="3"/>
  <c r="B19426" i="3"/>
  <c r="A19426" i="3"/>
  <c r="B19425" i="3"/>
  <c r="A19425" i="3"/>
  <c r="B19424" i="3"/>
  <c r="A19424" i="3"/>
  <c r="B19423" i="3"/>
  <c r="A19423" i="3"/>
  <c r="B19422" i="3"/>
  <c r="A19422" i="3"/>
  <c r="B19421" i="3"/>
  <c r="A19421" i="3"/>
  <c r="B19420" i="3"/>
  <c r="A19420" i="3"/>
  <c r="B19419" i="3"/>
  <c r="A19419" i="3"/>
  <c r="B19418" i="3"/>
  <c r="A19418" i="3"/>
  <c r="B19417" i="3"/>
  <c r="A19417" i="3"/>
  <c r="B19416" i="3"/>
  <c r="A19416" i="3"/>
  <c r="B19415" i="3"/>
  <c r="B19414" i="3"/>
  <c r="A19414" i="3"/>
  <c r="B19413" i="3"/>
  <c r="A19413" i="3"/>
  <c r="B19412" i="3"/>
  <c r="A19412" i="3"/>
  <c r="B19411" i="3"/>
  <c r="A19411" i="3"/>
  <c r="B19410" i="3"/>
  <c r="A19410" i="3"/>
  <c r="B19409" i="3"/>
  <c r="A19409" i="3"/>
  <c r="B19408" i="3"/>
  <c r="A19408" i="3"/>
  <c r="B19407" i="3"/>
  <c r="A19407" i="3"/>
  <c r="B19406" i="3"/>
  <c r="A19406" i="3"/>
  <c r="B19405" i="3"/>
  <c r="A19405" i="3"/>
  <c r="B19404" i="3"/>
  <c r="A19404" i="3"/>
  <c r="B19403" i="3"/>
  <c r="A19403" i="3"/>
  <c r="B19402" i="3"/>
  <c r="A19402" i="3"/>
  <c r="B19401" i="3"/>
  <c r="A19401" i="3"/>
  <c r="B19400" i="3"/>
  <c r="A19400" i="3"/>
  <c r="B19399" i="3"/>
  <c r="A19399" i="3"/>
  <c r="B19398" i="3"/>
  <c r="A19398" i="3"/>
  <c r="B19397" i="3"/>
  <c r="A19397" i="3"/>
  <c r="B19396" i="3"/>
  <c r="A19396" i="3"/>
  <c r="B19395" i="3"/>
  <c r="A19395" i="3"/>
  <c r="B19394" i="3"/>
  <c r="A19394" i="3"/>
  <c r="B19393" i="3"/>
  <c r="A19393" i="3"/>
  <c r="B19392" i="3"/>
  <c r="A19392" i="3"/>
  <c r="B19391" i="3"/>
  <c r="A19391" i="3"/>
  <c r="B19390" i="3"/>
  <c r="A19390" i="3"/>
  <c r="B19389" i="3"/>
  <c r="A19389" i="3"/>
  <c r="B19388" i="3"/>
  <c r="A19388" i="3"/>
  <c r="B19387" i="3"/>
  <c r="A19387" i="3"/>
  <c r="B19386" i="3"/>
  <c r="A19386" i="3"/>
  <c r="B19385" i="3"/>
  <c r="A19385" i="3"/>
  <c r="B19384" i="3"/>
  <c r="A19384" i="3"/>
  <c r="B19383" i="3"/>
  <c r="A19383" i="3"/>
  <c r="B19382" i="3"/>
  <c r="A19382" i="3"/>
  <c r="B19381" i="3"/>
  <c r="A19381" i="3"/>
  <c r="B19380" i="3"/>
  <c r="A19380" i="3"/>
  <c r="B19379" i="3"/>
  <c r="A19379" i="3"/>
  <c r="B19378" i="3"/>
  <c r="A19378" i="3"/>
  <c r="B19377" i="3"/>
  <c r="A19377" i="3"/>
  <c r="B19376" i="3"/>
  <c r="A19376" i="3"/>
  <c r="B19375" i="3"/>
  <c r="A19375" i="3"/>
  <c r="B19374" i="3"/>
  <c r="A19374" i="3"/>
  <c r="B19373" i="3"/>
  <c r="A19373" i="3"/>
  <c r="B19372" i="3"/>
  <c r="A19372" i="3"/>
  <c r="B19371" i="3"/>
  <c r="A19371" i="3"/>
  <c r="B19370" i="3"/>
  <c r="A19370" i="3"/>
  <c r="B19369" i="3"/>
  <c r="A19369" i="3"/>
  <c r="B19368" i="3"/>
  <c r="A19368" i="3"/>
  <c r="B19367" i="3"/>
  <c r="A19367" i="3"/>
  <c r="B19366" i="3"/>
  <c r="A19366" i="3"/>
  <c r="B19365" i="3"/>
  <c r="A19365" i="3"/>
  <c r="B19364" i="3"/>
  <c r="A19364" i="3"/>
  <c r="B19363" i="3"/>
  <c r="A19363" i="3"/>
  <c r="B19362" i="3"/>
  <c r="A19362" i="3"/>
  <c r="B19361" i="3"/>
  <c r="A19361" i="3"/>
  <c r="B19360" i="3"/>
  <c r="A19360" i="3"/>
  <c r="B19359" i="3"/>
  <c r="A19359" i="3"/>
  <c r="B19358" i="3"/>
  <c r="A19358" i="3"/>
  <c r="B19357" i="3"/>
  <c r="A19357" i="3"/>
  <c r="B19356" i="3"/>
  <c r="A19356" i="3"/>
  <c r="B19355" i="3"/>
  <c r="A19355" i="3"/>
  <c r="B19354" i="3"/>
  <c r="A19354" i="3"/>
  <c r="B19353" i="3"/>
  <c r="A19353" i="3"/>
  <c r="B19352" i="3"/>
  <c r="A19352" i="3"/>
  <c r="B19351" i="3"/>
  <c r="A19351" i="3"/>
  <c r="B19350" i="3"/>
  <c r="A19350" i="3"/>
  <c r="B19349" i="3"/>
  <c r="A19349" i="3"/>
  <c r="B19348" i="3"/>
  <c r="A19348" i="3"/>
  <c r="B19347" i="3"/>
  <c r="A19347" i="3"/>
  <c r="B19346" i="3"/>
  <c r="A19346" i="3"/>
  <c r="B19345" i="3"/>
  <c r="A19345" i="3"/>
  <c r="B19344" i="3"/>
  <c r="A19344" i="3"/>
  <c r="B19343" i="3"/>
  <c r="A19343" i="3"/>
  <c r="B19342" i="3"/>
  <c r="A19342" i="3"/>
  <c r="B19341" i="3"/>
  <c r="A19341" i="3"/>
  <c r="B19340" i="3"/>
  <c r="A19340" i="3"/>
  <c r="B19339" i="3"/>
  <c r="A19339" i="3"/>
  <c r="B19338" i="3"/>
  <c r="A19338" i="3"/>
  <c r="B19337" i="3"/>
  <c r="A19337" i="3"/>
  <c r="B19336" i="3"/>
  <c r="A19336" i="3"/>
  <c r="B19335" i="3"/>
  <c r="A19335" i="3"/>
  <c r="B19334" i="3"/>
  <c r="A19334" i="3"/>
  <c r="B19333" i="3"/>
  <c r="A19333" i="3"/>
  <c r="B19332" i="3"/>
  <c r="A19332" i="3"/>
  <c r="B19331" i="3"/>
  <c r="A19331" i="3"/>
  <c r="B19330" i="3"/>
  <c r="A19330" i="3"/>
  <c r="B19329" i="3"/>
  <c r="A19329" i="3"/>
  <c r="B19328" i="3"/>
  <c r="A19328" i="3"/>
  <c r="B19327" i="3"/>
  <c r="A19327" i="3"/>
  <c r="B19326" i="3"/>
  <c r="A19326" i="3"/>
  <c r="B19325" i="3"/>
  <c r="A19325" i="3"/>
  <c r="B19324" i="3"/>
  <c r="A19324" i="3"/>
  <c r="B19323" i="3"/>
  <c r="A19323" i="3"/>
  <c r="B19322" i="3"/>
  <c r="A19322" i="3"/>
  <c r="B19321" i="3"/>
  <c r="A19321" i="3"/>
  <c r="B19320" i="3"/>
  <c r="A19320" i="3"/>
  <c r="B19319" i="3"/>
  <c r="A19319" i="3"/>
  <c r="B19318" i="3"/>
  <c r="A19318" i="3"/>
  <c r="B19317" i="3"/>
  <c r="A19317" i="3"/>
  <c r="B19316" i="3"/>
  <c r="A19316" i="3"/>
  <c r="B19315" i="3"/>
  <c r="A19315" i="3"/>
  <c r="B19314" i="3"/>
  <c r="A19314" i="3"/>
  <c r="B19313" i="3"/>
  <c r="A19313" i="3"/>
  <c r="B19312" i="3"/>
  <c r="A19312" i="3"/>
  <c r="B19311" i="3"/>
  <c r="A19311" i="3"/>
  <c r="B19310" i="3"/>
  <c r="A19310" i="3"/>
  <c r="B19309" i="3"/>
  <c r="A19309" i="3"/>
  <c r="B19308" i="3"/>
  <c r="A19308" i="3"/>
  <c r="B19307" i="3"/>
  <c r="A19307" i="3"/>
  <c r="B19306" i="3"/>
  <c r="A19306" i="3"/>
  <c r="B19305" i="3"/>
  <c r="A19305" i="3"/>
  <c r="B19304" i="3"/>
  <c r="A19304" i="3"/>
  <c r="B19303" i="3"/>
  <c r="A19303" i="3"/>
  <c r="B19302" i="3"/>
  <c r="A19302" i="3"/>
  <c r="B19301" i="3"/>
  <c r="A19301" i="3"/>
  <c r="B19300" i="3"/>
  <c r="A19300" i="3"/>
  <c r="B19299" i="3"/>
  <c r="A19299" i="3"/>
  <c r="B19298" i="3"/>
  <c r="A19298" i="3"/>
  <c r="B19297" i="3"/>
  <c r="A19297" i="3"/>
  <c r="B19296" i="3"/>
  <c r="A19296" i="3"/>
  <c r="B19295" i="3"/>
  <c r="A19295" i="3"/>
  <c r="B19294" i="3"/>
  <c r="A19294" i="3"/>
  <c r="B19293" i="3"/>
  <c r="A19293" i="3"/>
  <c r="B19292" i="3"/>
  <c r="A19292" i="3"/>
  <c r="B19291" i="3"/>
  <c r="A19291" i="3"/>
  <c r="B19290" i="3"/>
  <c r="A19290" i="3"/>
  <c r="B19289" i="3"/>
  <c r="A19289" i="3"/>
  <c r="B19288" i="3"/>
  <c r="A19288" i="3"/>
  <c r="B19287" i="3"/>
  <c r="A19287" i="3"/>
  <c r="B19286" i="3"/>
  <c r="A19286" i="3"/>
  <c r="B19285" i="3"/>
  <c r="A19285" i="3"/>
  <c r="B19284" i="3"/>
  <c r="A19284" i="3"/>
  <c r="B19283" i="3"/>
  <c r="A19283" i="3"/>
  <c r="B19282" i="3"/>
  <c r="A19282" i="3"/>
  <c r="B19281" i="3"/>
  <c r="A19281" i="3"/>
  <c r="B19280" i="3"/>
  <c r="A19280" i="3"/>
  <c r="B19279" i="3"/>
  <c r="A19279" i="3"/>
  <c r="B19278" i="3"/>
  <c r="A19278" i="3"/>
  <c r="B19277" i="3"/>
  <c r="A19277" i="3"/>
  <c r="B19276" i="3"/>
  <c r="A19276" i="3"/>
  <c r="B19275" i="3"/>
  <c r="A19275" i="3"/>
  <c r="B19274" i="3"/>
  <c r="A19274" i="3"/>
  <c r="B19273" i="3"/>
  <c r="A19273" i="3"/>
  <c r="B19272" i="3"/>
  <c r="A19272" i="3"/>
  <c r="B19271" i="3"/>
  <c r="A19271" i="3"/>
  <c r="B19270" i="3"/>
  <c r="A19270" i="3"/>
  <c r="B19269" i="3"/>
  <c r="A19269" i="3"/>
  <c r="B19268" i="3"/>
  <c r="A19268" i="3"/>
  <c r="B19267" i="3"/>
  <c r="A19267" i="3"/>
  <c r="B19266" i="3"/>
  <c r="A19266" i="3"/>
  <c r="B19265" i="3"/>
  <c r="A19265" i="3"/>
  <c r="B19264" i="3"/>
  <c r="A19264" i="3"/>
  <c r="B19263" i="3"/>
  <c r="A19263" i="3"/>
  <c r="B19262" i="3"/>
  <c r="A19262" i="3"/>
  <c r="B19261" i="3"/>
  <c r="A19261" i="3"/>
  <c r="B19260" i="3"/>
  <c r="A19260" i="3"/>
  <c r="B19259" i="3"/>
  <c r="A19259" i="3"/>
  <c r="B19258" i="3"/>
  <c r="A19258" i="3"/>
  <c r="B19257" i="3"/>
  <c r="A19257" i="3"/>
  <c r="B19256" i="3"/>
  <c r="A19256" i="3"/>
  <c r="B19255" i="3"/>
  <c r="A19255" i="3"/>
  <c r="B19254" i="3"/>
  <c r="A19254" i="3"/>
  <c r="B19253" i="3"/>
  <c r="A19253" i="3"/>
  <c r="B19252" i="3"/>
  <c r="A19252" i="3"/>
  <c r="B19251" i="3"/>
  <c r="A19251" i="3"/>
  <c r="B19250" i="3"/>
  <c r="A19250" i="3"/>
  <c r="B19249" i="3"/>
  <c r="A19249" i="3"/>
  <c r="B19248" i="3"/>
  <c r="A19248" i="3"/>
  <c r="B19247" i="3"/>
  <c r="A19247" i="3"/>
  <c r="B19246" i="3"/>
  <c r="A19246" i="3"/>
  <c r="B19245" i="3"/>
  <c r="A19245" i="3"/>
  <c r="B19244" i="3"/>
  <c r="A19244" i="3"/>
  <c r="B19243" i="3"/>
  <c r="A19243" i="3"/>
  <c r="B19242" i="3"/>
  <c r="A19242" i="3"/>
  <c r="B19241" i="3"/>
  <c r="A19241" i="3"/>
  <c r="B19240" i="3"/>
  <c r="A19240" i="3"/>
  <c r="B19239" i="3"/>
  <c r="A19239" i="3"/>
  <c r="B19238" i="3"/>
  <c r="A19238" i="3"/>
  <c r="B19237" i="3"/>
  <c r="A19237" i="3"/>
  <c r="B19236" i="3"/>
  <c r="A19236" i="3"/>
  <c r="B19235" i="3"/>
  <c r="A19235" i="3"/>
  <c r="B19234" i="3"/>
  <c r="A19234" i="3"/>
  <c r="B19233" i="3"/>
  <c r="A19233" i="3"/>
  <c r="B19232" i="3"/>
  <c r="A19232" i="3"/>
  <c r="B19231" i="3"/>
  <c r="A19231" i="3"/>
  <c r="B19230" i="3"/>
  <c r="A19230" i="3"/>
  <c r="B19229" i="3"/>
  <c r="A19229" i="3"/>
  <c r="B19228" i="3"/>
  <c r="A19228" i="3"/>
  <c r="B19227" i="3"/>
  <c r="A19227" i="3"/>
  <c r="B19226" i="3"/>
  <c r="A19226" i="3"/>
  <c r="B19225" i="3"/>
  <c r="A19225" i="3"/>
  <c r="B19224" i="3"/>
  <c r="A19224" i="3"/>
  <c r="B19223" i="3"/>
  <c r="A19223" i="3"/>
  <c r="B19222" i="3"/>
  <c r="A19222" i="3"/>
  <c r="B19221" i="3"/>
  <c r="A19221" i="3"/>
  <c r="B19220" i="3"/>
  <c r="A19220" i="3"/>
  <c r="B19219" i="3"/>
  <c r="A19219" i="3"/>
  <c r="B19218" i="3"/>
  <c r="A19218" i="3"/>
  <c r="B19217" i="3"/>
  <c r="A19217" i="3"/>
  <c r="B19216" i="3"/>
  <c r="A19216" i="3"/>
  <c r="B19215" i="3"/>
  <c r="A19215" i="3"/>
  <c r="B19214" i="3"/>
  <c r="A19214" i="3"/>
  <c r="B19213" i="3"/>
  <c r="A19213" i="3"/>
  <c r="B19212" i="3"/>
  <c r="A19212" i="3"/>
  <c r="B19211" i="3"/>
  <c r="A19211" i="3"/>
  <c r="B19210" i="3"/>
  <c r="A19210" i="3"/>
  <c r="B19209" i="3"/>
  <c r="A19209" i="3"/>
  <c r="B19208" i="3"/>
  <c r="A19208" i="3"/>
  <c r="B19207" i="3"/>
  <c r="A19207" i="3"/>
  <c r="B19206" i="3"/>
  <c r="A19206" i="3"/>
  <c r="B19205" i="3"/>
  <c r="A19205" i="3"/>
  <c r="B19204" i="3"/>
  <c r="A19204" i="3"/>
  <c r="B19203" i="3"/>
  <c r="A19203" i="3"/>
  <c r="B19202" i="3"/>
  <c r="A19202" i="3"/>
  <c r="B19201" i="3"/>
  <c r="A19201" i="3"/>
  <c r="B19200" i="3"/>
  <c r="A19200" i="3"/>
  <c r="B19199" i="3"/>
  <c r="A19199" i="3"/>
  <c r="B19198" i="3"/>
  <c r="A19198" i="3"/>
  <c r="B19197" i="3"/>
  <c r="A19197" i="3"/>
  <c r="B19196" i="3"/>
  <c r="A19196" i="3"/>
  <c r="B19195" i="3"/>
  <c r="A19195" i="3"/>
  <c r="B19194" i="3"/>
  <c r="A19194" i="3"/>
  <c r="B19193" i="3"/>
  <c r="A19193" i="3"/>
  <c r="B19192" i="3"/>
  <c r="A19192" i="3"/>
  <c r="B19191" i="3"/>
  <c r="A19191" i="3"/>
  <c r="B19190" i="3"/>
  <c r="A19190" i="3"/>
  <c r="B19189" i="3"/>
  <c r="A19189" i="3"/>
  <c r="B19188" i="3"/>
  <c r="A19188" i="3"/>
  <c r="B19187" i="3"/>
  <c r="A19187" i="3"/>
  <c r="B19186" i="3"/>
  <c r="A19186" i="3"/>
  <c r="B19185" i="3"/>
  <c r="A19185" i="3"/>
  <c r="B19184" i="3"/>
  <c r="A19184" i="3"/>
  <c r="B19183" i="3"/>
  <c r="A19183" i="3"/>
  <c r="B19182" i="3"/>
  <c r="A19182" i="3"/>
  <c r="B19181" i="3"/>
  <c r="A19181" i="3"/>
  <c r="B19180" i="3"/>
  <c r="A19180" i="3"/>
  <c r="B19179" i="3"/>
  <c r="A19179" i="3"/>
  <c r="B19178" i="3"/>
  <c r="A19178" i="3"/>
  <c r="B19177" i="3"/>
  <c r="A19177" i="3"/>
  <c r="B19176" i="3"/>
  <c r="A19176" i="3"/>
  <c r="B19175" i="3"/>
  <c r="A19175" i="3"/>
  <c r="B19174" i="3"/>
  <c r="A19174" i="3"/>
  <c r="B19173" i="3"/>
  <c r="A19173" i="3"/>
  <c r="B19172" i="3"/>
  <c r="A19172" i="3"/>
  <c r="B19171" i="3"/>
  <c r="A19171" i="3"/>
  <c r="B19170" i="3"/>
  <c r="A19170" i="3"/>
  <c r="B19169" i="3"/>
  <c r="A19169" i="3"/>
  <c r="B19168" i="3"/>
  <c r="A19168" i="3"/>
  <c r="B19167" i="3"/>
  <c r="A19167" i="3"/>
  <c r="B19166" i="3"/>
  <c r="A19166" i="3"/>
  <c r="B19165" i="3"/>
  <c r="A19165" i="3"/>
  <c r="B19164" i="3"/>
  <c r="A19164" i="3"/>
  <c r="B19163" i="3"/>
  <c r="A19163" i="3"/>
  <c r="B19162" i="3"/>
  <c r="A19162" i="3"/>
  <c r="B19161" i="3"/>
  <c r="A19161" i="3"/>
  <c r="B19160" i="3"/>
  <c r="A19160" i="3"/>
  <c r="B19159" i="3"/>
  <c r="A19159" i="3"/>
  <c r="B19158" i="3"/>
  <c r="A19158" i="3"/>
  <c r="B19157" i="3"/>
  <c r="A19157" i="3"/>
  <c r="B19156" i="3"/>
  <c r="A19156" i="3"/>
  <c r="B19155" i="3"/>
  <c r="A19155" i="3"/>
  <c r="B19154" i="3"/>
  <c r="A19154" i="3"/>
  <c r="B19153" i="3"/>
  <c r="A19153" i="3"/>
  <c r="B19152" i="3"/>
  <c r="A19152" i="3"/>
  <c r="B19151" i="3"/>
  <c r="A19151" i="3"/>
  <c r="B19150" i="3"/>
  <c r="A19150" i="3"/>
  <c r="B19149" i="3"/>
  <c r="A19149" i="3"/>
  <c r="B19148" i="3"/>
  <c r="A19148" i="3"/>
  <c r="B19147" i="3"/>
  <c r="A19147" i="3"/>
  <c r="B19146" i="3"/>
  <c r="A19146" i="3"/>
  <c r="B19145" i="3"/>
  <c r="A19145" i="3"/>
  <c r="B19144" i="3"/>
  <c r="A19144" i="3"/>
  <c r="B19143" i="3"/>
  <c r="A19143" i="3"/>
  <c r="B19142" i="3"/>
  <c r="A19142" i="3"/>
  <c r="B19141" i="3"/>
  <c r="A19141" i="3"/>
  <c r="B19140" i="3"/>
  <c r="B19139" i="3"/>
  <c r="A19139" i="3"/>
  <c r="B19138" i="3"/>
  <c r="A19138" i="3"/>
  <c r="B19137" i="3"/>
  <c r="A19137" i="3"/>
  <c r="B19136" i="3"/>
  <c r="A19136" i="3"/>
  <c r="B19135" i="3"/>
  <c r="A19135" i="3"/>
  <c r="B19134" i="3"/>
  <c r="A19134" i="3"/>
  <c r="B19133" i="3"/>
  <c r="A19133" i="3"/>
  <c r="B19132" i="3"/>
  <c r="A19132" i="3"/>
  <c r="B19131" i="3"/>
  <c r="A19131" i="3"/>
  <c r="B19130" i="3"/>
  <c r="A19130" i="3"/>
  <c r="B19129" i="3"/>
  <c r="A19129" i="3"/>
  <c r="B19128" i="3"/>
  <c r="A19128" i="3"/>
  <c r="B19127" i="3"/>
  <c r="A19127" i="3"/>
  <c r="B19126" i="3"/>
  <c r="A19126" i="3"/>
  <c r="B19125" i="3"/>
  <c r="A19125" i="3"/>
  <c r="B19124" i="3"/>
  <c r="A19124" i="3"/>
  <c r="B19123" i="3"/>
  <c r="A19123" i="3"/>
  <c r="B19122" i="3"/>
  <c r="A19122" i="3"/>
  <c r="B19121" i="3"/>
  <c r="A19121" i="3"/>
  <c r="B19120" i="3"/>
  <c r="A19120" i="3"/>
  <c r="B19119" i="3"/>
  <c r="A19119" i="3"/>
  <c r="B19118" i="3"/>
  <c r="A19118" i="3"/>
  <c r="B19117" i="3"/>
  <c r="A19117" i="3"/>
  <c r="B19116" i="3"/>
  <c r="A19116" i="3"/>
  <c r="B19115" i="3"/>
  <c r="A19115" i="3"/>
  <c r="B19114" i="3"/>
  <c r="A19114" i="3"/>
  <c r="B19113" i="3"/>
  <c r="A19113" i="3"/>
  <c r="B19112" i="3"/>
  <c r="A19112" i="3"/>
  <c r="B19111" i="3"/>
  <c r="A19111" i="3"/>
  <c r="B19110" i="3"/>
  <c r="A19110" i="3"/>
  <c r="B19109" i="3"/>
  <c r="A19109" i="3"/>
  <c r="B19108" i="3"/>
  <c r="A19108" i="3"/>
  <c r="B19107" i="3"/>
  <c r="A19107" i="3"/>
  <c r="B19106" i="3"/>
  <c r="A19106" i="3"/>
  <c r="B19105" i="3"/>
  <c r="A19105" i="3"/>
  <c r="B19104" i="3"/>
  <c r="A19104" i="3"/>
  <c r="B19103" i="3"/>
  <c r="A19103" i="3"/>
  <c r="B19102" i="3"/>
  <c r="A19102" i="3"/>
  <c r="B19101" i="3"/>
  <c r="A19101" i="3"/>
  <c r="B19100" i="3"/>
  <c r="A19100" i="3"/>
  <c r="B19099" i="3"/>
  <c r="A19099" i="3"/>
  <c r="B19098" i="3"/>
  <c r="A19098" i="3"/>
  <c r="B19097" i="3"/>
  <c r="A19097" i="3"/>
  <c r="B19096" i="3"/>
  <c r="A19096" i="3"/>
  <c r="B19095" i="3"/>
  <c r="A19095" i="3"/>
  <c r="B19094" i="3"/>
  <c r="A19094" i="3"/>
  <c r="B19093" i="3"/>
  <c r="A19093" i="3"/>
  <c r="B19092" i="3"/>
  <c r="A19092" i="3"/>
  <c r="B19091" i="3"/>
  <c r="A19091" i="3"/>
  <c r="B19090" i="3"/>
  <c r="A19090" i="3"/>
  <c r="B19089" i="3"/>
  <c r="A19089" i="3"/>
  <c r="B19088" i="3"/>
  <c r="A19088" i="3"/>
  <c r="B19087" i="3"/>
  <c r="A19087" i="3"/>
  <c r="B19086" i="3"/>
  <c r="A19086" i="3"/>
  <c r="B19085" i="3"/>
  <c r="A19085" i="3"/>
  <c r="B19084" i="3"/>
  <c r="A19084" i="3"/>
  <c r="B19083" i="3"/>
  <c r="A19083" i="3"/>
  <c r="B19082" i="3"/>
  <c r="A19082" i="3"/>
  <c r="B19081" i="3"/>
  <c r="A19081" i="3"/>
  <c r="B19080" i="3"/>
  <c r="A19080" i="3"/>
  <c r="B19079" i="3"/>
  <c r="A19079" i="3"/>
  <c r="B19078" i="3"/>
  <c r="A19078" i="3"/>
  <c r="B19077" i="3"/>
  <c r="A19077" i="3"/>
  <c r="B19076" i="3"/>
  <c r="A19076" i="3"/>
  <c r="B19075" i="3"/>
  <c r="A19075" i="3"/>
  <c r="B19074" i="3"/>
  <c r="A19074" i="3"/>
  <c r="B19073" i="3"/>
  <c r="A19073" i="3"/>
  <c r="B19072" i="3"/>
  <c r="A19072" i="3"/>
  <c r="B19071" i="3"/>
  <c r="A19071" i="3"/>
  <c r="B19070" i="3"/>
  <c r="A19070" i="3"/>
  <c r="B19069" i="3"/>
  <c r="A19069" i="3"/>
  <c r="B19068" i="3"/>
  <c r="A19068" i="3"/>
  <c r="B19067" i="3"/>
  <c r="A19067" i="3"/>
  <c r="B19066" i="3"/>
  <c r="A19066" i="3"/>
  <c r="B19065" i="3"/>
  <c r="A19065" i="3"/>
  <c r="B19064" i="3"/>
  <c r="A19064" i="3"/>
  <c r="B19063" i="3"/>
  <c r="A19063" i="3"/>
  <c r="B19062" i="3"/>
  <c r="A19062" i="3"/>
  <c r="B19061" i="3"/>
  <c r="A19061" i="3"/>
  <c r="B19060" i="3"/>
  <c r="A19060" i="3"/>
  <c r="B19059" i="3"/>
  <c r="A19059" i="3"/>
  <c r="B19058" i="3"/>
  <c r="A19058" i="3"/>
  <c r="B19057" i="3"/>
  <c r="A19057" i="3"/>
  <c r="B19056" i="3"/>
  <c r="A19056" i="3"/>
  <c r="B19055" i="3"/>
  <c r="A19055" i="3"/>
  <c r="B19054" i="3"/>
  <c r="A19054" i="3"/>
  <c r="B19053" i="3"/>
  <c r="A19053" i="3"/>
  <c r="B19052" i="3"/>
  <c r="A19052" i="3"/>
  <c r="B19051" i="3"/>
  <c r="A19051" i="3"/>
  <c r="B19050" i="3"/>
  <c r="A19050" i="3"/>
  <c r="B19049" i="3"/>
  <c r="A19049" i="3"/>
  <c r="B19048" i="3"/>
  <c r="A19048" i="3"/>
  <c r="B19047" i="3"/>
  <c r="A19047" i="3"/>
  <c r="B19046" i="3"/>
  <c r="A19046" i="3"/>
  <c r="B19045" i="3"/>
  <c r="A19045" i="3"/>
  <c r="B19044" i="3"/>
  <c r="A19044" i="3"/>
  <c r="B19043" i="3"/>
  <c r="A19043" i="3"/>
  <c r="B19042" i="3"/>
  <c r="A19042" i="3"/>
  <c r="B19041" i="3"/>
  <c r="A19041" i="3"/>
  <c r="B19040" i="3"/>
  <c r="A19040" i="3"/>
  <c r="B19039" i="3"/>
  <c r="A19039" i="3"/>
  <c r="B19038" i="3"/>
  <c r="A19038" i="3"/>
  <c r="B19037" i="3"/>
  <c r="A19037" i="3"/>
  <c r="B19036" i="3"/>
  <c r="A19036" i="3"/>
  <c r="B19035" i="3"/>
  <c r="A19035" i="3"/>
  <c r="B19034" i="3"/>
  <c r="A19034" i="3"/>
  <c r="B19033" i="3"/>
  <c r="A19033" i="3"/>
  <c r="B19032" i="3"/>
  <c r="A19032" i="3"/>
  <c r="B19031" i="3"/>
  <c r="A19031" i="3"/>
  <c r="B19030" i="3"/>
  <c r="A19030" i="3"/>
  <c r="B19029" i="3"/>
  <c r="A19029" i="3"/>
  <c r="B19028" i="3"/>
  <c r="A19028" i="3"/>
  <c r="B19027" i="3"/>
  <c r="A19027" i="3"/>
  <c r="B19026" i="3"/>
  <c r="A19026" i="3"/>
  <c r="B19025" i="3"/>
  <c r="A19025" i="3"/>
  <c r="B19024" i="3"/>
  <c r="A19024" i="3"/>
  <c r="B19023" i="3"/>
  <c r="A19023" i="3"/>
  <c r="B19022" i="3"/>
  <c r="A19022" i="3"/>
  <c r="B19021" i="3"/>
  <c r="A19021" i="3"/>
  <c r="B19020" i="3"/>
  <c r="A19020" i="3"/>
  <c r="B19019" i="3"/>
  <c r="A19019" i="3"/>
  <c r="B19018" i="3"/>
  <c r="A19018" i="3"/>
  <c r="B19017" i="3"/>
  <c r="A19017" i="3"/>
  <c r="B19016" i="3"/>
  <c r="A19016" i="3"/>
  <c r="B19015" i="3"/>
  <c r="A19015" i="3"/>
  <c r="B19014" i="3"/>
  <c r="A19014" i="3"/>
  <c r="B19013" i="3"/>
  <c r="A19013" i="3"/>
  <c r="B19012" i="3"/>
  <c r="A19012" i="3"/>
  <c r="B19011" i="3"/>
  <c r="A19011" i="3"/>
  <c r="B19010" i="3"/>
  <c r="A19010" i="3"/>
  <c r="B19009" i="3"/>
  <c r="A19009" i="3"/>
  <c r="B19008" i="3"/>
  <c r="A19008" i="3"/>
  <c r="B19007" i="3"/>
  <c r="A19007" i="3"/>
  <c r="B19006" i="3"/>
  <c r="A19006" i="3"/>
  <c r="B19005" i="3"/>
  <c r="A19005" i="3"/>
  <c r="B19004" i="3"/>
  <c r="A19004" i="3"/>
  <c r="B19003" i="3"/>
  <c r="A19003" i="3"/>
  <c r="B19002" i="3"/>
  <c r="A19002" i="3"/>
  <c r="B19001" i="3"/>
  <c r="A19001" i="3"/>
  <c r="B19000" i="3"/>
  <c r="A19000" i="3"/>
  <c r="B18999" i="3"/>
  <c r="A18999" i="3"/>
  <c r="B18998" i="3"/>
  <c r="A18998" i="3"/>
  <c r="B18997" i="3"/>
  <c r="A18997" i="3"/>
  <c r="B18996" i="3"/>
  <c r="A18996" i="3"/>
  <c r="B18995" i="3"/>
  <c r="A18995" i="3"/>
  <c r="B18994" i="3"/>
  <c r="A18994" i="3"/>
  <c r="B18993" i="3"/>
  <c r="A18993" i="3"/>
  <c r="B18992" i="3"/>
  <c r="A18992" i="3"/>
  <c r="B18991" i="3"/>
  <c r="A18991" i="3"/>
  <c r="B18990" i="3"/>
  <c r="A18990" i="3"/>
  <c r="B18989" i="3"/>
  <c r="A18989" i="3"/>
  <c r="B18988" i="3"/>
  <c r="A18988" i="3"/>
  <c r="B18987" i="3"/>
  <c r="A18987" i="3"/>
  <c r="B18986" i="3"/>
  <c r="A18986" i="3"/>
  <c r="B18985" i="3"/>
  <c r="A18985" i="3"/>
  <c r="B18984" i="3"/>
  <c r="A18984" i="3"/>
  <c r="B18983" i="3"/>
  <c r="A18983" i="3"/>
  <c r="B18982" i="3"/>
  <c r="A18982" i="3"/>
  <c r="B18981" i="3"/>
  <c r="A18981" i="3"/>
  <c r="B18980" i="3"/>
  <c r="A18980" i="3"/>
  <c r="B18979" i="3"/>
  <c r="A18979" i="3"/>
  <c r="B18978" i="3"/>
  <c r="A18978" i="3"/>
  <c r="B18977" i="3"/>
  <c r="A18977" i="3"/>
  <c r="B18976" i="3"/>
  <c r="A18976" i="3"/>
  <c r="B18975" i="3"/>
  <c r="A18975" i="3"/>
  <c r="B18974" i="3"/>
  <c r="A18974" i="3"/>
  <c r="B18973" i="3"/>
  <c r="A18973" i="3"/>
  <c r="B18972" i="3"/>
  <c r="A18972" i="3"/>
  <c r="B18971" i="3"/>
  <c r="A18971" i="3"/>
  <c r="B18970" i="3"/>
  <c r="A18970" i="3"/>
  <c r="B18969" i="3"/>
  <c r="A18969" i="3"/>
  <c r="B18968" i="3"/>
  <c r="A18968" i="3"/>
  <c r="B18967" i="3"/>
  <c r="B18966" i="3"/>
  <c r="A18966" i="3"/>
  <c r="B18965" i="3"/>
  <c r="A18965" i="3"/>
  <c r="B18964" i="3"/>
  <c r="A18964" i="3"/>
  <c r="B18963" i="3"/>
  <c r="A18963" i="3"/>
  <c r="B18962" i="3"/>
  <c r="A18962" i="3"/>
  <c r="B18961" i="3"/>
  <c r="A18961" i="3"/>
  <c r="B18960" i="3"/>
  <c r="A18960" i="3"/>
  <c r="B18959" i="3"/>
  <c r="A18959" i="3"/>
  <c r="B18958" i="3"/>
  <c r="A18958" i="3"/>
  <c r="B18957" i="3"/>
  <c r="A18957" i="3"/>
  <c r="B18956" i="3"/>
  <c r="A18956" i="3"/>
  <c r="B18955" i="3"/>
  <c r="A18955" i="3"/>
  <c r="B18954" i="3"/>
  <c r="A18954" i="3"/>
  <c r="B18953" i="3"/>
  <c r="A18953" i="3"/>
  <c r="B18952" i="3"/>
  <c r="A18952" i="3"/>
  <c r="B18951" i="3"/>
  <c r="A18951" i="3"/>
  <c r="B18950" i="3"/>
  <c r="A18950" i="3"/>
  <c r="B18949" i="3"/>
  <c r="A18949" i="3"/>
  <c r="B18948" i="3"/>
  <c r="A18948" i="3"/>
  <c r="B18947" i="3"/>
  <c r="A18947" i="3"/>
  <c r="B18946" i="3"/>
  <c r="A18946" i="3"/>
  <c r="B18945" i="3"/>
  <c r="A18945" i="3"/>
  <c r="B18944" i="3"/>
  <c r="A18944" i="3"/>
  <c r="B18943" i="3"/>
  <c r="A18943" i="3"/>
  <c r="B18942" i="3"/>
  <c r="A18942" i="3"/>
  <c r="B18941" i="3"/>
  <c r="A18941" i="3"/>
  <c r="B18940" i="3"/>
  <c r="A18940" i="3"/>
  <c r="B18939" i="3"/>
  <c r="A18939" i="3"/>
  <c r="B18938" i="3"/>
  <c r="A18938" i="3"/>
  <c r="B18937" i="3"/>
  <c r="A18937" i="3"/>
  <c r="B18936" i="3"/>
  <c r="A18936" i="3"/>
  <c r="B18935" i="3"/>
  <c r="A18935" i="3"/>
  <c r="B18934" i="3"/>
  <c r="A18934" i="3"/>
  <c r="B18933" i="3"/>
  <c r="A18933" i="3"/>
  <c r="B18932" i="3"/>
  <c r="A18932" i="3"/>
  <c r="B18931" i="3"/>
  <c r="A18931" i="3"/>
  <c r="B18930" i="3"/>
  <c r="A18930" i="3"/>
  <c r="B18929" i="3"/>
  <c r="A18929" i="3"/>
  <c r="B18928" i="3"/>
  <c r="A18928" i="3"/>
  <c r="B18927" i="3"/>
  <c r="A18927" i="3"/>
  <c r="B18926" i="3"/>
  <c r="A18926" i="3"/>
  <c r="B18925" i="3"/>
  <c r="A18925" i="3"/>
  <c r="B18924" i="3"/>
  <c r="A18924" i="3"/>
  <c r="B18923" i="3"/>
  <c r="A18923" i="3"/>
  <c r="B18922" i="3"/>
  <c r="A18922" i="3"/>
  <c r="B18921" i="3"/>
  <c r="A18921" i="3"/>
  <c r="B18920" i="3"/>
  <c r="A18920" i="3"/>
  <c r="B18919" i="3"/>
  <c r="B18918" i="3"/>
  <c r="A18918" i="3"/>
  <c r="B18917" i="3"/>
  <c r="A18917" i="3"/>
  <c r="B18916" i="3"/>
  <c r="A18916" i="3"/>
  <c r="B18915" i="3"/>
  <c r="A18915" i="3"/>
  <c r="B18914" i="3"/>
  <c r="A18914" i="3"/>
  <c r="B18913" i="3"/>
  <c r="B18912" i="3"/>
  <c r="A18912" i="3"/>
  <c r="B18911" i="3"/>
  <c r="A18911" i="3"/>
  <c r="B18910" i="3"/>
  <c r="A18910" i="3"/>
  <c r="B18909" i="3"/>
  <c r="A18909" i="3"/>
  <c r="B18908" i="3"/>
  <c r="A18908" i="3"/>
  <c r="B18907" i="3"/>
  <c r="A18907" i="3"/>
  <c r="B18906" i="3"/>
  <c r="A18906" i="3"/>
  <c r="B18905" i="3"/>
  <c r="A18905" i="3"/>
  <c r="B18904" i="3"/>
  <c r="A18904" i="3"/>
  <c r="B18903" i="3"/>
  <c r="A18903" i="3"/>
  <c r="B18902" i="3"/>
  <c r="A18902" i="3"/>
  <c r="B18901" i="3"/>
  <c r="A18901" i="3"/>
  <c r="B18900" i="3"/>
  <c r="B18899" i="3"/>
  <c r="A18899" i="3"/>
  <c r="B18898" i="3"/>
  <c r="A18898" i="3"/>
  <c r="B18897" i="3"/>
  <c r="A18897" i="3"/>
  <c r="B18896" i="3"/>
  <c r="A18896" i="3"/>
  <c r="B18895" i="3"/>
  <c r="A18895" i="3"/>
  <c r="B18894" i="3"/>
  <c r="A18894" i="3"/>
  <c r="B18893" i="3"/>
  <c r="A18893" i="3"/>
  <c r="B18892" i="3"/>
  <c r="A18892" i="3"/>
  <c r="B18891" i="3"/>
  <c r="A18891" i="3"/>
  <c r="B18890" i="3"/>
  <c r="A18890" i="3"/>
  <c r="B18889" i="3"/>
  <c r="B18888" i="3"/>
  <c r="A18888" i="3"/>
  <c r="B18887" i="3"/>
  <c r="A18887" i="3"/>
  <c r="B18886" i="3"/>
  <c r="A18886" i="3"/>
  <c r="B18885" i="3"/>
  <c r="A18885" i="3"/>
  <c r="B18884" i="3"/>
  <c r="B18883" i="3"/>
  <c r="B18882" i="3"/>
  <c r="A18882" i="3"/>
  <c r="B18881" i="3"/>
  <c r="A18881" i="3"/>
  <c r="B18880" i="3"/>
  <c r="A18880" i="3"/>
  <c r="B18879" i="3"/>
  <c r="B18878" i="3"/>
  <c r="A18878" i="3"/>
  <c r="B18877" i="3"/>
  <c r="A18877" i="3"/>
  <c r="B18876" i="3"/>
  <c r="A18876" i="3"/>
  <c r="B18875" i="3"/>
  <c r="A18875" i="3"/>
  <c r="B18874" i="3"/>
  <c r="A18874" i="3"/>
  <c r="B18873" i="3"/>
  <c r="B18872" i="3"/>
  <c r="A18872" i="3"/>
  <c r="B18871" i="3"/>
  <c r="A18871" i="3"/>
  <c r="B18870" i="3"/>
  <c r="A18870" i="3"/>
  <c r="B18869" i="3"/>
  <c r="A18869" i="3"/>
  <c r="B18868" i="3"/>
  <c r="A18868" i="3"/>
  <c r="B18867" i="3"/>
  <c r="A18867" i="3"/>
  <c r="B18866" i="3"/>
  <c r="A18866" i="3"/>
  <c r="B18865" i="3"/>
  <c r="A18865" i="3"/>
  <c r="B18864" i="3"/>
  <c r="A18864" i="3"/>
  <c r="B18863" i="3"/>
  <c r="A18863" i="3"/>
  <c r="B18862" i="3"/>
  <c r="A18862" i="3"/>
  <c r="B18861" i="3"/>
  <c r="A18861" i="3"/>
  <c r="B18860" i="3"/>
  <c r="A18860" i="3"/>
  <c r="B18859" i="3"/>
  <c r="A18859" i="3"/>
  <c r="B18858" i="3"/>
  <c r="A18858" i="3"/>
  <c r="B18857" i="3"/>
  <c r="A18857" i="3"/>
  <c r="B18856" i="3"/>
  <c r="A18856" i="3"/>
  <c r="B18855" i="3"/>
  <c r="A18855" i="3"/>
  <c r="B18854" i="3"/>
  <c r="A18854" i="3"/>
  <c r="B18853" i="3"/>
  <c r="B18852" i="3"/>
  <c r="A18852" i="3"/>
  <c r="B18851" i="3"/>
  <c r="A18851" i="3"/>
  <c r="B18850" i="3"/>
  <c r="A18850" i="3"/>
  <c r="B18849" i="3"/>
  <c r="A18849" i="3"/>
  <c r="B18848" i="3"/>
  <c r="A18848" i="3"/>
  <c r="B18847" i="3"/>
  <c r="A18847" i="3"/>
  <c r="B18846" i="3"/>
  <c r="A18846" i="3"/>
  <c r="B18845" i="3"/>
  <c r="A18845" i="3"/>
  <c r="B18844" i="3"/>
  <c r="A18844" i="3"/>
  <c r="B18843" i="3"/>
  <c r="A18843" i="3"/>
  <c r="B18842" i="3"/>
  <c r="A18842" i="3"/>
  <c r="B18841" i="3"/>
  <c r="A18841" i="3"/>
  <c r="B18840" i="3"/>
  <c r="A18840" i="3"/>
  <c r="B18839" i="3"/>
  <c r="A18839" i="3"/>
  <c r="B18838" i="3"/>
  <c r="B18837" i="3"/>
  <c r="A18837" i="3"/>
  <c r="B18836" i="3"/>
  <c r="A18836" i="3"/>
  <c r="B18835" i="3"/>
  <c r="A18835" i="3"/>
  <c r="B18834" i="3"/>
  <c r="A18834" i="3"/>
  <c r="B18833" i="3"/>
  <c r="A18833" i="3"/>
  <c r="B18832" i="3"/>
  <c r="A18832" i="3"/>
  <c r="B18831" i="3"/>
  <c r="A18831" i="3"/>
  <c r="B18830" i="3"/>
  <c r="A18830" i="3"/>
  <c r="B18829" i="3"/>
  <c r="A18829" i="3"/>
  <c r="B18828" i="3"/>
  <c r="A18828" i="3"/>
  <c r="B18827" i="3"/>
  <c r="A18827" i="3"/>
  <c r="B18826" i="3"/>
  <c r="A18826" i="3"/>
  <c r="B18825" i="3"/>
  <c r="A18825" i="3"/>
  <c r="B18824" i="3"/>
  <c r="A18824" i="3"/>
  <c r="B18823" i="3"/>
  <c r="A18823" i="3"/>
  <c r="B18822" i="3"/>
  <c r="A18822" i="3"/>
  <c r="B18821" i="3"/>
  <c r="A18821" i="3"/>
  <c r="B18820" i="3"/>
  <c r="A18820" i="3"/>
  <c r="B18819" i="3"/>
  <c r="A18819" i="3"/>
  <c r="B18818" i="3"/>
  <c r="A18818" i="3"/>
  <c r="B18817" i="3"/>
  <c r="A18817" i="3"/>
  <c r="B18816" i="3"/>
  <c r="A18816" i="3"/>
  <c r="B18815" i="3"/>
  <c r="A18815" i="3"/>
  <c r="B18814" i="3"/>
  <c r="A18814" i="3"/>
  <c r="B18813" i="3"/>
  <c r="A18813" i="3"/>
  <c r="B18812" i="3"/>
  <c r="A18812" i="3"/>
  <c r="B18811" i="3"/>
  <c r="A18811" i="3"/>
  <c r="B18810" i="3"/>
  <c r="A18810" i="3"/>
  <c r="B18809" i="3"/>
  <c r="A18809" i="3"/>
  <c r="B18808" i="3"/>
  <c r="A18808" i="3"/>
  <c r="B18807" i="3"/>
  <c r="A18807" i="3"/>
  <c r="B18806" i="3"/>
  <c r="A18806" i="3"/>
  <c r="B18805" i="3"/>
  <c r="A18805" i="3"/>
  <c r="B18804" i="3"/>
  <c r="A18804" i="3"/>
  <c r="B18803" i="3"/>
  <c r="A18803" i="3"/>
  <c r="B18802" i="3"/>
  <c r="A18802" i="3"/>
  <c r="B18801" i="3"/>
  <c r="A18801" i="3"/>
  <c r="B18800" i="3"/>
  <c r="A18800" i="3"/>
  <c r="B18799" i="3"/>
  <c r="A18799" i="3"/>
  <c r="B18798" i="3"/>
  <c r="A18798" i="3"/>
  <c r="B18797" i="3"/>
  <c r="A18797" i="3"/>
  <c r="B18796" i="3"/>
  <c r="A18796" i="3"/>
  <c r="B18795" i="3"/>
  <c r="A18795" i="3"/>
  <c r="B18794" i="3"/>
  <c r="A18794" i="3"/>
  <c r="B18793" i="3"/>
  <c r="A18793" i="3"/>
  <c r="B18792" i="3"/>
  <c r="A18792" i="3"/>
  <c r="B18791" i="3"/>
  <c r="A18791" i="3"/>
  <c r="B18790" i="3"/>
  <c r="A18790" i="3"/>
  <c r="B18789" i="3"/>
  <c r="A18789" i="3"/>
  <c r="B18788" i="3"/>
  <c r="A18788" i="3"/>
  <c r="B18787" i="3"/>
  <c r="A18787" i="3"/>
  <c r="B18786" i="3"/>
  <c r="A18786" i="3"/>
  <c r="B18785" i="3"/>
  <c r="A18785" i="3"/>
  <c r="B18784" i="3"/>
  <c r="A18784" i="3"/>
  <c r="B18783" i="3"/>
  <c r="A18783" i="3"/>
  <c r="B18782" i="3"/>
  <c r="A18782" i="3"/>
  <c r="B18781" i="3"/>
  <c r="A18781" i="3"/>
  <c r="B18780" i="3"/>
  <c r="A18780" i="3"/>
  <c r="B18779" i="3"/>
  <c r="A18779" i="3"/>
  <c r="B18778" i="3"/>
  <c r="A18778" i="3"/>
  <c r="B18777" i="3"/>
  <c r="A18777" i="3"/>
  <c r="B18776" i="3"/>
  <c r="A18776" i="3"/>
  <c r="B18775" i="3"/>
  <c r="A18775" i="3"/>
  <c r="B18774" i="3"/>
  <c r="A18774" i="3"/>
  <c r="B18773" i="3"/>
  <c r="A18773" i="3"/>
  <c r="B18772" i="3"/>
  <c r="A18772" i="3"/>
  <c r="B18771" i="3"/>
  <c r="A18771" i="3"/>
  <c r="B18770" i="3"/>
  <c r="A18770" i="3"/>
  <c r="B18769" i="3"/>
  <c r="A18769" i="3"/>
  <c r="B18768" i="3"/>
  <c r="A18768" i="3"/>
  <c r="B18767" i="3"/>
  <c r="A18767" i="3"/>
  <c r="B18766" i="3"/>
  <c r="A18766" i="3"/>
  <c r="B18765" i="3"/>
  <c r="A18765" i="3"/>
  <c r="B18764" i="3"/>
  <c r="A18764" i="3"/>
  <c r="B18763" i="3"/>
  <c r="A18763" i="3"/>
  <c r="B18762" i="3"/>
  <c r="A18762" i="3"/>
  <c r="B18761" i="3"/>
  <c r="A18761" i="3"/>
  <c r="B18760" i="3"/>
  <c r="A18760" i="3"/>
  <c r="B18759" i="3"/>
  <c r="A18759" i="3"/>
  <c r="B18758" i="3"/>
  <c r="A18758" i="3"/>
  <c r="B18757" i="3"/>
  <c r="A18757" i="3"/>
  <c r="B18756" i="3"/>
  <c r="A18756" i="3"/>
  <c r="B18755" i="3"/>
  <c r="A18755" i="3"/>
  <c r="B18754" i="3"/>
  <c r="A18754" i="3"/>
  <c r="B18753" i="3"/>
  <c r="A18753" i="3"/>
  <c r="B18752" i="3"/>
  <c r="A18752" i="3"/>
  <c r="B18751" i="3"/>
  <c r="A18751" i="3"/>
  <c r="B18750" i="3"/>
  <c r="A18750" i="3"/>
  <c r="B18749" i="3"/>
  <c r="A18749" i="3"/>
  <c r="B18748" i="3"/>
  <c r="A18748" i="3"/>
  <c r="B18747" i="3"/>
  <c r="A18747" i="3"/>
  <c r="B18746" i="3"/>
  <c r="A18746" i="3"/>
  <c r="B18745" i="3"/>
  <c r="A18745" i="3"/>
  <c r="B18744" i="3"/>
  <c r="A18744" i="3"/>
  <c r="B18743" i="3"/>
  <c r="A18743" i="3"/>
  <c r="B18742" i="3"/>
  <c r="A18742" i="3"/>
  <c r="B18741" i="3"/>
  <c r="A18741" i="3"/>
  <c r="B18740" i="3"/>
  <c r="A18740" i="3"/>
  <c r="B18739" i="3"/>
  <c r="A18739" i="3"/>
  <c r="B18738" i="3"/>
  <c r="A18738" i="3"/>
  <c r="B18737" i="3"/>
  <c r="A18737" i="3"/>
  <c r="B18736" i="3"/>
  <c r="A18736" i="3"/>
  <c r="B18735" i="3"/>
  <c r="A18735" i="3"/>
  <c r="B18734" i="3"/>
  <c r="A18734" i="3"/>
  <c r="B18733" i="3"/>
  <c r="A18733" i="3"/>
  <c r="B18732" i="3"/>
  <c r="A18732" i="3"/>
  <c r="B18731" i="3"/>
  <c r="A18731" i="3"/>
  <c r="B18730" i="3"/>
  <c r="A18730" i="3"/>
  <c r="B18729" i="3"/>
  <c r="A18729" i="3"/>
  <c r="B18728" i="3"/>
  <c r="A18728" i="3"/>
  <c r="B18727" i="3"/>
  <c r="A18727" i="3"/>
  <c r="B18726" i="3"/>
  <c r="A18726" i="3"/>
  <c r="B18725" i="3"/>
  <c r="A18725" i="3"/>
  <c r="B18724" i="3"/>
  <c r="A18724" i="3"/>
  <c r="B18723" i="3"/>
  <c r="A18723" i="3"/>
  <c r="B18722" i="3"/>
  <c r="A18722" i="3"/>
  <c r="B18721" i="3"/>
  <c r="A18721" i="3"/>
  <c r="B18720" i="3"/>
  <c r="A18720" i="3"/>
  <c r="B18719" i="3"/>
  <c r="A18719" i="3"/>
  <c r="B18718" i="3"/>
  <c r="A18718" i="3"/>
  <c r="B18717" i="3"/>
  <c r="A18717" i="3"/>
  <c r="B18716" i="3"/>
  <c r="A18716" i="3"/>
  <c r="B18715" i="3"/>
  <c r="A18715" i="3"/>
  <c r="B18714" i="3"/>
  <c r="A18714" i="3"/>
  <c r="B18713" i="3"/>
  <c r="A18713" i="3"/>
  <c r="B18712" i="3"/>
  <c r="A18712" i="3"/>
  <c r="B18711" i="3"/>
  <c r="A18711" i="3"/>
  <c r="B18710" i="3"/>
  <c r="A18710" i="3"/>
  <c r="B18709" i="3"/>
  <c r="A18709" i="3"/>
  <c r="B18708" i="3"/>
  <c r="A18708" i="3"/>
  <c r="B18707" i="3"/>
  <c r="A18707" i="3"/>
  <c r="B18706" i="3"/>
  <c r="A18706" i="3"/>
  <c r="B18705" i="3"/>
  <c r="A18705" i="3"/>
  <c r="B18704" i="3"/>
  <c r="A18704" i="3"/>
  <c r="B18703" i="3"/>
  <c r="A18703" i="3"/>
  <c r="B18702" i="3"/>
  <c r="A18702" i="3"/>
  <c r="B18701" i="3"/>
  <c r="A18701" i="3"/>
  <c r="B18700" i="3"/>
  <c r="A18700" i="3"/>
  <c r="B18699" i="3"/>
  <c r="A18699" i="3"/>
  <c r="B18698" i="3"/>
  <c r="A18698" i="3"/>
  <c r="B18697" i="3"/>
  <c r="A18697" i="3"/>
  <c r="B18696" i="3"/>
  <c r="A18696" i="3"/>
  <c r="B18695" i="3"/>
  <c r="A18695" i="3"/>
  <c r="B18694" i="3"/>
  <c r="A18694" i="3"/>
  <c r="B18693" i="3"/>
  <c r="A18693" i="3"/>
  <c r="B18692" i="3"/>
  <c r="A18692" i="3"/>
  <c r="B18691" i="3"/>
  <c r="A18691" i="3"/>
  <c r="B18690" i="3"/>
  <c r="A18690" i="3"/>
  <c r="B18689" i="3"/>
  <c r="A18689" i="3"/>
  <c r="B18688" i="3"/>
  <c r="A18688" i="3"/>
  <c r="B18687" i="3"/>
  <c r="A18687" i="3"/>
  <c r="B18686" i="3"/>
  <c r="A18686" i="3"/>
  <c r="B18685" i="3"/>
  <c r="A18685" i="3"/>
  <c r="B18684" i="3"/>
  <c r="A18684" i="3"/>
  <c r="B18683" i="3"/>
  <c r="A18683" i="3"/>
  <c r="B18682" i="3"/>
  <c r="A18682" i="3"/>
  <c r="B18681" i="3"/>
  <c r="A18681" i="3"/>
  <c r="B18680" i="3"/>
  <c r="A18680" i="3"/>
  <c r="B18679" i="3"/>
  <c r="A18679" i="3"/>
  <c r="B18678" i="3"/>
  <c r="A18678" i="3"/>
  <c r="B18677" i="3"/>
  <c r="A18677" i="3"/>
  <c r="B18676" i="3"/>
  <c r="A18676" i="3"/>
  <c r="B18675" i="3"/>
  <c r="A18675" i="3"/>
  <c r="B18674" i="3"/>
  <c r="A18674" i="3"/>
  <c r="B18673" i="3"/>
  <c r="A18673" i="3"/>
  <c r="B18672" i="3"/>
  <c r="A18672" i="3"/>
  <c r="B18671" i="3"/>
  <c r="A18671" i="3"/>
  <c r="B18670" i="3"/>
  <c r="A18670" i="3"/>
  <c r="B18669" i="3"/>
  <c r="A18669" i="3"/>
  <c r="B18668" i="3"/>
  <c r="A18668" i="3"/>
  <c r="B18667" i="3"/>
  <c r="A18667" i="3"/>
  <c r="B18666" i="3"/>
  <c r="A18666" i="3"/>
  <c r="B18665" i="3"/>
  <c r="A18665" i="3"/>
  <c r="B18664" i="3"/>
  <c r="A18664" i="3"/>
  <c r="B18663" i="3"/>
  <c r="A18663" i="3"/>
  <c r="B18662" i="3"/>
  <c r="A18662" i="3"/>
  <c r="B18661" i="3"/>
  <c r="A18661" i="3"/>
  <c r="B18660" i="3"/>
  <c r="A18660" i="3"/>
  <c r="B18659" i="3"/>
  <c r="A18659" i="3"/>
  <c r="B18658" i="3"/>
  <c r="A18658" i="3"/>
  <c r="B18657" i="3"/>
  <c r="A18657" i="3"/>
  <c r="B18656" i="3"/>
  <c r="A18656" i="3"/>
  <c r="B18655" i="3"/>
  <c r="A18655" i="3"/>
  <c r="B18654" i="3"/>
  <c r="A18654" i="3"/>
  <c r="B18653" i="3"/>
  <c r="A18653" i="3"/>
  <c r="B18652" i="3"/>
  <c r="A18652" i="3"/>
  <c r="B18651" i="3"/>
  <c r="A18651" i="3"/>
  <c r="B18650" i="3"/>
  <c r="A18650" i="3"/>
  <c r="B18649" i="3"/>
  <c r="A18649" i="3"/>
  <c r="B18648" i="3"/>
  <c r="A18648" i="3"/>
  <c r="B18647" i="3"/>
  <c r="A18647" i="3"/>
  <c r="B18646" i="3"/>
  <c r="A18646" i="3"/>
  <c r="B18645" i="3"/>
  <c r="A18645" i="3"/>
  <c r="B18644" i="3"/>
  <c r="A18644" i="3"/>
  <c r="B18643" i="3"/>
  <c r="A18643" i="3"/>
  <c r="B18642" i="3"/>
  <c r="A18642" i="3"/>
  <c r="B18641" i="3"/>
  <c r="A18641" i="3"/>
  <c r="B18640" i="3"/>
  <c r="A18640" i="3"/>
  <c r="B18639" i="3"/>
  <c r="A18639" i="3"/>
  <c r="B18638" i="3"/>
  <c r="A18638" i="3"/>
  <c r="B18637" i="3"/>
  <c r="A18637" i="3"/>
  <c r="B18636" i="3"/>
  <c r="A18636" i="3"/>
  <c r="B18635" i="3"/>
  <c r="A18635" i="3"/>
  <c r="B18634" i="3"/>
  <c r="A18634" i="3"/>
  <c r="B18633" i="3"/>
  <c r="A18633" i="3"/>
  <c r="B18632" i="3"/>
  <c r="A18632" i="3"/>
  <c r="B18631" i="3"/>
  <c r="A18631" i="3"/>
  <c r="B18630" i="3"/>
  <c r="A18630" i="3"/>
  <c r="B18629" i="3"/>
  <c r="A18629" i="3"/>
  <c r="B18628" i="3"/>
  <c r="A18628" i="3"/>
  <c r="B18627" i="3"/>
  <c r="A18627" i="3"/>
  <c r="B18626" i="3"/>
  <c r="A18626" i="3"/>
  <c r="B18625" i="3"/>
  <c r="A18625" i="3"/>
  <c r="B18624" i="3"/>
  <c r="A18624" i="3"/>
  <c r="B18623" i="3"/>
  <c r="A18623" i="3"/>
  <c r="B18622" i="3"/>
  <c r="A18622" i="3"/>
  <c r="B18621" i="3"/>
  <c r="A18621" i="3"/>
  <c r="B18620" i="3"/>
  <c r="A18620" i="3"/>
  <c r="B18619" i="3"/>
  <c r="A18619" i="3"/>
  <c r="B18618" i="3"/>
  <c r="A18618" i="3"/>
  <c r="B18617" i="3"/>
  <c r="A18617" i="3"/>
  <c r="B18616" i="3"/>
  <c r="A18616" i="3"/>
  <c r="B18615" i="3"/>
  <c r="A18615" i="3"/>
  <c r="B18614" i="3"/>
  <c r="A18614" i="3"/>
  <c r="B18613" i="3"/>
  <c r="A18613" i="3"/>
  <c r="B18612" i="3"/>
  <c r="A18612" i="3"/>
  <c r="B18611" i="3"/>
  <c r="A18611" i="3"/>
  <c r="B18610" i="3"/>
  <c r="A18610" i="3"/>
  <c r="B18609" i="3"/>
  <c r="A18609" i="3"/>
  <c r="B18608" i="3"/>
  <c r="A18608" i="3"/>
  <c r="B18607" i="3"/>
  <c r="A18607" i="3"/>
  <c r="B18606" i="3"/>
  <c r="A18606" i="3"/>
  <c r="B18605" i="3"/>
  <c r="A18605" i="3"/>
  <c r="B18604" i="3"/>
  <c r="A18604" i="3"/>
  <c r="B18603" i="3"/>
  <c r="A18603" i="3"/>
  <c r="B18602" i="3"/>
  <c r="A18602" i="3"/>
  <c r="B18601" i="3"/>
  <c r="A18601" i="3"/>
  <c r="B18600" i="3"/>
  <c r="A18600" i="3"/>
  <c r="B18599" i="3"/>
  <c r="A18599" i="3"/>
  <c r="B18598" i="3"/>
  <c r="A18598" i="3"/>
  <c r="B18597" i="3"/>
  <c r="A18597" i="3"/>
  <c r="B18596" i="3"/>
  <c r="A18596" i="3"/>
  <c r="B18595" i="3"/>
  <c r="A18595" i="3"/>
  <c r="B18594" i="3"/>
  <c r="A18594" i="3"/>
  <c r="B18593" i="3"/>
  <c r="A18593" i="3"/>
  <c r="B18592" i="3"/>
  <c r="A18592" i="3"/>
  <c r="B18591" i="3"/>
  <c r="A18591" i="3"/>
  <c r="B18590" i="3"/>
  <c r="A18590" i="3"/>
  <c r="B18589" i="3"/>
  <c r="A18589" i="3"/>
  <c r="B18588" i="3"/>
  <c r="A18588" i="3"/>
  <c r="B18587" i="3"/>
  <c r="A18587" i="3"/>
  <c r="B18586" i="3"/>
  <c r="A18586" i="3"/>
  <c r="B18585" i="3"/>
  <c r="A18585" i="3"/>
  <c r="B18584" i="3"/>
  <c r="A18584" i="3"/>
  <c r="B18583" i="3"/>
  <c r="A18583" i="3"/>
  <c r="B18582" i="3"/>
  <c r="A18582" i="3"/>
  <c r="B18581" i="3"/>
  <c r="A18581" i="3"/>
  <c r="B18580" i="3"/>
  <c r="A18580" i="3"/>
  <c r="B18579" i="3"/>
  <c r="A18579" i="3"/>
  <c r="B18578" i="3"/>
  <c r="A18578" i="3"/>
  <c r="B18577" i="3"/>
  <c r="A18577" i="3"/>
  <c r="B18576" i="3"/>
  <c r="A18576" i="3"/>
  <c r="B18575" i="3"/>
  <c r="A18575" i="3"/>
  <c r="B18574" i="3"/>
  <c r="A18574" i="3"/>
  <c r="B18573" i="3"/>
  <c r="A18573" i="3"/>
  <c r="B18572" i="3"/>
  <c r="A18572" i="3"/>
  <c r="B18571" i="3"/>
  <c r="A18571" i="3"/>
  <c r="B18570" i="3"/>
  <c r="A18570" i="3"/>
  <c r="B18569" i="3"/>
  <c r="A18569" i="3"/>
  <c r="B18568" i="3"/>
  <c r="A18568" i="3"/>
  <c r="B18567" i="3"/>
  <c r="A18567" i="3"/>
  <c r="B18566" i="3"/>
  <c r="A18566" i="3"/>
  <c r="B18565" i="3"/>
  <c r="A18565" i="3"/>
  <c r="B18564" i="3"/>
  <c r="A18564" i="3"/>
  <c r="B18563" i="3"/>
  <c r="A18563" i="3"/>
  <c r="B18562" i="3"/>
  <c r="A18562" i="3"/>
  <c r="B18561" i="3"/>
  <c r="A18561" i="3"/>
  <c r="B18560" i="3"/>
  <c r="A18560" i="3"/>
  <c r="B18559" i="3"/>
  <c r="A18559" i="3"/>
  <c r="B18558" i="3"/>
  <c r="A18558" i="3"/>
  <c r="B18557" i="3"/>
  <c r="A18557" i="3"/>
  <c r="B18556" i="3"/>
  <c r="A18556" i="3"/>
  <c r="B18555" i="3"/>
  <c r="B18554" i="3"/>
  <c r="A18554" i="3"/>
  <c r="B18553" i="3"/>
  <c r="A18553" i="3"/>
  <c r="B18552" i="3"/>
  <c r="A18552" i="3"/>
  <c r="B18551" i="3"/>
  <c r="A18551" i="3"/>
  <c r="B18550" i="3"/>
  <c r="A18550" i="3"/>
  <c r="B18549" i="3"/>
  <c r="A18549" i="3"/>
  <c r="B18548" i="3"/>
  <c r="A18548" i="3"/>
  <c r="B18547" i="3"/>
  <c r="A18547" i="3"/>
  <c r="B18546" i="3"/>
  <c r="A18546" i="3"/>
  <c r="B18545" i="3"/>
  <c r="A18545" i="3"/>
  <c r="B18544" i="3"/>
  <c r="A18544" i="3"/>
  <c r="B18543" i="3"/>
  <c r="A18543" i="3"/>
  <c r="B18542" i="3"/>
  <c r="A18542" i="3"/>
  <c r="B18541" i="3"/>
  <c r="A18541" i="3"/>
  <c r="B18540" i="3"/>
  <c r="A18540" i="3"/>
  <c r="B18539" i="3"/>
  <c r="A18539" i="3"/>
  <c r="B18538" i="3"/>
  <c r="A18538" i="3"/>
  <c r="B18537" i="3"/>
  <c r="A18537" i="3"/>
  <c r="B18536" i="3"/>
  <c r="A18536" i="3"/>
  <c r="B18535" i="3"/>
  <c r="A18535" i="3"/>
  <c r="B18534" i="3"/>
  <c r="A18534" i="3"/>
  <c r="B18533" i="3"/>
  <c r="A18533" i="3"/>
  <c r="B18532" i="3"/>
  <c r="A18532" i="3"/>
  <c r="B18531" i="3"/>
  <c r="A18531" i="3"/>
  <c r="B18530" i="3"/>
  <c r="A18530" i="3"/>
  <c r="B18529" i="3"/>
  <c r="A18529" i="3"/>
  <c r="B18528" i="3"/>
  <c r="A18528" i="3"/>
  <c r="B18527" i="3"/>
  <c r="A18527" i="3"/>
  <c r="B18526" i="3"/>
  <c r="A18526" i="3"/>
  <c r="B18525" i="3"/>
  <c r="B18524" i="3"/>
  <c r="A18524" i="3"/>
  <c r="B18523" i="3"/>
  <c r="A18523" i="3"/>
  <c r="B18522" i="3"/>
  <c r="A18522" i="3"/>
  <c r="B18521" i="3"/>
  <c r="A18521" i="3"/>
  <c r="B18520" i="3"/>
  <c r="A18520" i="3"/>
  <c r="B18519" i="3"/>
  <c r="A18519" i="3"/>
  <c r="B18518" i="3"/>
  <c r="A18518" i="3"/>
  <c r="B18517" i="3"/>
  <c r="A18517" i="3"/>
  <c r="B18516" i="3"/>
  <c r="A18516" i="3"/>
  <c r="B18515" i="3"/>
  <c r="A18515" i="3"/>
  <c r="B18514" i="3"/>
  <c r="A18514" i="3"/>
  <c r="B18513" i="3"/>
  <c r="A18513" i="3"/>
  <c r="B18512" i="3"/>
  <c r="A18512" i="3"/>
  <c r="B18511" i="3"/>
  <c r="A18511" i="3"/>
  <c r="B18510" i="3"/>
  <c r="A18510" i="3"/>
  <c r="B18509" i="3"/>
  <c r="A18509" i="3"/>
  <c r="B18508" i="3"/>
  <c r="A18508" i="3"/>
  <c r="B18507" i="3"/>
  <c r="A18507" i="3"/>
  <c r="B18506" i="3"/>
  <c r="A18506" i="3"/>
  <c r="B18505" i="3"/>
  <c r="A18505" i="3"/>
  <c r="B18504" i="3"/>
  <c r="A18504" i="3"/>
  <c r="B18503" i="3"/>
  <c r="A18503" i="3"/>
  <c r="B18502" i="3"/>
  <c r="A18502" i="3"/>
  <c r="B18501" i="3"/>
  <c r="A18501" i="3"/>
  <c r="B18500" i="3"/>
  <c r="A18500" i="3"/>
  <c r="B18499" i="3"/>
  <c r="A18499" i="3"/>
  <c r="B18498" i="3"/>
  <c r="A18498" i="3"/>
  <c r="B18497" i="3"/>
  <c r="A18497" i="3"/>
  <c r="B18496" i="3"/>
  <c r="A18496" i="3"/>
  <c r="B18495" i="3"/>
  <c r="A18495" i="3"/>
  <c r="B18494" i="3"/>
  <c r="A18494" i="3"/>
  <c r="B18493" i="3"/>
  <c r="A18493" i="3"/>
  <c r="B18492" i="3"/>
  <c r="A18492" i="3"/>
  <c r="B18491" i="3"/>
  <c r="A18491" i="3"/>
  <c r="B18490" i="3"/>
  <c r="A18490" i="3"/>
  <c r="B18489" i="3"/>
  <c r="A18489" i="3"/>
  <c r="B18488" i="3"/>
  <c r="A18488" i="3"/>
  <c r="B18487" i="3"/>
  <c r="A18487" i="3"/>
  <c r="B18486" i="3"/>
  <c r="A18486" i="3"/>
  <c r="B18485" i="3"/>
  <c r="A18485" i="3"/>
  <c r="B18484" i="3"/>
  <c r="A18484" i="3"/>
  <c r="B18483" i="3"/>
  <c r="A18483" i="3"/>
  <c r="B18482" i="3"/>
  <c r="A18482" i="3"/>
  <c r="B18481" i="3"/>
  <c r="A18481" i="3"/>
  <c r="B18480" i="3"/>
  <c r="A18480" i="3"/>
  <c r="B18479" i="3"/>
  <c r="A18479" i="3"/>
  <c r="B18478" i="3"/>
  <c r="A18478" i="3"/>
  <c r="B18477" i="3"/>
  <c r="A18477" i="3"/>
  <c r="B18476" i="3"/>
  <c r="A18476" i="3"/>
  <c r="B18475" i="3"/>
  <c r="A18475" i="3"/>
  <c r="B18474" i="3"/>
  <c r="A18474" i="3"/>
  <c r="B18473" i="3"/>
  <c r="A18473" i="3"/>
  <c r="B18472" i="3"/>
  <c r="A18472" i="3"/>
  <c r="B18471" i="3"/>
  <c r="A18471" i="3"/>
  <c r="B18470" i="3"/>
  <c r="A18470" i="3"/>
  <c r="B18469" i="3"/>
  <c r="A18469" i="3"/>
  <c r="B18468" i="3"/>
  <c r="A18468" i="3"/>
  <c r="B18467" i="3"/>
  <c r="A18467" i="3"/>
  <c r="B18466" i="3"/>
  <c r="A18466" i="3"/>
  <c r="B18465" i="3"/>
  <c r="A18465" i="3"/>
  <c r="B18464" i="3"/>
  <c r="A18464" i="3"/>
  <c r="B18463" i="3"/>
  <c r="A18463" i="3"/>
  <c r="B18462" i="3"/>
  <c r="A18462" i="3"/>
  <c r="B18461" i="3"/>
  <c r="A18461" i="3"/>
  <c r="B18460" i="3"/>
  <c r="A18460" i="3"/>
  <c r="B18459" i="3"/>
  <c r="A18459" i="3"/>
  <c r="B18458" i="3"/>
  <c r="A18458" i="3"/>
  <c r="B18457" i="3"/>
  <c r="A18457" i="3"/>
  <c r="B18456" i="3"/>
  <c r="A18456" i="3"/>
  <c r="B18455" i="3"/>
  <c r="A18455" i="3"/>
  <c r="B18454" i="3"/>
  <c r="A18454" i="3"/>
  <c r="B18453" i="3"/>
  <c r="A18453" i="3"/>
  <c r="B18452" i="3"/>
  <c r="A18452" i="3"/>
  <c r="B18451" i="3"/>
  <c r="A18451" i="3"/>
  <c r="B18450" i="3"/>
  <c r="A18450" i="3"/>
  <c r="B18449" i="3"/>
  <c r="A18449" i="3"/>
  <c r="B18448" i="3"/>
  <c r="A18448" i="3"/>
  <c r="B18447" i="3"/>
  <c r="A18447" i="3"/>
  <c r="B18446" i="3"/>
  <c r="A18446" i="3"/>
  <c r="B18445" i="3"/>
  <c r="A18445" i="3"/>
  <c r="B18444" i="3"/>
  <c r="A18444" i="3"/>
  <c r="B18443" i="3"/>
  <c r="A18443" i="3"/>
  <c r="B18442" i="3"/>
  <c r="A18442" i="3"/>
  <c r="B18441" i="3"/>
  <c r="A18441" i="3"/>
  <c r="B18440" i="3"/>
  <c r="A18440" i="3"/>
  <c r="B18439" i="3"/>
  <c r="A18439" i="3"/>
  <c r="B18438" i="3"/>
  <c r="A18438" i="3"/>
  <c r="B18437" i="3"/>
  <c r="A18437" i="3"/>
  <c r="B18436" i="3"/>
  <c r="A18436" i="3"/>
  <c r="B18435" i="3"/>
  <c r="A18435" i="3"/>
  <c r="B18434" i="3"/>
  <c r="A18434" i="3"/>
  <c r="B18433" i="3"/>
  <c r="A18433" i="3"/>
  <c r="B18432" i="3"/>
  <c r="A18432" i="3"/>
  <c r="B18431" i="3"/>
  <c r="A18431" i="3"/>
  <c r="B18430" i="3"/>
  <c r="A18430" i="3"/>
  <c r="B18429" i="3"/>
  <c r="A18429" i="3"/>
  <c r="B18428" i="3"/>
  <c r="A18428" i="3"/>
  <c r="B18427" i="3"/>
  <c r="A18427" i="3"/>
  <c r="B18426" i="3"/>
  <c r="A18426" i="3"/>
  <c r="B18425" i="3"/>
  <c r="A18425" i="3"/>
  <c r="B18424" i="3"/>
  <c r="A18424" i="3"/>
  <c r="B18423" i="3"/>
  <c r="A18423" i="3"/>
  <c r="B18422" i="3"/>
  <c r="A18422" i="3"/>
  <c r="B18421" i="3"/>
  <c r="A18421" i="3"/>
  <c r="B18420" i="3"/>
  <c r="A18420" i="3"/>
  <c r="B18419" i="3"/>
  <c r="A18419" i="3"/>
  <c r="B18418" i="3"/>
  <c r="A18418" i="3"/>
  <c r="B18417" i="3"/>
  <c r="A18417" i="3"/>
  <c r="B18416" i="3"/>
  <c r="A18416" i="3"/>
  <c r="B18415" i="3"/>
  <c r="A18415" i="3"/>
  <c r="B18414" i="3"/>
  <c r="A18414" i="3"/>
  <c r="B18413" i="3"/>
  <c r="A18413" i="3"/>
  <c r="B18412" i="3"/>
  <c r="A18412" i="3"/>
  <c r="B18411" i="3"/>
  <c r="A18411" i="3"/>
  <c r="B18410" i="3"/>
  <c r="B18409" i="3"/>
  <c r="A18409" i="3"/>
  <c r="B18408" i="3"/>
  <c r="A18408" i="3"/>
  <c r="B18407" i="3"/>
  <c r="A18407" i="3"/>
  <c r="B18406" i="3"/>
  <c r="A18406" i="3"/>
  <c r="B18405" i="3"/>
  <c r="A18405" i="3"/>
  <c r="B18404" i="3"/>
  <c r="A18404" i="3"/>
  <c r="B18403" i="3"/>
  <c r="A18403" i="3"/>
  <c r="B18402" i="3"/>
  <c r="A18402" i="3"/>
  <c r="B18401" i="3"/>
  <c r="A18401" i="3"/>
  <c r="B18400" i="3"/>
  <c r="A18400" i="3"/>
  <c r="B18399" i="3"/>
  <c r="A18399" i="3"/>
  <c r="B18398" i="3"/>
  <c r="A18398" i="3"/>
  <c r="B18397" i="3"/>
  <c r="A18397" i="3"/>
  <c r="B18396" i="3"/>
  <c r="A18396" i="3"/>
  <c r="B18395" i="3"/>
  <c r="A18395" i="3"/>
  <c r="B18394" i="3"/>
  <c r="A18394" i="3"/>
  <c r="B18393" i="3"/>
  <c r="A18393" i="3"/>
  <c r="B18392" i="3"/>
  <c r="A18392" i="3"/>
  <c r="B18391" i="3"/>
  <c r="A18391" i="3"/>
  <c r="B18390" i="3"/>
  <c r="A18390" i="3"/>
  <c r="B18389" i="3"/>
  <c r="A18389" i="3"/>
  <c r="B18388" i="3"/>
  <c r="A18388" i="3"/>
  <c r="B18387" i="3"/>
  <c r="A18387" i="3"/>
  <c r="B18386" i="3"/>
  <c r="A18386" i="3"/>
  <c r="B18385" i="3"/>
  <c r="A18385" i="3"/>
  <c r="B18384" i="3"/>
  <c r="A18384" i="3"/>
  <c r="B18383" i="3"/>
  <c r="A18383" i="3"/>
  <c r="B18382" i="3"/>
  <c r="A18382" i="3"/>
  <c r="B18381" i="3"/>
  <c r="A18381" i="3"/>
  <c r="B18380" i="3"/>
  <c r="A18380" i="3"/>
  <c r="B18379" i="3"/>
  <c r="A18379" i="3"/>
  <c r="B18378" i="3"/>
  <c r="A18378" i="3"/>
  <c r="B18377" i="3"/>
  <c r="A18377" i="3"/>
  <c r="B18376" i="3"/>
  <c r="A18376" i="3"/>
  <c r="B18375" i="3"/>
  <c r="A18375" i="3"/>
  <c r="B18374" i="3"/>
  <c r="A18374" i="3"/>
  <c r="B18373" i="3"/>
  <c r="A18373" i="3"/>
  <c r="B18372" i="3"/>
  <c r="A18372" i="3"/>
  <c r="B18371" i="3"/>
  <c r="A18371" i="3"/>
  <c r="B18370" i="3"/>
  <c r="A18370" i="3"/>
  <c r="B18369" i="3"/>
  <c r="A18369" i="3"/>
  <c r="B18368" i="3"/>
  <c r="A18368" i="3"/>
  <c r="B18367" i="3"/>
  <c r="A18367" i="3"/>
  <c r="B18366" i="3"/>
  <c r="A18366" i="3"/>
  <c r="B18365" i="3"/>
  <c r="A18365" i="3"/>
  <c r="B18364" i="3"/>
  <c r="A18364" i="3"/>
  <c r="B18363" i="3"/>
  <c r="A18363" i="3"/>
  <c r="B18362" i="3"/>
  <c r="A18362" i="3"/>
  <c r="B18361" i="3"/>
  <c r="A18361" i="3"/>
  <c r="B18360" i="3"/>
  <c r="A18360" i="3"/>
  <c r="B18359" i="3"/>
  <c r="A18359" i="3"/>
  <c r="B18358" i="3"/>
  <c r="A18358" i="3"/>
  <c r="B18357" i="3"/>
  <c r="A18357" i="3"/>
  <c r="B18356" i="3"/>
  <c r="A18356" i="3"/>
  <c r="B18355" i="3"/>
  <c r="A18355" i="3"/>
  <c r="B18354" i="3"/>
  <c r="A18354" i="3"/>
  <c r="B18353" i="3"/>
  <c r="A18353" i="3"/>
  <c r="B18352" i="3"/>
  <c r="A18352" i="3"/>
  <c r="B18351" i="3"/>
  <c r="A18351" i="3"/>
  <c r="B18350" i="3"/>
  <c r="A18350" i="3"/>
  <c r="B18349" i="3"/>
  <c r="A18349" i="3"/>
  <c r="B18348" i="3"/>
  <c r="A18348" i="3"/>
  <c r="B18347" i="3"/>
  <c r="A18347" i="3"/>
  <c r="B18346" i="3"/>
  <c r="A18346" i="3"/>
  <c r="B18345" i="3"/>
  <c r="A18345" i="3"/>
  <c r="B18344" i="3"/>
  <c r="A18344" i="3"/>
  <c r="B18343" i="3"/>
  <c r="A18343" i="3"/>
  <c r="B18342" i="3"/>
  <c r="A18342" i="3"/>
  <c r="B18341" i="3"/>
  <c r="A18341" i="3"/>
  <c r="B18340" i="3"/>
  <c r="A18340" i="3"/>
  <c r="B18339" i="3"/>
  <c r="A18339" i="3"/>
  <c r="B18338" i="3"/>
  <c r="A18338" i="3"/>
  <c r="B18337" i="3"/>
  <c r="A18337" i="3"/>
  <c r="B18336" i="3"/>
  <c r="A18336" i="3"/>
  <c r="B18335" i="3"/>
  <c r="A18335" i="3"/>
  <c r="B18334" i="3"/>
  <c r="A18334" i="3"/>
  <c r="B18333" i="3"/>
  <c r="A18333" i="3"/>
  <c r="B18332" i="3"/>
  <c r="A18332" i="3"/>
  <c r="B18331" i="3"/>
  <c r="A18331" i="3"/>
  <c r="B18330" i="3"/>
  <c r="A18330" i="3"/>
  <c r="B18329" i="3"/>
  <c r="A18329" i="3"/>
  <c r="B18328" i="3"/>
  <c r="A18328" i="3"/>
  <c r="B18327" i="3"/>
  <c r="A18327" i="3"/>
  <c r="B18326" i="3"/>
  <c r="A18326" i="3"/>
  <c r="B18325" i="3"/>
  <c r="A18325" i="3"/>
  <c r="B18324" i="3"/>
  <c r="A18324" i="3"/>
  <c r="B18323" i="3"/>
  <c r="A18323" i="3"/>
  <c r="B18322" i="3"/>
  <c r="A18322" i="3"/>
  <c r="B18321" i="3"/>
  <c r="A18321" i="3"/>
  <c r="B18320" i="3"/>
  <c r="A18320" i="3"/>
  <c r="B18319" i="3"/>
  <c r="A18319" i="3"/>
  <c r="B18318" i="3"/>
  <c r="A18318" i="3"/>
  <c r="B18317" i="3"/>
  <c r="A18317" i="3"/>
  <c r="B18316" i="3"/>
  <c r="A18316" i="3"/>
  <c r="B18315" i="3"/>
  <c r="A18315" i="3"/>
  <c r="B18314" i="3"/>
  <c r="A18314" i="3"/>
  <c r="B18313" i="3"/>
  <c r="A18313" i="3"/>
  <c r="B18312" i="3"/>
  <c r="A18312" i="3"/>
  <c r="B18311" i="3"/>
  <c r="A18311" i="3"/>
  <c r="B18310" i="3"/>
  <c r="A18310" i="3"/>
  <c r="B18309" i="3"/>
  <c r="A18309" i="3"/>
  <c r="B18308" i="3"/>
  <c r="A18308" i="3"/>
  <c r="B18307" i="3"/>
  <c r="A18307" i="3"/>
  <c r="B18306" i="3"/>
  <c r="A18306" i="3"/>
  <c r="B18305" i="3"/>
  <c r="A18305" i="3"/>
  <c r="B18304" i="3"/>
  <c r="A18304" i="3"/>
  <c r="B18303" i="3"/>
  <c r="A18303" i="3"/>
  <c r="B18302" i="3"/>
  <c r="A18302" i="3"/>
  <c r="B18301" i="3"/>
  <c r="A18301" i="3"/>
  <c r="B18300" i="3"/>
  <c r="A18300" i="3"/>
  <c r="B18299" i="3"/>
  <c r="A18299" i="3"/>
  <c r="B18298" i="3"/>
  <c r="A18298" i="3"/>
  <c r="B18297" i="3"/>
  <c r="A18297" i="3"/>
  <c r="B18296" i="3"/>
  <c r="A18296" i="3"/>
  <c r="B18295" i="3"/>
  <c r="A18295" i="3"/>
  <c r="B18294" i="3"/>
  <c r="A18294" i="3"/>
  <c r="B18293" i="3"/>
  <c r="A18293" i="3"/>
  <c r="B18292" i="3"/>
  <c r="A18292" i="3"/>
  <c r="B18291" i="3"/>
  <c r="A18291" i="3"/>
  <c r="B18290" i="3"/>
  <c r="A18290" i="3"/>
  <c r="B18289" i="3"/>
  <c r="A18289" i="3"/>
  <c r="B18288" i="3"/>
  <c r="A18288" i="3"/>
  <c r="B18287" i="3"/>
  <c r="A18287" i="3"/>
  <c r="B18286" i="3"/>
  <c r="A18286" i="3"/>
  <c r="B18285" i="3"/>
  <c r="A18285" i="3"/>
  <c r="B18284" i="3"/>
  <c r="A18284" i="3"/>
  <c r="B18283" i="3"/>
  <c r="A18283" i="3"/>
  <c r="B18282" i="3"/>
  <c r="A18282" i="3"/>
  <c r="B18281" i="3"/>
  <c r="A18281" i="3"/>
  <c r="B18280" i="3"/>
  <c r="A18280" i="3"/>
  <c r="B18279" i="3"/>
  <c r="A18279" i="3"/>
  <c r="B18278" i="3"/>
  <c r="A18278" i="3"/>
  <c r="B18277" i="3"/>
  <c r="A18277" i="3"/>
  <c r="B18276" i="3"/>
  <c r="A18276" i="3"/>
  <c r="B18275" i="3"/>
  <c r="A18275" i="3"/>
  <c r="B18274" i="3"/>
  <c r="A18274" i="3"/>
  <c r="B18273" i="3"/>
  <c r="A18273" i="3"/>
  <c r="B18272" i="3"/>
  <c r="A18272" i="3"/>
  <c r="B18271" i="3"/>
  <c r="A18271" i="3"/>
  <c r="B18270" i="3"/>
  <c r="A18270" i="3"/>
  <c r="B18269" i="3"/>
  <c r="A18269" i="3"/>
  <c r="B18268" i="3"/>
  <c r="A18268" i="3"/>
  <c r="B18267" i="3"/>
  <c r="A18267" i="3"/>
  <c r="B18266" i="3"/>
  <c r="A18266" i="3"/>
  <c r="B18265" i="3"/>
  <c r="A18265" i="3"/>
  <c r="B18264" i="3"/>
  <c r="A18264" i="3"/>
  <c r="B18263" i="3"/>
  <c r="A18263" i="3"/>
  <c r="B18262" i="3"/>
  <c r="A18262" i="3"/>
  <c r="B18261" i="3"/>
  <c r="A18261" i="3"/>
  <c r="B18260" i="3"/>
  <c r="A18260" i="3"/>
  <c r="B18259" i="3"/>
  <c r="A18259" i="3"/>
  <c r="B18258" i="3"/>
  <c r="A18258" i="3"/>
  <c r="B18257" i="3"/>
  <c r="A18257" i="3"/>
  <c r="B18256" i="3"/>
  <c r="A18256" i="3"/>
  <c r="B18255" i="3"/>
  <c r="A18255" i="3"/>
  <c r="B18254" i="3"/>
  <c r="A18254" i="3"/>
  <c r="B18253" i="3"/>
  <c r="A18253" i="3"/>
  <c r="B18252" i="3"/>
  <c r="A18252" i="3"/>
  <c r="B18251" i="3"/>
  <c r="A18251" i="3"/>
  <c r="B18250" i="3"/>
  <c r="A18250" i="3"/>
  <c r="B18249" i="3"/>
  <c r="A18249" i="3"/>
  <c r="B18248" i="3"/>
  <c r="A18248" i="3"/>
  <c r="B18247" i="3"/>
  <c r="A18247" i="3"/>
  <c r="B18246" i="3"/>
  <c r="A18246" i="3"/>
  <c r="B18245" i="3"/>
  <c r="A18245" i="3"/>
  <c r="B18244" i="3"/>
  <c r="A18244" i="3"/>
  <c r="B18243" i="3"/>
  <c r="A18243" i="3"/>
  <c r="B18242" i="3"/>
  <c r="A18242" i="3"/>
  <c r="B18241" i="3"/>
  <c r="A18241" i="3"/>
  <c r="B18240" i="3"/>
  <c r="A18240" i="3"/>
  <c r="B18239" i="3"/>
  <c r="A18239" i="3"/>
  <c r="B18238" i="3"/>
  <c r="A18238" i="3"/>
  <c r="B18237" i="3"/>
  <c r="A18237" i="3"/>
  <c r="B18236" i="3"/>
  <c r="A18236" i="3"/>
  <c r="B18235" i="3"/>
  <c r="B18234" i="3"/>
  <c r="A18234" i="3"/>
  <c r="B18233" i="3"/>
  <c r="A18233" i="3"/>
  <c r="B18232" i="3"/>
  <c r="A18232" i="3"/>
  <c r="B18231" i="3"/>
  <c r="A18231" i="3"/>
  <c r="B18230" i="3"/>
  <c r="A18230" i="3"/>
  <c r="B18229" i="3"/>
  <c r="A18229" i="3"/>
  <c r="B18228" i="3"/>
  <c r="A18228" i="3"/>
  <c r="B18227" i="3"/>
  <c r="A18227" i="3"/>
  <c r="B18226" i="3"/>
  <c r="A18226" i="3"/>
  <c r="B18225" i="3"/>
  <c r="A18225" i="3"/>
  <c r="B18224" i="3"/>
  <c r="A18224" i="3"/>
  <c r="B18223" i="3"/>
  <c r="A18223" i="3"/>
  <c r="B18222" i="3"/>
  <c r="A18222" i="3"/>
  <c r="B18221" i="3"/>
  <c r="A18221" i="3"/>
  <c r="B18220" i="3"/>
  <c r="A18220" i="3"/>
  <c r="B18219" i="3"/>
  <c r="A18219" i="3"/>
  <c r="B18218" i="3"/>
  <c r="A18218" i="3"/>
  <c r="B18217" i="3"/>
  <c r="A18217" i="3"/>
  <c r="B18216" i="3"/>
  <c r="A18216" i="3"/>
  <c r="B18215" i="3"/>
  <c r="A18215" i="3"/>
  <c r="B18214" i="3"/>
  <c r="A18214" i="3"/>
  <c r="B18213" i="3"/>
  <c r="A18213" i="3"/>
  <c r="B18212" i="3"/>
  <c r="A18212" i="3"/>
  <c r="B18211" i="3"/>
  <c r="A18211" i="3"/>
  <c r="B18210" i="3"/>
  <c r="A18210" i="3"/>
  <c r="B18209" i="3"/>
  <c r="A18209" i="3"/>
  <c r="B18208" i="3"/>
  <c r="A18208" i="3"/>
  <c r="B18207" i="3"/>
  <c r="A18207" i="3"/>
  <c r="B18206" i="3"/>
  <c r="A18206" i="3"/>
  <c r="B18205" i="3"/>
  <c r="A18205" i="3"/>
  <c r="B18204" i="3"/>
  <c r="A18204" i="3"/>
  <c r="B18203" i="3"/>
  <c r="A18203" i="3"/>
  <c r="B18202" i="3"/>
  <c r="A18202" i="3"/>
  <c r="B18201" i="3"/>
  <c r="A18201" i="3"/>
  <c r="B18200" i="3"/>
  <c r="A18200" i="3"/>
  <c r="B18199" i="3"/>
  <c r="A18199" i="3"/>
  <c r="B18198" i="3"/>
  <c r="A18198" i="3"/>
  <c r="B18197" i="3"/>
  <c r="A18197" i="3"/>
  <c r="B18196" i="3"/>
  <c r="A18196" i="3"/>
  <c r="B18195" i="3"/>
  <c r="A18195" i="3"/>
  <c r="B18194" i="3"/>
  <c r="A18194" i="3"/>
  <c r="B18193" i="3"/>
  <c r="A18193" i="3"/>
  <c r="B18192" i="3"/>
  <c r="A18192" i="3"/>
  <c r="B18191" i="3"/>
  <c r="A18191" i="3"/>
  <c r="B18190" i="3"/>
  <c r="A18190" i="3"/>
  <c r="B18189" i="3"/>
  <c r="A18189" i="3"/>
  <c r="B18188" i="3"/>
  <c r="A18188" i="3"/>
  <c r="B18187" i="3"/>
  <c r="A18187" i="3"/>
  <c r="B18186" i="3"/>
  <c r="A18186" i="3"/>
  <c r="B18185" i="3"/>
  <c r="A18185" i="3"/>
  <c r="B18184" i="3"/>
  <c r="A18184" i="3"/>
  <c r="B18183" i="3"/>
  <c r="A18183" i="3"/>
  <c r="B18182" i="3"/>
  <c r="A18182" i="3"/>
  <c r="B18181" i="3"/>
  <c r="A18181" i="3"/>
  <c r="B18180" i="3"/>
  <c r="A18180" i="3"/>
  <c r="B18179" i="3"/>
  <c r="A18179" i="3"/>
  <c r="B18178" i="3"/>
  <c r="A18178" i="3"/>
  <c r="B18177" i="3"/>
  <c r="A18177" i="3"/>
  <c r="B18176" i="3"/>
  <c r="A18176" i="3"/>
  <c r="B18175" i="3"/>
  <c r="A18175" i="3"/>
  <c r="B18174" i="3"/>
  <c r="A18174" i="3"/>
  <c r="B18173" i="3"/>
  <c r="A18173" i="3"/>
  <c r="B18172" i="3"/>
  <c r="A18172" i="3"/>
  <c r="B18171" i="3"/>
  <c r="A18171" i="3"/>
  <c r="B18170" i="3"/>
  <c r="A18170" i="3"/>
  <c r="B18169" i="3"/>
  <c r="A18169" i="3"/>
  <c r="B18168" i="3"/>
  <c r="A18168" i="3"/>
  <c r="B18167" i="3"/>
  <c r="A18167" i="3"/>
  <c r="B18166" i="3"/>
  <c r="A18166" i="3"/>
  <c r="B18165" i="3"/>
  <c r="A18165" i="3"/>
  <c r="B18164" i="3"/>
  <c r="A18164" i="3"/>
  <c r="B18163" i="3"/>
  <c r="A18163" i="3"/>
  <c r="B18162" i="3"/>
  <c r="A18162" i="3"/>
  <c r="B18161" i="3"/>
  <c r="A18161" i="3"/>
  <c r="B18160" i="3"/>
  <c r="A18160" i="3"/>
  <c r="B18159" i="3"/>
  <c r="A18159" i="3"/>
  <c r="B18158" i="3"/>
  <c r="A18158" i="3"/>
  <c r="B18157" i="3"/>
  <c r="A18157" i="3"/>
  <c r="B18156" i="3"/>
  <c r="A18156" i="3"/>
  <c r="B18155" i="3"/>
  <c r="A18155" i="3"/>
  <c r="B18154" i="3"/>
  <c r="A18154" i="3"/>
  <c r="B18153" i="3"/>
  <c r="A18153" i="3"/>
  <c r="B18152" i="3"/>
  <c r="A18152" i="3"/>
  <c r="B18151" i="3"/>
  <c r="A18151" i="3"/>
  <c r="B18150" i="3"/>
  <c r="A18150" i="3"/>
  <c r="B18149" i="3"/>
  <c r="A18149" i="3"/>
  <c r="B18148" i="3"/>
  <c r="A18148" i="3"/>
  <c r="B18147" i="3"/>
  <c r="A18147" i="3"/>
  <c r="B18146" i="3"/>
  <c r="A18146" i="3"/>
  <c r="B18145" i="3"/>
  <c r="A18145" i="3"/>
  <c r="B18144" i="3"/>
  <c r="A18144" i="3"/>
  <c r="B18143" i="3"/>
  <c r="A18143" i="3"/>
  <c r="B18142" i="3"/>
  <c r="A18142" i="3"/>
  <c r="B18141" i="3"/>
  <c r="A18141" i="3"/>
  <c r="B18140" i="3"/>
  <c r="A18140" i="3"/>
  <c r="B18139" i="3"/>
  <c r="A18139" i="3"/>
  <c r="B18138" i="3"/>
  <c r="A18138" i="3"/>
  <c r="B18137" i="3"/>
  <c r="A18137" i="3"/>
  <c r="B18136" i="3"/>
  <c r="A18136" i="3"/>
  <c r="B18135" i="3"/>
  <c r="A18135" i="3"/>
  <c r="B18134" i="3"/>
  <c r="A18134" i="3"/>
  <c r="B18133" i="3"/>
  <c r="A18133" i="3"/>
  <c r="B18132" i="3"/>
  <c r="A18132" i="3"/>
  <c r="B18131" i="3"/>
  <c r="A18131" i="3"/>
  <c r="B18130" i="3"/>
  <c r="A18130" i="3"/>
  <c r="B18129" i="3"/>
  <c r="A18129" i="3"/>
  <c r="B18128" i="3"/>
  <c r="A18128" i="3"/>
  <c r="B18127" i="3"/>
  <c r="A18127" i="3"/>
  <c r="B18126" i="3"/>
  <c r="A18126" i="3"/>
  <c r="B18125" i="3"/>
  <c r="A18125" i="3"/>
  <c r="B18124" i="3"/>
  <c r="A18124" i="3"/>
  <c r="B18123" i="3"/>
  <c r="A18123" i="3"/>
  <c r="B18122" i="3"/>
  <c r="A18122" i="3"/>
  <c r="B18121" i="3"/>
  <c r="A18121" i="3"/>
  <c r="B18120" i="3"/>
  <c r="A18120" i="3"/>
  <c r="B18119" i="3"/>
  <c r="A18119" i="3"/>
  <c r="B18118" i="3"/>
  <c r="A18118" i="3"/>
  <c r="B18117" i="3"/>
  <c r="A18117" i="3"/>
  <c r="B18116" i="3"/>
  <c r="A18116" i="3"/>
  <c r="B18115" i="3"/>
  <c r="A18115" i="3"/>
  <c r="B18114" i="3"/>
  <c r="A18114" i="3"/>
  <c r="B18113" i="3"/>
  <c r="A18113" i="3"/>
  <c r="B18112" i="3"/>
  <c r="A18112" i="3"/>
  <c r="B18111" i="3"/>
  <c r="A18111" i="3"/>
  <c r="B18110" i="3"/>
  <c r="A18110" i="3"/>
  <c r="B18109" i="3"/>
  <c r="A18109" i="3"/>
  <c r="B18108" i="3"/>
  <c r="A18108" i="3"/>
  <c r="B18107" i="3"/>
  <c r="A18107" i="3"/>
  <c r="B18106" i="3"/>
  <c r="A18106" i="3"/>
  <c r="B18105" i="3"/>
  <c r="A18105" i="3"/>
  <c r="B18104" i="3"/>
  <c r="A18104" i="3"/>
  <c r="B18103" i="3"/>
  <c r="A18103" i="3"/>
  <c r="B18102" i="3"/>
  <c r="A18102" i="3"/>
  <c r="B18101" i="3"/>
  <c r="A18101" i="3"/>
  <c r="B18100" i="3"/>
  <c r="A18100" i="3"/>
  <c r="B18099" i="3"/>
  <c r="A18099" i="3"/>
  <c r="B18098" i="3"/>
  <c r="A18098" i="3"/>
  <c r="B18097" i="3"/>
  <c r="A18097" i="3"/>
  <c r="B18096" i="3"/>
  <c r="A18096" i="3"/>
  <c r="B18095" i="3"/>
  <c r="A18095" i="3"/>
  <c r="B18094" i="3"/>
  <c r="A18094" i="3"/>
  <c r="B18093" i="3"/>
  <c r="A18093" i="3"/>
  <c r="B18092" i="3"/>
  <c r="A18092" i="3"/>
  <c r="B18091" i="3"/>
  <c r="A18091" i="3"/>
  <c r="B18090" i="3"/>
  <c r="A18090" i="3"/>
  <c r="B18089" i="3"/>
  <c r="A18089" i="3"/>
  <c r="B18088" i="3"/>
  <c r="A18088" i="3"/>
  <c r="B18087" i="3"/>
  <c r="A18087" i="3"/>
  <c r="B18086" i="3"/>
  <c r="A18086" i="3"/>
  <c r="B18085" i="3"/>
  <c r="A18085" i="3"/>
  <c r="B18084" i="3"/>
  <c r="A18084" i="3"/>
  <c r="B18083" i="3"/>
  <c r="A18083" i="3"/>
  <c r="B18082" i="3"/>
  <c r="A18082" i="3"/>
  <c r="B18081" i="3"/>
  <c r="A18081" i="3"/>
  <c r="B18080" i="3"/>
  <c r="A18080" i="3"/>
  <c r="B18079" i="3"/>
  <c r="A18079" i="3"/>
  <c r="B18078" i="3"/>
  <c r="A18078" i="3"/>
  <c r="B18077" i="3"/>
  <c r="A18077" i="3"/>
  <c r="B18076" i="3"/>
  <c r="A18076" i="3"/>
  <c r="B18075" i="3"/>
  <c r="A18075" i="3"/>
  <c r="B18074" i="3"/>
  <c r="A18074" i="3"/>
  <c r="B18073" i="3"/>
  <c r="A18073" i="3"/>
  <c r="B18072" i="3"/>
  <c r="A18072" i="3"/>
  <c r="B18071" i="3"/>
  <c r="A18071" i="3"/>
  <c r="B18070" i="3"/>
  <c r="A18070" i="3"/>
  <c r="B18069" i="3"/>
  <c r="A18069" i="3"/>
  <c r="B18068" i="3"/>
  <c r="A18068" i="3"/>
  <c r="B18067" i="3"/>
  <c r="A18067" i="3"/>
  <c r="B18066" i="3"/>
  <c r="A18066" i="3"/>
  <c r="B18065" i="3"/>
  <c r="A18065" i="3"/>
  <c r="B18064" i="3"/>
  <c r="A18064" i="3"/>
  <c r="B18063" i="3"/>
  <c r="A18063" i="3"/>
  <c r="B18062" i="3"/>
  <c r="A18062" i="3"/>
  <c r="B18061" i="3"/>
  <c r="A18061" i="3"/>
  <c r="B18060" i="3"/>
  <c r="A18060" i="3"/>
  <c r="B18059" i="3"/>
  <c r="A18059" i="3"/>
  <c r="B18058" i="3"/>
  <c r="A18058" i="3"/>
  <c r="B18057" i="3"/>
  <c r="A18057" i="3"/>
  <c r="B18056" i="3"/>
  <c r="A18056" i="3"/>
  <c r="B18055" i="3"/>
  <c r="A18055" i="3"/>
  <c r="B18054" i="3"/>
  <c r="B18053" i="3"/>
  <c r="A18053" i="3"/>
  <c r="B18052" i="3"/>
  <c r="A18052" i="3"/>
  <c r="B18051" i="3"/>
  <c r="A18051" i="3"/>
  <c r="B18050" i="3"/>
  <c r="A18050" i="3"/>
  <c r="B18049" i="3"/>
  <c r="A18049" i="3"/>
  <c r="B18048" i="3"/>
  <c r="A18048" i="3"/>
  <c r="B18047" i="3"/>
  <c r="A18047" i="3"/>
  <c r="B18046" i="3"/>
  <c r="A18046" i="3"/>
  <c r="B18045" i="3"/>
  <c r="B18044" i="3"/>
  <c r="A18044" i="3"/>
  <c r="B18043" i="3"/>
  <c r="A18043" i="3"/>
  <c r="B18042" i="3"/>
  <c r="A18042" i="3"/>
  <c r="B18041" i="3"/>
  <c r="A18041" i="3"/>
  <c r="B18040" i="3"/>
  <c r="A18040" i="3"/>
  <c r="B18039" i="3"/>
  <c r="A18039" i="3"/>
  <c r="B18038" i="3"/>
  <c r="A18038" i="3"/>
  <c r="B18037" i="3"/>
  <c r="A18037" i="3"/>
  <c r="B18036" i="3"/>
  <c r="A18036" i="3"/>
  <c r="B18035" i="3"/>
  <c r="A18035" i="3"/>
  <c r="B18034" i="3"/>
  <c r="A18034" i="3"/>
  <c r="B18033" i="3"/>
  <c r="A18033" i="3"/>
  <c r="B18032" i="3"/>
  <c r="A18032" i="3"/>
  <c r="B18031" i="3"/>
  <c r="A18031" i="3"/>
  <c r="B18030" i="3"/>
  <c r="A18030" i="3"/>
  <c r="B18029" i="3"/>
  <c r="A18029" i="3"/>
  <c r="B18028" i="3"/>
  <c r="A18028" i="3"/>
  <c r="B18027" i="3"/>
  <c r="A18027" i="3"/>
  <c r="B18026" i="3"/>
  <c r="A18026" i="3"/>
  <c r="B18025" i="3"/>
  <c r="A18025" i="3"/>
  <c r="B18024" i="3"/>
  <c r="A18024" i="3"/>
  <c r="B18023" i="3"/>
  <c r="A18023" i="3"/>
  <c r="B18022" i="3"/>
  <c r="A18022" i="3"/>
  <c r="B18021" i="3"/>
  <c r="B18020" i="3"/>
  <c r="A18020" i="3"/>
  <c r="B18019" i="3"/>
  <c r="A18019" i="3"/>
  <c r="B18018" i="3"/>
  <c r="A18018" i="3"/>
  <c r="B18017" i="3"/>
  <c r="A18017" i="3"/>
  <c r="B18016" i="3"/>
  <c r="A18016" i="3"/>
  <c r="B18015" i="3"/>
  <c r="A18015" i="3"/>
  <c r="B18014" i="3"/>
  <c r="A18014" i="3"/>
  <c r="B18013" i="3"/>
  <c r="A18013" i="3"/>
  <c r="B18012" i="3"/>
  <c r="A18012" i="3"/>
  <c r="B18011" i="3"/>
  <c r="A18011" i="3"/>
  <c r="B18010" i="3"/>
  <c r="A18010" i="3"/>
  <c r="B18009" i="3"/>
  <c r="A18009" i="3"/>
  <c r="B18008" i="3"/>
  <c r="A18008" i="3"/>
  <c r="B18007" i="3"/>
  <c r="A18007" i="3"/>
  <c r="B18006" i="3"/>
  <c r="A18006" i="3"/>
  <c r="B18005" i="3"/>
  <c r="A18005" i="3"/>
  <c r="B18004" i="3"/>
  <c r="A18004" i="3"/>
  <c r="B18003" i="3"/>
  <c r="A18003" i="3"/>
  <c r="B18002" i="3"/>
  <c r="A18002" i="3"/>
  <c r="B18001" i="3"/>
  <c r="A18001" i="3"/>
  <c r="B18000" i="3"/>
  <c r="A18000" i="3"/>
  <c r="B17999" i="3"/>
  <c r="A17999" i="3"/>
  <c r="B17998" i="3"/>
  <c r="A17998" i="3"/>
  <c r="B17997" i="3"/>
  <c r="A17997" i="3"/>
  <c r="B17996" i="3"/>
  <c r="A17996" i="3"/>
  <c r="B17995" i="3"/>
  <c r="A17995" i="3"/>
  <c r="B17994" i="3"/>
  <c r="A17994" i="3"/>
  <c r="B17993" i="3"/>
  <c r="A17993" i="3"/>
  <c r="B17992" i="3"/>
  <c r="A17992" i="3"/>
  <c r="B17991" i="3"/>
  <c r="A17991" i="3"/>
  <c r="B17990" i="3"/>
  <c r="A17990" i="3"/>
  <c r="B17989" i="3"/>
  <c r="A17989" i="3"/>
  <c r="B17988" i="3"/>
  <c r="A17988" i="3"/>
  <c r="B17987" i="3"/>
  <c r="A17987" i="3"/>
  <c r="B17986" i="3"/>
  <c r="A17986" i="3"/>
  <c r="B17985" i="3"/>
  <c r="A17985" i="3"/>
  <c r="B17984" i="3"/>
  <c r="A17984" i="3"/>
  <c r="B17983" i="3"/>
  <c r="A17983" i="3"/>
  <c r="B17982" i="3"/>
  <c r="A17982" i="3"/>
  <c r="B17981" i="3"/>
  <c r="A17981" i="3"/>
  <c r="B17980" i="3"/>
  <c r="A17980" i="3"/>
  <c r="B17979" i="3"/>
  <c r="A17979" i="3"/>
  <c r="B17978" i="3"/>
  <c r="A17978" i="3"/>
  <c r="B17977" i="3"/>
  <c r="A17977" i="3"/>
  <c r="B17976" i="3"/>
  <c r="A17976" i="3"/>
  <c r="B17975" i="3"/>
  <c r="A17975" i="3"/>
  <c r="B17974" i="3"/>
  <c r="A17974" i="3"/>
  <c r="B17973" i="3"/>
  <c r="A17973" i="3"/>
  <c r="B17972" i="3"/>
  <c r="A17972" i="3"/>
  <c r="B17971" i="3"/>
  <c r="A17971" i="3"/>
  <c r="B17970" i="3"/>
  <c r="A17970" i="3"/>
  <c r="B17969" i="3"/>
  <c r="A17969" i="3"/>
  <c r="B17968" i="3"/>
  <c r="A17968" i="3"/>
  <c r="B17967" i="3"/>
  <c r="A17967" i="3"/>
  <c r="B17966" i="3"/>
  <c r="A17966" i="3"/>
  <c r="B17965" i="3"/>
  <c r="A17965" i="3"/>
  <c r="B17964" i="3"/>
  <c r="A17964" i="3"/>
  <c r="B17963" i="3"/>
  <c r="A17963" i="3"/>
  <c r="B17962" i="3"/>
  <c r="A17962" i="3"/>
  <c r="B17961" i="3"/>
  <c r="A17961" i="3"/>
  <c r="B17960" i="3"/>
  <c r="A17960" i="3"/>
  <c r="B17959" i="3"/>
  <c r="A17959" i="3"/>
  <c r="B17958" i="3"/>
  <c r="A17958" i="3"/>
  <c r="B17957" i="3"/>
  <c r="A17957" i="3"/>
  <c r="B17956" i="3"/>
  <c r="A17956" i="3"/>
  <c r="B17955" i="3"/>
  <c r="A17955" i="3"/>
  <c r="B17954" i="3"/>
  <c r="A17954" i="3"/>
  <c r="B17953" i="3"/>
  <c r="A17953" i="3"/>
  <c r="B17952" i="3"/>
  <c r="A17952" i="3"/>
  <c r="B17951" i="3"/>
  <c r="A17951" i="3"/>
  <c r="B17950" i="3"/>
  <c r="A17950" i="3"/>
  <c r="B17949" i="3"/>
  <c r="A17949" i="3"/>
  <c r="B17948" i="3"/>
  <c r="A17948" i="3"/>
  <c r="B17947" i="3"/>
  <c r="A17947" i="3"/>
  <c r="B17946" i="3"/>
  <c r="A17946" i="3"/>
  <c r="B17945" i="3"/>
  <c r="A17945" i="3"/>
  <c r="B17944" i="3"/>
  <c r="A17944" i="3"/>
  <c r="B17943" i="3"/>
  <c r="A17943" i="3"/>
  <c r="B17942" i="3"/>
  <c r="A17942" i="3"/>
  <c r="B17941" i="3"/>
  <c r="A17941" i="3"/>
  <c r="B17940" i="3"/>
  <c r="A17940" i="3"/>
  <c r="B17939" i="3"/>
  <c r="A17939" i="3"/>
  <c r="B17938" i="3"/>
  <c r="A17938" i="3"/>
  <c r="B17937" i="3"/>
  <c r="A17937" i="3"/>
  <c r="B17936" i="3"/>
  <c r="A17936" i="3"/>
  <c r="B17935" i="3"/>
  <c r="A17935" i="3"/>
  <c r="B17934" i="3"/>
  <c r="A17934" i="3"/>
  <c r="B17933" i="3"/>
  <c r="A17933" i="3"/>
  <c r="B17932" i="3"/>
  <c r="A17932" i="3"/>
  <c r="B17931" i="3"/>
  <c r="A17931" i="3"/>
  <c r="B17930" i="3"/>
  <c r="A17930" i="3"/>
  <c r="B17929" i="3"/>
  <c r="A17929" i="3"/>
  <c r="B17928" i="3"/>
  <c r="A17928" i="3"/>
  <c r="B17927" i="3"/>
  <c r="A17927" i="3"/>
  <c r="B17926" i="3"/>
  <c r="A17926" i="3"/>
  <c r="B17925" i="3"/>
  <c r="A17925" i="3"/>
  <c r="B17924" i="3"/>
  <c r="A17924" i="3"/>
  <c r="B17923" i="3"/>
  <c r="A17923" i="3"/>
  <c r="B17922" i="3"/>
  <c r="A17922" i="3"/>
  <c r="B17921" i="3"/>
  <c r="A17921" i="3"/>
  <c r="B17920" i="3"/>
  <c r="A17920" i="3"/>
  <c r="B17919" i="3"/>
  <c r="A17919" i="3"/>
  <c r="B17918" i="3"/>
  <c r="A17918" i="3"/>
  <c r="B17917" i="3"/>
  <c r="A17917" i="3"/>
  <c r="B17916" i="3"/>
  <c r="A17916" i="3"/>
  <c r="B17915" i="3"/>
  <c r="A17915" i="3"/>
  <c r="B17914" i="3"/>
  <c r="A17914" i="3"/>
  <c r="B17913" i="3"/>
  <c r="A17913" i="3"/>
  <c r="B17912" i="3"/>
  <c r="A17912" i="3"/>
  <c r="B17911" i="3"/>
  <c r="A17911" i="3"/>
  <c r="B17910" i="3"/>
  <c r="A17910" i="3"/>
  <c r="B17909" i="3"/>
  <c r="A17909" i="3"/>
  <c r="B17908" i="3"/>
  <c r="A17908" i="3"/>
  <c r="B17907" i="3"/>
  <c r="A17907" i="3"/>
  <c r="B17906" i="3"/>
  <c r="A17906" i="3"/>
  <c r="B17905" i="3"/>
  <c r="A17905" i="3"/>
  <c r="B17904" i="3"/>
  <c r="A17904" i="3"/>
  <c r="B17903" i="3"/>
  <c r="A17903" i="3"/>
  <c r="B17902" i="3"/>
  <c r="A17902" i="3"/>
  <c r="B17901" i="3"/>
  <c r="A17901" i="3"/>
  <c r="B17900" i="3"/>
  <c r="A17900" i="3"/>
  <c r="B17899" i="3"/>
  <c r="A17899" i="3"/>
  <c r="B17898" i="3"/>
  <c r="A17898" i="3"/>
  <c r="B17897" i="3"/>
  <c r="A17897" i="3"/>
  <c r="B17896" i="3"/>
  <c r="A17896" i="3"/>
  <c r="B17895" i="3"/>
  <c r="A17895" i="3"/>
  <c r="B17894" i="3"/>
  <c r="A17894" i="3"/>
  <c r="B17893" i="3"/>
  <c r="A17893" i="3"/>
  <c r="B17892" i="3"/>
  <c r="A17892" i="3"/>
  <c r="B17891" i="3"/>
  <c r="A17891" i="3"/>
  <c r="B17890" i="3"/>
  <c r="A17890" i="3"/>
  <c r="B17889" i="3"/>
  <c r="A17889" i="3"/>
  <c r="B17888" i="3"/>
  <c r="A17888" i="3"/>
  <c r="B17887" i="3"/>
  <c r="A17887" i="3"/>
  <c r="B17886" i="3"/>
  <c r="A17886" i="3"/>
  <c r="B17885" i="3"/>
  <c r="A17885" i="3"/>
  <c r="B17884" i="3"/>
  <c r="A17884" i="3"/>
  <c r="B17883" i="3"/>
  <c r="A17883" i="3"/>
  <c r="B17882" i="3"/>
  <c r="A17882" i="3"/>
  <c r="B17881" i="3"/>
  <c r="A17881" i="3"/>
  <c r="B17880" i="3"/>
  <c r="A17880" i="3"/>
  <c r="B17879" i="3"/>
  <c r="A17879" i="3"/>
  <c r="B17878" i="3"/>
  <c r="A17878" i="3"/>
  <c r="B17877" i="3"/>
  <c r="A17877" i="3"/>
  <c r="B17876" i="3"/>
  <c r="A17876" i="3"/>
  <c r="B17875" i="3"/>
  <c r="A17875" i="3"/>
  <c r="B17874" i="3"/>
  <c r="A17874" i="3"/>
  <c r="B17873" i="3"/>
  <c r="A17873" i="3"/>
  <c r="B17872" i="3"/>
  <c r="A17872" i="3"/>
  <c r="B17871" i="3"/>
  <c r="A17871" i="3"/>
  <c r="B17870" i="3"/>
  <c r="A17870" i="3"/>
  <c r="B17869" i="3"/>
  <c r="A17869" i="3"/>
  <c r="B17868" i="3"/>
  <c r="A17868" i="3"/>
  <c r="B17867" i="3"/>
  <c r="A17867" i="3"/>
  <c r="B17866" i="3"/>
  <c r="A17866" i="3"/>
  <c r="B17865" i="3"/>
  <c r="A17865" i="3"/>
  <c r="B17864" i="3"/>
  <c r="A17864" i="3"/>
  <c r="B17863" i="3"/>
  <c r="A17863" i="3"/>
  <c r="B17862" i="3"/>
  <c r="A17862" i="3"/>
  <c r="B17861" i="3"/>
  <c r="A17861" i="3"/>
  <c r="B17860" i="3"/>
  <c r="A17860" i="3"/>
  <c r="B17859" i="3"/>
  <c r="A17859" i="3"/>
  <c r="B17858" i="3"/>
  <c r="A17858" i="3"/>
  <c r="B17857" i="3"/>
  <c r="A17857" i="3"/>
  <c r="B17856" i="3"/>
  <c r="A17856" i="3"/>
  <c r="B17855" i="3"/>
  <c r="A17855" i="3"/>
  <c r="B17854" i="3"/>
  <c r="A17854" i="3"/>
  <c r="B17853" i="3"/>
  <c r="A17853" i="3"/>
  <c r="B17852" i="3"/>
  <c r="A17852" i="3"/>
  <c r="B17851" i="3"/>
  <c r="A17851" i="3"/>
  <c r="B17850" i="3"/>
  <c r="A17850" i="3"/>
  <c r="B17849" i="3"/>
  <c r="A17849" i="3"/>
  <c r="B17848" i="3"/>
  <c r="A17848" i="3"/>
  <c r="B17847" i="3"/>
  <c r="A17847" i="3"/>
  <c r="B17846" i="3"/>
  <c r="A17846" i="3"/>
  <c r="B17845" i="3"/>
  <c r="A17845" i="3"/>
  <c r="B17844" i="3"/>
  <c r="A17844" i="3"/>
  <c r="B17843" i="3"/>
  <c r="A17843" i="3"/>
  <c r="B17842" i="3"/>
  <c r="A17842" i="3"/>
  <c r="B17841" i="3"/>
  <c r="A17841" i="3"/>
  <c r="B17840" i="3"/>
  <c r="A17840" i="3"/>
  <c r="B17839" i="3"/>
  <c r="A17839" i="3"/>
  <c r="B17838" i="3"/>
  <c r="A17838" i="3"/>
  <c r="B17837" i="3"/>
  <c r="A17837" i="3"/>
  <c r="B17836" i="3"/>
  <c r="A17836" i="3"/>
  <c r="B17835" i="3"/>
  <c r="A17835" i="3"/>
  <c r="B17834" i="3"/>
  <c r="A17834" i="3"/>
  <c r="B17833" i="3"/>
  <c r="A17833" i="3"/>
  <c r="B17832" i="3"/>
  <c r="A17832" i="3"/>
  <c r="B17831" i="3"/>
  <c r="A17831" i="3"/>
  <c r="B17830" i="3"/>
  <c r="A17830" i="3"/>
  <c r="B17829" i="3"/>
  <c r="A17829" i="3"/>
  <c r="B17828" i="3"/>
  <c r="A17828" i="3"/>
  <c r="B17827" i="3"/>
  <c r="A17827" i="3"/>
  <c r="B17826" i="3"/>
  <c r="A17826" i="3"/>
  <c r="B17825" i="3"/>
  <c r="A17825" i="3"/>
  <c r="B17824" i="3"/>
  <c r="A17824" i="3"/>
  <c r="B17823" i="3"/>
  <c r="A17823" i="3"/>
  <c r="B17822" i="3"/>
  <c r="A17822" i="3"/>
  <c r="B17821" i="3"/>
  <c r="A17821" i="3"/>
  <c r="B17820" i="3"/>
  <c r="A17820" i="3"/>
  <c r="B17819" i="3"/>
  <c r="A17819" i="3"/>
  <c r="B17818" i="3"/>
  <c r="A17818" i="3"/>
  <c r="B17817" i="3"/>
  <c r="A17817" i="3"/>
  <c r="B17816" i="3"/>
  <c r="A17816" i="3"/>
  <c r="B17815" i="3"/>
  <c r="A17815" i="3"/>
  <c r="B17814" i="3"/>
  <c r="A17814" i="3"/>
  <c r="B17813" i="3"/>
  <c r="A17813" i="3"/>
  <c r="B17812" i="3"/>
  <c r="A17812" i="3"/>
  <c r="B17811" i="3"/>
  <c r="A17811" i="3"/>
  <c r="B17810" i="3"/>
  <c r="A17810" i="3"/>
  <c r="B17809" i="3"/>
  <c r="A17809" i="3"/>
  <c r="B17808" i="3"/>
  <c r="A17808" i="3"/>
  <c r="B17807" i="3"/>
  <c r="A17807" i="3"/>
  <c r="B17806" i="3"/>
  <c r="A17806" i="3"/>
  <c r="B17805" i="3"/>
  <c r="A17805" i="3"/>
  <c r="B17804" i="3"/>
  <c r="A17804" i="3"/>
  <c r="B17803" i="3"/>
  <c r="A17803" i="3"/>
  <c r="B17802" i="3"/>
  <c r="A17802" i="3"/>
  <c r="B17801" i="3"/>
  <c r="A17801" i="3"/>
  <c r="B17800" i="3"/>
  <c r="A17800" i="3"/>
  <c r="B17799" i="3"/>
  <c r="A17799" i="3"/>
  <c r="B17798" i="3"/>
  <c r="A17798" i="3"/>
  <c r="B17797" i="3"/>
  <c r="A17797" i="3"/>
  <c r="B17796" i="3"/>
  <c r="A17796" i="3"/>
  <c r="B17795" i="3"/>
  <c r="A17795" i="3"/>
  <c r="B17794" i="3"/>
  <c r="A17794" i="3"/>
  <c r="B17793" i="3"/>
  <c r="A17793" i="3"/>
  <c r="B17792" i="3"/>
  <c r="A17792" i="3"/>
  <c r="B17791" i="3"/>
  <c r="A17791" i="3"/>
  <c r="B17790" i="3"/>
  <c r="A17790" i="3"/>
  <c r="B17789" i="3"/>
  <c r="A17789" i="3"/>
  <c r="B17788" i="3"/>
  <c r="A17788" i="3"/>
  <c r="B17787" i="3"/>
  <c r="A17787" i="3"/>
  <c r="B17786" i="3"/>
  <c r="A17786" i="3"/>
  <c r="B17785" i="3"/>
  <c r="A17785" i="3"/>
  <c r="B17784" i="3"/>
  <c r="A17784" i="3"/>
  <c r="B17783" i="3"/>
  <c r="A17783" i="3"/>
  <c r="B17782" i="3"/>
  <c r="A17782" i="3"/>
  <c r="B17781" i="3"/>
  <c r="A17781" i="3"/>
  <c r="B17780" i="3"/>
  <c r="A17780" i="3"/>
  <c r="B17779" i="3"/>
  <c r="A17779" i="3"/>
  <c r="B17778" i="3"/>
  <c r="A17778" i="3"/>
  <c r="B17777" i="3"/>
  <c r="A17777" i="3"/>
  <c r="B17776" i="3"/>
  <c r="A17776" i="3"/>
  <c r="B17775" i="3"/>
  <c r="A17775" i="3"/>
  <c r="B17774" i="3"/>
  <c r="A17774" i="3"/>
  <c r="B17773" i="3"/>
  <c r="A17773" i="3"/>
  <c r="B17772" i="3"/>
  <c r="A17772" i="3"/>
  <c r="B17771" i="3"/>
  <c r="A17771" i="3"/>
  <c r="B17770" i="3"/>
  <c r="A17770" i="3"/>
  <c r="B17769" i="3"/>
  <c r="A17769" i="3"/>
  <c r="B17768" i="3"/>
  <c r="A17768" i="3"/>
  <c r="B17767" i="3"/>
  <c r="A17767" i="3"/>
  <c r="B17766" i="3"/>
  <c r="A17766" i="3"/>
  <c r="B17765" i="3"/>
  <c r="A17765" i="3"/>
  <c r="B17764" i="3"/>
  <c r="A17764" i="3"/>
  <c r="B17763" i="3"/>
  <c r="A17763" i="3"/>
  <c r="B17762" i="3"/>
  <c r="A17762" i="3"/>
  <c r="B17761" i="3"/>
  <c r="A17761" i="3"/>
  <c r="B17760" i="3"/>
  <c r="B17759" i="3"/>
  <c r="B17758" i="3"/>
  <c r="B17757" i="3"/>
  <c r="B17756" i="3"/>
  <c r="A17756" i="3"/>
  <c r="B17755" i="3"/>
  <c r="A17755" i="3"/>
  <c r="B17754" i="3"/>
  <c r="A17754" i="3"/>
  <c r="B17753" i="3"/>
  <c r="A17753" i="3"/>
  <c r="B17752" i="3"/>
  <c r="A17752" i="3"/>
  <c r="B17751" i="3"/>
  <c r="A17751" i="3"/>
  <c r="B17750" i="3"/>
  <c r="A17750" i="3"/>
  <c r="B17749" i="3"/>
  <c r="A17749" i="3"/>
  <c r="B17748" i="3"/>
  <c r="A17748" i="3"/>
  <c r="B17747" i="3"/>
  <c r="A17747" i="3"/>
  <c r="B17746" i="3"/>
  <c r="A17746" i="3"/>
  <c r="B17745" i="3"/>
  <c r="A17745" i="3"/>
  <c r="B17744" i="3"/>
  <c r="A17744" i="3"/>
  <c r="B17743" i="3"/>
  <c r="A17743" i="3"/>
  <c r="B17742" i="3"/>
  <c r="A17742" i="3"/>
  <c r="B17741" i="3"/>
  <c r="A17741" i="3"/>
  <c r="B17740" i="3"/>
  <c r="A17740" i="3"/>
  <c r="B17739" i="3"/>
  <c r="A17739" i="3"/>
  <c r="B17738" i="3"/>
  <c r="A17738" i="3"/>
  <c r="B17737" i="3"/>
  <c r="A17737" i="3"/>
  <c r="B17736" i="3"/>
  <c r="A17736" i="3"/>
  <c r="B17735" i="3"/>
  <c r="B17734" i="3"/>
  <c r="A17734" i="3"/>
  <c r="B17733" i="3"/>
  <c r="A17733" i="3"/>
  <c r="B17732" i="3"/>
  <c r="A17732" i="3"/>
  <c r="B17731" i="3"/>
  <c r="A17731" i="3"/>
  <c r="B17730" i="3"/>
  <c r="A17730" i="3"/>
  <c r="B17729" i="3"/>
  <c r="A17729" i="3"/>
  <c r="B17728" i="3"/>
  <c r="A17728" i="3"/>
  <c r="B17727" i="3"/>
  <c r="A17727" i="3"/>
  <c r="B17726" i="3"/>
  <c r="A17726" i="3"/>
  <c r="B17725" i="3"/>
  <c r="A17725" i="3"/>
  <c r="B17724" i="3"/>
  <c r="A17724" i="3"/>
  <c r="B17723" i="3"/>
  <c r="A17723" i="3"/>
  <c r="B17722" i="3"/>
  <c r="A17722" i="3"/>
  <c r="B17721" i="3"/>
  <c r="A17721" i="3"/>
  <c r="B17720" i="3"/>
  <c r="B17719" i="3"/>
  <c r="A17719" i="3"/>
  <c r="B17718" i="3"/>
  <c r="A17718" i="3"/>
  <c r="B17717" i="3"/>
  <c r="A17717" i="3"/>
  <c r="B17716" i="3"/>
  <c r="A17716" i="3"/>
  <c r="B17715" i="3"/>
  <c r="A17715" i="3"/>
  <c r="B17714" i="3"/>
  <c r="A17714" i="3"/>
  <c r="B17713" i="3"/>
  <c r="A17713" i="3"/>
  <c r="B17712" i="3"/>
  <c r="A17712" i="3"/>
  <c r="B17711" i="3"/>
  <c r="A17711" i="3"/>
  <c r="B17710" i="3"/>
  <c r="A17710" i="3"/>
  <c r="B17709" i="3"/>
  <c r="A17709" i="3"/>
  <c r="B17708" i="3"/>
  <c r="A17708" i="3"/>
  <c r="B17707" i="3"/>
  <c r="A17707" i="3"/>
  <c r="B17706" i="3"/>
  <c r="A17706" i="3"/>
  <c r="B17705" i="3"/>
  <c r="A17705" i="3"/>
  <c r="B17704" i="3"/>
  <c r="A17704" i="3"/>
  <c r="B17703" i="3"/>
  <c r="A17703" i="3"/>
  <c r="B17702" i="3"/>
  <c r="A17702" i="3"/>
  <c r="B17701" i="3"/>
  <c r="A17701" i="3"/>
  <c r="B17700" i="3"/>
  <c r="A17700" i="3"/>
  <c r="B17699" i="3"/>
  <c r="A17699" i="3"/>
  <c r="B17698" i="3"/>
  <c r="A17698" i="3"/>
  <c r="B17697" i="3"/>
  <c r="A17697" i="3"/>
  <c r="B17696" i="3"/>
  <c r="A17696" i="3"/>
  <c r="B17695" i="3"/>
  <c r="A17695" i="3"/>
  <c r="B17694" i="3"/>
  <c r="A17694" i="3"/>
  <c r="B17693" i="3"/>
  <c r="A17693" i="3"/>
  <c r="B17692" i="3"/>
  <c r="A17692" i="3"/>
  <c r="B17691" i="3"/>
  <c r="A17691" i="3"/>
  <c r="B17690" i="3"/>
  <c r="A17690" i="3"/>
  <c r="B17689" i="3"/>
  <c r="A17689" i="3"/>
  <c r="B17688" i="3"/>
  <c r="A17688" i="3"/>
  <c r="B17687" i="3"/>
  <c r="A17687" i="3"/>
  <c r="B17686" i="3"/>
  <c r="A17686" i="3"/>
  <c r="B17685" i="3"/>
  <c r="A17685" i="3"/>
  <c r="B17684" i="3"/>
  <c r="A17684" i="3"/>
  <c r="B17683" i="3"/>
  <c r="A17683" i="3"/>
  <c r="B17682" i="3"/>
  <c r="A17682" i="3"/>
  <c r="B17681" i="3"/>
  <c r="A17681" i="3"/>
  <c r="B17680" i="3"/>
  <c r="A17680" i="3"/>
  <c r="B17679" i="3"/>
  <c r="A17679" i="3"/>
  <c r="B17678" i="3"/>
  <c r="A17678" i="3"/>
  <c r="B17677" i="3"/>
  <c r="A17677" i="3"/>
  <c r="B17676" i="3"/>
  <c r="A17676" i="3"/>
  <c r="B17675" i="3"/>
  <c r="A17675" i="3"/>
  <c r="B17674" i="3"/>
  <c r="A17674" i="3"/>
  <c r="B17673" i="3"/>
  <c r="A17673" i="3"/>
  <c r="B17672" i="3"/>
  <c r="A17672" i="3"/>
  <c r="B17671" i="3"/>
  <c r="A17671" i="3"/>
  <c r="B17670" i="3"/>
  <c r="A17670" i="3"/>
  <c r="B17669" i="3"/>
  <c r="A17669" i="3"/>
  <c r="B17668" i="3"/>
  <c r="A17668" i="3"/>
  <c r="B17667" i="3"/>
  <c r="A17667" i="3"/>
  <c r="B17666" i="3"/>
  <c r="A17666" i="3"/>
  <c r="B17665" i="3"/>
  <c r="A17665" i="3"/>
  <c r="B17664" i="3"/>
  <c r="A17664" i="3"/>
  <c r="B17663" i="3"/>
  <c r="A17663" i="3"/>
  <c r="B17662" i="3"/>
  <c r="A17662" i="3"/>
  <c r="B17661" i="3"/>
  <c r="A17661" i="3"/>
  <c r="B17660" i="3"/>
  <c r="A17660" i="3"/>
  <c r="B17659" i="3"/>
  <c r="A17659" i="3"/>
  <c r="B17658" i="3"/>
  <c r="A17658" i="3"/>
  <c r="B17657" i="3"/>
  <c r="A17657" i="3"/>
  <c r="B17656" i="3"/>
  <c r="A17656" i="3"/>
  <c r="B17655" i="3"/>
  <c r="A17655" i="3"/>
  <c r="B17654" i="3"/>
  <c r="A17654" i="3"/>
  <c r="B17653" i="3"/>
  <c r="A17653" i="3"/>
  <c r="B17652" i="3"/>
  <c r="A17652" i="3"/>
  <c r="B17651" i="3"/>
  <c r="A17651" i="3"/>
  <c r="B17650" i="3"/>
  <c r="B17649" i="3"/>
  <c r="A17649" i="3"/>
  <c r="B17648" i="3"/>
  <c r="A17648" i="3"/>
  <c r="B17647" i="3"/>
  <c r="A17647" i="3"/>
  <c r="B17646" i="3"/>
  <c r="A17646" i="3"/>
  <c r="B17645" i="3"/>
  <c r="A17645" i="3"/>
  <c r="B17644" i="3"/>
  <c r="A17644" i="3"/>
  <c r="B17643" i="3"/>
  <c r="A17643" i="3"/>
  <c r="B17642" i="3"/>
  <c r="A17642" i="3"/>
  <c r="B17641" i="3"/>
  <c r="A17641" i="3"/>
  <c r="B17640" i="3"/>
  <c r="A17640" i="3"/>
  <c r="B17639" i="3"/>
  <c r="A17639" i="3"/>
  <c r="B17638" i="3"/>
  <c r="A17638" i="3"/>
  <c r="B17637" i="3"/>
  <c r="A17637" i="3"/>
  <c r="B17636" i="3"/>
  <c r="A17636" i="3"/>
  <c r="B17635" i="3"/>
  <c r="A17635" i="3"/>
  <c r="B17634" i="3"/>
  <c r="A17634" i="3"/>
  <c r="B17633" i="3"/>
  <c r="A17633" i="3"/>
  <c r="B17632" i="3"/>
  <c r="A17632" i="3"/>
  <c r="B17631" i="3"/>
  <c r="A17631" i="3"/>
  <c r="B17630" i="3"/>
  <c r="A17630" i="3"/>
  <c r="B17629" i="3"/>
  <c r="A17629" i="3"/>
  <c r="B17628" i="3"/>
  <c r="A17628" i="3"/>
  <c r="B17627" i="3"/>
  <c r="A17627" i="3"/>
  <c r="B17626" i="3"/>
  <c r="A17626" i="3"/>
  <c r="B17625" i="3"/>
  <c r="A17625" i="3"/>
  <c r="B17624" i="3"/>
  <c r="A17624" i="3"/>
  <c r="B17623" i="3"/>
  <c r="A17623" i="3"/>
  <c r="B17622" i="3"/>
  <c r="A17622" i="3"/>
  <c r="B17621" i="3"/>
  <c r="A17621" i="3"/>
  <c r="B17620" i="3"/>
  <c r="A17620" i="3"/>
  <c r="B17619" i="3"/>
  <c r="A17619" i="3"/>
  <c r="B17618" i="3"/>
  <c r="B17617" i="3"/>
  <c r="A17617" i="3"/>
  <c r="B17616" i="3"/>
  <c r="A17616" i="3"/>
  <c r="B17615" i="3"/>
  <c r="A17615" i="3"/>
  <c r="B17614" i="3"/>
  <c r="A17614" i="3"/>
  <c r="B17613" i="3"/>
  <c r="A17613" i="3"/>
  <c r="B17612" i="3"/>
  <c r="A17612" i="3"/>
  <c r="B17611" i="3"/>
  <c r="A17611" i="3"/>
  <c r="B17610" i="3"/>
  <c r="A17610" i="3"/>
  <c r="B17609" i="3"/>
  <c r="A17609" i="3"/>
  <c r="B17608" i="3"/>
  <c r="A17608" i="3"/>
  <c r="B17607" i="3"/>
  <c r="A17607" i="3"/>
  <c r="B17606" i="3"/>
  <c r="A17606" i="3"/>
  <c r="B17605" i="3"/>
  <c r="A17605" i="3"/>
  <c r="B17604" i="3"/>
  <c r="A17604" i="3"/>
  <c r="B17603" i="3"/>
  <c r="A17603" i="3"/>
  <c r="B17602" i="3"/>
  <c r="A17602" i="3"/>
  <c r="B17601" i="3"/>
  <c r="A17601" i="3"/>
  <c r="B17600" i="3"/>
  <c r="A17600" i="3"/>
  <c r="B17599" i="3"/>
  <c r="A17599" i="3"/>
  <c r="B17598" i="3"/>
  <c r="A17598" i="3"/>
  <c r="B17597" i="3"/>
  <c r="A17597" i="3"/>
  <c r="B17596" i="3"/>
  <c r="A17596" i="3"/>
  <c r="B17595" i="3"/>
  <c r="A17595" i="3"/>
  <c r="B17594" i="3"/>
  <c r="A17594" i="3"/>
  <c r="B17593" i="3"/>
  <c r="A17593" i="3"/>
  <c r="B17592" i="3"/>
  <c r="A17592" i="3"/>
  <c r="B17591" i="3"/>
  <c r="A17591" i="3"/>
  <c r="B17590" i="3"/>
  <c r="A17590" i="3"/>
  <c r="B17589" i="3"/>
  <c r="A17589" i="3"/>
  <c r="B17588" i="3"/>
  <c r="A17588" i="3"/>
  <c r="B17587" i="3"/>
  <c r="A17587" i="3"/>
  <c r="B17586" i="3"/>
  <c r="A17586" i="3"/>
  <c r="B17585" i="3"/>
  <c r="A17585" i="3"/>
  <c r="B17584" i="3"/>
  <c r="A17584" i="3"/>
  <c r="B17583" i="3"/>
  <c r="A17583" i="3"/>
  <c r="B17582" i="3"/>
  <c r="A17582" i="3"/>
  <c r="B17581" i="3"/>
  <c r="A17581" i="3"/>
  <c r="B17580" i="3"/>
  <c r="A17580" i="3"/>
  <c r="B17579" i="3"/>
  <c r="A17579" i="3"/>
  <c r="B17578" i="3"/>
  <c r="A17578" i="3"/>
  <c r="B17577" i="3"/>
  <c r="A17577" i="3"/>
  <c r="B17576" i="3"/>
  <c r="A17576" i="3"/>
  <c r="B17575" i="3"/>
  <c r="A17575" i="3"/>
  <c r="B17574" i="3"/>
  <c r="A17574" i="3"/>
  <c r="B17573" i="3"/>
  <c r="A17573" i="3"/>
  <c r="B17572" i="3"/>
  <c r="A17572" i="3"/>
  <c r="B17571" i="3"/>
  <c r="A17571" i="3"/>
  <c r="B17570" i="3"/>
  <c r="A17570" i="3"/>
  <c r="B17569" i="3"/>
  <c r="A17569" i="3"/>
  <c r="B17568" i="3"/>
  <c r="A17568" i="3"/>
  <c r="B17567" i="3"/>
  <c r="A17567" i="3"/>
  <c r="B17566" i="3"/>
  <c r="A17566" i="3"/>
  <c r="B17565" i="3"/>
  <c r="A17565" i="3"/>
  <c r="B17564" i="3"/>
  <c r="A17564" i="3"/>
  <c r="B17563" i="3"/>
  <c r="A17563" i="3"/>
  <c r="B17562" i="3"/>
  <c r="A17562" i="3"/>
  <c r="B17561" i="3"/>
  <c r="A17561" i="3"/>
  <c r="B17560" i="3"/>
  <c r="A17560" i="3"/>
  <c r="B17559" i="3"/>
  <c r="A17559" i="3"/>
  <c r="B17558" i="3"/>
  <c r="A17558" i="3"/>
  <c r="B17557" i="3"/>
  <c r="A17557" i="3"/>
  <c r="B17556" i="3"/>
  <c r="A17556" i="3"/>
  <c r="B17555" i="3"/>
  <c r="A17555" i="3"/>
  <c r="B17554" i="3"/>
  <c r="A17554" i="3"/>
  <c r="B17553" i="3"/>
  <c r="A17553" i="3"/>
  <c r="B17552" i="3"/>
  <c r="A17552" i="3"/>
  <c r="B17551" i="3"/>
  <c r="A17551" i="3"/>
  <c r="B17550" i="3"/>
  <c r="A17550" i="3"/>
  <c r="B17549" i="3"/>
  <c r="A17549" i="3"/>
  <c r="B17548" i="3"/>
  <c r="A17548" i="3"/>
  <c r="B17547" i="3"/>
  <c r="A17547" i="3"/>
  <c r="B17546" i="3"/>
  <c r="A17546" i="3"/>
  <c r="B17545" i="3"/>
  <c r="A17545" i="3"/>
  <c r="B17544" i="3"/>
  <c r="A17544" i="3"/>
  <c r="B17543" i="3"/>
  <c r="A17543" i="3"/>
  <c r="B17542" i="3"/>
  <c r="A17542" i="3"/>
  <c r="B17541" i="3"/>
  <c r="A17541" i="3"/>
  <c r="B17540" i="3"/>
  <c r="A17540" i="3"/>
  <c r="B17539" i="3"/>
  <c r="A17539" i="3"/>
  <c r="B17538" i="3"/>
  <c r="A17538" i="3"/>
  <c r="B17537" i="3"/>
  <c r="A17537" i="3"/>
  <c r="B17536" i="3"/>
  <c r="A17536" i="3"/>
  <c r="B17535" i="3"/>
  <c r="A17535" i="3"/>
  <c r="B17534" i="3"/>
  <c r="A17534" i="3"/>
  <c r="B17533" i="3"/>
  <c r="A17533" i="3"/>
  <c r="B17532" i="3"/>
  <c r="A17532" i="3"/>
  <c r="B17531" i="3"/>
  <c r="A17531" i="3"/>
  <c r="B17530" i="3"/>
  <c r="A17530" i="3"/>
  <c r="B17529" i="3"/>
  <c r="A17529" i="3"/>
  <c r="B17528" i="3"/>
  <c r="A17528" i="3"/>
  <c r="B17527" i="3"/>
  <c r="A17527" i="3"/>
  <c r="B17526" i="3"/>
  <c r="A17526" i="3"/>
  <c r="B17525" i="3"/>
  <c r="A17525" i="3"/>
  <c r="B17524" i="3"/>
  <c r="A17524" i="3"/>
  <c r="B17523" i="3"/>
  <c r="A17523" i="3"/>
  <c r="B17522" i="3"/>
  <c r="A17522" i="3"/>
  <c r="B17521" i="3"/>
  <c r="A17521" i="3"/>
  <c r="B17520" i="3"/>
  <c r="A17520" i="3"/>
  <c r="B17519" i="3"/>
  <c r="A17519" i="3"/>
  <c r="B17518" i="3"/>
  <c r="A17518" i="3"/>
  <c r="B17517" i="3"/>
  <c r="A17517" i="3"/>
  <c r="B17516" i="3"/>
  <c r="A17516" i="3"/>
  <c r="B17515" i="3"/>
  <c r="A17515" i="3"/>
  <c r="B17514" i="3"/>
  <c r="A17514" i="3"/>
  <c r="B17513" i="3"/>
  <c r="A17513" i="3"/>
  <c r="B17512" i="3"/>
  <c r="A17512" i="3"/>
  <c r="B17511" i="3"/>
  <c r="A17511" i="3"/>
  <c r="B17510" i="3"/>
  <c r="A17510" i="3"/>
  <c r="B17509" i="3"/>
  <c r="A17509" i="3"/>
  <c r="B17508" i="3"/>
  <c r="A17508" i="3"/>
  <c r="B17507" i="3"/>
  <c r="A17507" i="3"/>
  <c r="B17506" i="3"/>
  <c r="A17506" i="3"/>
  <c r="B17505" i="3"/>
  <c r="A17505" i="3"/>
  <c r="B17504" i="3"/>
  <c r="A17504" i="3"/>
  <c r="B17503" i="3"/>
  <c r="A17503" i="3"/>
  <c r="B17502" i="3"/>
  <c r="A17502" i="3"/>
  <c r="B17501" i="3"/>
  <c r="A17501" i="3"/>
  <c r="B17500" i="3"/>
  <c r="A17500" i="3"/>
  <c r="B17499" i="3"/>
  <c r="A17499" i="3"/>
  <c r="B17498" i="3"/>
  <c r="A17498" i="3"/>
  <c r="B17497" i="3"/>
  <c r="A17497" i="3"/>
  <c r="B17496" i="3"/>
  <c r="A17496" i="3"/>
  <c r="B17495" i="3"/>
  <c r="A17495" i="3"/>
  <c r="B17494" i="3"/>
  <c r="A17494" i="3"/>
  <c r="B17493" i="3"/>
  <c r="A17493" i="3"/>
  <c r="B17492" i="3"/>
  <c r="A17492" i="3"/>
  <c r="B17491" i="3"/>
  <c r="A17491" i="3"/>
  <c r="B17490" i="3"/>
  <c r="A17490" i="3"/>
  <c r="B17489" i="3"/>
  <c r="A17489" i="3"/>
  <c r="B17488" i="3"/>
  <c r="A17488" i="3"/>
  <c r="B17487" i="3"/>
  <c r="A17487" i="3"/>
  <c r="B17486" i="3"/>
  <c r="A17486" i="3"/>
  <c r="B17485" i="3"/>
  <c r="A17485" i="3"/>
  <c r="B17484" i="3"/>
  <c r="A17484" i="3"/>
  <c r="B17483" i="3"/>
  <c r="A17483" i="3"/>
  <c r="B17482" i="3"/>
  <c r="A17482" i="3"/>
  <c r="B17481" i="3"/>
  <c r="A17481" i="3"/>
  <c r="B17480" i="3"/>
  <c r="A17480" i="3"/>
  <c r="B17479" i="3"/>
  <c r="A17479" i="3"/>
  <c r="B17478" i="3"/>
  <c r="A17478" i="3"/>
  <c r="B17477" i="3"/>
  <c r="A17477" i="3"/>
  <c r="B17476" i="3"/>
  <c r="A17476" i="3"/>
  <c r="B17475" i="3"/>
  <c r="A17475" i="3"/>
  <c r="B17474" i="3"/>
  <c r="A17474" i="3"/>
  <c r="B17473" i="3"/>
  <c r="A17473" i="3"/>
  <c r="B17472" i="3"/>
  <c r="A17472" i="3"/>
  <c r="B17471" i="3"/>
  <c r="A17471" i="3"/>
  <c r="B17470" i="3"/>
  <c r="A17470" i="3"/>
  <c r="B17469" i="3"/>
  <c r="A17469" i="3"/>
  <c r="B17468" i="3"/>
  <c r="A17468" i="3"/>
  <c r="B17467" i="3"/>
  <c r="A17467" i="3"/>
  <c r="B17466" i="3"/>
  <c r="A17466" i="3"/>
  <c r="B17465" i="3"/>
  <c r="A17465" i="3"/>
  <c r="B17464" i="3"/>
  <c r="A17464" i="3"/>
  <c r="B17463" i="3"/>
  <c r="A17463" i="3"/>
  <c r="B17462" i="3"/>
  <c r="A17462" i="3"/>
  <c r="B17461" i="3"/>
  <c r="A17461" i="3"/>
  <c r="B17460" i="3"/>
  <c r="A17460" i="3"/>
  <c r="B17459" i="3"/>
  <c r="A17459" i="3"/>
  <c r="B17458" i="3"/>
  <c r="A17458" i="3"/>
  <c r="B17457" i="3"/>
  <c r="A17457" i="3"/>
  <c r="B17456" i="3"/>
  <c r="A17456" i="3"/>
  <c r="B17455" i="3"/>
  <c r="A17455" i="3"/>
  <c r="B17454" i="3"/>
  <c r="A17454" i="3"/>
  <c r="B17453" i="3"/>
  <c r="A17453" i="3"/>
  <c r="B17452" i="3"/>
  <c r="A17452" i="3"/>
  <c r="B17451" i="3"/>
  <c r="A17451" i="3"/>
  <c r="B17450" i="3"/>
  <c r="A17450" i="3"/>
  <c r="B17449" i="3"/>
  <c r="A17449" i="3"/>
  <c r="B17448" i="3"/>
  <c r="A17448" i="3"/>
  <c r="B17447" i="3"/>
  <c r="A17447" i="3"/>
  <c r="B17446" i="3"/>
  <c r="A17446" i="3"/>
  <c r="B17445" i="3"/>
  <c r="A17445" i="3"/>
  <c r="B17444" i="3"/>
  <c r="A17444" i="3"/>
  <c r="B17443" i="3"/>
  <c r="A17443" i="3"/>
  <c r="B17442" i="3"/>
  <c r="A17442" i="3"/>
  <c r="B17441" i="3"/>
  <c r="A17441" i="3"/>
  <c r="B17440" i="3"/>
  <c r="A17440" i="3"/>
  <c r="B17439" i="3"/>
  <c r="A17439" i="3"/>
  <c r="B17438" i="3"/>
  <c r="A17438" i="3"/>
  <c r="B17437" i="3"/>
  <c r="A17437" i="3"/>
  <c r="B17436" i="3"/>
  <c r="A17436" i="3"/>
  <c r="B17435" i="3"/>
  <c r="A17435" i="3"/>
  <c r="B17434" i="3"/>
  <c r="A17434" i="3"/>
  <c r="B17433" i="3"/>
  <c r="A17433" i="3"/>
  <c r="B17432" i="3"/>
  <c r="A17432" i="3"/>
  <c r="B17431" i="3"/>
  <c r="A17431" i="3"/>
  <c r="B17430" i="3"/>
  <c r="A17430" i="3"/>
  <c r="B17429" i="3"/>
  <c r="A17429" i="3"/>
  <c r="B17428" i="3"/>
  <c r="A17428" i="3"/>
  <c r="B17427" i="3"/>
  <c r="A17427" i="3"/>
  <c r="B17426" i="3"/>
  <c r="A17426" i="3"/>
  <c r="B17425" i="3"/>
  <c r="A17425" i="3"/>
  <c r="B17424" i="3"/>
  <c r="A17424" i="3"/>
  <c r="B17423" i="3"/>
  <c r="A17423" i="3"/>
  <c r="B17422" i="3"/>
  <c r="A17422" i="3"/>
  <c r="B17421" i="3"/>
  <c r="A17421" i="3"/>
  <c r="B17420" i="3"/>
  <c r="A17420" i="3"/>
  <c r="B17419" i="3"/>
  <c r="A17419" i="3"/>
  <c r="B17418" i="3"/>
  <c r="A17418" i="3"/>
  <c r="B17417" i="3"/>
  <c r="A17417" i="3"/>
  <c r="B17416" i="3"/>
  <c r="A17416" i="3"/>
  <c r="B17415" i="3"/>
  <c r="A17415" i="3"/>
  <c r="B17414" i="3"/>
  <c r="A17414" i="3"/>
  <c r="B17413" i="3"/>
  <c r="A17413" i="3"/>
  <c r="B17412" i="3"/>
  <c r="A17412" i="3"/>
  <c r="B17411" i="3"/>
  <c r="A17411" i="3"/>
  <c r="B17410" i="3"/>
  <c r="A17410" i="3"/>
  <c r="B17409" i="3"/>
  <c r="A17409" i="3"/>
  <c r="B17408" i="3"/>
  <c r="A17408" i="3"/>
  <c r="B17407" i="3"/>
  <c r="A17407" i="3"/>
  <c r="B17406" i="3"/>
  <c r="A17406" i="3"/>
  <c r="B17405" i="3"/>
  <c r="A17405" i="3"/>
  <c r="B17404" i="3"/>
  <c r="A17404" i="3"/>
  <c r="B17403" i="3"/>
  <c r="A17403" i="3"/>
  <c r="B17402" i="3"/>
  <c r="A17402" i="3"/>
  <c r="B17401" i="3"/>
  <c r="A17401" i="3"/>
  <c r="B17400" i="3"/>
  <c r="A17400" i="3"/>
  <c r="B17399" i="3"/>
  <c r="A17399" i="3"/>
  <c r="B17398" i="3"/>
  <c r="A17398" i="3"/>
  <c r="B17397" i="3"/>
  <c r="A17397" i="3"/>
  <c r="B17396" i="3"/>
  <c r="A17396" i="3"/>
  <c r="B17395" i="3"/>
  <c r="A17395" i="3"/>
  <c r="B17394" i="3"/>
  <c r="A17394" i="3"/>
  <c r="B17393" i="3"/>
  <c r="A17393" i="3"/>
  <c r="B17392" i="3"/>
  <c r="A17392" i="3"/>
  <c r="B17391" i="3"/>
  <c r="A17391" i="3"/>
  <c r="B17390" i="3"/>
  <c r="A17390" i="3"/>
  <c r="B17389" i="3"/>
  <c r="A17389" i="3"/>
  <c r="B17388" i="3"/>
  <c r="A17388" i="3"/>
  <c r="B17387" i="3"/>
  <c r="A17387" i="3"/>
  <c r="B17386" i="3"/>
  <c r="A17386" i="3"/>
  <c r="B17385" i="3"/>
  <c r="A17385" i="3"/>
  <c r="B17384" i="3"/>
  <c r="A17384" i="3"/>
  <c r="B17383" i="3"/>
  <c r="A17383" i="3"/>
  <c r="B17382" i="3"/>
  <c r="A17382" i="3"/>
  <c r="B17381" i="3"/>
  <c r="A17381" i="3"/>
  <c r="B17380" i="3"/>
  <c r="A17380" i="3"/>
  <c r="B17379" i="3"/>
  <c r="A17379" i="3"/>
  <c r="B17378" i="3"/>
  <c r="A17378" i="3"/>
  <c r="B17377" i="3"/>
  <c r="A17377" i="3"/>
  <c r="B17376" i="3"/>
  <c r="A17376" i="3"/>
  <c r="B17375" i="3"/>
  <c r="A17375" i="3"/>
  <c r="B17374" i="3"/>
  <c r="A17374" i="3"/>
  <c r="B17373" i="3"/>
  <c r="A17373" i="3"/>
  <c r="B17372" i="3"/>
  <c r="A17372" i="3"/>
  <c r="B17371" i="3"/>
  <c r="A17371" i="3"/>
  <c r="B17370" i="3"/>
  <c r="A17370" i="3"/>
  <c r="B17369" i="3"/>
  <c r="A17369" i="3"/>
  <c r="B17368" i="3"/>
  <c r="A17368" i="3"/>
  <c r="B17367" i="3"/>
  <c r="A17367" i="3"/>
  <c r="B17366" i="3"/>
  <c r="A17366" i="3"/>
  <c r="B17365" i="3"/>
  <c r="A17365" i="3"/>
  <c r="B17364" i="3"/>
  <c r="A17364" i="3"/>
  <c r="B17363" i="3"/>
  <c r="A17363" i="3"/>
  <c r="B17362" i="3"/>
  <c r="A17362" i="3"/>
  <c r="B17361" i="3"/>
  <c r="A17361" i="3"/>
  <c r="B17360" i="3"/>
  <c r="A17360" i="3"/>
  <c r="B17359" i="3"/>
  <c r="A17359" i="3"/>
  <c r="B17358" i="3"/>
  <c r="A17358" i="3"/>
  <c r="B17357" i="3"/>
  <c r="A17357" i="3"/>
  <c r="B17356" i="3"/>
  <c r="A17356" i="3"/>
  <c r="B17355" i="3"/>
  <c r="A17355" i="3"/>
  <c r="B17354" i="3"/>
  <c r="A17354" i="3"/>
  <c r="B17353" i="3"/>
  <c r="A17353" i="3"/>
  <c r="B17352" i="3"/>
  <c r="A17352" i="3"/>
  <c r="B17351" i="3"/>
  <c r="A17351" i="3"/>
  <c r="B17350" i="3"/>
  <c r="A17350" i="3"/>
  <c r="B17349" i="3"/>
  <c r="A17349" i="3"/>
  <c r="B17348" i="3"/>
  <c r="A17348" i="3"/>
  <c r="B17347" i="3"/>
  <c r="A17347" i="3"/>
  <c r="B17346" i="3"/>
  <c r="A17346" i="3"/>
  <c r="B17345" i="3"/>
  <c r="A17345" i="3"/>
  <c r="B17344" i="3"/>
  <c r="A17344" i="3"/>
  <c r="B17343" i="3"/>
  <c r="A17343" i="3"/>
  <c r="B17342" i="3"/>
  <c r="A17342" i="3"/>
  <c r="B17341" i="3"/>
  <c r="A17341" i="3"/>
  <c r="B17340" i="3"/>
  <c r="A17340" i="3"/>
  <c r="B17339" i="3"/>
  <c r="A17339" i="3"/>
  <c r="B17338" i="3"/>
  <c r="A17338" i="3"/>
  <c r="B17337" i="3"/>
  <c r="A17337" i="3"/>
  <c r="B17336" i="3"/>
  <c r="B17335" i="3"/>
  <c r="A17335" i="3"/>
  <c r="B17334" i="3"/>
  <c r="A17334" i="3"/>
  <c r="B17333" i="3"/>
  <c r="A17333" i="3"/>
  <c r="B17332" i="3"/>
  <c r="A17332" i="3"/>
  <c r="B17331" i="3"/>
  <c r="A17331" i="3"/>
  <c r="B17330" i="3"/>
  <c r="A17330" i="3"/>
  <c r="B17329" i="3"/>
  <c r="A17329" i="3"/>
  <c r="B17328" i="3"/>
  <c r="A17328" i="3"/>
  <c r="B17327" i="3"/>
  <c r="A17327" i="3"/>
  <c r="B17326" i="3"/>
  <c r="A17326" i="3"/>
  <c r="B17325" i="3"/>
  <c r="A17325" i="3"/>
  <c r="B17324" i="3"/>
  <c r="A17324" i="3"/>
  <c r="B17323" i="3"/>
  <c r="A17323" i="3"/>
  <c r="B17322" i="3"/>
  <c r="A17322" i="3"/>
  <c r="B17321" i="3"/>
  <c r="A17321" i="3"/>
  <c r="B17320" i="3"/>
  <c r="A17320" i="3"/>
  <c r="B17319" i="3"/>
  <c r="A17319" i="3"/>
  <c r="B17318" i="3"/>
  <c r="A17318" i="3"/>
  <c r="B17317" i="3"/>
  <c r="A17317" i="3"/>
  <c r="B17316" i="3"/>
  <c r="A17316" i="3"/>
  <c r="B17315" i="3"/>
  <c r="A17315" i="3"/>
  <c r="B17314" i="3"/>
  <c r="A17314" i="3"/>
  <c r="B17313" i="3"/>
  <c r="A17313" i="3"/>
  <c r="B17312" i="3"/>
  <c r="A17312" i="3"/>
  <c r="B17311" i="3"/>
  <c r="A17311" i="3"/>
  <c r="B17310" i="3"/>
  <c r="A17310" i="3"/>
  <c r="B17309" i="3"/>
  <c r="A17309" i="3"/>
  <c r="B17308" i="3"/>
  <c r="A17308" i="3"/>
  <c r="B17307" i="3"/>
  <c r="A17307" i="3"/>
  <c r="B17306" i="3"/>
  <c r="A17306" i="3"/>
  <c r="B17305" i="3"/>
  <c r="A17305" i="3"/>
  <c r="B17304" i="3"/>
  <c r="A17304" i="3"/>
  <c r="B17303" i="3"/>
  <c r="A17303" i="3"/>
  <c r="B17302" i="3"/>
  <c r="A17302" i="3"/>
  <c r="B17301" i="3"/>
  <c r="A17301" i="3"/>
  <c r="B17300" i="3"/>
  <c r="A17300" i="3"/>
  <c r="B17299" i="3"/>
  <c r="A17299" i="3"/>
  <c r="B17298" i="3"/>
  <c r="A17298" i="3"/>
  <c r="B17297" i="3"/>
  <c r="A17297" i="3"/>
  <c r="B17296" i="3"/>
  <c r="A17296" i="3"/>
  <c r="B17295" i="3"/>
  <c r="A17295" i="3"/>
  <c r="B17294" i="3"/>
  <c r="A17294" i="3"/>
  <c r="B17293" i="3"/>
  <c r="A17293" i="3"/>
  <c r="B17292" i="3"/>
  <c r="A17292" i="3"/>
  <c r="B17291" i="3"/>
  <c r="A17291" i="3"/>
  <c r="B17290" i="3"/>
  <c r="A17290" i="3"/>
  <c r="B17289" i="3"/>
  <c r="A17289" i="3"/>
  <c r="B17288" i="3"/>
  <c r="A17288" i="3"/>
  <c r="B17287" i="3"/>
  <c r="A17287" i="3"/>
  <c r="B17286" i="3"/>
  <c r="A17286" i="3"/>
  <c r="B17285" i="3"/>
  <c r="A17285" i="3"/>
  <c r="B17284" i="3"/>
  <c r="A17284" i="3"/>
  <c r="B17283" i="3"/>
  <c r="A17283" i="3"/>
  <c r="B17282" i="3"/>
  <c r="A17282" i="3"/>
  <c r="B17281" i="3"/>
  <c r="A17281" i="3"/>
  <c r="B17280" i="3"/>
  <c r="A17280" i="3"/>
  <c r="B17279" i="3"/>
  <c r="A17279" i="3"/>
  <c r="B17278" i="3"/>
  <c r="A17278" i="3"/>
  <c r="B17277" i="3"/>
  <c r="A17277" i="3"/>
  <c r="B17276" i="3"/>
  <c r="A17276" i="3"/>
  <c r="B17275" i="3"/>
  <c r="A17275" i="3"/>
  <c r="B17274" i="3"/>
  <c r="A17274" i="3"/>
  <c r="B17273" i="3"/>
  <c r="A17273" i="3"/>
  <c r="B17272" i="3"/>
  <c r="A17272" i="3"/>
  <c r="B17271" i="3"/>
  <c r="A17271" i="3"/>
  <c r="B17270" i="3"/>
  <c r="A17270" i="3"/>
  <c r="B17269" i="3"/>
  <c r="A17269" i="3"/>
  <c r="B17268" i="3"/>
  <c r="A17268" i="3"/>
  <c r="B17267" i="3"/>
  <c r="A17267" i="3"/>
  <c r="B17266" i="3"/>
  <c r="A17266" i="3"/>
  <c r="B17265" i="3"/>
  <c r="A17265" i="3"/>
  <c r="B17264" i="3"/>
  <c r="A17264" i="3"/>
  <c r="B17263" i="3"/>
  <c r="A17263" i="3"/>
  <c r="B17262" i="3"/>
  <c r="A17262" i="3"/>
  <c r="B17261" i="3"/>
  <c r="A17261" i="3"/>
  <c r="B17260" i="3"/>
  <c r="A17260" i="3"/>
  <c r="B17259" i="3"/>
  <c r="A17259" i="3"/>
  <c r="B17258" i="3"/>
  <c r="A17258" i="3"/>
  <c r="B17257" i="3"/>
  <c r="A17257" i="3"/>
  <c r="B17256" i="3"/>
  <c r="A17256" i="3"/>
  <c r="B17255" i="3"/>
  <c r="A17255" i="3"/>
  <c r="B17254" i="3"/>
  <c r="A17254" i="3"/>
  <c r="B17253" i="3"/>
  <c r="A17253" i="3"/>
  <c r="B17252" i="3"/>
  <c r="A17252" i="3"/>
  <c r="B17251" i="3"/>
  <c r="A17251" i="3"/>
  <c r="B17250" i="3"/>
  <c r="A17250" i="3"/>
  <c r="B17249" i="3"/>
  <c r="A17249" i="3"/>
  <c r="B17248" i="3"/>
  <c r="A17248" i="3"/>
  <c r="B17247" i="3"/>
  <c r="A17247" i="3"/>
  <c r="B17246" i="3"/>
  <c r="A17246" i="3"/>
  <c r="B17245" i="3"/>
  <c r="A17245" i="3"/>
  <c r="B17244" i="3"/>
  <c r="A17244" i="3"/>
  <c r="B17243" i="3"/>
  <c r="A17243" i="3"/>
  <c r="B17242" i="3"/>
  <c r="A17242" i="3"/>
  <c r="B17241" i="3"/>
  <c r="A17241" i="3"/>
  <c r="B17240" i="3"/>
  <c r="A17240" i="3"/>
  <c r="B17239" i="3"/>
  <c r="A17239" i="3"/>
  <c r="B17238" i="3"/>
  <c r="A17238" i="3"/>
  <c r="B17237" i="3"/>
  <c r="A17237" i="3"/>
  <c r="B17236" i="3"/>
  <c r="A17236" i="3"/>
  <c r="B17235" i="3"/>
  <c r="A17235" i="3"/>
  <c r="B17234" i="3"/>
  <c r="A17234" i="3"/>
  <c r="B17233" i="3"/>
  <c r="A17233" i="3"/>
  <c r="B17232" i="3"/>
  <c r="A17232" i="3"/>
  <c r="B17231" i="3"/>
  <c r="A17231" i="3"/>
  <c r="B17230" i="3"/>
  <c r="A17230" i="3"/>
  <c r="B17229" i="3"/>
  <c r="A17229" i="3"/>
  <c r="B17228" i="3"/>
  <c r="A17228" i="3"/>
  <c r="B17227" i="3"/>
  <c r="A17227" i="3"/>
  <c r="B17226" i="3"/>
  <c r="A17226" i="3"/>
  <c r="B17225" i="3"/>
  <c r="A17225" i="3"/>
  <c r="B17224" i="3"/>
  <c r="A17224" i="3"/>
  <c r="B17223" i="3"/>
  <c r="A17223" i="3"/>
  <c r="B17222" i="3"/>
  <c r="A17222" i="3"/>
  <c r="B17221" i="3"/>
  <c r="A17221" i="3"/>
  <c r="B17220" i="3"/>
  <c r="A17220" i="3"/>
  <c r="B17219" i="3"/>
  <c r="A17219" i="3"/>
  <c r="B17218" i="3"/>
  <c r="A17218" i="3"/>
  <c r="B17217" i="3"/>
  <c r="A17217" i="3"/>
  <c r="B17216" i="3"/>
  <c r="A17216" i="3"/>
  <c r="B17215" i="3"/>
  <c r="A17215" i="3"/>
  <c r="B17214" i="3"/>
  <c r="A17214" i="3"/>
  <c r="B17213" i="3"/>
  <c r="A17213" i="3"/>
  <c r="B17212" i="3"/>
  <c r="A17212" i="3"/>
  <c r="B17211" i="3"/>
  <c r="A17211" i="3"/>
  <c r="B17210" i="3"/>
  <c r="A17210" i="3"/>
  <c r="B17209" i="3"/>
  <c r="A17209" i="3"/>
  <c r="B17208" i="3"/>
  <c r="A17208" i="3"/>
  <c r="B17207" i="3"/>
  <c r="A17207" i="3"/>
  <c r="B17206" i="3"/>
  <c r="A17206" i="3"/>
  <c r="B17205" i="3"/>
  <c r="A17205" i="3"/>
  <c r="B17204" i="3"/>
  <c r="A17204" i="3"/>
  <c r="B17203" i="3"/>
  <c r="A17203" i="3"/>
  <c r="B17202" i="3"/>
  <c r="A17202" i="3"/>
  <c r="B17201" i="3"/>
  <c r="A17201" i="3"/>
  <c r="B17200" i="3"/>
  <c r="A17200" i="3"/>
  <c r="B17199" i="3"/>
  <c r="A17199" i="3"/>
  <c r="B17198" i="3"/>
  <c r="A17198" i="3"/>
  <c r="B17197" i="3"/>
  <c r="A17197" i="3"/>
  <c r="B17196" i="3"/>
  <c r="A17196" i="3"/>
  <c r="B17195" i="3"/>
  <c r="A17195" i="3"/>
  <c r="B17194" i="3"/>
  <c r="A17194" i="3"/>
  <c r="B17193" i="3"/>
  <c r="A17193" i="3"/>
  <c r="B17192" i="3"/>
  <c r="A17192" i="3"/>
  <c r="B17191" i="3"/>
  <c r="A17191" i="3"/>
  <c r="B17190" i="3"/>
  <c r="A17190" i="3"/>
  <c r="B17189" i="3"/>
  <c r="A17189" i="3"/>
  <c r="B17188" i="3"/>
  <c r="A17188" i="3"/>
  <c r="B17187" i="3"/>
  <c r="A17187" i="3"/>
  <c r="B17186" i="3"/>
  <c r="A17186" i="3"/>
  <c r="B17185" i="3"/>
  <c r="A17185" i="3"/>
  <c r="B17184" i="3"/>
  <c r="A17184" i="3"/>
  <c r="B17183" i="3"/>
  <c r="A17183" i="3"/>
  <c r="B17182" i="3"/>
  <c r="A17182" i="3"/>
  <c r="B17181" i="3"/>
  <c r="A17181" i="3"/>
  <c r="B17180" i="3"/>
  <c r="A17180" i="3"/>
  <c r="B17179" i="3"/>
  <c r="A17179" i="3"/>
  <c r="B17178" i="3"/>
  <c r="A17178" i="3"/>
  <c r="B17177" i="3"/>
  <c r="A17177" i="3"/>
  <c r="B17176" i="3"/>
  <c r="A17176" i="3"/>
  <c r="B17175" i="3"/>
  <c r="A17175" i="3"/>
  <c r="B17174" i="3"/>
  <c r="A17174" i="3"/>
  <c r="B17173" i="3"/>
  <c r="A17173" i="3"/>
  <c r="B17172" i="3"/>
  <c r="A17172" i="3"/>
  <c r="B17171" i="3"/>
  <c r="A17171" i="3"/>
  <c r="B17170" i="3"/>
  <c r="A17170" i="3"/>
  <c r="B17169" i="3"/>
  <c r="A17169" i="3"/>
  <c r="B17168" i="3"/>
  <c r="A17168" i="3"/>
  <c r="B17167" i="3"/>
  <c r="A17167" i="3"/>
  <c r="B17166" i="3"/>
  <c r="A17166" i="3"/>
  <c r="B17165" i="3"/>
  <c r="A17165" i="3"/>
  <c r="B17164" i="3"/>
  <c r="A17164" i="3"/>
  <c r="B17163" i="3"/>
  <c r="A17163" i="3"/>
  <c r="B17162" i="3"/>
  <c r="A17162" i="3"/>
  <c r="B17161" i="3"/>
  <c r="A17161" i="3"/>
  <c r="B17160" i="3"/>
  <c r="A17160" i="3"/>
  <c r="B17159" i="3"/>
  <c r="A17159" i="3"/>
  <c r="B17158" i="3"/>
  <c r="A17158" i="3"/>
  <c r="B17157" i="3"/>
  <c r="A17157" i="3"/>
  <c r="B17156" i="3"/>
  <c r="A17156" i="3"/>
  <c r="B17155" i="3"/>
  <c r="A17155" i="3"/>
  <c r="B17154" i="3"/>
  <c r="A17154" i="3"/>
  <c r="B17153" i="3"/>
  <c r="A17153" i="3"/>
  <c r="B17152" i="3"/>
  <c r="A17152" i="3"/>
  <c r="B17151" i="3"/>
  <c r="A17151" i="3"/>
  <c r="B17150" i="3"/>
  <c r="A17150" i="3"/>
  <c r="B17149" i="3"/>
  <c r="A17149" i="3"/>
  <c r="B17148" i="3"/>
  <c r="A17148" i="3"/>
  <c r="B17147" i="3"/>
  <c r="A17147" i="3"/>
  <c r="B17146" i="3"/>
  <c r="A17146" i="3"/>
  <c r="B17145" i="3"/>
  <c r="A17145" i="3"/>
  <c r="B17144" i="3"/>
  <c r="A17144" i="3"/>
  <c r="B17143" i="3"/>
  <c r="A17143" i="3"/>
  <c r="B17142" i="3"/>
  <c r="A17142" i="3"/>
  <c r="B17141" i="3"/>
  <c r="A17141" i="3"/>
  <c r="B17140" i="3"/>
  <c r="A17140" i="3"/>
  <c r="B17139" i="3"/>
  <c r="A17139" i="3"/>
  <c r="B17138" i="3"/>
  <c r="A17138" i="3"/>
  <c r="B17137" i="3"/>
  <c r="A17137" i="3"/>
  <c r="B17136" i="3"/>
  <c r="A17136" i="3"/>
  <c r="B17135" i="3"/>
  <c r="A17135" i="3"/>
  <c r="B17134" i="3"/>
  <c r="A17134" i="3"/>
  <c r="B17133" i="3"/>
  <c r="A17133" i="3"/>
  <c r="B17132" i="3"/>
  <c r="A17132" i="3"/>
  <c r="B17131" i="3"/>
  <c r="A17131" i="3"/>
  <c r="B17130" i="3"/>
  <c r="A17130" i="3"/>
  <c r="B17129" i="3"/>
  <c r="A17129" i="3"/>
  <c r="B17128" i="3"/>
  <c r="A17128" i="3"/>
  <c r="B17127" i="3"/>
  <c r="A17127" i="3"/>
  <c r="B17126" i="3"/>
  <c r="A17126" i="3"/>
  <c r="B17125" i="3"/>
  <c r="A17125" i="3"/>
  <c r="B17124" i="3"/>
  <c r="A17124" i="3"/>
  <c r="B17123" i="3"/>
  <c r="A17123" i="3"/>
  <c r="B17122" i="3"/>
  <c r="A17122" i="3"/>
  <c r="B17121" i="3"/>
  <c r="A17121" i="3"/>
  <c r="B17120" i="3"/>
  <c r="A17120" i="3"/>
  <c r="B17119" i="3"/>
  <c r="A17119" i="3"/>
  <c r="B17118" i="3"/>
  <c r="A17118" i="3"/>
  <c r="B17117" i="3"/>
  <c r="A17117" i="3"/>
  <c r="B17116" i="3"/>
  <c r="A17116" i="3"/>
  <c r="B17115" i="3"/>
  <c r="A17115" i="3"/>
  <c r="B17114" i="3"/>
  <c r="A17114" i="3"/>
  <c r="B17113" i="3"/>
  <c r="A17113" i="3"/>
  <c r="B17112" i="3"/>
  <c r="A17112" i="3"/>
  <c r="B17111" i="3"/>
  <c r="A17111" i="3"/>
  <c r="B17110" i="3"/>
  <c r="A17110" i="3"/>
  <c r="B17109" i="3"/>
  <c r="A17109" i="3"/>
  <c r="B17108" i="3"/>
  <c r="A17108" i="3"/>
  <c r="B17107" i="3"/>
  <c r="A17107" i="3"/>
  <c r="B17106" i="3"/>
  <c r="A17106" i="3"/>
  <c r="B17105" i="3"/>
  <c r="A17105" i="3"/>
  <c r="B17104" i="3"/>
  <c r="A17104" i="3"/>
  <c r="B17103" i="3"/>
  <c r="A17103" i="3"/>
  <c r="B17102" i="3"/>
  <c r="A17102" i="3"/>
  <c r="B17101" i="3"/>
  <c r="A17101" i="3"/>
  <c r="B17100" i="3"/>
  <c r="A17100" i="3"/>
  <c r="B17099" i="3"/>
  <c r="A17099" i="3"/>
  <c r="B17098" i="3"/>
  <c r="A17098" i="3"/>
  <c r="B17097" i="3"/>
  <c r="A17097" i="3"/>
  <c r="B17096" i="3"/>
  <c r="A17096" i="3"/>
  <c r="B17095" i="3"/>
  <c r="A17095" i="3"/>
  <c r="B17094" i="3"/>
  <c r="A17094" i="3"/>
  <c r="B17093" i="3"/>
  <c r="A17093" i="3"/>
  <c r="B17092" i="3"/>
  <c r="A17092" i="3"/>
  <c r="B17091" i="3"/>
  <c r="A17091" i="3"/>
  <c r="B17090" i="3"/>
  <c r="A17090" i="3"/>
  <c r="B17089" i="3"/>
  <c r="A17089" i="3"/>
  <c r="B17088" i="3"/>
  <c r="A17088" i="3"/>
  <c r="B17087" i="3"/>
  <c r="A17087" i="3"/>
  <c r="B17086" i="3"/>
  <c r="A17086" i="3"/>
  <c r="B17085" i="3"/>
  <c r="A17085" i="3"/>
  <c r="B17084" i="3"/>
  <c r="A17084" i="3"/>
  <c r="B17083" i="3"/>
  <c r="A17083" i="3"/>
  <c r="B17082" i="3"/>
  <c r="A17082" i="3"/>
  <c r="B17081" i="3"/>
  <c r="A17081" i="3"/>
  <c r="B17080" i="3"/>
  <c r="A17080" i="3"/>
  <c r="B17079" i="3"/>
  <c r="A17079" i="3"/>
  <c r="B17078" i="3"/>
  <c r="A17078" i="3"/>
  <c r="B17077" i="3"/>
  <c r="A17077" i="3"/>
  <c r="B17076" i="3"/>
  <c r="A17076" i="3"/>
  <c r="B17075" i="3"/>
  <c r="A17075" i="3"/>
  <c r="B17074" i="3"/>
  <c r="A17074" i="3"/>
  <c r="B17073" i="3"/>
  <c r="A17073" i="3"/>
  <c r="B17072" i="3"/>
  <c r="A17072" i="3"/>
  <c r="B17071" i="3"/>
  <c r="A17071" i="3"/>
  <c r="B17070" i="3"/>
  <c r="A17070" i="3"/>
  <c r="B17069" i="3"/>
  <c r="A17069" i="3"/>
  <c r="B17068" i="3"/>
  <c r="A17068" i="3"/>
  <c r="B17067" i="3"/>
  <c r="A17067" i="3"/>
  <c r="B17066" i="3"/>
  <c r="A17066" i="3"/>
  <c r="B17065" i="3"/>
  <c r="A17065" i="3"/>
  <c r="B17064" i="3"/>
  <c r="A17064" i="3"/>
  <c r="B17063" i="3"/>
  <c r="A17063" i="3"/>
  <c r="B17062" i="3"/>
  <c r="A17062" i="3"/>
  <c r="B17061" i="3"/>
  <c r="A17061" i="3"/>
  <c r="B17060" i="3"/>
  <c r="A17060" i="3"/>
  <c r="B17059" i="3"/>
  <c r="A17059" i="3"/>
  <c r="B17058" i="3"/>
  <c r="A17058" i="3"/>
  <c r="B17057" i="3"/>
  <c r="A17057" i="3"/>
  <c r="B17056" i="3"/>
  <c r="A17056" i="3"/>
  <c r="B17055" i="3"/>
  <c r="A17055" i="3"/>
  <c r="B17054" i="3"/>
  <c r="A17054" i="3"/>
  <c r="B17053" i="3"/>
  <c r="A17053" i="3"/>
  <c r="B17052" i="3"/>
  <c r="A17052" i="3"/>
  <c r="B17051" i="3"/>
  <c r="A17051" i="3"/>
  <c r="B17050" i="3"/>
  <c r="A17050" i="3"/>
  <c r="B17049" i="3"/>
  <c r="A17049" i="3"/>
  <c r="B17048" i="3"/>
  <c r="A17048" i="3"/>
  <c r="B17047" i="3"/>
  <c r="A17047" i="3"/>
  <c r="B17046" i="3"/>
  <c r="A17046" i="3"/>
  <c r="B17045" i="3"/>
  <c r="A17045" i="3"/>
  <c r="B17044" i="3"/>
  <c r="A17044" i="3"/>
  <c r="B17043" i="3"/>
  <c r="A17043" i="3"/>
  <c r="B17042" i="3"/>
  <c r="A17042" i="3"/>
  <c r="B17041" i="3"/>
  <c r="A17041" i="3"/>
  <c r="B17040" i="3"/>
  <c r="A17040" i="3"/>
  <c r="B17039" i="3"/>
  <c r="A17039" i="3"/>
  <c r="B17038" i="3"/>
  <c r="A17038" i="3"/>
  <c r="B17037" i="3"/>
  <c r="A17037" i="3"/>
  <c r="B17036" i="3"/>
  <c r="A17036" i="3"/>
  <c r="B17035" i="3"/>
  <c r="A17035" i="3"/>
  <c r="B17034" i="3"/>
  <c r="A17034" i="3"/>
  <c r="B17033" i="3"/>
  <c r="A17033" i="3"/>
  <c r="B17032" i="3"/>
  <c r="A17032" i="3"/>
  <c r="B17031" i="3"/>
  <c r="A17031" i="3"/>
  <c r="B17030" i="3"/>
  <c r="A17030" i="3"/>
  <c r="B17029" i="3"/>
  <c r="A17029" i="3"/>
  <c r="B17028" i="3"/>
  <c r="A17028" i="3"/>
  <c r="B17027" i="3"/>
  <c r="A17027" i="3"/>
  <c r="B17026" i="3"/>
  <c r="A17026" i="3"/>
  <c r="B17025" i="3"/>
  <c r="A17025" i="3"/>
  <c r="B17024" i="3"/>
  <c r="A17024" i="3"/>
  <c r="B17023" i="3"/>
  <c r="A17023" i="3"/>
  <c r="B17022" i="3"/>
  <c r="A17022" i="3"/>
  <c r="B17021" i="3"/>
  <c r="A17021" i="3"/>
  <c r="B17020" i="3"/>
  <c r="A17020" i="3"/>
  <c r="B17019" i="3"/>
  <c r="A17019" i="3"/>
  <c r="B17018" i="3"/>
  <c r="A17018" i="3"/>
  <c r="B17017" i="3"/>
  <c r="A17017" i="3"/>
  <c r="B17016" i="3"/>
  <c r="A17016" i="3"/>
  <c r="B17015" i="3"/>
  <c r="A17015" i="3"/>
  <c r="B17014" i="3"/>
  <c r="A17014" i="3"/>
  <c r="B17013" i="3"/>
  <c r="A17013" i="3"/>
  <c r="B17012" i="3"/>
  <c r="A17012" i="3"/>
  <c r="B17011" i="3"/>
  <c r="A17011" i="3"/>
  <c r="B17010" i="3"/>
  <c r="A17010" i="3"/>
  <c r="B17009" i="3"/>
  <c r="A17009" i="3"/>
  <c r="B17008" i="3"/>
  <c r="A17008" i="3"/>
  <c r="B17007" i="3"/>
  <c r="A17007" i="3"/>
  <c r="B17006" i="3"/>
  <c r="A17006" i="3"/>
  <c r="B17005" i="3"/>
  <c r="A17005" i="3"/>
  <c r="B17004" i="3"/>
  <c r="A17004" i="3"/>
  <c r="B17003" i="3"/>
  <c r="A17003" i="3"/>
  <c r="B17002" i="3"/>
  <c r="A17002" i="3"/>
  <c r="B17001" i="3"/>
  <c r="A17001" i="3"/>
  <c r="B17000" i="3"/>
  <c r="A17000" i="3"/>
  <c r="B16999" i="3"/>
  <c r="A16999" i="3"/>
  <c r="B16998" i="3"/>
  <c r="A16998" i="3"/>
  <c r="B16997" i="3"/>
  <c r="A16997" i="3"/>
  <c r="B16996" i="3"/>
  <c r="A16996" i="3"/>
  <c r="B16995" i="3"/>
  <c r="A16995" i="3"/>
  <c r="B16994" i="3"/>
  <c r="A16994" i="3"/>
  <c r="B16993" i="3"/>
  <c r="A16993" i="3"/>
  <c r="B16992" i="3"/>
  <c r="A16992" i="3"/>
  <c r="B16991" i="3"/>
  <c r="A16991" i="3"/>
  <c r="B16990" i="3"/>
  <c r="A16990" i="3"/>
  <c r="B16989" i="3"/>
  <c r="A16989" i="3"/>
  <c r="B16988" i="3"/>
  <c r="A16988" i="3"/>
  <c r="B16987" i="3"/>
  <c r="A16987" i="3"/>
  <c r="B16986" i="3"/>
  <c r="A16986" i="3"/>
  <c r="B16985" i="3"/>
  <c r="A16985" i="3"/>
  <c r="B16984" i="3"/>
  <c r="A16984" i="3"/>
  <c r="B16983" i="3"/>
  <c r="A16983" i="3"/>
  <c r="B16982" i="3"/>
  <c r="A16982" i="3"/>
  <c r="B16981" i="3"/>
  <c r="A16981" i="3"/>
  <c r="B16980" i="3"/>
  <c r="A16980" i="3"/>
  <c r="B16979" i="3"/>
  <c r="A16979" i="3"/>
  <c r="B16978" i="3"/>
  <c r="A16978" i="3"/>
  <c r="B16977" i="3"/>
  <c r="A16977" i="3"/>
  <c r="B16976" i="3"/>
  <c r="A16976" i="3"/>
  <c r="B16975" i="3"/>
  <c r="A16975" i="3"/>
  <c r="B16974" i="3"/>
  <c r="A16974" i="3"/>
  <c r="B16973" i="3"/>
  <c r="A16973" i="3"/>
  <c r="B16972" i="3"/>
  <c r="A16972" i="3"/>
  <c r="B16971" i="3"/>
  <c r="A16971" i="3"/>
  <c r="B16970" i="3"/>
  <c r="A16970" i="3"/>
  <c r="B16969" i="3"/>
  <c r="A16969" i="3"/>
  <c r="B16968" i="3"/>
  <c r="A16968" i="3"/>
  <c r="B16967" i="3"/>
  <c r="A16967" i="3"/>
  <c r="B16966" i="3"/>
  <c r="A16966" i="3"/>
  <c r="B16965" i="3"/>
  <c r="A16965" i="3"/>
  <c r="B16964" i="3"/>
  <c r="A16964" i="3"/>
  <c r="B16963" i="3"/>
  <c r="A16963" i="3"/>
  <c r="B16962" i="3"/>
  <c r="A16962" i="3"/>
  <c r="B16961" i="3"/>
  <c r="A16961" i="3"/>
  <c r="B16960" i="3"/>
  <c r="A16960" i="3"/>
  <c r="B16959" i="3"/>
  <c r="A16959" i="3"/>
  <c r="B16958" i="3"/>
  <c r="A16958" i="3"/>
  <c r="B16957" i="3"/>
  <c r="A16957" i="3"/>
  <c r="B16956" i="3"/>
  <c r="A16956" i="3"/>
  <c r="B16955" i="3"/>
  <c r="A16955" i="3"/>
  <c r="B16954" i="3"/>
  <c r="A16954" i="3"/>
  <c r="B16953" i="3"/>
  <c r="A16953" i="3"/>
  <c r="B16952" i="3"/>
  <c r="A16952" i="3"/>
  <c r="B16951" i="3"/>
  <c r="A16951" i="3"/>
  <c r="B16950" i="3"/>
  <c r="A16950" i="3"/>
  <c r="B16949" i="3"/>
  <c r="A16949" i="3"/>
  <c r="B16948" i="3"/>
  <c r="A16948" i="3"/>
  <c r="B16947" i="3"/>
  <c r="A16947" i="3"/>
  <c r="B16946" i="3"/>
  <c r="A16946" i="3"/>
  <c r="B16945" i="3"/>
  <c r="B16944" i="3"/>
  <c r="A16944" i="3"/>
  <c r="B16943" i="3"/>
  <c r="A16943" i="3"/>
  <c r="B16942" i="3"/>
  <c r="A16942" i="3"/>
  <c r="B16941" i="3"/>
  <c r="A16941" i="3"/>
  <c r="B16940" i="3"/>
  <c r="A16940" i="3"/>
  <c r="B16939" i="3"/>
  <c r="A16939" i="3"/>
  <c r="B16938" i="3"/>
  <c r="A16938" i="3"/>
  <c r="B16937" i="3"/>
  <c r="A16937" i="3"/>
  <c r="B16936" i="3"/>
  <c r="A16936" i="3"/>
  <c r="B16935" i="3"/>
  <c r="A16935" i="3"/>
  <c r="B16934" i="3"/>
  <c r="A16934" i="3"/>
  <c r="B16933" i="3"/>
  <c r="A16933" i="3"/>
  <c r="B16932" i="3"/>
  <c r="A16932" i="3"/>
  <c r="B16931" i="3"/>
  <c r="A16931" i="3"/>
  <c r="B16930" i="3"/>
  <c r="A16930" i="3"/>
  <c r="B16929" i="3"/>
  <c r="A16929" i="3"/>
  <c r="B16928" i="3"/>
  <c r="A16928" i="3"/>
  <c r="B16927" i="3"/>
  <c r="A16927" i="3"/>
  <c r="B16926" i="3"/>
  <c r="A16926" i="3"/>
  <c r="B16925" i="3"/>
  <c r="A16925" i="3"/>
  <c r="B16924" i="3"/>
  <c r="A16924" i="3"/>
  <c r="B16923" i="3"/>
  <c r="A16923" i="3"/>
  <c r="B16922" i="3"/>
  <c r="A16922" i="3"/>
  <c r="B16921" i="3"/>
  <c r="A16921" i="3"/>
  <c r="B16920" i="3"/>
  <c r="A16920" i="3"/>
  <c r="B16919" i="3"/>
  <c r="A16919" i="3"/>
  <c r="B16918" i="3"/>
  <c r="A16918" i="3"/>
  <c r="B16917" i="3"/>
  <c r="A16917" i="3"/>
  <c r="B16916" i="3"/>
  <c r="A16916" i="3"/>
  <c r="B16915" i="3"/>
  <c r="A16915" i="3"/>
  <c r="B16914" i="3"/>
  <c r="A16914" i="3"/>
  <c r="B16913" i="3"/>
  <c r="A16913" i="3"/>
  <c r="B16912" i="3"/>
  <c r="A16912" i="3"/>
  <c r="B16911" i="3"/>
  <c r="A16911" i="3"/>
  <c r="B16910" i="3"/>
  <c r="A16910" i="3"/>
  <c r="B16909" i="3"/>
  <c r="A16909" i="3"/>
  <c r="B16908" i="3"/>
  <c r="A16908" i="3"/>
  <c r="B16907" i="3"/>
  <c r="A16907" i="3"/>
  <c r="B16906" i="3"/>
  <c r="A16906" i="3"/>
  <c r="B16905" i="3"/>
  <c r="A16905" i="3"/>
  <c r="B16904" i="3"/>
  <c r="A16904" i="3"/>
  <c r="B16903" i="3"/>
  <c r="A16903" i="3"/>
  <c r="B16902" i="3"/>
  <c r="A16902" i="3"/>
  <c r="B16901" i="3"/>
  <c r="A16901" i="3"/>
  <c r="B16900" i="3"/>
  <c r="A16900" i="3"/>
  <c r="B16899" i="3"/>
  <c r="A16899" i="3"/>
  <c r="B16898" i="3"/>
  <c r="A16898" i="3"/>
  <c r="B16897" i="3"/>
  <c r="A16897" i="3"/>
  <c r="B16896" i="3"/>
  <c r="A16896" i="3"/>
  <c r="B16895" i="3"/>
  <c r="A16895" i="3"/>
  <c r="B16894" i="3"/>
  <c r="A16894" i="3"/>
  <c r="B16893" i="3"/>
  <c r="A16893" i="3"/>
  <c r="B16892" i="3"/>
  <c r="A16892" i="3"/>
  <c r="B16891" i="3"/>
  <c r="A16891" i="3"/>
  <c r="B16890" i="3"/>
  <c r="A16890" i="3"/>
  <c r="B16889" i="3"/>
  <c r="A16889" i="3"/>
  <c r="B16888" i="3"/>
  <c r="A16888" i="3"/>
  <c r="B16887" i="3"/>
  <c r="A16887" i="3"/>
  <c r="B16886" i="3"/>
  <c r="A16886" i="3"/>
  <c r="B16885" i="3"/>
  <c r="A16885" i="3"/>
  <c r="B16884" i="3"/>
  <c r="A16884" i="3"/>
  <c r="B16883" i="3"/>
  <c r="A16883" i="3"/>
  <c r="B16882" i="3"/>
  <c r="B16881" i="3"/>
  <c r="A16881" i="3"/>
  <c r="B16880" i="3"/>
  <c r="A16880" i="3"/>
  <c r="B16879" i="3"/>
  <c r="A16879" i="3"/>
  <c r="B16878" i="3"/>
  <c r="A16878" i="3"/>
  <c r="B16877" i="3"/>
  <c r="A16877" i="3"/>
  <c r="B16876" i="3"/>
  <c r="A16876" i="3"/>
  <c r="B16875" i="3"/>
  <c r="A16875" i="3"/>
  <c r="B16874" i="3"/>
  <c r="A16874" i="3"/>
  <c r="B16873" i="3"/>
  <c r="A16873" i="3"/>
  <c r="B16872" i="3"/>
  <c r="A16872" i="3"/>
  <c r="B16871" i="3"/>
  <c r="A16871" i="3"/>
  <c r="B16870" i="3"/>
  <c r="A16870" i="3"/>
  <c r="B16869" i="3"/>
  <c r="A16869" i="3"/>
  <c r="B16868" i="3"/>
  <c r="A16868" i="3"/>
  <c r="B16867" i="3"/>
  <c r="A16867" i="3"/>
  <c r="B16866" i="3"/>
  <c r="A16866" i="3"/>
  <c r="B16865" i="3"/>
  <c r="A16865" i="3"/>
  <c r="B16864" i="3"/>
  <c r="A16864" i="3"/>
  <c r="B16863" i="3"/>
  <c r="A16863" i="3"/>
  <c r="B16862" i="3"/>
  <c r="A16862" i="3"/>
  <c r="B16861" i="3"/>
  <c r="A16861" i="3"/>
  <c r="B16860" i="3"/>
  <c r="A16860" i="3"/>
  <c r="B16859" i="3"/>
  <c r="A16859" i="3"/>
  <c r="B16858" i="3"/>
  <c r="A16858" i="3"/>
  <c r="B16857" i="3"/>
  <c r="A16857" i="3"/>
  <c r="B16856" i="3"/>
  <c r="A16856" i="3"/>
  <c r="B16855" i="3"/>
  <c r="A16855" i="3"/>
  <c r="B16854" i="3"/>
  <c r="A16854" i="3"/>
  <c r="B16853" i="3"/>
  <c r="A16853" i="3"/>
  <c r="B16852" i="3"/>
  <c r="A16852" i="3"/>
  <c r="B16851" i="3"/>
  <c r="A16851" i="3"/>
  <c r="B16850" i="3"/>
  <c r="A16850" i="3"/>
  <c r="B16849" i="3"/>
  <c r="A16849" i="3"/>
  <c r="B16848" i="3"/>
  <c r="A16848" i="3"/>
  <c r="B16847" i="3"/>
  <c r="A16847" i="3"/>
  <c r="B16846" i="3"/>
  <c r="A16846" i="3"/>
  <c r="B16845" i="3"/>
  <c r="A16845" i="3"/>
  <c r="B16844" i="3"/>
  <c r="A16844" i="3"/>
  <c r="B16843" i="3"/>
  <c r="A16843" i="3"/>
  <c r="B16842" i="3"/>
  <c r="A16842" i="3"/>
  <c r="B16841" i="3"/>
  <c r="A16841" i="3"/>
  <c r="B16840" i="3"/>
  <c r="A16840" i="3"/>
  <c r="B16839" i="3"/>
  <c r="A16839" i="3"/>
  <c r="B16838" i="3"/>
  <c r="A16838" i="3"/>
  <c r="B16837" i="3"/>
  <c r="A16837" i="3"/>
  <c r="B16836" i="3"/>
  <c r="A16836" i="3"/>
  <c r="B16835" i="3"/>
  <c r="A16835" i="3"/>
  <c r="B16834" i="3"/>
  <c r="A16834" i="3"/>
  <c r="B16833" i="3"/>
  <c r="A16833" i="3"/>
  <c r="B16832" i="3"/>
  <c r="A16832" i="3"/>
  <c r="B16831" i="3"/>
  <c r="A16831" i="3"/>
  <c r="B16830" i="3"/>
  <c r="A16830" i="3"/>
  <c r="B16829" i="3"/>
  <c r="A16829" i="3"/>
  <c r="B16828" i="3"/>
  <c r="A16828" i="3"/>
  <c r="B16827" i="3"/>
  <c r="A16827" i="3"/>
  <c r="B16826" i="3"/>
  <c r="A16826" i="3"/>
  <c r="B16825" i="3"/>
  <c r="A16825" i="3"/>
  <c r="B16824" i="3"/>
  <c r="A16824" i="3"/>
  <c r="B16823" i="3"/>
  <c r="A16823" i="3"/>
  <c r="B16822" i="3"/>
  <c r="A16822" i="3"/>
  <c r="B16821" i="3"/>
  <c r="A16821" i="3"/>
  <c r="B16820" i="3"/>
  <c r="A16820" i="3"/>
  <c r="B16819" i="3"/>
  <c r="A16819" i="3"/>
  <c r="B16818" i="3"/>
  <c r="A16818" i="3"/>
  <c r="B16817" i="3"/>
  <c r="A16817" i="3"/>
  <c r="B16816" i="3"/>
  <c r="A16816" i="3"/>
  <c r="B16815" i="3"/>
  <c r="A16815" i="3"/>
  <c r="B16814" i="3"/>
  <c r="A16814" i="3"/>
  <c r="B16813" i="3"/>
  <c r="A16813" i="3"/>
  <c r="B16812" i="3"/>
  <c r="A16812" i="3"/>
  <c r="B16811" i="3"/>
  <c r="A16811" i="3"/>
  <c r="B16810" i="3"/>
  <c r="A16810" i="3"/>
  <c r="B16809" i="3"/>
  <c r="A16809" i="3"/>
  <c r="B16808" i="3"/>
  <c r="A16808" i="3"/>
  <c r="B16807" i="3"/>
  <c r="A16807" i="3"/>
  <c r="B16806" i="3"/>
  <c r="A16806" i="3"/>
  <c r="B16805" i="3"/>
  <c r="A16805" i="3"/>
  <c r="B16804" i="3"/>
  <c r="A16804" i="3"/>
  <c r="B16803" i="3"/>
  <c r="A16803" i="3"/>
  <c r="B16802" i="3"/>
  <c r="A16802" i="3"/>
  <c r="B16801" i="3"/>
  <c r="A16801" i="3"/>
  <c r="B16800" i="3"/>
  <c r="A16800" i="3"/>
  <c r="B16799" i="3"/>
  <c r="A16799" i="3"/>
  <c r="B16798" i="3"/>
  <c r="A16798" i="3"/>
  <c r="B16797" i="3"/>
  <c r="A16797" i="3"/>
  <c r="B16796" i="3"/>
  <c r="A16796" i="3"/>
  <c r="B16795" i="3"/>
  <c r="A16795" i="3"/>
  <c r="B16794" i="3"/>
  <c r="A16794" i="3"/>
  <c r="B16793" i="3"/>
  <c r="A16793" i="3"/>
  <c r="B16792" i="3"/>
  <c r="A16792" i="3"/>
  <c r="B16791" i="3"/>
  <c r="A16791" i="3"/>
  <c r="B16790" i="3"/>
  <c r="A16790" i="3"/>
  <c r="B16789" i="3"/>
  <c r="A16789" i="3"/>
  <c r="B16788" i="3"/>
  <c r="A16788" i="3"/>
  <c r="B16787" i="3"/>
  <c r="A16787" i="3"/>
  <c r="B16786" i="3"/>
  <c r="A16786" i="3"/>
  <c r="B16785" i="3"/>
  <c r="A16785" i="3"/>
  <c r="B16784" i="3"/>
  <c r="A16784" i="3"/>
  <c r="B16783" i="3"/>
  <c r="A16783" i="3"/>
  <c r="B16782" i="3"/>
  <c r="A16782" i="3"/>
  <c r="B16781" i="3"/>
  <c r="A16781" i="3"/>
  <c r="B16780" i="3"/>
  <c r="A16780" i="3"/>
  <c r="B16779" i="3"/>
  <c r="A16779" i="3"/>
  <c r="B16778" i="3"/>
  <c r="A16778" i="3"/>
  <c r="B16777" i="3"/>
  <c r="A16777" i="3"/>
  <c r="B16776" i="3"/>
  <c r="A16776" i="3"/>
  <c r="B16775" i="3"/>
  <c r="A16775" i="3"/>
  <c r="B16774" i="3"/>
  <c r="A16774" i="3"/>
  <c r="B16773" i="3"/>
  <c r="A16773" i="3"/>
  <c r="B16772" i="3"/>
  <c r="A16772" i="3"/>
  <c r="B16771" i="3"/>
  <c r="A16771" i="3"/>
  <c r="B16770" i="3"/>
  <c r="A16770" i="3"/>
  <c r="B16769" i="3"/>
  <c r="A16769" i="3"/>
  <c r="B16768" i="3"/>
  <c r="A16768" i="3"/>
  <c r="B16767" i="3"/>
  <c r="A16767" i="3"/>
  <c r="B16766" i="3"/>
  <c r="A16766" i="3"/>
  <c r="B16765" i="3"/>
  <c r="A16765" i="3"/>
  <c r="B16764" i="3"/>
  <c r="A16764" i="3"/>
  <c r="B16763" i="3"/>
  <c r="A16763" i="3"/>
  <c r="B16762" i="3"/>
  <c r="A16762" i="3"/>
  <c r="B16761" i="3"/>
  <c r="A16761" i="3"/>
  <c r="B16760" i="3"/>
  <c r="A16760" i="3"/>
  <c r="B16759" i="3"/>
  <c r="A16759" i="3"/>
  <c r="B16758" i="3"/>
  <c r="A16758" i="3"/>
  <c r="B16757" i="3"/>
  <c r="A16757" i="3"/>
  <c r="B16756" i="3"/>
  <c r="A16756" i="3"/>
  <c r="B16755" i="3"/>
  <c r="A16755" i="3"/>
  <c r="B16754" i="3"/>
  <c r="A16754" i="3"/>
  <c r="B16753" i="3"/>
  <c r="A16753" i="3"/>
  <c r="B16752" i="3"/>
  <c r="A16752" i="3"/>
  <c r="B16751" i="3"/>
  <c r="A16751" i="3"/>
  <c r="B16750" i="3"/>
  <c r="A16750" i="3"/>
  <c r="B16749" i="3"/>
  <c r="A16749" i="3"/>
  <c r="B16748" i="3"/>
  <c r="A16748" i="3"/>
  <c r="B16747" i="3"/>
  <c r="A16747" i="3"/>
  <c r="B16746" i="3"/>
  <c r="A16746" i="3"/>
  <c r="B16745" i="3"/>
  <c r="A16745" i="3"/>
  <c r="B16744" i="3"/>
  <c r="A16744" i="3"/>
  <c r="B16743" i="3"/>
  <c r="A16743" i="3"/>
  <c r="B16742" i="3"/>
  <c r="A16742" i="3"/>
  <c r="B16741" i="3"/>
  <c r="A16741" i="3"/>
  <c r="B16740" i="3"/>
  <c r="A16740" i="3"/>
  <c r="B16739" i="3"/>
  <c r="A16739" i="3"/>
  <c r="B16738" i="3"/>
  <c r="A16738" i="3"/>
  <c r="B16737" i="3"/>
  <c r="A16737" i="3"/>
  <c r="B16736" i="3"/>
  <c r="A16736" i="3"/>
  <c r="B16735" i="3"/>
  <c r="A16735" i="3"/>
  <c r="B16734" i="3"/>
  <c r="A16734" i="3"/>
  <c r="B16733" i="3"/>
  <c r="A16733" i="3"/>
  <c r="B16732" i="3"/>
  <c r="A16732" i="3"/>
  <c r="B16731" i="3"/>
  <c r="A16731" i="3"/>
  <c r="B16730" i="3"/>
  <c r="A16730" i="3"/>
  <c r="B16729" i="3"/>
  <c r="A16729" i="3"/>
  <c r="B16728" i="3"/>
  <c r="A16728" i="3"/>
  <c r="B16727" i="3"/>
  <c r="A16727" i="3"/>
  <c r="B16726" i="3"/>
  <c r="A16726" i="3"/>
  <c r="B16725" i="3"/>
  <c r="A16725" i="3"/>
  <c r="B16724" i="3"/>
  <c r="A16724" i="3"/>
  <c r="B16723" i="3"/>
  <c r="A16723" i="3"/>
  <c r="B16722" i="3"/>
  <c r="A16722" i="3"/>
  <c r="B16721" i="3"/>
  <c r="A16721" i="3"/>
  <c r="B16720" i="3"/>
  <c r="A16720" i="3"/>
  <c r="B16719" i="3"/>
  <c r="A16719" i="3"/>
  <c r="B16718" i="3"/>
  <c r="A16718" i="3"/>
  <c r="B16717" i="3"/>
  <c r="A16717" i="3"/>
  <c r="B16716" i="3"/>
  <c r="A16716" i="3"/>
  <c r="B16715" i="3"/>
  <c r="A16715" i="3"/>
  <c r="B16714" i="3"/>
  <c r="A16714" i="3"/>
  <c r="B16713" i="3"/>
  <c r="A16713" i="3"/>
  <c r="B16712" i="3"/>
  <c r="A16712" i="3"/>
  <c r="B16711" i="3"/>
  <c r="A16711" i="3"/>
  <c r="B16710" i="3"/>
  <c r="A16710" i="3"/>
  <c r="B16709" i="3"/>
  <c r="A16709" i="3"/>
  <c r="B16708" i="3"/>
  <c r="A16708" i="3"/>
  <c r="B16707" i="3"/>
  <c r="A16707" i="3"/>
  <c r="B16706" i="3"/>
  <c r="A16706" i="3"/>
  <c r="B16705" i="3"/>
  <c r="A16705" i="3"/>
  <c r="B16704" i="3"/>
  <c r="A16704" i="3"/>
  <c r="B16703" i="3"/>
  <c r="A16703" i="3"/>
  <c r="B16702" i="3"/>
  <c r="A16702" i="3"/>
  <c r="B16701" i="3"/>
  <c r="A16701" i="3"/>
  <c r="B16700" i="3"/>
  <c r="A16700" i="3"/>
  <c r="B16699" i="3"/>
  <c r="A16699" i="3"/>
  <c r="B16698" i="3"/>
  <c r="A16698" i="3"/>
  <c r="B16697" i="3"/>
  <c r="A16697" i="3"/>
  <c r="B16696" i="3"/>
  <c r="A16696" i="3"/>
  <c r="B16695" i="3"/>
  <c r="A16695" i="3"/>
  <c r="B16694" i="3"/>
  <c r="A16694" i="3"/>
  <c r="B16693" i="3"/>
  <c r="A16693" i="3"/>
  <c r="B16692" i="3"/>
  <c r="A16692" i="3"/>
  <c r="B16691" i="3"/>
  <c r="A16691" i="3"/>
  <c r="B16690" i="3"/>
  <c r="A16690" i="3"/>
  <c r="B16689" i="3"/>
  <c r="A16689" i="3"/>
  <c r="B16688" i="3"/>
  <c r="A16688" i="3"/>
  <c r="B16687" i="3"/>
  <c r="A16687" i="3"/>
  <c r="B16686" i="3"/>
  <c r="A16686" i="3"/>
  <c r="B16685" i="3"/>
  <c r="A16685" i="3"/>
  <c r="B16684" i="3"/>
  <c r="A16684" i="3"/>
  <c r="B16683" i="3"/>
  <c r="A16683" i="3"/>
  <c r="B16682" i="3"/>
  <c r="A16682" i="3"/>
  <c r="B16681" i="3"/>
  <c r="A16681" i="3"/>
  <c r="B16680" i="3"/>
  <c r="A16680" i="3"/>
  <c r="B16679" i="3"/>
  <c r="A16679" i="3"/>
  <c r="B16678" i="3"/>
  <c r="A16678" i="3"/>
  <c r="B16677" i="3"/>
  <c r="A16677" i="3"/>
  <c r="B16676" i="3"/>
  <c r="A16676" i="3"/>
  <c r="B16675" i="3"/>
  <c r="A16675" i="3"/>
  <c r="B16674" i="3"/>
  <c r="A16674" i="3"/>
  <c r="B16673" i="3"/>
  <c r="A16673" i="3"/>
  <c r="B16672" i="3"/>
  <c r="A16672" i="3"/>
  <c r="B16671" i="3"/>
  <c r="A16671" i="3"/>
  <c r="B16670" i="3"/>
  <c r="A16670" i="3"/>
  <c r="B16669" i="3"/>
  <c r="A16669" i="3"/>
  <c r="B16668" i="3"/>
  <c r="A16668" i="3"/>
  <c r="B16667" i="3"/>
  <c r="A16667" i="3"/>
  <c r="B16666" i="3"/>
  <c r="A16666" i="3"/>
  <c r="B16665" i="3"/>
  <c r="A16665" i="3"/>
  <c r="B16664" i="3"/>
  <c r="A16664" i="3"/>
  <c r="B16663" i="3"/>
  <c r="A16663" i="3"/>
  <c r="B16662" i="3"/>
  <c r="A16662" i="3"/>
  <c r="B16661" i="3"/>
  <c r="A16661" i="3"/>
  <c r="B16660" i="3"/>
  <c r="A16660" i="3"/>
  <c r="B16659" i="3"/>
  <c r="A16659" i="3"/>
  <c r="B16658" i="3"/>
  <c r="A16658" i="3"/>
  <c r="B16657" i="3"/>
  <c r="A16657" i="3"/>
  <c r="B16656" i="3"/>
  <c r="A16656" i="3"/>
  <c r="B16655" i="3"/>
  <c r="A16655" i="3"/>
  <c r="B16654" i="3"/>
  <c r="A16654" i="3"/>
  <c r="B16653" i="3"/>
  <c r="A16653" i="3"/>
  <c r="B16652" i="3"/>
  <c r="A16652" i="3"/>
  <c r="B16651" i="3"/>
  <c r="A16651" i="3"/>
  <c r="B16650" i="3"/>
  <c r="A16650" i="3"/>
  <c r="B16649" i="3"/>
  <c r="A16649" i="3"/>
  <c r="B16648" i="3"/>
  <c r="A16648" i="3"/>
  <c r="B16647" i="3"/>
  <c r="A16647" i="3"/>
  <c r="B16646" i="3"/>
  <c r="A16646" i="3"/>
  <c r="B16645" i="3"/>
  <c r="A16645" i="3"/>
  <c r="B16644" i="3"/>
  <c r="A16644" i="3"/>
  <c r="B16643" i="3"/>
  <c r="A16643" i="3"/>
  <c r="B16642" i="3"/>
  <c r="A16642" i="3"/>
  <c r="B16641" i="3"/>
  <c r="A16641" i="3"/>
  <c r="B16640" i="3"/>
  <c r="A16640" i="3"/>
  <c r="B16639" i="3"/>
  <c r="A16639" i="3"/>
  <c r="B16638" i="3"/>
  <c r="A16638" i="3"/>
  <c r="B16637" i="3"/>
  <c r="A16637" i="3"/>
  <c r="B16636" i="3"/>
  <c r="A16636" i="3"/>
  <c r="B16635" i="3"/>
  <c r="A16635" i="3"/>
  <c r="B16634" i="3"/>
  <c r="A16634" i="3"/>
  <c r="B16633" i="3"/>
  <c r="A16633" i="3"/>
  <c r="B16632" i="3"/>
  <c r="A16632" i="3"/>
  <c r="B16631" i="3"/>
  <c r="A16631" i="3"/>
  <c r="B16630" i="3"/>
  <c r="A16630" i="3"/>
  <c r="B16629" i="3"/>
  <c r="A16629" i="3"/>
  <c r="B16628" i="3"/>
  <c r="A16628" i="3"/>
  <c r="B16627" i="3"/>
  <c r="A16627" i="3"/>
  <c r="B16626" i="3"/>
  <c r="A16626" i="3"/>
  <c r="B16625" i="3"/>
  <c r="A16625" i="3"/>
  <c r="B16624" i="3"/>
  <c r="A16624" i="3"/>
  <c r="B16623" i="3"/>
  <c r="A16623" i="3"/>
  <c r="B16622" i="3"/>
  <c r="A16622" i="3"/>
  <c r="B16621" i="3"/>
  <c r="A16621" i="3"/>
  <c r="B16620" i="3"/>
  <c r="A16620" i="3"/>
  <c r="B16619" i="3"/>
  <c r="A16619" i="3"/>
  <c r="B16618" i="3"/>
  <c r="A16618" i="3"/>
  <c r="B16617" i="3"/>
  <c r="A16617" i="3"/>
  <c r="B16616" i="3"/>
  <c r="A16616" i="3"/>
  <c r="B16615" i="3"/>
  <c r="A16615" i="3"/>
  <c r="B16614" i="3"/>
  <c r="A16614" i="3"/>
  <c r="B16613" i="3"/>
  <c r="A16613" i="3"/>
  <c r="B16612" i="3"/>
  <c r="A16612" i="3"/>
  <c r="B16611" i="3"/>
  <c r="A16611" i="3"/>
  <c r="B16610" i="3"/>
  <c r="A16610" i="3"/>
  <c r="B16609" i="3"/>
  <c r="A16609" i="3"/>
  <c r="B16608" i="3"/>
  <c r="A16608" i="3"/>
  <c r="B16607" i="3"/>
  <c r="A16607" i="3"/>
  <c r="B16606" i="3"/>
  <c r="A16606" i="3"/>
  <c r="B16605" i="3"/>
  <c r="A16605" i="3"/>
  <c r="B16604" i="3"/>
  <c r="A16604" i="3"/>
  <c r="B16603" i="3"/>
  <c r="A16603" i="3"/>
  <c r="B16602" i="3"/>
  <c r="A16602" i="3"/>
  <c r="B16601" i="3"/>
  <c r="A16601" i="3"/>
  <c r="B16600" i="3"/>
  <c r="A16600" i="3"/>
  <c r="B16599" i="3"/>
  <c r="A16599" i="3"/>
  <c r="B16598" i="3"/>
  <c r="A16598" i="3"/>
  <c r="B16597" i="3"/>
  <c r="A16597" i="3"/>
  <c r="B16596" i="3"/>
  <c r="A16596" i="3"/>
  <c r="B16595" i="3"/>
  <c r="A16595" i="3"/>
  <c r="B16594" i="3"/>
  <c r="A16594" i="3"/>
  <c r="B16593" i="3"/>
  <c r="A16593" i="3"/>
  <c r="B16592" i="3"/>
  <c r="A16592" i="3"/>
  <c r="B16591" i="3"/>
  <c r="A16591" i="3"/>
  <c r="B16590" i="3"/>
  <c r="A16590" i="3"/>
  <c r="B16589" i="3"/>
  <c r="A16589" i="3"/>
  <c r="B16588" i="3"/>
  <c r="A16588" i="3"/>
  <c r="B16587" i="3"/>
  <c r="A16587" i="3"/>
  <c r="B16586" i="3"/>
  <c r="A16586" i="3"/>
  <c r="B16585" i="3"/>
  <c r="A16585" i="3"/>
  <c r="B16584" i="3"/>
  <c r="A16584" i="3"/>
  <c r="B16583" i="3"/>
  <c r="A16583" i="3"/>
  <c r="B16582" i="3"/>
  <c r="A16582" i="3"/>
  <c r="B16581" i="3"/>
  <c r="A16581" i="3"/>
  <c r="B16580" i="3"/>
  <c r="A16580" i="3"/>
  <c r="B16579" i="3"/>
  <c r="A16579" i="3"/>
  <c r="B16578" i="3"/>
  <c r="A16578" i="3"/>
  <c r="B16577" i="3"/>
  <c r="A16577" i="3"/>
  <c r="B16576" i="3"/>
  <c r="A16576" i="3"/>
  <c r="B16575" i="3"/>
  <c r="A16575" i="3"/>
  <c r="B16574" i="3"/>
  <c r="A16574" i="3"/>
  <c r="B16573" i="3"/>
  <c r="A16573" i="3"/>
  <c r="B16572" i="3"/>
  <c r="A16572" i="3"/>
  <c r="B16571" i="3"/>
  <c r="A16571" i="3"/>
  <c r="B16570" i="3"/>
  <c r="A16570" i="3"/>
  <c r="B16569" i="3"/>
  <c r="A16569" i="3"/>
  <c r="B16568" i="3"/>
  <c r="A16568" i="3"/>
  <c r="B16567" i="3"/>
  <c r="A16567" i="3"/>
  <c r="B16566" i="3"/>
  <c r="A16566" i="3"/>
  <c r="B16565" i="3"/>
  <c r="A16565" i="3"/>
  <c r="B16564" i="3"/>
  <c r="A16564" i="3"/>
  <c r="B16563" i="3"/>
  <c r="A16563" i="3"/>
  <c r="B16562" i="3"/>
  <c r="A16562" i="3"/>
  <c r="B16561" i="3"/>
  <c r="A16561" i="3"/>
  <c r="B16560" i="3"/>
  <c r="A16560" i="3"/>
  <c r="B16559" i="3"/>
  <c r="A16559" i="3"/>
  <c r="B16558" i="3"/>
  <c r="A16558" i="3"/>
  <c r="B16557" i="3"/>
  <c r="A16557" i="3"/>
  <c r="B16556" i="3"/>
  <c r="A16556" i="3"/>
  <c r="B16555" i="3"/>
  <c r="A16555" i="3"/>
  <c r="B16554" i="3"/>
  <c r="A16554" i="3"/>
  <c r="B16553" i="3"/>
  <c r="A16553" i="3"/>
  <c r="B16552" i="3"/>
  <c r="A16552" i="3"/>
  <c r="B16551" i="3"/>
  <c r="A16551" i="3"/>
  <c r="B16550" i="3"/>
  <c r="A16550" i="3"/>
  <c r="B16549" i="3"/>
  <c r="A16549" i="3"/>
  <c r="B16548" i="3"/>
  <c r="A16548" i="3"/>
  <c r="B16547" i="3"/>
  <c r="A16547" i="3"/>
  <c r="B16546" i="3"/>
  <c r="A16546" i="3"/>
  <c r="B16545" i="3"/>
  <c r="A16545" i="3"/>
  <c r="B16544" i="3"/>
  <c r="A16544" i="3"/>
  <c r="B16543" i="3"/>
  <c r="A16543" i="3"/>
  <c r="B16542" i="3"/>
  <c r="A16542" i="3"/>
  <c r="B16541" i="3"/>
  <c r="A16541" i="3"/>
  <c r="B16540" i="3"/>
  <c r="A16540" i="3"/>
  <c r="B16539" i="3"/>
  <c r="A16539" i="3"/>
  <c r="B16538" i="3"/>
  <c r="A16538" i="3"/>
  <c r="B16537" i="3"/>
  <c r="A16537" i="3"/>
  <c r="B16536" i="3"/>
  <c r="A16536" i="3"/>
  <c r="B16535" i="3"/>
  <c r="A16535" i="3"/>
  <c r="B16534" i="3"/>
  <c r="A16534" i="3"/>
  <c r="B16533" i="3"/>
  <c r="A16533" i="3"/>
  <c r="B16532" i="3"/>
  <c r="A16532" i="3"/>
  <c r="B16531" i="3"/>
  <c r="A16531" i="3"/>
  <c r="B16530" i="3"/>
  <c r="A16530" i="3"/>
  <c r="B16529" i="3"/>
  <c r="A16529" i="3"/>
  <c r="B16528" i="3"/>
  <c r="A16528" i="3"/>
  <c r="B16527" i="3"/>
  <c r="A16527" i="3"/>
  <c r="B16526" i="3"/>
  <c r="A16526" i="3"/>
  <c r="B16525" i="3"/>
  <c r="A16525" i="3"/>
  <c r="B16524" i="3"/>
  <c r="A16524" i="3"/>
  <c r="B16523" i="3"/>
  <c r="A16523" i="3"/>
  <c r="B16522" i="3"/>
  <c r="A16522" i="3"/>
  <c r="B16521" i="3"/>
  <c r="A16521" i="3"/>
  <c r="B16520" i="3"/>
  <c r="A16520" i="3"/>
  <c r="B16519" i="3"/>
  <c r="A16519" i="3"/>
  <c r="B16518" i="3"/>
  <c r="A16518" i="3"/>
  <c r="B16517" i="3"/>
  <c r="A16517" i="3"/>
  <c r="B16516" i="3"/>
  <c r="A16516" i="3"/>
  <c r="B16515" i="3"/>
  <c r="A16515" i="3"/>
  <c r="B16514" i="3"/>
  <c r="A16514" i="3"/>
  <c r="B16513" i="3"/>
  <c r="A16513" i="3"/>
  <c r="B16512" i="3"/>
  <c r="A16512" i="3"/>
  <c r="B16511" i="3"/>
  <c r="A16511" i="3"/>
  <c r="B16510" i="3"/>
  <c r="A16510" i="3"/>
  <c r="B16509" i="3"/>
  <c r="A16509" i="3"/>
  <c r="B16508" i="3"/>
  <c r="A16508" i="3"/>
  <c r="B16507" i="3"/>
  <c r="A16507" i="3"/>
  <c r="B16506" i="3"/>
  <c r="A16506" i="3"/>
  <c r="B16505" i="3"/>
  <c r="A16505" i="3"/>
  <c r="B16504" i="3"/>
  <c r="A16504" i="3"/>
  <c r="B16503" i="3"/>
  <c r="A16503" i="3"/>
  <c r="B16502" i="3"/>
  <c r="A16502" i="3"/>
  <c r="B16501" i="3"/>
  <c r="A16501" i="3"/>
  <c r="B16500" i="3"/>
  <c r="A16500" i="3"/>
  <c r="B16499" i="3"/>
  <c r="A16499" i="3"/>
  <c r="B16498" i="3"/>
  <c r="A16498" i="3"/>
  <c r="B16497" i="3"/>
  <c r="A16497" i="3"/>
  <c r="B16496" i="3"/>
  <c r="A16496" i="3"/>
  <c r="B16495" i="3"/>
  <c r="A16495" i="3"/>
  <c r="B16494" i="3"/>
  <c r="A16494" i="3"/>
  <c r="B16493" i="3"/>
  <c r="A16493" i="3"/>
  <c r="B16492" i="3"/>
  <c r="A16492" i="3"/>
  <c r="B16491" i="3"/>
  <c r="A16491" i="3"/>
  <c r="B16490" i="3"/>
  <c r="A16490" i="3"/>
  <c r="B16489" i="3"/>
  <c r="A16489" i="3"/>
  <c r="B16488" i="3"/>
  <c r="A16488" i="3"/>
  <c r="B16487" i="3"/>
  <c r="A16487" i="3"/>
  <c r="B16486" i="3"/>
  <c r="A16486" i="3"/>
  <c r="B16485" i="3"/>
  <c r="A16485" i="3"/>
  <c r="B16484" i="3"/>
  <c r="A16484" i="3"/>
  <c r="B16483" i="3"/>
  <c r="A16483" i="3"/>
  <c r="B16482" i="3"/>
  <c r="A16482" i="3"/>
  <c r="B16481" i="3"/>
  <c r="A16481" i="3"/>
  <c r="B16480" i="3"/>
  <c r="A16480" i="3"/>
  <c r="B16479" i="3"/>
  <c r="A16479" i="3"/>
  <c r="B16478" i="3"/>
  <c r="A16478" i="3"/>
  <c r="B16477" i="3"/>
  <c r="A16477" i="3"/>
  <c r="B16476" i="3"/>
  <c r="A16476" i="3"/>
  <c r="B16475" i="3"/>
  <c r="A16475" i="3"/>
  <c r="B16474" i="3"/>
  <c r="A16474" i="3"/>
  <c r="B16473" i="3"/>
  <c r="A16473" i="3"/>
  <c r="B16472" i="3"/>
  <c r="A16472" i="3"/>
  <c r="B16471" i="3"/>
  <c r="A16471" i="3"/>
  <c r="B16470" i="3"/>
  <c r="A16470" i="3"/>
  <c r="B16469" i="3"/>
  <c r="A16469" i="3"/>
  <c r="B16468" i="3"/>
  <c r="A16468" i="3"/>
  <c r="B16467" i="3"/>
  <c r="A16467" i="3"/>
  <c r="B16466" i="3"/>
  <c r="A16466" i="3"/>
  <c r="B16465" i="3"/>
  <c r="A16465" i="3"/>
  <c r="B16464" i="3"/>
  <c r="A16464" i="3"/>
  <c r="B16463" i="3"/>
  <c r="A16463" i="3"/>
  <c r="B16462" i="3"/>
  <c r="A16462" i="3"/>
  <c r="B16461" i="3"/>
  <c r="A16461" i="3"/>
  <c r="B16460" i="3"/>
  <c r="A16460" i="3"/>
  <c r="B16459" i="3"/>
  <c r="A16459" i="3"/>
  <c r="B16458" i="3"/>
  <c r="A16458" i="3"/>
  <c r="B16457" i="3"/>
  <c r="A16457" i="3"/>
  <c r="B16456" i="3"/>
  <c r="A16456" i="3"/>
  <c r="B16455" i="3"/>
  <c r="A16455" i="3"/>
  <c r="B16454" i="3"/>
  <c r="A16454" i="3"/>
  <c r="B16453" i="3"/>
  <c r="A16453" i="3"/>
  <c r="B16452" i="3"/>
  <c r="A16452" i="3"/>
  <c r="B16451" i="3"/>
  <c r="A16451" i="3"/>
  <c r="B16450" i="3"/>
  <c r="A16450" i="3"/>
  <c r="B16449" i="3"/>
  <c r="A16449" i="3"/>
  <c r="B16448" i="3"/>
  <c r="A16448" i="3"/>
  <c r="B16447" i="3"/>
  <c r="A16447" i="3"/>
  <c r="B16446" i="3"/>
  <c r="A16446" i="3"/>
  <c r="B16445" i="3"/>
  <c r="A16445" i="3"/>
  <c r="B16444" i="3"/>
  <c r="A16444" i="3"/>
  <c r="B16443" i="3"/>
  <c r="B16442" i="3"/>
  <c r="A16442" i="3"/>
  <c r="B16441" i="3"/>
  <c r="A16441" i="3"/>
  <c r="B16440" i="3"/>
  <c r="A16440" i="3"/>
  <c r="B16439" i="3"/>
  <c r="A16439" i="3"/>
  <c r="B16438" i="3"/>
  <c r="A16438" i="3"/>
  <c r="B16437" i="3"/>
  <c r="A16437" i="3"/>
  <c r="B16436" i="3"/>
  <c r="A16436" i="3"/>
  <c r="B16435" i="3"/>
  <c r="A16435" i="3"/>
  <c r="B16434" i="3"/>
  <c r="A16434" i="3"/>
  <c r="B16433" i="3"/>
  <c r="A16433" i="3"/>
  <c r="B16432" i="3"/>
  <c r="A16432" i="3"/>
  <c r="B16431" i="3"/>
  <c r="A16431" i="3"/>
  <c r="B16430" i="3"/>
  <c r="A16430" i="3"/>
  <c r="B16429" i="3"/>
  <c r="A16429" i="3"/>
  <c r="B16428" i="3"/>
  <c r="A16428" i="3"/>
  <c r="B16427" i="3"/>
  <c r="A16427" i="3"/>
  <c r="B16426" i="3"/>
  <c r="A16426" i="3"/>
  <c r="B16425" i="3"/>
  <c r="A16425" i="3"/>
  <c r="B16424" i="3"/>
  <c r="A16424" i="3"/>
  <c r="B16423" i="3"/>
  <c r="A16423" i="3"/>
  <c r="B16422" i="3"/>
  <c r="A16422" i="3"/>
  <c r="B16421" i="3"/>
  <c r="A16421" i="3"/>
  <c r="B16420" i="3"/>
  <c r="A16420" i="3"/>
  <c r="B16419" i="3"/>
  <c r="A16419" i="3"/>
  <c r="B16418" i="3"/>
  <c r="A16418" i="3"/>
  <c r="B16417" i="3"/>
  <c r="A16417" i="3"/>
  <c r="B16416" i="3"/>
  <c r="A16416" i="3"/>
  <c r="B16415" i="3"/>
  <c r="A16415" i="3"/>
  <c r="B16414" i="3"/>
  <c r="A16414" i="3"/>
  <c r="B16413" i="3"/>
  <c r="A16413" i="3"/>
  <c r="B16412" i="3"/>
  <c r="A16412" i="3"/>
  <c r="B16411" i="3"/>
  <c r="A16411" i="3"/>
  <c r="B16410" i="3"/>
  <c r="A16410" i="3"/>
  <c r="B16409" i="3"/>
  <c r="A16409" i="3"/>
  <c r="B16408" i="3"/>
  <c r="A16408" i="3"/>
  <c r="B16407" i="3"/>
  <c r="A16407" i="3"/>
  <c r="B16406" i="3"/>
  <c r="A16406" i="3"/>
  <c r="B16405" i="3"/>
  <c r="A16405" i="3"/>
  <c r="B16404" i="3"/>
  <c r="A16404" i="3"/>
  <c r="B16403" i="3"/>
  <c r="A16403" i="3"/>
  <c r="B16402" i="3"/>
  <c r="A16402" i="3"/>
  <c r="B16401" i="3"/>
  <c r="A16401" i="3"/>
  <c r="B16400" i="3"/>
  <c r="A16400" i="3"/>
  <c r="B16399" i="3"/>
  <c r="A16399" i="3"/>
  <c r="B16398" i="3"/>
  <c r="A16398" i="3"/>
  <c r="B16397" i="3"/>
  <c r="A16397" i="3"/>
  <c r="B16396" i="3"/>
  <c r="A16396" i="3"/>
  <c r="B16395" i="3"/>
  <c r="A16395" i="3"/>
  <c r="B16394" i="3"/>
  <c r="A16394" i="3"/>
  <c r="B16393" i="3"/>
  <c r="A16393" i="3"/>
  <c r="B16392" i="3"/>
  <c r="A16392" i="3"/>
  <c r="B16391" i="3"/>
  <c r="A16391" i="3"/>
  <c r="B16390" i="3"/>
  <c r="A16390" i="3"/>
  <c r="B16389" i="3"/>
  <c r="A16389" i="3"/>
  <c r="B16388" i="3"/>
  <c r="A16388" i="3"/>
  <c r="B16387" i="3"/>
  <c r="A16387" i="3"/>
  <c r="B16386" i="3"/>
  <c r="A16386" i="3"/>
  <c r="B16385" i="3"/>
  <c r="A16385" i="3"/>
  <c r="B16384" i="3"/>
  <c r="A16384" i="3"/>
  <c r="B16383" i="3"/>
  <c r="A16383" i="3"/>
  <c r="B16382" i="3"/>
  <c r="A16382" i="3"/>
  <c r="B16381" i="3"/>
  <c r="A16381" i="3"/>
  <c r="B16380" i="3"/>
  <c r="A16380" i="3"/>
  <c r="B16379" i="3"/>
  <c r="A16379" i="3"/>
  <c r="B16378" i="3"/>
  <c r="A16378" i="3"/>
  <c r="B16377" i="3"/>
  <c r="A16377" i="3"/>
  <c r="B16376" i="3"/>
  <c r="A16376" i="3"/>
  <c r="B16375" i="3"/>
  <c r="A16375" i="3"/>
  <c r="B16374" i="3"/>
  <c r="A16374" i="3"/>
  <c r="B16373" i="3"/>
  <c r="A16373" i="3"/>
  <c r="B16372" i="3"/>
  <c r="A16372" i="3"/>
  <c r="B16371" i="3"/>
  <c r="A16371" i="3"/>
  <c r="B16370" i="3"/>
  <c r="A16370" i="3"/>
  <c r="B16369" i="3"/>
  <c r="A16369" i="3"/>
  <c r="B16368" i="3"/>
  <c r="A16368" i="3"/>
  <c r="B16367" i="3"/>
  <c r="A16367" i="3"/>
  <c r="B16366" i="3"/>
  <c r="A16366" i="3"/>
  <c r="B16365" i="3"/>
  <c r="A16365" i="3"/>
  <c r="B16364" i="3"/>
  <c r="A16364" i="3"/>
  <c r="B16363" i="3"/>
  <c r="A16363" i="3"/>
  <c r="B16362" i="3"/>
  <c r="A16362" i="3"/>
  <c r="B16361" i="3"/>
  <c r="A16361" i="3"/>
  <c r="B16360" i="3"/>
  <c r="A16360" i="3"/>
  <c r="B16359" i="3"/>
  <c r="A16359" i="3"/>
  <c r="B16358" i="3"/>
  <c r="A16358" i="3"/>
  <c r="B16357" i="3"/>
  <c r="A16357" i="3"/>
  <c r="B16356" i="3"/>
  <c r="A16356" i="3"/>
  <c r="B16355" i="3"/>
  <c r="A16355" i="3"/>
  <c r="B16354" i="3"/>
  <c r="A16354" i="3"/>
  <c r="B16353" i="3"/>
  <c r="A16353" i="3"/>
  <c r="B16352" i="3"/>
  <c r="A16352" i="3"/>
  <c r="B16351" i="3"/>
  <c r="A16351" i="3"/>
  <c r="B16350" i="3"/>
  <c r="A16350" i="3"/>
  <c r="B16349" i="3"/>
  <c r="A16349" i="3"/>
  <c r="B16348" i="3"/>
  <c r="A16348" i="3"/>
  <c r="B16347" i="3"/>
  <c r="A16347" i="3"/>
  <c r="B16346" i="3"/>
  <c r="A16346" i="3"/>
  <c r="B16345" i="3"/>
  <c r="A16345" i="3"/>
  <c r="B16344" i="3"/>
  <c r="A16344" i="3"/>
  <c r="B16343" i="3"/>
  <c r="A16343" i="3"/>
  <c r="B16342" i="3"/>
  <c r="A16342" i="3"/>
  <c r="B16341" i="3"/>
  <c r="A16341" i="3"/>
  <c r="B16340" i="3"/>
  <c r="A16340" i="3"/>
  <c r="B16339" i="3"/>
  <c r="A16339" i="3"/>
  <c r="B16338" i="3"/>
  <c r="B16337" i="3"/>
  <c r="A16337" i="3"/>
  <c r="B16336" i="3"/>
  <c r="A16336" i="3"/>
  <c r="B16335" i="3"/>
  <c r="A16335" i="3"/>
  <c r="B16334" i="3"/>
  <c r="A16334" i="3"/>
  <c r="B16333" i="3"/>
  <c r="A16333" i="3"/>
  <c r="B16332" i="3"/>
  <c r="A16332" i="3"/>
  <c r="B16331" i="3"/>
  <c r="A16331" i="3"/>
  <c r="B16330" i="3"/>
  <c r="A16330" i="3"/>
  <c r="B16329" i="3"/>
  <c r="A16329" i="3"/>
  <c r="B16328" i="3"/>
  <c r="A16328" i="3"/>
  <c r="B16327" i="3"/>
  <c r="A16327" i="3"/>
  <c r="B16326" i="3"/>
  <c r="A16326" i="3"/>
  <c r="B16325" i="3"/>
  <c r="A16325" i="3"/>
  <c r="B16324" i="3"/>
  <c r="A16324" i="3"/>
  <c r="B16323" i="3"/>
  <c r="A16323" i="3"/>
  <c r="B16322" i="3"/>
  <c r="A16322" i="3"/>
  <c r="B16321" i="3"/>
  <c r="A16321" i="3"/>
  <c r="B16320" i="3"/>
  <c r="A16320" i="3"/>
  <c r="B16319" i="3"/>
  <c r="A16319" i="3"/>
  <c r="B16318" i="3"/>
  <c r="A16318" i="3"/>
  <c r="B16317" i="3"/>
  <c r="A16317" i="3"/>
  <c r="B16316" i="3"/>
  <c r="A16316" i="3"/>
  <c r="B16315" i="3"/>
  <c r="A16315" i="3"/>
  <c r="B16314" i="3"/>
  <c r="A16314" i="3"/>
  <c r="B16313" i="3"/>
  <c r="A16313" i="3"/>
  <c r="B16312" i="3"/>
  <c r="A16312" i="3"/>
  <c r="B16311" i="3"/>
  <c r="B16310" i="3"/>
  <c r="A16310" i="3"/>
  <c r="B16309" i="3"/>
  <c r="A16309" i="3"/>
  <c r="B16308" i="3"/>
  <c r="A16308" i="3"/>
  <c r="B16307" i="3"/>
  <c r="A16307" i="3"/>
  <c r="B16306" i="3"/>
  <c r="A16306" i="3"/>
  <c r="B16305" i="3"/>
  <c r="A16305" i="3"/>
  <c r="B16304" i="3"/>
  <c r="A16304" i="3"/>
  <c r="B16303" i="3"/>
  <c r="A16303" i="3"/>
  <c r="B16302" i="3"/>
  <c r="A16302" i="3"/>
  <c r="B16301" i="3"/>
  <c r="A16301" i="3"/>
  <c r="B16300" i="3"/>
  <c r="A16300" i="3"/>
  <c r="B16299" i="3"/>
  <c r="A16299" i="3"/>
  <c r="B16298" i="3"/>
  <c r="A16298" i="3"/>
  <c r="B16297" i="3"/>
  <c r="A16297" i="3"/>
  <c r="B16296" i="3"/>
  <c r="A16296" i="3"/>
  <c r="B16295" i="3"/>
  <c r="A16295" i="3"/>
  <c r="B16294" i="3"/>
  <c r="A16294" i="3"/>
  <c r="B16293" i="3"/>
  <c r="A16293" i="3"/>
  <c r="B16292" i="3"/>
  <c r="A16292" i="3"/>
  <c r="B16291" i="3"/>
  <c r="A16291" i="3"/>
  <c r="B16290" i="3"/>
  <c r="A16290" i="3"/>
  <c r="B16289" i="3"/>
  <c r="A16289" i="3"/>
  <c r="B16288" i="3"/>
  <c r="A16288" i="3"/>
  <c r="B16287" i="3"/>
  <c r="A16287" i="3"/>
  <c r="B16286" i="3"/>
  <c r="A16286" i="3"/>
  <c r="B16285" i="3"/>
  <c r="A16285" i="3"/>
  <c r="B16284" i="3"/>
  <c r="A16284" i="3"/>
  <c r="B16283" i="3"/>
  <c r="A16283" i="3"/>
  <c r="B16282" i="3"/>
  <c r="A16282" i="3"/>
  <c r="B16281" i="3"/>
  <c r="A16281" i="3"/>
  <c r="B16280" i="3"/>
  <c r="A16280" i="3"/>
  <c r="B16279" i="3"/>
  <c r="A16279" i="3"/>
  <c r="B16278" i="3"/>
  <c r="A16278" i="3"/>
  <c r="B16277" i="3"/>
  <c r="A16277" i="3"/>
  <c r="B16276" i="3"/>
  <c r="A16276" i="3"/>
  <c r="B16275" i="3"/>
  <c r="A16275" i="3"/>
  <c r="B16274" i="3"/>
  <c r="A16274" i="3"/>
  <c r="B16273" i="3"/>
  <c r="A16273" i="3"/>
  <c r="B16272" i="3"/>
  <c r="A16272" i="3"/>
  <c r="B16271" i="3"/>
  <c r="A16271" i="3"/>
  <c r="B16270" i="3"/>
  <c r="A16270" i="3"/>
  <c r="B16269" i="3"/>
  <c r="A16269" i="3"/>
  <c r="B16268" i="3"/>
  <c r="A16268" i="3"/>
  <c r="B16267" i="3"/>
  <c r="A16267" i="3"/>
  <c r="B16266" i="3"/>
  <c r="A16266" i="3"/>
  <c r="B16265" i="3"/>
  <c r="A16265" i="3"/>
  <c r="B16264" i="3"/>
  <c r="A16264" i="3"/>
  <c r="B16263" i="3"/>
  <c r="A16263" i="3"/>
  <c r="B16262" i="3"/>
  <c r="A16262" i="3"/>
  <c r="B16261" i="3"/>
  <c r="A16261" i="3"/>
  <c r="B16260" i="3"/>
  <c r="A16260" i="3"/>
  <c r="B16259" i="3"/>
  <c r="A16259" i="3"/>
  <c r="B16258" i="3"/>
  <c r="A16258" i="3"/>
  <c r="B16257" i="3"/>
  <c r="A16257" i="3"/>
  <c r="B16256" i="3"/>
  <c r="A16256" i="3"/>
  <c r="B16255" i="3"/>
  <c r="A16255" i="3"/>
  <c r="B16254" i="3"/>
  <c r="A16254" i="3"/>
  <c r="B16253" i="3"/>
  <c r="A16253" i="3"/>
  <c r="B16252" i="3"/>
  <c r="A16252" i="3"/>
  <c r="B16251" i="3"/>
  <c r="A16251" i="3"/>
  <c r="B16250" i="3"/>
  <c r="A16250" i="3"/>
  <c r="B16249" i="3"/>
  <c r="A16249" i="3"/>
  <c r="B16248" i="3"/>
  <c r="A16248" i="3"/>
  <c r="B16247" i="3"/>
  <c r="A16247" i="3"/>
  <c r="B16246" i="3"/>
  <c r="A16246" i="3"/>
  <c r="B16245" i="3"/>
  <c r="A16245" i="3"/>
  <c r="B16244" i="3"/>
  <c r="A16244" i="3"/>
  <c r="B16243" i="3"/>
  <c r="A16243" i="3"/>
  <c r="B16242" i="3"/>
  <c r="A16242" i="3"/>
  <c r="B16241" i="3"/>
  <c r="A16241" i="3"/>
  <c r="B16240" i="3"/>
  <c r="A16240" i="3"/>
  <c r="B16239" i="3"/>
  <c r="A16239" i="3"/>
  <c r="B16238" i="3"/>
  <c r="A16238" i="3"/>
  <c r="B16237" i="3"/>
  <c r="A16237" i="3"/>
  <c r="B16236" i="3"/>
  <c r="A16236" i="3"/>
  <c r="B16235" i="3"/>
  <c r="A16235" i="3"/>
  <c r="B16234" i="3"/>
  <c r="A16234" i="3"/>
  <c r="B16233" i="3"/>
  <c r="A16233" i="3"/>
  <c r="B16232" i="3"/>
  <c r="A16232" i="3"/>
  <c r="B16231" i="3"/>
  <c r="A16231" i="3"/>
  <c r="B16230" i="3"/>
  <c r="A16230" i="3"/>
  <c r="B16229" i="3"/>
  <c r="A16229" i="3"/>
  <c r="B16228" i="3"/>
  <c r="A16228" i="3"/>
  <c r="B16227" i="3"/>
  <c r="A16227" i="3"/>
  <c r="B16226" i="3"/>
  <c r="A16226" i="3"/>
  <c r="B16225" i="3"/>
  <c r="A16225" i="3"/>
  <c r="B16224" i="3"/>
  <c r="A16224" i="3"/>
  <c r="B16223" i="3"/>
  <c r="A16223" i="3"/>
  <c r="B16222" i="3"/>
  <c r="A16222" i="3"/>
  <c r="B16221" i="3"/>
  <c r="A16221" i="3"/>
  <c r="B16220" i="3"/>
  <c r="A16220" i="3"/>
  <c r="B16219" i="3"/>
  <c r="A16219" i="3"/>
  <c r="B16218" i="3"/>
  <c r="A16218" i="3"/>
  <c r="B16217" i="3"/>
  <c r="A16217" i="3"/>
  <c r="B16216" i="3"/>
  <c r="A16216" i="3"/>
  <c r="B16215" i="3"/>
  <c r="A16215" i="3"/>
  <c r="B16214" i="3"/>
  <c r="A16214" i="3"/>
  <c r="B16213" i="3"/>
  <c r="A16213" i="3"/>
  <c r="B16212" i="3"/>
  <c r="A16212" i="3"/>
  <c r="B16211" i="3"/>
  <c r="A16211" i="3"/>
  <c r="B16210" i="3"/>
  <c r="A16210" i="3"/>
  <c r="B16209" i="3"/>
  <c r="A16209" i="3"/>
  <c r="B16208" i="3"/>
  <c r="A16208" i="3"/>
  <c r="B16207" i="3"/>
  <c r="A16207" i="3"/>
  <c r="B16206" i="3"/>
  <c r="A16206" i="3"/>
  <c r="B16205" i="3"/>
  <c r="A16205" i="3"/>
  <c r="B16204" i="3"/>
  <c r="A16204" i="3"/>
  <c r="B16203" i="3"/>
  <c r="A16203" i="3"/>
  <c r="B16202" i="3"/>
  <c r="A16202" i="3"/>
  <c r="B16201" i="3"/>
  <c r="A16201" i="3"/>
  <c r="B16200" i="3"/>
  <c r="A16200" i="3"/>
  <c r="B16199" i="3"/>
  <c r="A16199" i="3"/>
  <c r="B16198" i="3"/>
  <c r="A16198" i="3"/>
  <c r="B16197" i="3"/>
  <c r="A16197" i="3"/>
  <c r="B16196" i="3"/>
  <c r="A16196" i="3"/>
  <c r="B16195" i="3"/>
  <c r="A16195" i="3"/>
  <c r="B16194" i="3"/>
  <c r="A16194" i="3"/>
  <c r="B16193" i="3"/>
  <c r="A16193" i="3"/>
  <c r="B16192" i="3"/>
  <c r="A16192" i="3"/>
  <c r="B16191" i="3"/>
  <c r="A16191" i="3"/>
  <c r="B16190" i="3"/>
  <c r="A16190" i="3"/>
  <c r="B16189" i="3"/>
  <c r="A16189" i="3"/>
  <c r="B16188" i="3"/>
  <c r="A16188" i="3"/>
  <c r="B16187" i="3"/>
  <c r="A16187" i="3"/>
  <c r="B16186" i="3"/>
  <c r="A16186" i="3"/>
  <c r="B16185" i="3"/>
  <c r="A16185" i="3"/>
  <c r="B16184" i="3"/>
  <c r="A16184" i="3"/>
  <c r="B16183" i="3"/>
  <c r="A16183" i="3"/>
  <c r="B16182" i="3"/>
  <c r="A16182" i="3"/>
  <c r="B16181" i="3"/>
  <c r="A16181" i="3"/>
  <c r="B16180" i="3"/>
  <c r="A16180" i="3"/>
  <c r="B16179" i="3"/>
  <c r="A16179" i="3"/>
  <c r="B16178" i="3"/>
  <c r="A16178" i="3"/>
  <c r="B16177" i="3"/>
  <c r="A16177" i="3"/>
  <c r="B16176" i="3"/>
  <c r="A16176" i="3"/>
  <c r="B16175" i="3"/>
  <c r="A16175" i="3"/>
  <c r="B16174" i="3"/>
  <c r="A16174" i="3"/>
  <c r="B16173" i="3"/>
  <c r="A16173" i="3"/>
  <c r="B16172" i="3"/>
  <c r="A16172" i="3"/>
  <c r="B16171" i="3"/>
  <c r="A16171" i="3"/>
  <c r="B16170" i="3"/>
  <c r="A16170" i="3"/>
  <c r="B16169" i="3"/>
  <c r="A16169" i="3"/>
  <c r="B16168" i="3"/>
  <c r="A16168" i="3"/>
  <c r="B16167" i="3"/>
  <c r="A16167" i="3"/>
  <c r="B16166" i="3"/>
  <c r="A16166" i="3"/>
  <c r="B16165" i="3"/>
  <c r="A16165" i="3"/>
  <c r="B16164" i="3"/>
  <c r="A16164" i="3"/>
  <c r="B16163" i="3"/>
  <c r="A16163" i="3"/>
  <c r="B16162" i="3"/>
  <c r="A16162" i="3"/>
  <c r="B16161" i="3"/>
  <c r="A16161" i="3"/>
  <c r="B16160" i="3"/>
  <c r="A16160" i="3"/>
  <c r="B16159" i="3"/>
  <c r="A16159" i="3"/>
  <c r="B16158" i="3"/>
  <c r="A16158" i="3"/>
  <c r="B16157" i="3"/>
  <c r="A16157" i="3"/>
  <c r="B16156" i="3"/>
  <c r="A16156" i="3"/>
  <c r="B16155" i="3"/>
  <c r="A16155" i="3"/>
  <c r="B16154" i="3"/>
  <c r="A16154" i="3"/>
  <c r="B16153" i="3"/>
  <c r="A16153" i="3"/>
  <c r="B16152" i="3"/>
  <c r="A16152" i="3"/>
  <c r="B16151" i="3"/>
  <c r="A16151" i="3"/>
  <c r="B16150" i="3"/>
  <c r="A16150" i="3"/>
  <c r="B16149" i="3"/>
  <c r="A16149" i="3"/>
  <c r="B16148" i="3"/>
  <c r="A16148" i="3"/>
  <c r="B16147" i="3"/>
  <c r="A16147" i="3"/>
  <c r="B16146" i="3"/>
  <c r="A16146" i="3"/>
  <c r="B16145" i="3"/>
  <c r="A16145" i="3"/>
  <c r="B16144" i="3"/>
  <c r="A16144" i="3"/>
  <c r="B16143" i="3"/>
  <c r="A16143" i="3"/>
  <c r="B16142" i="3"/>
  <c r="A16142" i="3"/>
  <c r="B16141" i="3"/>
  <c r="A16141" i="3"/>
  <c r="B16140" i="3"/>
  <c r="A16140" i="3"/>
  <c r="B16139" i="3"/>
  <c r="A16139" i="3"/>
  <c r="B16138" i="3"/>
  <c r="A16138" i="3"/>
  <c r="B16137" i="3"/>
  <c r="A16137" i="3"/>
  <c r="B16136" i="3"/>
  <c r="A16136" i="3"/>
  <c r="B16135" i="3"/>
  <c r="A16135" i="3"/>
  <c r="B16134" i="3"/>
  <c r="A16134" i="3"/>
  <c r="B16133" i="3"/>
  <c r="A16133" i="3"/>
  <c r="B16132" i="3"/>
  <c r="A16132" i="3"/>
  <c r="B16131" i="3"/>
  <c r="A16131" i="3"/>
  <c r="B16130" i="3"/>
  <c r="A16130" i="3"/>
  <c r="B16129" i="3"/>
  <c r="A16129" i="3"/>
  <c r="B16128" i="3"/>
  <c r="A16128" i="3"/>
  <c r="B16127" i="3"/>
  <c r="A16127" i="3"/>
  <c r="B16126" i="3"/>
  <c r="A16126" i="3"/>
  <c r="B16125" i="3"/>
  <c r="A16125" i="3"/>
  <c r="B16124" i="3"/>
  <c r="A16124" i="3"/>
  <c r="B16123" i="3"/>
  <c r="A16123" i="3"/>
  <c r="B16122" i="3"/>
  <c r="A16122" i="3"/>
  <c r="B16121" i="3"/>
  <c r="A16121" i="3"/>
  <c r="B16120" i="3"/>
  <c r="A16120" i="3"/>
  <c r="B16119" i="3"/>
  <c r="A16119" i="3"/>
  <c r="B16118" i="3"/>
  <c r="A16118" i="3"/>
  <c r="B16117" i="3"/>
  <c r="A16117" i="3"/>
  <c r="B16116" i="3"/>
  <c r="A16116" i="3"/>
  <c r="B16115" i="3"/>
  <c r="A16115" i="3"/>
  <c r="B16114" i="3"/>
  <c r="A16114" i="3"/>
  <c r="B16113" i="3"/>
  <c r="A16113" i="3"/>
  <c r="B16112" i="3"/>
  <c r="A16112" i="3"/>
  <c r="B16111" i="3"/>
  <c r="A16111" i="3"/>
  <c r="B16110" i="3"/>
  <c r="A16110" i="3"/>
  <c r="B16109" i="3"/>
  <c r="A16109" i="3"/>
  <c r="B16108" i="3"/>
  <c r="A16108" i="3"/>
  <c r="B16107" i="3"/>
  <c r="A16107" i="3"/>
  <c r="B16106" i="3"/>
  <c r="A16106" i="3"/>
  <c r="B16105" i="3"/>
  <c r="A16105" i="3"/>
  <c r="B16104" i="3"/>
  <c r="A16104" i="3"/>
  <c r="B16103" i="3"/>
  <c r="A16103" i="3"/>
  <c r="B16102" i="3"/>
  <c r="A16102" i="3"/>
  <c r="B16101" i="3"/>
  <c r="A16101" i="3"/>
  <c r="B16100" i="3"/>
  <c r="A16100" i="3"/>
  <c r="B16099" i="3"/>
  <c r="A16099" i="3"/>
  <c r="B16098" i="3"/>
  <c r="A16098" i="3"/>
  <c r="B16097" i="3"/>
  <c r="A16097" i="3"/>
  <c r="B16096" i="3"/>
  <c r="A16096" i="3"/>
  <c r="B16095" i="3"/>
  <c r="A16095" i="3"/>
  <c r="B16094" i="3"/>
  <c r="A16094" i="3"/>
  <c r="B16093" i="3"/>
  <c r="A16093" i="3"/>
  <c r="B16092" i="3"/>
  <c r="A16092" i="3"/>
  <c r="B16091" i="3"/>
  <c r="A16091" i="3"/>
  <c r="B16090" i="3"/>
  <c r="A16090" i="3"/>
  <c r="B16089" i="3"/>
  <c r="A16089" i="3"/>
  <c r="B16088" i="3"/>
  <c r="A16088" i="3"/>
  <c r="B16087" i="3"/>
  <c r="A16087" i="3"/>
  <c r="B16086" i="3"/>
  <c r="A16086" i="3"/>
  <c r="B16085" i="3"/>
  <c r="A16085" i="3"/>
  <c r="B16084" i="3"/>
  <c r="A16084" i="3"/>
  <c r="B16083" i="3"/>
  <c r="A16083" i="3"/>
  <c r="B16082" i="3"/>
  <c r="A16082" i="3"/>
  <c r="B16081" i="3"/>
  <c r="A16081" i="3"/>
  <c r="B16080" i="3"/>
  <c r="A16080" i="3"/>
  <c r="B16079" i="3"/>
  <c r="A16079" i="3"/>
  <c r="B16078" i="3"/>
  <c r="A16078" i="3"/>
  <c r="B16077" i="3"/>
  <c r="A16077" i="3"/>
  <c r="B16076" i="3"/>
  <c r="A16076" i="3"/>
  <c r="B16075" i="3"/>
  <c r="A16075" i="3"/>
  <c r="B16074" i="3"/>
  <c r="A16074" i="3"/>
  <c r="B16073" i="3"/>
  <c r="A16073" i="3"/>
  <c r="B16072" i="3"/>
  <c r="A16072" i="3"/>
  <c r="B16071" i="3"/>
  <c r="A16071" i="3"/>
  <c r="B16070" i="3"/>
  <c r="A16070" i="3"/>
  <c r="B16069" i="3"/>
  <c r="A16069" i="3"/>
  <c r="B16068" i="3"/>
  <c r="A16068" i="3"/>
  <c r="B16067" i="3"/>
  <c r="A16067" i="3"/>
  <c r="B16066" i="3"/>
  <c r="A16066" i="3"/>
  <c r="B16065" i="3"/>
  <c r="A16065" i="3"/>
  <c r="B16064" i="3"/>
  <c r="A16064" i="3"/>
  <c r="B16063" i="3"/>
  <c r="A16063" i="3"/>
  <c r="B16062" i="3"/>
  <c r="A16062" i="3"/>
  <c r="B16061" i="3"/>
  <c r="A16061" i="3"/>
  <c r="B16060" i="3"/>
  <c r="A16060" i="3"/>
  <c r="B16059" i="3"/>
  <c r="A16059" i="3"/>
  <c r="B16058" i="3"/>
  <c r="A16058" i="3"/>
  <c r="B16057" i="3"/>
  <c r="A16057" i="3"/>
  <c r="B16056" i="3"/>
  <c r="A16056" i="3"/>
  <c r="B16055" i="3"/>
  <c r="A16055" i="3"/>
  <c r="B16054" i="3"/>
  <c r="A16054" i="3"/>
  <c r="B16053" i="3"/>
  <c r="A16053" i="3"/>
  <c r="B16052" i="3"/>
  <c r="A16052" i="3"/>
  <c r="B16051" i="3"/>
  <c r="A16051" i="3"/>
  <c r="B16050" i="3"/>
  <c r="A16050" i="3"/>
  <c r="B16049" i="3"/>
  <c r="A16049" i="3"/>
  <c r="B16048" i="3"/>
  <c r="A16048" i="3"/>
  <c r="B16047" i="3"/>
  <c r="A16047" i="3"/>
  <c r="B16046" i="3"/>
  <c r="A16046" i="3"/>
  <c r="B16045" i="3"/>
  <c r="A16045" i="3"/>
  <c r="B16044" i="3"/>
  <c r="A16044" i="3"/>
  <c r="B16043" i="3"/>
  <c r="A16043" i="3"/>
  <c r="B16042" i="3"/>
  <c r="A16042" i="3"/>
  <c r="B16041" i="3"/>
  <c r="A16041" i="3"/>
  <c r="B16040" i="3"/>
  <c r="A16040" i="3"/>
  <c r="B16039" i="3"/>
  <c r="A16039" i="3"/>
  <c r="B16038" i="3"/>
  <c r="A16038" i="3"/>
  <c r="B16037" i="3"/>
  <c r="A16037" i="3"/>
  <c r="B16036" i="3"/>
  <c r="A16036" i="3"/>
  <c r="B16035" i="3"/>
  <c r="A16035" i="3"/>
  <c r="B16034" i="3"/>
  <c r="A16034" i="3"/>
  <c r="B16033" i="3"/>
  <c r="A16033" i="3"/>
  <c r="B16032" i="3"/>
  <c r="A16032" i="3"/>
  <c r="B16031" i="3"/>
  <c r="A16031" i="3"/>
  <c r="B16030" i="3"/>
  <c r="A16030" i="3"/>
  <c r="B16029" i="3"/>
  <c r="A16029" i="3"/>
  <c r="B16028" i="3"/>
  <c r="A16028" i="3"/>
  <c r="B16027" i="3"/>
  <c r="A16027" i="3"/>
  <c r="B16026" i="3"/>
  <c r="A16026" i="3"/>
  <c r="B16025" i="3"/>
  <c r="A16025" i="3"/>
  <c r="B16024" i="3"/>
  <c r="A16024" i="3"/>
  <c r="B16023" i="3"/>
  <c r="A16023" i="3"/>
  <c r="B16022" i="3"/>
  <c r="A16022" i="3"/>
  <c r="B16021" i="3"/>
  <c r="A16021" i="3"/>
  <c r="B16020" i="3"/>
  <c r="A16020" i="3"/>
  <c r="B16019" i="3"/>
  <c r="A16019" i="3"/>
  <c r="B16018" i="3"/>
  <c r="A16018" i="3"/>
  <c r="B16017" i="3"/>
  <c r="A16017" i="3"/>
  <c r="B16016" i="3"/>
  <c r="B16015" i="3"/>
  <c r="A16015" i="3"/>
  <c r="B16014" i="3"/>
  <c r="A16014" i="3"/>
  <c r="B16013" i="3"/>
  <c r="A16013" i="3"/>
  <c r="B16012" i="3"/>
  <c r="A16012" i="3"/>
  <c r="B16011" i="3"/>
  <c r="A16011" i="3"/>
  <c r="B16010" i="3"/>
  <c r="A16010" i="3"/>
  <c r="B16009" i="3"/>
  <c r="A16009" i="3"/>
  <c r="B16008" i="3"/>
  <c r="B16007" i="3"/>
  <c r="A16007" i="3"/>
  <c r="B16006" i="3"/>
  <c r="A16006" i="3"/>
  <c r="B16005" i="3"/>
  <c r="A16005" i="3"/>
  <c r="B16004" i="3"/>
  <c r="A16004" i="3"/>
  <c r="B16003" i="3"/>
  <c r="A16003" i="3"/>
  <c r="B16002" i="3"/>
  <c r="A16002" i="3"/>
  <c r="B16001" i="3"/>
  <c r="A16001" i="3"/>
  <c r="B16000" i="3"/>
  <c r="A16000" i="3"/>
  <c r="B15999" i="3"/>
  <c r="A15999" i="3"/>
  <c r="B15998" i="3"/>
  <c r="A15998" i="3"/>
  <c r="B15997" i="3"/>
  <c r="A15997" i="3"/>
  <c r="B15996" i="3"/>
  <c r="A15996" i="3"/>
  <c r="B15995" i="3"/>
  <c r="A15995" i="3"/>
  <c r="B15994" i="3"/>
  <c r="A15994" i="3"/>
  <c r="B15993" i="3"/>
  <c r="A15993" i="3"/>
  <c r="B15992" i="3"/>
  <c r="A15992" i="3"/>
  <c r="B15991" i="3"/>
  <c r="A15991" i="3"/>
  <c r="B15990" i="3"/>
  <c r="A15990" i="3"/>
  <c r="B15989" i="3"/>
  <c r="A15989" i="3"/>
  <c r="B15988" i="3"/>
  <c r="A15988" i="3"/>
  <c r="B15987" i="3"/>
  <c r="A15987" i="3"/>
  <c r="B15986" i="3"/>
  <c r="A15986" i="3"/>
  <c r="B15985" i="3"/>
  <c r="A15985" i="3"/>
  <c r="B15984" i="3"/>
  <c r="A15984" i="3"/>
  <c r="B15983" i="3"/>
  <c r="A15983" i="3"/>
  <c r="B15982" i="3"/>
  <c r="A15982" i="3"/>
  <c r="B15981" i="3"/>
  <c r="A15981" i="3"/>
  <c r="B15980" i="3"/>
  <c r="A15980" i="3"/>
  <c r="B15979" i="3"/>
  <c r="A15979" i="3"/>
  <c r="B15978" i="3"/>
  <c r="A15978" i="3"/>
  <c r="B15977" i="3"/>
  <c r="A15977" i="3"/>
  <c r="B15976" i="3"/>
  <c r="A15976" i="3"/>
  <c r="B15975" i="3"/>
  <c r="A15975" i="3"/>
  <c r="B15974" i="3"/>
  <c r="A15974" i="3"/>
  <c r="B15973" i="3"/>
  <c r="A15973" i="3"/>
  <c r="B15972" i="3"/>
  <c r="A15972" i="3"/>
  <c r="B15971" i="3"/>
  <c r="A15971" i="3"/>
  <c r="B15970" i="3"/>
  <c r="A15970" i="3"/>
  <c r="B15969" i="3"/>
  <c r="A15969" i="3"/>
  <c r="B15968" i="3"/>
  <c r="A15968" i="3"/>
  <c r="B15967" i="3"/>
  <c r="A15967" i="3"/>
  <c r="B15966" i="3"/>
  <c r="A15966" i="3"/>
  <c r="B15965" i="3"/>
  <c r="A15965" i="3"/>
  <c r="B15964" i="3"/>
  <c r="A15964" i="3"/>
  <c r="B15963" i="3"/>
  <c r="A15963" i="3"/>
  <c r="B15962" i="3"/>
  <c r="A15962" i="3"/>
  <c r="B15961" i="3"/>
  <c r="A15961" i="3"/>
  <c r="B15960" i="3"/>
  <c r="A15960" i="3"/>
  <c r="B15959" i="3"/>
  <c r="A15959" i="3"/>
  <c r="B15958" i="3"/>
  <c r="A15958" i="3"/>
  <c r="B15957" i="3"/>
  <c r="A15957" i="3"/>
  <c r="B15956" i="3"/>
  <c r="A15956" i="3"/>
  <c r="B15955" i="3"/>
  <c r="A15955" i="3"/>
  <c r="B15954" i="3"/>
  <c r="A15954" i="3"/>
  <c r="B15953" i="3"/>
  <c r="A15953" i="3"/>
  <c r="B15952" i="3"/>
  <c r="A15952" i="3"/>
  <c r="B15951" i="3"/>
  <c r="A15951" i="3"/>
  <c r="B15950" i="3"/>
  <c r="A15950" i="3"/>
  <c r="B15949" i="3"/>
  <c r="A15949" i="3"/>
  <c r="B15948" i="3"/>
  <c r="A15948" i="3"/>
  <c r="B15947" i="3"/>
  <c r="A15947" i="3"/>
  <c r="B15946" i="3"/>
  <c r="A15946" i="3"/>
  <c r="B15945" i="3"/>
  <c r="A15945" i="3"/>
  <c r="B15944" i="3"/>
  <c r="A15944" i="3"/>
  <c r="B15943" i="3"/>
  <c r="A15943" i="3"/>
  <c r="B15942" i="3"/>
  <c r="A15942" i="3"/>
  <c r="B15941" i="3"/>
  <c r="A15941" i="3"/>
  <c r="B15940" i="3"/>
  <c r="A15940" i="3"/>
  <c r="B15939" i="3"/>
  <c r="A15939" i="3"/>
  <c r="B15938" i="3"/>
  <c r="A15938" i="3"/>
  <c r="B15937" i="3"/>
  <c r="A15937" i="3"/>
  <c r="B15936" i="3"/>
  <c r="A15936" i="3"/>
  <c r="B15935" i="3"/>
  <c r="A15935" i="3"/>
  <c r="B15934" i="3"/>
  <c r="A15934" i="3"/>
  <c r="B15933" i="3"/>
  <c r="A15933" i="3"/>
  <c r="B15932" i="3"/>
  <c r="A15932" i="3"/>
  <c r="B15931" i="3"/>
  <c r="A15931" i="3"/>
  <c r="B15930" i="3"/>
  <c r="A15930" i="3"/>
  <c r="B15929" i="3"/>
  <c r="A15929" i="3"/>
  <c r="B15928" i="3"/>
  <c r="A15928" i="3"/>
  <c r="B15927" i="3"/>
  <c r="A15927" i="3"/>
  <c r="B15926" i="3"/>
  <c r="A15926" i="3"/>
  <c r="B15925" i="3"/>
  <c r="A15925" i="3"/>
  <c r="B15924" i="3"/>
  <c r="A15924" i="3"/>
  <c r="B15923" i="3"/>
  <c r="A15923" i="3"/>
  <c r="B15922" i="3"/>
  <c r="B15921" i="3"/>
  <c r="A15921" i="3"/>
  <c r="B15920" i="3"/>
  <c r="A15920" i="3"/>
  <c r="B15919" i="3"/>
  <c r="A15919" i="3"/>
  <c r="B15918" i="3"/>
  <c r="A15918" i="3"/>
  <c r="B15917" i="3"/>
  <c r="A15917" i="3"/>
  <c r="B15916" i="3"/>
  <c r="A15916" i="3"/>
  <c r="B15915" i="3"/>
  <c r="A15915" i="3"/>
  <c r="B15914" i="3"/>
  <c r="A15914" i="3"/>
  <c r="B15913" i="3"/>
  <c r="A15913" i="3"/>
  <c r="B15912" i="3"/>
  <c r="A15912" i="3"/>
  <c r="B15911" i="3"/>
  <c r="A15911" i="3"/>
  <c r="B15910" i="3"/>
  <c r="A15910" i="3"/>
  <c r="B15909" i="3"/>
  <c r="A15909" i="3"/>
  <c r="B15908" i="3"/>
  <c r="A15908" i="3"/>
  <c r="B15907" i="3"/>
  <c r="A15907" i="3"/>
  <c r="B15906" i="3"/>
  <c r="A15906" i="3"/>
  <c r="B15905" i="3"/>
  <c r="A15905" i="3"/>
  <c r="B15904" i="3"/>
  <c r="A15904" i="3"/>
  <c r="B15903" i="3"/>
  <c r="A15903" i="3"/>
  <c r="B15902" i="3"/>
  <c r="A15902" i="3"/>
  <c r="B15901" i="3"/>
  <c r="A15901" i="3"/>
  <c r="B15900" i="3"/>
  <c r="A15900" i="3"/>
  <c r="B15899" i="3"/>
  <c r="A15899" i="3"/>
  <c r="B15898" i="3"/>
  <c r="A15898" i="3"/>
  <c r="B15897" i="3"/>
  <c r="A15897" i="3"/>
  <c r="B15896" i="3"/>
  <c r="A15896" i="3"/>
  <c r="B15895" i="3"/>
  <c r="A15895" i="3"/>
  <c r="B15894" i="3"/>
  <c r="A15894" i="3"/>
  <c r="B15893" i="3"/>
  <c r="A15893" i="3"/>
  <c r="B15892" i="3"/>
  <c r="A15892" i="3"/>
  <c r="B15891" i="3"/>
  <c r="A15891" i="3"/>
  <c r="B15890" i="3"/>
  <c r="A15890" i="3"/>
  <c r="B15889" i="3"/>
  <c r="A15889" i="3"/>
  <c r="B15888" i="3"/>
  <c r="A15888" i="3"/>
  <c r="B15887" i="3"/>
  <c r="A15887" i="3"/>
  <c r="B15886" i="3"/>
  <c r="A15886" i="3"/>
  <c r="B15885" i="3"/>
  <c r="A15885" i="3"/>
  <c r="B15884" i="3"/>
  <c r="A15884" i="3"/>
  <c r="B15883" i="3"/>
  <c r="A15883" i="3"/>
  <c r="B15882" i="3"/>
  <c r="A15882" i="3"/>
  <c r="B15881" i="3"/>
  <c r="A15881" i="3"/>
  <c r="B15880" i="3"/>
  <c r="A15880" i="3"/>
  <c r="B15879" i="3"/>
  <c r="A15879" i="3"/>
  <c r="B15878" i="3"/>
  <c r="A15878" i="3"/>
  <c r="B15877" i="3"/>
  <c r="A15877" i="3"/>
  <c r="B15876" i="3"/>
  <c r="A15876" i="3"/>
  <c r="B15875" i="3"/>
  <c r="A15875" i="3"/>
  <c r="B15874" i="3"/>
  <c r="A15874" i="3"/>
  <c r="B15873" i="3"/>
  <c r="A15873" i="3"/>
  <c r="B15872" i="3"/>
  <c r="A15872" i="3"/>
  <c r="B15871" i="3"/>
  <c r="A15871" i="3"/>
  <c r="B15870" i="3"/>
  <c r="A15870" i="3"/>
  <c r="B15869" i="3"/>
  <c r="A15869" i="3"/>
  <c r="B15868" i="3"/>
  <c r="A15868" i="3"/>
  <c r="B15867" i="3"/>
  <c r="A15867" i="3"/>
  <c r="B15866" i="3"/>
  <c r="A15866" i="3"/>
  <c r="B15865" i="3"/>
  <c r="A15865" i="3"/>
  <c r="B15864" i="3"/>
  <c r="A15864" i="3"/>
  <c r="B15863" i="3"/>
  <c r="A15863" i="3"/>
  <c r="B15862" i="3"/>
  <c r="A15862" i="3"/>
  <c r="B15861" i="3"/>
  <c r="A15861" i="3"/>
  <c r="B15860" i="3"/>
  <c r="A15860" i="3"/>
  <c r="B15859" i="3"/>
  <c r="A15859" i="3"/>
  <c r="B15858" i="3"/>
  <c r="A15858" i="3"/>
  <c r="B15857" i="3"/>
  <c r="A15857" i="3"/>
  <c r="B15856" i="3"/>
  <c r="A15856" i="3"/>
  <c r="B15855" i="3"/>
  <c r="A15855" i="3"/>
  <c r="B15854" i="3"/>
  <c r="A15854" i="3"/>
  <c r="B15853" i="3"/>
  <c r="A15853" i="3"/>
  <c r="B15852" i="3"/>
  <c r="A15852" i="3"/>
  <c r="B15851" i="3"/>
  <c r="A15851" i="3"/>
  <c r="B15850" i="3"/>
  <c r="A15850" i="3"/>
  <c r="B15849" i="3"/>
  <c r="A15849" i="3"/>
  <c r="B15848" i="3"/>
  <c r="A15848" i="3"/>
  <c r="B15847" i="3"/>
  <c r="A15847" i="3"/>
  <c r="B15846" i="3"/>
  <c r="A15846" i="3"/>
  <c r="B15845" i="3"/>
  <c r="A15845" i="3"/>
  <c r="B15844" i="3"/>
  <c r="A15844" i="3"/>
  <c r="B15843" i="3"/>
  <c r="A15843" i="3"/>
  <c r="B15842" i="3"/>
  <c r="A15842" i="3"/>
  <c r="B15841" i="3"/>
  <c r="A15841" i="3"/>
  <c r="B15840" i="3"/>
  <c r="A15840" i="3"/>
  <c r="B15839" i="3"/>
  <c r="A15839" i="3"/>
  <c r="B15838" i="3"/>
  <c r="A15838" i="3"/>
  <c r="B15837" i="3"/>
  <c r="A15837" i="3"/>
  <c r="B15836" i="3"/>
  <c r="A15836" i="3"/>
  <c r="B15835" i="3"/>
  <c r="A15835" i="3"/>
  <c r="B15834" i="3"/>
  <c r="A15834" i="3"/>
  <c r="B15833" i="3"/>
  <c r="A15833" i="3"/>
  <c r="B15832" i="3"/>
  <c r="A15832" i="3"/>
  <c r="B15831" i="3"/>
  <c r="A15831" i="3"/>
  <c r="B15830" i="3"/>
  <c r="A15830" i="3"/>
  <c r="B15829" i="3"/>
  <c r="A15829" i="3"/>
  <c r="B15828" i="3"/>
  <c r="A15828" i="3"/>
  <c r="B15827" i="3"/>
  <c r="A15827" i="3"/>
  <c r="B15826" i="3"/>
  <c r="A15826" i="3"/>
  <c r="B15825" i="3"/>
  <c r="A15825" i="3"/>
  <c r="B15824" i="3"/>
  <c r="A15824" i="3"/>
  <c r="B15823" i="3"/>
  <c r="A15823" i="3"/>
  <c r="B15822" i="3"/>
  <c r="A15822" i="3"/>
  <c r="B15821" i="3"/>
  <c r="A15821" i="3"/>
  <c r="B15820" i="3"/>
  <c r="A15820" i="3"/>
  <c r="B15819" i="3"/>
  <c r="A15819" i="3"/>
  <c r="B15818" i="3"/>
  <c r="A15818" i="3"/>
  <c r="B15817" i="3"/>
  <c r="A15817" i="3"/>
  <c r="B15816" i="3"/>
  <c r="A15816" i="3"/>
  <c r="B15815" i="3"/>
  <c r="A15815" i="3"/>
  <c r="B15814" i="3"/>
  <c r="A15814" i="3"/>
  <c r="B15813" i="3"/>
  <c r="A15813" i="3"/>
  <c r="B15812" i="3"/>
  <c r="A15812" i="3"/>
  <c r="B15811" i="3"/>
  <c r="A15811" i="3"/>
  <c r="B15810" i="3"/>
  <c r="A15810" i="3"/>
  <c r="B15809" i="3"/>
  <c r="A15809" i="3"/>
  <c r="B15808" i="3"/>
  <c r="A15808" i="3"/>
  <c r="B15807" i="3"/>
  <c r="A15807" i="3"/>
  <c r="B15806" i="3"/>
  <c r="A15806" i="3"/>
  <c r="B15805" i="3"/>
  <c r="A15805" i="3"/>
  <c r="B15804" i="3"/>
  <c r="A15804" i="3"/>
  <c r="B15803" i="3"/>
  <c r="A15803" i="3"/>
  <c r="B15802" i="3"/>
  <c r="A15802" i="3"/>
  <c r="B15801" i="3"/>
  <c r="A15801" i="3"/>
  <c r="B15800" i="3"/>
  <c r="A15800" i="3"/>
  <c r="B15799" i="3"/>
  <c r="A15799" i="3"/>
  <c r="B15798" i="3"/>
  <c r="A15798" i="3"/>
  <c r="B15797" i="3"/>
  <c r="A15797" i="3"/>
  <c r="B15796" i="3"/>
  <c r="A15796" i="3"/>
  <c r="B15795" i="3"/>
  <c r="A15795" i="3"/>
  <c r="B15794" i="3"/>
  <c r="A15794" i="3"/>
  <c r="B15793" i="3"/>
  <c r="A15793" i="3"/>
  <c r="B15792" i="3"/>
  <c r="A15792" i="3"/>
  <c r="B15791" i="3"/>
  <c r="A15791" i="3"/>
  <c r="B15790" i="3"/>
  <c r="A15790" i="3"/>
  <c r="B15789" i="3"/>
  <c r="A15789" i="3"/>
  <c r="B15788" i="3"/>
  <c r="A15788" i="3"/>
  <c r="B15787" i="3"/>
  <c r="A15787" i="3"/>
  <c r="B15786" i="3"/>
  <c r="A15786" i="3"/>
  <c r="B15785" i="3"/>
  <c r="A15785" i="3"/>
  <c r="B15784" i="3"/>
  <c r="A15784" i="3"/>
  <c r="B15783" i="3"/>
  <c r="A15783" i="3"/>
  <c r="B15782" i="3"/>
  <c r="A15782" i="3"/>
  <c r="B15781" i="3"/>
  <c r="A15781" i="3"/>
  <c r="B15780" i="3"/>
  <c r="A15780" i="3"/>
  <c r="B15779" i="3"/>
  <c r="A15779" i="3"/>
  <c r="B15778" i="3"/>
  <c r="A15778" i="3"/>
  <c r="B15777" i="3"/>
  <c r="A15777" i="3"/>
  <c r="B15776" i="3"/>
  <c r="A15776" i="3"/>
  <c r="B15775" i="3"/>
  <c r="A15775" i="3"/>
  <c r="B15774" i="3"/>
  <c r="A15774" i="3"/>
  <c r="B15773" i="3"/>
  <c r="A15773" i="3"/>
  <c r="B15772" i="3"/>
  <c r="A15772" i="3"/>
  <c r="B15771" i="3"/>
  <c r="A15771" i="3"/>
  <c r="B15770" i="3"/>
  <c r="A15770" i="3"/>
  <c r="B15769" i="3"/>
  <c r="A15769" i="3"/>
  <c r="B15768" i="3"/>
  <c r="A15768" i="3"/>
  <c r="B15767" i="3"/>
  <c r="A15767" i="3"/>
  <c r="B15766" i="3"/>
  <c r="A15766" i="3"/>
  <c r="B15765" i="3"/>
  <c r="A15765" i="3"/>
  <c r="B15764" i="3"/>
  <c r="A15764" i="3"/>
  <c r="B15763" i="3"/>
  <c r="A15763" i="3"/>
  <c r="B15762" i="3"/>
  <c r="A15762" i="3"/>
  <c r="B15761" i="3"/>
  <c r="A15761" i="3"/>
  <c r="B15760" i="3"/>
  <c r="A15760" i="3"/>
  <c r="B15759" i="3"/>
  <c r="A15759" i="3"/>
  <c r="B15758" i="3"/>
  <c r="A15758" i="3"/>
  <c r="B15757" i="3"/>
  <c r="A15757" i="3"/>
  <c r="B15756" i="3"/>
  <c r="A15756" i="3"/>
  <c r="B15755" i="3"/>
  <c r="A15755" i="3"/>
  <c r="B15754" i="3"/>
  <c r="A15754" i="3"/>
  <c r="B15753" i="3"/>
  <c r="A15753" i="3"/>
  <c r="B15752" i="3"/>
  <c r="A15752" i="3"/>
  <c r="B15751" i="3"/>
  <c r="A15751" i="3"/>
  <c r="B15750" i="3"/>
  <c r="A15750" i="3"/>
  <c r="B15749" i="3"/>
  <c r="A15749" i="3"/>
  <c r="B15748" i="3"/>
  <c r="A15748" i="3"/>
  <c r="B15747" i="3"/>
  <c r="A15747" i="3"/>
  <c r="B15746" i="3"/>
  <c r="A15746" i="3"/>
  <c r="B15745" i="3"/>
  <c r="A15745" i="3"/>
  <c r="B15744" i="3"/>
  <c r="A15744" i="3"/>
  <c r="B15743" i="3"/>
  <c r="A15743" i="3"/>
  <c r="B15742" i="3"/>
  <c r="A15742" i="3"/>
  <c r="B15741" i="3"/>
  <c r="A15741" i="3"/>
  <c r="B15740" i="3"/>
  <c r="A15740" i="3"/>
  <c r="B15739" i="3"/>
  <c r="A15739" i="3"/>
  <c r="B15738" i="3"/>
  <c r="A15738" i="3"/>
  <c r="B15737" i="3"/>
  <c r="A15737" i="3"/>
  <c r="B15736" i="3"/>
  <c r="A15736" i="3"/>
  <c r="B15735" i="3"/>
  <c r="A15735" i="3"/>
  <c r="B15734" i="3"/>
  <c r="A15734" i="3"/>
  <c r="B15733" i="3"/>
  <c r="A15733" i="3"/>
  <c r="B15732" i="3"/>
  <c r="A15732" i="3"/>
  <c r="B15731" i="3"/>
  <c r="A15731" i="3"/>
  <c r="B15730" i="3"/>
  <c r="A15730" i="3"/>
  <c r="B15729" i="3"/>
  <c r="A15729" i="3"/>
  <c r="B15728" i="3"/>
  <c r="A15728" i="3"/>
  <c r="B15727" i="3"/>
  <c r="A15727" i="3"/>
  <c r="B15726" i="3"/>
  <c r="A15726" i="3"/>
  <c r="B15725" i="3"/>
  <c r="A15725" i="3"/>
  <c r="B15724" i="3"/>
  <c r="A15724" i="3"/>
  <c r="B15723" i="3"/>
  <c r="A15723" i="3"/>
  <c r="B15722" i="3"/>
  <c r="A15722" i="3"/>
  <c r="B15721" i="3"/>
  <c r="A15721" i="3"/>
  <c r="B15720" i="3"/>
  <c r="A15720" i="3"/>
  <c r="B15719" i="3"/>
  <c r="A15719" i="3"/>
  <c r="B15718" i="3"/>
  <c r="A15718" i="3"/>
  <c r="B15717" i="3"/>
  <c r="A15717" i="3"/>
  <c r="B15716" i="3"/>
  <c r="A15716" i="3"/>
  <c r="B15715" i="3"/>
  <c r="A15715" i="3"/>
  <c r="B15714" i="3"/>
  <c r="A15714" i="3"/>
  <c r="B15713" i="3"/>
  <c r="A15713" i="3"/>
  <c r="B15712" i="3"/>
  <c r="A15712" i="3"/>
  <c r="B15711" i="3"/>
  <c r="A15711" i="3"/>
  <c r="B15710" i="3"/>
  <c r="A15710" i="3"/>
  <c r="B15709" i="3"/>
  <c r="A15709" i="3"/>
  <c r="B15708" i="3"/>
  <c r="A15708" i="3"/>
  <c r="B15707" i="3"/>
  <c r="A15707" i="3"/>
  <c r="B15706" i="3"/>
  <c r="A15706" i="3"/>
  <c r="B15705" i="3"/>
  <c r="A15705" i="3"/>
  <c r="B15704" i="3"/>
  <c r="A15704" i="3"/>
  <c r="B15703" i="3"/>
  <c r="A15703" i="3"/>
  <c r="B15702" i="3"/>
  <c r="A15702" i="3"/>
  <c r="B15701" i="3"/>
  <c r="A15701" i="3"/>
  <c r="B15700" i="3"/>
  <c r="A15700" i="3"/>
  <c r="B15699" i="3"/>
  <c r="A15699" i="3"/>
  <c r="B15698" i="3"/>
  <c r="A15698" i="3"/>
  <c r="B15697" i="3"/>
  <c r="A15697" i="3"/>
  <c r="B15696" i="3"/>
  <c r="A15696" i="3"/>
  <c r="B15695" i="3"/>
  <c r="A15695" i="3"/>
  <c r="B15694" i="3"/>
  <c r="A15694" i="3"/>
  <c r="B15693" i="3"/>
  <c r="A15693" i="3"/>
  <c r="B15692" i="3"/>
  <c r="A15692" i="3"/>
  <c r="B15691" i="3"/>
  <c r="A15691" i="3"/>
  <c r="B15690" i="3"/>
  <c r="A15690" i="3"/>
  <c r="B15689" i="3"/>
  <c r="A15689" i="3"/>
  <c r="B15688" i="3"/>
  <c r="A15688" i="3"/>
  <c r="B15687" i="3"/>
  <c r="A15687" i="3"/>
  <c r="B15686" i="3"/>
  <c r="A15686" i="3"/>
  <c r="B15685" i="3"/>
  <c r="A15685" i="3"/>
  <c r="B15684" i="3"/>
  <c r="A15684" i="3"/>
  <c r="B15683" i="3"/>
  <c r="A15683" i="3"/>
  <c r="B15682" i="3"/>
  <c r="A15682" i="3"/>
  <c r="B15681" i="3"/>
  <c r="A15681" i="3"/>
  <c r="B15680" i="3"/>
  <c r="A15680" i="3"/>
  <c r="B15679" i="3"/>
  <c r="A15679" i="3"/>
  <c r="B15678" i="3"/>
  <c r="A15678" i="3"/>
  <c r="B15677" i="3"/>
  <c r="A15677" i="3"/>
  <c r="B15676" i="3"/>
  <c r="A15676" i="3"/>
  <c r="B15675" i="3"/>
  <c r="A15675" i="3"/>
  <c r="B15674" i="3"/>
  <c r="A15674" i="3"/>
  <c r="B15673" i="3"/>
  <c r="A15673" i="3"/>
  <c r="B15672" i="3"/>
  <c r="A15672" i="3"/>
  <c r="B15671" i="3"/>
  <c r="A15671" i="3"/>
  <c r="B15670" i="3"/>
  <c r="A15670" i="3"/>
  <c r="B15669" i="3"/>
  <c r="A15669" i="3"/>
  <c r="B15668" i="3"/>
  <c r="A15668" i="3"/>
  <c r="B15667" i="3"/>
  <c r="A15667" i="3"/>
  <c r="B15666" i="3"/>
  <c r="A15666" i="3"/>
  <c r="B15665" i="3"/>
  <c r="A15665" i="3"/>
  <c r="B15664" i="3"/>
  <c r="A15664" i="3"/>
  <c r="B15663" i="3"/>
  <c r="A15663" i="3"/>
  <c r="B15662" i="3"/>
  <c r="A15662" i="3"/>
  <c r="B15661" i="3"/>
  <c r="A15661" i="3"/>
  <c r="B15660" i="3"/>
  <c r="A15660" i="3"/>
  <c r="B15659" i="3"/>
  <c r="A15659" i="3"/>
  <c r="B15658" i="3"/>
  <c r="A15658" i="3"/>
  <c r="B15657" i="3"/>
  <c r="A15657" i="3"/>
  <c r="B15656" i="3"/>
  <c r="A15656" i="3"/>
  <c r="B15655" i="3"/>
  <c r="A15655" i="3"/>
  <c r="B15654" i="3"/>
  <c r="A15654" i="3"/>
  <c r="B15653" i="3"/>
  <c r="A15653" i="3"/>
  <c r="B15652" i="3"/>
  <c r="A15652" i="3"/>
  <c r="B15651" i="3"/>
  <c r="A15651" i="3"/>
  <c r="B15650" i="3"/>
  <c r="A15650" i="3"/>
  <c r="B15649" i="3"/>
  <c r="A15649" i="3"/>
  <c r="B15648" i="3"/>
  <c r="A15648" i="3"/>
  <c r="B15647" i="3"/>
  <c r="A15647" i="3"/>
  <c r="B15646" i="3"/>
  <c r="A15646" i="3"/>
  <c r="B15645" i="3"/>
  <c r="A15645" i="3"/>
  <c r="B15644" i="3"/>
  <c r="A15644" i="3"/>
  <c r="B15643" i="3"/>
  <c r="A15643" i="3"/>
  <c r="B15642" i="3"/>
  <c r="A15642" i="3"/>
  <c r="B15641" i="3"/>
  <c r="A15641" i="3"/>
  <c r="B15640" i="3"/>
  <c r="A15640" i="3"/>
  <c r="B15639" i="3"/>
  <c r="A15639" i="3"/>
  <c r="B15638" i="3"/>
  <c r="A15638" i="3"/>
  <c r="B15637" i="3"/>
  <c r="A15637" i="3"/>
  <c r="B15636" i="3"/>
  <c r="A15636" i="3"/>
  <c r="B15635" i="3"/>
  <c r="A15635" i="3"/>
  <c r="B15634" i="3"/>
  <c r="A15634" i="3"/>
  <c r="B15633" i="3"/>
  <c r="A15633" i="3"/>
  <c r="B15632" i="3"/>
  <c r="A15632" i="3"/>
  <c r="B15631" i="3"/>
  <c r="A15631" i="3"/>
  <c r="B15630" i="3"/>
  <c r="A15630" i="3"/>
  <c r="B15629" i="3"/>
  <c r="A15629" i="3"/>
  <c r="B15628" i="3"/>
  <c r="A15628" i="3"/>
  <c r="B15627" i="3"/>
  <c r="A15627" i="3"/>
  <c r="B15626" i="3"/>
  <c r="A15626" i="3"/>
  <c r="B15625" i="3"/>
  <c r="A15625" i="3"/>
  <c r="B15624" i="3"/>
  <c r="A15624" i="3"/>
  <c r="B15623" i="3"/>
  <c r="A15623" i="3"/>
  <c r="B15622" i="3"/>
  <c r="A15622" i="3"/>
  <c r="B15621" i="3"/>
  <c r="A15621" i="3"/>
  <c r="B15620" i="3"/>
  <c r="A15620" i="3"/>
  <c r="B15619" i="3"/>
  <c r="A15619" i="3"/>
  <c r="B15618" i="3"/>
  <c r="A15618" i="3"/>
  <c r="B15617" i="3"/>
  <c r="A15617" i="3"/>
  <c r="B15616" i="3"/>
  <c r="A15616" i="3"/>
  <c r="B15615" i="3"/>
  <c r="A15615" i="3"/>
  <c r="B15614" i="3"/>
  <c r="A15614" i="3"/>
  <c r="B15613" i="3"/>
  <c r="A15613" i="3"/>
  <c r="B15612" i="3"/>
  <c r="A15612" i="3"/>
  <c r="B15611" i="3"/>
  <c r="A15611" i="3"/>
  <c r="B15610" i="3"/>
  <c r="A15610" i="3"/>
  <c r="B15609" i="3"/>
  <c r="A15609" i="3"/>
  <c r="B15608" i="3"/>
  <c r="A15608" i="3"/>
  <c r="B15607" i="3"/>
  <c r="A15607" i="3"/>
  <c r="B15606" i="3"/>
  <c r="A15606" i="3"/>
  <c r="B15605" i="3"/>
  <c r="A15605" i="3"/>
  <c r="B15604" i="3"/>
  <c r="A15604" i="3"/>
  <c r="B15603" i="3"/>
  <c r="A15603" i="3"/>
  <c r="B15602" i="3"/>
  <c r="A15602" i="3"/>
  <c r="B15601" i="3"/>
  <c r="A15601" i="3"/>
  <c r="B15600" i="3"/>
  <c r="A15600" i="3"/>
  <c r="B15599" i="3"/>
  <c r="A15599" i="3"/>
  <c r="B15598" i="3"/>
  <c r="A15598" i="3"/>
  <c r="B15597" i="3"/>
  <c r="A15597" i="3"/>
  <c r="B15596" i="3"/>
  <c r="A15596" i="3"/>
  <c r="B15595" i="3"/>
  <c r="A15595" i="3"/>
  <c r="B15594" i="3"/>
  <c r="A15594" i="3"/>
  <c r="B15593" i="3"/>
  <c r="A15593" i="3"/>
  <c r="B15592" i="3"/>
  <c r="A15592" i="3"/>
  <c r="B15591" i="3"/>
  <c r="A15591" i="3"/>
  <c r="B15590" i="3"/>
  <c r="A15590" i="3"/>
  <c r="B15589" i="3"/>
  <c r="A15589" i="3"/>
  <c r="B15588" i="3"/>
  <c r="A15588" i="3"/>
  <c r="B15587" i="3"/>
  <c r="A15587" i="3"/>
  <c r="B15586" i="3"/>
  <c r="A15586" i="3"/>
  <c r="B15585" i="3"/>
  <c r="A15585" i="3"/>
  <c r="B15584" i="3"/>
  <c r="A15584" i="3"/>
  <c r="B15583" i="3"/>
  <c r="A15583" i="3"/>
  <c r="B15582" i="3"/>
  <c r="A15582" i="3"/>
  <c r="B15581" i="3"/>
  <c r="A15581" i="3"/>
  <c r="B15580" i="3"/>
  <c r="A15580" i="3"/>
  <c r="B15579" i="3"/>
  <c r="A15579" i="3"/>
  <c r="B15578" i="3"/>
  <c r="A15578" i="3"/>
  <c r="B15577" i="3"/>
  <c r="A15577" i="3"/>
  <c r="B15576" i="3"/>
  <c r="A15576" i="3"/>
  <c r="B15575" i="3"/>
  <c r="A15575" i="3"/>
  <c r="B15574" i="3"/>
  <c r="A15574" i="3"/>
  <c r="B15573" i="3"/>
  <c r="A15573" i="3"/>
  <c r="B15572" i="3"/>
  <c r="A15572" i="3"/>
  <c r="B15571" i="3"/>
  <c r="A15571" i="3"/>
  <c r="B15570" i="3"/>
  <c r="A15570" i="3"/>
  <c r="B15569" i="3"/>
  <c r="A15569" i="3"/>
  <c r="B15568" i="3"/>
  <c r="A15568" i="3"/>
  <c r="B15567" i="3"/>
  <c r="A15567" i="3"/>
  <c r="B15566" i="3"/>
  <c r="A15566" i="3"/>
  <c r="B15565" i="3"/>
  <c r="A15565" i="3"/>
  <c r="B15564" i="3"/>
  <c r="A15564" i="3"/>
  <c r="B15563" i="3"/>
  <c r="A15563" i="3"/>
  <c r="B15562" i="3"/>
  <c r="A15562" i="3"/>
  <c r="B15561" i="3"/>
  <c r="A15561" i="3"/>
  <c r="B15560" i="3"/>
  <c r="A15560" i="3"/>
  <c r="B15559" i="3"/>
  <c r="A15559" i="3"/>
  <c r="B15558" i="3"/>
  <c r="A15558" i="3"/>
  <c r="B15557" i="3"/>
  <c r="A15557" i="3"/>
  <c r="B15556" i="3"/>
  <c r="A15556" i="3"/>
  <c r="B15555" i="3"/>
  <c r="A15555" i="3"/>
  <c r="B15554" i="3"/>
  <c r="A15554" i="3"/>
  <c r="B15553" i="3"/>
  <c r="A15553" i="3"/>
  <c r="B15552" i="3"/>
  <c r="A15552" i="3"/>
  <c r="B15551" i="3"/>
  <c r="A15551" i="3"/>
  <c r="B15550" i="3"/>
  <c r="A15550" i="3"/>
  <c r="B15549" i="3"/>
  <c r="A15549" i="3"/>
  <c r="B15548" i="3"/>
  <c r="A15548" i="3"/>
  <c r="B15547" i="3"/>
  <c r="A15547" i="3"/>
  <c r="B15546" i="3"/>
  <c r="A15546" i="3"/>
  <c r="B15545" i="3"/>
  <c r="A15545" i="3"/>
  <c r="B15544" i="3"/>
  <c r="A15544" i="3"/>
  <c r="B15543" i="3"/>
  <c r="A15543" i="3"/>
  <c r="B15542" i="3"/>
  <c r="A15542" i="3"/>
  <c r="B15541" i="3"/>
  <c r="A15541" i="3"/>
  <c r="B15540" i="3"/>
  <c r="A15540" i="3"/>
  <c r="B15539" i="3"/>
  <c r="A15539" i="3"/>
  <c r="B15538" i="3"/>
  <c r="A15538" i="3"/>
  <c r="B15537" i="3"/>
  <c r="A15537" i="3"/>
  <c r="B15536" i="3"/>
  <c r="A15536" i="3"/>
  <c r="B15535" i="3"/>
  <c r="A15535" i="3"/>
  <c r="B15534" i="3"/>
  <c r="A15534" i="3"/>
  <c r="B15533" i="3"/>
  <c r="A15533" i="3"/>
  <c r="B15532" i="3"/>
  <c r="A15532" i="3"/>
  <c r="B15531" i="3"/>
  <c r="A15531" i="3"/>
  <c r="B15530" i="3"/>
  <c r="A15530" i="3"/>
  <c r="B15529" i="3"/>
  <c r="A15529" i="3"/>
  <c r="B15528" i="3"/>
  <c r="A15528" i="3"/>
  <c r="B15527" i="3"/>
  <c r="A15527" i="3"/>
  <c r="B15526" i="3"/>
  <c r="A15526" i="3"/>
  <c r="B15525" i="3"/>
  <c r="A15525" i="3"/>
  <c r="B15524" i="3"/>
  <c r="A15524" i="3"/>
  <c r="B15523" i="3"/>
  <c r="A15523" i="3"/>
  <c r="B15522" i="3"/>
  <c r="A15522" i="3"/>
  <c r="B15521" i="3"/>
  <c r="A15521" i="3"/>
  <c r="B15520" i="3"/>
  <c r="A15520" i="3"/>
  <c r="B15519" i="3"/>
  <c r="A15519" i="3"/>
  <c r="B15518" i="3"/>
  <c r="A15518" i="3"/>
  <c r="B15517" i="3"/>
  <c r="A15517" i="3"/>
  <c r="B15516" i="3"/>
  <c r="A15516" i="3"/>
  <c r="B15515" i="3"/>
  <c r="A15515" i="3"/>
  <c r="B15514" i="3"/>
  <c r="A15514" i="3"/>
  <c r="B15513" i="3"/>
  <c r="A15513" i="3"/>
  <c r="B15512" i="3"/>
  <c r="A15512" i="3"/>
  <c r="B15511" i="3"/>
  <c r="A15511" i="3"/>
  <c r="B15510" i="3"/>
  <c r="A15510" i="3"/>
  <c r="B15509" i="3"/>
  <c r="A15509" i="3"/>
  <c r="B15508" i="3"/>
  <c r="A15508" i="3"/>
  <c r="B15507" i="3"/>
  <c r="A15507" i="3"/>
  <c r="B15506" i="3"/>
  <c r="A15506" i="3"/>
  <c r="B15505" i="3"/>
  <c r="A15505" i="3"/>
  <c r="B15504" i="3"/>
  <c r="A15504" i="3"/>
  <c r="B15503" i="3"/>
  <c r="A15503" i="3"/>
  <c r="B15502" i="3"/>
  <c r="A15502" i="3"/>
  <c r="B15501" i="3"/>
  <c r="A15501" i="3"/>
  <c r="B15500" i="3"/>
  <c r="A15500" i="3"/>
  <c r="B15499" i="3"/>
  <c r="A15499" i="3"/>
  <c r="B15498" i="3"/>
  <c r="A15498" i="3"/>
  <c r="B15497" i="3"/>
  <c r="A15497" i="3"/>
  <c r="B15496" i="3"/>
  <c r="A15496" i="3"/>
  <c r="B15495" i="3"/>
  <c r="A15495" i="3"/>
  <c r="B15494" i="3"/>
  <c r="A15494" i="3"/>
  <c r="B15493" i="3"/>
  <c r="A15493" i="3"/>
  <c r="B15492" i="3"/>
  <c r="A15492" i="3"/>
  <c r="B15491" i="3"/>
  <c r="A15491" i="3"/>
  <c r="B15490" i="3"/>
  <c r="A15490" i="3"/>
  <c r="B15489" i="3"/>
  <c r="A15489" i="3"/>
  <c r="B15488" i="3"/>
  <c r="A15488" i="3"/>
  <c r="B15487" i="3"/>
  <c r="A15487" i="3"/>
  <c r="B15486" i="3"/>
  <c r="A15486" i="3"/>
  <c r="B15485" i="3"/>
  <c r="A15485" i="3"/>
  <c r="B15484" i="3"/>
  <c r="A15484" i="3"/>
  <c r="B15483" i="3"/>
  <c r="A15483" i="3"/>
  <c r="B15482" i="3"/>
  <c r="A15482" i="3"/>
  <c r="B15481" i="3"/>
  <c r="A15481" i="3"/>
  <c r="B15480" i="3"/>
  <c r="A15480" i="3"/>
  <c r="B15479" i="3"/>
  <c r="A15479" i="3"/>
  <c r="B15478" i="3"/>
  <c r="A15478" i="3"/>
  <c r="B15477" i="3"/>
  <c r="A15477" i="3"/>
  <c r="B15476" i="3"/>
  <c r="A15476" i="3"/>
  <c r="B15475" i="3"/>
  <c r="A15475" i="3"/>
  <c r="B15474" i="3"/>
  <c r="A15474" i="3"/>
  <c r="B15473" i="3"/>
  <c r="A15473" i="3"/>
  <c r="B15472" i="3"/>
  <c r="A15472" i="3"/>
  <c r="B15471" i="3"/>
  <c r="A15471" i="3"/>
  <c r="B15470" i="3"/>
  <c r="A15470" i="3"/>
  <c r="B15469" i="3"/>
  <c r="A15469" i="3"/>
  <c r="B15468" i="3"/>
  <c r="A15468" i="3"/>
  <c r="B15467" i="3"/>
  <c r="A15467" i="3"/>
  <c r="B15466" i="3"/>
  <c r="A15466" i="3"/>
  <c r="B15465" i="3"/>
  <c r="A15465" i="3"/>
  <c r="B15464" i="3"/>
  <c r="A15464" i="3"/>
  <c r="B15463" i="3"/>
  <c r="A15463" i="3"/>
  <c r="B15462" i="3"/>
  <c r="A15462" i="3"/>
  <c r="B15461" i="3"/>
  <c r="A15461" i="3"/>
  <c r="B15460" i="3"/>
  <c r="A15460" i="3"/>
  <c r="B15459" i="3"/>
  <c r="A15459" i="3"/>
  <c r="B15458" i="3"/>
  <c r="A15458" i="3"/>
  <c r="B15457" i="3"/>
  <c r="A15457" i="3"/>
  <c r="B15456" i="3"/>
  <c r="A15456" i="3"/>
  <c r="B15455" i="3"/>
  <c r="A15455" i="3"/>
  <c r="B15454" i="3"/>
  <c r="A15454" i="3"/>
  <c r="B15453" i="3"/>
  <c r="A15453" i="3"/>
  <c r="B15452" i="3"/>
  <c r="A15452" i="3"/>
  <c r="B15451" i="3"/>
  <c r="A15451" i="3"/>
  <c r="B15450" i="3"/>
  <c r="A15450" i="3"/>
  <c r="B15449" i="3"/>
  <c r="A15449" i="3"/>
  <c r="B15448" i="3"/>
  <c r="A15448" i="3"/>
  <c r="B15447" i="3"/>
  <c r="A15447" i="3"/>
  <c r="B15446" i="3"/>
  <c r="A15446" i="3"/>
  <c r="B15445" i="3"/>
  <c r="A15445" i="3"/>
  <c r="B15444" i="3"/>
  <c r="A15444" i="3"/>
  <c r="B15443" i="3"/>
  <c r="A15443" i="3"/>
  <c r="B15442" i="3"/>
  <c r="A15442" i="3"/>
  <c r="B15441" i="3"/>
  <c r="A15441" i="3"/>
  <c r="B15440" i="3"/>
  <c r="A15440" i="3"/>
  <c r="B15439" i="3"/>
  <c r="A15439" i="3"/>
  <c r="B15438" i="3"/>
  <c r="A15438" i="3"/>
  <c r="B15437" i="3"/>
  <c r="A15437" i="3"/>
  <c r="B15436" i="3"/>
  <c r="A15436" i="3"/>
  <c r="B15435" i="3"/>
  <c r="A15435" i="3"/>
  <c r="B15434" i="3"/>
  <c r="A15434" i="3"/>
  <c r="B15433" i="3"/>
  <c r="A15433" i="3"/>
  <c r="B15432" i="3"/>
  <c r="A15432" i="3"/>
  <c r="B15431" i="3"/>
  <c r="A15431" i="3"/>
  <c r="B15430" i="3"/>
  <c r="A15430" i="3"/>
  <c r="B15429" i="3"/>
  <c r="A15429" i="3"/>
  <c r="B15428" i="3"/>
  <c r="A15428" i="3"/>
  <c r="B15427" i="3"/>
  <c r="A15427" i="3"/>
  <c r="B15426" i="3"/>
  <c r="A15426" i="3"/>
  <c r="B15425" i="3"/>
  <c r="A15425" i="3"/>
  <c r="B15424" i="3"/>
  <c r="A15424" i="3"/>
  <c r="B15423" i="3"/>
  <c r="A15423" i="3"/>
  <c r="B15422" i="3"/>
  <c r="A15422" i="3"/>
  <c r="B15421" i="3"/>
  <c r="A15421" i="3"/>
  <c r="B15420" i="3"/>
  <c r="A15420" i="3"/>
  <c r="B15419" i="3"/>
  <c r="A15419" i="3"/>
  <c r="B15418" i="3"/>
  <c r="A15418" i="3"/>
  <c r="B15417" i="3"/>
  <c r="A15417" i="3"/>
  <c r="B15416" i="3"/>
  <c r="A15416" i="3"/>
  <c r="B15415" i="3"/>
  <c r="A15415" i="3"/>
  <c r="B15414" i="3"/>
  <c r="A15414" i="3"/>
  <c r="B15413" i="3"/>
  <c r="A15413" i="3"/>
  <c r="B15412" i="3"/>
  <c r="A15412" i="3"/>
  <c r="B15411" i="3"/>
  <c r="A15411" i="3"/>
  <c r="B15410" i="3"/>
  <c r="A15410" i="3"/>
  <c r="B15409" i="3"/>
  <c r="A15409" i="3"/>
  <c r="B15408" i="3"/>
  <c r="A15408" i="3"/>
  <c r="B15407" i="3"/>
  <c r="A15407" i="3"/>
  <c r="B15406" i="3"/>
  <c r="A15406" i="3"/>
  <c r="B15405" i="3"/>
  <c r="A15405" i="3"/>
  <c r="B15404" i="3"/>
  <c r="A15404" i="3"/>
  <c r="B15403" i="3"/>
  <c r="A15403" i="3"/>
  <c r="B15402" i="3"/>
  <c r="A15402" i="3"/>
  <c r="B15401" i="3"/>
  <c r="A15401" i="3"/>
  <c r="B15400" i="3"/>
  <c r="A15400" i="3"/>
  <c r="B15399" i="3"/>
  <c r="A15399" i="3"/>
  <c r="B15398" i="3"/>
  <c r="A15398" i="3"/>
  <c r="B15397" i="3"/>
  <c r="A15397" i="3"/>
  <c r="B15396" i="3"/>
  <c r="A15396" i="3"/>
  <c r="B15395" i="3"/>
  <c r="A15395" i="3"/>
  <c r="B15394" i="3"/>
  <c r="A15394" i="3"/>
  <c r="B15393" i="3"/>
  <c r="A15393" i="3"/>
  <c r="B15392" i="3"/>
  <c r="A15392" i="3"/>
  <c r="B15391" i="3"/>
  <c r="A15391" i="3"/>
  <c r="B15390" i="3"/>
  <c r="A15390" i="3"/>
  <c r="B15389" i="3"/>
  <c r="A15389" i="3"/>
  <c r="B15388" i="3"/>
  <c r="A15388" i="3"/>
  <c r="B15387" i="3"/>
  <c r="A15387" i="3"/>
  <c r="B15386" i="3"/>
  <c r="A15386" i="3"/>
  <c r="B15385" i="3"/>
  <c r="A15385" i="3"/>
  <c r="B15384" i="3"/>
  <c r="A15384" i="3"/>
  <c r="B15383" i="3"/>
  <c r="A15383" i="3"/>
  <c r="B15382" i="3"/>
  <c r="A15382" i="3"/>
  <c r="B15381" i="3"/>
  <c r="A15381" i="3"/>
  <c r="B15380" i="3"/>
  <c r="A15380" i="3"/>
  <c r="B15379" i="3"/>
  <c r="A15379" i="3"/>
  <c r="B15378" i="3"/>
  <c r="A15378" i="3"/>
  <c r="B15377" i="3"/>
  <c r="A15377" i="3"/>
  <c r="B15376" i="3"/>
  <c r="A15376" i="3"/>
  <c r="B15375" i="3"/>
  <c r="A15375" i="3"/>
  <c r="B15374" i="3"/>
  <c r="A15374" i="3"/>
  <c r="B15373" i="3"/>
  <c r="A15373" i="3"/>
  <c r="B15372" i="3"/>
  <c r="A15372" i="3"/>
  <c r="B15371" i="3"/>
  <c r="A15371" i="3"/>
  <c r="B15370" i="3"/>
  <c r="A15370" i="3"/>
  <c r="B15369" i="3"/>
  <c r="A15369" i="3"/>
  <c r="B15368" i="3"/>
  <c r="A15368" i="3"/>
  <c r="B15367" i="3"/>
  <c r="A15367" i="3"/>
  <c r="B15366" i="3"/>
  <c r="A15366" i="3"/>
  <c r="B15365" i="3"/>
  <c r="A15365" i="3"/>
  <c r="B15364" i="3"/>
  <c r="A15364" i="3"/>
  <c r="B15363" i="3"/>
  <c r="A15363" i="3"/>
  <c r="B15362" i="3"/>
  <c r="A15362" i="3"/>
  <c r="B15361" i="3"/>
  <c r="A15361" i="3"/>
  <c r="B15360" i="3"/>
  <c r="A15360" i="3"/>
  <c r="B15359" i="3"/>
  <c r="A15359" i="3"/>
  <c r="B15358" i="3"/>
  <c r="A15358" i="3"/>
  <c r="B15357" i="3"/>
  <c r="A15357" i="3"/>
  <c r="B15356" i="3"/>
  <c r="A15356" i="3"/>
  <c r="B15355" i="3"/>
  <c r="A15355" i="3"/>
  <c r="B15354" i="3"/>
  <c r="A15354" i="3"/>
  <c r="B15353" i="3"/>
  <c r="A15353" i="3"/>
  <c r="B15352" i="3"/>
  <c r="A15352" i="3"/>
  <c r="B15351" i="3"/>
  <c r="A15351" i="3"/>
  <c r="B15350" i="3"/>
  <c r="A15350" i="3"/>
  <c r="B15349" i="3"/>
  <c r="A15349" i="3"/>
  <c r="B15348" i="3"/>
  <c r="A15348" i="3"/>
  <c r="B15347" i="3"/>
  <c r="A15347" i="3"/>
  <c r="B15346" i="3"/>
  <c r="A15346" i="3"/>
  <c r="B15345" i="3"/>
  <c r="A15345" i="3"/>
  <c r="B15344" i="3"/>
  <c r="A15344" i="3"/>
  <c r="B15343" i="3"/>
  <c r="A15343" i="3"/>
  <c r="B15342" i="3"/>
  <c r="A15342" i="3"/>
  <c r="B15341" i="3"/>
  <c r="A15341" i="3"/>
  <c r="B15340" i="3"/>
  <c r="A15340" i="3"/>
  <c r="B15339" i="3"/>
  <c r="A15339" i="3"/>
  <c r="B15338" i="3"/>
  <c r="A15338" i="3"/>
  <c r="B15337" i="3"/>
  <c r="A15337" i="3"/>
  <c r="B15336" i="3"/>
  <c r="A15336" i="3"/>
  <c r="B15335" i="3"/>
  <c r="A15335" i="3"/>
  <c r="B15334" i="3"/>
  <c r="A15334" i="3"/>
  <c r="B15333" i="3"/>
  <c r="A15333" i="3"/>
  <c r="B15332" i="3"/>
  <c r="A15332" i="3"/>
  <c r="B15331" i="3"/>
  <c r="A15331" i="3"/>
  <c r="B15330" i="3"/>
  <c r="A15330" i="3"/>
  <c r="B15329" i="3"/>
  <c r="A15329" i="3"/>
  <c r="B15328" i="3"/>
  <c r="A15328" i="3"/>
  <c r="B15327" i="3"/>
  <c r="A15327" i="3"/>
  <c r="B15326" i="3"/>
  <c r="A15326" i="3"/>
  <c r="B15325" i="3"/>
  <c r="A15325" i="3"/>
  <c r="B15324" i="3"/>
  <c r="A15324" i="3"/>
  <c r="B15323" i="3"/>
  <c r="A15323" i="3"/>
  <c r="B15322" i="3"/>
  <c r="A15322" i="3"/>
  <c r="B15321" i="3"/>
  <c r="A15321" i="3"/>
  <c r="B15320" i="3"/>
  <c r="A15320" i="3"/>
  <c r="B15319" i="3"/>
  <c r="A15319" i="3"/>
  <c r="B15318" i="3"/>
  <c r="A15318" i="3"/>
  <c r="B15317" i="3"/>
  <c r="A15317" i="3"/>
  <c r="B15316" i="3"/>
  <c r="A15316" i="3"/>
  <c r="B15315" i="3"/>
  <c r="A15315" i="3"/>
  <c r="B15314" i="3"/>
  <c r="A15314" i="3"/>
  <c r="B15313" i="3"/>
  <c r="A15313" i="3"/>
  <c r="B15312" i="3"/>
  <c r="A15312" i="3"/>
  <c r="B15311" i="3"/>
  <c r="A15311" i="3"/>
  <c r="B15310" i="3"/>
  <c r="A15310" i="3"/>
  <c r="B15309" i="3"/>
  <c r="A15309" i="3"/>
  <c r="B15308" i="3"/>
  <c r="A15308" i="3"/>
  <c r="B15307" i="3"/>
  <c r="A15307" i="3"/>
  <c r="B15306" i="3"/>
  <c r="A15306" i="3"/>
  <c r="B15305" i="3"/>
  <c r="A15305" i="3"/>
  <c r="B15304" i="3"/>
  <c r="A15304" i="3"/>
  <c r="B15303" i="3"/>
  <c r="A15303" i="3"/>
  <c r="B15302" i="3"/>
  <c r="A15302" i="3"/>
  <c r="B15301" i="3"/>
  <c r="A15301" i="3"/>
  <c r="B15300" i="3"/>
  <c r="A15300" i="3"/>
  <c r="B15299" i="3"/>
  <c r="A15299" i="3"/>
  <c r="B15298" i="3"/>
  <c r="A15298" i="3"/>
  <c r="B15297" i="3"/>
  <c r="A15297" i="3"/>
  <c r="B15296" i="3"/>
  <c r="A15296" i="3"/>
  <c r="B15295" i="3"/>
  <c r="A15295" i="3"/>
  <c r="B15294" i="3"/>
  <c r="A15294" i="3"/>
  <c r="B15293" i="3"/>
  <c r="A15293" i="3"/>
  <c r="B15292" i="3"/>
  <c r="A15292" i="3"/>
  <c r="B15291" i="3"/>
  <c r="A15291" i="3"/>
  <c r="B15290" i="3"/>
  <c r="A15290" i="3"/>
  <c r="B15289" i="3"/>
  <c r="A15289" i="3"/>
  <c r="B15288" i="3"/>
  <c r="A15288" i="3"/>
  <c r="B15287" i="3"/>
  <c r="A15287" i="3"/>
  <c r="B15286" i="3"/>
  <c r="A15286" i="3"/>
  <c r="B15285" i="3"/>
  <c r="A15285" i="3"/>
  <c r="B15284" i="3"/>
  <c r="A15284" i="3"/>
  <c r="B15283" i="3"/>
  <c r="A15283" i="3"/>
  <c r="B15282" i="3"/>
  <c r="A15282" i="3"/>
  <c r="B15281" i="3"/>
  <c r="A15281" i="3"/>
  <c r="B15280" i="3"/>
  <c r="A15280" i="3"/>
  <c r="B15279" i="3"/>
  <c r="A15279" i="3"/>
  <c r="B15278" i="3"/>
  <c r="A15278" i="3"/>
  <c r="B15277" i="3"/>
  <c r="A15277" i="3"/>
  <c r="B15276" i="3"/>
  <c r="A15276" i="3"/>
  <c r="B15275" i="3"/>
  <c r="A15275" i="3"/>
  <c r="B15274" i="3"/>
  <c r="A15274" i="3"/>
  <c r="B15273" i="3"/>
  <c r="A15273" i="3"/>
  <c r="B15272" i="3"/>
  <c r="A15272" i="3"/>
  <c r="B15271" i="3"/>
  <c r="A15271" i="3"/>
  <c r="B15270" i="3"/>
  <c r="A15270" i="3"/>
  <c r="B15269" i="3"/>
  <c r="A15269" i="3"/>
  <c r="B15268" i="3"/>
  <c r="A15268" i="3"/>
  <c r="B15267" i="3"/>
  <c r="A15267" i="3"/>
  <c r="B15266" i="3"/>
  <c r="A15266" i="3"/>
  <c r="B15265" i="3"/>
  <c r="A15265" i="3"/>
  <c r="B15264" i="3"/>
  <c r="A15264" i="3"/>
  <c r="B15263" i="3"/>
  <c r="A15263" i="3"/>
  <c r="B15262" i="3"/>
  <c r="A15262" i="3"/>
  <c r="B15261" i="3"/>
  <c r="A15261" i="3"/>
  <c r="B15260" i="3"/>
  <c r="A15260" i="3"/>
  <c r="B15259" i="3"/>
  <c r="A15259" i="3"/>
  <c r="B15258" i="3"/>
  <c r="A15258" i="3"/>
  <c r="B15257" i="3"/>
  <c r="A15257" i="3"/>
  <c r="B15256" i="3"/>
  <c r="A15256" i="3"/>
  <c r="B15255" i="3"/>
  <c r="A15255" i="3"/>
  <c r="B15254" i="3"/>
  <c r="A15254" i="3"/>
  <c r="B15253" i="3"/>
  <c r="A15253" i="3"/>
  <c r="B15252" i="3"/>
  <c r="A15252" i="3"/>
  <c r="B15251" i="3"/>
  <c r="A15251" i="3"/>
  <c r="B15250" i="3"/>
  <c r="A15250" i="3"/>
  <c r="B15249" i="3"/>
  <c r="A15249" i="3"/>
  <c r="B15248" i="3"/>
  <c r="A15248" i="3"/>
  <c r="B15247" i="3"/>
  <c r="A15247" i="3"/>
  <c r="B15246" i="3"/>
  <c r="A15246" i="3"/>
  <c r="B15245" i="3"/>
  <c r="A15245" i="3"/>
  <c r="B15244" i="3"/>
  <c r="A15244" i="3"/>
  <c r="B15243" i="3"/>
  <c r="A15243" i="3"/>
  <c r="B15242" i="3"/>
  <c r="A15242" i="3"/>
  <c r="B15241" i="3"/>
  <c r="A15241" i="3"/>
  <c r="B15240" i="3"/>
  <c r="A15240" i="3"/>
  <c r="B15239" i="3"/>
  <c r="A15239" i="3"/>
  <c r="B15238" i="3"/>
  <c r="A15238" i="3"/>
  <c r="B15237" i="3"/>
  <c r="A15237" i="3"/>
  <c r="B15236" i="3"/>
  <c r="A15236" i="3"/>
  <c r="B15235" i="3"/>
  <c r="A15235" i="3"/>
  <c r="B15234" i="3"/>
  <c r="A15234" i="3"/>
  <c r="B15233" i="3"/>
  <c r="A15233" i="3"/>
  <c r="B15232" i="3"/>
  <c r="A15232" i="3"/>
  <c r="B15231" i="3"/>
  <c r="A15231" i="3"/>
  <c r="B15230" i="3"/>
  <c r="A15230" i="3"/>
  <c r="B15229" i="3"/>
  <c r="A15229" i="3"/>
  <c r="B15228" i="3"/>
  <c r="A15228" i="3"/>
  <c r="B15227" i="3"/>
  <c r="A15227" i="3"/>
  <c r="B15226" i="3"/>
  <c r="A15226" i="3"/>
  <c r="B15225" i="3"/>
  <c r="A15225" i="3"/>
  <c r="B15224" i="3"/>
  <c r="A15224" i="3"/>
  <c r="B15223" i="3"/>
  <c r="A15223" i="3"/>
  <c r="B15222" i="3"/>
  <c r="A15222" i="3"/>
  <c r="B15221" i="3"/>
  <c r="A15221" i="3"/>
  <c r="B15220" i="3"/>
  <c r="A15220" i="3"/>
  <c r="B15219" i="3"/>
  <c r="A15219" i="3"/>
  <c r="B15218" i="3"/>
  <c r="A15218" i="3"/>
  <c r="B15217" i="3"/>
  <c r="A15217" i="3"/>
  <c r="B15216" i="3"/>
  <c r="A15216" i="3"/>
  <c r="B15215" i="3"/>
  <c r="A15215" i="3"/>
  <c r="B15214" i="3"/>
  <c r="A15214" i="3"/>
  <c r="B15213" i="3"/>
  <c r="A15213" i="3"/>
  <c r="B15212" i="3"/>
  <c r="A15212" i="3"/>
  <c r="B15211" i="3"/>
  <c r="A15211" i="3"/>
  <c r="B15210" i="3"/>
  <c r="A15210" i="3"/>
  <c r="B15209" i="3"/>
  <c r="A15209" i="3"/>
  <c r="B15208" i="3"/>
  <c r="A15208" i="3"/>
  <c r="B15207" i="3"/>
  <c r="A15207" i="3"/>
  <c r="B15206" i="3"/>
  <c r="A15206" i="3"/>
  <c r="B15205" i="3"/>
  <c r="A15205" i="3"/>
  <c r="B15204" i="3"/>
  <c r="A15204" i="3"/>
  <c r="B15203" i="3"/>
  <c r="A15203" i="3"/>
  <c r="B15202" i="3"/>
  <c r="A15202" i="3"/>
  <c r="B15201" i="3"/>
  <c r="A15201" i="3"/>
  <c r="B15200" i="3"/>
  <c r="A15200" i="3"/>
  <c r="B15199" i="3"/>
  <c r="A15199" i="3"/>
  <c r="B15198" i="3"/>
  <c r="A15198" i="3"/>
  <c r="B15197" i="3"/>
  <c r="A15197" i="3"/>
  <c r="B15196" i="3"/>
  <c r="A15196" i="3"/>
  <c r="B15195" i="3"/>
  <c r="A15195" i="3"/>
  <c r="B15194" i="3"/>
  <c r="A15194" i="3"/>
  <c r="B15193" i="3"/>
  <c r="A15193" i="3"/>
  <c r="B15192" i="3"/>
  <c r="A15192" i="3"/>
  <c r="B15191" i="3"/>
  <c r="A15191" i="3"/>
  <c r="B15190" i="3"/>
  <c r="A15190" i="3"/>
  <c r="B15189" i="3"/>
  <c r="A15189" i="3"/>
  <c r="B15188" i="3"/>
  <c r="A15188" i="3"/>
  <c r="B15187" i="3"/>
  <c r="A15187" i="3"/>
  <c r="B15186" i="3"/>
  <c r="A15186" i="3"/>
  <c r="B15185" i="3"/>
  <c r="A15185" i="3"/>
  <c r="B15184" i="3"/>
  <c r="A15184" i="3"/>
  <c r="B15183" i="3"/>
  <c r="A15183" i="3"/>
  <c r="B15182" i="3"/>
  <c r="A15182" i="3"/>
  <c r="B15181" i="3"/>
  <c r="A15181" i="3"/>
  <c r="B15180" i="3"/>
  <c r="A15180" i="3"/>
  <c r="B15179" i="3"/>
  <c r="A15179" i="3"/>
  <c r="B15178" i="3"/>
  <c r="A15178" i="3"/>
  <c r="B15177" i="3"/>
  <c r="A15177" i="3"/>
  <c r="B15176" i="3"/>
  <c r="A15176" i="3"/>
  <c r="B15175" i="3"/>
  <c r="A15175" i="3"/>
  <c r="B15174" i="3"/>
  <c r="A15174" i="3"/>
  <c r="B15173" i="3"/>
  <c r="A15173" i="3"/>
  <c r="B15172" i="3"/>
  <c r="A15172" i="3"/>
  <c r="B15171" i="3"/>
  <c r="A15171" i="3"/>
  <c r="B15170" i="3"/>
  <c r="A15170" i="3"/>
  <c r="B15169" i="3"/>
  <c r="A15169" i="3"/>
  <c r="B15168" i="3"/>
  <c r="A15168" i="3"/>
  <c r="B15167" i="3"/>
  <c r="A15167" i="3"/>
  <c r="B15166" i="3"/>
  <c r="A15166" i="3"/>
  <c r="B15165" i="3"/>
  <c r="A15165" i="3"/>
  <c r="B15164" i="3"/>
  <c r="A15164" i="3"/>
  <c r="B15163" i="3"/>
  <c r="A15163" i="3"/>
  <c r="B15162" i="3"/>
  <c r="A15162" i="3"/>
  <c r="B15161" i="3"/>
  <c r="A15161" i="3"/>
  <c r="B15160" i="3"/>
  <c r="A15160" i="3"/>
  <c r="B15159" i="3"/>
  <c r="A15159" i="3"/>
  <c r="B15158" i="3"/>
  <c r="A15158" i="3"/>
  <c r="B15157" i="3"/>
  <c r="A15157" i="3"/>
  <c r="B15156" i="3"/>
  <c r="A15156" i="3"/>
  <c r="B15155" i="3"/>
  <c r="A15155" i="3"/>
  <c r="B15154" i="3"/>
  <c r="A15154" i="3"/>
  <c r="B15153" i="3"/>
  <c r="A15153" i="3"/>
  <c r="B15152" i="3"/>
  <c r="A15152" i="3"/>
  <c r="B15151" i="3"/>
  <c r="A15151" i="3"/>
  <c r="B15150" i="3"/>
  <c r="A15150" i="3"/>
  <c r="B15149" i="3"/>
  <c r="A15149" i="3"/>
  <c r="B15148" i="3"/>
  <c r="A15148" i="3"/>
  <c r="B15147" i="3"/>
  <c r="A15147" i="3"/>
  <c r="B15146" i="3"/>
  <c r="A15146" i="3"/>
  <c r="B15145" i="3"/>
  <c r="A15145" i="3"/>
  <c r="B15144" i="3"/>
  <c r="A15144" i="3"/>
  <c r="B15143" i="3"/>
  <c r="A15143" i="3"/>
  <c r="B15142" i="3"/>
  <c r="A15142" i="3"/>
  <c r="B15141" i="3"/>
  <c r="A15141" i="3"/>
  <c r="B15140" i="3"/>
  <c r="A15140" i="3"/>
  <c r="B15139" i="3"/>
  <c r="A15139" i="3"/>
  <c r="B15138" i="3"/>
  <c r="A15138" i="3"/>
  <c r="B15137" i="3"/>
  <c r="A15137" i="3"/>
  <c r="B15136" i="3"/>
  <c r="A15136" i="3"/>
  <c r="B15135" i="3"/>
  <c r="A15135" i="3"/>
  <c r="B15134" i="3"/>
  <c r="A15134" i="3"/>
  <c r="B15133" i="3"/>
  <c r="A15133" i="3"/>
  <c r="B15132" i="3"/>
  <c r="A15132" i="3"/>
  <c r="B15131" i="3"/>
  <c r="A15131" i="3"/>
  <c r="B15130" i="3"/>
  <c r="A15130" i="3"/>
  <c r="B15129" i="3"/>
  <c r="A15129" i="3"/>
  <c r="B15128" i="3"/>
  <c r="A15128" i="3"/>
  <c r="B15127" i="3"/>
  <c r="A15127" i="3"/>
  <c r="B15126" i="3"/>
  <c r="A15126" i="3"/>
  <c r="B15125" i="3"/>
  <c r="A15125" i="3"/>
  <c r="B15124" i="3"/>
  <c r="A15124" i="3"/>
  <c r="B15123" i="3"/>
  <c r="A15123" i="3"/>
  <c r="B15122" i="3"/>
  <c r="A15122" i="3"/>
  <c r="B15121" i="3"/>
  <c r="A15121" i="3"/>
  <c r="B15120" i="3"/>
  <c r="A15120" i="3"/>
  <c r="B15119" i="3"/>
  <c r="A15119" i="3"/>
  <c r="B15118" i="3"/>
  <c r="A15118" i="3"/>
  <c r="B15117" i="3"/>
  <c r="A15117" i="3"/>
  <c r="B15116" i="3"/>
  <c r="A15116" i="3"/>
  <c r="B15115" i="3"/>
  <c r="A15115" i="3"/>
  <c r="B15114" i="3"/>
  <c r="A15114" i="3"/>
  <c r="B15113" i="3"/>
  <c r="A15113" i="3"/>
  <c r="B15112" i="3"/>
  <c r="A15112" i="3"/>
  <c r="B15111" i="3"/>
  <c r="A15111" i="3"/>
  <c r="B15110" i="3"/>
  <c r="A15110" i="3"/>
  <c r="B15109" i="3"/>
  <c r="A15109" i="3"/>
  <c r="B15108" i="3"/>
  <c r="A15108" i="3"/>
  <c r="B15107" i="3"/>
  <c r="A15107" i="3"/>
  <c r="B15106" i="3"/>
  <c r="A15106" i="3"/>
  <c r="B15105" i="3"/>
  <c r="A15105" i="3"/>
  <c r="B15104" i="3"/>
  <c r="A15104" i="3"/>
  <c r="B15103" i="3"/>
  <c r="A15103" i="3"/>
  <c r="B15102" i="3"/>
  <c r="A15102" i="3"/>
  <c r="B15101" i="3"/>
  <c r="A15101" i="3"/>
  <c r="B15100" i="3"/>
  <c r="A15100" i="3"/>
  <c r="B15099" i="3"/>
  <c r="A15099" i="3"/>
  <c r="B15098" i="3"/>
  <c r="A15098" i="3"/>
  <c r="B15097" i="3"/>
  <c r="A15097" i="3"/>
  <c r="B15096" i="3"/>
  <c r="A15096" i="3"/>
  <c r="B15095" i="3"/>
  <c r="A15095" i="3"/>
  <c r="B15094" i="3"/>
  <c r="A15094" i="3"/>
  <c r="B15093" i="3"/>
  <c r="A15093" i="3"/>
  <c r="B15092" i="3"/>
  <c r="A15092" i="3"/>
  <c r="B15091" i="3"/>
  <c r="A15091" i="3"/>
  <c r="B15090" i="3"/>
  <c r="A15090" i="3"/>
  <c r="B15089" i="3"/>
  <c r="A15089" i="3"/>
  <c r="B15088" i="3"/>
  <c r="A15088" i="3"/>
  <c r="B15087" i="3"/>
  <c r="A15087" i="3"/>
  <c r="B15086" i="3"/>
  <c r="A15086" i="3"/>
  <c r="B15085" i="3"/>
  <c r="A15085" i="3"/>
  <c r="B15084" i="3"/>
  <c r="A15084" i="3"/>
  <c r="B15083" i="3"/>
  <c r="A15083" i="3"/>
  <c r="B15082" i="3"/>
  <c r="A15082" i="3"/>
  <c r="B15081" i="3"/>
  <c r="A15081" i="3"/>
  <c r="B15080" i="3"/>
  <c r="A15080" i="3"/>
  <c r="B15079" i="3"/>
  <c r="A15079" i="3"/>
  <c r="B15078" i="3"/>
  <c r="A15078" i="3"/>
  <c r="B15077" i="3"/>
  <c r="A15077" i="3"/>
  <c r="B15076" i="3"/>
  <c r="A15076" i="3"/>
  <c r="B15075" i="3"/>
  <c r="A15075" i="3"/>
  <c r="B15074" i="3"/>
  <c r="A15074" i="3"/>
  <c r="B15073" i="3"/>
  <c r="A15073" i="3"/>
  <c r="B15072" i="3"/>
  <c r="A15072" i="3"/>
  <c r="B15071" i="3"/>
  <c r="A15071" i="3"/>
  <c r="B15070" i="3"/>
  <c r="A15070" i="3"/>
  <c r="B15069" i="3"/>
  <c r="A15069" i="3"/>
  <c r="B15068" i="3"/>
  <c r="A15068" i="3"/>
  <c r="B15067" i="3"/>
  <c r="A15067" i="3"/>
  <c r="B15066" i="3"/>
  <c r="A15066" i="3"/>
  <c r="B15065" i="3"/>
  <c r="A15065" i="3"/>
  <c r="B15064" i="3"/>
  <c r="A15064" i="3"/>
  <c r="B15063" i="3"/>
  <c r="A15063" i="3"/>
  <c r="B15062" i="3"/>
  <c r="A15062" i="3"/>
  <c r="B15061" i="3"/>
  <c r="A15061" i="3"/>
  <c r="B15060" i="3"/>
  <c r="A15060" i="3"/>
  <c r="B15059" i="3"/>
  <c r="A15059" i="3"/>
  <c r="B15058" i="3"/>
  <c r="A15058" i="3"/>
  <c r="B15057" i="3"/>
  <c r="A15057" i="3"/>
  <c r="B15056" i="3"/>
  <c r="A15056" i="3"/>
  <c r="B15055" i="3"/>
  <c r="A15055" i="3"/>
  <c r="B15054" i="3"/>
  <c r="A15054" i="3"/>
  <c r="B15053" i="3"/>
  <c r="A15053" i="3"/>
  <c r="B15052" i="3"/>
  <c r="A15052" i="3"/>
  <c r="B15051" i="3"/>
  <c r="A15051" i="3"/>
  <c r="B15050" i="3"/>
  <c r="A15050" i="3"/>
  <c r="B15049" i="3"/>
  <c r="A15049" i="3"/>
  <c r="B15048" i="3"/>
  <c r="A15048" i="3"/>
  <c r="B15047" i="3"/>
  <c r="A15047" i="3"/>
  <c r="B15046" i="3"/>
  <c r="A15046" i="3"/>
  <c r="B15045" i="3"/>
  <c r="A15045" i="3"/>
  <c r="B15044" i="3"/>
  <c r="A15044" i="3"/>
  <c r="B15043" i="3"/>
  <c r="A15043" i="3"/>
  <c r="B15042" i="3"/>
  <c r="A15042" i="3"/>
  <c r="B15041" i="3"/>
  <c r="A15041" i="3"/>
  <c r="B15040" i="3"/>
  <c r="A15040" i="3"/>
  <c r="B15039" i="3"/>
  <c r="A15039" i="3"/>
  <c r="B15038" i="3"/>
  <c r="A15038" i="3"/>
  <c r="B15037" i="3"/>
  <c r="A15037" i="3"/>
  <c r="B15036" i="3"/>
  <c r="A15036" i="3"/>
  <c r="B15035" i="3"/>
  <c r="A15035" i="3"/>
  <c r="B15034" i="3"/>
  <c r="A15034" i="3"/>
  <c r="B15033" i="3"/>
  <c r="A15033" i="3"/>
  <c r="B15032" i="3"/>
  <c r="A15032" i="3"/>
  <c r="B15031" i="3"/>
  <c r="A15031" i="3"/>
  <c r="B15030" i="3"/>
  <c r="A15030" i="3"/>
  <c r="B15029" i="3"/>
  <c r="A15029" i="3"/>
  <c r="B15028" i="3"/>
  <c r="A15028" i="3"/>
  <c r="B15027" i="3"/>
  <c r="A15027" i="3"/>
  <c r="B15026" i="3"/>
  <c r="A15026" i="3"/>
  <c r="B15025" i="3"/>
  <c r="A15025" i="3"/>
  <c r="B15024" i="3"/>
  <c r="A15024" i="3"/>
  <c r="B15023" i="3"/>
  <c r="A15023" i="3"/>
  <c r="B15022" i="3"/>
  <c r="A15022" i="3"/>
  <c r="B15021" i="3"/>
  <c r="A15021" i="3"/>
  <c r="B15020" i="3"/>
  <c r="A15020" i="3"/>
  <c r="B15019" i="3"/>
  <c r="A15019" i="3"/>
  <c r="B15018" i="3"/>
  <c r="A15018" i="3"/>
  <c r="B15017" i="3"/>
  <c r="A15017" i="3"/>
  <c r="B15016" i="3"/>
  <c r="A15016" i="3"/>
  <c r="B15015" i="3"/>
  <c r="A15015" i="3"/>
  <c r="B15014" i="3"/>
  <c r="A15014" i="3"/>
  <c r="B15013" i="3"/>
  <c r="B15012" i="3"/>
  <c r="A15012" i="3"/>
  <c r="B15011" i="3"/>
  <c r="A15011" i="3"/>
  <c r="B15010" i="3"/>
  <c r="A15010" i="3"/>
  <c r="B15009" i="3"/>
  <c r="A15009" i="3"/>
  <c r="B15008" i="3"/>
  <c r="A15008" i="3"/>
  <c r="B15007" i="3"/>
  <c r="A15007" i="3"/>
  <c r="B15006" i="3"/>
  <c r="A15006" i="3"/>
  <c r="B15005" i="3"/>
  <c r="A15005" i="3"/>
  <c r="B15004" i="3"/>
  <c r="A15004" i="3"/>
  <c r="B15003" i="3"/>
  <c r="A15003" i="3"/>
  <c r="B15002" i="3"/>
  <c r="A15002" i="3"/>
  <c r="B15001" i="3"/>
  <c r="A15001" i="3"/>
  <c r="B15000" i="3"/>
  <c r="A15000" i="3"/>
  <c r="B14999" i="3"/>
  <c r="A14999" i="3"/>
  <c r="B14998" i="3"/>
  <c r="A14998" i="3"/>
  <c r="B14997" i="3"/>
  <c r="A14997" i="3"/>
  <c r="B14996" i="3"/>
  <c r="A14996" i="3"/>
  <c r="B14995" i="3"/>
  <c r="A14995" i="3"/>
  <c r="B14994" i="3"/>
  <c r="B14993" i="3"/>
  <c r="A14993" i="3"/>
  <c r="B14992" i="3"/>
  <c r="B14991" i="3"/>
  <c r="A14991" i="3"/>
  <c r="B14990" i="3"/>
  <c r="A14990" i="3"/>
  <c r="B14989" i="3"/>
  <c r="A14989" i="3"/>
  <c r="B14988" i="3"/>
  <c r="A14988" i="3"/>
  <c r="B14987" i="3"/>
  <c r="A14987" i="3"/>
  <c r="B14986" i="3"/>
  <c r="A14986" i="3"/>
  <c r="B14985" i="3"/>
  <c r="A14985" i="3"/>
  <c r="B14984" i="3"/>
  <c r="A14984" i="3"/>
  <c r="B14983" i="3"/>
  <c r="A14983" i="3"/>
  <c r="B14982" i="3"/>
  <c r="A14982" i="3"/>
  <c r="B14981" i="3"/>
  <c r="A14981" i="3"/>
  <c r="B14980" i="3"/>
  <c r="A14980" i="3"/>
  <c r="B14979" i="3"/>
  <c r="A14979" i="3"/>
  <c r="B14978" i="3"/>
  <c r="A14978" i="3"/>
  <c r="B14977" i="3"/>
  <c r="A14977" i="3"/>
  <c r="B14976" i="3"/>
  <c r="A14976" i="3"/>
  <c r="B14975" i="3"/>
  <c r="A14975" i="3"/>
  <c r="B14974" i="3"/>
  <c r="A14974" i="3"/>
  <c r="B14973" i="3"/>
  <c r="A14973" i="3"/>
  <c r="B14972" i="3"/>
  <c r="A14972" i="3"/>
  <c r="B14971" i="3"/>
  <c r="A14971" i="3"/>
  <c r="B14970" i="3"/>
  <c r="A14970" i="3"/>
  <c r="B14969" i="3"/>
  <c r="A14969" i="3"/>
  <c r="B14968" i="3"/>
  <c r="A14968" i="3"/>
  <c r="B14967" i="3"/>
  <c r="A14967" i="3"/>
  <c r="B14966" i="3"/>
  <c r="A14966" i="3"/>
  <c r="B14965" i="3"/>
  <c r="A14965" i="3"/>
  <c r="B14964" i="3"/>
  <c r="A14964" i="3"/>
  <c r="B14963" i="3"/>
  <c r="A14963" i="3"/>
  <c r="B14962" i="3"/>
  <c r="A14962" i="3"/>
  <c r="B14961" i="3"/>
  <c r="A14961" i="3"/>
  <c r="B14960" i="3"/>
  <c r="A14960" i="3"/>
  <c r="B14959" i="3"/>
  <c r="A14959" i="3"/>
  <c r="B14958" i="3"/>
  <c r="A14958" i="3"/>
  <c r="B14957" i="3"/>
  <c r="A14957" i="3"/>
  <c r="B14956" i="3"/>
  <c r="A14956" i="3"/>
  <c r="B14955" i="3"/>
  <c r="A14955" i="3"/>
  <c r="B14954" i="3"/>
  <c r="A14954" i="3"/>
  <c r="B14953" i="3"/>
  <c r="A14953" i="3"/>
  <c r="B14952" i="3"/>
  <c r="A14952" i="3"/>
  <c r="B14951" i="3"/>
  <c r="A14951" i="3"/>
  <c r="B14950" i="3"/>
  <c r="A14950" i="3"/>
  <c r="B14949" i="3"/>
  <c r="A14949" i="3"/>
  <c r="B14948" i="3"/>
  <c r="A14948" i="3"/>
  <c r="B14947" i="3"/>
  <c r="A14947" i="3"/>
  <c r="B14946" i="3"/>
  <c r="A14946" i="3"/>
  <c r="B14945" i="3"/>
  <c r="A14945" i="3"/>
  <c r="B14944" i="3"/>
  <c r="A14944" i="3"/>
  <c r="B14943" i="3"/>
  <c r="A14943" i="3"/>
  <c r="B14942" i="3"/>
  <c r="A14942" i="3"/>
  <c r="B14941" i="3"/>
  <c r="A14941" i="3"/>
  <c r="B14940" i="3"/>
  <c r="A14940" i="3"/>
  <c r="B14939" i="3"/>
  <c r="A14939" i="3"/>
  <c r="B14938" i="3"/>
  <c r="A14938" i="3"/>
  <c r="B14937" i="3"/>
  <c r="A14937" i="3"/>
  <c r="B14936" i="3"/>
  <c r="A14936" i="3"/>
  <c r="B14935" i="3"/>
  <c r="A14935" i="3"/>
  <c r="B14934" i="3"/>
  <c r="B14933" i="3"/>
  <c r="A14933" i="3"/>
  <c r="B14932" i="3"/>
  <c r="A14932" i="3"/>
  <c r="B14931" i="3"/>
  <c r="A14931" i="3"/>
  <c r="B14930" i="3"/>
  <c r="A14930" i="3"/>
  <c r="B14929" i="3"/>
  <c r="A14929" i="3"/>
  <c r="B14928" i="3"/>
  <c r="A14928" i="3"/>
  <c r="B14927" i="3"/>
  <c r="A14927" i="3"/>
  <c r="B14926" i="3"/>
  <c r="A14926" i="3"/>
  <c r="B14925" i="3"/>
  <c r="A14925" i="3"/>
  <c r="B14924" i="3"/>
  <c r="A14924" i="3"/>
  <c r="B14923" i="3"/>
  <c r="A14923" i="3"/>
  <c r="B14922" i="3"/>
  <c r="A14922" i="3"/>
  <c r="B14921" i="3"/>
  <c r="A14921" i="3"/>
  <c r="B14920" i="3"/>
  <c r="A14920" i="3"/>
  <c r="B14919" i="3"/>
  <c r="A14919" i="3"/>
  <c r="B14918" i="3"/>
  <c r="A14918" i="3"/>
  <c r="B14917" i="3"/>
  <c r="A14917" i="3"/>
  <c r="B14916" i="3"/>
  <c r="A14916" i="3"/>
  <c r="B14915" i="3"/>
  <c r="A14915" i="3"/>
  <c r="B14914" i="3"/>
  <c r="A14914" i="3"/>
  <c r="B14913" i="3"/>
  <c r="A14913" i="3"/>
  <c r="B14912" i="3"/>
  <c r="A14912" i="3"/>
  <c r="B14911" i="3"/>
  <c r="A14911" i="3"/>
  <c r="B14910" i="3"/>
  <c r="A14910" i="3"/>
  <c r="B14909" i="3"/>
  <c r="A14909" i="3"/>
  <c r="B14908" i="3"/>
  <c r="A14908" i="3"/>
  <c r="B14907" i="3"/>
  <c r="A14907" i="3"/>
  <c r="B14906" i="3"/>
  <c r="A14906" i="3"/>
  <c r="B14905" i="3"/>
  <c r="A14905" i="3"/>
  <c r="B14904" i="3"/>
  <c r="A14904" i="3"/>
  <c r="B14903" i="3"/>
  <c r="A14903" i="3"/>
  <c r="B14902" i="3"/>
  <c r="A14902" i="3"/>
  <c r="B14901" i="3"/>
  <c r="A14901" i="3"/>
  <c r="B14900" i="3"/>
  <c r="A14900" i="3"/>
  <c r="B14899" i="3"/>
  <c r="A14899" i="3"/>
  <c r="B14898" i="3"/>
  <c r="A14898" i="3"/>
  <c r="B14897" i="3"/>
  <c r="A14897" i="3"/>
  <c r="B14896" i="3"/>
  <c r="A14896" i="3"/>
  <c r="B14895" i="3"/>
  <c r="A14895" i="3"/>
  <c r="B14894" i="3"/>
  <c r="A14894" i="3"/>
  <c r="B14893" i="3"/>
  <c r="A14893" i="3"/>
  <c r="B14892" i="3"/>
  <c r="A14892" i="3"/>
  <c r="B14891" i="3"/>
  <c r="A14891" i="3"/>
  <c r="B14890" i="3"/>
  <c r="A14890" i="3"/>
  <c r="B14889" i="3"/>
  <c r="A14889" i="3"/>
  <c r="B14888" i="3"/>
  <c r="A14888" i="3"/>
  <c r="B14887" i="3"/>
  <c r="A14887" i="3"/>
  <c r="B14886" i="3"/>
  <c r="A14886" i="3"/>
  <c r="B14885" i="3"/>
  <c r="A14885" i="3"/>
  <c r="B14884" i="3"/>
  <c r="A14884" i="3"/>
  <c r="B14883" i="3"/>
  <c r="A14883" i="3"/>
  <c r="B14882" i="3"/>
  <c r="A14882" i="3"/>
  <c r="B14881" i="3"/>
  <c r="A14881" i="3"/>
  <c r="B14880" i="3"/>
  <c r="A14880" i="3"/>
  <c r="B14879" i="3"/>
  <c r="A14879" i="3"/>
  <c r="B14878" i="3"/>
  <c r="A14878" i="3"/>
  <c r="B14877" i="3"/>
  <c r="A14877" i="3"/>
  <c r="B14876" i="3"/>
  <c r="A14876" i="3"/>
  <c r="B14875" i="3"/>
  <c r="A14875" i="3"/>
  <c r="B14874" i="3"/>
  <c r="A14874" i="3"/>
  <c r="B14873" i="3"/>
  <c r="A14873" i="3"/>
  <c r="B14872" i="3"/>
  <c r="A14872" i="3"/>
  <c r="B14871" i="3"/>
  <c r="A14871" i="3"/>
  <c r="B14870" i="3"/>
  <c r="A14870" i="3"/>
  <c r="B14869" i="3"/>
  <c r="A14869" i="3"/>
  <c r="B14868" i="3"/>
  <c r="A14868" i="3"/>
  <c r="B14867" i="3"/>
  <c r="A14867" i="3"/>
  <c r="B14866" i="3"/>
  <c r="A14866" i="3"/>
  <c r="B14865" i="3"/>
  <c r="A14865" i="3"/>
  <c r="B14864" i="3"/>
  <c r="A14864" i="3"/>
  <c r="B14863" i="3"/>
  <c r="A14863" i="3"/>
  <c r="B14862" i="3"/>
  <c r="A14862" i="3"/>
  <c r="B14861" i="3"/>
  <c r="A14861" i="3"/>
  <c r="B14860" i="3"/>
  <c r="A14860" i="3"/>
  <c r="B14859" i="3"/>
  <c r="A14859" i="3"/>
  <c r="B14858" i="3"/>
  <c r="A14858" i="3"/>
  <c r="B14857" i="3"/>
  <c r="A14857" i="3"/>
  <c r="B14856" i="3"/>
  <c r="A14856" i="3"/>
  <c r="B14855" i="3"/>
  <c r="A14855" i="3"/>
  <c r="B14854" i="3"/>
  <c r="A14854" i="3"/>
  <c r="B14853" i="3"/>
  <c r="A14853" i="3"/>
  <c r="B14852" i="3"/>
  <c r="A14852" i="3"/>
  <c r="B14851" i="3"/>
  <c r="A14851" i="3"/>
  <c r="B14850" i="3"/>
  <c r="A14850" i="3"/>
  <c r="B14849" i="3"/>
  <c r="A14849" i="3"/>
  <c r="B14848" i="3"/>
  <c r="A14848" i="3"/>
  <c r="B14847" i="3"/>
  <c r="B14846" i="3"/>
  <c r="A14846" i="3"/>
  <c r="B14845" i="3"/>
  <c r="A14845" i="3"/>
  <c r="B14844" i="3"/>
  <c r="A14844" i="3"/>
  <c r="B14843" i="3"/>
  <c r="A14843" i="3"/>
  <c r="B14842" i="3"/>
  <c r="A14842" i="3"/>
  <c r="B14841" i="3"/>
  <c r="A14841" i="3"/>
  <c r="B14840" i="3"/>
  <c r="A14840" i="3"/>
  <c r="B14839" i="3"/>
  <c r="A14839" i="3"/>
  <c r="B14838" i="3"/>
  <c r="A14838" i="3"/>
  <c r="B14837" i="3"/>
  <c r="A14837" i="3"/>
  <c r="B14836" i="3"/>
  <c r="A14836" i="3"/>
  <c r="B14835" i="3"/>
  <c r="A14835" i="3"/>
  <c r="B14834" i="3"/>
  <c r="A14834" i="3"/>
  <c r="B14833" i="3"/>
  <c r="A14833" i="3"/>
  <c r="B14832" i="3"/>
  <c r="A14832" i="3"/>
  <c r="B14831" i="3"/>
  <c r="A14831" i="3"/>
  <c r="B14830" i="3"/>
  <c r="A14830" i="3"/>
  <c r="B14829" i="3"/>
  <c r="A14829" i="3"/>
  <c r="B14828" i="3"/>
  <c r="A14828" i="3"/>
  <c r="B14827" i="3"/>
  <c r="A14827" i="3"/>
  <c r="B14826" i="3"/>
  <c r="A14826" i="3"/>
  <c r="B14825" i="3"/>
  <c r="A14825" i="3"/>
  <c r="B14824" i="3"/>
  <c r="A14824" i="3"/>
  <c r="B14823" i="3"/>
  <c r="A14823" i="3"/>
  <c r="B14822" i="3"/>
  <c r="A14822" i="3"/>
  <c r="B14821" i="3"/>
  <c r="A14821" i="3"/>
  <c r="B14820" i="3"/>
  <c r="A14820" i="3"/>
  <c r="B14819" i="3"/>
  <c r="A14819" i="3"/>
  <c r="B14818" i="3"/>
  <c r="A14818" i="3"/>
  <c r="B14817" i="3"/>
  <c r="A14817" i="3"/>
  <c r="B14816" i="3"/>
  <c r="A14816" i="3"/>
  <c r="B14815" i="3"/>
  <c r="A14815" i="3"/>
  <c r="B14814" i="3"/>
  <c r="A14814" i="3"/>
  <c r="B14813" i="3"/>
  <c r="A14813" i="3"/>
  <c r="B14812" i="3"/>
  <c r="A14812" i="3"/>
  <c r="B14811" i="3"/>
  <c r="A14811" i="3"/>
  <c r="B14810" i="3"/>
  <c r="A14810" i="3"/>
  <c r="B14809" i="3"/>
  <c r="A14809" i="3"/>
  <c r="B14808" i="3"/>
  <c r="A14808" i="3"/>
  <c r="B14807" i="3"/>
  <c r="A14807" i="3"/>
  <c r="B14806" i="3"/>
  <c r="A14806" i="3"/>
  <c r="B14805" i="3"/>
  <c r="A14805" i="3"/>
  <c r="B14804" i="3"/>
  <c r="A14804" i="3"/>
  <c r="B14803" i="3"/>
  <c r="A14803" i="3"/>
  <c r="B14802" i="3"/>
  <c r="A14802" i="3"/>
  <c r="B14801" i="3"/>
  <c r="A14801" i="3"/>
  <c r="B14800" i="3"/>
  <c r="A14800" i="3"/>
  <c r="B14799" i="3"/>
  <c r="A14799" i="3"/>
  <c r="B14798" i="3"/>
  <c r="A14798" i="3"/>
  <c r="B14797" i="3"/>
  <c r="A14797" i="3"/>
  <c r="B14796" i="3"/>
  <c r="A14796" i="3"/>
  <c r="B14795" i="3"/>
  <c r="A14795" i="3"/>
  <c r="B14794" i="3"/>
  <c r="A14794" i="3"/>
  <c r="B14793" i="3"/>
  <c r="A14793" i="3"/>
  <c r="B14792" i="3"/>
  <c r="A14792" i="3"/>
  <c r="B14791" i="3"/>
  <c r="A14791" i="3"/>
  <c r="B14790" i="3"/>
  <c r="A14790" i="3"/>
  <c r="B14789" i="3"/>
  <c r="A14789" i="3"/>
  <c r="B14788" i="3"/>
  <c r="A14788" i="3"/>
  <c r="B14787" i="3"/>
  <c r="A14787" i="3"/>
  <c r="B14786" i="3"/>
  <c r="A14786" i="3"/>
  <c r="B14785" i="3"/>
  <c r="A14785" i="3"/>
  <c r="B14784" i="3"/>
  <c r="A14784" i="3"/>
  <c r="B14783" i="3"/>
  <c r="A14783" i="3"/>
  <c r="B14782" i="3"/>
  <c r="A14782" i="3"/>
  <c r="B14781" i="3"/>
  <c r="A14781" i="3"/>
  <c r="B14780" i="3"/>
  <c r="A14780" i="3"/>
  <c r="B14779" i="3"/>
  <c r="A14779" i="3"/>
  <c r="B14778" i="3"/>
  <c r="A14778" i="3"/>
  <c r="B14777" i="3"/>
  <c r="A14777" i="3"/>
  <c r="B14776" i="3"/>
  <c r="A14776" i="3"/>
  <c r="B14775" i="3"/>
  <c r="A14775" i="3"/>
  <c r="B14774" i="3"/>
  <c r="A14774" i="3"/>
  <c r="B14773" i="3"/>
  <c r="A14773" i="3"/>
  <c r="B14772" i="3"/>
  <c r="A14772" i="3"/>
  <c r="B14771" i="3"/>
  <c r="A14771" i="3"/>
  <c r="B14770" i="3"/>
  <c r="A14770" i="3"/>
  <c r="B14769" i="3"/>
  <c r="A14769" i="3"/>
  <c r="B14768" i="3"/>
  <c r="A14768" i="3"/>
  <c r="B14767" i="3"/>
  <c r="A14767" i="3"/>
  <c r="B14766" i="3"/>
  <c r="A14766" i="3"/>
  <c r="B14765" i="3"/>
  <c r="A14765" i="3"/>
  <c r="B14764" i="3"/>
  <c r="A14764" i="3"/>
  <c r="B14763" i="3"/>
  <c r="A14763" i="3"/>
  <c r="B14762" i="3"/>
  <c r="A14762" i="3"/>
  <c r="B14761" i="3"/>
  <c r="A14761" i="3"/>
  <c r="B14760" i="3"/>
  <c r="A14760" i="3"/>
  <c r="B14759" i="3"/>
  <c r="A14759" i="3"/>
  <c r="B14758" i="3"/>
  <c r="A14758" i="3"/>
  <c r="B14757" i="3"/>
  <c r="A14757" i="3"/>
  <c r="B14756" i="3"/>
  <c r="A14756" i="3"/>
  <c r="B14755" i="3"/>
  <c r="A14755" i="3"/>
  <c r="B14754" i="3"/>
  <c r="A14754" i="3"/>
  <c r="B14753" i="3"/>
  <c r="A14753" i="3"/>
  <c r="B14752" i="3"/>
  <c r="A14752" i="3"/>
  <c r="B14751" i="3"/>
  <c r="A14751" i="3"/>
  <c r="B14750" i="3"/>
  <c r="A14750" i="3"/>
  <c r="B14749" i="3"/>
  <c r="A14749" i="3"/>
  <c r="B14748" i="3"/>
  <c r="A14748" i="3"/>
  <c r="B14747" i="3"/>
  <c r="A14747" i="3"/>
  <c r="B14746" i="3"/>
  <c r="A14746" i="3"/>
  <c r="B14745" i="3"/>
  <c r="A14745" i="3"/>
  <c r="B14744" i="3"/>
  <c r="A14744" i="3"/>
  <c r="B14743" i="3"/>
  <c r="A14743" i="3"/>
  <c r="B14742" i="3"/>
  <c r="A14742" i="3"/>
  <c r="B14741" i="3"/>
  <c r="A14741" i="3"/>
  <c r="B14740" i="3"/>
  <c r="A14740" i="3"/>
  <c r="B14739" i="3"/>
  <c r="A14739" i="3"/>
  <c r="B14738" i="3"/>
  <c r="A14738" i="3"/>
  <c r="B14737" i="3"/>
  <c r="A14737" i="3"/>
  <c r="B14736" i="3"/>
  <c r="A14736" i="3"/>
  <c r="B14735" i="3"/>
  <c r="A14735" i="3"/>
  <c r="B14734" i="3"/>
  <c r="A14734" i="3"/>
  <c r="B14733" i="3"/>
  <c r="A14733" i="3"/>
  <c r="B14732" i="3"/>
  <c r="A14732" i="3"/>
  <c r="B14731" i="3"/>
  <c r="A14731" i="3"/>
  <c r="B14730" i="3"/>
  <c r="A14730" i="3"/>
  <c r="B14729" i="3"/>
  <c r="A14729" i="3"/>
  <c r="B14728" i="3"/>
  <c r="A14728" i="3"/>
  <c r="B14727" i="3"/>
  <c r="A14727" i="3"/>
  <c r="B14726" i="3"/>
  <c r="A14726" i="3"/>
  <c r="B14725" i="3"/>
  <c r="A14725" i="3"/>
  <c r="B14724" i="3"/>
  <c r="A14724" i="3"/>
  <c r="B14723" i="3"/>
  <c r="A14723" i="3"/>
  <c r="B14722" i="3"/>
  <c r="A14722" i="3"/>
  <c r="B14721" i="3"/>
  <c r="A14721" i="3"/>
  <c r="B14720" i="3"/>
  <c r="A14720" i="3"/>
  <c r="B14719" i="3"/>
  <c r="A14719" i="3"/>
  <c r="B14718" i="3"/>
  <c r="A14718" i="3"/>
  <c r="B14717" i="3"/>
  <c r="A14717" i="3"/>
  <c r="B14716" i="3"/>
  <c r="A14716" i="3"/>
  <c r="B14715" i="3"/>
  <c r="A14715" i="3"/>
  <c r="B14714" i="3"/>
  <c r="A14714" i="3"/>
  <c r="B14713" i="3"/>
  <c r="A14713" i="3"/>
  <c r="B14712" i="3"/>
  <c r="A14712" i="3"/>
  <c r="B14711" i="3"/>
  <c r="A14711" i="3"/>
  <c r="B14710" i="3"/>
  <c r="A14710" i="3"/>
  <c r="B14709" i="3"/>
  <c r="A14709" i="3"/>
  <c r="B14708" i="3"/>
  <c r="A14708" i="3"/>
  <c r="B14707" i="3"/>
  <c r="A14707" i="3"/>
  <c r="B14706" i="3"/>
  <c r="A14706" i="3"/>
  <c r="B14705" i="3"/>
  <c r="A14705" i="3"/>
  <c r="B14704" i="3"/>
  <c r="A14704" i="3"/>
  <c r="B14703" i="3"/>
  <c r="A14703" i="3"/>
  <c r="B14702" i="3"/>
  <c r="A14702" i="3"/>
  <c r="B14701" i="3"/>
  <c r="A14701" i="3"/>
  <c r="B14700" i="3"/>
  <c r="A14700" i="3"/>
  <c r="B14699" i="3"/>
  <c r="A14699" i="3"/>
  <c r="B14698" i="3"/>
  <c r="A14698" i="3"/>
  <c r="B14697" i="3"/>
  <c r="A14697" i="3"/>
  <c r="B14696" i="3"/>
  <c r="A14696" i="3"/>
  <c r="B14695" i="3"/>
  <c r="A14695" i="3"/>
  <c r="B14694" i="3"/>
  <c r="A14694" i="3"/>
  <c r="B14693" i="3"/>
  <c r="A14693" i="3"/>
  <c r="B14692" i="3"/>
  <c r="A14692" i="3"/>
  <c r="B14691" i="3"/>
  <c r="A14691" i="3"/>
  <c r="B14690" i="3"/>
  <c r="A14690" i="3"/>
  <c r="B14689" i="3"/>
  <c r="A14689" i="3"/>
  <c r="B14688" i="3"/>
  <c r="A14688" i="3"/>
  <c r="B14687" i="3"/>
  <c r="A14687" i="3"/>
  <c r="B14686" i="3"/>
  <c r="A14686" i="3"/>
  <c r="B14685" i="3"/>
  <c r="A14685" i="3"/>
  <c r="B14684" i="3"/>
  <c r="A14684" i="3"/>
  <c r="B14683" i="3"/>
  <c r="A14683" i="3"/>
  <c r="B14682" i="3"/>
  <c r="A14682" i="3"/>
  <c r="B14681" i="3"/>
  <c r="A14681" i="3"/>
  <c r="B14680" i="3"/>
  <c r="A14680" i="3"/>
  <c r="B14679" i="3"/>
  <c r="A14679" i="3"/>
  <c r="B14678" i="3"/>
  <c r="A14678" i="3"/>
  <c r="B14677" i="3"/>
  <c r="A14677" i="3"/>
  <c r="B14676" i="3"/>
  <c r="A14676" i="3"/>
  <c r="B14675" i="3"/>
  <c r="A14675" i="3"/>
  <c r="B14674" i="3"/>
  <c r="A14674" i="3"/>
  <c r="B14673" i="3"/>
  <c r="A14673" i="3"/>
  <c r="B14672" i="3"/>
  <c r="A14672" i="3"/>
  <c r="B14671" i="3"/>
  <c r="A14671" i="3"/>
  <c r="B14670" i="3"/>
  <c r="A14670" i="3"/>
  <c r="B14669" i="3"/>
  <c r="A14669" i="3"/>
  <c r="B14668" i="3"/>
  <c r="A14668" i="3"/>
  <c r="B14667" i="3"/>
  <c r="A14667" i="3"/>
  <c r="B14666" i="3"/>
  <c r="A14666" i="3"/>
  <c r="B14665" i="3"/>
  <c r="A14665" i="3"/>
  <c r="B14664" i="3"/>
  <c r="A14664" i="3"/>
  <c r="B14663" i="3"/>
  <c r="A14663" i="3"/>
  <c r="B14662" i="3"/>
  <c r="A14662" i="3"/>
  <c r="B14661" i="3"/>
  <c r="A14661" i="3"/>
  <c r="B14660" i="3"/>
  <c r="B14659" i="3"/>
  <c r="A14659" i="3"/>
  <c r="B14658" i="3"/>
  <c r="A14658" i="3"/>
  <c r="B14657" i="3"/>
  <c r="A14657" i="3"/>
  <c r="B14656" i="3"/>
  <c r="A14656" i="3"/>
  <c r="B14655" i="3"/>
  <c r="A14655" i="3"/>
  <c r="B14654" i="3"/>
  <c r="A14654" i="3"/>
  <c r="B14653" i="3"/>
  <c r="A14653" i="3"/>
  <c r="B14652" i="3"/>
  <c r="A14652" i="3"/>
  <c r="B14651" i="3"/>
  <c r="A14651" i="3"/>
  <c r="B14650" i="3"/>
  <c r="A14650" i="3"/>
  <c r="B14649" i="3"/>
  <c r="A14649" i="3"/>
  <c r="B14648" i="3"/>
  <c r="A14648" i="3"/>
  <c r="B14647" i="3"/>
  <c r="A14647" i="3"/>
  <c r="B14646" i="3"/>
  <c r="A14646" i="3"/>
  <c r="B14645" i="3"/>
  <c r="A14645" i="3"/>
  <c r="B14644" i="3"/>
  <c r="A14644" i="3"/>
  <c r="B14643" i="3"/>
  <c r="A14643" i="3"/>
  <c r="B14642" i="3"/>
  <c r="A14642" i="3"/>
  <c r="B14641" i="3"/>
  <c r="A14641" i="3"/>
  <c r="B14640" i="3"/>
  <c r="A14640" i="3"/>
  <c r="B14639" i="3"/>
  <c r="A14639" i="3"/>
  <c r="B14638" i="3"/>
  <c r="A14638" i="3"/>
  <c r="B14637" i="3"/>
  <c r="A14637" i="3"/>
  <c r="B14636" i="3"/>
  <c r="A14636" i="3"/>
  <c r="B14635" i="3"/>
  <c r="A14635" i="3"/>
  <c r="B14634" i="3"/>
  <c r="A14634" i="3"/>
  <c r="B14633" i="3"/>
  <c r="A14633" i="3"/>
  <c r="B14632" i="3"/>
  <c r="A14632" i="3"/>
  <c r="B14631" i="3"/>
  <c r="A14631" i="3"/>
  <c r="B14630" i="3"/>
  <c r="A14630" i="3"/>
  <c r="B14629" i="3"/>
  <c r="A14629" i="3"/>
  <c r="B14628" i="3"/>
  <c r="A14628" i="3"/>
  <c r="B14627" i="3"/>
  <c r="A14627" i="3"/>
  <c r="B14626" i="3"/>
  <c r="A14626" i="3"/>
  <c r="B14625" i="3"/>
  <c r="A14625" i="3"/>
  <c r="B14624" i="3"/>
  <c r="A14624" i="3"/>
  <c r="B14623" i="3"/>
  <c r="A14623" i="3"/>
  <c r="B14622" i="3"/>
  <c r="A14622" i="3"/>
  <c r="B14621" i="3"/>
  <c r="A14621" i="3"/>
  <c r="B14620" i="3"/>
  <c r="A14620" i="3"/>
  <c r="B14619" i="3"/>
  <c r="A14619" i="3"/>
  <c r="B14618" i="3"/>
  <c r="A14618" i="3"/>
  <c r="B14617" i="3"/>
  <c r="A14617" i="3"/>
  <c r="B14616" i="3"/>
  <c r="A14616" i="3"/>
  <c r="B14615" i="3"/>
  <c r="A14615" i="3"/>
  <c r="B14614" i="3"/>
  <c r="A14614" i="3"/>
  <c r="B14613" i="3"/>
  <c r="A14613" i="3"/>
  <c r="B14612" i="3"/>
  <c r="A14612" i="3"/>
  <c r="B14611" i="3"/>
  <c r="A14611" i="3"/>
  <c r="B14610" i="3"/>
  <c r="A14610" i="3"/>
  <c r="B14609" i="3"/>
  <c r="A14609" i="3"/>
  <c r="B14608" i="3"/>
  <c r="A14608" i="3"/>
  <c r="B14607" i="3"/>
  <c r="A14607" i="3"/>
  <c r="B14606" i="3"/>
  <c r="A14606" i="3"/>
  <c r="B14605" i="3"/>
  <c r="A14605" i="3"/>
  <c r="B14604" i="3"/>
  <c r="A14604" i="3"/>
  <c r="B14603" i="3"/>
  <c r="A14603" i="3"/>
  <c r="B14602" i="3"/>
  <c r="A14602" i="3"/>
  <c r="B14601" i="3"/>
  <c r="A14601" i="3"/>
  <c r="B14600" i="3"/>
  <c r="A14600" i="3"/>
  <c r="B14599" i="3"/>
  <c r="A14599" i="3"/>
  <c r="B14598" i="3"/>
  <c r="A14598" i="3"/>
  <c r="B14597" i="3"/>
  <c r="A14597" i="3"/>
  <c r="B14596" i="3"/>
  <c r="A14596" i="3"/>
  <c r="B14595" i="3"/>
  <c r="A14595" i="3"/>
  <c r="B14594" i="3"/>
  <c r="A14594" i="3"/>
  <c r="B14593" i="3"/>
  <c r="A14593" i="3"/>
  <c r="B14592" i="3"/>
  <c r="A14592" i="3"/>
  <c r="B14591" i="3"/>
  <c r="A14591" i="3"/>
  <c r="B14590" i="3"/>
  <c r="A14590" i="3"/>
  <c r="B14589" i="3"/>
  <c r="A14589" i="3"/>
  <c r="B14588" i="3"/>
  <c r="A14588" i="3"/>
  <c r="B14587" i="3"/>
  <c r="A14587" i="3"/>
  <c r="B14586" i="3"/>
  <c r="A14586" i="3"/>
  <c r="B14585" i="3"/>
  <c r="A14585" i="3"/>
  <c r="B14584" i="3"/>
  <c r="A14584" i="3"/>
  <c r="B14583" i="3"/>
  <c r="A14583" i="3"/>
  <c r="B14582" i="3"/>
  <c r="A14582" i="3"/>
  <c r="B14581" i="3"/>
  <c r="A14581" i="3"/>
  <c r="B14580" i="3"/>
  <c r="A14580" i="3"/>
  <c r="B14579" i="3"/>
  <c r="A14579" i="3"/>
  <c r="B14578" i="3"/>
  <c r="A14578" i="3"/>
  <c r="B14577" i="3"/>
  <c r="A14577" i="3"/>
  <c r="B14576" i="3"/>
  <c r="A14576" i="3"/>
  <c r="B14575" i="3"/>
  <c r="A14575" i="3"/>
  <c r="B14574" i="3"/>
  <c r="A14574" i="3"/>
  <c r="B14573" i="3"/>
  <c r="A14573" i="3"/>
  <c r="B14572" i="3"/>
  <c r="A14572" i="3"/>
  <c r="B14571" i="3"/>
  <c r="A14571" i="3"/>
  <c r="B14570" i="3"/>
  <c r="A14570" i="3"/>
  <c r="B14569" i="3"/>
  <c r="A14569" i="3"/>
  <c r="B14568" i="3"/>
  <c r="A14568" i="3"/>
  <c r="B14567" i="3"/>
  <c r="A14567" i="3"/>
  <c r="B14566" i="3"/>
  <c r="A14566" i="3"/>
  <c r="B14565" i="3"/>
  <c r="A14565" i="3"/>
  <c r="B14564" i="3"/>
  <c r="A14564" i="3"/>
  <c r="B14563" i="3"/>
  <c r="A14563" i="3"/>
  <c r="B14562" i="3"/>
  <c r="A14562" i="3"/>
  <c r="B14561" i="3"/>
  <c r="A14561" i="3"/>
  <c r="B14560" i="3"/>
  <c r="A14560" i="3"/>
  <c r="B14559" i="3"/>
  <c r="A14559" i="3"/>
  <c r="B14558" i="3"/>
  <c r="A14558" i="3"/>
  <c r="B14557" i="3"/>
  <c r="A14557" i="3"/>
  <c r="B14556" i="3"/>
  <c r="A14556" i="3"/>
  <c r="B14555" i="3"/>
  <c r="A14555" i="3"/>
  <c r="B14554" i="3"/>
  <c r="A14554" i="3"/>
  <c r="B14553" i="3"/>
  <c r="A14553" i="3"/>
  <c r="B14552" i="3"/>
  <c r="A14552" i="3"/>
  <c r="B14551" i="3"/>
  <c r="A14551" i="3"/>
  <c r="B14550" i="3"/>
  <c r="A14550" i="3"/>
  <c r="B14549" i="3"/>
  <c r="A14549" i="3"/>
  <c r="B14548" i="3"/>
  <c r="A14548" i="3"/>
  <c r="B14547" i="3"/>
  <c r="A14547" i="3"/>
  <c r="B14546" i="3"/>
  <c r="A14546" i="3"/>
  <c r="B14545" i="3"/>
  <c r="A14545" i="3"/>
  <c r="B14544" i="3"/>
  <c r="A14544" i="3"/>
  <c r="B14543" i="3"/>
  <c r="A14543" i="3"/>
  <c r="B14542" i="3"/>
  <c r="A14542" i="3"/>
  <c r="B14541" i="3"/>
  <c r="A14541" i="3"/>
  <c r="B14540" i="3"/>
  <c r="A14540" i="3"/>
  <c r="B14539" i="3"/>
  <c r="A14539" i="3"/>
  <c r="B14538" i="3"/>
  <c r="A14538" i="3"/>
  <c r="B14537" i="3"/>
  <c r="A14537" i="3"/>
  <c r="B14536" i="3"/>
  <c r="A14536" i="3"/>
  <c r="B14535" i="3"/>
  <c r="A14535" i="3"/>
  <c r="B14534" i="3"/>
  <c r="A14534" i="3"/>
  <c r="B14533" i="3"/>
  <c r="A14533" i="3"/>
  <c r="B14532" i="3"/>
  <c r="A14532" i="3"/>
  <c r="B14531" i="3"/>
  <c r="A14531" i="3"/>
  <c r="B14530" i="3"/>
  <c r="A14530" i="3"/>
  <c r="B14529" i="3"/>
  <c r="A14529" i="3"/>
  <c r="B14528" i="3"/>
  <c r="A14528" i="3"/>
  <c r="B14527" i="3"/>
  <c r="A14527" i="3"/>
  <c r="B14526" i="3"/>
  <c r="A14526" i="3"/>
  <c r="B14525" i="3"/>
  <c r="A14525" i="3"/>
  <c r="B14524" i="3"/>
  <c r="A14524" i="3"/>
  <c r="B14523" i="3"/>
  <c r="A14523" i="3"/>
  <c r="B14522" i="3"/>
  <c r="A14522" i="3"/>
  <c r="B14521" i="3"/>
  <c r="A14521" i="3"/>
  <c r="B14520" i="3"/>
  <c r="A14520" i="3"/>
  <c r="B14519" i="3"/>
  <c r="A14519" i="3"/>
  <c r="B14518" i="3"/>
  <c r="A14518" i="3"/>
  <c r="B14517" i="3"/>
  <c r="A14517" i="3"/>
  <c r="B14516" i="3"/>
  <c r="A14516" i="3"/>
  <c r="B14515" i="3"/>
  <c r="A14515" i="3"/>
  <c r="B14514" i="3"/>
  <c r="A14514" i="3"/>
  <c r="B14513" i="3"/>
  <c r="A14513" i="3"/>
  <c r="B14512" i="3"/>
  <c r="A14512" i="3"/>
  <c r="B14511" i="3"/>
  <c r="A14511" i="3"/>
  <c r="B14510" i="3"/>
  <c r="A14510" i="3"/>
  <c r="B14509" i="3"/>
  <c r="A14509" i="3"/>
  <c r="B14508" i="3"/>
  <c r="A14508" i="3"/>
  <c r="B14507" i="3"/>
  <c r="A14507" i="3"/>
  <c r="B14506" i="3"/>
  <c r="A14506" i="3"/>
  <c r="B14505" i="3"/>
  <c r="A14505" i="3"/>
  <c r="B14504" i="3"/>
  <c r="A14504" i="3"/>
  <c r="B14503" i="3"/>
  <c r="A14503" i="3"/>
  <c r="B14502" i="3"/>
  <c r="A14502" i="3"/>
  <c r="B14501" i="3"/>
  <c r="A14501" i="3"/>
  <c r="B14500" i="3"/>
  <c r="A14500" i="3"/>
  <c r="B14499" i="3"/>
  <c r="A14499" i="3"/>
  <c r="B14498" i="3"/>
  <c r="A14498" i="3"/>
  <c r="B14497" i="3"/>
  <c r="A14497" i="3"/>
  <c r="B14496" i="3"/>
  <c r="A14496" i="3"/>
  <c r="B14495" i="3"/>
  <c r="A14495" i="3"/>
  <c r="B14494" i="3"/>
  <c r="A14494" i="3"/>
  <c r="B14493" i="3"/>
  <c r="A14493" i="3"/>
  <c r="B14492" i="3"/>
  <c r="A14492" i="3"/>
  <c r="B14491" i="3"/>
  <c r="A14491" i="3"/>
  <c r="B14490" i="3"/>
  <c r="A14490" i="3"/>
  <c r="B14489" i="3"/>
  <c r="A14489" i="3"/>
  <c r="B14488" i="3"/>
  <c r="A14488" i="3"/>
  <c r="B14487" i="3"/>
  <c r="A14487" i="3"/>
  <c r="B14486" i="3"/>
  <c r="A14486" i="3"/>
  <c r="B14485" i="3"/>
  <c r="A14485" i="3"/>
  <c r="B14484" i="3"/>
  <c r="A14484" i="3"/>
  <c r="B14483" i="3"/>
  <c r="A14483" i="3"/>
  <c r="B14482" i="3"/>
  <c r="A14482" i="3"/>
  <c r="B14481" i="3"/>
  <c r="A14481" i="3"/>
  <c r="B14480" i="3"/>
  <c r="A14480" i="3"/>
  <c r="B14479" i="3"/>
  <c r="A14479" i="3"/>
  <c r="B14478" i="3"/>
  <c r="A14478" i="3"/>
  <c r="B14477" i="3"/>
  <c r="A14477" i="3"/>
  <c r="B14476" i="3"/>
  <c r="A14476" i="3"/>
  <c r="B14475" i="3"/>
  <c r="A14475" i="3"/>
  <c r="B14474" i="3"/>
  <c r="A14474" i="3"/>
  <c r="B14473" i="3"/>
  <c r="A14473" i="3"/>
  <c r="B14472" i="3"/>
  <c r="A14472" i="3"/>
  <c r="B14471" i="3"/>
  <c r="A14471" i="3"/>
  <c r="B14470" i="3"/>
  <c r="A14470" i="3"/>
  <c r="B14469" i="3"/>
  <c r="A14469" i="3"/>
  <c r="B14468" i="3"/>
  <c r="A14468" i="3"/>
  <c r="B14467" i="3"/>
  <c r="A14467" i="3"/>
  <c r="B14466" i="3"/>
  <c r="A14466" i="3"/>
  <c r="B14465" i="3"/>
  <c r="A14465" i="3"/>
  <c r="B14464" i="3"/>
  <c r="A14464" i="3"/>
  <c r="B14463" i="3"/>
  <c r="A14463" i="3"/>
  <c r="B14462" i="3"/>
  <c r="A14462" i="3"/>
  <c r="B14461" i="3"/>
  <c r="A14461" i="3"/>
  <c r="B14460" i="3"/>
  <c r="A14460" i="3"/>
  <c r="B14459" i="3"/>
  <c r="A14459" i="3"/>
  <c r="B14458" i="3"/>
  <c r="A14458" i="3"/>
  <c r="B14457" i="3"/>
  <c r="A14457" i="3"/>
  <c r="B14456" i="3"/>
  <c r="A14456" i="3"/>
  <c r="B14455" i="3"/>
  <c r="A14455" i="3"/>
  <c r="B14454" i="3"/>
  <c r="A14454" i="3"/>
  <c r="B14453" i="3"/>
  <c r="A14453" i="3"/>
  <c r="B14452" i="3"/>
  <c r="A14452" i="3"/>
  <c r="B14451" i="3"/>
  <c r="A14451" i="3"/>
  <c r="B14450" i="3"/>
  <c r="A14450" i="3"/>
  <c r="B14449" i="3"/>
  <c r="A14449" i="3"/>
  <c r="B14448" i="3"/>
  <c r="A14448" i="3"/>
  <c r="B14447" i="3"/>
  <c r="A14447" i="3"/>
  <c r="B14446" i="3"/>
  <c r="A14446" i="3"/>
  <c r="B14445" i="3"/>
  <c r="A14445" i="3"/>
  <c r="B14444" i="3"/>
  <c r="A14444" i="3"/>
  <c r="B14443" i="3"/>
  <c r="A14443" i="3"/>
  <c r="B14442" i="3"/>
  <c r="A14442" i="3"/>
  <c r="B14441" i="3"/>
  <c r="A14441" i="3"/>
  <c r="B14440" i="3"/>
  <c r="A14440" i="3"/>
  <c r="B14439" i="3"/>
  <c r="A14439" i="3"/>
  <c r="B14438" i="3"/>
  <c r="A14438" i="3"/>
  <c r="B14437" i="3"/>
  <c r="A14437" i="3"/>
  <c r="B14436" i="3"/>
  <c r="A14436" i="3"/>
  <c r="B14435" i="3"/>
  <c r="A14435" i="3"/>
  <c r="B14434" i="3"/>
  <c r="A14434" i="3"/>
  <c r="B14433" i="3"/>
  <c r="A14433" i="3"/>
  <c r="B14432" i="3"/>
  <c r="A14432" i="3"/>
  <c r="B14431" i="3"/>
  <c r="A14431" i="3"/>
  <c r="B14430" i="3"/>
  <c r="A14430" i="3"/>
  <c r="B14429" i="3"/>
  <c r="A14429" i="3"/>
  <c r="B14428" i="3"/>
  <c r="A14428" i="3"/>
  <c r="B14427" i="3"/>
  <c r="A14427" i="3"/>
  <c r="B14426" i="3"/>
  <c r="A14426" i="3"/>
  <c r="B14425" i="3"/>
  <c r="A14425" i="3"/>
  <c r="B14424" i="3"/>
  <c r="A14424" i="3"/>
  <c r="B14423" i="3"/>
  <c r="A14423" i="3"/>
  <c r="B14422" i="3"/>
  <c r="A14422" i="3"/>
  <c r="B14421" i="3"/>
  <c r="A14421" i="3"/>
  <c r="B14420" i="3"/>
  <c r="A14420" i="3"/>
  <c r="B14419" i="3"/>
  <c r="A14419" i="3"/>
  <c r="B14418" i="3"/>
  <c r="A14418" i="3"/>
  <c r="B14417" i="3"/>
  <c r="A14417" i="3"/>
  <c r="B14416" i="3"/>
  <c r="A14416" i="3"/>
  <c r="B14415" i="3"/>
  <c r="A14415" i="3"/>
  <c r="B14414" i="3"/>
  <c r="A14414" i="3"/>
  <c r="B14413" i="3"/>
  <c r="A14413" i="3"/>
  <c r="B14412" i="3"/>
  <c r="A14412" i="3"/>
  <c r="B14411" i="3"/>
  <c r="A14411" i="3"/>
  <c r="B14410" i="3"/>
  <c r="A14410" i="3"/>
  <c r="B14409" i="3"/>
  <c r="A14409" i="3"/>
  <c r="B14408" i="3"/>
  <c r="A14408" i="3"/>
  <c r="B14407" i="3"/>
  <c r="A14407" i="3"/>
  <c r="B14406" i="3"/>
  <c r="A14406" i="3"/>
  <c r="B14405" i="3"/>
  <c r="A14405" i="3"/>
  <c r="B14404" i="3"/>
  <c r="A14404" i="3"/>
  <c r="B14403" i="3"/>
  <c r="A14403" i="3"/>
  <c r="B14402" i="3"/>
  <c r="A14402" i="3"/>
  <c r="B14401" i="3"/>
  <c r="A14401" i="3"/>
  <c r="B14400" i="3"/>
  <c r="A14400" i="3"/>
  <c r="B14399" i="3"/>
  <c r="A14399" i="3"/>
  <c r="B14398" i="3"/>
  <c r="A14398" i="3"/>
  <c r="B14397" i="3"/>
  <c r="A14397" i="3"/>
  <c r="B14396" i="3"/>
  <c r="A14396" i="3"/>
  <c r="B14395" i="3"/>
  <c r="A14395" i="3"/>
  <c r="B14394" i="3"/>
  <c r="A14394" i="3"/>
  <c r="B14393" i="3"/>
  <c r="A14393" i="3"/>
  <c r="B14392" i="3"/>
  <c r="A14392" i="3"/>
  <c r="B14391" i="3"/>
  <c r="A14391" i="3"/>
  <c r="B14390" i="3"/>
  <c r="A14390" i="3"/>
  <c r="B14389" i="3"/>
  <c r="A14389" i="3"/>
  <c r="B14388" i="3"/>
  <c r="A14388" i="3"/>
  <c r="B14387" i="3"/>
  <c r="A14387" i="3"/>
  <c r="B14386" i="3"/>
  <c r="A14386" i="3"/>
  <c r="B14385" i="3"/>
  <c r="A14385" i="3"/>
  <c r="B14384" i="3"/>
  <c r="A14384" i="3"/>
  <c r="B14383" i="3"/>
  <c r="A14383" i="3"/>
  <c r="B14382" i="3"/>
  <c r="A14382" i="3"/>
  <c r="B14381" i="3"/>
  <c r="A14381" i="3"/>
  <c r="B14380" i="3"/>
  <c r="A14380" i="3"/>
  <c r="B14379" i="3"/>
  <c r="A14379" i="3"/>
  <c r="B14378" i="3"/>
  <c r="A14378" i="3"/>
  <c r="B14377" i="3"/>
  <c r="A14377" i="3"/>
  <c r="B14376" i="3"/>
  <c r="A14376" i="3"/>
  <c r="B14375" i="3"/>
  <c r="A14375" i="3"/>
  <c r="B14374" i="3"/>
  <c r="A14374" i="3"/>
  <c r="B14373" i="3"/>
  <c r="A14373" i="3"/>
  <c r="B14372" i="3"/>
  <c r="A14372" i="3"/>
  <c r="B14371" i="3"/>
  <c r="A14371" i="3"/>
  <c r="B14370" i="3"/>
  <c r="A14370" i="3"/>
  <c r="B14369" i="3"/>
  <c r="A14369" i="3"/>
  <c r="B14368" i="3"/>
  <c r="A14368" i="3"/>
  <c r="B14367" i="3"/>
  <c r="A14367" i="3"/>
  <c r="B14366" i="3"/>
  <c r="A14366" i="3"/>
  <c r="B14365" i="3"/>
  <c r="A14365" i="3"/>
  <c r="B14364" i="3"/>
  <c r="A14364" i="3"/>
  <c r="B14363" i="3"/>
  <c r="A14363" i="3"/>
  <c r="B14362" i="3"/>
  <c r="A14362" i="3"/>
  <c r="B14361" i="3"/>
  <c r="A14361" i="3"/>
  <c r="B14360" i="3"/>
  <c r="A14360" i="3"/>
  <c r="B14359" i="3"/>
  <c r="A14359" i="3"/>
  <c r="B14358" i="3"/>
  <c r="A14358" i="3"/>
  <c r="B14357" i="3"/>
  <c r="A14357" i="3"/>
  <c r="B14356" i="3"/>
  <c r="A14356" i="3"/>
  <c r="B14355" i="3"/>
  <c r="A14355" i="3"/>
  <c r="B14354" i="3"/>
  <c r="A14354" i="3"/>
  <c r="B14353" i="3"/>
  <c r="A14353" i="3"/>
  <c r="B14352" i="3"/>
  <c r="A14352" i="3"/>
  <c r="B14351" i="3"/>
  <c r="A14351" i="3"/>
  <c r="B14350" i="3"/>
  <c r="A14350" i="3"/>
  <c r="B14349" i="3"/>
  <c r="A14349" i="3"/>
  <c r="B14348" i="3"/>
  <c r="A14348" i="3"/>
  <c r="B14347" i="3"/>
  <c r="A14347" i="3"/>
  <c r="B14346" i="3"/>
  <c r="A14346" i="3"/>
  <c r="B14345" i="3"/>
  <c r="A14345" i="3"/>
  <c r="B14344" i="3"/>
  <c r="A14344" i="3"/>
  <c r="B14343" i="3"/>
  <c r="A14343" i="3"/>
  <c r="B14342" i="3"/>
  <c r="A14342" i="3"/>
  <c r="B14341" i="3"/>
  <c r="A14341" i="3"/>
  <c r="B14340" i="3"/>
  <c r="A14340" i="3"/>
  <c r="B14339" i="3"/>
  <c r="A14339" i="3"/>
  <c r="B14338" i="3"/>
  <c r="A14338" i="3"/>
  <c r="B14337" i="3"/>
  <c r="A14337" i="3"/>
  <c r="B14336" i="3"/>
  <c r="A14336" i="3"/>
  <c r="B14335" i="3"/>
  <c r="A14335" i="3"/>
  <c r="B14334" i="3"/>
  <c r="A14334" i="3"/>
  <c r="B14333" i="3"/>
  <c r="A14333" i="3"/>
  <c r="B14332" i="3"/>
  <c r="A14332" i="3"/>
  <c r="B14331" i="3"/>
  <c r="A14331" i="3"/>
  <c r="B14330" i="3"/>
  <c r="A14330" i="3"/>
  <c r="B14329" i="3"/>
  <c r="A14329" i="3"/>
  <c r="B14328" i="3"/>
  <c r="A14328" i="3"/>
  <c r="B14327" i="3"/>
  <c r="A14327" i="3"/>
  <c r="B14326" i="3"/>
  <c r="A14326" i="3"/>
  <c r="B14325" i="3"/>
  <c r="A14325" i="3"/>
  <c r="B14324" i="3"/>
  <c r="A14324" i="3"/>
  <c r="B14323" i="3"/>
  <c r="A14323" i="3"/>
  <c r="B14322" i="3"/>
  <c r="A14322" i="3"/>
  <c r="B14321" i="3"/>
  <c r="A14321" i="3"/>
  <c r="B14320" i="3"/>
  <c r="A14320" i="3"/>
  <c r="B14319" i="3"/>
  <c r="A14319" i="3"/>
  <c r="B14318" i="3"/>
  <c r="A14318" i="3"/>
  <c r="B14317" i="3"/>
  <c r="A14317" i="3"/>
  <c r="B14316" i="3"/>
  <c r="A14316" i="3"/>
  <c r="B14315" i="3"/>
  <c r="A14315" i="3"/>
  <c r="B14314" i="3"/>
  <c r="A14314" i="3"/>
  <c r="B14313" i="3"/>
  <c r="A14313" i="3"/>
  <c r="B14312" i="3"/>
  <c r="A14312" i="3"/>
  <c r="B14311" i="3"/>
  <c r="A14311" i="3"/>
  <c r="B14310" i="3"/>
  <c r="A14310" i="3"/>
  <c r="B14309" i="3"/>
  <c r="A14309" i="3"/>
  <c r="B14308" i="3"/>
  <c r="A14308" i="3"/>
  <c r="B14307" i="3"/>
  <c r="A14307" i="3"/>
  <c r="B14306" i="3"/>
  <c r="A14306" i="3"/>
  <c r="B14305" i="3"/>
  <c r="A14305" i="3"/>
  <c r="B14304" i="3"/>
  <c r="A14304" i="3"/>
  <c r="B14303" i="3"/>
  <c r="A14303" i="3"/>
  <c r="B14302" i="3"/>
  <c r="A14302" i="3"/>
  <c r="B14301" i="3"/>
  <c r="B14300" i="3"/>
  <c r="A14300" i="3"/>
  <c r="B14299" i="3"/>
  <c r="A14299" i="3"/>
  <c r="B14298" i="3"/>
  <c r="A14298" i="3"/>
  <c r="B14297" i="3"/>
  <c r="A14297" i="3"/>
  <c r="B14296" i="3"/>
  <c r="A14296" i="3"/>
  <c r="B14295" i="3"/>
  <c r="A14295" i="3"/>
  <c r="B14294" i="3"/>
  <c r="A14294" i="3"/>
  <c r="B14293" i="3"/>
  <c r="A14293" i="3"/>
  <c r="B14292" i="3"/>
  <c r="A14292" i="3"/>
  <c r="B14291" i="3"/>
  <c r="A14291" i="3"/>
  <c r="B14290" i="3"/>
  <c r="A14290" i="3"/>
  <c r="B14289" i="3"/>
  <c r="A14289" i="3"/>
  <c r="B14288" i="3"/>
  <c r="A14288" i="3"/>
  <c r="B14287" i="3"/>
  <c r="A14287" i="3"/>
  <c r="B14286" i="3"/>
  <c r="A14286" i="3"/>
  <c r="B14285" i="3"/>
  <c r="A14285" i="3"/>
  <c r="B14284" i="3"/>
  <c r="A14284" i="3"/>
  <c r="B14283" i="3"/>
  <c r="A14283" i="3"/>
  <c r="B14282" i="3"/>
  <c r="A14282" i="3"/>
  <c r="B14281" i="3"/>
  <c r="A14281" i="3"/>
  <c r="B14280" i="3"/>
  <c r="A14280" i="3"/>
  <c r="B14279" i="3"/>
  <c r="A14279" i="3"/>
  <c r="B14278" i="3"/>
  <c r="A14278" i="3"/>
  <c r="B14277" i="3"/>
  <c r="A14277" i="3"/>
  <c r="B14276" i="3"/>
  <c r="A14276" i="3"/>
  <c r="B14275" i="3"/>
  <c r="A14275" i="3"/>
  <c r="B14274" i="3"/>
  <c r="A14274" i="3"/>
  <c r="B14273" i="3"/>
  <c r="A14273" i="3"/>
  <c r="B14272" i="3"/>
  <c r="A14272" i="3"/>
  <c r="B14271" i="3"/>
  <c r="A14271" i="3"/>
  <c r="B14270" i="3"/>
  <c r="A14270" i="3"/>
  <c r="B14269" i="3"/>
  <c r="A14269" i="3"/>
  <c r="B14268" i="3"/>
  <c r="A14268" i="3"/>
  <c r="B14267" i="3"/>
  <c r="A14267" i="3"/>
  <c r="B14266" i="3"/>
  <c r="A14266" i="3"/>
  <c r="B14265" i="3"/>
  <c r="A14265" i="3"/>
  <c r="B14264" i="3"/>
  <c r="B14263" i="3"/>
  <c r="A14263" i="3"/>
  <c r="B14262" i="3"/>
  <c r="A14262" i="3"/>
  <c r="B14261" i="3"/>
  <c r="A14261" i="3"/>
  <c r="B14260" i="3"/>
  <c r="A14260" i="3"/>
  <c r="B14259" i="3"/>
  <c r="A14259" i="3"/>
  <c r="B14258" i="3"/>
  <c r="A14258" i="3"/>
  <c r="B14257" i="3"/>
  <c r="A14257" i="3"/>
  <c r="B14256" i="3"/>
  <c r="A14256" i="3"/>
  <c r="B14255" i="3"/>
  <c r="A14255" i="3"/>
  <c r="B14254" i="3"/>
  <c r="A14254" i="3"/>
  <c r="B14253" i="3"/>
  <c r="A14253" i="3"/>
  <c r="B14252" i="3"/>
  <c r="A14252" i="3"/>
  <c r="B14251" i="3"/>
  <c r="A14251" i="3"/>
  <c r="B14250" i="3"/>
  <c r="A14250" i="3"/>
  <c r="B14249" i="3"/>
  <c r="A14249" i="3"/>
  <c r="B14248" i="3"/>
  <c r="A14248" i="3"/>
  <c r="B14247" i="3"/>
  <c r="A14247" i="3"/>
  <c r="B14246" i="3"/>
  <c r="A14246" i="3"/>
  <c r="B14245" i="3"/>
  <c r="A14245" i="3"/>
  <c r="B14244" i="3"/>
  <c r="A14244" i="3"/>
  <c r="B14243" i="3"/>
  <c r="A14243" i="3"/>
  <c r="B14242" i="3"/>
  <c r="A14242" i="3"/>
  <c r="B14241" i="3"/>
  <c r="A14241" i="3"/>
  <c r="B14240" i="3"/>
  <c r="A14240" i="3"/>
  <c r="B14239" i="3"/>
  <c r="A14239" i="3"/>
  <c r="B14238" i="3"/>
  <c r="A14238" i="3"/>
  <c r="B14237" i="3"/>
  <c r="A14237" i="3"/>
  <c r="B14236" i="3"/>
  <c r="A14236" i="3"/>
  <c r="B14235" i="3"/>
  <c r="A14235" i="3"/>
  <c r="B14234" i="3"/>
  <c r="A14234" i="3"/>
  <c r="B14233" i="3"/>
  <c r="A14233" i="3"/>
  <c r="B14232" i="3"/>
  <c r="A14232" i="3"/>
  <c r="B14231" i="3"/>
  <c r="A14231" i="3"/>
  <c r="B14230" i="3"/>
  <c r="A14230" i="3"/>
  <c r="B14229" i="3"/>
  <c r="A14229" i="3"/>
  <c r="B14228" i="3"/>
  <c r="A14228" i="3"/>
  <c r="B14227" i="3"/>
  <c r="A14227" i="3"/>
  <c r="B14226" i="3"/>
  <c r="A14226" i="3"/>
  <c r="B14225" i="3"/>
  <c r="A14225" i="3"/>
  <c r="B14224" i="3"/>
  <c r="A14224" i="3"/>
  <c r="B14223" i="3"/>
  <c r="A14223" i="3"/>
  <c r="B14222" i="3"/>
  <c r="A14222" i="3"/>
  <c r="B14221" i="3"/>
  <c r="A14221" i="3"/>
  <c r="B14220" i="3"/>
  <c r="A14220" i="3"/>
  <c r="B14219" i="3"/>
  <c r="A14219" i="3"/>
  <c r="B14218" i="3"/>
  <c r="A14218" i="3"/>
  <c r="B14217" i="3"/>
  <c r="A14217" i="3"/>
  <c r="B14216" i="3"/>
  <c r="A14216" i="3"/>
  <c r="B14215" i="3"/>
  <c r="A14215" i="3"/>
  <c r="B14214" i="3"/>
  <c r="A14214" i="3"/>
  <c r="B14213" i="3"/>
  <c r="A14213" i="3"/>
  <c r="B14212" i="3"/>
  <c r="A14212" i="3"/>
  <c r="B14211" i="3"/>
  <c r="A14211" i="3"/>
  <c r="B14210" i="3"/>
  <c r="A14210" i="3"/>
  <c r="B14209" i="3"/>
  <c r="A14209" i="3"/>
  <c r="B14208" i="3"/>
  <c r="A14208" i="3"/>
  <c r="B14207" i="3"/>
  <c r="A14207" i="3"/>
  <c r="B14206" i="3"/>
  <c r="A14206" i="3"/>
  <c r="B14205" i="3"/>
  <c r="A14205" i="3"/>
  <c r="B14204" i="3"/>
  <c r="A14204" i="3"/>
  <c r="B14203" i="3"/>
  <c r="A14203" i="3"/>
  <c r="B14202" i="3"/>
  <c r="A14202" i="3"/>
  <c r="B14201" i="3"/>
  <c r="A14201" i="3"/>
  <c r="B14200" i="3"/>
  <c r="A14200" i="3"/>
  <c r="B14199" i="3"/>
  <c r="A14199" i="3"/>
  <c r="B14198" i="3"/>
  <c r="A14198" i="3"/>
  <c r="B14197" i="3"/>
  <c r="A14197" i="3"/>
  <c r="B14196" i="3"/>
  <c r="A14196" i="3"/>
  <c r="B14195" i="3"/>
  <c r="A14195" i="3"/>
  <c r="B14194" i="3"/>
  <c r="A14194" i="3"/>
  <c r="B14193" i="3"/>
  <c r="A14193" i="3"/>
  <c r="B14192" i="3"/>
  <c r="A14192" i="3"/>
  <c r="B14191" i="3"/>
  <c r="A14191" i="3"/>
  <c r="B14190" i="3"/>
  <c r="A14190" i="3"/>
  <c r="B14189" i="3"/>
  <c r="A14189" i="3"/>
  <c r="B14188" i="3"/>
  <c r="A14188" i="3"/>
  <c r="B14187" i="3"/>
  <c r="A14187" i="3"/>
  <c r="B14186" i="3"/>
  <c r="A14186" i="3"/>
  <c r="B14185" i="3"/>
  <c r="A14185" i="3"/>
  <c r="B14184" i="3"/>
  <c r="A14184" i="3"/>
  <c r="B14183" i="3"/>
  <c r="A14183" i="3"/>
  <c r="B14182" i="3"/>
  <c r="A14182" i="3"/>
  <c r="B14181" i="3"/>
  <c r="A14181" i="3"/>
  <c r="B14180" i="3"/>
  <c r="A14180" i="3"/>
  <c r="B14179" i="3"/>
  <c r="A14179" i="3"/>
  <c r="B14178" i="3"/>
  <c r="A14178" i="3"/>
  <c r="B14177" i="3"/>
  <c r="A14177" i="3"/>
  <c r="B14176" i="3"/>
  <c r="A14176" i="3"/>
  <c r="B14175" i="3"/>
  <c r="A14175" i="3"/>
  <c r="B14174" i="3"/>
  <c r="A14174" i="3"/>
  <c r="B14173" i="3"/>
  <c r="A14173" i="3"/>
  <c r="B14172" i="3"/>
  <c r="B14171" i="3"/>
  <c r="A14171" i="3"/>
  <c r="B14170" i="3"/>
  <c r="A14170" i="3"/>
  <c r="B14169" i="3"/>
  <c r="A14169" i="3"/>
  <c r="B14168" i="3"/>
  <c r="A14168" i="3"/>
  <c r="B14167" i="3"/>
  <c r="A14167" i="3"/>
  <c r="B14166" i="3"/>
  <c r="A14166" i="3"/>
  <c r="B14165" i="3"/>
  <c r="A14165" i="3"/>
  <c r="B14164" i="3"/>
  <c r="A14164" i="3"/>
  <c r="B14163" i="3"/>
  <c r="A14163" i="3"/>
  <c r="B14162" i="3"/>
  <c r="A14162" i="3"/>
  <c r="B14161" i="3"/>
  <c r="A14161" i="3"/>
  <c r="B14160" i="3"/>
  <c r="A14160" i="3"/>
  <c r="B14159" i="3"/>
  <c r="A14159" i="3"/>
  <c r="B14158" i="3"/>
  <c r="A14158" i="3"/>
  <c r="B14157" i="3"/>
  <c r="A14157" i="3"/>
  <c r="B14156" i="3"/>
  <c r="A14156" i="3"/>
  <c r="B14155" i="3"/>
  <c r="A14155" i="3"/>
  <c r="B14154" i="3"/>
  <c r="A14154" i="3"/>
  <c r="B14153" i="3"/>
  <c r="A14153" i="3"/>
  <c r="B14152" i="3"/>
  <c r="A14152" i="3"/>
  <c r="B14151" i="3"/>
  <c r="A14151" i="3"/>
  <c r="B14150" i="3"/>
  <c r="A14150" i="3"/>
  <c r="B14149" i="3"/>
  <c r="A14149" i="3"/>
  <c r="B14148" i="3"/>
  <c r="A14148" i="3"/>
  <c r="B14147" i="3"/>
  <c r="A14147" i="3"/>
  <c r="B14146" i="3"/>
  <c r="A14146" i="3"/>
  <c r="B14145" i="3"/>
  <c r="B14144" i="3"/>
  <c r="B14143" i="3"/>
  <c r="A14143" i="3"/>
  <c r="B14142" i="3"/>
  <c r="A14142" i="3"/>
  <c r="B14141" i="3"/>
  <c r="A14141" i="3"/>
  <c r="B14140" i="3"/>
  <c r="A14140" i="3"/>
  <c r="B14139" i="3"/>
  <c r="A14139" i="3"/>
  <c r="B14138" i="3"/>
  <c r="A14138" i="3"/>
  <c r="B14137" i="3"/>
  <c r="A14137" i="3"/>
  <c r="B14136" i="3"/>
  <c r="A14136" i="3"/>
  <c r="B14135" i="3"/>
  <c r="A14135" i="3"/>
  <c r="B14134" i="3"/>
  <c r="A14134" i="3"/>
  <c r="B14133" i="3"/>
  <c r="A14133" i="3"/>
  <c r="B14132" i="3"/>
  <c r="A14132" i="3"/>
  <c r="B14131" i="3"/>
  <c r="A14131" i="3"/>
  <c r="B14130" i="3"/>
  <c r="A14130" i="3"/>
  <c r="B14129" i="3"/>
  <c r="A14129" i="3"/>
  <c r="B14128" i="3"/>
  <c r="A14128" i="3"/>
  <c r="B14127" i="3"/>
  <c r="A14127" i="3"/>
  <c r="B14126" i="3"/>
  <c r="A14126" i="3"/>
  <c r="B14125" i="3"/>
  <c r="A14125" i="3"/>
  <c r="B14124" i="3"/>
  <c r="A14124" i="3"/>
  <c r="B14123" i="3"/>
  <c r="A14123" i="3"/>
  <c r="B14122" i="3"/>
  <c r="A14122" i="3"/>
  <c r="B14121" i="3"/>
  <c r="A14121" i="3"/>
  <c r="B14120" i="3"/>
  <c r="A14120" i="3"/>
  <c r="B14119" i="3"/>
  <c r="A14119" i="3"/>
  <c r="B14118" i="3"/>
  <c r="A14118" i="3"/>
  <c r="B14117" i="3"/>
  <c r="A14117" i="3"/>
  <c r="B14116" i="3"/>
  <c r="A14116" i="3"/>
  <c r="B14115" i="3"/>
  <c r="A14115" i="3"/>
  <c r="B14114" i="3"/>
  <c r="B14113" i="3"/>
  <c r="A14113" i="3"/>
  <c r="B14112" i="3"/>
  <c r="A14112" i="3"/>
  <c r="B14111" i="3"/>
  <c r="A14111" i="3"/>
  <c r="B14110" i="3"/>
  <c r="A14110" i="3"/>
  <c r="B14109" i="3"/>
  <c r="A14109" i="3"/>
  <c r="B14108" i="3"/>
  <c r="A14108" i="3"/>
  <c r="B14107" i="3"/>
  <c r="A14107" i="3"/>
  <c r="B14106" i="3"/>
  <c r="A14106" i="3"/>
  <c r="B14105" i="3"/>
  <c r="A14105" i="3"/>
  <c r="B14104" i="3"/>
  <c r="A14104" i="3"/>
  <c r="B14103" i="3"/>
  <c r="A14103" i="3"/>
  <c r="B14102" i="3"/>
  <c r="A14102" i="3"/>
  <c r="B14101" i="3"/>
  <c r="A14101" i="3"/>
  <c r="B14100" i="3"/>
  <c r="A14100" i="3"/>
  <c r="B14099" i="3"/>
  <c r="A14099" i="3"/>
  <c r="B14098" i="3"/>
  <c r="A14098" i="3"/>
  <c r="B14097" i="3"/>
  <c r="A14097" i="3"/>
  <c r="B14096" i="3"/>
  <c r="A14096" i="3"/>
  <c r="B14095" i="3"/>
  <c r="A14095" i="3"/>
  <c r="B14094" i="3"/>
  <c r="A14094" i="3"/>
  <c r="B14093" i="3"/>
  <c r="A14093" i="3"/>
  <c r="B14092" i="3"/>
  <c r="A14092" i="3"/>
  <c r="B14091" i="3"/>
  <c r="A14091" i="3"/>
  <c r="B14090" i="3"/>
  <c r="A14090" i="3"/>
  <c r="B14089" i="3"/>
  <c r="A14089" i="3"/>
  <c r="B14088" i="3"/>
  <c r="A14088" i="3"/>
  <c r="B14087" i="3"/>
  <c r="A14087" i="3"/>
  <c r="B14086" i="3"/>
  <c r="A14086" i="3"/>
  <c r="B14085" i="3"/>
  <c r="A14085" i="3"/>
  <c r="B14084" i="3"/>
  <c r="A14084" i="3"/>
  <c r="B14083" i="3"/>
  <c r="A14083" i="3"/>
  <c r="B14082" i="3"/>
  <c r="A14082" i="3"/>
  <c r="B14081" i="3"/>
  <c r="A14081" i="3"/>
  <c r="B14080" i="3"/>
  <c r="A14080" i="3"/>
  <c r="B14079" i="3"/>
  <c r="A14079" i="3"/>
  <c r="B14078" i="3"/>
  <c r="A14078" i="3"/>
  <c r="B14077" i="3"/>
  <c r="A14077" i="3"/>
  <c r="B14076" i="3"/>
  <c r="A14076" i="3"/>
  <c r="B14075" i="3"/>
  <c r="A14075" i="3"/>
  <c r="B14074" i="3"/>
  <c r="A14074" i="3"/>
  <c r="B14073" i="3"/>
  <c r="A14073" i="3"/>
  <c r="B14072" i="3"/>
  <c r="A14072" i="3"/>
  <c r="B14071" i="3"/>
  <c r="A14071" i="3"/>
  <c r="B14070" i="3"/>
  <c r="A14070" i="3"/>
  <c r="B14069" i="3"/>
  <c r="A14069" i="3"/>
  <c r="B14068" i="3"/>
  <c r="A14068" i="3"/>
  <c r="B14067" i="3"/>
  <c r="A14067" i="3"/>
  <c r="B14066" i="3"/>
  <c r="A14066" i="3"/>
  <c r="B14065" i="3"/>
  <c r="A14065" i="3"/>
  <c r="B14064" i="3"/>
  <c r="A14064" i="3"/>
  <c r="B14063" i="3"/>
  <c r="A14063" i="3"/>
  <c r="B14062" i="3"/>
  <c r="A14062" i="3"/>
  <c r="B14061" i="3"/>
  <c r="A14061" i="3"/>
  <c r="B14060" i="3"/>
  <c r="A14060" i="3"/>
  <c r="B14059" i="3"/>
  <c r="A14059" i="3"/>
  <c r="B14058" i="3"/>
  <c r="A14058" i="3"/>
  <c r="B14057" i="3"/>
  <c r="A14057" i="3"/>
  <c r="B14056" i="3"/>
  <c r="A14056" i="3"/>
  <c r="B14055" i="3"/>
  <c r="A14055" i="3"/>
  <c r="B14054" i="3"/>
  <c r="A14054" i="3"/>
  <c r="B14053" i="3"/>
  <c r="A14053" i="3"/>
  <c r="B14052" i="3"/>
  <c r="A14052" i="3"/>
  <c r="B14051" i="3"/>
  <c r="A14051" i="3"/>
  <c r="B14050" i="3"/>
  <c r="A14050" i="3"/>
  <c r="B14049" i="3"/>
  <c r="A14049" i="3"/>
  <c r="B14048" i="3"/>
  <c r="A14048" i="3"/>
  <c r="B14047" i="3"/>
  <c r="A14047" i="3"/>
  <c r="B14046" i="3"/>
  <c r="A14046" i="3"/>
  <c r="B14045" i="3"/>
  <c r="A14045" i="3"/>
  <c r="B14044" i="3"/>
  <c r="A14044" i="3"/>
  <c r="B14043" i="3"/>
  <c r="A14043" i="3"/>
  <c r="B14042" i="3"/>
  <c r="A14042" i="3"/>
  <c r="B14041" i="3"/>
  <c r="A14041" i="3"/>
  <c r="B14040" i="3"/>
  <c r="A14040" i="3"/>
  <c r="B14039" i="3"/>
  <c r="A14039" i="3"/>
  <c r="B14038" i="3"/>
  <c r="A14038" i="3"/>
  <c r="B14037" i="3"/>
  <c r="A14037" i="3"/>
  <c r="B14036" i="3"/>
  <c r="A14036" i="3"/>
  <c r="B14035" i="3"/>
  <c r="A14035" i="3"/>
  <c r="B14034" i="3"/>
  <c r="A14034" i="3"/>
  <c r="B14033" i="3"/>
  <c r="A14033" i="3"/>
  <c r="B14032" i="3"/>
  <c r="A14032" i="3"/>
  <c r="B14031" i="3"/>
  <c r="A14031" i="3"/>
  <c r="B14030" i="3"/>
  <c r="A14030" i="3"/>
  <c r="B14029" i="3"/>
  <c r="A14029" i="3"/>
  <c r="B14028" i="3"/>
  <c r="A14028" i="3"/>
  <c r="B14027" i="3"/>
  <c r="A14027" i="3"/>
  <c r="B14026" i="3"/>
  <c r="A14026" i="3"/>
  <c r="B14025" i="3"/>
  <c r="A14025" i="3"/>
  <c r="B14024" i="3"/>
  <c r="A14024" i="3"/>
  <c r="B14023" i="3"/>
  <c r="A14023" i="3"/>
  <c r="B14022" i="3"/>
  <c r="A14022" i="3"/>
  <c r="B14021" i="3"/>
  <c r="A14021" i="3"/>
  <c r="B14020" i="3"/>
  <c r="A14020" i="3"/>
  <c r="B14019" i="3"/>
  <c r="A14019" i="3"/>
  <c r="B14018" i="3"/>
  <c r="A14018" i="3"/>
  <c r="B14017" i="3"/>
  <c r="A14017" i="3"/>
  <c r="B14016" i="3"/>
  <c r="A14016" i="3"/>
  <c r="B14015" i="3"/>
  <c r="A14015" i="3"/>
  <c r="B14014" i="3"/>
  <c r="A14014" i="3"/>
  <c r="B14013" i="3"/>
  <c r="A14013" i="3"/>
  <c r="B14012" i="3"/>
  <c r="A14012" i="3"/>
  <c r="B14011" i="3"/>
  <c r="A14011" i="3"/>
  <c r="B14010" i="3"/>
  <c r="A14010" i="3"/>
  <c r="B14009" i="3"/>
  <c r="A14009" i="3"/>
  <c r="B14008" i="3"/>
  <c r="A14008" i="3"/>
  <c r="B14007" i="3"/>
  <c r="A14007" i="3"/>
  <c r="B14006" i="3"/>
  <c r="A14006" i="3"/>
  <c r="B14005" i="3"/>
  <c r="A14005" i="3"/>
  <c r="B14004" i="3"/>
  <c r="A14004" i="3"/>
  <c r="B14003" i="3"/>
  <c r="A14003" i="3"/>
  <c r="B14002" i="3"/>
  <c r="A14002" i="3"/>
  <c r="B14001" i="3"/>
  <c r="A14001" i="3"/>
  <c r="B14000" i="3"/>
  <c r="A14000" i="3"/>
  <c r="B13999" i="3"/>
  <c r="A13999" i="3"/>
  <c r="B13998" i="3"/>
  <c r="A13998" i="3"/>
  <c r="B13997" i="3"/>
  <c r="A13997" i="3"/>
  <c r="B13996" i="3"/>
  <c r="A13996" i="3"/>
  <c r="B13995" i="3"/>
  <c r="A13995" i="3"/>
  <c r="B13994" i="3"/>
  <c r="A13994" i="3"/>
  <c r="B13993" i="3"/>
  <c r="A13993" i="3"/>
  <c r="B13992" i="3"/>
  <c r="A13992" i="3"/>
  <c r="B13991" i="3"/>
  <c r="A13991" i="3"/>
  <c r="B13990" i="3"/>
  <c r="A13990" i="3"/>
  <c r="B13989" i="3"/>
  <c r="A13989" i="3"/>
  <c r="B13988" i="3"/>
  <c r="A13988" i="3"/>
  <c r="B13987" i="3"/>
  <c r="A13987" i="3"/>
  <c r="B13986" i="3"/>
  <c r="A13986" i="3"/>
  <c r="B13985" i="3"/>
  <c r="A13985" i="3"/>
  <c r="B13984" i="3"/>
  <c r="A13984" i="3"/>
  <c r="B13983" i="3"/>
  <c r="A13983" i="3"/>
  <c r="B13982" i="3"/>
  <c r="A13982" i="3"/>
  <c r="B13981" i="3"/>
  <c r="A13981" i="3"/>
  <c r="B13980" i="3"/>
  <c r="A13980" i="3"/>
  <c r="B13979" i="3"/>
  <c r="A13979" i="3"/>
  <c r="B13978" i="3"/>
  <c r="A13978" i="3"/>
  <c r="B13977" i="3"/>
  <c r="A13977" i="3"/>
  <c r="B13976" i="3"/>
  <c r="A13976" i="3"/>
  <c r="B13975" i="3"/>
  <c r="A13975" i="3"/>
  <c r="B13974" i="3"/>
  <c r="A13974" i="3"/>
  <c r="B13973" i="3"/>
  <c r="A13973" i="3"/>
  <c r="B13972" i="3"/>
  <c r="A13972" i="3"/>
  <c r="B13971" i="3"/>
  <c r="A13971" i="3"/>
  <c r="B13970" i="3"/>
  <c r="A13970" i="3"/>
  <c r="B13969" i="3"/>
  <c r="A13969" i="3"/>
  <c r="B13968" i="3"/>
  <c r="A13968" i="3"/>
  <c r="B13967" i="3"/>
  <c r="A13967" i="3"/>
  <c r="B13966" i="3"/>
  <c r="A13966" i="3"/>
  <c r="B13965" i="3"/>
  <c r="A13965" i="3"/>
  <c r="B13964" i="3"/>
  <c r="A13964" i="3"/>
  <c r="B13963" i="3"/>
  <c r="A13963" i="3"/>
  <c r="B13962" i="3"/>
  <c r="A13962" i="3"/>
  <c r="B13961" i="3"/>
  <c r="A13961" i="3"/>
  <c r="B13960" i="3"/>
  <c r="A13960" i="3"/>
  <c r="B13959" i="3"/>
  <c r="A13959" i="3"/>
  <c r="B13958" i="3"/>
  <c r="A13958" i="3"/>
  <c r="B13957" i="3"/>
  <c r="A13957" i="3"/>
  <c r="B13956" i="3"/>
  <c r="A13956" i="3"/>
  <c r="B13955" i="3"/>
  <c r="A13955" i="3"/>
  <c r="B13954" i="3"/>
  <c r="A13954" i="3"/>
  <c r="B13953" i="3"/>
  <c r="A13953" i="3"/>
  <c r="B13952" i="3"/>
  <c r="A13952" i="3"/>
  <c r="B13951" i="3"/>
  <c r="A13951" i="3"/>
  <c r="B13950" i="3"/>
  <c r="A13950" i="3"/>
  <c r="B13949" i="3"/>
  <c r="A13949" i="3"/>
  <c r="B13948" i="3"/>
  <c r="A13948" i="3"/>
  <c r="B13947" i="3"/>
  <c r="A13947" i="3"/>
  <c r="B13946" i="3"/>
  <c r="A13946" i="3"/>
  <c r="B13945" i="3"/>
  <c r="A13945" i="3"/>
  <c r="B13944" i="3"/>
  <c r="A13944" i="3"/>
  <c r="B13943" i="3"/>
  <c r="A13943" i="3"/>
  <c r="B13942" i="3"/>
  <c r="A13942" i="3"/>
  <c r="B13941" i="3"/>
  <c r="A13941" i="3"/>
  <c r="B13940" i="3"/>
  <c r="A13940" i="3"/>
  <c r="B13939" i="3"/>
  <c r="A13939" i="3"/>
  <c r="B13938" i="3"/>
  <c r="A13938" i="3"/>
  <c r="B13937" i="3"/>
  <c r="A13937" i="3"/>
  <c r="B13936" i="3"/>
  <c r="A13936" i="3"/>
  <c r="B13935" i="3"/>
  <c r="A13935" i="3"/>
  <c r="B13934" i="3"/>
  <c r="A13934" i="3"/>
  <c r="B13933" i="3"/>
  <c r="A13933" i="3"/>
  <c r="B13932" i="3"/>
  <c r="A13932" i="3"/>
  <c r="B13931" i="3"/>
  <c r="A13931" i="3"/>
  <c r="B13930" i="3"/>
  <c r="A13930" i="3"/>
  <c r="B13929" i="3"/>
  <c r="A13929" i="3"/>
  <c r="B13928" i="3"/>
  <c r="A13928" i="3"/>
  <c r="B13927" i="3"/>
  <c r="A13927" i="3"/>
  <c r="B13926" i="3"/>
  <c r="A13926" i="3"/>
  <c r="B13925" i="3"/>
  <c r="A13925" i="3"/>
  <c r="B13924" i="3"/>
  <c r="A13924" i="3"/>
  <c r="B13923" i="3"/>
  <c r="A13923" i="3"/>
  <c r="B13922" i="3"/>
  <c r="A13922" i="3"/>
  <c r="B13921" i="3"/>
  <c r="A13921" i="3"/>
  <c r="B13920" i="3"/>
  <c r="A13920" i="3"/>
  <c r="B13919" i="3"/>
  <c r="A13919" i="3"/>
  <c r="B13918" i="3"/>
  <c r="A13918" i="3"/>
  <c r="B13917" i="3"/>
  <c r="A13917" i="3"/>
  <c r="B13916" i="3"/>
  <c r="A13916" i="3"/>
  <c r="B13915" i="3"/>
  <c r="A13915" i="3"/>
  <c r="B13914" i="3"/>
  <c r="A13914" i="3"/>
  <c r="B13913" i="3"/>
  <c r="A13913" i="3"/>
  <c r="B13912" i="3"/>
  <c r="A13912" i="3"/>
  <c r="B13911" i="3"/>
  <c r="A13911" i="3"/>
  <c r="B13910" i="3"/>
  <c r="A13910" i="3"/>
  <c r="B13909" i="3"/>
  <c r="A13909" i="3"/>
  <c r="B13908" i="3"/>
  <c r="A13908" i="3"/>
  <c r="B13907" i="3"/>
  <c r="A13907" i="3"/>
  <c r="B13906" i="3"/>
  <c r="A13906" i="3"/>
  <c r="B13905" i="3"/>
  <c r="A13905" i="3"/>
  <c r="B13904" i="3"/>
  <c r="A13904" i="3"/>
  <c r="B13903" i="3"/>
  <c r="A13903" i="3"/>
  <c r="B13902" i="3"/>
  <c r="A13902" i="3"/>
  <c r="B13901" i="3"/>
  <c r="A13901" i="3"/>
  <c r="B13900" i="3"/>
  <c r="A13900" i="3"/>
  <c r="B13899" i="3"/>
  <c r="A13899" i="3"/>
  <c r="B13898" i="3"/>
  <c r="A13898" i="3"/>
  <c r="B13897" i="3"/>
  <c r="A13897" i="3"/>
  <c r="B13896" i="3"/>
  <c r="A13896" i="3"/>
  <c r="B13895" i="3"/>
  <c r="A13895" i="3"/>
  <c r="B13894" i="3"/>
  <c r="A13894" i="3"/>
  <c r="B13893" i="3"/>
  <c r="A13893" i="3"/>
  <c r="B13892" i="3"/>
  <c r="A13892" i="3"/>
  <c r="B13891" i="3"/>
  <c r="A13891" i="3"/>
  <c r="B13890" i="3"/>
  <c r="A13890" i="3"/>
  <c r="B13889" i="3"/>
  <c r="A13889" i="3"/>
  <c r="B13888" i="3"/>
  <c r="A13888" i="3"/>
  <c r="B13887" i="3"/>
  <c r="A13887" i="3"/>
  <c r="B13886" i="3"/>
  <c r="A13886" i="3"/>
  <c r="B13885" i="3"/>
  <c r="A13885" i="3"/>
  <c r="B13884" i="3"/>
  <c r="A13884" i="3"/>
  <c r="B13883" i="3"/>
  <c r="A13883" i="3"/>
  <c r="B13882" i="3"/>
  <c r="A13882" i="3"/>
  <c r="B13881" i="3"/>
  <c r="A13881" i="3"/>
  <c r="B13880" i="3"/>
  <c r="A13880" i="3"/>
  <c r="B13879" i="3"/>
  <c r="A13879" i="3"/>
  <c r="B13878" i="3"/>
  <c r="A13878" i="3"/>
  <c r="B13877" i="3"/>
  <c r="A13877" i="3"/>
  <c r="B13876" i="3"/>
  <c r="A13876" i="3"/>
  <c r="B13875" i="3"/>
  <c r="A13875" i="3"/>
  <c r="B13874" i="3"/>
  <c r="A13874" i="3"/>
  <c r="B13873" i="3"/>
  <c r="A13873" i="3"/>
  <c r="B13872" i="3"/>
  <c r="A13872" i="3"/>
  <c r="B13871" i="3"/>
  <c r="A13871" i="3"/>
  <c r="B13870" i="3"/>
  <c r="A13870" i="3"/>
  <c r="B13869" i="3"/>
  <c r="A13869" i="3"/>
  <c r="B13868" i="3"/>
  <c r="A13868" i="3"/>
  <c r="B13867" i="3"/>
  <c r="A13867" i="3"/>
  <c r="B13866" i="3"/>
  <c r="A13866" i="3"/>
  <c r="B13865" i="3"/>
  <c r="A13865" i="3"/>
  <c r="B13864" i="3"/>
  <c r="A13864" i="3"/>
  <c r="B13863" i="3"/>
  <c r="A13863" i="3"/>
  <c r="B13862" i="3"/>
  <c r="A13862" i="3"/>
  <c r="B13861" i="3"/>
  <c r="A13861" i="3"/>
  <c r="B13860" i="3"/>
  <c r="A13860" i="3"/>
  <c r="B13859" i="3"/>
  <c r="A13859" i="3"/>
  <c r="B13858" i="3"/>
  <c r="A13858" i="3"/>
  <c r="B13857" i="3"/>
  <c r="A13857" i="3"/>
  <c r="B13856" i="3"/>
  <c r="A13856" i="3"/>
  <c r="B13855" i="3"/>
  <c r="A13855" i="3"/>
  <c r="B13854" i="3"/>
  <c r="A13854" i="3"/>
  <c r="B13853" i="3"/>
  <c r="A13853" i="3"/>
  <c r="B13852" i="3"/>
  <c r="A13852" i="3"/>
  <c r="B13851" i="3"/>
  <c r="A13851" i="3"/>
  <c r="B13850" i="3"/>
  <c r="A13850" i="3"/>
  <c r="B13849" i="3"/>
  <c r="A13849" i="3"/>
  <c r="B13848" i="3"/>
  <c r="A13848" i="3"/>
  <c r="B13847" i="3"/>
  <c r="A13847" i="3"/>
  <c r="B13846" i="3"/>
  <c r="A13846" i="3"/>
  <c r="B13845" i="3"/>
  <c r="A13845" i="3"/>
  <c r="B13844" i="3"/>
  <c r="A13844" i="3"/>
  <c r="B13843" i="3"/>
  <c r="A13843" i="3"/>
  <c r="B13842" i="3"/>
  <c r="A13842" i="3"/>
  <c r="B13841" i="3"/>
  <c r="A13841" i="3"/>
  <c r="B13840" i="3"/>
  <c r="A13840" i="3"/>
  <c r="B13839" i="3"/>
  <c r="A13839" i="3"/>
  <c r="B13838" i="3"/>
  <c r="A13838" i="3"/>
  <c r="B13837" i="3"/>
  <c r="A13837" i="3"/>
  <c r="B13836" i="3"/>
  <c r="A13836" i="3"/>
  <c r="B13835" i="3"/>
  <c r="A13835" i="3"/>
  <c r="B13834" i="3"/>
  <c r="A13834" i="3"/>
  <c r="B13833" i="3"/>
  <c r="A13833" i="3"/>
  <c r="B13832" i="3"/>
  <c r="A13832" i="3"/>
  <c r="B13831" i="3"/>
  <c r="A13831" i="3"/>
  <c r="B13830" i="3"/>
  <c r="A13830" i="3"/>
  <c r="B13829" i="3"/>
  <c r="A13829" i="3"/>
  <c r="B13828" i="3"/>
  <c r="A13828" i="3"/>
  <c r="B13827" i="3"/>
  <c r="A13827" i="3"/>
  <c r="B13826" i="3"/>
  <c r="A13826" i="3"/>
  <c r="B13825" i="3"/>
  <c r="A13825" i="3"/>
  <c r="B13824" i="3"/>
  <c r="A13824" i="3"/>
  <c r="B13823" i="3"/>
  <c r="A13823" i="3"/>
  <c r="B13822" i="3"/>
  <c r="A13822" i="3"/>
  <c r="B13821" i="3"/>
  <c r="A13821" i="3"/>
  <c r="B13820" i="3"/>
  <c r="A13820" i="3"/>
  <c r="B13819" i="3"/>
  <c r="A13819" i="3"/>
  <c r="B13818" i="3"/>
  <c r="A13818" i="3"/>
  <c r="B13817" i="3"/>
  <c r="A13817" i="3"/>
  <c r="B13816" i="3"/>
  <c r="A13816" i="3"/>
  <c r="B13815" i="3"/>
  <c r="A13815" i="3"/>
  <c r="B13814" i="3"/>
  <c r="A13814" i="3"/>
  <c r="B13813" i="3"/>
  <c r="A13813" i="3"/>
  <c r="B13812" i="3"/>
  <c r="A13812" i="3"/>
  <c r="B13811" i="3"/>
  <c r="A13811" i="3"/>
  <c r="B13810" i="3"/>
  <c r="A13810" i="3"/>
  <c r="B13809" i="3"/>
  <c r="B13808" i="3"/>
  <c r="A13808" i="3"/>
  <c r="B13807" i="3"/>
  <c r="A13807" i="3"/>
  <c r="B13806" i="3"/>
  <c r="A13806" i="3"/>
  <c r="B13805" i="3"/>
  <c r="A13805" i="3"/>
  <c r="B13804" i="3"/>
  <c r="A13804" i="3"/>
  <c r="B13803" i="3"/>
  <c r="A13803" i="3"/>
  <c r="B13802" i="3"/>
  <c r="A13802" i="3"/>
  <c r="B13801" i="3"/>
  <c r="A13801" i="3"/>
  <c r="B13800" i="3"/>
  <c r="A13800" i="3"/>
  <c r="B13799" i="3"/>
  <c r="A13799" i="3"/>
  <c r="B13798" i="3"/>
  <c r="A13798" i="3"/>
  <c r="B13797" i="3"/>
  <c r="A13797" i="3"/>
  <c r="B13796" i="3"/>
  <c r="A13796" i="3"/>
  <c r="B13795" i="3"/>
  <c r="A13795" i="3"/>
  <c r="B13794" i="3"/>
  <c r="A13794" i="3"/>
  <c r="B13793" i="3"/>
  <c r="A13793" i="3"/>
  <c r="B13792" i="3"/>
  <c r="A13792" i="3"/>
  <c r="B13791" i="3"/>
  <c r="A13791" i="3"/>
  <c r="B13790" i="3"/>
  <c r="A13790" i="3"/>
  <c r="B13789" i="3"/>
  <c r="A13789" i="3"/>
  <c r="B13788" i="3"/>
  <c r="A13788" i="3"/>
  <c r="B13787" i="3"/>
  <c r="A13787" i="3"/>
  <c r="B13786" i="3"/>
  <c r="A13786" i="3"/>
  <c r="B13785" i="3"/>
  <c r="A13785" i="3"/>
  <c r="B13784" i="3"/>
  <c r="A13784" i="3"/>
  <c r="B13783" i="3"/>
  <c r="A13783" i="3"/>
  <c r="B13782" i="3"/>
  <c r="A13782" i="3"/>
  <c r="B13781" i="3"/>
  <c r="A13781" i="3"/>
  <c r="B13780" i="3"/>
  <c r="A13780" i="3"/>
  <c r="B13779" i="3"/>
  <c r="A13779" i="3"/>
  <c r="B13778" i="3"/>
  <c r="A13778" i="3"/>
  <c r="B13777" i="3"/>
  <c r="A13777" i="3"/>
  <c r="B13776" i="3"/>
  <c r="A13776" i="3"/>
  <c r="B13775" i="3"/>
  <c r="A13775" i="3"/>
  <c r="B13774" i="3"/>
  <c r="A13774" i="3"/>
  <c r="B13773" i="3"/>
  <c r="A13773" i="3"/>
  <c r="B13772" i="3"/>
  <c r="A13772" i="3"/>
  <c r="B13771" i="3"/>
  <c r="A13771" i="3"/>
  <c r="B13770" i="3"/>
  <c r="A13770" i="3"/>
  <c r="B13769" i="3"/>
  <c r="A13769" i="3"/>
  <c r="B13768" i="3"/>
  <c r="A13768" i="3"/>
  <c r="B13767" i="3"/>
  <c r="A13767" i="3"/>
  <c r="B13766" i="3"/>
  <c r="A13766" i="3"/>
  <c r="B13765" i="3"/>
  <c r="A13765" i="3"/>
  <c r="B13764" i="3"/>
  <c r="A13764" i="3"/>
  <c r="B13763" i="3"/>
  <c r="A13763" i="3"/>
  <c r="B13762" i="3"/>
  <c r="A13762" i="3"/>
  <c r="B13761" i="3"/>
  <c r="A13761" i="3"/>
  <c r="B13760" i="3"/>
  <c r="A13760" i="3"/>
  <c r="B13759" i="3"/>
  <c r="A13759" i="3"/>
  <c r="B13758" i="3"/>
  <c r="A13758" i="3"/>
  <c r="B13757" i="3"/>
  <c r="A13757" i="3"/>
  <c r="B13756" i="3"/>
  <c r="A13756" i="3"/>
  <c r="B13755" i="3"/>
  <c r="A13755" i="3"/>
  <c r="B13754" i="3"/>
  <c r="A13754" i="3"/>
  <c r="B13753" i="3"/>
  <c r="A13753" i="3"/>
  <c r="B13752" i="3"/>
  <c r="A13752" i="3"/>
  <c r="B13751" i="3"/>
  <c r="A13751" i="3"/>
  <c r="B13750" i="3"/>
  <c r="A13750" i="3"/>
  <c r="B13749" i="3"/>
  <c r="A13749" i="3"/>
  <c r="B13748" i="3"/>
  <c r="A13748" i="3"/>
  <c r="B13747" i="3"/>
  <c r="A13747" i="3"/>
  <c r="B13746" i="3"/>
  <c r="A13746" i="3"/>
  <c r="B13745" i="3"/>
  <c r="A13745" i="3"/>
  <c r="B13744" i="3"/>
  <c r="A13744" i="3"/>
  <c r="B13743" i="3"/>
  <c r="A13743" i="3"/>
  <c r="B13742" i="3"/>
  <c r="A13742" i="3"/>
  <c r="B13741" i="3"/>
  <c r="A13741" i="3"/>
  <c r="B13740" i="3"/>
  <c r="A13740" i="3"/>
  <c r="B13739" i="3"/>
  <c r="A13739" i="3"/>
  <c r="B13738" i="3"/>
  <c r="A13738" i="3"/>
  <c r="B13737" i="3"/>
  <c r="A13737" i="3"/>
  <c r="B13736" i="3"/>
  <c r="A13736" i="3"/>
  <c r="B13735" i="3"/>
  <c r="A13735" i="3"/>
  <c r="B13734" i="3"/>
  <c r="A13734" i="3"/>
  <c r="B13733" i="3"/>
  <c r="A13733" i="3"/>
  <c r="B13732" i="3"/>
  <c r="A13732" i="3"/>
  <c r="B13731" i="3"/>
  <c r="A13731" i="3"/>
  <c r="B13730" i="3"/>
  <c r="A13730" i="3"/>
  <c r="B13729" i="3"/>
  <c r="A13729" i="3"/>
  <c r="B13728" i="3"/>
  <c r="A13728" i="3"/>
  <c r="B13727" i="3"/>
  <c r="A13727" i="3"/>
  <c r="B13726" i="3"/>
  <c r="A13726" i="3"/>
  <c r="B13725" i="3"/>
  <c r="A13725" i="3"/>
  <c r="B13724" i="3"/>
  <c r="A13724" i="3"/>
  <c r="B13723" i="3"/>
  <c r="A13723" i="3"/>
  <c r="B13722" i="3"/>
  <c r="A13722" i="3"/>
  <c r="B13721" i="3"/>
  <c r="A13721" i="3"/>
  <c r="B13720" i="3"/>
  <c r="A13720" i="3"/>
  <c r="B13719" i="3"/>
  <c r="A13719" i="3"/>
  <c r="B13718" i="3"/>
  <c r="A13718" i="3"/>
  <c r="B13717" i="3"/>
  <c r="A13717" i="3"/>
  <c r="B13716" i="3"/>
  <c r="A13716" i="3"/>
  <c r="B13715" i="3"/>
  <c r="A13715" i="3"/>
  <c r="B13714" i="3"/>
  <c r="A13714" i="3"/>
  <c r="B13713" i="3"/>
  <c r="A13713" i="3"/>
  <c r="B13712" i="3"/>
  <c r="A13712" i="3"/>
  <c r="B13711" i="3"/>
  <c r="A13711" i="3"/>
  <c r="B13710" i="3"/>
  <c r="A13710" i="3"/>
  <c r="B13709" i="3"/>
  <c r="A13709" i="3"/>
  <c r="B13708" i="3"/>
  <c r="A13708" i="3"/>
  <c r="B13707" i="3"/>
  <c r="A13707" i="3"/>
  <c r="B13706" i="3"/>
  <c r="A13706" i="3"/>
  <c r="B13705" i="3"/>
  <c r="A13705" i="3"/>
  <c r="B13704" i="3"/>
  <c r="A13704" i="3"/>
  <c r="B13703" i="3"/>
  <c r="A13703" i="3"/>
  <c r="B13702" i="3"/>
  <c r="A13702" i="3"/>
  <c r="B13701" i="3"/>
  <c r="A13701" i="3"/>
  <c r="B13700" i="3"/>
  <c r="A13700" i="3"/>
  <c r="B13699" i="3"/>
  <c r="A13699" i="3"/>
  <c r="B13698" i="3"/>
  <c r="A13698" i="3"/>
  <c r="B13697" i="3"/>
  <c r="A13697" i="3"/>
  <c r="B13696" i="3"/>
  <c r="A13696" i="3"/>
  <c r="B13695" i="3"/>
  <c r="A13695" i="3"/>
  <c r="B13694" i="3"/>
  <c r="A13694" i="3"/>
  <c r="B13693" i="3"/>
  <c r="A13693" i="3"/>
  <c r="B13692" i="3"/>
  <c r="A13692" i="3"/>
  <c r="B13691" i="3"/>
  <c r="A13691" i="3"/>
  <c r="B13690" i="3"/>
  <c r="A13690" i="3"/>
  <c r="B13689" i="3"/>
  <c r="A13689" i="3"/>
  <c r="B13688" i="3"/>
  <c r="A13688" i="3"/>
  <c r="B13687" i="3"/>
  <c r="A13687" i="3"/>
  <c r="B13686" i="3"/>
  <c r="A13686" i="3"/>
  <c r="B13685" i="3"/>
  <c r="A13685" i="3"/>
  <c r="B13684" i="3"/>
  <c r="A13684" i="3"/>
  <c r="B13683" i="3"/>
  <c r="A13683" i="3"/>
  <c r="B13682" i="3"/>
  <c r="A13682" i="3"/>
  <c r="B13681" i="3"/>
  <c r="A13681" i="3"/>
  <c r="B13680" i="3"/>
  <c r="A13680" i="3"/>
  <c r="B13679" i="3"/>
  <c r="A13679" i="3"/>
  <c r="B13678" i="3"/>
  <c r="A13678" i="3"/>
  <c r="B13677" i="3"/>
  <c r="A13677" i="3"/>
  <c r="B13676" i="3"/>
  <c r="A13676" i="3"/>
  <c r="B13675" i="3"/>
  <c r="A13675" i="3"/>
  <c r="B13674" i="3"/>
  <c r="A13674" i="3"/>
  <c r="B13673" i="3"/>
  <c r="A13673" i="3"/>
  <c r="B13672" i="3"/>
  <c r="A13672" i="3"/>
  <c r="B13671" i="3"/>
  <c r="A13671" i="3"/>
  <c r="B13670" i="3"/>
  <c r="A13670" i="3"/>
  <c r="B13669" i="3"/>
  <c r="A13669" i="3"/>
  <c r="B13668" i="3"/>
  <c r="A13668" i="3"/>
  <c r="B13667" i="3"/>
  <c r="A13667" i="3"/>
  <c r="B13666" i="3"/>
  <c r="A13666" i="3"/>
  <c r="B13665" i="3"/>
  <c r="A13665" i="3"/>
  <c r="B13664" i="3"/>
  <c r="A13664" i="3"/>
  <c r="B13663" i="3"/>
  <c r="A13663" i="3"/>
  <c r="B13662" i="3"/>
  <c r="A13662" i="3"/>
  <c r="B13661" i="3"/>
  <c r="A13661" i="3"/>
  <c r="B13660" i="3"/>
  <c r="A13660" i="3"/>
  <c r="B13659" i="3"/>
  <c r="A13659" i="3"/>
  <c r="B13658" i="3"/>
  <c r="A13658" i="3"/>
  <c r="B13657" i="3"/>
  <c r="A13657" i="3"/>
  <c r="B13656" i="3"/>
  <c r="A13656" i="3"/>
  <c r="B13655" i="3"/>
  <c r="A13655" i="3"/>
  <c r="B13654" i="3"/>
  <c r="A13654" i="3"/>
  <c r="B13653" i="3"/>
  <c r="A13653" i="3"/>
  <c r="B13652" i="3"/>
  <c r="A13652" i="3"/>
  <c r="B13651" i="3"/>
  <c r="A13651" i="3"/>
  <c r="B13650" i="3"/>
  <c r="A13650" i="3"/>
  <c r="B13649" i="3"/>
  <c r="A13649" i="3"/>
  <c r="B13648" i="3"/>
  <c r="A13648" i="3"/>
  <c r="B13647" i="3"/>
  <c r="A13647" i="3"/>
  <c r="B13646" i="3"/>
  <c r="A13646" i="3"/>
  <c r="B13645" i="3"/>
  <c r="A13645" i="3"/>
  <c r="B13644" i="3"/>
  <c r="A13644" i="3"/>
  <c r="B13643" i="3"/>
  <c r="A13643" i="3"/>
  <c r="B13642" i="3"/>
  <c r="A13642" i="3"/>
  <c r="B13641" i="3"/>
  <c r="A13641" i="3"/>
  <c r="B13640" i="3"/>
  <c r="A13640" i="3"/>
  <c r="B13639" i="3"/>
  <c r="A13639" i="3"/>
  <c r="B13638" i="3"/>
  <c r="A13638" i="3"/>
  <c r="B13637" i="3"/>
  <c r="A13637" i="3"/>
  <c r="B13636" i="3"/>
  <c r="A13636" i="3"/>
  <c r="B13635" i="3"/>
  <c r="A13635" i="3"/>
  <c r="B13634" i="3"/>
  <c r="A13634" i="3"/>
  <c r="B13633" i="3"/>
  <c r="A13633" i="3"/>
  <c r="B13632" i="3"/>
  <c r="A13632" i="3"/>
  <c r="B13631" i="3"/>
  <c r="A13631" i="3"/>
  <c r="B13630" i="3"/>
  <c r="A13630" i="3"/>
  <c r="B13629" i="3"/>
  <c r="A13629" i="3"/>
  <c r="B13628" i="3"/>
  <c r="A13628" i="3"/>
  <c r="B13627" i="3"/>
  <c r="A13627" i="3"/>
  <c r="B13626" i="3"/>
  <c r="A13626" i="3"/>
  <c r="B13625" i="3"/>
  <c r="A13625" i="3"/>
  <c r="B13624" i="3"/>
  <c r="A13624" i="3"/>
  <c r="B13623" i="3"/>
  <c r="A13623" i="3"/>
  <c r="B13622" i="3"/>
  <c r="A13622" i="3"/>
  <c r="B13621" i="3"/>
  <c r="A13621" i="3"/>
  <c r="B13620" i="3"/>
  <c r="A13620" i="3"/>
  <c r="B13619" i="3"/>
  <c r="A13619" i="3"/>
  <c r="B13618" i="3"/>
  <c r="A13618" i="3"/>
  <c r="B13617" i="3"/>
  <c r="A13617" i="3"/>
  <c r="B13616" i="3"/>
  <c r="A13616" i="3"/>
  <c r="B13615" i="3"/>
  <c r="A13615" i="3"/>
  <c r="B13614" i="3"/>
  <c r="A13614" i="3"/>
  <c r="B13613" i="3"/>
  <c r="A13613" i="3"/>
  <c r="B13612" i="3"/>
  <c r="A13612" i="3"/>
  <c r="B13611" i="3"/>
  <c r="A13611" i="3"/>
  <c r="B13610" i="3"/>
  <c r="A13610" i="3"/>
  <c r="B13609" i="3"/>
  <c r="A13609" i="3"/>
  <c r="B13608" i="3"/>
  <c r="A13608" i="3"/>
  <c r="B13607" i="3"/>
  <c r="A13607" i="3"/>
  <c r="B13606" i="3"/>
  <c r="A13606" i="3"/>
  <c r="B13605" i="3"/>
  <c r="A13605" i="3"/>
  <c r="B13604" i="3"/>
  <c r="A13604" i="3"/>
  <c r="B13603" i="3"/>
  <c r="A13603" i="3"/>
  <c r="B13602" i="3"/>
  <c r="A13602" i="3"/>
  <c r="B13601" i="3"/>
  <c r="A13601" i="3"/>
  <c r="B13600" i="3"/>
  <c r="A13600" i="3"/>
  <c r="B13599" i="3"/>
  <c r="A13599" i="3"/>
  <c r="B13598" i="3"/>
  <c r="A13598" i="3"/>
  <c r="B13597" i="3"/>
  <c r="A13597" i="3"/>
  <c r="B13596" i="3"/>
  <c r="A13596" i="3"/>
  <c r="B13595" i="3"/>
  <c r="A13595" i="3"/>
  <c r="B13594" i="3"/>
  <c r="A13594" i="3"/>
  <c r="B13593" i="3"/>
  <c r="A13593" i="3"/>
  <c r="B13592" i="3"/>
  <c r="A13592" i="3"/>
  <c r="B13591" i="3"/>
  <c r="A13591" i="3"/>
  <c r="B13590" i="3"/>
  <c r="A13590" i="3"/>
  <c r="B13589" i="3"/>
  <c r="A13589" i="3"/>
  <c r="B13588" i="3"/>
  <c r="A13588" i="3"/>
  <c r="B13587" i="3"/>
  <c r="A13587" i="3"/>
  <c r="B13586" i="3"/>
  <c r="A13586" i="3"/>
  <c r="B13585" i="3"/>
  <c r="A13585" i="3"/>
  <c r="B13584" i="3"/>
  <c r="A13584" i="3"/>
  <c r="B13583" i="3"/>
  <c r="A13583" i="3"/>
  <c r="B13582" i="3"/>
  <c r="A13582" i="3"/>
  <c r="B13581" i="3"/>
  <c r="A13581" i="3"/>
  <c r="B13580" i="3"/>
  <c r="A13580" i="3"/>
  <c r="B13579" i="3"/>
  <c r="A13579" i="3"/>
  <c r="B13578" i="3"/>
  <c r="A13578" i="3"/>
  <c r="B13577" i="3"/>
  <c r="A13577" i="3"/>
  <c r="B13576" i="3"/>
  <c r="A13576" i="3"/>
  <c r="B13575" i="3"/>
  <c r="A13575" i="3"/>
  <c r="B13574" i="3"/>
  <c r="A13574" i="3"/>
  <c r="B13573" i="3"/>
  <c r="A13573" i="3"/>
  <c r="B13572" i="3"/>
  <c r="A13572" i="3"/>
  <c r="B13571" i="3"/>
  <c r="A13571" i="3"/>
  <c r="B13570" i="3"/>
  <c r="A13570" i="3"/>
  <c r="B13569" i="3"/>
  <c r="A13569" i="3"/>
  <c r="B13568" i="3"/>
  <c r="A13568" i="3"/>
  <c r="B13567" i="3"/>
  <c r="A13567" i="3"/>
  <c r="B13566" i="3"/>
  <c r="A13566" i="3"/>
  <c r="B13565" i="3"/>
  <c r="A13565" i="3"/>
  <c r="B13564" i="3"/>
  <c r="A13564" i="3"/>
  <c r="B13563" i="3"/>
  <c r="A13563" i="3"/>
  <c r="B13562" i="3"/>
  <c r="A13562" i="3"/>
  <c r="B13561" i="3"/>
  <c r="A13561" i="3"/>
  <c r="B13560" i="3"/>
  <c r="A13560" i="3"/>
  <c r="B13559" i="3"/>
  <c r="A13559" i="3"/>
  <c r="B13558" i="3"/>
  <c r="A13558" i="3"/>
  <c r="B13557" i="3"/>
  <c r="A13557" i="3"/>
  <c r="B13556" i="3"/>
  <c r="A13556" i="3"/>
  <c r="B13555" i="3"/>
  <c r="A13555" i="3"/>
  <c r="B13554" i="3"/>
  <c r="A13554" i="3"/>
  <c r="B13553" i="3"/>
  <c r="A13553" i="3"/>
  <c r="B13552" i="3"/>
  <c r="A13552" i="3"/>
  <c r="B13551" i="3"/>
  <c r="A13551" i="3"/>
  <c r="B13550" i="3"/>
  <c r="A13550" i="3"/>
  <c r="B13549" i="3"/>
  <c r="A13549" i="3"/>
  <c r="B13548" i="3"/>
  <c r="A13548" i="3"/>
  <c r="B13547" i="3"/>
  <c r="A13547" i="3"/>
  <c r="B13546" i="3"/>
  <c r="A13546" i="3"/>
  <c r="B13545" i="3"/>
  <c r="A13545" i="3"/>
  <c r="B13544" i="3"/>
  <c r="A13544" i="3"/>
  <c r="B13543" i="3"/>
  <c r="A13543" i="3"/>
  <c r="B13542" i="3"/>
  <c r="A13542" i="3"/>
  <c r="B13541" i="3"/>
  <c r="A13541" i="3"/>
  <c r="B13540" i="3"/>
  <c r="A13540" i="3"/>
  <c r="B13539" i="3"/>
  <c r="A13539" i="3"/>
  <c r="B13538" i="3"/>
  <c r="A13538" i="3"/>
  <c r="B13537" i="3"/>
  <c r="A13537" i="3"/>
  <c r="B13536" i="3"/>
  <c r="A13536" i="3"/>
  <c r="B13535" i="3"/>
  <c r="A13535" i="3"/>
  <c r="B13534" i="3"/>
  <c r="A13534" i="3"/>
  <c r="B13533" i="3"/>
  <c r="A13533" i="3"/>
  <c r="B13532" i="3"/>
  <c r="A13532" i="3"/>
  <c r="B13531" i="3"/>
  <c r="A13531" i="3"/>
  <c r="B13530" i="3"/>
  <c r="A13530" i="3"/>
  <c r="B13529" i="3"/>
  <c r="A13529" i="3"/>
  <c r="B13528" i="3"/>
  <c r="A13528" i="3"/>
  <c r="B13527" i="3"/>
  <c r="A13527" i="3"/>
  <c r="B13526" i="3"/>
  <c r="A13526" i="3"/>
  <c r="B13525" i="3"/>
  <c r="A13525" i="3"/>
  <c r="B13524" i="3"/>
  <c r="A13524" i="3"/>
  <c r="B13523" i="3"/>
  <c r="A13523" i="3"/>
  <c r="B13522" i="3"/>
  <c r="A13522" i="3"/>
  <c r="B13521" i="3"/>
  <c r="A13521" i="3"/>
  <c r="B13520" i="3"/>
  <c r="A13520" i="3"/>
  <c r="B13519" i="3"/>
  <c r="A13519" i="3"/>
  <c r="B13518" i="3"/>
  <c r="A13518" i="3"/>
  <c r="B13517" i="3"/>
  <c r="A13517" i="3"/>
  <c r="B13516" i="3"/>
  <c r="A13516" i="3"/>
  <c r="B13515" i="3"/>
  <c r="A13515" i="3"/>
  <c r="B13514" i="3"/>
  <c r="A13514" i="3"/>
  <c r="B13513" i="3"/>
  <c r="A13513" i="3"/>
  <c r="B13512" i="3"/>
  <c r="A13512" i="3"/>
  <c r="B13511" i="3"/>
  <c r="A13511" i="3"/>
  <c r="B13510" i="3"/>
  <c r="A13510" i="3"/>
  <c r="B13509" i="3"/>
  <c r="A13509" i="3"/>
  <c r="B13508" i="3"/>
  <c r="A13508" i="3"/>
  <c r="B13507" i="3"/>
  <c r="A13507" i="3"/>
  <c r="B13506" i="3"/>
  <c r="A13506" i="3"/>
  <c r="B13505" i="3"/>
  <c r="A13505" i="3"/>
  <c r="B13504" i="3"/>
  <c r="A13504" i="3"/>
  <c r="B13503" i="3"/>
  <c r="A13503" i="3"/>
  <c r="B13502" i="3"/>
  <c r="A13502" i="3"/>
  <c r="B13501" i="3"/>
  <c r="A13501" i="3"/>
  <c r="B13500" i="3"/>
  <c r="A13500" i="3"/>
  <c r="B13499" i="3"/>
  <c r="A13499" i="3"/>
  <c r="B13498" i="3"/>
  <c r="A13498" i="3"/>
  <c r="B13497" i="3"/>
  <c r="A13497" i="3"/>
  <c r="B13496" i="3"/>
  <c r="A13496" i="3"/>
  <c r="B13495" i="3"/>
  <c r="A13495" i="3"/>
  <c r="B13494" i="3"/>
  <c r="A13494" i="3"/>
  <c r="B13493" i="3"/>
  <c r="A13493" i="3"/>
  <c r="B13492" i="3"/>
  <c r="A13492" i="3"/>
  <c r="B13491" i="3"/>
  <c r="A13491" i="3"/>
  <c r="B13490" i="3"/>
  <c r="A13490" i="3"/>
  <c r="B13489" i="3"/>
  <c r="A13489" i="3"/>
  <c r="B13488" i="3"/>
  <c r="A13488" i="3"/>
  <c r="B13487" i="3"/>
  <c r="A13487" i="3"/>
  <c r="B13486" i="3"/>
  <c r="A13486" i="3"/>
  <c r="B13485" i="3"/>
  <c r="A13485" i="3"/>
  <c r="B13484" i="3"/>
  <c r="A13484" i="3"/>
  <c r="B13483" i="3"/>
  <c r="A13483" i="3"/>
  <c r="B13482" i="3"/>
  <c r="A13482" i="3"/>
  <c r="B13481" i="3"/>
  <c r="A13481" i="3"/>
  <c r="B13480" i="3"/>
  <c r="A13480" i="3"/>
  <c r="B13479" i="3"/>
  <c r="A13479" i="3"/>
  <c r="B13478" i="3"/>
  <c r="A13478" i="3"/>
  <c r="B13477" i="3"/>
  <c r="A13477" i="3"/>
  <c r="B13476" i="3"/>
  <c r="A13476" i="3"/>
  <c r="B13475" i="3"/>
  <c r="A13475" i="3"/>
  <c r="B13474" i="3"/>
  <c r="A13474" i="3"/>
  <c r="B13473" i="3"/>
  <c r="A13473" i="3"/>
  <c r="B13472" i="3"/>
  <c r="A13472" i="3"/>
  <c r="B13471" i="3"/>
  <c r="A13471" i="3"/>
  <c r="B13470" i="3"/>
  <c r="A13470" i="3"/>
  <c r="B13469" i="3"/>
  <c r="A13469" i="3"/>
  <c r="B13468" i="3"/>
  <c r="A13468" i="3"/>
  <c r="B13467" i="3"/>
  <c r="A13467" i="3"/>
  <c r="B13466" i="3"/>
  <c r="A13466" i="3"/>
  <c r="B13465" i="3"/>
  <c r="A13465" i="3"/>
  <c r="B13464" i="3"/>
  <c r="A13464" i="3"/>
  <c r="B13463" i="3"/>
  <c r="A13463" i="3"/>
  <c r="B13462" i="3"/>
  <c r="A13462" i="3"/>
  <c r="B13461" i="3"/>
  <c r="A13461" i="3"/>
  <c r="B13460" i="3"/>
  <c r="A13460" i="3"/>
  <c r="B13459" i="3"/>
  <c r="A13459" i="3"/>
  <c r="B13458" i="3"/>
  <c r="A13458" i="3"/>
  <c r="B13457" i="3"/>
  <c r="A13457" i="3"/>
  <c r="B13456" i="3"/>
  <c r="A13456" i="3"/>
  <c r="B13455" i="3"/>
  <c r="A13455" i="3"/>
  <c r="B13454" i="3"/>
  <c r="A13454" i="3"/>
  <c r="B13453" i="3"/>
  <c r="A13453" i="3"/>
  <c r="B13452" i="3"/>
  <c r="A13452" i="3"/>
  <c r="B13451" i="3"/>
  <c r="A13451" i="3"/>
  <c r="B13450" i="3"/>
  <c r="A13450" i="3"/>
  <c r="B13449" i="3"/>
  <c r="A13449" i="3"/>
  <c r="B13448" i="3"/>
  <c r="A13448" i="3"/>
  <c r="B13447" i="3"/>
  <c r="A13447" i="3"/>
  <c r="B13446" i="3"/>
  <c r="A13446" i="3"/>
  <c r="B13445" i="3"/>
  <c r="A13445" i="3"/>
  <c r="B13444" i="3"/>
  <c r="A13444" i="3"/>
  <c r="B13443" i="3"/>
  <c r="A13443" i="3"/>
  <c r="B13442" i="3"/>
  <c r="A13442" i="3"/>
  <c r="B13441" i="3"/>
  <c r="A13441" i="3"/>
  <c r="B13440" i="3"/>
  <c r="A13440" i="3"/>
  <c r="B13439" i="3"/>
  <c r="A13439" i="3"/>
  <c r="B13438" i="3"/>
  <c r="A13438" i="3"/>
  <c r="B13437" i="3"/>
  <c r="A13437" i="3"/>
  <c r="B13436" i="3"/>
  <c r="A13436" i="3"/>
  <c r="B13435" i="3"/>
  <c r="A13435" i="3"/>
  <c r="B13434" i="3"/>
  <c r="A13434" i="3"/>
  <c r="B13433" i="3"/>
  <c r="A13433" i="3"/>
  <c r="B13432" i="3"/>
  <c r="A13432" i="3"/>
  <c r="B13431" i="3"/>
  <c r="A13431" i="3"/>
  <c r="B13430" i="3"/>
  <c r="A13430" i="3"/>
  <c r="B13429" i="3"/>
  <c r="A13429" i="3"/>
  <c r="B13428" i="3"/>
  <c r="A13428" i="3"/>
  <c r="B13427" i="3"/>
  <c r="A13427" i="3"/>
  <c r="B13426" i="3"/>
  <c r="A13426" i="3"/>
  <c r="B13425" i="3"/>
  <c r="A13425" i="3"/>
  <c r="B13424" i="3"/>
  <c r="A13424" i="3"/>
  <c r="B13423" i="3"/>
  <c r="A13423" i="3"/>
  <c r="B13422" i="3"/>
  <c r="A13422" i="3"/>
  <c r="B13421" i="3"/>
  <c r="A13421" i="3"/>
  <c r="B13420" i="3"/>
  <c r="A13420" i="3"/>
  <c r="B13419" i="3"/>
  <c r="A13419" i="3"/>
  <c r="B13418" i="3"/>
  <c r="A13418" i="3"/>
  <c r="B13417" i="3"/>
  <c r="A13417" i="3"/>
  <c r="B13416" i="3"/>
  <c r="A13416" i="3"/>
  <c r="B13415" i="3"/>
  <c r="B13414" i="3"/>
  <c r="A13414" i="3"/>
  <c r="B13413" i="3"/>
  <c r="A13413" i="3"/>
  <c r="B13412" i="3"/>
  <c r="A13412" i="3"/>
  <c r="B13411" i="3"/>
  <c r="A13411" i="3"/>
  <c r="B13410" i="3"/>
  <c r="A13410" i="3"/>
  <c r="B13409" i="3"/>
  <c r="A13409" i="3"/>
  <c r="B13408" i="3"/>
  <c r="A13408" i="3"/>
  <c r="B13407" i="3"/>
  <c r="A13407" i="3"/>
  <c r="B13406" i="3"/>
  <c r="A13406" i="3"/>
  <c r="B13405" i="3"/>
  <c r="A13405" i="3"/>
  <c r="B13404" i="3"/>
  <c r="A13404" i="3"/>
  <c r="B13403" i="3"/>
  <c r="A13403" i="3"/>
  <c r="B13402" i="3"/>
  <c r="A13402" i="3"/>
  <c r="B13401" i="3"/>
  <c r="A13401" i="3"/>
  <c r="B13400" i="3"/>
  <c r="A13400" i="3"/>
  <c r="B13399" i="3"/>
  <c r="A13399" i="3"/>
  <c r="B13398" i="3"/>
  <c r="A13398" i="3"/>
  <c r="B13397" i="3"/>
  <c r="A13397" i="3"/>
  <c r="B13396" i="3"/>
  <c r="A13396" i="3"/>
  <c r="B13395" i="3"/>
  <c r="A13395" i="3"/>
  <c r="B13394" i="3"/>
  <c r="A13394" i="3"/>
  <c r="B13393" i="3"/>
  <c r="B13392" i="3"/>
  <c r="A13392" i="3"/>
  <c r="B13391" i="3"/>
  <c r="A13391" i="3"/>
  <c r="B13390" i="3"/>
  <c r="A13390" i="3"/>
  <c r="B13389" i="3"/>
  <c r="A13389" i="3"/>
  <c r="B13388" i="3"/>
  <c r="A13388" i="3"/>
  <c r="B13387" i="3"/>
  <c r="A13387" i="3"/>
  <c r="B13386" i="3"/>
  <c r="A13386" i="3"/>
  <c r="B13385" i="3"/>
  <c r="A13385" i="3"/>
  <c r="B13384" i="3"/>
  <c r="A13384" i="3"/>
  <c r="B13383" i="3"/>
  <c r="A13383" i="3"/>
  <c r="B13382" i="3"/>
  <c r="A13382" i="3"/>
  <c r="B13381" i="3"/>
  <c r="A13381" i="3"/>
  <c r="B13380" i="3"/>
  <c r="A13380" i="3"/>
  <c r="B13379" i="3"/>
  <c r="A13379" i="3"/>
  <c r="B13378" i="3"/>
  <c r="A13378" i="3"/>
  <c r="B13377" i="3"/>
  <c r="A13377" i="3"/>
  <c r="B13376" i="3"/>
  <c r="A13376" i="3"/>
  <c r="B13375" i="3"/>
  <c r="A13375" i="3"/>
  <c r="B13374" i="3"/>
  <c r="A13374" i="3"/>
  <c r="B13373" i="3"/>
  <c r="A13373" i="3"/>
  <c r="B13372" i="3"/>
  <c r="A13372" i="3"/>
  <c r="B13371" i="3"/>
  <c r="A13371" i="3"/>
  <c r="B13370" i="3"/>
  <c r="A13370" i="3"/>
  <c r="B13369" i="3"/>
  <c r="A13369" i="3"/>
  <c r="B13368" i="3"/>
  <c r="A13368" i="3"/>
  <c r="B13367" i="3"/>
  <c r="A13367" i="3"/>
  <c r="B13366" i="3"/>
  <c r="A13366" i="3"/>
  <c r="B13365" i="3"/>
  <c r="A13365" i="3"/>
  <c r="B13364" i="3"/>
  <c r="A13364" i="3"/>
  <c r="B13363" i="3"/>
  <c r="A13363" i="3"/>
  <c r="B13362" i="3"/>
  <c r="A13362" i="3"/>
  <c r="B13361" i="3"/>
  <c r="A13361" i="3"/>
  <c r="B13360" i="3"/>
  <c r="A13360" i="3"/>
  <c r="B13359" i="3"/>
  <c r="A13359" i="3"/>
  <c r="B13358" i="3"/>
  <c r="A13358" i="3"/>
  <c r="B13357" i="3"/>
  <c r="A13357" i="3"/>
  <c r="B13356" i="3"/>
  <c r="A13356" i="3"/>
  <c r="B13355" i="3"/>
  <c r="A13355" i="3"/>
  <c r="B13354" i="3"/>
  <c r="A13354" i="3"/>
  <c r="B13353" i="3"/>
  <c r="A13353" i="3"/>
  <c r="B13352" i="3"/>
  <c r="A13352" i="3"/>
  <c r="B13351" i="3"/>
  <c r="A13351" i="3"/>
  <c r="B13350" i="3"/>
  <c r="A13350" i="3"/>
  <c r="B13349" i="3"/>
  <c r="A13349" i="3"/>
  <c r="B13348" i="3"/>
  <c r="A13348" i="3"/>
  <c r="B13347" i="3"/>
  <c r="A13347" i="3"/>
  <c r="B13346" i="3"/>
  <c r="A13346" i="3"/>
  <c r="B13345" i="3"/>
  <c r="A13345" i="3"/>
  <c r="B13344" i="3"/>
  <c r="A13344" i="3"/>
  <c r="B13343" i="3"/>
  <c r="A13343" i="3"/>
  <c r="B13342" i="3"/>
  <c r="A13342" i="3"/>
  <c r="B13341" i="3"/>
  <c r="A13341" i="3"/>
  <c r="B13340" i="3"/>
  <c r="A13340" i="3"/>
  <c r="B13339" i="3"/>
  <c r="A13339" i="3"/>
  <c r="B13338" i="3"/>
  <c r="A13338" i="3"/>
  <c r="B13337" i="3"/>
  <c r="A13337" i="3"/>
  <c r="B13336" i="3"/>
  <c r="A13336" i="3"/>
  <c r="B13335" i="3"/>
  <c r="A13335" i="3"/>
  <c r="B13334" i="3"/>
  <c r="A13334" i="3"/>
  <c r="B13333" i="3"/>
  <c r="A13333" i="3"/>
  <c r="B13332" i="3"/>
  <c r="A13332" i="3"/>
  <c r="B13331" i="3"/>
  <c r="A13331" i="3"/>
  <c r="B13330" i="3"/>
  <c r="A13330" i="3"/>
  <c r="B13329" i="3"/>
  <c r="A13329" i="3"/>
  <c r="B13328" i="3"/>
  <c r="A13328" i="3"/>
  <c r="B13327" i="3"/>
  <c r="A13327" i="3"/>
  <c r="B13326" i="3"/>
  <c r="A13326" i="3"/>
  <c r="B13325" i="3"/>
  <c r="A13325" i="3"/>
  <c r="B13324" i="3"/>
  <c r="A13324" i="3"/>
  <c r="B13323" i="3"/>
  <c r="A13323" i="3"/>
  <c r="B13322" i="3"/>
  <c r="A13322" i="3"/>
  <c r="B13321" i="3"/>
  <c r="A13321" i="3"/>
  <c r="B13320" i="3"/>
  <c r="A13320" i="3"/>
  <c r="B13319" i="3"/>
  <c r="A13319" i="3"/>
  <c r="B13318" i="3"/>
  <c r="A13318" i="3"/>
  <c r="B13317" i="3"/>
  <c r="A13317" i="3"/>
  <c r="B13316" i="3"/>
  <c r="A13316" i="3"/>
  <c r="B13315" i="3"/>
  <c r="A13315" i="3"/>
  <c r="B13314" i="3"/>
  <c r="A13314" i="3"/>
  <c r="B13313" i="3"/>
  <c r="A13313" i="3"/>
  <c r="B13312" i="3"/>
  <c r="A13312" i="3"/>
  <c r="B13311" i="3"/>
  <c r="A13311" i="3"/>
  <c r="B13310" i="3"/>
  <c r="A13310" i="3"/>
  <c r="B13309" i="3"/>
  <c r="A13309" i="3"/>
  <c r="B13308" i="3"/>
  <c r="A13308" i="3"/>
  <c r="B13307" i="3"/>
  <c r="A13307" i="3"/>
  <c r="B13306" i="3"/>
  <c r="A13306" i="3"/>
  <c r="B13305" i="3"/>
  <c r="A13305" i="3"/>
  <c r="B13304" i="3"/>
  <c r="A13304" i="3"/>
  <c r="B13303" i="3"/>
  <c r="A13303" i="3"/>
  <c r="B13302" i="3"/>
  <c r="A13302" i="3"/>
  <c r="B13301" i="3"/>
  <c r="A13301" i="3"/>
  <c r="B13300" i="3"/>
  <c r="A13300" i="3"/>
  <c r="B13299" i="3"/>
  <c r="A13299" i="3"/>
  <c r="B13298" i="3"/>
  <c r="A13298" i="3"/>
  <c r="B13297" i="3"/>
  <c r="A13297" i="3"/>
  <c r="B13296" i="3"/>
  <c r="A13296" i="3"/>
  <c r="B13295" i="3"/>
  <c r="A13295" i="3"/>
  <c r="B13294" i="3"/>
  <c r="A13294" i="3"/>
  <c r="B13293" i="3"/>
  <c r="A13293" i="3"/>
  <c r="B13292" i="3"/>
  <c r="A13292" i="3"/>
  <c r="B13291" i="3"/>
  <c r="A13291" i="3"/>
  <c r="B13290" i="3"/>
  <c r="A13290" i="3"/>
  <c r="B13289" i="3"/>
  <c r="A13289" i="3"/>
  <c r="B13288" i="3"/>
  <c r="A13288" i="3"/>
  <c r="B13287" i="3"/>
  <c r="A13287" i="3"/>
  <c r="B13286" i="3"/>
  <c r="A13286" i="3"/>
  <c r="B13285" i="3"/>
  <c r="A13285" i="3"/>
  <c r="B13284" i="3"/>
  <c r="A13284" i="3"/>
  <c r="B13283" i="3"/>
  <c r="A13283" i="3"/>
  <c r="B13282" i="3"/>
  <c r="A13282" i="3"/>
  <c r="B13281" i="3"/>
  <c r="A13281" i="3"/>
  <c r="B13280" i="3"/>
  <c r="A13280" i="3"/>
  <c r="B13279" i="3"/>
  <c r="A13279" i="3"/>
  <c r="B13278" i="3"/>
  <c r="A13278" i="3"/>
  <c r="B13277" i="3"/>
  <c r="A13277" i="3"/>
  <c r="B13276" i="3"/>
  <c r="A13276" i="3"/>
  <c r="B13275" i="3"/>
  <c r="A13275" i="3"/>
  <c r="B13274" i="3"/>
  <c r="A13274" i="3"/>
  <c r="B13273" i="3"/>
  <c r="A13273" i="3"/>
  <c r="B13272" i="3"/>
  <c r="A13272" i="3"/>
  <c r="B13271" i="3"/>
  <c r="A13271" i="3"/>
  <c r="B13270" i="3"/>
  <c r="A13270" i="3"/>
  <c r="B13269" i="3"/>
  <c r="A13269" i="3"/>
  <c r="B13268" i="3"/>
  <c r="A13268" i="3"/>
  <c r="B13267" i="3"/>
  <c r="A13267" i="3"/>
  <c r="B13266" i="3"/>
  <c r="A13266" i="3"/>
  <c r="B13265" i="3"/>
  <c r="A13265" i="3"/>
  <c r="B13264" i="3"/>
  <c r="A13264" i="3"/>
  <c r="B13263" i="3"/>
  <c r="A13263" i="3"/>
  <c r="B13262" i="3"/>
  <c r="A13262" i="3"/>
  <c r="B13261" i="3"/>
  <c r="A13261" i="3"/>
  <c r="B13260" i="3"/>
  <c r="A13260" i="3"/>
  <c r="B13259" i="3"/>
  <c r="A13259" i="3"/>
  <c r="B13258" i="3"/>
  <c r="A13258" i="3"/>
  <c r="B13257" i="3"/>
  <c r="A13257" i="3"/>
  <c r="B13256" i="3"/>
  <c r="A13256" i="3"/>
  <c r="B13255" i="3"/>
  <c r="A13255" i="3"/>
  <c r="B13254" i="3"/>
  <c r="A13254" i="3"/>
  <c r="B13253" i="3"/>
  <c r="A13253" i="3"/>
  <c r="B13252" i="3"/>
  <c r="A13252" i="3"/>
  <c r="B13251" i="3"/>
  <c r="A13251" i="3"/>
  <c r="B13250" i="3"/>
  <c r="A13250" i="3"/>
  <c r="B13249" i="3"/>
  <c r="A13249" i="3"/>
  <c r="B13248" i="3"/>
  <c r="A13248" i="3"/>
  <c r="B13247" i="3"/>
  <c r="A13247" i="3"/>
  <c r="B13246" i="3"/>
  <c r="A13246" i="3"/>
  <c r="B13245" i="3"/>
  <c r="A13245" i="3"/>
  <c r="B13244" i="3"/>
  <c r="A13244" i="3"/>
  <c r="B13243" i="3"/>
  <c r="A13243" i="3"/>
  <c r="B13242" i="3"/>
  <c r="A13242" i="3"/>
  <c r="B13241" i="3"/>
  <c r="A13241" i="3"/>
  <c r="B13240" i="3"/>
  <c r="A13240" i="3"/>
  <c r="B13239" i="3"/>
  <c r="A13239" i="3"/>
  <c r="B13238" i="3"/>
  <c r="A13238" i="3"/>
  <c r="B13237" i="3"/>
  <c r="A13237" i="3"/>
  <c r="B13236" i="3"/>
  <c r="B13235" i="3"/>
  <c r="A13235" i="3"/>
  <c r="B13234" i="3"/>
  <c r="A13234" i="3"/>
  <c r="B13233" i="3"/>
  <c r="A13233" i="3"/>
  <c r="B13232" i="3"/>
  <c r="A13232" i="3"/>
  <c r="B13231" i="3"/>
  <c r="A13231" i="3"/>
  <c r="B13230" i="3"/>
  <c r="A13230" i="3"/>
  <c r="B13229" i="3"/>
  <c r="A13229" i="3"/>
  <c r="B13228" i="3"/>
  <c r="A13228" i="3"/>
  <c r="B13227" i="3"/>
  <c r="A13227" i="3"/>
  <c r="B13226" i="3"/>
  <c r="A13226" i="3"/>
  <c r="B13225" i="3"/>
  <c r="A13225" i="3"/>
  <c r="B13224" i="3"/>
  <c r="A13224" i="3"/>
  <c r="B13223" i="3"/>
  <c r="A13223" i="3"/>
  <c r="B13222" i="3"/>
  <c r="A13222" i="3"/>
  <c r="B13221" i="3"/>
  <c r="A13221" i="3"/>
  <c r="B13220" i="3"/>
  <c r="A13220" i="3"/>
  <c r="B13219" i="3"/>
  <c r="A13219" i="3"/>
  <c r="B13218" i="3"/>
  <c r="A13218" i="3"/>
  <c r="B13217" i="3"/>
  <c r="A13217" i="3"/>
  <c r="B13216" i="3"/>
  <c r="A13216" i="3"/>
  <c r="B13215" i="3"/>
  <c r="A13215" i="3"/>
  <c r="B13214" i="3"/>
  <c r="A13214" i="3"/>
  <c r="B13213" i="3"/>
  <c r="A13213" i="3"/>
  <c r="B13212" i="3"/>
  <c r="A13212" i="3"/>
  <c r="B13211" i="3"/>
  <c r="A13211" i="3"/>
  <c r="B13210" i="3"/>
  <c r="A13210" i="3"/>
  <c r="B13209" i="3"/>
  <c r="A13209" i="3"/>
  <c r="B13208" i="3"/>
  <c r="A13208" i="3"/>
  <c r="B13207" i="3"/>
  <c r="A13207" i="3"/>
  <c r="B13206" i="3"/>
  <c r="A13206" i="3"/>
  <c r="B13205" i="3"/>
  <c r="A13205" i="3"/>
  <c r="B13204" i="3"/>
  <c r="A13204" i="3"/>
  <c r="B13203" i="3"/>
  <c r="A13203" i="3"/>
  <c r="B13202" i="3"/>
  <c r="A13202" i="3"/>
  <c r="B13201" i="3"/>
  <c r="A13201" i="3"/>
  <c r="B13200" i="3"/>
  <c r="A13200" i="3"/>
  <c r="B13199" i="3"/>
  <c r="A13199" i="3"/>
  <c r="B13198" i="3"/>
  <c r="A13198" i="3"/>
  <c r="B13197" i="3"/>
  <c r="A13197" i="3"/>
  <c r="B13196" i="3"/>
  <c r="A13196" i="3"/>
  <c r="B13195" i="3"/>
  <c r="B13194" i="3"/>
  <c r="A13194" i="3"/>
  <c r="B13193" i="3"/>
  <c r="A13193" i="3"/>
  <c r="B13192" i="3"/>
  <c r="A13192" i="3"/>
  <c r="B13191" i="3"/>
  <c r="A13191" i="3"/>
  <c r="B13190" i="3"/>
  <c r="A13190" i="3"/>
  <c r="B13189" i="3"/>
  <c r="A13189" i="3"/>
  <c r="B13188" i="3"/>
  <c r="A13188" i="3"/>
  <c r="B13187" i="3"/>
  <c r="A13187" i="3"/>
  <c r="B13186" i="3"/>
  <c r="A13186" i="3"/>
  <c r="B13185" i="3"/>
  <c r="A13185" i="3"/>
  <c r="B13184" i="3"/>
  <c r="A13184" i="3"/>
  <c r="B13183" i="3"/>
  <c r="A13183" i="3"/>
  <c r="B13182" i="3"/>
  <c r="A13182" i="3"/>
  <c r="B13181" i="3"/>
  <c r="A13181" i="3"/>
  <c r="B13180" i="3"/>
  <c r="A13180" i="3"/>
  <c r="B13179" i="3"/>
  <c r="A13179" i="3"/>
  <c r="B13178" i="3"/>
  <c r="A13178" i="3"/>
  <c r="B13177" i="3"/>
  <c r="A13177" i="3"/>
  <c r="B13176" i="3"/>
  <c r="A13176" i="3"/>
  <c r="B13175" i="3"/>
  <c r="A13175" i="3"/>
  <c r="B13174" i="3"/>
  <c r="A13174" i="3"/>
  <c r="B13173" i="3"/>
  <c r="A13173" i="3"/>
  <c r="B13172" i="3"/>
  <c r="A13172" i="3"/>
  <c r="B13171" i="3"/>
  <c r="A13171" i="3"/>
  <c r="B13170" i="3"/>
  <c r="A13170" i="3"/>
  <c r="B13169" i="3"/>
  <c r="A13169" i="3"/>
  <c r="B13168" i="3"/>
  <c r="A13168" i="3"/>
  <c r="B13167" i="3"/>
  <c r="A13167" i="3"/>
  <c r="B13166" i="3"/>
  <c r="A13166" i="3"/>
  <c r="B13165" i="3"/>
  <c r="A13165" i="3"/>
  <c r="B13164" i="3"/>
  <c r="A13164" i="3"/>
  <c r="B13163" i="3"/>
  <c r="A13163" i="3"/>
  <c r="B13162" i="3"/>
  <c r="A13162" i="3"/>
  <c r="B13161" i="3"/>
  <c r="A13161" i="3"/>
  <c r="B13160" i="3"/>
  <c r="A13160" i="3"/>
  <c r="B13159" i="3"/>
  <c r="A13159" i="3"/>
  <c r="B13158" i="3"/>
  <c r="A13158" i="3"/>
  <c r="B13157" i="3"/>
  <c r="A13157" i="3"/>
  <c r="B13156" i="3"/>
  <c r="A13156" i="3"/>
  <c r="B13155" i="3"/>
  <c r="A13155" i="3"/>
  <c r="B13154" i="3"/>
  <c r="A13154" i="3"/>
  <c r="B13153" i="3"/>
  <c r="A13153" i="3"/>
  <c r="B13152" i="3"/>
  <c r="A13152" i="3"/>
  <c r="B13151" i="3"/>
  <c r="A13151" i="3"/>
  <c r="B13150" i="3"/>
  <c r="A13150" i="3"/>
  <c r="B13149" i="3"/>
  <c r="A13149" i="3"/>
  <c r="B13148" i="3"/>
  <c r="A13148" i="3"/>
  <c r="B13147" i="3"/>
  <c r="A13147" i="3"/>
  <c r="B13146" i="3"/>
  <c r="A13146" i="3"/>
  <c r="B13145" i="3"/>
  <c r="A13145" i="3"/>
  <c r="B13144" i="3"/>
  <c r="A13144" i="3"/>
  <c r="B13143" i="3"/>
  <c r="A13143" i="3"/>
  <c r="B13142" i="3"/>
  <c r="A13142" i="3"/>
  <c r="B13141" i="3"/>
  <c r="A13141" i="3"/>
  <c r="B13140" i="3"/>
  <c r="A13140" i="3"/>
  <c r="B13139" i="3"/>
  <c r="A13139" i="3"/>
  <c r="B13138" i="3"/>
  <c r="A13138" i="3"/>
  <c r="B13137" i="3"/>
  <c r="A13137" i="3"/>
  <c r="B13136" i="3"/>
  <c r="A13136" i="3"/>
  <c r="B13135" i="3"/>
  <c r="A13135" i="3"/>
  <c r="B13134" i="3"/>
  <c r="A13134" i="3"/>
  <c r="B13133" i="3"/>
  <c r="A13133" i="3"/>
  <c r="B13132" i="3"/>
  <c r="A13132" i="3"/>
  <c r="B13131" i="3"/>
  <c r="A13131" i="3"/>
  <c r="B13130" i="3"/>
  <c r="A13130" i="3"/>
  <c r="B13129" i="3"/>
  <c r="A13129" i="3"/>
  <c r="B13128" i="3"/>
  <c r="A13128" i="3"/>
  <c r="B13127" i="3"/>
  <c r="A13127" i="3"/>
  <c r="B13126" i="3"/>
  <c r="A13126" i="3"/>
  <c r="B13125" i="3"/>
  <c r="A13125" i="3"/>
  <c r="B13124" i="3"/>
  <c r="A13124" i="3"/>
  <c r="B13123" i="3"/>
  <c r="A13123" i="3"/>
  <c r="B13122" i="3"/>
  <c r="A13122" i="3"/>
  <c r="B13121" i="3"/>
  <c r="A13121" i="3"/>
  <c r="B13120" i="3"/>
  <c r="A13120" i="3"/>
  <c r="B13119" i="3"/>
  <c r="A13119" i="3"/>
  <c r="B13118" i="3"/>
  <c r="A13118" i="3"/>
  <c r="B13117" i="3"/>
  <c r="A13117" i="3"/>
  <c r="B13116" i="3"/>
  <c r="A13116" i="3"/>
  <c r="B13115" i="3"/>
  <c r="A13115" i="3"/>
  <c r="B13114" i="3"/>
  <c r="A13114" i="3"/>
  <c r="B13113" i="3"/>
  <c r="A13113" i="3"/>
  <c r="B13112" i="3"/>
  <c r="A13112" i="3"/>
  <c r="B13111" i="3"/>
  <c r="A13111" i="3"/>
  <c r="B13110" i="3"/>
  <c r="A13110" i="3"/>
  <c r="B13109" i="3"/>
  <c r="A13109" i="3"/>
  <c r="B13108" i="3"/>
  <c r="A13108" i="3"/>
  <c r="B13107" i="3"/>
  <c r="A13107" i="3"/>
  <c r="B13106" i="3"/>
  <c r="A13106" i="3"/>
  <c r="B13105" i="3"/>
  <c r="A13105" i="3"/>
  <c r="B13104" i="3"/>
  <c r="A13104" i="3"/>
  <c r="B13103" i="3"/>
  <c r="B13102" i="3"/>
  <c r="A13102" i="3"/>
  <c r="B13101" i="3"/>
  <c r="A13101" i="3"/>
  <c r="B13100" i="3"/>
  <c r="A13100" i="3"/>
  <c r="B13099" i="3"/>
  <c r="A13099" i="3"/>
  <c r="B13098" i="3"/>
  <c r="A13098" i="3"/>
  <c r="B13097" i="3"/>
  <c r="A13097" i="3"/>
  <c r="B13096" i="3"/>
  <c r="A13096" i="3"/>
  <c r="B13095" i="3"/>
  <c r="A13095" i="3"/>
  <c r="B13094" i="3"/>
  <c r="A13094" i="3"/>
  <c r="B13093" i="3"/>
  <c r="A13093" i="3"/>
  <c r="B13092" i="3"/>
  <c r="A13092" i="3"/>
  <c r="B13091" i="3"/>
  <c r="A13091" i="3"/>
  <c r="B13090" i="3"/>
  <c r="A13090" i="3"/>
  <c r="B13089" i="3"/>
  <c r="A13089" i="3"/>
  <c r="B13088" i="3"/>
  <c r="A13088" i="3"/>
  <c r="B13087" i="3"/>
  <c r="A13087" i="3"/>
  <c r="B13086" i="3"/>
  <c r="A13086" i="3"/>
  <c r="B13085" i="3"/>
  <c r="A13085" i="3"/>
  <c r="B13084" i="3"/>
  <c r="A13084" i="3"/>
  <c r="B13083" i="3"/>
  <c r="A13083" i="3"/>
  <c r="B13082" i="3"/>
  <c r="A13082" i="3"/>
  <c r="B13081" i="3"/>
  <c r="A13081" i="3"/>
  <c r="B13080" i="3"/>
  <c r="A13080" i="3"/>
  <c r="B13079" i="3"/>
  <c r="A13079" i="3"/>
  <c r="B13078" i="3"/>
  <c r="A13078" i="3"/>
  <c r="B13077" i="3"/>
  <c r="A13077" i="3"/>
  <c r="B13076" i="3"/>
  <c r="A13076" i="3"/>
  <c r="B13075" i="3"/>
  <c r="A13075" i="3"/>
  <c r="B13074" i="3"/>
  <c r="A13074" i="3"/>
  <c r="B13073" i="3"/>
  <c r="A13073" i="3"/>
  <c r="B13072" i="3"/>
  <c r="A13072" i="3"/>
  <c r="B13071" i="3"/>
  <c r="A13071" i="3"/>
  <c r="B13070" i="3"/>
  <c r="A13070" i="3"/>
  <c r="B13069" i="3"/>
  <c r="A13069" i="3"/>
  <c r="B13068" i="3"/>
  <c r="A13068" i="3"/>
  <c r="B13067" i="3"/>
  <c r="A13067" i="3"/>
  <c r="B13066" i="3"/>
  <c r="A13066" i="3"/>
  <c r="B13065" i="3"/>
  <c r="A13065" i="3"/>
  <c r="B13064" i="3"/>
  <c r="A13064" i="3"/>
  <c r="B13063" i="3"/>
  <c r="A13063" i="3"/>
  <c r="B13062" i="3"/>
  <c r="A13062" i="3"/>
  <c r="B13061" i="3"/>
  <c r="A13061" i="3"/>
  <c r="B13060" i="3"/>
  <c r="A13060" i="3"/>
  <c r="B13059" i="3"/>
  <c r="A13059" i="3"/>
  <c r="B13058" i="3"/>
  <c r="A13058" i="3"/>
  <c r="B13057" i="3"/>
  <c r="A13057" i="3"/>
  <c r="B13056" i="3"/>
  <c r="A13056" i="3"/>
  <c r="B13055" i="3"/>
  <c r="A13055" i="3"/>
  <c r="B13054" i="3"/>
  <c r="A13054" i="3"/>
  <c r="B13053" i="3"/>
  <c r="A13053" i="3"/>
  <c r="B13052" i="3"/>
  <c r="A13052" i="3"/>
  <c r="B13051" i="3"/>
  <c r="A13051" i="3"/>
  <c r="B13050" i="3"/>
  <c r="A13050" i="3"/>
  <c r="B13049" i="3"/>
  <c r="A13049" i="3"/>
  <c r="B13048" i="3"/>
  <c r="A13048" i="3"/>
  <c r="B13047" i="3"/>
  <c r="A13047" i="3"/>
  <c r="B13046" i="3"/>
  <c r="A13046" i="3"/>
  <c r="B13045" i="3"/>
  <c r="A13045" i="3"/>
  <c r="B13044" i="3"/>
  <c r="A13044" i="3"/>
  <c r="B13043" i="3"/>
  <c r="A13043" i="3"/>
  <c r="B13042" i="3"/>
  <c r="A13042" i="3"/>
  <c r="B13041" i="3"/>
  <c r="A13041" i="3"/>
  <c r="B13040" i="3"/>
  <c r="A13040" i="3"/>
  <c r="B13039" i="3"/>
  <c r="A13039" i="3"/>
  <c r="B13038" i="3"/>
  <c r="A13038" i="3"/>
  <c r="B13037" i="3"/>
  <c r="A13037" i="3"/>
  <c r="B13036" i="3"/>
  <c r="A13036" i="3"/>
  <c r="B13035" i="3"/>
  <c r="A13035" i="3"/>
  <c r="B13034" i="3"/>
  <c r="A13034" i="3"/>
  <c r="B13033" i="3"/>
  <c r="A13033" i="3"/>
  <c r="B13032" i="3"/>
  <c r="A13032" i="3"/>
  <c r="B13031" i="3"/>
  <c r="A13031" i="3"/>
  <c r="B13030" i="3"/>
  <c r="A13030" i="3"/>
  <c r="B13029" i="3"/>
  <c r="A13029" i="3"/>
  <c r="B13028" i="3"/>
  <c r="A13028" i="3"/>
  <c r="B13027" i="3"/>
  <c r="A13027" i="3"/>
  <c r="B13026" i="3"/>
  <c r="A13026" i="3"/>
  <c r="B13025" i="3"/>
  <c r="A13025" i="3"/>
  <c r="B13024" i="3"/>
  <c r="A13024" i="3"/>
  <c r="B13023" i="3"/>
  <c r="A13023" i="3"/>
  <c r="B13022" i="3"/>
  <c r="A13022" i="3"/>
  <c r="B13021" i="3"/>
  <c r="A13021" i="3"/>
  <c r="B13020" i="3"/>
  <c r="A13020" i="3"/>
  <c r="B13019" i="3"/>
  <c r="A13019" i="3"/>
  <c r="B13018" i="3"/>
  <c r="A13018" i="3"/>
  <c r="B13017" i="3"/>
  <c r="A13017" i="3"/>
  <c r="B13016" i="3"/>
  <c r="A13016" i="3"/>
  <c r="B13015" i="3"/>
  <c r="A13015" i="3"/>
  <c r="B13014" i="3"/>
  <c r="A13014" i="3"/>
  <c r="B13013" i="3"/>
  <c r="A13013" i="3"/>
  <c r="B13012" i="3"/>
  <c r="A13012" i="3"/>
  <c r="B13011" i="3"/>
  <c r="A13011" i="3"/>
  <c r="B13010" i="3"/>
  <c r="A13010" i="3"/>
  <c r="B13009" i="3"/>
  <c r="A13009" i="3"/>
  <c r="B13008" i="3"/>
  <c r="A13008" i="3"/>
  <c r="B13007" i="3"/>
  <c r="A13007" i="3"/>
  <c r="B13006" i="3"/>
  <c r="A13006" i="3"/>
  <c r="B13005" i="3"/>
  <c r="A13005" i="3"/>
  <c r="B13004" i="3"/>
  <c r="A13004" i="3"/>
  <c r="B13003" i="3"/>
  <c r="A13003" i="3"/>
  <c r="B13002" i="3"/>
  <c r="A13002" i="3"/>
  <c r="B13001" i="3"/>
  <c r="A13001" i="3"/>
  <c r="B13000" i="3"/>
  <c r="A13000" i="3"/>
  <c r="B12999" i="3"/>
  <c r="A12999" i="3"/>
  <c r="B12998" i="3"/>
  <c r="A12998" i="3"/>
  <c r="B12997" i="3"/>
  <c r="A12997" i="3"/>
  <c r="B12996" i="3"/>
  <c r="A12996" i="3"/>
  <c r="B12995" i="3"/>
  <c r="A12995" i="3"/>
  <c r="B12994" i="3"/>
  <c r="A12994" i="3"/>
  <c r="B12993" i="3"/>
  <c r="A12993" i="3"/>
  <c r="B12992" i="3"/>
  <c r="A12992" i="3"/>
  <c r="B12991" i="3"/>
  <c r="A12991" i="3"/>
  <c r="B12990" i="3"/>
  <c r="A12990" i="3"/>
  <c r="B12989" i="3"/>
  <c r="A12989" i="3"/>
  <c r="B12988" i="3"/>
  <c r="A12988" i="3"/>
  <c r="B12987" i="3"/>
  <c r="A12987" i="3"/>
  <c r="B12986" i="3"/>
  <c r="A12986" i="3"/>
  <c r="B12985" i="3"/>
  <c r="A12985" i="3"/>
  <c r="B12984" i="3"/>
  <c r="A12984" i="3"/>
  <c r="B12983" i="3"/>
  <c r="A12983" i="3"/>
  <c r="B12982" i="3"/>
  <c r="A12982" i="3"/>
  <c r="B12981" i="3"/>
  <c r="A12981" i="3"/>
  <c r="B12980" i="3"/>
  <c r="A12980" i="3"/>
  <c r="B12979" i="3"/>
  <c r="A12979" i="3"/>
  <c r="B12978" i="3"/>
  <c r="A12978" i="3"/>
  <c r="B12977" i="3"/>
  <c r="A12977" i="3"/>
  <c r="B12976" i="3"/>
  <c r="A12976" i="3"/>
  <c r="B12975" i="3"/>
  <c r="A12975" i="3"/>
  <c r="B12974" i="3"/>
  <c r="A12974" i="3"/>
  <c r="B12973" i="3"/>
  <c r="A12973" i="3"/>
  <c r="B12972" i="3"/>
  <c r="A12972" i="3"/>
  <c r="B12971" i="3"/>
  <c r="A12971" i="3"/>
  <c r="B12970" i="3"/>
  <c r="A12970" i="3"/>
  <c r="B12969" i="3"/>
  <c r="A12969" i="3"/>
  <c r="B12968" i="3"/>
  <c r="A12968" i="3"/>
  <c r="B12967" i="3"/>
  <c r="A12967" i="3"/>
  <c r="B12966" i="3"/>
  <c r="A12966" i="3"/>
  <c r="B12965" i="3"/>
  <c r="A12965" i="3"/>
  <c r="B12964" i="3"/>
  <c r="A12964" i="3"/>
  <c r="B12963" i="3"/>
  <c r="A12963" i="3"/>
  <c r="B12962" i="3"/>
  <c r="A12962" i="3"/>
  <c r="B12961" i="3"/>
  <c r="A12961" i="3"/>
  <c r="B12960" i="3"/>
  <c r="A12960" i="3"/>
  <c r="B12959" i="3"/>
  <c r="A12959" i="3"/>
  <c r="B12958" i="3"/>
  <c r="A12958" i="3"/>
  <c r="B12957" i="3"/>
  <c r="A12957" i="3"/>
  <c r="B12956" i="3"/>
  <c r="A12956" i="3"/>
  <c r="B12955" i="3"/>
  <c r="A12955" i="3"/>
  <c r="B12954" i="3"/>
  <c r="A12954" i="3"/>
  <c r="B12953" i="3"/>
  <c r="A12953" i="3"/>
  <c r="B12952" i="3"/>
  <c r="A12952" i="3"/>
  <c r="B12951" i="3"/>
  <c r="A12951" i="3"/>
  <c r="B12950" i="3"/>
  <c r="A12950" i="3"/>
  <c r="B12949" i="3"/>
  <c r="A12949" i="3"/>
  <c r="B12948" i="3"/>
  <c r="A12948" i="3"/>
  <c r="B12947" i="3"/>
  <c r="A12947" i="3"/>
  <c r="B12946" i="3"/>
  <c r="A12946" i="3"/>
  <c r="B12945" i="3"/>
  <c r="A12945" i="3"/>
  <c r="B12944" i="3"/>
  <c r="A12944" i="3"/>
  <c r="B12943" i="3"/>
  <c r="A12943" i="3"/>
  <c r="B12942" i="3"/>
  <c r="A12942" i="3"/>
  <c r="B12941" i="3"/>
  <c r="A12941" i="3"/>
  <c r="B12940" i="3"/>
  <c r="A12940" i="3"/>
  <c r="B12939" i="3"/>
  <c r="A12939" i="3"/>
  <c r="B12938" i="3"/>
  <c r="A12938" i="3"/>
  <c r="B12937" i="3"/>
  <c r="A12937" i="3"/>
  <c r="B12936" i="3"/>
  <c r="A12936" i="3"/>
  <c r="B12935" i="3"/>
  <c r="A12935" i="3"/>
  <c r="B12934" i="3"/>
  <c r="A12934" i="3"/>
  <c r="B12933" i="3"/>
  <c r="A12933" i="3"/>
  <c r="B12932" i="3"/>
  <c r="A12932" i="3"/>
  <c r="B12931" i="3"/>
  <c r="A12931" i="3"/>
  <c r="B12930" i="3"/>
  <c r="A12930" i="3"/>
  <c r="B12929" i="3"/>
  <c r="A12929" i="3"/>
  <c r="B12928" i="3"/>
  <c r="A12928" i="3"/>
  <c r="B12927" i="3"/>
  <c r="A12927" i="3"/>
  <c r="B12926" i="3"/>
  <c r="A12926" i="3"/>
  <c r="B12925" i="3"/>
  <c r="A12925" i="3"/>
  <c r="B12924" i="3"/>
  <c r="A12924" i="3"/>
  <c r="B12923" i="3"/>
  <c r="A12923" i="3"/>
  <c r="B12922" i="3"/>
  <c r="B12921" i="3"/>
  <c r="A12921" i="3"/>
  <c r="B12920" i="3"/>
  <c r="A12920" i="3"/>
  <c r="B12919" i="3"/>
  <c r="A12919" i="3"/>
  <c r="B12918" i="3"/>
  <c r="A12918" i="3"/>
  <c r="B12917" i="3"/>
  <c r="A12917" i="3"/>
  <c r="B12916" i="3"/>
  <c r="A12916" i="3"/>
  <c r="B12915" i="3"/>
  <c r="A12915" i="3"/>
  <c r="B12914" i="3"/>
  <c r="A12914" i="3"/>
  <c r="B12913" i="3"/>
  <c r="A12913" i="3"/>
  <c r="B12912" i="3"/>
  <c r="A12912" i="3"/>
  <c r="B12911" i="3"/>
  <c r="A12911" i="3"/>
  <c r="B12910" i="3"/>
  <c r="A12910" i="3"/>
  <c r="B12909" i="3"/>
  <c r="A12909" i="3"/>
  <c r="B12908" i="3"/>
  <c r="A12908" i="3"/>
  <c r="B12907" i="3"/>
  <c r="A12907" i="3"/>
  <c r="B12906" i="3"/>
  <c r="A12906" i="3"/>
  <c r="B12905" i="3"/>
  <c r="A12905" i="3"/>
  <c r="B12904" i="3"/>
  <c r="A12904" i="3"/>
  <c r="B12903" i="3"/>
  <c r="A12903" i="3"/>
  <c r="B12902" i="3"/>
  <c r="A12902" i="3"/>
  <c r="B12901" i="3"/>
  <c r="A12901" i="3"/>
  <c r="B12900" i="3"/>
  <c r="A12900" i="3"/>
  <c r="B12899" i="3"/>
  <c r="A12899" i="3"/>
  <c r="B12898" i="3"/>
  <c r="A12898" i="3"/>
  <c r="B12897" i="3"/>
  <c r="A12897" i="3"/>
  <c r="B12896" i="3"/>
  <c r="A12896" i="3"/>
  <c r="B12895" i="3"/>
  <c r="A12895" i="3"/>
  <c r="B12894" i="3"/>
  <c r="A12894" i="3"/>
  <c r="B12893" i="3"/>
  <c r="A12893" i="3"/>
  <c r="B12892" i="3"/>
  <c r="B12891" i="3"/>
  <c r="A12891" i="3"/>
  <c r="B12890" i="3"/>
  <c r="B12889" i="3"/>
  <c r="A12889" i="3"/>
  <c r="B12888" i="3"/>
  <c r="A12888" i="3"/>
  <c r="B12887" i="3"/>
  <c r="A12887" i="3"/>
  <c r="B12886" i="3"/>
  <c r="A12886" i="3"/>
  <c r="B12885" i="3"/>
  <c r="A12885" i="3"/>
  <c r="B12884" i="3"/>
  <c r="A12884" i="3"/>
  <c r="B12883" i="3"/>
  <c r="A12883" i="3"/>
  <c r="B12882" i="3"/>
  <c r="A12882" i="3"/>
  <c r="B12881" i="3"/>
  <c r="A12881" i="3"/>
  <c r="B12880" i="3"/>
  <c r="A12880" i="3"/>
  <c r="B12879" i="3"/>
  <c r="A12879" i="3"/>
  <c r="B12878" i="3"/>
  <c r="A12878" i="3"/>
  <c r="B12877" i="3"/>
  <c r="A12877" i="3"/>
  <c r="B12876" i="3"/>
  <c r="A12876" i="3"/>
  <c r="B12875" i="3"/>
  <c r="A12875" i="3"/>
  <c r="B12874" i="3"/>
  <c r="A12874" i="3"/>
  <c r="B12873" i="3"/>
  <c r="A12873" i="3"/>
  <c r="B12872" i="3"/>
  <c r="A12872" i="3"/>
  <c r="B12871" i="3"/>
  <c r="A12871" i="3"/>
  <c r="B12870" i="3"/>
  <c r="A12870" i="3"/>
  <c r="B12869" i="3"/>
  <c r="A12869" i="3"/>
  <c r="B12868" i="3"/>
  <c r="A12868" i="3"/>
  <c r="B12867" i="3"/>
  <c r="A12867" i="3"/>
  <c r="B12866" i="3"/>
  <c r="A12866" i="3"/>
  <c r="B12865" i="3"/>
  <c r="A12865" i="3"/>
  <c r="B12864" i="3"/>
  <c r="A12864" i="3"/>
  <c r="B12863" i="3"/>
  <c r="A12863" i="3"/>
  <c r="B12862" i="3"/>
  <c r="A12862" i="3"/>
  <c r="B12861" i="3"/>
  <c r="A12861" i="3"/>
  <c r="B12860" i="3"/>
  <c r="A12860" i="3"/>
  <c r="B12859" i="3"/>
  <c r="A12859" i="3"/>
  <c r="B12858" i="3"/>
  <c r="A12858" i="3"/>
  <c r="B12857" i="3"/>
  <c r="A12857" i="3"/>
  <c r="B12856" i="3"/>
  <c r="A12856" i="3"/>
  <c r="B12855" i="3"/>
  <c r="A12855" i="3"/>
  <c r="B12854" i="3"/>
  <c r="A12854" i="3"/>
  <c r="B12853" i="3"/>
  <c r="A12853" i="3"/>
  <c r="B12852" i="3"/>
  <c r="A12852" i="3"/>
  <c r="B12851" i="3"/>
  <c r="A12851" i="3"/>
  <c r="B12850" i="3"/>
  <c r="A12850" i="3"/>
  <c r="B12849" i="3"/>
  <c r="A12849" i="3"/>
  <c r="B12848" i="3"/>
  <c r="A12848" i="3"/>
  <c r="B12847" i="3"/>
  <c r="A12847" i="3"/>
  <c r="B12846" i="3"/>
  <c r="A12846" i="3"/>
  <c r="B12845" i="3"/>
  <c r="A12845" i="3"/>
  <c r="B12844" i="3"/>
  <c r="A12844" i="3"/>
  <c r="B12843" i="3"/>
  <c r="A12843" i="3"/>
  <c r="B12842" i="3"/>
  <c r="A12842" i="3"/>
  <c r="B12841" i="3"/>
  <c r="A12841" i="3"/>
  <c r="B12840" i="3"/>
  <c r="A12840" i="3"/>
  <c r="B12839" i="3"/>
  <c r="A12839" i="3"/>
  <c r="B12838" i="3"/>
  <c r="A12838" i="3"/>
  <c r="B12837" i="3"/>
  <c r="A12837" i="3"/>
  <c r="B12836" i="3"/>
  <c r="A12836" i="3"/>
  <c r="B12835" i="3"/>
  <c r="A12835" i="3"/>
  <c r="B12834" i="3"/>
  <c r="A12834" i="3"/>
  <c r="B12833" i="3"/>
  <c r="A12833" i="3"/>
  <c r="B12832" i="3"/>
  <c r="A12832" i="3"/>
  <c r="B12831" i="3"/>
  <c r="A12831" i="3"/>
  <c r="B12830" i="3"/>
  <c r="A12830" i="3"/>
  <c r="B12829" i="3"/>
  <c r="A12829" i="3"/>
  <c r="B12828" i="3"/>
  <c r="A12828" i="3"/>
  <c r="B12827" i="3"/>
  <c r="A12827" i="3"/>
  <c r="B12826" i="3"/>
  <c r="A12826" i="3"/>
  <c r="B12825" i="3"/>
  <c r="A12825" i="3"/>
  <c r="B12824" i="3"/>
  <c r="A12824" i="3"/>
  <c r="B12823" i="3"/>
  <c r="A12823" i="3"/>
  <c r="B12822" i="3"/>
  <c r="A12822" i="3"/>
  <c r="B12821" i="3"/>
  <c r="A12821" i="3"/>
  <c r="B12820" i="3"/>
  <c r="A12820" i="3"/>
  <c r="B12819" i="3"/>
  <c r="A12819" i="3"/>
  <c r="B12818" i="3"/>
  <c r="A12818" i="3"/>
  <c r="B12817" i="3"/>
  <c r="A12817" i="3"/>
  <c r="B12816" i="3"/>
  <c r="A12816" i="3"/>
  <c r="B12815" i="3"/>
  <c r="A12815" i="3"/>
  <c r="B12814" i="3"/>
  <c r="A12814" i="3"/>
  <c r="B12813" i="3"/>
  <c r="A12813" i="3"/>
  <c r="B12812" i="3"/>
  <c r="A12812" i="3"/>
  <c r="B12811" i="3"/>
  <c r="A12811" i="3"/>
  <c r="B12810" i="3"/>
  <c r="A12810" i="3"/>
  <c r="B12809" i="3"/>
  <c r="A12809" i="3"/>
  <c r="B12808" i="3"/>
  <c r="A12808" i="3"/>
  <c r="B12807" i="3"/>
  <c r="A12807" i="3"/>
  <c r="B12806" i="3"/>
  <c r="A12806" i="3"/>
  <c r="B12805" i="3"/>
  <c r="A12805" i="3"/>
  <c r="B12804" i="3"/>
  <c r="A12804" i="3"/>
  <c r="B12803" i="3"/>
  <c r="A12803" i="3"/>
  <c r="B12802" i="3"/>
  <c r="A12802" i="3"/>
  <c r="B12801" i="3"/>
  <c r="A12801" i="3"/>
  <c r="B12800" i="3"/>
  <c r="A12800" i="3"/>
  <c r="B12799" i="3"/>
  <c r="A12799" i="3"/>
  <c r="B12798" i="3"/>
  <c r="A12798" i="3"/>
  <c r="B12797" i="3"/>
  <c r="A12797" i="3"/>
  <c r="B12796" i="3"/>
  <c r="A12796" i="3"/>
  <c r="B12795" i="3"/>
  <c r="A12795" i="3"/>
  <c r="B12794" i="3"/>
  <c r="A12794" i="3"/>
  <c r="B12793" i="3"/>
  <c r="A12793" i="3"/>
  <c r="B12792" i="3"/>
  <c r="A12792" i="3"/>
  <c r="B12791" i="3"/>
  <c r="A12791" i="3"/>
  <c r="B12790" i="3"/>
  <c r="A12790" i="3"/>
  <c r="B12789" i="3"/>
  <c r="A12789" i="3"/>
  <c r="B12788" i="3"/>
  <c r="A12788" i="3"/>
  <c r="B12787" i="3"/>
  <c r="B12786" i="3"/>
  <c r="A12786" i="3"/>
  <c r="B12785" i="3"/>
  <c r="A12785" i="3"/>
  <c r="B12784" i="3"/>
  <c r="A12784" i="3"/>
  <c r="B12783" i="3"/>
  <c r="A12783" i="3"/>
  <c r="B12782" i="3"/>
  <c r="A12782" i="3"/>
  <c r="B12781" i="3"/>
  <c r="A12781" i="3"/>
  <c r="B12780" i="3"/>
  <c r="A12780" i="3"/>
  <c r="B12779" i="3"/>
  <c r="A12779" i="3"/>
  <c r="B12778" i="3"/>
  <c r="A12778" i="3"/>
  <c r="B12777" i="3"/>
  <c r="A12777" i="3"/>
  <c r="B12776" i="3"/>
  <c r="A12776" i="3"/>
  <c r="B12775" i="3"/>
  <c r="A12775" i="3"/>
  <c r="B12774" i="3"/>
  <c r="A12774" i="3"/>
  <c r="B12773" i="3"/>
  <c r="A12773" i="3"/>
  <c r="B12772" i="3"/>
  <c r="A12772" i="3"/>
  <c r="B12771" i="3"/>
  <c r="A12771" i="3"/>
  <c r="B12770" i="3"/>
  <c r="A12770" i="3"/>
  <c r="B12769" i="3"/>
  <c r="A12769" i="3"/>
  <c r="B12768" i="3"/>
  <c r="A12768" i="3"/>
  <c r="B12767" i="3"/>
  <c r="A12767" i="3"/>
  <c r="B12766" i="3"/>
  <c r="A12766" i="3"/>
  <c r="B12765" i="3"/>
  <c r="A12765" i="3"/>
  <c r="B12764" i="3"/>
  <c r="A12764" i="3"/>
  <c r="B12763" i="3"/>
  <c r="A12763" i="3"/>
  <c r="B12762" i="3"/>
  <c r="A12762" i="3"/>
  <c r="B12761" i="3"/>
  <c r="A12761" i="3"/>
  <c r="B12760" i="3"/>
  <c r="A12760" i="3"/>
  <c r="B12759" i="3"/>
  <c r="A12759" i="3"/>
  <c r="B12758" i="3"/>
  <c r="A12758" i="3"/>
  <c r="B12757" i="3"/>
  <c r="A12757" i="3"/>
  <c r="B12756" i="3"/>
  <c r="A12756" i="3"/>
  <c r="B12755" i="3"/>
  <c r="A12755" i="3"/>
  <c r="B12754" i="3"/>
  <c r="A12754" i="3"/>
  <c r="B12753" i="3"/>
  <c r="A12753" i="3"/>
  <c r="B12752" i="3"/>
  <c r="A12752" i="3"/>
  <c r="B12751" i="3"/>
  <c r="A12751" i="3"/>
  <c r="B12750" i="3"/>
  <c r="A12750" i="3"/>
  <c r="B12749" i="3"/>
  <c r="A12749" i="3"/>
  <c r="B12748" i="3"/>
  <c r="A12748" i="3"/>
  <c r="B12747" i="3"/>
  <c r="A12747" i="3"/>
  <c r="B12746" i="3"/>
  <c r="A12746" i="3"/>
  <c r="B12745" i="3"/>
  <c r="A12745" i="3"/>
  <c r="B12744" i="3"/>
  <c r="A12744" i="3"/>
  <c r="B12743" i="3"/>
  <c r="A12743" i="3"/>
  <c r="B12742" i="3"/>
  <c r="A12742" i="3"/>
  <c r="B12741" i="3"/>
  <c r="A12741" i="3"/>
  <c r="B12740" i="3"/>
  <c r="A12740" i="3"/>
  <c r="B12739" i="3"/>
  <c r="A12739" i="3"/>
  <c r="B12738" i="3"/>
  <c r="A12738" i="3"/>
  <c r="B12737" i="3"/>
  <c r="A12737" i="3"/>
  <c r="B12736" i="3"/>
  <c r="A12736" i="3"/>
  <c r="B12735" i="3"/>
  <c r="A12735" i="3"/>
  <c r="B12734" i="3"/>
  <c r="A12734" i="3"/>
  <c r="B12733" i="3"/>
  <c r="A12733" i="3"/>
  <c r="B12732" i="3"/>
  <c r="A12732" i="3"/>
  <c r="B12731" i="3"/>
  <c r="A12731" i="3"/>
  <c r="B12730" i="3"/>
  <c r="A12730" i="3"/>
  <c r="B12729" i="3"/>
  <c r="A12729" i="3"/>
  <c r="B12728" i="3"/>
  <c r="A12728" i="3"/>
  <c r="B12727" i="3"/>
  <c r="A12727" i="3"/>
  <c r="B12726" i="3"/>
  <c r="A12726" i="3"/>
  <c r="B12725" i="3"/>
  <c r="A12725" i="3"/>
  <c r="B12724" i="3"/>
  <c r="A12724" i="3"/>
  <c r="B12723" i="3"/>
  <c r="A12723" i="3"/>
  <c r="B12722" i="3"/>
  <c r="A12722" i="3"/>
  <c r="B12721" i="3"/>
  <c r="A12721" i="3"/>
  <c r="B12720" i="3"/>
  <c r="A12720" i="3"/>
  <c r="B12719" i="3"/>
  <c r="A12719" i="3"/>
  <c r="B12718" i="3"/>
  <c r="A12718" i="3"/>
  <c r="B12717" i="3"/>
  <c r="A12717" i="3"/>
  <c r="B12716" i="3"/>
  <c r="A12716" i="3"/>
  <c r="B12715" i="3"/>
  <c r="A12715" i="3"/>
  <c r="B12714" i="3"/>
  <c r="A12714" i="3"/>
  <c r="B12713" i="3"/>
  <c r="A12713" i="3"/>
  <c r="B12712" i="3"/>
  <c r="A12712" i="3"/>
  <c r="B12711" i="3"/>
  <c r="A12711" i="3"/>
  <c r="B12710" i="3"/>
  <c r="A12710" i="3"/>
  <c r="B12709" i="3"/>
  <c r="A12709" i="3"/>
  <c r="B12708" i="3"/>
  <c r="A12708" i="3"/>
  <c r="B12707" i="3"/>
  <c r="A12707" i="3"/>
  <c r="B12706" i="3"/>
  <c r="A12706" i="3"/>
  <c r="B12705" i="3"/>
  <c r="A12705" i="3"/>
  <c r="B12704" i="3"/>
  <c r="A12704" i="3"/>
  <c r="B12703" i="3"/>
  <c r="A12703" i="3"/>
  <c r="B12702" i="3"/>
  <c r="A12702" i="3"/>
  <c r="B12701" i="3"/>
  <c r="A12701" i="3"/>
  <c r="B12700" i="3"/>
  <c r="A12700" i="3"/>
  <c r="B12699" i="3"/>
  <c r="A12699" i="3"/>
  <c r="B12698" i="3"/>
  <c r="A12698" i="3"/>
  <c r="B12697" i="3"/>
  <c r="A12697" i="3"/>
  <c r="B12696" i="3"/>
  <c r="A12696" i="3"/>
  <c r="B12695" i="3"/>
  <c r="A12695" i="3"/>
  <c r="B12694" i="3"/>
  <c r="A12694" i="3"/>
  <c r="B12693" i="3"/>
  <c r="A12693" i="3"/>
  <c r="B12692" i="3"/>
  <c r="A12692" i="3"/>
  <c r="B12691" i="3"/>
  <c r="A12691" i="3"/>
  <c r="B12690" i="3"/>
  <c r="A12690" i="3"/>
  <c r="B12689" i="3"/>
  <c r="A12689" i="3"/>
  <c r="B12688" i="3"/>
  <c r="A12688" i="3"/>
  <c r="B12687" i="3"/>
  <c r="A12687" i="3"/>
  <c r="B12686" i="3"/>
  <c r="A12686" i="3"/>
  <c r="B12685" i="3"/>
  <c r="A12685" i="3"/>
  <c r="B12684" i="3"/>
  <c r="A12684" i="3"/>
  <c r="B12683" i="3"/>
  <c r="A12683" i="3"/>
  <c r="B12682" i="3"/>
  <c r="A12682" i="3"/>
  <c r="B12681" i="3"/>
  <c r="A12681" i="3"/>
  <c r="B12680" i="3"/>
  <c r="A12680" i="3"/>
  <c r="B12679" i="3"/>
  <c r="A12679" i="3"/>
  <c r="B12678" i="3"/>
  <c r="A12678" i="3"/>
  <c r="B12677" i="3"/>
  <c r="A12677" i="3"/>
  <c r="B12676" i="3"/>
  <c r="A12676" i="3"/>
  <c r="B12675" i="3"/>
  <c r="A12675" i="3"/>
  <c r="B12674" i="3"/>
  <c r="A12674" i="3"/>
  <c r="B12673" i="3"/>
  <c r="A12673" i="3"/>
  <c r="B12672" i="3"/>
  <c r="A12672" i="3"/>
  <c r="B12671" i="3"/>
  <c r="A12671" i="3"/>
  <c r="B12670" i="3"/>
  <c r="A12670" i="3"/>
  <c r="B12669" i="3"/>
  <c r="A12669" i="3"/>
  <c r="B12668" i="3"/>
  <c r="A12668" i="3"/>
  <c r="B12667" i="3"/>
  <c r="A12667" i="3"/>
  <c r="B12666" i="3"/>
  <c r="A12666" i="3"/>
  <c r="B12665" i="3"/>
  <c r="A12665" i="3"/>
  <c r="B12664" i="3"/>
  <c r="A12664" i="3"/>
  <c r="B12663" i="3"/>
  <c r="A12663" i="3"/>
  <c r="B12662" i="3"/>
  <c r="A12662" i="3"/>
  <c r="B12661" i="3"/>
  <c r="A12661" i="3"/>
  <c r="B12660" i="3"/>
  <c r="A12660" i="3"/>
  <c r="B12659" i="3"/>
  <c r="A12659" i="3"/>
  <c r="B12658" i="3"/>
  <c r="A12658" i="3"/>
  <c r="B12657" i="3"/>
  <c r="A12657" i="3"/>
  <c r="B12656" i="3"/>
  <c r="A12656" i="3"/>
  <c r="B12655" i="3"/>
  <c r="A12655" i="3"/>
  <c r="B12654" i="3"/>
  <c r="A12654" i="3"/>
  <c r="B12653" i="3"/>
  <c r="A12653" i="3"/>
  <c r="B12652" i="3"/>
  <c r="A12652" i="3"/>
  <c r="B12651" i="3"/>
  <c r="A12651" i="3"/>
  <c r="B12650" i="3"/>
  <c r="A12650" i="3"/>
  <c r="B12649" i="3"/>
  <c r="A12649" i="3"/>
  <c r="B12648" i="3"/>
  <c r="A12648" i="3"/>
  <c r="B12647" i="3"/>
  <c r="A12647" i="3"/>
  <c r="B12646" i="3"/>
  <c r="A12646" i="3"/>
  <c r="B12645" i="3"/>
  <c r="A12645" i="3"/>
  <c r="B12644" i="3"/>
  <c r="A12644" i="3"/>
  <c r="B12643" i="3"/>
  <c r="A12643" i="3"/>
  <c r="B12642" i="3"/>
  <c r="A12642" i="3"/>
  <c r="B12641" i="3"/>
  <c r="A12641" i="3"/>
  <c r="B12640" i="3"/>
  <c r="A12640" i="3"/>
  <c r="B12639" i="3"/>
  <c r="A12639" i="3"/>
  <c r="B12638" i="3"/>
  <c r="A12638" i="3"/>
  <c r="B12637" i="3"/>
  <c r="A12637" i="3"/>
  <c r="B12636" i="3"/>
  <c r="A12636" i="3"/>
  <c r="B12635" i="3"/>
  <c r="A12635" i="3"/>
  <c r="B12634" i="3"/>
  <c r="A12634" i="3"/>
  <c r="B12633" i="3"/>
  <c r="A12633" i="3"/>
  <c r="B12632" i="3"/>
  <c r="A12632" i="3"/>
  <c r="B12631" i="3"/>
  <c r="A12631" i="3"/>
  <c r="B12630" i="3"/>
  <c r="A12630" i="3"/>
  <c r="B12629" i="3"/>
  <c r="A12629" i="3"/>
  <c r="B12628" i="3"/>
  <c r="A12628" i="3"/>
  <c r="B12627" i="3"/>
  <c r="A12627" i="3"/>
  <c r="B12626" i="3"/>
  <c r="A12626" i="3"/>
  <c r="B12625" i="3"/>
  <c r="A12625" i="3"/>
  <c r="B12624" i="3"/>
  <c r="A12624" i="3"/>
  <c r="B12623" i="3"/>
  <c r="A12623" i="3"/>
  <c r="B12622" i="3"/>
  <c r="A12622" i="3"/>
  <c r="B12621" i="3"/>
  <c r="A12621" i="3"/>
  <c r="B12620" i="3"/>
  <c r="A12620" i="3"/>
  <c r="B12619" i="3"/>
  <c r="A12619" i="3"/>
  <c r="B12618" i="3"/>
  <c r="A12618" i="3"/>
  <c r="B12617" i="3"/>
  <c r="A12617" i="3"/>
  <c r="B12616" i="3"/>
  <c r="A12616" i="3"/>
  <c r="B12615" i="3"/>
  <c r="A12615" i="3"/>
  <c r="B12614" i="3"/>
  <c r="A12614" i="3"/>
  <c r="B12613" i="3"/>
  <c r="A12613" i="3"/>
  <c r="B12612" i="3"/>
  <c r="A12612" i="3"/>
  <c r="B12611" i="3"/>
  <c r="A12611" i="3"/>
  <c r="B12610" i="3"/>
  <c r="A12610" i="3"/>
  <c r="B12609" i="3"/>
  <c r="A12609" i="3"/>
  <c r="B12608" i="3"/>
  <c r="A12608" i="3"/>
  <c r="B12607" i="3"/>
  <c r="A12607" i="3"/>
  <c r="B12606" i="3"/>
  <c r="A12606" i="3"/>
  <c r="B12605" i="3"/>
  <c r="A12605" i="3"/>
  <c r="B12604" i="3"/>
  <c r="A12604" i="3"/>
  <c r="B12603" i="3"/>
  <c r="A12603" i="3"/>
  <c r="B12602" i="3"/>
  <c r="A12602" i="3"/>
  <c r="B12601" i="3"/>
  <c r="A12601" i="3"/>
  <c r="B12600" i="3"/>
  <c r="A12600" i="3"/>
  <c r="B12599" i="3"/>
  <c r="A12599" i="3"/>
  <c r="B12598" i="3"/>
  <c r="A12598" i="3"/>
  <c r="B12597" i="3"/>
  <c r="A12597" i="3"/>
  <c r="B12596" i="3"/>
  <c r="A12596" i="3"/>
  <c r="B12595" i="3"/>
  <c r="A12595" i="3"/>
  <c r="B12594" i="3"/>
  <c r="A12594" i="3"/>
  <c r="B12593" i="3"/>
  <c r="A12593" i="3"/>
  <c r="B12592" i="3"/>
  <c r="A12592" i="3"/>
  <c r="B12591" i="3"/>
  <c r="A12591" i="3"/>
  <c r="B12590" i="3"/>
  <c r="A12590" i="3"/>
  <c r="B12589" i="3"/>
  <c r="A12589" i="3"/>
  <c r="B12588" i="3"/>
  <c r="A12588" i="3"/>
  <c r="B12587" i="3"/>
  <c r="A12587" i="3"/>
  <c r="B12586" i="3"/>
  <c r="A12586" i="3"/>
  <c r="B12585" i="3"/>
  <c r="A12585" i="3"/>
  <c r="B12584" i="3"/>
  <c r="A12584" i="3"/>
  <c r="B12583" i="3"/>
  <c r="A12583" i="3"/>
  <c r="B12582" i="3"/>
  <c r="A12582" i="3"/>
  <c r="B12581" i="3"/>
  <c r="A12581" i="3"/>
  <c r="B12580" i="3"/>
  <c r="A12580" i="3"/>
  <c r="B12579" i="3"/>
  <c r="A12579" i="3"/>
  <c r="B12578" i="3"/>
  <c r="A12578" i="3"/>
  <c r="B12577" i="3"/>
  <c r="A12577" i="3"/>
  <c r="B12576" i="3"/>
  <c r="A12576" i="3"/>
  <c r="B12575" i="3"/>
  <c r="A12575" i="3"/>
  <c r="B12574" i="3"/>
  <c r="A12574" i="3"/>
  <c r="B12573" i="3"/>
  <c r="A12573" i="3"/>
  <c r="B12572" i="3"/>
  <c r="A12572" i="3"/>
  <c r="B12571" i="3"/>
  <c r="A12571" i="3"/>
  <c r="B12570" i="3"/>
  <c r="A12570" i="3"/>
  <c r="B12569" i="3"/>
  <c r="A12569" i="3"/>
  <c r="B12568" i="3"/>
  <c r="A12568" i="3"/>
  <c r="B12567" i="3"/>
  <c r="A12567" i="3"/>
  <c r="B12566" i="3"/>
  <c r="A12566" i="3"/>
  <c r="B12565" i="3"/>
  <c r="A12565" i="3"/>
  <c r="B12564" i="3"/>
  <c r="A12564" i="3"/>
  <c r="B12563" i="3"/>
  <c r="A12563" i="3"/>
  <c r="B12562" i="3"/>
  <c r="A12562" i="3"/>
  <c r="B12561" i="3"/>
  <c r="A12561" i="3"/>
  <c r="B12560" i="3"/>
  <c r="A12560" i="3"/>
  <c r="B12559" i="3"/>
  <c r="A12559" i="3"/>
  <c r="B12558" i="3"/>
  <c r="A12558" i="3"/>
  <c r="B12557" i="3"/>
  <c r="A12557" i="3"/>
  <c r="B12556" i="3"/>
  <c r="A12556" i="3"/>
  <c r="B12555" i="3"/>
  <c r="A12555" i="3"/>
  <c r="B12554" i="3"/>
  <c r="A12554" i="3"/>
  <c r="B12553" i="3"/>
  <c r="A12553" i="3"/>
  <c r="B12552" i="3"/>
  <c r="A12552" i="3"/>
  <c r="B12551" i="3"/>
  <c r="A12551" i="3"/>
  <c r="B12550" i="3"/>
  <c r="A12550" i="3"/>
  <c r="B12549" i="3"/>
  <c r="A12549" i="3"/>
  <c r="B12548" i="3"/>
  <c r="A12548" i="3"/>
  <c r="B12547" i="3"/>
  <c r="A12547" i="3"/>
  <c r="B12546" i="3"/>
  <c r="A12546" i="3"/>
  <c r="B12545" i="3"/>
  <c r="A12545" i="3"/>
  <c r="B12544" i="3"/>
  <c r="A12544" i="3"/>
  <c r="B12543" i="3"/>
  <c r="A12543" i="3"/>
  <c r="B12542" i="3"/>
  <c r="A12542" i="3"/>
  <c r="B12541" i="3"/>
  <c r="A12541" i="3"/>
  <c r="B12540" i="3"/>
  <c r="A12540" i="3"/>
  <c r="B12539" i="3"/>
  <c r="A12539" i="3"/>
  <c r="B12538" i="3"/>
  <c r="A12538" i="3"/>
  <c r="B12537" i="3"/>
  <c r="A12537" i="3"/>
  <c r="B12536" i="3"/>
  <c r="A12536" i="3"/>
  <c r="B12535" i="3"/>
  <c r="A12535" i="3"/>
  <c r="B12534" i="3"/>
  <c r="A12534" i="3"/>
  <c r="B12533" i="3"/>
  <c r="A12533" i="3"/>
  <c r="B12532" i="3"/>
  <c r="A12532" i="3"/>
  <c r="B12531" i="3"/>
  <c r="A12531" i="3"/>
  <c r="B12530" i="3"/>
  <c r="A12530" i="3"/>
  <c r="B12529" i="3"/>
  <c r="A12529" i="3"/>
  <c r="B12528" i="3"/>
  <c r="A12528" i="3"/>
  <c r="B12527" i="3"/>
  <c r="A12527" i="3"/>
  <c r="B12526" i="3"/>
  <c r="A12526" i="3"/>
  <c r="B12525" i="3"/>
  <c r="A12525" i="3"/>
  <c r="B12524" i="3"/>
  <c r="A12524" i="3"/>
  <c r="B12523" i="3"/>
  <c r="A12523" i="3"/>
  <c r="B12522" i="3"/>
  <c r="A12522" i="3"/>
  <c r="B12521" i="3"/>
  <c r="A12521" i="3"/>
  <c r="B12520" i="3"/>
  <c r="A12520" i="3"/>
  <c r="B12519" i="3"/>
  <c r="A12519" i="3"/>
  <c r="B12518" i="3"/>
  <c r="A12518" i="3"/>
  <c r="B12517" i="3"/>
  <c r="A12517" i="3"/>
  <c r="B12516" i="3"/>
  <c r="A12516" i="3"/>
  <c r="B12515" i="3"/>
  <c r="A12515" i="3"/>
  <c r="B12514" i="3"/>
  <c r="A12514" i="3"/>
  <c r="B12513" i="3"/>
  <c r="A12513" i="3"/>
  <c r="B12512" i="3"/>
  <c r="A12512" i="3"/>
  <c r="B12511" i="3"/>
  <c r="A12511" i="3"/>
  <c r="B12510" i="3"/>
  <c r="A12510" i="3"/>
  <c r="B12509" i="3"/>
  <c r="A12509" i="3"/>
  <c r="B12508" i="3"/>
  <c r="A12508" i="3"/>
  <c r="B12507" i="3"/>
  <c r="A12507" i="3"/>
  <c r="B12506" i="3"/>
  <c r="A12506" i="3"/>
  <c r="B12505" i="3"/>
  <c r="A12505" i="3"/>
  <c r="B12504" i="3"/>
  <c r="A12504" i="3"/>
  <c r="B12503" i="3"/>
  <c r="A12503" i="3"/>
  <c r="B12502" i="3"/>
  <c r="A12502" i="3"/>
  <c r="B12501" i="3"/>
  <c r="A12501" i="3"/>
  <c r="B12500" i="3"/>
  <c r="A12500" i="3"/>
  <c r="B12499" i="3"/>
  <c r="A12499" i="3"/>
  <c r="B12498" i="3"/>
  <c r="A12498" i="3"/>
  <c r="B12497" i="3"/>
  <c r="A12497" i="3"/>
  <c r="B12496" i="3"/>
  <c r="A12496" i="3"/>
  <c r="B12495" i="3"/>
  <c r="A12495" i="3"/>
  <c r="B12494" i="3"/>
  <c r="A12494" i="3"/>
  <c r="B12493" i="3"/>
  <c r="A12493" i="3"/>
  <c r="B12492" i="3"/>
  <c r="A12492" i="3"/>
  <c r="B12491" i="3"/>
  <c r="A12491" i="3"/>
  <c r="B12490" i="3"/>
  <c r="A12490" i="3"/>
  <c r="B12489" i="3"/>
  <c r="A12489" i="3"/>
  <c r="B12488" i="3"/>
  <c r="A12488" i="3"/>
  <c r="B12487" i="3"/>
  <c r="A12487" i="3"/>
  <c r="B12486" i="3"/>
  <c r="A12486" i="3"/>
  <c r="B12485" i="3"/>
  <c r="A12485" i="3"/>
  <c r="B12484" i="3"/>
  <c r="A12484" i="3"/>
  <c r="B12483" i="3"/>
  <c r="A12483" i="3"/>
  <c r="B12482" i="3"/>
  <c r="A12482" i="3"/>
  <c r="B12481" i="3"/>
  <c r="A12481" i="3"/>
  <c r="B12480" i="3"/>
  <c r="A12480" i="3"/>
  <c r="B12479" i="3"/>
  <c r="A12479" i="3"/>
  <c r="B12478" i="3"/>
  <c r="A12478" i="3"/>
  <c r="B12477" i="3"/>
  <c r="A12477" i="3"/>
  <c r="B12476" i="3"/>
  <c r="A12476" i="3"/>
  <c r="B12475" i="3"/>
  <c r="A12475" i="3"/>
  <c r="B12474" i="3"/>
  <c r="A12474" i="3"/>
  <c r="B12473" i="3"/>
  <c r="A12473" i="3"/>
  <c r="B12472" i="3"/>
  <c r="A12472" i="3"/>
  <c r="B12471" i="3"/>
  <c r="A12471" i="3"/>
  <c r="B12470" i="3"/>
  <c r="A12470" i="3"/>
  <c r="B12469" i="3"/>
  <c r="A12469" i="3"/>
  <c r="B12468" i="3"/>
  <c r="A12468" i="3"/>
  <c r="B12467" i="3"/>
  <c r="A12467" i="3"/>
  <c r="B12466" i="3"/>
  <c r="A12466" i="3"/>
  <c r="B12465" i="3"/>
  <c r="A12465" i="3"/>
  <c r="B12464" i="3"/>
  <c r="A12464" i="3"/>
  <c r="B12463" i="3"/>
  <c r="A12463" i="3"/>
  <c r="B12462" i="3"/>
  <c r="A12462" i="3"/>
  <c r="B12461" i="3"/>
  <c r="A12461" i="3"/>
  <c r="B12460" i="3"/>
  <c r="A12460" i="3"/>
  <c r="B12459" i="3"/>
  <c r="A12459" i="3"/>
  <c r="B12458" i="3"/>
  <c r="A12458" i="3"/>
  <c r="B12457" i="3"/>
  <c r="A12457" i="3"/>
  <c r="B12456" i="3"/>
  <c r="A12456" i="3"/>
  <c r="B12455" i="3"/>
  <c r="A12455" i="3"/>
  <c r="B12454" i="3"/>
  <c r="A12454" i="3"/>
  <c r="B12453" i="3"/>
  <c r="A12453" i="3"/>
  <c r="B12452" i="3"/>
  <c r="A12452" i="3"/>
  <c r="B12451" i="3"/>
  <c r="A12451" i="3"/>
  <c r="B12450" i="3"/>
  <c r="A12450" i="3"/>
  <c r="B12449" i="3"/>
  <c r="A12449" i="3"/>
  <c r="B12448" i="3"/>
  <c r="A12448" i="3"/>
  <c r="B12447" i="3"/>
  <c r="A12447" i="3"/>
  <c r="B12446" i="3"/>
  <c r="A12446" i="3"/>
  <c r="B12445" i="3"/>
  <c r="A12445" i="3"/>
  <c r="B12444" i="3"/>
  <c r="A12444" i="3"/>
  <c r="B12443" i="3"/>
  <c r="A12443" i="3"/>
  <c r="B12442" i="3"/>
  <c r="A12442" i="3"/>
  <c r="B12441" i="3"/>
  <c r="A12441" i="3"/>
  <c r="B12440" i="3"/>
  <c r="A12440" i="3"/>
  <c r="B12439" i="3"/>
  <c r="A12439" i="3"/>
  <c r="B12438" i="3"/>
  <c r="A12438" i="3"/>
  <c r="B12437" i="3"/>
  <c r="A12437" i="3"/>
  <c r="B12436" i="3"/>
  <c r="A12436" i="3"/>
  <c r="B12435" i="3"/>
  <c r="A12435" i="3"/>
  <c r="B12434" i="3"/>
  <c r="A12434" i="3"/>
  <c r="B12433" i="3"/>
  <c r="A12433" i="3"/>
  <c r="B12432" i="3"/>
  <c r="A12432" i="3"/>
  <c r="B12431" i="3"/>
  <c r="A12431" i="3"/>
  <c r="B12430" i="3"/>
  <c r="A12430" i="3"/>
  <c r="B12429" i="3"/>
  <c r="A12429" i="3"/>
  <c r="B12428" i="3"/>
  <c r="A12428" i="3"/>
  <c r="B12427" i="3"/>
  <c r="A12427" i="3"/>
  <c r="B12426" i="3"/>
  <c r="A12426" i="3"/>
  <c r="B12425" i="3"/>
  <c r="A12425" i="3"/>
  <c r="B12424" i="3"/>
  <c r="A12424" i="3"/>
  <c r="B12423" i="3"/>
  <c r="A12423" i="3"/>
  <c r="B12422" i="3"/>
  <c r="A12422" i="3"/>
  <c r="B12421" i="3"/>
  <c r="A12421" i="3"/>
  <c r="B12420" i="3"/>
  <c r="A12420" i="3"/>
  <c r="B12419" i="3"/>
  <c r="A12419" i="3"/>
  <c r="B12418" i="3"/>
  <c r="A12418" i="3"/>
  <c r="B12417" i="3"/>
  <c r="A12417" i="3"/>
  <c r="B12416" i="3"/>
  <c r="A12416" i="3"/>
  <c r="B12415" i="3"/>
  <c r="A12415" i="3"/>
  <c r="B12414" i="3"/>
  <c r="A12414" i="3"/>
  <c r="B12413" i="3"/>
  <c r="A12413" i="3"/>
  <c r="B12412" i="3"/>
  <c r="A12412" i="3"/>
  <c r="B12411" i="3"/>
  <c r="A12411" i="3"/>
  <c r="B12410" i="3"/>
  <c r="A12410" i="3"/>
  <c r="B12409" i="3"/>
  <c r="A12409" i="3"/>
  <c r="B12408" i="3"/>
  <c r="A12408" i="3"/>
  <c r="B12407" i="3"/>
  <c r="A12407" i="3"/>
  <c r="B12406" i="3"/>
  <c r="A12406" i="3"/>
  <c r="B12405" i="3"/>
  <c r="A12405" i="3"/>
  <c r="B12404" i="3"/>
  <c r="A12404" i="3"/>
  <c r="B12403" i="3"/>
  <c r="A12403" i="3"/>
  <c r="B12402" i="3"/>
  <c r="A12402" i="3"/>
  <c r="B12401" i="3"/>
  <c r="A12401" i="3"/>
  <c r="B12400" i="3"/>
  <c r="A12400" i="3"/>
  <c r="B12399" i="3"/>
  <c r="A12399" i="3"/>
  <c r="B12398" i="3"/>
  <c r="A12398" i="3"/>
  <c r="B12397" i="3"/>
  <c r="A12397" i="3"/>
  <c r="B12396" i="3"/>
  <c r="A12396" i="3"/>
  <c r="B12395" i="3"/>
  <c r="A12395" i="3"/>
  <c r="B12394" i="3"/>
  <c r="A12394" i="3"/>
  <c r="B12393" i="3"/>
  <c r="A12393" i="3"/>
  <c r="B12392" i="3"/>
  <c r="A12392" i="3"/>
  <c r="B12391" i="3"/>
  <c r="A12391" i="3"/>
  <c r="B12390" i="3"/>
  <c r="A12390" i="3"/>
  <c r="B12389" i="3"/>
  <c r="A12389" i="3"/>
  <c r="B12388" i="3"/>
  <c r="A12388" i="3"/>
  <c r="B12387" i="3"/>
  <c r="A12387" i="3"/>
  <c r="B12386" i="3"/>
  <c r="A12386" i="3"/>
  <c r="B12385" i="3"/>
  <c r="A12385" i="3"/>
  <c r="B12384" i="3"/>
  <c r="A12384" i="3"/>
  <c r="B12383" i="3"/>
  <c r="A12383" i="3"/>
  <c r="B12382" i="3"/>
  <c r="A12382" i="3"/>
  <c r="B12381" i="3"/>
  <c r="A12381" i="3"/>
  <c r="B12380" i="3"/>
  <c r="A12380" i="3"/>
  <c r="B12379" i="3"/>
  <c r="A12379" i="3"/>
  <c r="B12378" i="3"/>
  <c r="A12378" i="3"/>
  <c r="B12377" i="3"/>
  <c r="A12377" i="3"/>
  <c r="B12376" i="3"/>
  <c r="A12376" i="3"/>
  <c r="B12375" i="3"/>
  <c r="A12375" i="3"/>
  <c r="B12374" i="3"/>
  <c r="A12374" i="3"/>
  <c r="B12373" i="3"/>
  <c r="A12373" i="3"/>
  <c r="B12372" i="3"/>
  <c r="A12372" i="3"/>
  <c r="B12371" i="3"/>
  <c r="A12371" i="3"/>
  <c r="B12370" i="3"/>
  <c r="A12370" i="3"/>
  <c r="B12369" i="3"/>
  <c r="A12369" i="3"/>
  <c r="B12368" i="3"/>
  <c r="A12368" i="3"/>
  <c r="B12367" i="3"/>
  <c r="A12367" i="3"/>
  <c r="B12366" i="3"/>
  <c r="A12366" i="3"/>
  <c r="B12365" i="3"/>
  <c r="A12365" i="3"/>
  <c r="B12364" i="3"/>
  <c r="A12364" i="3"/>
  <c r="B12363" i="3"/>
  <c r="A12363" i="3"/>
  <c r="B12362" i="3"/>
  <c r="A12362" i="3"/>
  <c r="B12361" i="3"/>
  <c r="A12361" i="3"/>
  <c r="B12360" i="3"/>
  <c r="A12360" i="3"/>
  <c r="B12359" i="3"/>
  <c r="A12359" i="3"/>
  <c r="B12358" i="3"/>
  <c r="A12358" i="3"/>
  <c r="B12357" i="3"/>
  <c r="A12357" i="3"/>
  <c r="B12356" i="3"/>
  <c r="A12356" i="3"/>
  <c r="B12355" i="3"/>
  <c r="A12355" i="3"/>
  <c r="B12354" i="3"/>
  <c r="A12354" i="3"/>
  <c r="B12353" i="3"/>
  <c r="A12353" i="3"/>
  <c r="B12352" i="3"/>
  <c r="A12352" i="3"/>
  <c r="B12351" i="3"/>
  <c r="A12351" i="3"/>
  <c r="B12350" i="3"/>
  <c r="A12350" i="3"/>
  <c r="B12349" i="3"/>
  <c r="A12349" i="3"/>
  <c r="B12348" i="3"/>
  <c r="A12348" i="3"/>
  <c r="B12347" i="3"/>
  <c r="A12347" i="3"/>
  <c r="B12346" i="3"/>
  <c r="A12346" i="3"/>
  <c r="B12345" i="3"/>
  <c r="A12345" i="3"/>
  <c r="B12344" i="3"/>
  <c r="A12344" i="3"/>
  <c r="B12343" i="3"/>
  <c r="A12343" i="3"/>
  <c r="B12342" i="3"/>
  <c r="A12342" i="3"/>
  <c r="B12341" i="3"/>
  <c r="A12341" i="3"/>
  <c r="B12340" i="3"/>
  <c r="A12340" i="3"/>
  <c r="B12339" i="3"/>
  <c r="A12339" i="3"/>
  <c r="B12338" i="3"/>
  <c r="A12338" i="3"/>
  <c r="B12337" i="3"/>
  <c r="A12337" i="3"/>
  <c r="B12336" i="3"/>
  <c r="A12336" i="3"/>
  <c r="B12335" i="3"/>
  <c r="A12335" i="3"/>
  <c r="B12334" i="3"/>
  <c r="A12334" i="3"/>
  <c r="B12333" i="3"/>
  <c r="A12333" i="3"/>
  <c r="B12332" i="3"/>
  <c r="A12332" i="3"/>
  <c r="B12331" i="3"/>
  <c r="A12331" i="3"/>
  <c r="B12330" i="3"/>
  <c r="A12330" i="3"/>
  <c r="B12329" i="3"/>
  <c r="A12329" i="3"/>
  <c r="B12328" i="3"/>
  <c r="A12328" i="3"/>
  <c r="B12327" i="3"/>
  <c r="A12327" i="3"/>
  <c r="B12326" i="3"/>
  <c r="A12326" i="3"/>
  <c r="B12325" i="3"/>
  <c r="A12325" i="3"/>
  <c r="B12324" i="3"/>
  <c r="A12324" i="3"/>
  <c r="B12323" i="3"/>
  <c r="A12323" i="3"/>
  <c r="B12322" i="3"/>
  <c r="A12322" i="3"/>
  <c r="B12321" i="3"/>
  <c r="A12321" i="3"/>
  <c r="B12320" i="3"/>
  <c r="A12320" i="3"/>
  <c r="B12319" i="3"/>
  <c r="A12319" i="3"/>
  <c r="B12318" i="3"/>
  <c r="A12318" i="3"/>
  <c r="B12317" i="3"/>
  <c r="A12317" i="3"/>
  <c r="B12316" i="3"/>
  <c r="A12316" i="3"/>
  <c r="B12315" i="3"/>
  <c r="A12315" i="3"/>
  <c r="B12314" i="3"/>
  <c r="A12314" i="3"/>
  <c r="B12313" i="3"/>
  <c r="A12313" i="3"/>
  <c r="B12312" i="3"/>
  <c r="A12312" i="3"/>
  <c r="B12311" i="3"/>
  <c r="A12311" i="3"/>
  <c r="B12310" i="3"/>
  <c r="A12310" i="3"/>
  <c r="B12309" i="3"/>
  <c r="A12309" i="3"/>
  <c r="B12308" i="3"/>
  <c r="A12308" i="3"/>
  <c r="B12307" i="3"/>
  <c r="A12307" i="3"/>
  <c r="B12306" i="3"/>
  <c r="A12306" i="3"/>
  <c r="B12305" i="3"/>
  <c r="A12305" i="3"/>
  <c r="B12304" i="3"/>
  <c r="A12304" i="3"/>
  <c r="B12303" i="3"/>
  <c r="A12303" i="3"/>
  <c r="B12302" i="3"/>
  <c r="A12302" i="3"/>
  <c r="B12301" i="3"/>
  <c r="A12301" i="3"/>
  <c r="B12300" i="3"/>
  <c r="A12300" i="3"/>
  <c r="B12299" i="3"/>
  <c r="A12299" i="3"/>
  <c r="B12298" i="3"/>
  <c r="A12298" i="3"/>
  <c r="B12297" i="3"/>
  <c r="A12297" i="3"/>
  <c r="B12296" i="3"/>
  <c r="A12296" i="3"/>
  <c r="B12295" i="3"/>
  <c r="A12295" i="3"/>
  <c r="B12294" i="3"/>
  <c r="A12294" i="3"/>
  <c r="B12293" i="3"/>
  <c r="A12293" i="3"/>
  <c r="B12292" i="3"/>
  <c r="A12292" i="3"/>
  <c r="B12291" i="3"/>
  <c r="A12291" i="3"/>
  <c r="B12290" i="3"/>
  <c r="A12290" i="3"/>
  <c r="B12289" i="3"/>
  <c r="A12289" i="3"/>
  <c r="B12288" i="3"/>
  <c r="A12288" i="3"/>
  <c r="B12287" i="3"/>
  <c r="A12287" i="3"/>
  <c r="B12286" i="3"/>
  <c r="A12286" i="3"/>
  <c r="B12285" i="3"/>
  <c r="A12285" i="3"/>
  <c r="B12284" i="3"/>
  <c r="A12284" i="3"/>
  <c r="B12283" i="3"/>
  <c r="A12283" i="3"/>
  <c r="B12282" i="3"/>
  <c r="A12282" i="3"/>
  <c r="B12281" i="3"/>
  <c r="A12281" i="3"/>
  <c r="B12280" i="3"/>
  <c r="A12280" i="3"/>
  <c r="B12279" i="3"/>
  <c r="A12279" i="3"/>
  <c r="B12278" i="3"/>
  <c r="A12278" i="3"/>
  <c r="B12277" i="3"/>
  <c r="A12277" i="3"/>
  <c r="B12276" i="3"/>
  <c r="A12276" i="3"/>
  <c r="B12275" i="3"/>
  <c r="A12275" i="3"/>
  <c r="B12274" i="3"/>
  <c r="A12274" i="3"/>
  <c r="B12273" i="3"/>
  <c r="A12273" i="3"/>
  <c r="B12272" i="3"/>
  <c r="A12272" i="3"/>
  <c r="B12271" i="3"/>
  <c r="A12271" i="3"/>
  <c r="B12270" i="3"/>
  <c r="A12270" i="3"/>
  <c r="B12269" i="3"/>
  <c r="A12269" i="3"/>
  <c r="B12268" i="3"/>
  <c r="A12268" i="3"/>
  <c r="B12267" i="3"/>
  <c r="A12267" i="3"/>
  <c r="B12266" i="3"/>
  <c r="A12266" i="3"/>
  <c r="B12265" i="3"/>
  <c r="A12265" i="3"/>
  <c r="B12264" i="3"/>
  <c r="A12264" i="3"/>
  <c r="B12263" i="3"/>
  <c r="A12263" i="3"/>
  <c r="B12262" i="3"/>
  <c r="A12262" i="3"/>
  <c r="B12261" i="3"/>
  <c r="A12261" i="3"/>
  <c r="B12260" i="3"/>
  <c r="A12260" i="3"/>
  <c r="B12259" i="3"/>
  <c r="A12259" i="3"/>
  <c r="B12258" i="3"/>
  <c r="A12258" i="3"/>
  <c r="B12257" i="3"/>
  <c r="A12257" i="3"/>
  <c r="B12256" i="3"/>
  <c r="A12256" i="3"/>
  <c r="B12255" i="3"/>
  <c r="A12255" i="3"/>
  <c r="B12254" i="3"/>
  <c r="A12254" i="3"/>
  <c r="B12253" i="3"/>
  <c r="A12253" i="3"/>
  <c r="B12252" i="3"/>
  <c r="A12252" i="3"/>
  <c r="B12251" i="3"/>
  <c r="A12251" i="3"/>
  <c r="B12250" i="3"/>
  <c r="A12250" i="3"/>
  <c r="B12249" i="3"/>
  <c r="A12249" i="3"/>
  <c r="B12248" i="3"/>
  <c r="A12248" i="3"/>
  <c r="B12247" i="3"/>
  <c r="A12247" i="3"/>
  <c r="B12246" i="3"/>
  <c r="A12246" i="3"/>
  <c r="B12245" i="3"/>
  <c r="A12245" i="3"/>
  <c r="B12244" i="3"/>
  <c r="A12244" i="3"/>
  <c r="B12243" i="3"/>
  <c r="A12243" i="3"/>
  <c r="B12242" i="3"/>
  <c r="A12242" i="3"/>
  <c r="B12241" i="3"/>
  <c r="A12241" i="3"/>
  <c r="B12240" i="3"/>
  <c r="A12240" i="3"/>
  <c r="B12239" i="3"/>
  <c r="A12239" i="3"/>
  <c r="B12238" i="3"/>
  <c r="A12238" i="3"/>
  <c r="B12237" i="3"/>
  <c r="A12237" i="3"/>
  <c r="B12236" i="3"/>
  <c r="A12236" i="3"/>
  <c r="B12235" i="3"/>
  <c r="A12235" i="3"/>
  <c r="B12234" i="3"/>
  <c r="A12234" i="3"/>
  <c r="B12233" i="3"/>
  <c r="A12233" i="3"/>
  <c r="B12232" i="3"/>
  <c r="A12232" i="3"/>
  <c r="B12231" i="3"/>
  <c r="A12231" i="3"/>
  <c r="B12230" i="3"/>
  <c r="A12230" i="3"/>
  <c r="B12229" i="3"/>
  <c r="A12229" i="3"/>
  <c r="B12228" i="3"/>
  <c r="A12228" i="3"/>
  <c r="B12227" i="3"/>
  <c r="A12227" i="3"/>
  <c r="B12226" i="3"/>
  <c r="A12226" i="3"/>
  <c r="B12225" i="3"/>
  <c r="A12225" i="3"/>
  <c r="B12224" i="3"/>
  <c r="A12224" i="3"/>
  <c r="B12223" i="3"/>
  <c r="A12223" i="3"/>
  <c r="B12222" i="3"/>
  <c r="A12222" i="3"/>
  <c r="B12221" i="3"/>
  <c r="A12221" i="3"/>
  <c r="B12220" i="3"/>
  <c r="A12220" i="3"/>
  <c r="B12219" i="3"/>
  <c r="A12219" i="3"/>
  <c r="B12218" i="3"/>
  <c r="A12218" i="3"/>
  <c r="B12217" i="3"/>
  <c r="A12217" i="3"/>
  <c r="B12216" i="3"/>
  <c r="A12216" i="3"/>
  <c r="B12215" i="3"/>
  <c r="A12215" i="3"/>
  <c r="B12214" i="3"/>
  <c r="A12214" i="3"/>
  <c r="B12213" i="3"/>
  <c r="A12213" i="3"/>
  <c r="B12212" i="3"/>
  <c r="A12212" i="3"/>
  <c r="B12211" i="3"/>
  <c r="A12211" i="3"/>
  <c r="B12210" i="3"/>
  <c r="A12210" i="3"/>
  <c r="B12209" i="3"/>
  <c r="A12209" i="3"/>
  <c r="B12208" i="3"/>
  <c r="A12208" i="3"/>
  <c r="B12207" i="3"/>
  <c r="A12207" i="3"/>
  <c r="B12206" i="3"/>
  <c r="A12206" i="3"/>
  <c r="B12205" i="3"/>
  <c r="A12205" i="3"/>
  <c r="B12204" i="3"/>
  <c r="A12204" i="3"/>
  <c r="B12203" i="3"/>
  <c r="A12203" i="3"/>
  <c r="B12202" i="3"/>
  <c r="A12202" i="3"/>
  <c r="B12201" i="3"/>
  <c r="A12201" i="3"/>
  <c r="B12200" i="3"/>
  <c r="A12200" i="3"/>
  <c r="B12199" i="3"/>
  <c r="A12199" i="3"/>
  <c r="B12198" i="3"/>
  <c r="A12198" i="3"/>
  <c r="B12197" i="3"/>
  <c r="A12197" i="3"/>
  <c r="B12196" i="3"/>
  <c r="A12196" i="3"/>
  <c r="B12195" i="3"/>
  <c r="A12195" i="3"/>
  <c r="B12194" i="3"/>
  <c r="A12194" i="3"/>
  <c r="B12193" i="3"/>
  <c r="A12193" i="3"/>
  <c r="B12192" i="3"/>
  <c r="A12192" i="3"/>
  <c r="B12191" i="3"/>
  <c r="A12191" i="3"/>
  <c r="B12190" i="3"/>
  <c r="A12190" i="3"/>
  <c r="B12189" i="3"/>
  <c r="A12189" i="3"/>
  <c r="B12188" i="3"/>
  <c r="A12188" i="3"/>
  <c r="B12187" i="3"/>
  <c r="A12187" i="3"/>
  <c r="B12186" i="3"/>
  <c r="A12186" i="3"/>
  <c r="B12185" i="3"/>
  <c r="A12185" i="3"/>
  <c r="B12184" i="3"/>
  <c r="A12184" i="3"/>
  <c r="B12183" i="3"/>
  <c r="A12183" i="3"/>
  <c r="B12182" i="3"/>
  <c r="A12182" i="3"/>
  <c r="B12181" i="3"/>
  <c r="A12181" i="3"/>
  <c r="B12180" i="3"/>
  <c r="A12180" i="3"/>
  <c r="B12179" i="3"/>
  <c r="A12179" i="3"/>
  <c r="B12178" i="3"/>
  <c r="A12178" i="3"/>
  <c r="B12177" i="3"/>
  <c r="A12177" i="3"/>
  <c r="B12176" i="3"/>
  <c r="A12176" i="3"/>
  <c r="B12175" i="3"/>
  <c r="A12175" i="3"/>
  <c r="B12174" i="3"/>
  <c r="A12174" i="3"/>
  <c r="B12173" i="3"/>
  <c r="A12173" i="3"/>
  <c r="B12172" i="3"/>
  <c r="A12172" i="3"/>
  <c r="B12171" i="3"/>
  <c r="A12171" i="3"/>
  <c r="B12170" i="3"/>
  <c r="A12170" i="3"/>
  <c r="B12169" i="3"/>
  <c r="A12169" i="3"/>
  <c r="B12168" i="3"/>
  <c r="A12168" i="3"/>
  <c r="B12167" i="3"/>
  <c r="A12167" i="3"/>
  <c r="B12166" i="3"/>
  <c r="A12166" i="3"/>
  <c r="B12165" i="3"/>
  <c r="A12165" i="3"/>
  <c r="B12164" i="3"/>
  <c r="A12164" i="3"/>
  <c r="B12163" i="3"/>
  <c r="A12163" i="3"/>
  <c r="B12162" i="3"/>
  <c r="A12162" i="3"/>
  <c r="B12161" i="3"/>
  <c r="A12161" i="3"/>
  <c r="B12160" i="3"/>
  <c r="A12160" i="3"/>
  <c r="B12159" i="3"/>
  <c r="A12159" i="3"/>
  <c r="B12158" i="3"/>
  <c r="A12158" i="3"/>
  <c r="B12157" i="3"/>
  <c r="A12157" i="3"/>
  <c r="B12156" i="3"/>
  <c r="A12156" i="3"/>
  <c r="B12155" i="3"/>
  <c r="A12155" i="3"/>
  <c r="B12154" i="3"/>
  <c r="A12154" i="3"/>
  <c r="B12153" i="3"/>
  <c r="A12153" i="3"/>
  <c r="B12152" i="3"/>
  <c r="A12152" i="3"/>
  <c r="B12151" i="3"/>
  <c r="A12151" i="3"/>
  <c r="B12150" i="3"/>
  <c r="A12150" i="3"/>
  <c r="B12149" i="3"/>
  <c r="A12149" i="3"/>
  <c r="B12148" i="3"/>
  <c r="A12148" i="3"/>
  <c r="B12147" i="3"/>
  <c r="A12147" i="3"/>
  <c r="B12146" i="3"/>
  <c r="A12146" i="3"/>
  <c r="B12145" i="3"/>
  <c r="A12145" i="3"/>
  <c r="B12144" i="3"/>
  <c r="A12144" i="3"/>
  <c r="B12143" i="3"/>
  <c r="A12143" i="3"/>
  <c r="B12142" i="3"/>
  <c r="A12142" i="3"/>
  <c r="B12141" i="3"/>
  <c r="A12141" i="3"/>
  <c r="B12140" i="3"/>
  <c r="A12140" i="3"/>
  <c r="B12139" i="3"/>
  <c r="A12139" i="3"/>
  <c r="B12138" i="3"/>
  <c r="A12138" i="3"/>
  <c r="B12137" i="3"/>
  <c r="A12137" i="3"/>
  <c r="B12136" i="3"/>
  <c r="A12136" i="3"/>
  <c r="B12135" i="3"/>
  <c r="A12135" i="3"/>
  <c r="B12134" i="3"/>
  <c r="A12134" i="3"/>
  <c r="B12133" i="3"/>
  <c r="A12133" i="3"/>
  <c r="B12132" i="3"/>
  <c r="A12132" i="3"/>
  <c r="B12131" i="3"/>
  <c r="A12131" i="3"/>
  <c r="B12130" i="3"/>
  <c r="A12130" i="3"/>
  <c r="B12129" i="3"/>
  <c r="A12129" i="3"/>
  <c r="B12128" i="3"/>
  <c r="A12128" i="3"/>
  <c r="B12127" i="3"/>
  <c r="A12127" i="3"/>
  <c r="B12126" i="3"/>
  <c r="A12126" i="3"/>
  <c r="B12125" i="3"/>
  <c r="A12125" i="3"/>
  <c r="B12124" i="3"/>
  <c r="A12124" i="3"/>
  <c r="B12123" i="3"/>
  <c r="A12123" i="3"/>
  <c r="B12122" i="3"/>
  <c r="A12122" i="3"/>
  <c r="B12121" i="3"/>
  <c r="A12121" i="3"/>
  <c r="B12120" i="3"/>
  <c r="A12120" i="3"/>
  <c r="B12119" i="3"/>
  <c r="A12119" i="3"/>
  <c r="B12118" i="3"/>
  <c r="A12118" i="3"/>
  <c r="B12117" i="3"/>
  <c r="A12117" i="3"/>
  <c r="B12116" i="3"/>
  <c r="A12116" i="3"/>
  <c r="B12115" i="3"/>
  <c r="A12115" i="3"/>
  <c r="B12114" i="3"/>
  <c r="A12114" i="3"/>
  <c r="B12113" i="3"/>
  <c r="A12113" i="3"/>
  <c r="B12112" i="3"/>
  <c r="A12112" i="3"/>
  <c r="B12111" i="3"/>
  <c r="A12111" i="3"/>
  <c r="B12110" i="3"/>
  <c r="A12110" i="3"/>
  <c r="B12109" i="3"/>
  <c r="A12109" i="3"/>
  <c r="B12108" i="3"/>
  <c r="A12108" i="3"/>
  <c r="B12107" i="3"/>
  <c r="A12107" i="3"/>
  <c r="B12106" i="3"/>
  <c r="A12106" i="3"/>
  <c r="B12105" i="3"/>
  <c r="A12105" i="3"/>
  <c r="B12104" i="3"/>
  <c r="A12104" i="3"/>
  <c r="B12103" i="3"/>
  <c r="A12103" i="3"/>
  <c r="B12102" i="3"/>
  <c r="A12102" i="3"/>
  <c r="B12101" i="3"/>
  <c r="A12101" i="3"/>
  <c r="B12100" i="3"/>
  <c r="A12100" i="3"/>
  <c r="B12099" i="3"/>
  <c r="A12099" i="3"/>
  <c r="B12098" i="3"/>
  <c r="A12098" i="3"/>
  <c r="B12097" i="3"/>
  <c r="A12097" i="3"/>
  <c r="B12096" i="3"/>
  <c r="A12096" i="3"/>
  <c r="B12095" i="3"/>
  <c r="A12095" i="3"/>
  <c r="B12094" i="3"/>
  <c r="A12094" i="3"/>
  <c r="B12093" i="3"/>
  <c r="A12093" i="3"/>
  <c r="B12092" i="3"/>
  <c r="A12092" i="3"/>
  <c r="B12091" i="3"/>
  <c r="A12091" i="3"/>
  <c r="B12090" i="3"/>
  <c r="A12090" i="3"/>
  <c r="B12089" i="3"/>
  <c r="A12089" i="3"/>
  <c r="B12088" i="3"/>
  <c r="A12088" i="3"/>
  <c r="B12087" i="3"/>
  <c r="A12087" i="3"/>
  <c r="B12086" i="3"/>
  <c r="A12086" i="3"/>
  <c r="B12085" i="3"/>
  <c r="A12085" i="3"/>
  <c r="B12084" i="3"/>
  <c r="A12084" i="3"/>
  <c r="B12083" i="3"/>
  <c r="A12083" i="3"/>
  <c r="B12082" i="3"/>
  <c r="A12082" i="3"/>
  <c r="B12081" i="3"/>
  <c r="A12081" i="3"/>
  <c r="B12080" i="3"/>
  <c r="A12080" i="3"/>
  <c r="B12079" i="3"/>
  <c r="A12079" i="3"/>
  <c r="B12078" i="3"/>
  <c r="A12078" i="3"/>
  <c r="B12077" i="3"/>
  <c r="A12077" i="3"/>
  <c r="B12076" i="3"/>
  <c r="A12076" i="3"/>
  <c r="B12075" i="3"/>
  <c r="A12075" i="3"/>
  <c r="B12074" i="3"/>
  <c r="A12074" i="3"/>
  <c r="B12073" i="3"/>
  <c r="A12073" i="3"/>
  <c r="B12072" i="3"/>
  <c r="A12072" i="3"/>
  <c r="B12071" i="3"/>
  <c r="A12071" i="3"/>
  <c r="B12070" i="3"/>
  <c r="A12070" i="3"/>
  <c r="B12069" i="3"/>
  <c r="A12069" i="3"/>
  <c r="B12068" i="3"/>
  <c r="A12068" i="3"/>
  <c r="B12067" i="3"/>
  <c r="A12067" i="3"/>
  <c r="B12066" i="3"/>
  <c r="A12066" i="3"/>
  <c r="B12065" i="3"/>
  <c r="A12065" i="3"/>
  <c r="B12064" i="3"/>
  <c r="A12064" i="3"/>
  <c r="B12063" i="3"/>
  <c r="A12063" i="3"/>
  <c r="B12062" i="3"/>
  <c r="A12062" i="3"/>
  <c r="B12061" i="3"/>
  <c r="A12061" i="3"/>
  <c r="B12060" i="3"/>
  <c r="A12060" i="3"/>
  <c r="B12059" i="3"/>
  <c r="A12059" i="3"/>
  <c r="B12058" i="3"/>
  <c r="A12058" i="3"/>
  <c r="B12057" i="3"/>
  <c r="A12057" i="3"/>
  <c r="B12056" i="3"/>
  <c r="A12056" i="3"/>
  <c r="B12055" i="3"/>
  <c r="A12055" i="3"/>
  <c r="B12054" i="3"/>
  <c r="A12054" i="3"/>
  <c r="B12053" i="3"/>
  <c r="A12053" i="3"/>
  <c r="B12052" i="3"/>
  <c r="A12052" i="3"/>
  <c r="B12051" i="3"/>
  <c r="A12051" i="3"/>
  <c r="B12050" i="3"/>
  <c r="A12050" i="3"/>
  <c r="B12049" i="3"/>
  <c r="A12049" i="3"/>
  <c r="B12048" i="3"/>
  <c r="A12048" i="3"/>
  <c r="B12047" i="3"/>
  <c r="A12047" i="3"/>
  <c r="B12046" i="3"/>
  <c r="A12046" i="3"/>
  <c r="B12045" i="3"/>
  <c r="A12045" i="3"/>
  <c r="B12044" i="3"/>
  <c r="A12044" i="3"/>
  <c r="B12043" i="3"/>
  <c r="A12043" i="3"/>
  <c r="B12042" i="3"/>
  <c r="A12042" i="3"/>
  <c r="B12041" i="3"/>
  <c r="A12041" i="3"/>
  <c r="B12040" i="3"/>
  <c r="A12040" i="3"/>
  <c r="B12039" i="3"/>
  <c r="A12039" i="3"/>
  <c r="B12038" i="3"/>
  <c r="A12038" i="3"/>
  <c r="B12037" i="3"/>
  <c r="A12037" i="3"/>
  <c r="B12036" i="3"/>
  <c r="A12036" i="3"/>
  <c r="B12035" i="3"/>
  <c r="A12035" i="3"/>
  <c r="B12034" i="3"/>
  <c r="A12034" i="3"/>
  <c r="B12033" i="3"/>
  <c r="A12033" i="3"/>
  <c r="B12032" i="3"/>
  <c r="A12032" i="3"/>
  <c r="B12031" i="3"/>
  <c r="A12031" i="3"/>
  <c r="B12030" i="3"/>
  <c r="A12030" i="3"/>
  <c r="B12029" i="3"/>
  <c r="A12029" i="3"/>
  <c r="B12028" i="3"/>
  <c r="A12028" i="3"/>
  <c r="B12027" i="3"/>
  <c r="A12027" i="3"/>
  <c r="B12026" i="3"/>
  <c r="A12026" i="3"/>
  <c r="B12025" i="3"/>
  <c r="A12025" i="3"/>
  <c r="B12024" i="3"/>
  <c r="A12024" i="3"/>
  <c r="B12023" i="3"/>
  <c r="A12023" i="3"/>
  <c r="B12022" i="3"/>
  <c r="A12022" i="3"/>
  <c r="B12021" i="3"/>
  <c r="A12021" i="3"/>
  <c r="B12020" i="3"/>
  <c r="A12020" i="3"/>
  <c r="B12019" i="3"/>
  <c r="A12019" i="3"/>
  <c r="B12018" i="3"/>
  <c r="A12018" i="3"/>
  <c r="B12017" i="3"/>
  <c r="A12017" i="3"/>
  <c r="B12016" i="3"/>
  <c r="A12016" i="3"/>
  <c r="B12015" i="3"/>
  <c r="A12015" i="3"/>
  <c r="B12014" i="3"/>
  <c r="A12014" i="3"/>
  <c r="B12013" i="3"/>
  <c r="A12013" i="3"/>
  <c r="B12012" i="3"/>
  <c r="A12012" i="3"/>
  <c r="B12011" i="3"/>
  <c r="A12011" i="3"/>
  <c r="B12010" i="3"/>
  <c r="A12010" i="3"/>
  <c r="B12009" i="3"/>
  <c r="A12009" i="3"/>
  <c r="B12008" i="3"/>
  <c r="A12008" i="3"/>
  <c r="B12007" i="3"/>
  <c r="A12007" i="3"/>
  <c r="B12006" i="3"/>
  <c r="A12006" i="3"/>
  <c r="B12005" i="3"/>
  <c r="A12005" i="3"/>
  <c r="B12004" i="3"/>
  <c r="A12004" i="3"/>
  <c r="B12003" i="3"/>
  <c r="A12003" i="3"/>
  <c r="B12002" i="3"/>
  <c r="A12002" i="3"/>
  <c r="B12001" i="3"/>
  <c r="A12001" i="3"/>
  <c r="B12000" i="3"/>
  <c r="A12000" i="3"/>
  <c r="B11999" i="3"/>
  <c r="A11999" i="3"/>
  <c r="B11998" i="3"/>
  <c r="A11998" i="3"/>
  <c r="B11997" i="3"/>
  <c r="A11997" i="3"/>
  <c r="B11996" i="3"/>
  <c r="A11996" i="3"/>
  <c r="B11995" i="3"/>
  <c r="A11995" i="3"/>
  <c r="B11994" i="3"/>
  <c r="A11994" i="3"/>
  <c r="B11993" i="3"/>
  <c r="A11993" i="3"/>
  <c r="B11992" i="3"/>
  <c r="A11992" i="3"/>
  <c r="B11991" i="3"/>
  <c r="A11991" i="3"/>
  <c r="B11990" i="3"/>
  <c r="B11989" i="3"/>
  <c r="A11989" i="3"/>
  <c r="B11988" i="3"/>
  <c r="A11988" i="3"/>
  <c r="B11987" i="3"/>
  <c r="A11987" i="3"/>
  <c r="B11986" i="3"/>
  <c r="A11986" i="3"/>
  <c r="B11985" i="3"/>
  <c r="A11985" i="3"/>
  <c r="B11984" i="3"/>
  <c r="A11984" i="3"/>
  <c r="B11983" i="3"/>
  <c r="A11983" i="3"/>
  <c r="B11982" i="3"/>
  <c r="A11982" i="3"/>
  <c r="B11981" i="3"/>
  <c r="A11981" i="3"/>
  <c r="B11980" i="3"/>
  <c r="A11980" i="3"/>
  <c r="B11979" i="3"/>
  <c r="A11979" i="3"/>
  <c r="B11978" i="3"/>
  <c r="A11978" i="3"/>
  <c r="B11977" i="3"/>
  <c r="A11977" i="3"/>
  <c r="B11976" i="3"/>
  <c r="A11976" i="3"/>
  <c r="B11975" i="3"/>
  <c r="A11975" i="3"/>
  <c r="B11974" i="3"/>
  <c r="A11974" i="3"/>
  <c r="B11973" i="3"/>
  <c r="A11973" i="3"/>
  <c r="B11972" i="3"/>
  <c r="A11972" i="3"/>
  <c r="B11971" i="3"/>
  <c r="A11971" i="3"/>
  <c r="B11970" i="3"/>
  <c r="A11970" i="3"/>
  <c r="B11969" i="3"/>
  <c r="A11969" i="3"/>
  <c r="B11968" i="3"/>
  <c r="A11968" i="3"/>
  <c r="B11967" i="3"/>
  <c r="A11967" i="3"/>
  <c r="B11966" i="3"/>
  <c r="A11966" i="3"/>
  <c r="B11965" i="3"/>
  <c r="A11965" i="3"/>
  <c r="B11964" i="3"/>
  <c r="A11964" i="3"/>
  <c r="B11963" i="3"/>
  <c r="A11963" i="3"/>
  <c r="B11962" i="3"/>
  <c r="A11962" i="3"/>
  <c r="B11961" i="3"/>
  <c r="A11961" i="3"/>
  <c r="B11960" i="3"/>
  <c r="A11960" i="3"/>
  <c r="B11959" i="3"/>
  <c r="A11959" i="3"/>
  <c r="B11958" i="3"/>
  <c r="A11958" i="3"/>
  <c r="B11957" i="3"/>
  <c r="A11957" i="3"/>
  <c r="B11956" i="3"/>
  <c r="A11956" i="3"/>
  <c r="B11955" i="3"/>
  <c r="A11955" i="3"/>
  <c r="B11954" i="3"/>
  <c r="A11954" i="3"/>
  <c r="B11953" i="3"/>
  <c r="A11953" i="3"/>
  <c r="B11952" i="3"/>
  <c r="A11952" i="3"/>
  <c r="B11951" i="3"/>
  <c r="A11951" i="3"/>
  <c r="B11950" i="3"/>
  <c r="A11950" i="3"/>
  <c r="B11949" i="3"/>
  <c r="A11949" i="3"/>
  <c r="B11948" i="3"/>
  <c r="A11948" i="3"/>
  <c r="B11947" i="3"/>
  <c r="A11947" i="3"/>
  <c r="B11946" i="3"/>
  <c r="A11946" i="3"/>
  <c r="B11945" i="3"/>
  <c r="A11945" i="3"/>
  <c r="B11944" i="3"/>
  <c r="A11944" i="3"/>
  <c r="B11943" i="3"/>
  <c r="A11943" i="3"/>
  <c r="B11942" i="3"/>
  <c r="A11942" i="3"/>
  <c r="B11941" i="3"/>
  <c r="A11941" i="3"/>
  <c r="B11940" i="3"/>
  <c r="A11940" i="3"/>
  <c r="B11939" i="3"/>
  <c r="A11939" i="3"/>
  <c r="B11938" i="3"/>
  <c r="A11938" i="3"/>
  <c r="B11937" i="3"/>
  <c r="A11937" i="3"/>
  <c r="B11936" i="3"/>
  <c r="A11936" i="3"/>
  <c r="B11935" i="3"/>
  <c r="A11935" i="3"/>
  <c r="B11934" i="3"/>
  <c r="A11934" i="3"/>
  <c r="B11933" i="3"/>
  <c r="A11933" i="3"/>
  <c r="B11932" i="3"/>
  <c r="A11932" i="3"/>
  <c r="B11931" i="3"/>
  <c r="A11931" i="3"/>
  <c r="B11930" i="3"/>
  <c r="A11930" i="3"/>
  <c r="B11929" i="3"/>
  <c r="A11929" i="3"/>
  <c r="B11928" i="3"/>
  <c r="A11928" i="3"/>
  <c r="B11927" i="3"/>
  <c r="A11927" i="3"/>
  <c r="B11926" i="3"/>
  <c r="A11926" i="3"/>
  <c r="B11925" i="3"/>
  <c r="A11925" i="3"/>
  <c r="B11924" i="3"/>
  <c r="A11924" i="3"/>
  <c r="B11923" i="3"/>
  <c r="A11923" i="3"/>
  <c r="B11922" i="3"/>
  <c r="A11922" i="3"/>
  <c r="B11921" i="3"/>
  <c r="A11921" i="3"/>
  <c r="B11920" i="3"/>
  <c r="A11920" i="3"/>
  <c r="B11919" i="3"/>
  <c r="A11919" i="3"/>
  <c r="B11918" i="3"/>
  <c r="A11918" i="3"/>
  <c r="B11917" i="3"/>
  <c r="A11917" i="3"/>
  <c r="B11916" i="3"/>
  <c r="A11916" i="3"/>
  <c r="B11915" i="3"/>
  <c r="A11915" i="3"/>
  <c r="B11914" i="3"/>
  <c r="A11914" i="3"/>
  <c r="B11913" i="3"/>
  <c r="A11913" i="3"/>
  <c r="B11912" i="3"/>
  <c r="A11912" i="3"/>
  <c r="B11911" i="3"/>
  <c r="A11911" i="3"/>
  <c r="B11910" i="3"/>
  <c r="A11910" i="3"/>
  <c r="B11909" i="3"/>
  <c r="A11909" i="3"/>
  <c r="B11908" i="3"/>
  <c r="A11908" i="3"/>
  <c r="B11907" i="3"/>
  <c r="A11907" i="3"/>
  <c r="B11906" i="3"/>
  <c r="A11906" i="3"/>
  <c r="B11905" i="3"/>
  <c r="A11905" i="3"/>
  <c r="B11904" i="3"/>
  <c r="A11904" i="3"/>
  <c r="B11903" i="3"/>
  <c r="A11903" i="3"/>
  <c r="B11902" i="3"/>
  <c r="A11902" i="3"/>
  <c r="B11901" i="3"/>
  <c r="A11901" i="3"/>
  <c r="B11900" i="3"/>
  <c r="A11900" i="3"/>
  <c r="B11899" i="3"/>
  <c r="A11899" i="3"/>
  <c r="B11898" i="3"/>
  <c r="A11898" i="3"/>
  <c r="B11897" i="3"/>
  <c r="A11897" i="3"/>
  <c r="B11896" i="3"/>
  <c r="A11896" i="3"/>
  <c r="B11895" i="3"/>
  <c r="A11895" i="3"/>
  <c r="B11894" i="3"/>
  <c r="A11894" i="3"/>
  <c r="B11893" i="3"/>
  <c r="A11893" i="3"/>
  <c r="B11892" i="3"/>
  <c r="A11892" i="3"/>
  <c r="B11891" i="3"/>
  <c r="A11891" i="3"/>
  <c r="B11890" i="3"/>
  <c r="A11890" i="3"/>
  <c r="B11889" i="3"/>
  <c r="A11889" i="3"/>
  <c r="B11888" i="3"/>
  <c r="A11888" i="3"/>
  <c r="B11887" i="3"/>
  <c r="A11887" i="3"/>
  <c r="B11886" i="3"/>
  <c r="A11886" i="3"/>
  <c r="B11885" i="3"/>
  <c r="B11884" i="3"/>
  <c r="A11884" i="3"/>
  <c r="B11883" i="3"/>
  <c r="A11883" i="3"/>
  <c r="B11882" i="3"/>
  <c r="A11882" i="3"/>
  <c r="B11881" i="3"/>
  <c r="A11881" i="3"/>
  <c r="B11880" i="3"/>
  <c r="A11880" i="3"/>
  <c r="B11879" i="3"/>
  <c r="A11879" i="3"/>
  <c r="B11878" i="3"/>
  <c r="A11878" i="3"/>
  <c r="B11877" i="3"/>
  <c r="A11877" i="3"/>
  <c r="B11876" i="3"/>
  <c r="A11876" i="3"/>
  <c r="B11875" i="3"/>
  <c r="A11875" i="3"/>
  <c r="B11874" i="3"/>
  <c r="A11874" i="3"/>
  <c r="B11873" i="3"/>
  <c r="A11873" i="3"/>
  <c r="B11872" i="3"/>
  <c r="A11872" i="3"/>
  <c r="B11871" i="3"/>
  <c r="A11871" i="3"/>
  <c r="B11870" i="3"/>
  <c r="A11870" i="3"/>
  <c r="B11869" i="3"/>
  <c r="B11868" i="3"/>
  <c r="A11868" i="3"/>
  <c r="B11867" i="3"/>
  <c r="A11867" i="3"/>
  <c r="B11866" i="3"/>
  <c r="A11866" i="3"/>
  <c r="B11865" i="3"/>
  <c r="A11865" i="3"/>
  <c r="B11864" i="3"/>
  <c r="A11864" i="3"/>
  <c r="B11863" i="3"/>
  <c r="A11863" i="3"/>
  <c r="B11862" i="3"/>
  <c r="A11862" i="3"/>
  <c r="B11861" i="3"/>
  <c r="A11861" i="3"/>
  <c r="B11860" i="3"/>
  <c r="B11859" i="3"/>
  <c r="A11859" i="3"/>
  <c r="B11858" i="3"/>
  <c r="A11858" i="3"/>
  <c r="B11857" i="3"/>
  <c r="A11857" i="3"/>
  <c r="B11856" i="3"/>
  <c r="A11856" i="3"/>
  <c r="B11855" i="3"/>
  <c r="A11855" i="3"/>
  <c r="B11854" i="3"/>
  <c r="A11854" i="3"/>
  <c r="B11853" i="3"/>
  <c r="A11853" i="3"/>
  <c r="B11852" i="3"/>
  <c r="A11852" i="3"/>
  <c r="B11851" i="3"/>
  <c r="A11851" i="3"/>
  <c r="B11850" i="3"/>
  <c r="A11850" i="3"/>
  <c r="B11849" i="3"/>
  <c r="A11849" i="3"/>
  <c r="B11848" i="3"/>
  <c r="A11848" i="3"/>
  <c r="B11847" i="3"/>
  <c r="A11847" i="3"/>
  <c r="B11846" i="3"/>
  <c r="A11846" i="3"/>
  <c r="B11845" i="3"/>
  <c r="A11845" i="3"/>
  <c r="B11844" i="3"/>
  <c r="A11844" i="3"/>
  <c r="B11843" i="3"/>
  <c r="A11843" i="3"/>
  <c r="B11842" i="3"/>
  <c r="A11842" i="3"/>
  <c r="B11841" i="3"/>
  <c r="A11841" i="3"/>
  <c r="B11840" i="3"/>
  <c r="A11840" i="3"/>
  <c r="B11839" i="3"/>
  <c r="A11839" i="3"/>
  <c r="B11838" i="3"/>
  <c r="A11838" i="3"/>
  <c r="B11837" i="3"/>
  <c r="A11837" i="3"/>
  <c r="B11836" i="3"/>
  <c r="A11836" i="3"/>
  <c r="B11835" i="3"/>
  <c r="A11835" i="3"/>
  <c r="B11834" i="3"/>
  <c r="A11834" i="3"/>
  <c r="B11833" i="3"/>
  <c r="A11833" i="3"/>
  <c r="B11832" i="3"/>
  <c r="A11832" i="3"/>
  <c r="B11831" i="3"/>
  <c r="A11831" i="3"/>
  <c r="B11830" i="3"/>
  <c r="A11830" i="3"/>
  <c r="B11829" i="3"/>
  <c r="A11829" i="3"/>
  <c r="B11828" i="3"/>
  <c r="A11828" i="3"/>
  <c r="B11827" i="3"/>
  <c r="A11827" i="3"/>
  <c r="B11826" i="3"/>
  <c r="A11826" i="3"/>
  <c r="B11825" i="3"/>
  <c r="A11825" i="3"/>
  <c r="B11824" i="3"/>
  <c r="A11824" i="3"/>
  <c r="B11823" i="3"/>
  <c r="A11823" i="3"/>
  <c r="B11822" i="3"/>
  <c r="A11822" i="3"/>
  <c r="B11821" i="3"/>
  <c r="A11821" i="3"/>
  <c r="B11820" i="3"/>
  <c r="A11820" i="3"/>
  <c r="B11819" i="3"/>
  <c r="A11819" i="3"/>
  <c r="B11818" i="3"/>
  <c r="A11818" i="3"/>
  <c r="B11817" i="3"/>
  <c r="A11817" i="3"/>
  <c r="B11816" i="3"/>
  <c r="A11816" i="3"/>
  <c r="B11815" i="3"/>
  <c r="A11815" i="3"/>
  <c r="B11814" i="3"/>
  <c r="A11814" i="3"/>
  <c r="B11813" i="3"/>
  <c r="A11813" i="3"/>
  <c r="B11812" i="3"/>
  <c r="A11812" i="3"/>
  <c r="B11811" i="3"/>
  <c r="A11811" i="3"/>
  <c r="B11810" i="3"/>
  <c r="A11810" i="3"/>
  <c r="B11809" i="3"/>
  <c r="A11809" i="3"/>
  <c r="B11808" i="3"/>
  <c r="A11808" i="3"/>
  <c r="B11807" i="3"/>
  <c r="A11807" i="3"/>
  <c r="B11806" i="3"/>
  <c r="A11806" i="3"/>
  <c r="B11805" i="3"/>
  <c r="A11805" i="3"/>
  <c r="B11804" i="3"/>
  <c r="A11804" i="3"/>
  <c r="B11803" i="3"/>
  <c r="A11803" i="3"/>
  <c r="B11802" i="3"/>
  <c r="A11802" i="3"/>
  <c r="B11801" i="3"/>
  <c r="A11801" i="3"/>
  <c r="B11800" i="3"/>
  <c r="A11800" i="3"/>
  <c r="B11799" i="3"/>
  <c r="A11799" i="3"/>
  <c r="B11798" i="3"/>
  <c r="A11798" i="3"/>
  <c r="B11797" i="3"/>
  <c r="A11797" i="3"/>
  <c r="B11796" i="3"/>
  <c r="A11796" i="3"/>
  <c r="B11795" i="3"/>
  <c r="A11795" i="3"/>
  <c r="B11794" i="3"/>
  <c r="A11794" i="3"/>
  <c r="B11793" i="3"/>
  <c r="A11793" i="3"/>
  <c r="B11792" i="3"/>
  <c r="A11792" i="3"/>
  <c r="B11791" i="3"/>
  <c r="A11791" i="3"/>
  <c r="B11790" i="3"/>
  <c r="A11790" i="3"/>
  <c r="B11789" i="3"/>
  <c r="A11789" i="3"/>
  <c r="B11788" i="3"/>
  <c r="A11788" i="3"/>
  <c r="B11787" i="3"/>
  <c r="A11787" i="3"/>
  <c r="B11786" i="3"/>
  <c r="A11786" i="3"/>
  <c r="B11785" i="3"/>
  <c r="A11785" i="3"/>
  <c r="B11784" i="3"/>
  <c r="A11784" i="3"/>
  <c r="B11783" i="3"/>
  <c r="A11783" i="3"/>
  <c r="B11782" i="3"/>
  <c r="A11782" i="3"/>
  <c r="B11781" i="3"/>
  <c r="A11781" i="3"/>
  <c r="B11780" i="3"/>
  <c r="A11780" i="3"/>
  <c r="B11779" i="3"/>
  <c r="A11779" i="3"/>
  <c r="B11778" i="3"/>
  <c r="A11778" i="3"/>
  <c r="B11777" i="3"/>
  <c r="A11777" i="3"/>
  <c r="B11776" i="3"/>
  <c r="A11776" i="3"/>
  <c r="B11775" i="3"/>
  <c r="A11775" i="3"/>
  <c r="B11774" i="3"/>
  <c r="A11774" i="3"/>
  <c r="B11773" i="3"/>
  <c r="A11773" i="3"/>
  <c r="B11772" i="3"/>
  <c r="A11772" i="3"/>
  <c r="B11771" i="3"/>
  <c r="A11771" i="3"/>
  <c r="B11770" i="3"/>
  <c r="A11770" i="3"/>
  <c r="B11769" i="3"/>
  <c r="A11769" i="3"/>
  <c r="B11768" i="3"/>
  <c r="A11768" i="3"/>
  <c r="B11767" i="3"/>
  <c r="A11767" i="3"/>
  <c r="B11766" i="3"/>
  <c r="A11766" i="3"/>
  <c r="B11765" i="3"/>
  <c r="A11765" i="3"/>
  <c r="B11764" i="3"/>
  <c r="A11764" i="3"/>
  <c r="B11763" i="3"/>
  <c r="A11763" i="3"/>
  <c r="B11762" i="3"/>
  <c r="A11762" i="3"/>
  <c r="B11761" i="3"/>
  <c r="A11761" i="3"/>
  <c r="B11760" i="3"/>
  <c r="A11760" i="3"/>
  <c r="B11759" i="3"/>
  <c r="A11759" i="3"/>
  <c r="B11758" i="3"/>
  <c r="A11758" i="3"/>
  <c r="B11757" i="3"/>
  <c r="A11757" i="3"/>
  <c r="B11756" i="3"/>
  <c r="A11756" i="3"/>
  <c r="B11755" i="3"/>
  <c r="A11755" i="3"/>
  <c r="B11754" i="3"/>
  <c r="A11754" i="3"/>
  <c r="B11753" i="3"/>
  <c r="A11753" i="3"/>
  <c r="B11752" i="3"/>
  <c r="A11752" i="3"/>
  <c r="B11751" i="3"/>
  <c r="A11751" i="3"/>
  <c r="B11750" i="3"/>
  <c r="A11750" i="3"/>
  <c r="B11749" i="3"/>
  <c r="A11749" i="3"/>
  <c r="B11748" i="3"/>
  <c r="A11748" i="3"/>
  <c r="B11747" i="3"/>
  <c r="A11747" i="3"/>
  <c r="B11746" i="3"/>
  <c r="A11746" i="3"/>
  <c r="B11745" i="3"/>
  <c r="A11745" i="3"/>
  <c r="B11744" i="3"/>
  <c r="A11744" i="3"/>
  <c r="B11743" i="3"/>
  <c r="A11743" i="3"/>
  <c r="B11742" i="3"/>
  <c r="A11742" i="3"/>
  <c r="B11741" i="3"/>
  <c r="A11741" i="3"/>
  <c r="B11740" i="3"/>
  <c r="A11740" i="3"/>
  <c r="B11739" i="3"/>
  <c r="A11739" i="3"/>
  <c r="B11738" i="3"/>
  <c r="A11738" i="3"/>
  <c r="B11737" i="3"/>
  <c r="A11737" i="3"/>
  <c r="B11736" i="3"/>
  <c r="A11736" i="3"/>
  <c r="B11735" i="3"/>
  <c r="A11735" i="3"/>
  <c r="B11734" i="3"/>
  <c r="A11734" i="3"/>
  <c r="B11733" i="3"/>
  <c r="A11733" i="3"/>
  <c r="B11732" i="3"/>
  <c r="A11732" i="3"/>
  <c r="B11731" i="3"/>
  <c r="A11731" i="3"/>
  <c r="B11730" i="3"/>
  <c r="A11730" i="3"/>
  <c r="B11729" i="3"/>
  <c r="A11729" i="3"/>
  <c r="B11728" i="3"/>
  <c r="A11728" i="3"/>
  <c r="B11727" i="3"/>
  <c r="A11727" i="3"/>
  <c r="B11726" i="3"/>
  <c r="A11726" i="3"/>
  <c r="B11725" i="3"/>
  <c r="A11725" i="3"/>
  <c r="B11724" i="3"/>
  <c r="A11724" i="3"/>
  <c r="B11723" i="3"/>
  <c r="A11723" i="3"/>
  <c r="B11722" i="3"/>
  <c r="A11722" i="3"/>
  <c r="B11721" i="3"/>
  <c r="A11721" i="3"/>
  <c r="B11720" i="3"/>
  <c r="A11720" i="3"/>
  <c r="B11719" i="3"/>
  <c r="A11719" i="3"/>
  <c r="B11718" i="3"/>
  <c r="A11718" i="3"/>
  <c r="B11717" i="3"/>
  <c r="A11717" i="3"/>
  <c r="B11716" i="3"/>
  <c r="A11716" i="3"/>
  <c r="B11715" i="3"/>
  <c r="A11715" i="3"/>
  <c r="B11714" i="3"/>
  <c r="A11714" i="3"/>
  <c r="B11713" i="3"/>
  <c r="A11713" i="3"/>
  <c r="B11712" i="3"/>
  <c r="A11712" i="3"/>
  <c r="B11711" i="3"/>
  <c r="A11711" i="3"/>
  <c r="B11710" i="3"/>
  <c r="A11710" i="3"/>
  <c r="B11709" i="3"/>
  <c r="A11709" i="3"/>
  <c r="B11708" i="3"/>
  <c r="A11708" i="3"/>
  <c r="B11707" i="3"/>
  <c r="B11706" i="3"/>
  <c r="A11706" i="3"/>
  <c r="B11705" i="3"/>
  <c r="A11705" i="3"/>
  <c r="B11704" i="3"/>
  <c r="A11704" i="3"/>
  <c r="B11703" i="3"/>
  <c r="B11702" i="3"/>
  <c r="A11702" i="3"/>
  <c r="B11701" i="3"/>
  <c r="A11701" i="3"/>
  <c r="B11700" i="3"/>
  <c r="A11700" i="3"/>
  <c r="B11699" i="3"/>
  <c r="A11699" i="3"/>
  <c r="B11698" i="3"/>
  <c r="A11698" i="3"/>
  <c r="B11697" i="3"/>
  <c r="A11697" i="3"/>
  <c r="B11696" i="3"/>
  <c r="A11696" i="3"/>
  <c r="B11695" i="3"/>
  <c r="A11695" i="3"/>
  <c r="B11694" i="3"/>
  <c r="A11694" i="3"/>
  <c r="B11693" i="3"/>
  <c r="A11693" i="3"/>
  <c r="B11692" i="3"/>
  <c r="A11692" i="3"/>
  <c r="B11691" i="3"/>
  <c r="A11691" i="3"/>
  <c r="B11690" i="3"/>
  <c r="A11690" i="3"/>
  <c r="B11689" i="3"/>
  <c r="A11689" i="3"/>
  <c r="B11688" i="3"/>
  <c r="A11688" i="3"/>
  <c r="B11687" i="3"/>
  <c r="A11687" i="3"/>
  <c r="B11686" i="3"/>
  <c r="A11686" i="3"/>
  <c r="B11685" i="3"/>
  <c r="A11685" i="3"/>
  <c r="B11684" i="3"/>
  <c r="A11684" i="3"/>
  <c r="B11683" i="3"/>
  <c r="B11682" i="3"/>
  <c r="A11682" i="3"/>
  <c r="B11681" i="3"/>
  <c r="A11681" i="3"/>
  <c r="B11680" i="3"/>
  <c r="A11680" i="3"/>
  <c r="B11679" i="3"/>
  <c r="A11679" i="3"/>
  <c r="B11678" i="3"/>
  <c r="A11678" i="3"/>
  <c r="B11677" i="3"/>
  <c r="A11677" i="3"/>
  <c r="B11676" i="3"/>
  <c r="A11676" i="3"/>
  <c r="B11675" i="3"/>
  <c r="B11674" i="3"/>
  <c r="A11674" i="3"/>
  <c r="B11673" i="3"/>
  <c r="A11673" i="3"/>
  <c r="B11672" i="3"/>
  <c r="A11672" i="3"/>
  <c r="B11671" i="3"/>
  <c r="A11671" i="3"/>
  <c r="B11670" i="3"/>
  <c r="A11670" i="3"/>
  <c r="B11669" i="3"/>
  <c r="A11669" i="3"/>
  <c r="B11668" i="3"/>
  <c r="A11668" i="3"/>
  <c r="B11667" i="3"/>
  <c r="A11667" i="3"/>
  <c r="B11666" i="3"/>
  <c r="A11666" i="3"/>
  <c r="B11665" i="3"/>
  <c r="A11665" i="3"/>
  <c r="B11664" i="3"/>
  <c r="A11664" i="3"/>
  <c r="B11663" i="3"/>
  <c r="A11663" i="3"/>
  <c r="B11662" i="3"/>
  <c r="A11662" i="3"/>
  <c r="B11661" i="3"/>
  <c r="A11661" i="3"/>
  <c r="B11660" i="3"/>
  <c r="A11660" i="3"/>
  <c r="B11659" i="3"/>
  <c r="A11659" i="3"/>
  <c r="B11658" i="3"/>
  <c r="A11658" i="3"/>
  <c r="B11657" i="3"/>
  <c r="A11657" i="3"/>
  <c r="B11656" i="3"/>
  <c r="A11656" i="3"/>
  <c r="B11655" i="3"/>
  <c r="A11655" i="3"/>
  <c r="B11654" i="3"/>
  <c r="A11654" i="3"/>
  <c r="B11653" i="3"/>
  <c r="A11653" i="3"/>
  <c r="B11652" i="3"/>
  <c r="A11652" i="3"/>
  <c r="B11651" i="3"/>
  <c r="A11651" i="3"/>
  <c r="B11650" i="3"/>
  <c r="A11650" i="3"/>
  <c r="B11649" i="3"/>
  <c r="A11649" i="3"/>
  <c r="B11648" i="3"/>
  <c r="A11648" i="3"/>
  <c r="B11647" i="3"/>
  <c r="A11647" i="3"/>
  <c r="B11646" i="3"/>
  <c r="A11646" i="3"/>
  <c r="B11645" i="3"/>
  <c r="A11645" i="3"/>
  <c r="B11644" i="3"/>
  <c r="A11644" i="3"/>
  <c r="B11643" i="3"/>
  <c r="A11643" i="3"/>
  <c r="B11642" i="3"/>
  <c r="A11642" i="3"/>
  <c r="B11641" i="3"/>
  <c r="A11641" i="3"/>
  <c r="B11640" i="3"/>
  <c r="A11640" i="3"/>
  <c r="B11639" i="3"/>
  <c r="A11639" i="3"/>
  <c r="B11638" i="3"/>
  <c r="A11638" i="3"/>
  <c r="B11637" i="3"/>
  <c r="A11637" i="3"/>
  <c r="B11636" i="3"/>
  <c r="A11636" i="3"/>
  <c r="B11635" i="3"/>
  <c r="A11635" i="3"/>
  <c r="B11634" i="3"/>
  <c r="B11633" i="3"/>
  <c r="A11633" i="3"/>
  <c r="B11632" i="3"/>
  <c r="A11632" i="3"/>
  <c r="B11631" i="3"/>
  <c r="A11631" i="3"/>
  <c r="B11630" i="3"/>
  <c r="A11630" i="3"/>
  <c r="B11629" i="3"/>
  <c r="A11629" i="3"/>
  <c r="B11628" i="3"/>
  <c r="A11628" i="3"/>
  <c r="B11627" i="3"/>
  <c r="A11627" i="3"/>
  <c r="B11626" i="3"/>
  <c r="A11626" i="3"/>
  <c r="B11625" i="3"/>
  <c r="A11625" i="3"/>
  <c r="B11624" i="3"/>
  <c r="A11624" i="3"/>
  <c r="B11623" i="3"/>
  <c r="A11623" i="3"/>
  <c r="B11622" i="3"/>
  <c r="A11622" i="3"/>
  <c r="B11621" i="3"/>
  <c r="A11621" i="3"/>
  <c r="B11620" i="3"/>
  <c r="A11620" i="3"/>
  <c r="B11619" i="3"/>
  <c r="A11619" i="3"/>
  <c r="B11618" i="3"/>
  <c r="A11618" i="3"/>
  <c r="B11617" i="3"/>
  <c r="A11617" i="3"/>
  <c r="B11616" i="3"/>
  <c r="A11616" i="3"/>
  <c r="B11615" i="3"/>
  <c r="A11615" i="3"/>
  <c r="B11614" i="3"/>
  <c r="A11614" i="3"/>
  <c r="B11613" i="3"/>
  <c r="A11613" i="3"/>
  <c r="B11612" i="3"/>
  <c r="A11612" i="3"/>
  <c r="B11611" i="3"/>
  <c r="A11611" i="3"/>
  <c r="B11610" i="3"/>
  <c r="A11610" i="3"/>
  <c r="B11609" i="3"/>
  <c r="A11609" i="3"/>
  <c r="B11608" i="3"/>
  <c r="A11608" i="3"/>
  <c r="B11607" i="3"/>
  <c r="A11607" i="3"/>
  <c r="B11606" i="3"/>
  <c r="A11606" i="3"/>
  <c r="B11605" i="3"/>
  <c r="A11605" i="3"/>
  <c r="B11604" i="3"/>
  <c r="A11604" i="3"/>
  <c r="B11603" i="3"/>
  <c r="A11603" i="3"/>
  <c r="B11602" i="3"/>
  <c r="A11602" i="3"/>
  <c r="B11601" i="3"/>
  <c r="A11601" i="3"/>
  <c r="B11600" i="3"/>
  <c r="A11600" i="3"/>
  <c r="B11599" i="3"/>
  <c r="A11599" i="3"/>
  <c r="B11598" i="3"/>
  <c r="A11598" i="3"/>
  <c r="B11597" i="3"/>
  <c r="A11597" i="3"/>
  <c r="B11596" i="3"/>
  <c r="A11596" i="3"/>
  <c r="B11595" i="3"/>
  <c r="A11595" i="3"/>
  <c r="B11594" i="3"/>
  <c r="A11594" i="3"/>
  <c r="B11593" i="3"/>
  <c r="A11593" i="3"/>
  <c r="B11592" i="3"/>
  <c r="A11592" i="3"/>
  <c r="B11591" i="3"/>
  <c r="A11591" i="3"/>
  <c r="B11590" i="3"/>
  <c r="A11590" i="3"/>
  <c r="B11589" i="3"/>
  <c r="A11589" i="3"/>
  <c r="B11588" i="3"/>
  <c r="A11588" i="3"/>
  <c r="B11587" i="3"/>
  <c r="A11587" i="3"/>
  <c r="B11586" i="3"/>
  <c r="A11586" i="3"/>
  <c r="B11585" i="3"/>
  <c r="A11585" i="3"/>
  <c r="B11584" i="3"/>
  <c r="A11584" i="3"/>
  <c r="B11583" i="3"/>
  <c r="A11583" i="3"/>
  <c r="B11582" i="3"/>
  <c r="A11582" i="3"/>
  <c r="B11581" i="3"/>
  <c r="A11581" i="3"/>
  <c r="B11580" i="3"/>
  <c r="A11580" i="3"/>
  <c r="B11579" i="3"/>
  <c r="A11579" i="3"/>
  <c r="B11578" i="3"/>
  <c r="A11578" i="3"/>
  <c r="B11577" i="3"/>
  <c r="A11577" i="3"/>
  <c r="B11576" i="3"/>
  <c r="A11576" i="3"/>
  <c r="B11575" i="3"/>
  <c r="A11575" i="3"/>
  <c r="B11574" i="3"/>
  <c r="A11574" i="3"/>
  <c r="B11573" i="3"/>
  <c r="A11573" i="3"/>
  <c r="B11572" i="3"/>
  <c r="A11572" i="3"/>
  <c r="B11571" i="3"/>
  <c r="A11571" i="3"/>
  <c r="B11570" i="3"/>
  <c r="A11570" i="3"/>
  <c r="B11569" i="3"/>
  <c r="A11569" i="3"/>
  <c r="B11568" i="3"/>
  <c r="A11568" i="3"/>
  <c r="B11567" i="3"/>
  <c r="A11567" i="3"/>
  <c r="B11566" i="3"/>
  <c r="A11566" i="3"/>
  <c r="B11565" i="3"/>
  <c r="A11565" i="3"/>
  <c r="B11564" i="3"/>
  <c r="A11564" i="3"/>
  <c r="B11563" i="3"/>
  <c r="A11563" i="3"/>
  <c r="B11562" i="3"/>
  <c r="A11562" i="3"/>
  <c r="B11561" i="3"/>
  <c r="A11561" i="3"/>
  <c r="B11560" i="3"/>
  <c r="A11560" i="3"/>
  <c r="B11559" i="3"/>
  <c r="A11559" i="3"/>
  <c r="B11558" i="3"/>
  <c r="A11558" i="3"/>
  <c r="B11557" i="3"/>
  <c r="A11557" i="3"/>
  <c r="B11556" i="3"/>
  <c r="A11556" i="3"/>
  <c r="B11555" i="3"/>
  <c r="B11554" i="3"/>
  <c r="A11554" i="3"/>
  <c r="B11553" i="3"/>
  <c r="A11553" i="3"/>
  <c r="B11552" i="3"/>
  <c r="A11552" i="3"/>
  <c r="B11551" i="3"/>
  <c r="A11551" i="3"/>
  <c r="B11550" i="3"/>
  <c r="A11550" i="3"/>
  <c r="B11549" i="3"/>
  <c r="A11549" i="3"/>
  <c r="B11548" i="3"/>
  <c r="A11548" i="3"/>
  <c r="B11547" i="3"/>
  <c r="A11547" i="3"/>
  <c r="B11546" i="3"/>
  <c r="A11546" i="3"/>
  <c r="B11545" i="3"/>
  <c r="A11545" i="3"/>
  <c r="B11544" i="3"/>
  <c r="A11544" i="3"/>
  <c r="B11543" i="3"/>
  <c r="A11543" i="3"/>
  <c r="B11542" i="3"/>
  <c r="A11542" i="3"/>
  <c r="B11541" i="3"/>
  <c r="A11541" i="3"/>
  <c r="B11540" i="3"/>
  <c r="A11540" i="3"/>
  <c r="B11539" i="3"/>
  <c r="A11539" i="3"/>
  <c r="B11538" i="3"/>
  <c r="A11538" i="3"/>
  <c r="B11537" i="3"/>
  <c r="A11537" i="3"/>
  <c r="B11536" i="3"/>
  <c r="A11536" i="3"/>
  <c r="B11535" i="3"/>
  <c r="A11535" i="3"/>
  <c r="B11534" i="3"/>
  <c r="A11534" i="3"/>
  <c r="B11533" i="3"/>
  <c r="A11533" i="3"/>
  <c r="B11532" i="3"/>
  <c r="A11532" i="3"/>
  <c r="B11531" i="3"/>
  <c r="A11531" i="3"/>
  <c r="B11530" i="3"/>
  <c r="A11530" i="3"/>
  <c r="B11529" i="3"/>
  <c r="A11529" i="3"/>
  <c r="B11528" i="3"/>
  <c r="A11528" i="3"/>
  <c r="B11527" i="3"/>
  <c r="A11527" i="3"/>
  <c r="B11526" i="3"/>
  <c r="A11526" i="3"/>
  <c r="B11525" i="3"/>
  <c r="A11525" i="3"/>
  <c r="B11524" i="3"/>
  <c r="A11524" i="3"/>
  <c r="B11523" i="3"/>
  <c r="A11523" i="3"/>
  <c r="B11522" i="3"/>
  <c r="A11522" i="3"/>
  <c r="B11521" i="3"/>
  <c r="A11521" i="3"/>
  <c r="B11520" i="3"/>
  <c r="A11520" i="3"/>
  <c r="B11519" i="3"/>
  <c r="A11519" i="3"/>
  <c r="B11518" i="3"/>
  <c r="A11518" i="3"/>
  <c r="B11517" i="3"/>
  <c r="A11517" i="3"/>
  <c r="B11516" i="3"/>
  <c r="A11516" i="3"/>
  <c r="B11515" i="3"/>
  <c r="A11515" i="3"/>
  <c r="B11514" i="3"/>
  <c r="A11514" i="3"/>
  <c r="B11513" i="3"/>
  <c r="A11513" i="3"/>
  <c r="B11512" i="3"/>
  <c r="A11512" i="3"/>
  <c r="B11511" i="3"/>
  <c r="A11511" i="3"/>
  <c r="B11510" i="3"/>
  <c r="A11510" i="3"/>
  <c r="B11509" i="3"/>
  <c r="A11509" i="3"/>
  <c r="B11508" i="3"/>
  <c r="A11508" i="3"/>
  <c r="B11507" i="3"/>
  <c r="A11507" i="3"/>
  <c r="B11506" i="3"/>
  <c r="A11506" i="3"/>
  <c r="B11505" i="3"/>
  <c r="A11505" i="3"/>
  <c r="B11504" i="3"/>
  <c r="A11504" i="3"/>
  <c r="B11503" i="3"/>
  <c r="A11503" i="3"/>
  <c r="B11502" i="3"/>
  <c r="A11502" i="3"/>
  <c r="B11501" i="3"/>
  <c r="A11501" i="3"/>
  <c r="B11500" i="3"/>
  <c r="A11500" i="3"/>
  <c r="B11499" i="3"/>
  <c r="A11499" i="3"/>
  <c r="B11498" i="3"/>
  <c r="A11498" i="3"/>
  <c r="B11497" i="3"/>
  <c r="A11497" i="3"/>
  <c r="B11496" i="3"/>
  <c r="A11496" i="3"/>
  <c r="B11495" i="3"/>
  <c r="A11495" i="3"/>
  <c r="B11494" i="3"/>
  <c r="A11494" i="3"/>
  <c r="B11493" i="3"/>
  <c r="A11493" i="3"/>
  <c r="B11492" i="3"/>
  <c r="A11492" i="3"/>
  <c r="B11491" i="3"/>
  <c r="A11491" i="3"/>
  <c r="B11490" i="3"/>
  <c r="A11490" i="3"/>
  <c r="B11489" i="3"/>
  <c r="A11489" i="3"/>
  <c r="B11488" i="3"/>
  <c r="A11488" i="3"/>
  <c r="B11487" i="3"/>
  <c r="A11487" i="3"/>
  <c r="B11486" i="3"/>
  <c r="A11486" i="3"/>
  <c r="B11485" i="3"/>
  <c r="A11485" i="3"/>
  <c r="B11484" i="3"/>
  <c r="A11484" i="3"/>
  <c r="B11483" i="3"/>
  <c r="A11483" i="3"/>
  <c r="B11482" i="3"/>
  <c r="A11482" i="3"/>
  <c r="B11481" i="3"/>
  <c r="A11481" i="3"/>
  <c r="B11480" i="3"/>
  <c r="A11480" i="3"/>
  <c r="B11479" i="3"/>
  <c r="A11479" i="3"/>
  <c r="B11478" i="3"/>
  <c r="A11478" i="3"/>
  <c r="B11477" i="3"/>
  <c r="A11477" i="3"/>
  <c r="B11476" i="3"/>
  <c r="A11476" i="3"/>
  <c r="B11475" i="3"/>
  <c r="A11475" i="3"/>
  <c r="B11474" i="3"/>
  <c r="A11474" i="3"/>
  <c r="B11473" i="3"/>
  <c r="A11473" i="3"/>
  <c r="B11472" i="3"/>
  <c r="A11472" i="3"/>
  <c r="B11471" i="3"/>
  <c r="A11471" i="3"/>
  <c r="B11470" i="3"/>
  <c r="A11470" i="3"/>
  <c r="B11469" i="3"/>
  <c r="A11469" i="3"/>
  <c r="B11468" i="3"/>
  <c r="A11468" i="3"/>
  <c r="B11467" i="3"/>
  <c r="A11467" i="3"/>
  <c r="B11466" i="3"/>
  <c r="A11466" i="3"/>
  <c r="B11465" i="3"/>
  <c r="A11465" i="3"/>
  <c r="B11464" i="3"/>
  <c r="A11464" i="3"/>
  <c r="B11463" i="3"/>
  <c r="A11463" i="3"/>
  <c r="B11462" i="3"/>
  <c r="A11462" i="3"/>
  <c r="B11461" i="3"/>
  <c r="A11461" i="3"/>
  <c r="B11460" i="3"/>
  <c r="A11460" i="3"/>
  <c r="B11459" i="3"/>
  <c r="A11459" i="3"/>
  <c r="B11458" i="3"/>
  <c r="A11458" i="3"/>
  <c r="B11457" i="3"/>
  <c r="A11457" i="3"/>
  <c r="B11456" i="3"/>
  <c r="A11456" i="3"/>
  <c r="B11455" i="3"/>
  <c r="A11455" i="3"/>
  <c r="B11454" i="3"/>
  <c r="A11454" i="3"/>
  <c r="B11453" i="3"/>
  <c r="A11453" i="3"/>
  <c r="B11452" i="3"/>
  <c r="A11452" i="3"/>
  <c r="B11451" i="3"/>
  <c r="A11451" i="3"/>
  <c r="B11450" i="3"/>
  <c r="A11450" i="3"/>
  <c r="B11449" i="3"/>
  <c r="A11449" i="3"/>
  <c r="B11448" i="3"/>
  <c r="A11448" i="3"/>
  <c r="B11447" i="3"/>
  <c r="A11447" i="3"/>
  <c r="B11446" i="3"/>
  <c r="A11446" i="3"/>
  <c r="B11445" i="3"/>
  <c r="A11445" i="3"/>
  <c r="B11444" i="3"/>
  <c r="A11444" i="3"/>
  <c r="B11443" i="3"/>
  <c r="A11443" i="3"/>
  <c r="B11442" i="3"/>
  <c r="A11442" i="3"/>
  <c r="B11441" i="3"/>
  <c r="A11441" i="3"/>
  <c r="B11440" i="3"/>
  <c r="A11440" i="3"/>
  <c r="B11439" i="3"/>
  <c r="A11439" i="3"/>
  <c r="B11438" i="3"/>
  <c r="A11438" i="3"/>
  <c r="B11437" i="3"/>
  <c r="A11437" i="3"/>
  <c r="B11436" i="3"/>
  <c r="A11436" i="3"/>
  <c r="B11435" i="3"/>
  <c r="A11435" i="3"/>
  <c r="B11434" i="3"/>
  <c r="A11434" i="3"/>
  <c r="B11433" i="3"/>
  <c r="A11433" i="3"/>
  <c r="B11432" i="3"/>
  <c r="A11432" i="3"/>
  <c r="B11431" i="3"/>
  <c r="A11431" i="3"/>
  <c r="B11430" i="3"/>
  <c r="A11430" i="3"/>
  <c r="B11429" i="3"/>
  <c r="A11429" i="3"/>
  <c r="B11428" i="3"/>
  <c r="A11428" i="3"/>
  <c r="B11427" i="3"/>
  <c r="A11427" i="3"/>
  <c r="B11426" i="3"/>
  <c r="A11426" i="3"/>
  <c r="B11425" i="3"/>
  <c r="A11425" i="3"/>
  <c r="B11424" i="3"/>
  <c r="A11424" i="3"/>
  <c r="B11423" i="3"/>
  <c r="A11423" i="3"/>
  <c r="B11422" i="3"/>
  <c r="B11421" i="3"/>
  <c r="A11421" i="3"/>
  <c r="B11420" i="3"/>
  <c r="A11420" i="3"/>
  <c r="B11419" i="3"/>
  <c r="A11419" i="3"/>
  <c r="B11418" i="3"/>
  <c r="A11418" i="3"/>
  <c r="B11417" i="3"/>
  <c r="A11417" i="3"/>
  <c r="B11416" i="3"/>
  <c r="A11416" i="3"/>
  <c r="B11415" i="3"/>
  <c r="A11415" i="3"/>
  <c r="B11414" i="3"/>
  <c r="A11414" i="3"/>
  <c r="B11413" i="3"/>
  <c r="A11413" i="3"/>
  <c r="B11412" i="3"/>
  <c r="A11412" i="3"/>
  <c r="B11411" i="3"/>
  <c r="A11411" i="3"/>
  <c r="B11410" i="3"/>
  <c r="A11410" i="3"/>
  <c r="B11409" i="3"/>
  <c r="A11409" i="3"/>
  <c r="B11408" i="3"/>
  <c r="A11408" i="3"/>
  <c r="B11407" i="3"/>
  <c r="A11407" i="3"/>
  <c r="B11406" i="3"/>
  <c r="A11406" i="3"/>
  <c r="B11405" i="3"/>
  <c r="A11405" i="3"/>
  <c r="B11404" i="3"/>
  <c r="A11404" i="3"/>
  <c r="B11403" i="3"/>
  <c r="A11403" i="3"/>
  <c r="B11402" i="3"/>
  <c r="A11402" i="3"/>
  <c r="B11401" i="3"/>
  <c r="A11401" i="3"/>
  <c r="B11400" i="3"/>
  <c r="A11400" i="3"/>
  <c r="B11399" i="3"/>
  <c r="A11399" i="3"/>
  <c r="B11398" i="3"/>
  <c r="A11398" i="3"/>
  <c r="B11397" i="3"/>
  <c r="A11397" i="3"/>
  <c r="B11396" i="3"/>
  <c r="A11396" i="3"/>
  <c r="B11395" i="3"/>
  <c r="A11395" i="3"/>
  <c r="B11394" i="3"/>
  <c r="A11394" i="3"/>
  <c r="B11393" i="3"/>
  <c r="A11393" i="3"/>
  <c r="B11392" i="3"/>
  <c r="A11392" i="3"/>
  <c r="B11391" i="3"/>
  <c r="A11391" i="3"/>
  <c r="B11390" i="3"/>
  <c r="A11390" i="3"/>
  <c r="B11389" i="3"/>
  <c r="A11389" i="3"/>
  <c r="B11388" i="3"/>
  <c r="A11388" i="3"/>
  <c r="B11387" i="3"/>
  <c r="A11387" i="3"/>
  <c r="B11386" i="3"/>
  <c r="A11386" i="3"/>
  <c r="B11385" i="3"/>
  <c r="A11385" i="3"/>
  <c r="B11384" i="3"/>
  <c r="A11384" i="3"/>
  <c r="B11383" i="3"/>
  <c r="A11383" i="3"/>
  <c r="B11382" i="3"/>
  <c r="A11382" i="3"/>
  <c r="B11381" i="3"/>
  <c r="A11381" i="3"/>
  <c r="B11380" i="3"/>
  <c r="A11380" i="3"/>
  <c r="B11379" i="3"/>
  <c r="A11379" i="3"/>
  <c r="B11378" i="3"/>
  <c r="A11378" i="3"/>
  <c r="B11377" i="3"/>
  <c r="A11377" i="3"/>
  <c r="B11376" i="3"/>
  <c r="A11376" i="3"/>
  <c r="B11375" i="3"/>
  <c r="A11375" i="3"/>
  <c r="B11374" i="3"/>
  <c r="A11374" i="3"/>
  <c r="B11373" i="3"/>
  <c r="A11373" i="3"/>
  <c r="B11372" i="3"/>
  <c r="A11372" i="3"/>
  <c r="B11371" i="3"/>
  <c r="A11371" i="3"/>
  <c r="B11370" i="3"/>
  <c r="A11370" i="3"/>
  <c r="B11369" i="3"/>
  <c r="A11369" i="3"/>
  <c r="B11368" i="3"/>
  <c r="A11368" i="3"/>
  <c r="B11367" i="3"/>
  <c r="A11367" i="3"/>
  <c r="B11366" i="3"/>
  <c r="A11366" i="3"/>
  <c r="B11365" i="3"/>
  <c r="A11365" i="3"/>
  <c r="B11364" i="3"/>
  <c r="A11364" i="3"/>
  <c r="B11363" i="3"/>
  <c r="A11363" i="3"/>
  <c r="B11362" i="3"/>
  <c r="A11362" i="3"/>
  <c r="B11361" i="3"/>
  <c r="A11361" i="3"/>
  <c r="B11360" i="3"/>
  <c r="A11360" i="3"/>
  <c r="B11359" i="3"/>
  <c r="A11359" i="3"/>
  <c r="B11358" i="3"/>
  <c r="A11358" i="3"/>
  <c r="B11357" i="3"/>
  <c r="A11357" i="3"/>
  <c r="B11356" i="3"/>
  <c r="A11356" i="3"/>
  <c r="B11355" i="3"/>
  <c r="A11355" i="3"/>
  <c r="B11354" i="3"/>
  <c r="A11354" i="3"/>
  <c r="B11353" i="3"/>
  <c r="A11353" i="3"/>
  <c r="B11352" i="3"/>
  <c r="A11352" i="3"/>
  <c r="B11351" i="3"/>
  <c r="A11351" i="3"/>
  <c r="B11350" i="3"/>
  <c r="A11350" i="3"/>
  <c r="B11349" i="3"/>
  <c r="A11349" i="3"/>
  <c r="B11348" i="3"/>
  <c r="A11348" i="3"/>
  <c r="B11347" i="3"/>
  <c r="A11347" i="3"/>
  <c r="B11346" i="3"/>
  <c r="A11346" i="3"/>
  <c r="B11345" i="3"/>
  <c r="A11345" i="3"/>
  <c r="B11344" i="3"/>
  <c r="A11344" i="3"/>
  <c r="B11343" i="3"/>
  <c r="A11343" i="3"/>
  <c r="B11342" i="3"/>
  <c r="A11342" i="3"/>
  <c r="B11341" i="3"/>
  <c r="A11341" i="3"/>
  <c r="B11340" i="3"/>
  <c r="A11340" i="3"/>
  <c r="B11339" i="3"/>
  <c r="A11339" i="3"/>
  <c r="B11338" i="3"/>
  <c r="A11338" i="3"/>
  <c r="B11337" i="3"/>
  <c r="A11337" i="3"/>
  <c r="B11336" i="3"/>
  <c r="A11336" i="3"/>
  <c r="B11335" i="3"/>
  <c r="A11335" i="3"/>
  <c r="B11334" i="3"/>
  <c r="A11334" i="3"/>
  <c r="B11333" i="3"/>
  <c r="A11333" i="3"/>
  <c r="B11332" i="3"/>
  <c r="A11332" i="3"/>
  <c r="B11331" i="3"/>
  <c r="A11331" i="3"/>
  <c r="B11330" i="3"/>
  <c r="A11330" i="3"/>
  <c r="B11329" i="3"/>
  <c r="A11329" i="3"/>
  <c r="B11328" i="3"/>
  <c r="A11328" i="3"/>
  <c r="B11327" i="3"/>
  <c r="A11327" i="3"/>
  <c r="B11326" i="3"/>
  <c r="A11326" i="3"/>
  <c r="B11325" i="3"/>
  <c r="A11325" i="3"/>
  <c r="B11324" i="3"/>
  <c r="A11324" i="3"/>
  <c r="B11323" i="3"/>
  <c r="A11323" i="3"/>
  <c r="B11322" i="3"/>
  <c r="A11322" i="3"/>
  <c r="B11321" i="3"/>
  <c r="A11321" i="3"/>
  <c r="B11320" i="3"/>
  <c r="A11320" i="3"/>
  <c r="B11319" i="3"/>
  <c r="A11319" i="3"/>
  <c r="B11318" i="3"/>
  <c r="A11318" i="3"/>
  <c r="B11317" i="3"/>
  <c r="A11317" i="3"/>
  <c r="B11316" i="3"/>
  <c r="A11316" i="3"/>
  <c r="B11315" i="3"/>
  <c r="A11315" i="3"/>
  <c r="B11314" i="3"/>
  <c r="A11314" i="3"/>
  <c r="B11313" i="3"/>
  <c r="A11313" i="3"/>
  <c r="B11312" i="3"/>
  <c r="A11312" i="3"/>
  <c r="B11311" i="3"/>
  <c r="A11311" i="3"/>
  <c r="B11310" i="3"/>
  <c r="A11310" i="3"/>
  <c r="B11309" i="3"/>
  <c r="A11309" i="3"/>
  <c r="B11308" i="3"/>
  <c r="A11308" i="3"/>
  <c r="B11307" i="3"/>
  <c r="A11307" i="3"/>
  <c r="B11306" i="3"/>
  <c r="A11306" i="3"/>
  <c r="B11305" i="3"/>
  <c r="A11305" i="3"/>
  <c r="B11304" i="3"/>
  <c r="A11304" i="3"/>
  <c r="B11303" i="3"/>
  <c r="A11303" i="3"/>
  <c r="B11302" i="3"/>
  <c r="A11302" i="3"/>
  <c r="B11301" i="3"/>
  <c r="A11301" i="3"/>
  <c r="B11300" i="3"/>
  <c r="A11300" i="3"/>
  <c r="B11299" i="3"/>
  <c r="A11299" i="3"/>
  <c r="B11298" i="3"/>
  <c r="A11298" i="3"/>
  <c r="B11297" i="3"/>
  <c r="A11297" i="3"/>
  <c r="B11296" i="3"/>
  <c r="A11296" i="3"/>
  <c r="B11295" i="3"/>
  <c r="A11295" i="3"/>
  <c r="B11294" i="3"/>
  <c r="A11294" i="3"/>
  <c r="B11293" i="3"/>
  <c r="A11293" i="3"/>
  <c r="B11292" i="3"/>
  <c r="A11292" i="3"/>
  <c r="B11291" i="3"/>
  <c r="A11291" i="3"/>
  <c r="B11290" i="3"/>
  <c r="A11290" i="3"/>
  <c r="B11289" i="3"/>
  <c r="A11289" i="3"/>
  <c r="B11288" i="3"/>
  <c r="A11288" i="3"/>
  <c r="B11287" i="3"/>
  <c r="A11287" i="3"/>
  <c r="B11286" i="3"/>
  <c r="A11286" i="3"/>
  <c r="B11285" i="3"/>
  <c r="A11285" i="3"/>
  <c r="B11284" i="3"/>
  <c r="A11284" i="3"/>
  <c r="B11283" i="3"/>
  <c r="A11283" i="3"/>
  <c r="B11282" i="3"/>
  <c r="A11282" i="3"/>
  <c r="B11281" i="3"/>
  <c r="A11281" i="3"/>
  <c r="B11280" i="3"/>
  <c r="A11280" i="3"/>
  <c r="B11279" i="3"/>
  <c r="A11279" i="3"/>
  <c r="B11278" i="3"/>
  <c r="A11278" i="3"/>
  <c r="B11277" i="3"/>
  <c r="A11277" i="3"/>
  <c r="B11276" i="3"/>
  <c r="A11276" i="3"/>
  <c r="B11275" i="3"/>
  <c r="A11275" i="3"/>
  <c r="B11274" i="3"/>
  <c r="A11274" i="3"/>
  <c r="B11273" i="3"/>
  <c r="A11273" i="3"/>
  <c r="B11272" i="3"/>
  <c r="A11272" i="3"/>
  <c r="B11271" i="3"/>
  <c r="A11271" i="3"/>
  <c r="B11270" i="3"/>
  <c r="A11270" i="3"/>
  <c r="B11269" i="3"/>
  <c r="A11269" i="3"/>
  <c r="B11268" i="3"/>
  <c r="A11268" i="3"/>
  <c r="B11267" i="3"/>
  <c r="A11267" i="3"/>
  <c r="B11266" i="3"/>
  <c r="A11266" i="3"/>
  <c r="B11265" i="3"/>
  <c r="A11265" i="3"/>
  <c r="B11264" i="3"/>
  <c r="A11264" i="3"/>
  <c r="B11263" i="3"/>
  <c r="A11263" i="3"/>
  <c r="B11262" i="3"/>
  <c r="A11262" i="3"/>
  <c r="B11261" i="3"/>
  <c r="A11261" i="3"/>
  <c r="B11260" i="3"/>
  <c r="A11260" i="3"/>
  <c r="B11259" i="3"/>
  <c r="A11259" i="3"/>
  <c r="B11258" i="3"/>
  <c r="A11258" i="3"/>
  <c r="B11257" i="3"/>
  <c r="A11257" i="3"/>
  <c r="B11256" i="3"/>
  <c r="A11256" i="3"/>
  <c r="B11255" i="3"/>
  <c r="A11255" i="3"/>
  <c r="B11254" i="3"/>
  <c r="A11254" i="3"/>
  <c r="B11253" i="3"/>
  <c r="A11253" i="3"/>
  <c r="B11252" i="3"/>
  <c r="A11252" i="3"/>
  <c r="B11251" i="3"/>
  <c r="A11251" i="3"/>
  <c r="B11250" i="3"/>
  <c r="A11250" i="3"/>
  <c r="B11249" i="3"/>
  <c r="A11249" i="3"/>
  <c r="B11248" i="3"/>
  <c r="A11248" i="3"/>
  <c r="B11247" i="3"/>
  <c r="A11247" i="3"/>
  <c r="B11246" i="3"/>
  <c r="A11246" i="3"/>
  <c r="B11245" i="3"/>
  <c r="A11245" i="3"/>
  <c r="B11244" i="3"/>
  <c r="A11244" i="3"/>
  <c r="B11243" i="3"/>
  <c r="A11243" i="3"/>
  <c r="B11242" i="3"/>
  <c r="A11242" i="3"/>
  <c r="B11241" i="3"/>
  <c r="A11241" i="3"/>
  <c r="B11240" i="3"/>
  <c r="A11240" i="3"/>
  <c r="B11239" i="3"/>
  <c r="A11239" i="3"/>
  <c r="B11238" i="3"/>
  <c r="A11238" i="3"/>
  <c r="B11237" i="3"/>
  <c r="A11237" i="3"/>
  <c r="B11236" i="3"/>
  <c r="A11236" i="3"/>
  <c r="B11235" i="3"/>
  <c r="A11235" i="3"/>
  <c r="B11234" i="3"/>
  <c r="A11234" i="3"/>
  <c r="B11233" i="3"/>
  <c r="A11233" i="3"/>
  <c r="B11232" i="3"/>
  <c r="A11232" i="3"/>
  <c r="B11231" i="3"/>
  <c r="A11231" i="3"/>
  <c r="B11230" i="3"/>
  <c r="A11230" i="3"/>
  <c r="B11229" i="3"/>
  <c r="A11229" i="3"/>
  <c r="B11228" i="3"/>
  <c r="A11228" i="3"/>
  <c r="B11227" i="3"/>
  <c r="A11227" i="3"/>
  <c r="B11226" i="3"/>
  <c r="A11226" i="3"/>
  <c r="B11225" i="3"/>
  <c r="A11225" i="3"/>
  <c r="B11224" i="3"/>
  <c r="A11224" i="3"/>
  <c r="B11223" i="3"/>
  <c r="A11223" i="3"/>
  <c r="B11222" i="3"/>
  <c r="A11222" i="3"/>
  <c r="B11221" i="3"/>
  <c r="A11221" i="3"/>
  <c r="B11220" i="3"/>
  <c r="A11220" i="3"/>
  <c r="B11219" i="3"/>
  <c r="A11219" i="3"/>
  <c r="B11218" i="3"/>
  <c r="A11218" i="3"/>
  <c r="B11217" i="3"/>
  <c r="A11217" i="3"/>
  <c r="B11216" i="3"/>
  <c r="A11216" i="3"/>
  <c r="B11215" i="3"/>
  <c r="A11215" i="3"/>
  <c r="B11214" i="3"/>
  <c r="A11214" i="3"/>
  <c r="B11213" i="3"/>
  <c r="A11213" i="3"/>
  <c r="B11212" i="3"/>
  <c r="A11212" i="3"/>
  <c r="B11211" i="3"/>
  <c r="A11211" i="3"/>
  <c r="B11210" i="3"/>
  <c r="A11210" i="3"/>
  <c r="B11209" i="3"/>
  <c r="A11209" i="3"/>
  <c r="B11208" i="3"/>
  <c r="A11208" i="3"/>
  <c r="B11207" i="3"/>
  <c r="A11207" i="3"/>
  <c r="B11206" i="3"/>
  <c r="A11206" i="3"/>
  <c r="B11205" i="3"/>
  <c r="A11205" i="3"/>
  <c r="B11204" i="3"/>
  <c r="A11204" i="3"/>
  <c r="B11203" i="3"/>
  <c r="A11203" i="3"/>
  <c r="B11202" i="3"/>
  <c r="A11202" i="3"/>
  <c r="B11201" i="3"/>
  <c r="A11201" i="3"/>
  <c r="B11200" i="3"/>
  <c r="A11200" i="3"/>
  <c r="B11199" i="3"/>
  <c r="A11199" i="3"/>
  <c r="B11198" i="3"/>
  <c r="A11198" i="3"/>
  <c r="B11197" i="3"/>
  <c r="A11197" i="3"/>
  <c r="B11196" i="3"/>
  <c r="A11196" i="3"/>
  <c r="B11195" i="3"/>
  <c r="A11195" i="3"/>
  <c r="B11194" i="3"/>
  <c r="A11194" i="3"/>
  <c r="B11193" i="3"/>
  <c r="A11193" i="3"/>
  <c r="B11192" i="3"/>
  <c r="A11192" i="3"/>
  <c r="B11191" i="3"/>
  <c r="A11191" i="3"/>
  <c r="B11190" i="3"/>
  <c r="A11190" i="3"/>
  <c r="B11189" i="3"/>
  <c r="A11189" i="3"/>
  <c r="B11188" i="3"/>
  <c r="A11188" i="3"/>
  <c r="B11187" i="3"/>
  <c r="A11187" i="3"/>
  <c r="B11186" i="3"/>
  <c r="A11186" i="3"/>
  <c r="B11185" i="3"/>
  <c r="A11185" i="3"/>
  <c r="B11184" i="3"/>
  <c r="A11184" i="3"/>
  <c r="B11183" i="3"/>
  <c r="A11183" i="3"/>
  <c r="B11182" i="3"/>
  <c r="A11182" i="3"/>
  <c r="B11181" i="3"/>
  <c r="A11181" i="3"/>
  <c r="B11180" i="3"/>
  <c r="A11180" i="3"/>
  <c r="B11179" i="3"/>
  <c r="A11179" i="3"/>
  <c r="B11178" i="3"/>
  <c r="A11178" i="3"/>
  <c r="B11177" i="3"/>
  <c r="A11177" i="3"/>
  <c r="B11176" i="3"/>
  <c r="A11176" i="3"/>
  <c r="B11175" i="3"/>
  <c r="A11175" i="3"/>
  <c r="B11174" i="3"/>
  <c r="A11174" i="3"/>
  <c r="B11173" i="3"/>
  <c r="A11173" i="3"/>
  <c r="B11172" i="3"/>
  <c r="A11172" i="3"/>
  <c r="B11171" i="3"/>
  <c r="A11171" i="3"/>
  <c r="B11170" i="3"/>
  <c r="A11170" i="3"/>
  <c r="B11169" i="3"/>
  <c r="A11169" i="3"/>
  <c r="B11168" i="3"/>
  <c r="A11168" i="3"/>
  <c r="B11167" i="3"/>
  <c r="A11167" i="3"/>
  <c r="B11166" i="3"/>
  <c r="A11166" i="3"/>
  <c r="B11165" i="3"/>
  <c r="A11165" i="3"/>
  <c r="B11164" i="3"/>
  <c r="A11164" i="3"/>
  <c r="B11163" i="3"/>
  <c r="A11163" i="3"/>
  <c r="B11162" i="3"/>
  <c r="A11162" i="3"/>
  <c r="B11161" i="3"/>
  <c r="A11161" i="3"/>
  <c r="B11160" i="3"/>
  <c r="A11160" i="3"/>
  <c r="B11159" i="3"/>
  <c r="A11159" i="3"/>
  <c r="B11158" i="3"/>
  <c r="A11158" i="3"/>
  <c r="B11157" i="3"/>
  <c r="A11157" i="3"/>
  <c r="B11156" i="3"/>
  <c r="A11156" i="3"/>
  <c r="B11155" i="3"/>
  <c r="A11155" i="3"/>
  <c r="B11154" i="3"/>
  <c r="A11154" i="3"/>
  <c r="B11153" i="3"/>
  <c r="A11153" i="3"/>
  <c r="B11152" i="3"/>
  <c r="A11152" i="3"/>
  <c r="B11151" i="3"/>
  <c r="A11151" i="3"/>
  <c r="B11150" i="3"/>
  <c r="A11150" i="3"/>
  <c r="B11149" i="3"/>
  <c r="A11149" i="3"/>
  <c r="B11148" i="3"/>
  <c r="A11148" i="3"/>
  <c r="B11147" i="3"/>
  <c r="A11147" i="3"/>
  <c r="B11146" i="3"/>
  <c r="A11146" i="3"/>
  <c r="B11145" i="3"/>
  <c r="A11145" i="3"/>
  <c r="B11144" i="3"/>
  <c r="A11144" i="3"/>
  <c r="B11143" i="3"/>
  <c r="A11143" i="3"/>
  <c r="B11142" i="3"/>
  <c r="A11142" i="3"/>
  <c r="B11141" i="3"/>
  <c r="B11140" i="3"/>
  <c r="A11140" i="3"/>
  <c r="B11139" i="3"/>
  <c r="A11139" i="3"/>
  <c r="B11138" i="3"/>
  <c r="A11138" i="3"/>
  <c r="B11137" i="3"/>
  <c r="A11137" i="3"/>
  <c r="B11136" i="3"/>
  <c r="A11136" i="3"/>
  <c r="B11135" i="3"/>
  <c r="A11135" i="3"/>
  <c r="B11134" i="3"/>
  <c r="A11134" i="3"/>
  <c r="B11133" i="3"/>
  <c r="A11133" i="3"/>
  <c r="B11132" i="3"/>
  <c r="A11132" i="3"/>
  <c r="B11131" i="3"/>
  <c r="A11131" i="3"/>
  <c r="B11130" i="3"/>
  <c r="A11130" i="3"/>
  <c r="B11129" i="3"/>
  <c r="A11129" i="3"/>
  <c r="B11128" i="3"/>
  <c r="A11128" i="3"/>
  <c r="B11127" i="3"/>
  <c r="A11127" i="3"/>
  <c r="B11126" i="3"/>
  <c r="A11126" i="3"/>
  <c r="B11125" i="3"/>
  <c r="A11125" i="3"/>
  <c r="B11124" i="3"/>
  <c r="A11124" i="3"/>
  <c r="B11123" i="3"/>
  <c r="A11123" i="3"/>
  <c r="B11122" i="3"/>
  <c r="A11122" i="3"/>
  <c r="B11121" i="3"/>
  <c r="A11121" i="3"/>
  <c r="B11120" i="3"/>
  <c r="A11120" i="3"/>
  <c r="B11119" i="3"/>
  <c r="A11119" i="3"/>
  <c r="B11118" i="3"/>
  <c r="A11118" i="3"/>
  <c r="B11117" i="3"/>
  <c r="A11117" i="3"/>
  <c r="B11116" i="3"/>
  <c r="B11115" i="3"/>
  <c r="A11115" i="3"/>
  <c r="B11114" i="3"/>
  <c r="A11114" i="3"/>
  <c r="B11113" i="3"/>
  <c r="A11113" i="3"/>
  <c r="B11112" i="3"/>
  <c r="A11112" i="3"/>
  <c r="B11111" i="3"/>
  <c r="A11111" i="3"/>
  <c r="B11110" i="3"/>
  <c r="A11110" i="3"/>
  <c r="B11109" i="3"/>
  <c r="A11109" i="3"/>
  <c r="B11108" i="3"/>
  <c r="A11108" i="3"/>
  <c r="B11107" i="3"/>
  <c r="A11107" i="3"/>
  <c r="B11106" i="3"/>
  <c r="A11106" i="3"/>
  <c r="B11105" i="3"/>
  <c r="A11105" i="3"/>
  <c r="B11104" i="3"/>
  <c r="A11104" i="3"/>
  <c r="B11103" i="3"/>
  <c r="A11103" i="3"/>
  <c r="B11102" i="3"/>
  <c r="A11102" i="3"/>
  <c r="B11101" i="3"/>
  <c r="A11101" i="3"/>
  <c r="B11100" i="3"/>
  <c r="A11100" i="3"/>
  <c r="B11099" i="3"/>
  <c r="A11099" i="3"/>
  <c r="B11098" i="3"/>
  <c r="A11098" i="3"/>
  <c r="B11097" i="3"/>
  <c r="A11097" i="3"/>
  <c r="B11096" i="3"/>
  <c r="A11096" i="3"/>
  <c r="B11095" i="3"/>
  <c r="A11095" i="3"/>
  <c r="B11094" i="3"/>
  <c r="A11094" i="3"/>
  <c r="B11093" i="3"/>
  <c r="A11093" i="3"/>
  <c r="B11092" i="3"/>
  <c r="A11092" i="3"/>
  <c r="B11091" i="3"/>
  <c r="A11091" i="3"/>
  <c r="B11090" i="3"/>
  <c r="A11090" i="3"/>
  <c r="B11089" i="3"/>
  <c r="A11089" i="3"/>
  <c r="B11088" i="3"/>
  <c r="A11088" i="3"/>
  <c r="B11087" i="3"/>
  <c r="A11087" i="3"/>
  <c r="B11086" i="3"/>
  <c r="A11086" i="3"/>
  <c r="B11085" i="3"/>
  <c r="A11085" i="3"/>
  <c r="B11084" i="3"/>
  <c r="A11084" i="3"/>
  <c r="B11083" i="3"/>
  <c r="A11083" i="3"/>
  <c r="B11082" i="3"/>
  <c r="A11082" i="3"/>
  <c r="B11081" i="3"/>
  <c r="A11081" i="3"/>
  <c r="B11080" i="3"/>
  <c r="A11080" i="3"/>
  <c r="B11079" i="3"/>
  <c r="A11079" i="3"/>
  <c r="B11078" i="3"/>
  <c r="A11078" i="3"/>
  <c r="B11077" i="3"/>
  <c r="A11077" i="3"/>
  <c r="B11076" i="3"/>
  <c r="A11076" i="3"/>
  <c r="B11075" i="3"/>
  <c r="A11075" i="3"/>
  <c r="B11074" i="3"/>
  <c r="A11074" i="3"/>
  <c r="B11073" i="3"/>
  <c r="A11073" i="3"/>
  <c r="B11072" i="3"/>
  <c r="A11072" i="3"/>
  <c r="B11071" i="3"/>
  <c r="A11071" i="3"/>
  <c r="B11070" i="3"/>
  <c r="A11070" i="3"/>
  <c r="B11069" i="3"/>
  <c r="A11069" i="3"/>
  <c r="B11068" i="3"/>
  <c r="A11068" i="3"/>
  <c r="B11067" i="3"/>
  <c r="A11067" i="3"/>
  <c r="B11066" i="3"/>
  <c r="A11066" i="3"/>
  <c r="B11065" i="3"/>
  <c r="A11065" i="3"/>
  <c r="B11064" i="3"/>
  <c r="A11064" i="3"/>
  <c r="B11063" i="3"/>
  <c r="A11063" i="3"/>
  <c r="B11062" i="3"/>
  <c r="A11062" i="3"/>
  <c r="B11061" i="3"/>
  <c r="A11061" i="3"/>
  <c r="B11060" i="3"/>
  <c r="A11060" i="3"/>
  <c r="B11059" i="3"/>
  <c r="A11059" i="3"/>
  <c r="B11058" i="3"/>
  <c r="A11058" i="3"/>
  <c r="B11057" i="3"/>
  <c r="A11057" i="3"/>
  <c r="B11056" i="3"/>
  <c r="A11056" i="3"/>
  <c r="B11055" i="3"/>
  <c r="A11055" i="3"/>
  <c r="B11054" i="3"/>
  <c r="A11054" i="3"/>
  <c r="B11053" i="3"/>
  <c r="A11053" i="3"/>
  <c r="B11052" i="3"/>
  <c r="A11052" i="3"/>
  <c r="B11051" i="3"/>
  <c r="A11051" i="3"/>
  <c r="B11050" i="3"/>
  <c r="A11050" i="3"/>
  <c r="B11049" i="3"/>
  <c r="A11049" i="3"/>
  <c r="B11048" i="3"/>
  <c r="A11048" i="3"/>
  <c r="B11047" i="3"/>
  <c r="A11047" i="3"/>
  <c r="B11046" i="3"/>
  <c r="A11046" i="3"/>
  <c r="B11045" i="3"/>
  <c r="A11045" i="3"/>
  <c r="B11044" i="3"/>
  <c r="A11044" i="3"/>
  <c r="B11043" i="3"/>
  <c r="A11043" i="3"/>
  <c r="B11042" i="3"/>
  <c r="A11042" i="3"/>
  <c r="B11041" i="3"/>
  <c r="A11041" i="3"/>
  <c r="B11040" i="3"/>
  <c r="A11040" i="3"/>
  <c r="B11039" i="3"/>
  <c r="A11039" i="3"/>
  <c r="B11038" i="3"/>
  <c r="A11038" i="3"/>
  <c r="B11037" i="3"/>
  <c r="A11037" i="3"/>
  <c r="B11036" i="3"/>
  <c r="A11036" i="3"/>
  <c r="B11035" i="3"/>
  <c r="A11035" i="3"/>
  <c r="B11034" i="3"/>
  <c r="A11034" i="3"/>
  <c r="B11033" i="3"/>
  <c r="A11033" i="3"/>
  <c r="B11032" i="3"/>
  <c r="A11032" i="3"/>
  <c r="B11031" i="3"/>
  <c r="A11031" i="3"/>
  <c r="B11030" i="3"/>
  <c r="A11030" i="3"/>
  <c r="B11029" i="3"/>
  <c r="A11029" i="3"/>
  <c r="B11028" i="3"/>
  <c r="A11028" i="3"/>
  <c r="B11027" i="3"/>
  <c r="A11027" i="3"/>
  <c r="B11026" i="3"/>
  <c r="A11026" i="3"/>
  <c r="B11025" i="3"/>
  <c r="A11025" i="3"/>
  <c r="B11024" i="3"/>
  <c r="A11024" i="3"/>
  <c r="B11023" i="3"/>
  <c r="A11023" i="3"/>
  <c r="B11022" i="3"/>
  <c r="A11022" i="3"/>
  <c r="B11021" i="3"/>
  <c r="A11021" i="3"/>
  <c r="B11020" i="3"/>
  <c r="A11020" i="3"/>
  <c r="B11019" i="3"/>
  <c r="A11019" i="3"/>
  <c r="B11018" i="3"/>
  <c r="A11018" i="3"/>
  <c r="B11017" i="3"/>
  <c r="A11017" i="3"/>
  <c r="B11016" i="3"/>
  <c r="A11016" i="3"/>
  <c r="B11015" i="3"/>
  <c r="A11015" i="3"/>
  <c r="B11014" i="3"/>
  <c r="A11014" i="3"/>
  <c r="B11013" i="3"/>
  <c r="A11013" i="3"/>
  <c r="B11012" i="3"/>
  <c r="A11012" i="3"/>
  <c r="B11011" i="3"/>
  <c r="A11011" i="3"/>
  <c r="B11010" i="3"/>
  <c r="A11010" i="3"/>
  <c r="B11009" i="3"/>
  <c r="A11009" i="3"/>
  <c r="B11008" i="3"/>
  <c r="A11008" i="3"/>
  <c r="B11007" i="3"/>
  <c r="A11007" i="3"/>
  <c r="B11006" i="3"/>
  <c r="A11006" i="3"/>
  <c r="B11005" i="3"/>
  <c r="A11005" i="3"/>
  <c r="B11004" i="3"/>
  <c r="A11004" i="3"/>
  <c r="B11003" i="3"/>
  <c r="A11003" i="3"/>
  <c r="B11002" i="3"/>
  <c r="A11002" i="3"/>
  <c r="B11001" i="3"/>
  <c r="A11001" i="3"/>
  <c r="B11000" i="3"/>
  <c r="A11000" i="3"/>
  <c r="B10999" i="3"/>
  <c r="A10999" i="3"/>
  <c r="B10998" i="3"/>
  <c r="A10998" i="3"/>
  <c r="B10997" i="3"/>
  <c r="A10997" i="3"/>
  <c r="B10996" i="3"/>
  <c r="A10996" i="3"/>
  <c r="B10995" i="3"/>
  <c r="A10995" i="3"/>
  <c r="B10994" i="3"/>
  <c r="A10994" i="3"/>
  <c r="B10993" i="3"/>
  <c r="A10993" i="3"/>
  <c r="B10992" i="3"/>
  <c r="A10992" i="3"/>
  <c r="B10991" i="3"/>
  <c r="A10991" i="3"/>
  <c r="B10990" i="3"/>
  <c r="A10990" i="3"/>
  <c r="B10989" i="3"/>
  <c r="A10989" i="3"/>
  <c r="B10988" i="3"/>
  <c r="A10988" i="3"/>
  <c r="B10987" i="3"/>
  <c r="A10987" i="3"/>
  <c r="B10986" i="3"/>
  <c r="A10986" i="3"/>
  <c r="B10985" i="3"/>
  <c r="A10985" i="3"/>
  <c r="B10984" i="3"/>
  <c r="A10984" i="3"/>
  <c r="B10983" i="3"/>
  <c r="A10983" i="3"/>
  <c r="B10982" i="3"/>
  <c r="A10982" i="3"/>
  <c r="B10981" i="3"/>
  <c r="A10981" i="3"/>
  <c r="B10980" i="3"/>
  <c r="A10980" i="3"/>
  <c r="B10979" i="3"/>
  <c r="A10979" i="3"/>
  <c r="B10978" i="3"/>
  <c r="A10978" i="3"/>
  <c r="B10977" i="3"/>
  <c r="A10977" i="3"/>
  <c r="B10976" i="3"/>
  <c r="A10976" i="3"/>
  <c r="B10975" i="3"/>
  <c r="A10975" i="3"/>
  <c r="B10974" i="3"/>
  <c r="A10974" i="3"/>
  <c r="B10973" i="3"/>
  <c r="A10973" i="3"/>
  <c r="B10972" i="3"/>
  <c r="A10972" i="3"/>
  <c r="B10971" i="3"/>
  <c r="A10971" i="3"/>
  <c r="B10970" i="3"/>
  <c r="A10970" i="3"/>
  <c r="B10969" i="3"/>
  <c r="A10969" i="3"/>
  <c r="B10968" i="3"/>
  <c r="A10968" i="3"/>
  <c r="B10967" i="3"/>
  <c r="A10967" i="3"/>
  <c r="B10966" i="3"/>
  <c r="A10966" i="3"/>
  <c r="B10965" i="3"/>
  <c r="B10964" i="3"/>
  <c r="A10964" i="3"/>
  <c r="B10963" i="3"/>
  <c r="A10963" i="3"/>
  <c r="B10962" i="3"/>
  <c r="A10962" i="3"/>
  <c r="B10961" i="3"/>
  <c r="A10961" i="3"/>
  <c r="B10960" i="3"/>
  <c r="A10960" i="3"/>
  <c r="B10959" i="3"/>
  <c r="A10959" i="3"/>
  <c r="B10958" i="3"/>
  <c r="A10958" i="3"/>
  <c r="B10957" i="3"/>
  <c r="A10957" i="3"/>
  <c r="B10956" i="3"/>
  <c r="A10956" i="3"/>
  <c r="B10955" i="3"/>
  <c r="A10955" i="3"/>
  <c r="B10954" i="3"/>
  <c r="A10954" i="3"/>
  <c r="B10953" i="3"/>
  <c r="A10953" i="3"/>
  <c r="B10952" i="3"/>
  <c r="A10952" i="3"/>
  <c r="B10951" i="3"/>
  <c r="A10951" i="3"/>
  <c r="B10950" i="3"/>
  <c r="A10950" i="3"/>
  <c r="B10949" i="3"/>
  <c r="A10949" i="3"/>
  <c r="B10948" i="3"/>
  <c r="A10948" i="3"/>
  <c r="B10947" i="3"/>
  <c r="A10947" i="3"/>
  <c r="B10946" i="3"/>
  <c r="A10946" i="3"/>
  <c r="B10945" i="3"/>
  <c r="A10945" i="3"/>
  <c r="B10944" i="3"/>
  <c r="A10944" i="3"/>
  <c r="B10943" i="3"/>
  <c r="A10943" i="3"/>
  <c r="B10942" i="3"/>
  <c r="A10942" i="3"/>
  <c r="B10941" i="3"/>
  <c r="A10941" i="3"/>
  <c r="B10940" i="3"/>
  <c r="A10940" i="3"/>
  <c r="B10939" i="3"/>
  <c r="A10939" i="3"/>
  <c r="B10938" i="3"/>
  <c r="A10938" i="3"/>
  <c r="B10937" i="3"/>
  <c r="A10937" i="3"/>
  <c r="B10936" i="3"/>
  <c r="A10936" i="3"/>
  <c r="B10935" i="3"/>
  <c r="A10935" i="3"/>
  <c r="B10934" i="3"/>
  <c r="A10934" i="3"/>
  <c r="B10933" i="3"/>
  <c r="A10933" i="3"/>
  <c r="B10932" i="3"/>
  <c r="A10932" i="3"/>
  <c r="B10931" i="3"/>
  <c r="A10931" i="3"/>
  <c r="B10930" i="3"/>
  <c r="A10930" i="3"/>
  <c r="B10929" i="3"/>
  <c r="A10929" i="3"/>
  <c r="B10928" i="3"/>
  <c r="A10928" i="3"/>
  <c r="B10927" i="3"/>
  <c r="A10927" i="3"/>
  <c r="B10926" i="3"/>
  <c r="A10926" i="3"/>
  <c r="B10925" i="3"/>
  <c r="A10925" i="3"/>
  <c r="B10924" i="3"/>
  <c r="A10924" i="3"/>
  <c r="B10923" i="3"/>
  <c r="A10923" i="3"/>
  <c r="B10922" i="3"/>
  <c r="A10922" i="3"/>
  <c r="B10921" i="3"/>
  <c r="A10921" i="3"/>
  <c r="B10920" i="3"/>
  <c r="A10920" i="3"/>
  <c r="B10919" i="3"/>
  <c r="A10919" i="3"/>
  <c r="B10918" i="3"/>
  <c r="A10918" i="3"/>
  <c r="B10917" i="3"/>
  <c r="A10917" i="3"/>
  <c r="B10916" i="3"/>
  <c r="A10916" i="3"/>
  <c r="B10915" i="3"/>
  <c r="A10915" i="3"/>
  <c r="B10914" i="3"/>
  <c r="A10914" i="3"/>
  <c r="B10913" i="3"/>
  <c r="A10913" i="3"/>
  <c r="B10912" i="3"/>
  <c r="A10912" i="3"/>
  <c r="B10911" i="3"/>
  <c r="A10911" i="3"/>
  <c r="B10910" i="3"/>
  <c r="A10910" i="3"/>
  <c r="B10909" i="3"/>
  <c r="A10909" i="3"/>
  <c r="B10908" i="3"/>
  <c r="A10908" i="3"/>
  <c r="B10907" i="3"/>
  <c r="A10907" i="3"/>
  <c r="B10906" i="3"/>
  <c r="A10906" i="3"/>
  <c r="B10905" i="3"/>
  <c r="A10905" i="3"/>
  <c r="B10904" i="3"/>
  <c r="A10904" i="3"/>
  <c r="B10903" i="3"/>
  <c r="A10903" i="3"/>
  <c r="B10902" i="3"/>
  <c r="A10902" i="3"/>
  <c r="B10901" i="3"/>
  <c r="A10901" i="3"/>
  <c r="B10900" i="3"/>
  <c r="A10900" i="3"/>
  <c r="B10899" i="3"/>
  <c r="A10899" i="3"/>
  <c r="B10898" i="3"/>
  <c r="A10898" i="3"/>
  <c r="B10897" i="3"/>
  <c r="A10897" i="3"/>
  <c r="B10896" i="3"/>
  <c r="A10896" i="3"/>
  <c r="B10895" i="3"/>
  <c r="A10895" i="3"/>
  <c r="B10894" i="3"/>
  <c r="A10894" i="3"/>
  <c r="B10893" i="3"/>
  <c r="A10893" i="3"/>
  <c r="B10892" i="3"/>
  <c r="A10892" i="3"/>
  <c r="B10891" i="3"/>
  <c r="A10891" i="3"/>
  <c r="B10890" i="3"/>
  <c r="A10890" i="3"/>
  <c r="B10889" i="3"/>
  <c r="A10889" i="3"/>
  <c r="B10888" i="3"/>
  <c r="A10888" i="3"/>
  <c r="B10887" i="3"/>
  <c r="A10887" i="3"/>
  <c r="B10886" i="3"/>
  <c r="A10886" i="3"/>
  <c r="B10885" i="3"/>
  <c r="A10885" i="3"/>
  <c r="B10884" i="3"/>
  <c r="A10884" i="3"/>
  <c r="B10883" i="3"/>
  <c r="A10883" i="3"/>
  <c r="B10882" i="3"/>
  <c r="A10882" i="3"/>
  <c r="B10881" i="3"/>
  <c r="A10881" i="3"/>
  <c r="B10880" i="3"/>
  <c r="A10880" i="3"/>
  <c r="B10879" i="3"/>
  <c r="A10879" i="3"/>
  <c r="B10878" i="3"/>
  <c r="A10878" i="3"/>
  <c r="B10877" i="3"/>
  <c r="A10877" i="3"/>
  <c r="B10876" i="3"/>
  <c r="A10876" i="3"/>
  <c r="B10875" i="3"/>
  <c r="A10875" i="3"/>
  <c r="B10874" i="3"/>
  <c r="A10874" i="3"/>
  <c r="B10873" i="3"/>
  <c r="A10873" i="3"/>
  <c r="B10872" i="3"/>
  <c r="A10872" i="3"/>
  <c r="B10871" i="3"/>
  <c r="A10871" i="3"/>
  <c r="B10870" i="3"/>
  <c r="A10870" i="3"/>
  <c r="B10869" i="3"/>
  <c r="A10869" i="3"/>
  <c r="B10868" i="3"/>
  <c r="A10868" i="3"/>
  <c r="B10867" i="3"/>
  <c r="A10867" i="3"/>
  <c r="B10866" i="3"/>
  <c r="A10866" i="3"/>
  <c r="B10865" i="3"/>
  <c r="A10865" i="3"/>
  <c r="B10864" i="3"/>
  <c r="A10864" i="3"/>
  <c r="B10863" i="3"/>
  <c r="A10863" i="3"/>
  <c r="B10862" i="3"/>
  <c r="A10862" i="3"/>
  <c r="B10861" i="3"/>
  <c r="A10861" i="3"/>
  <c r="B10860" i="3"/>
  <c r="A10860" i="3"/>
  <c r="B10859" i="3"/>
  <c r="A10859" i="3"/>
  <c r="B10858" i="3"/>
  <c r="A10858" i="3"/>
  <c r="B10857" i="3"/>
  <c r="A10857" i="3"/>
  <c r="B10856" i="3"/>
  <c r="A10856" i="3"/>
  <c r="B10855" i="3"/>
  <c r="A10855" i="3"/>
  <c r="B10854" i="3"/>
  <c r="A10854" i="3"/>
  <c r="B10853" i="3"/>
  <c r="A10853" i="3"/>
  <c r="B10852" i="3"/>
  <c r="A10852" i="3"/>
  <c r="B10851" i="3"/>
  <c r="A10851" i="3"/>
  <c r="B10850" i="3"/>
  <c r="A10850" i="3"/>
  <c r="B10849" i="3"/>
  <c r="A10849" i="3"/>
  <c r="B10848" i="3"/>
  <c r="A10848" i="3"/>
  <c r="B10847" i="3"/>
  <c r="A10847" i="3"/>
  <c r="B10846" i="3"/>
  <c r="A10846" i="3"/>
  <c r="B10845" i="3"/>
  <c r="A10845" i="3"/>
  <c r="B10844" i="3"/>
  <c r="A10844" i="3"/>
  <c r="B10843" i="3"/>
  <c r="A10843" i="3"/>
  <c r="B10842" i="3"/>
  <c r="A10842" i="3"/>
  <c r="B10841" i="3"/>
  <c r="A10841" i="3"/>
  <c r="B10840" i="3"/>
  <c r="A10840" i="3"/>
  <c r="B10839" i="3"/>
  <c r="A10839" i="3"/>
  <c r="B10838" i="3"/>
  <c r="A10838" i="3"/>
  <c r="B10837" i="3"/>
  <c r="A10837" i="3"/>
  <c r="B10836" i="3"/>
  <c r="A10836" i="3"/>
  <c r="B10835" i="3"/>
  <c r="A10835" i="3"/>
  <c r="B10834" i="3"/>
  <c r="A10834" i="3"/>
  <c r="B10833" i="3"/>
  <c r="A10833" i="3"/>
  <c r="B10832" i="3"/>
  <c r="A10832" i="3"/>
  <c r="B10831" i="3"/>
  <c r="A10831" i="3"/>
  <c r="B10830" i="3"/>
  <c r="A10830" i="3"/>
  <c r="B10829" i="3"/>
  <c r="A10829" i="3"/>
  <c r="B10828" i="3"/>
  <c r="A10828" i="3"/>
  <c r="B10827" i="3"/>
  <c r="A10827" i="3"/>
  <c r="B10826" i="3"/>
  <c r="A10826" i="3"/>
  <c r="B10825" i="3"/>
  <c r="A10825" i="3"/>
  <c r="B10824" i="3"/>
  <c r="A10824" i="3"/>
  <c r="B10823" i="3"/>
  <c r="A10823" i="3"/>
  <c r="B10822" i="3"/>
  <c r="A10822" i="3"/>
  <c r="B10821" i="3"/>
  <c r="A10821" i="3"/>
  <c r="B10820" i="3"/>
  <c r="A10820" i="3"/>
  <c r="B10819" i="3"/>
  <c r="A10819" i="3"/>
  <c r="B10818" i="3"/>
  <c r="A10818" i="3"/>
  <c r="B10817" i="3"/>
  <c r="A10817" i="3"/>
  <c r="B10816" i="3"/>
  <c r="A10816" i="3"/>
  <c r="B10815" i="3"/>
  <c r="A10815" i="3"/>
  <c r="B10814" i="3"/>
  <c r="A10814" i="3"/>
  <c r="B10813" i="3"/>
  <c r="B10812" i="3"/>
  <c r="A10812" i="3"/>
  <c r="B10811" i="3"/>
  <c r="A10811" i="3"/>
  <c r="B10810" i="3"/>
  <c r="A10810" i="3"/>
  <c r="B10809" i="3"/>
  <c r="A10809" i="3"/>
  <c r="B10808" i="3"/>
  <c r="A10808" i="3"/>
  <c r="B10807" i="3"/>
  <c r="A10807" i="3"/>
  <c r="B10806" i="3"/>
  <c r="A10806" i="3"/>
  <c r="B10805" i="3"/>
  <c r="A10805" i="3"/>
  <c r="B10804" i="3"/>
  <c r="A10804" i="3"/>
  <c r="B10803" i="3"/>
  <c r="A10803" i="3"/>
  <c r="B10802" i="3"/>
  <c r="A10802" i="3"/>
  <c r="B10801" i="3"/>
  <c r="A10801" i="3"/>
  <c r="B10800" i="3"/>
  <c r="A10800" i="3"/>
  <c r="B10799" i="3"/>
  <c r="A10799" i="3"/>
  <c r="B10798" i="3"/>
  <c r="A10798" i="3"/>
  <c r="B10797" i="3"/>
  <c r="A10797" i="3"/>
  <c r="B10796" i="3"/>
  <c r="A10796" i="3"/>
  <c r="B10795" i="3"/>
  <c r="A10795" i="3"/>
  <c r="B10794" i="3"/>
  <c r="A10794" i="3"/>
  <c r="B10793" i="3"/>
  <c r="A10793" i="3"/>
  <c r="B10792" i="3"/>
  <c r="A10792" i="3"/>
  <c r="B10791" i="3"/>
  <c r="A10791" i="3"/>
  <c r="B10790" i="3"/>
  <c r="A10790" i="3"/>
  <c r="B10789" i="3"/>
  <c r="A10789" i="3"/>
  <c r="B10788" i="3"/>
  <c r="A10788" i="3"/>
  <c r="B10787" i="3"/>
  <c r="A10787" i="3"/>
  <c r="B10786" i="3"/>
  <c r="A10786" i="3"/>
  <c r="B10785" i="3"/>
  <c r="A10785" i="3"/>
  <c r="B10784" i="3"/>
  <c r="A10784" i="3"/>
  <c r="B10783" i="3"/>
  <c r="A10783" i="3"/>
  <c r="B10782" i="3"/>
  <c r="A10782" i="3"/>
  <c r="B10781" i="3"/>
  <c r="A10781" i="3"/>
  <c r="B10780" i="3"/>
  <c r="A10780" i="3"/>
  <c r="B10779" i="3"/>
  <c r="A10779" i="3"/>
  <c r="B10778" i="3"/>
  <c r="A10778" i="3"/>
  <c r="B10777" i="3"/>
  <c r="A10777" i="3"/>
  <c r="B10776" i="3"/>
  <c r="A10776" i="3"/>
  <c r="B10775" i="3"/>
  <c r="A10775" i="3"/>
  <c r="B10774" i="3"/>
  <c r="A10774" i="3"/>
  <c r="B10773" i="3"/>
  <c r="A10773" i="3"/>
  <c r="B10772" i="3"/>
  <c r="A10772" i="3"/>
  <c r="B10771" i="3"/>
  <c r="B10770" i="3"/>
  <c r="A10770" i="3"/>
  <c r="B10769" i="3"/>
  <c r="B10768" i="3"/>
  <c r="A10768" i="3"/>
  <c r="B10767" i="3"/>
  <c r="A10767" i="3"/>
  <c r="B10766" i="3"/>
  <c r="A10766" i="3"/>
  <c r="B10765" i="3"/>
  <c r="A10765" i="3"/>
  <c r="B10764" i="3"/>
  <c r="A10764" i="3"/>
  <c r="B10763" i="3"/>
  <c r="A10763" i="3"/>
  <c r="B10762" i="3"/>
  <c r="A10762" i="3"/>
  <c r="B10761" i="3"/>
  <c r="A10761" i="3"/>
  <c r="B10760" i="3"/>
  <c r="A10760" i="3"/>
  <c r="B10759" i="3"/>
  <c r="A10759" i="3"/>
  <c r="B10758" i="3"/>
  <c r="A10758" i="3"/>
  <c r="B10757" i="3"/>
  <c r="A10757" i="3"/>
  <c r="B10756" i="3"/>
  <c r="A10756" i="3"/>
  <c r="B10755" i="3"/>
  <c r="A10755" i="3"/>
  <c r="B10754" i="3"/>
  <c r="A10754" i="3"/>
  <c r="B10753" i="3"/>
  <c r="A10753" i="3"/>
  <c r="B10752" i="3"/>
  <c r="A10752" i="3"/>
  <c r="B10751" i="3"/>
  <c r="A10751" i="3"/>
  <c r="B10750" i="3"/>
  <c r="A10750" i="3"/>
  <c r="B10749" i="3"/>
  <c r="A10749" i="3"/>
  <c r="B10748" i="3"/>
  <c r="A10748" i="3"/>
  <c r="B10747" i="3"/>
  <c r="A10747" i="3"/>
  <c r="B10746" i="3"/>
  <c r="A10746" i="3"/>
  <c r="B10745" i="3"/>
  <c r="A10745" i="3"/>
  <c r="B10744" i="3"/>
  <c r="A10744" i="3"/>
  <c r="B10743" i="3"/>
  <c r="A10743" i="3"/>
  <c r="B10742" i="3"/>
  <c r="A10742" i="3"/>
  <c r="B10741" i="3"/>
  <c r="A10741" i="3"/>
  <c r="B10740" i="3"/>
  <c r="A10740" i="3"/>
  <c r="B10739" i="3"/>
  <c r="A10739" i="3"/>
  <c r="B10738" i="3"/>
  <c r="A10738" i="3"/>
  <c r="B10737" i="3"/>
  <c r="A10737" i="3"/>
  <c r="B10736" i="3"/>
  <c r="A10736" i="3"/>
  <c r="B10735" i="3"/>
  <c r="A10735" i="3"/>
  <c r="B10734" i="3"/>
  <c r="A10734" i="3"/>
  <c r="B10733" i="3"/>
  <c r="A10733" i="3"/>
  <c r="B10732" i="3"/>
  <c r="A10732" i="3"/>
  <c r="B10731" i="3"/>
  <c r="A10731" i="3"/>
  <c r="B10730" i="3"/>
  <c r="A10730" i="3"/>
  <c r="B10729" i="3"/>
  <c r="A10729" i="3"/>
  <c r="B10728" i="3"/>
  <c r="A10728" i="3"/>
  <c r="B10727" i="3"/>
  <c r="A10727" i="3"/>
  <c r="B10726" i="3"/>
  <c r="A10726" i="3"/>
  <c r="B10725" i="3"/>
  <c r="A10725" i="3"/>
  <c r="B10724" i="3"/>
  <c r="A10724" i="3"/>
  <c r="B10723" i="3"/>
  <c r="A10723" i="3"/>
  <c r="B10722" i="3"/>
  <c r="A10722" i="3"/>
  <c r="B10721" i="3"/>
  <c r="A10721" i="3"/>
  <c r="B10720" i="3"/>
  <c r="A10720" i="3"/>
  <c r="B10719" i="3"/>
  <c r="A10719" i="3"/>
  <c r="B10718" i="3"/>
  <c r="A10718" i="3"/>
  <c r="B10717" i="3"/>
  <c r="A10717" i="3"/>
  <c r="B10716" i="3"/>
  <c r="A10716" i="3"/>
  <c r="B10715" i="3"/>
  <c r="A10715" i="3"/>
  <c r="B10714" i="3"/>
  <c r="A10714" i="3"/>
  <c r="B10713" i="3"/>
  <c r="A10713" i="3"/>
  <c r="B10712" i="3"/>
  <c r="A10712" i="3"/>
  <c r="B10711" i="3"/>
  <c r="A10711" i="3"/>
  <c r="B10710" i="3"/>
  <c r="A10710" i="3"/>
  <c r="B10709" i="3"/>
  <c r="A10709" i="3"/>
  <c r="B10708" i="3"/>
  <c r="A10708" i="3"/>
  <c r="B10707" i="3"/>
  <c r="A10707" i="3"/>
  <c r="B10706" i="3"/>
  <c r="A10706" i="3"/>
  <c r="B10705" i="3"/>
  <c r="A10705" i="3"/>
  <c r="B10704" i="3"/>
  <c r="A10704" i="3"/>
  <c r="B10703" i="3"/>
  <c r="A10703" i="3"/>
  <c r="B10702" i="3"/>
  <c r="A10702" i="3"/>
  <c r="B10701" i="3"/>
  <c r="A10701" i="3"/>
  <c r="B10700" i="3"/>
  <c r="A10700" i="3"/>
  <c r="B10699" i="3"/>
  <c r="A10699" i="3"/>
  <c r="B10698" i="3"/>
  <c r="A10698" i="3"/>
  <c r="B10697" i="3"/>
  <c r="A10697" i="3"/>
  <c r="B10696" i="3"/>
  <c r="A10696" i="3"/>
  <c r="B10695" i="3"/>
  <c r="A10695" i="3"/>
  <c r="B10694" i="3"/>
  <c r="A10694" i="3"/>
  <c r="B10693" i="3"/>
  <c r="A10693" i="3"/>
  <c r="B10692" i="3"/>
  <c r="A10692" i="3"/>
  <c r="B10691" i="3"/>
  <c r="B10690" i="3"/>
  <c r="A10690" i="3"/>
  <c r="B10689" i="3"/>
  <c r="A10689" i="3"/>
  <c r="B10688" i="3"/>
  <c r="A10688" i="3"/>
  <c r="B10687" i="3"/>
  <c r="A10687" i="3"/>
  <c r="B10686" i="3"/>
  <c r="A10686" i="3"/>
  <c r="B10685" i="3"/>
  <c r="A10685" i="3"/>
  <c r="B10684" i="3"/>
  <c r="A10684" i="3"/>
  <c r="B10683" i="3"/>
  <c r="A10683" i="3"/>
  <c r="B10682" i="3"/>
  <c r="A10682" i="3"/>
  <c r="B10681" i="3"/>
  <c r="A10681" i="3"/>
  <c r="B10680" i="3"/>
  <c r="A10680" i="3"/>
  <c r="B10679" i="3"/>
  <c r="A10679" i="3"/>
  <c r="B10678" i="3"/>
  <c r="A10678" i="3"/>
  <c r="B10677" i="3"/>
  <c r="A10677" i="3"/>
  <c r="B10676" i="3"/>
  <c r="A10676" i="3"/>
  <c r="B10675" i="3"/>
  <c r="A10675" i="3"/>
  <c r="B10674" i="3"/>
  <c r="A10674" i="3"/>
  <c r="B10673" i="3"/>
  <c r="A10673" i="3"/>
  <c r="B10672" i="3"/>
  <c r="A10672" i="3"/>
  <c r="B10671" i="3"/>
  <c r="A10671" i="3"/>
  <c r="B10670" i="3"/>
  <c r="A10670" i="3"/>
  <c r="B10669" i="3"/>
  <c r="A10669" i="3"/>
  <c r="B10668" i="3"/>
  <c r="A10668" i="3"/>
  <c r="B10667" i="3"/>
  <c r="A10667" i="3"/>
  <c r="B10666" i="3"/>
  <c r="A10666" i="3"/>
  <c r="B10665" i="3"/>
  <c r="A10665" i="3"/>
  <c r="B10664" i="3"/>
  <c r="A10664" i="3"/>
  <c r="B10663" i="3"/>
  <c r="A10663" i="3"/>
  <c r="B10662" i="3"/>
  <c r="A10662" i="3"/>
  <c r="B10661" i="3"/>
  <c r="A10661" i="3"/>
  <c r="B10660" i="3"/>
  <c r="A10660" i="3"/>
  <c r="B10659" i="3"/>
  <c r="A10659" i="3"/>
  <c r="B10658" i="3"/>
  <c r="A10658" i="3"/>
  <c r="B10657" i="3"/>
  <c r="A10657" i="3"/>
  <c r="B10656" i="3"/>
  <c r="A10656" i="3"/>
  <c r="B10655" i="3"/>
  <c r="A10655" i="3"/>
  <c r="B10654" i="3"/>
  <c r="A10654" i="3"/>
  <c r="B10653" i="3"/>
  <c r="A10653" i="3"/>
  <c r="B10652" i="3"/>
  <c r="A10652" i="3"/>
  <c r="B10651" i="3"/>
  <c r="A10651" i="3"/>
  <c r="B10650" i="3"/>
  <c r="A10650" i="3"/>
  <c r="B10649" i="3"/>
  <c r="A10649" i="3"/>
  <c r="B10648" i="3"/>
  <c r="A10648" i="3"/>
  <c r="B10647" i="3"/>
  <c r="A10647" i="3"/>
  <c r="B10646" i="3"/>
  <c r="A10646" i="3"/>
  <c r="B10645" i="3"/>
  <c r="A10645" i="3"/>
  <c r="B10644" i="3"/>
  <c r="A10644" i="3"/>
  <c r="B10643" i="3"/>
  <c r="A10643" i="3"/>
  <c r="B10642" i="3"/>
  <c r="A10642" i="3"/>
  <c r="B10641" i="3"/>
  <c r="A10641" i="3"/>
  <c r="B10640" i="3"/>
  <c r="A10640" i="3"/>
  <c r="B10639" i="3"/>
  <c r="A10639" i="3"/>
  <c r="B10638" i="3"/>
  <c r="A10638" i="3"/>
  <c r="B10637" i="3"/>
  <c r="A10637" i="3"/>
  <c r="B10636" i="3"/>
  <c r="A10636" i="3"/>
  <c r="B10635" i="3"/>
  <c r="A10635" i="3"/>
  <c r="B10634" i="3"/>
  <c r="A10634" i="3"/>
  <c r="B10633" i="3"/>
  <c r="A10633" i="3"/>
  <c r="B10632" i="3"/>
  <c r="A10632" i="3"/>
  <c r="B10631" i="3"/>
  <c r="A10631" i="3"/>
  <c r="B10630" i="3"/>
  <c r="A10630" i="3"/>
  <c r="B10629" i="3"/>
  <c r="A10629" i="3"/>
  <c r="B10628" i="3"/>
  <c r="A10628" i="3"/>
  <c r="B10627" i="3"/>
  <c r="A10627" i="3"/>
  <c r="B10626" i="3"/>
  <c r="A10626" i="3"/>
  <c r="B10625" i="3"/>
  <c r="A10625" i="3"/>
  <c r="B10624" i="3"/>
  <c r="A10624" i="3"/>
  <c r="B10623" i="3"/>
  <c r="A10623" i="3"/>
  <c r="B10622" i="3"/>
  <c r="A10622" i="3"/>
  <c r="B10621" i="3"/>
  <c r="A10621" i="3"/>
  <c r="B10620" i="3"/>
  <c r="A10620" i="3"/>
  <c r="B10619" i="3"/>
  <c r="A10619" i="3"/>
  <c r="B10618" i="3"/>
  <c r="A10618" i="3"/>
  <c r="B10617" i="3"/>
  <c r="A10617" i="3"/>
  <c r="B10616" i="3"/>
  <c r="A10616" i="3"/>
  <c r="B10615" i="3"/>
  <c r="A10615" i="3"/>
  <c r="B10614" i="3"/>
  <c r="A10614" i="3"/>
  <c r="B10613" i="3"/>
  <c r="A10613" i="3"/>
  <c r="B10612" i="3"/>
  <c r="A10612" i="3"/>
  <c r="B10611" i="3"/>
  <c r="A10611" i="3"/>
  <c r="B10610" i="3"/>
  <c r="A10610" i="3"/>
  <c r="B10609" i="3"/>
  <c r="A10609" i="3"/>
  <c r="B10608" i="3"/>
  <c r="A10608" i="3"/>
  <c r="B10607" i="3"/>
  <c r="A10607" i="3"/>
  <c r="B10606" i="3"/>
  <c r="A10606" i="3"/>
  <c r="B10605" i="3"/>
  <c r="A10605" i="3"/>
  <c r="B10604" i="3"/>
  <c r="A10604" i="3"/>
  <c r="B10603" i="3"/>
  <c r="A10603" i="3"/>
  <c r="B10602" i="3"/>
  <c r="A10602" i="3"/>
  <c r="B10601" i="3"/>
  <c r="A10601" i="3"/>
  <c r="B10600" i="3"/>
  <c r="A10600" i="3"/>
  <c r="B10599" i="3"/>
  <c r="A10599" i="3"/>
  <c r="B10598" i="3"/>
  <c r="A10598" i="3"/>
  <c r="B10597" i="3"/>
  <c r="A10597" i="3"/>
  <c r="B10596" i="3"/>
  <c r="A10596" i="3"/>
  <c r="B10595" i="3"/>
  <c r="A10595" i="3"/>
  <c r="B10594" i="3"/>
  <c r="A10594" i="3"/>
  <c r="B10593" i="3"/>
  <c r="A10593" i="3"/>
  <c r="B10592" i="3"/>
  <c r="A10592" i="3"/>
  <c r="B10591" i="3"/>
  <c r="A10591" i="3"/>
  <c r="B10590" i="3"/>
  <c r="A10590" i="3"/>
  <c r="B10589" i="3"/>
  <c r="A10589" i="3"/>
  <c r="B10588" i="3"/>
  <c r="A10588" i="3"/>
  <c r="B10587" i="3"/>
  <c r="A10587" i="3"/>
  <c r="B10586" i="3"/>
  <c r="A10586" i="3"/>
  <c r="B10585" i="3"/>
  <c r="A10585" i="3"/>
  <c r="B10584" i="3"/>
  <c r="A10584" i="3"/>
  <c r="B10583" i="3"/>
  <c r="A10583" i="3"/>
  <c r="B10582" i="3"/>
  <c r="A10582" i="3"/>
  <c r="B10581" i="3"/>
  <c r="A10581" i="3"/>
  <c r="B10580" i="3"/>
  <c r="A10580" i="3"/>
  <c r="B10579" i="3"/>
  <c r="A10579" i="3"/>
  <c r="B10578" i="3"/>
  <c r="A10578" i="3"/>
  <c r="B10577" i="3"/>
  <c r="A10577" i="3"/>
  <c r="B10576" i="3"/>
  <c r="A10576" i="3"/>
  <c r="B10575" i="3"/>
  <c r="A10575" i="3"/>
  <c r="B10574" i="3"/>
  <c r="A10574" i="3"/>
  <c r="B10573" i="3"/>
  <c r="A10573" i="3"/>
  <c r="B10572" i="3"/>
  <c r="A10572" i="3"/>
  <c r="B10571" i="3"/>
  <c r="A10571" i="3"/>
  <c r="B10570" i="3"/>
  <c r="A10570" i="3"/>
  <c r="B10569" i="3"/>
  <c r="A10569" i="3"/>
  <c r="B10568" i="3"/>
  <c r="A10568" i="3"/>
  <c r="B10567" i="3"/>
  <c r="A10567" i="3"/>
  <c r="B10566" i="3"/>
  <c r="A10566" i="3"/>
  <c r="B10565" i="3"/>
  <c r="A10565" i="3"/>
  <c r="B10564" i="3"/>
  <c r="A10564" i="3"/>
  <c r="B10563" i="3"/>
  <c r="A10563" i="3"/>
  <c r="B10562" i="3"/>
  <c r="A10562" i="3"/>
  <c r="B10561" i="3"/>
  <c r="A10561" i="3"/>
  <c r="B10560" i="3"/>
  <c r="A10560" i="3"/>
  <c r="B10559" i="3"/>
  <c r="A10559" i="3"/>
  <c r="B10558" i="3"/>
  <c r="A10558" i="3"/>
  <c r="B10557" i="3"/>
  <c r="A10557" i="3"/>
  <c r="B10556" i="3"/>
  <c r="A10556" i="3"/>
  <c r="B10555" i="3"/>
  <c r="A10555" i="3"/>
  <c r="B10554" i="3"/>
  <c r="A10554" i="3"/>
  <c r="B10553" i="3"/>
  <c r="A10553" i="3"/>
  <c r="B10552" i="3"/>
  <c r="A10552" i="3"/>
  <c r="B10551" i="3"/>
  <c r="A10551" i="3"/>
  <c r="B10550" i="3"/>
  <c r="A10550" i="3"/>
  <c r="B10549" i="3"/>
  <c r="A10549" i="3"/>
  <c r="B10548" i="3"/>
  <c r="A10548" i="3"/>
  <c r="B10547" i="3"/>
  <c r="A10547" i="3"/>
  <c r="B10546" i="3"/>
  <c r="A10546" i="3"/>
  <c r="B10545" i="3"/>
  <c r="A10545" i="3"/>
  <c r="B10544" i="3"/>
  <c r="A10544" i="3"/>
  <c r="B10543" i="3"/>
  <c r="A10543" i="3"/>
  <c r="B10542" i="3"/>
  <c r="A10542" i="3"/>
  <c r="B10541" i="3"/>
  <c r="A10541" i="3"/>
  <c r="B10540" i="3"/>
  <c r="A10540" i="3"/>
  <c r="B10539" i="3"/>
  <c r="A10539" i="3"/>
  <c r="B10538" i="3"/>
  <c r="A10538" i="3"/>
  <c r="B10537" i="3"/>
  <c r="A10537" i="3"/>
  <c r="B10536" i="3"/>
  <c r="A10536" i="3"/>
  <c r="B10535" i="3"/>
  <c r="A10535" i="3"/>
  <c r="B10534" i="3"/>
  <c r="A10534" i="3"/>
  <c r="B10533" i="3"/>
  <c r="A10533" i="3"/>
  <c r="B10532" i="3"/>
  <c r="A10532" i="3"/>
  <c r="B10531" i="3"/>
  <c r="A10531" i="3"/>
  <c r="B10530" i="3"/>
  <c r="A10530" i="3"/>
  <c r="B10529" i="3"/>
  <c r="A10529" i="3"/>
  <c r="B10528" i="3"/>
  <c r="A10528" i="3"/>
  <c r="B10527" i="3"/>
  <c r="A10527" i="3"/>
  <c r="B10526" i="3"/>
  <c r="A10526" i="3"/>
  <c r="B10525" i="3"/>
  <c r="A10525" i="3"/>
  <c r="B10524" i="3"/>
  <c r="A10524" i="3"/>
  <c r="B10523" i="3"/>
  <c r="A10523" i="3"/>
  <c r="B10522" i="3"/>
  <c r="A10522" i="3"/>
  <c r="B10521" i="3"/>
  <c r="A10521" i="3"/>
  <c r="B10520" i="3"/>
  <c r="A10520" i="3"/>
  <c r="B10519" i="3"/>
  <c r="A10519" i="3"/>
  <c r="B10518" i="3"/>
  <c r="A10518" i="3"/>
  <c r="B10517" i="3"/>
  <c r="A10517" i="3"/>
  <c r="B10516" i="3"/>
  <c r="A10516" i="3"/>
  <c r="B10515" i="3"/>
  <c r="A10515" i="3"/>
  <c r="B10514" i="3"/>
  <c r="A10514" i="3"/>
  <c r="B10513" i="3"/>
  <c r="A10513" i="3"/>
  <c r="B10512" i="3"/>
  <c r="A10512" i="3"/>
  <c r="B10511" i="3"/>
  <c r="A10511" i="3"/>
  <c r="B10510" i="3"/>
  <c r="A10510" i="3"/>
  <c r="B10509" i="3"/>
  <c r="A10509" i="3"/>
  <c r="B10508" i="3"/>
  <c r="A10508" i="3"/>
  <c r="B10507" i="3"/>
  <c r="A10507" i="3"/>
  <c r="B10506" i="3"/>
  <c r="A10506" i="3"/>
  <c r="B10505" i="3"/>
  <c r="A10505" i="3"/>
  <c r="B10504" i="3"/>
  <c r="A10504" i="3"/>
  <c r="B10503" i="3"/>
  <c r="A10503" i="3"/>
  <c r="B10502" i="3"/>
  <c r="A10502" i="3"/>
  <c r="B10501" i="3"/>
  <c r="A10501" i="3"/>
  <c r="B10500" i="3"/>
  <c r="A10500" i="3"/>
  <c r="B10499" i="3"/>
  <c r="A10499" i="3"/>
  <c r="B10498" i="3"/>
  <c r="A10498" i="3"/>
  <c r="B10497" i="3"/>
  <c r="A10497" i="3"/>
  <c r="B10496" i="3"/>
  <c r="A10496" i="3"/>
  <c r="B10495" i="3"/>
  <c r="A10495" i="3"/>
  <c r="B10494" i="3"/>
  <c r="A10494" i="3"/>
  <c r="B10493" i="3"/>
  <c r="A10493" i="3"/>
  <c r="B10492" i="3"/>
  <c r="A10492" i="3"/>
  <c r="B10491" i="3"/>
  <c r="A10491" i="3"/>
  <c r="B10490" i="3"/>
  <c r="A10490" i="3"/>
  <c r="B10489" i="3"/>
  <c r="A10489" i="3"/>
  <c r="B10488" i="3"/>
  <c r="A10488" i="3"/>
  <c r="B10487" i="3"/>
  <c r="A10487" i="3"/>
  <c r="B10486" i="3"/>
  <c r="A10486" i="3"/>
  <c r="B10485" i="3"/>
  <c r="A10485" i="3"/>
  <c r="B10484" i="3"/>
  <c r="A10484" i="3"/>
  <c r="B10483" i="3"/>
  <c r="A10483" i="3"/>
  <c r="B10482" i="3"/>
  <c r="A10482" i="3"/>
  <c r="B10481" i="3"/>
  <c r="A10481" i="3"/>
  <c r="B10480" i="3"/>
  <c r="A10480" i="3"/>
  <c r="B10479" i="3"/>
  <c r="A10479" i="3"/>
  <c r="B10478" i="3"/>
  <c r="A10478" i="3"/>
  <c r="B10477" i="3"/>
  <c r="A10477" i="3"/>
  <c r="B10476" i="3"/>
  <c r="A10476" i="3"/>
  <c r="B10475" i="3"/>
  <c r="A10475" i="3"/>
  <c r="B10474" i="3"/>
  <c r="A10474" i="3"/>
  <c r="B10473" i="3"/>
  <c r="A10473" i="3"/>
  <c r="B10472" i="3"/>
  <c r="A10472" i="3"/>
  <c r="B10471" i="3"/>
  <c r="A10471" i="3"/>
  <c r="B10470" i="3"/>
  <c r="A10470" i="3"/>
  <c r="B10469" i="3"/>
  <c r="A10469" i="3"/>
  <c r="B10468" i="3"/>
  <c r="A10468" i="3"/>
  <c r="B10467" i="3"/>
  <c r="A10467" i="3"/>
  <c r="B10466" i="3"/>
  <c r="A10466" i="3"/>
  <c r="B10465" i="3"/>
  <c r="A10465" i="3"/>
  <c r="B10464" i="3"/>
  <c r="A10464" i="3"/>
  <c r="B10463" i="3"/>
  <c r="A10463" i="3"/>
  <c r="B10462" i="3"/>
  <c r="A10462" i="3"/>
  <c r="B10461" i="3"/>
  <c r="A10461" i="3"/>
  <c r="B10460" i="3"/>
  <c r="A10460" i="3"/>
  <c r="B10459" i="3"/>
  <c r="A10459" i="3"/>
  <c r="B10458" i="3"/>
  <c r="A10458" i="3"/>
  <c r="B10457" i="3"/>
  <c r="A10457" i="3"/>
  <c r="B10456" i="3"/>
  <c r="A10456" i="3"/>
  <c r="B10455" i="3"/>
  <c r="A10455" i="3"/>
  <c r="B10454" i="3"/>
  <c r="A10454" i="3"/>
  <c r="B10453" i="3"/>
  <c r="A10453" i="3"/>
  <c r="B10452" i="3"/>
  <c r="A10452" i="3"/>
  <c r="B10451" i="3"/>
  <c r="A10451" i="3"/>
  <c r="B10450" i="3"/>
  <c r="A10450" i="3"/>
  <c r="B10449" i="3"/>
  <c r="A10449" i="3"/>
  <c r="B10448" i="3"/>
  <c r="A10448" i="3"/>
  <c r="B10447" i="3"/>
  <c r="A10447" i="3"/>
  <c r="B10446" i="3"/>
  <c r="A10446" i="3"/>
  <c r="B10445" i="3"/>
  <c r="A10445" i="3"/>
  <c r="B10444" i="3"/>
  <c r="A10444" i="3"/>
  <c r="B10443" i="3"/>
  <c r="A10443" i="3"/>
  <c r="B10442" i="3"/>
  <c r="A10442" i="3"/>
  <c r="B10441" i="3"/>
  <c r="A10441" i="3"/>
  <c r="B10440" i="3"/>
  <c r="A10440" i="3"/>
  <c r="B10439" i="3"/>
  <c r="A10439" i="3"/>
  <c r="B10438" i="3"/>
  <c r="A10438" i="3"/>
  <c r="B10437" i="3"/>
  <c r="A10437" i="3"/>
  <c r="B10436" i="3"/>
  <c r="A10436" i="3"/>
  <c r="B10435" i="3"/>
  <c r="A10435" i="3"/>
  <c r="B10434" i="3"/>
  <c r="A10434" i="3"/>
  <c r="B10433" i="3"/>
  <c r="A10433" i="3"/>
  <c r="B10432" i="3"/>
  <c r="A10432" i="3"/>
  <c r="B10431" i="3"/>
  <c r="A10431" i="3"/>
  <c r="B10430" i="3"/>
  <c r="A10430" i="3"/>
  <c r="B10429" i="3"/>
  <c r="A10429" i="3"/>
  <c r="B10428" i="3"/>
  <c r="A10428" i="3"/>
  <c r="B10427" i="3"/>
  <c r="A10427" i="3"/>
  <c r="B10426" i="3"/>
  <c r="A10426" i="3"/>
  <c r="B10425" i="3"/>
  <c r="A10425" i="3"/>
  <c r="B10424" i="3"/>
  <c r="A10424" i="3"/>
  <c r="B10423" i="3"/>
  <c r="A10423" i="3"/>
  <c r="B10422" i="3"/>
  <c r="A10422" i="3"/>
  <c r="B10421" i="3"/>
  <c r="A10421" i="3"/>
  <c r="B10420" i="3"/>
  <c r="A10420" i="3"/>
  <c r="B10419" i="3"/>
  <c r="A10419" i="3"/>
  <c r="B10418" i="3"/>
  <c r="A10418" i="3"/>
  <c r="B10417" i="3"/>
  <c r="A10417" i="3"/>
  <c r="B10416" i="3"/>
  <c r="A10416" i="3"/>
  <c r="B10415" i="3"/>
  <c r="A10415" i="3"/>
  <c r="B10414" i="3"/>
  <c r="A10414" i="3"/>
  <c r="B10413" i="3"/>
  <c r="A10413" i="3"/>
  <c r="B10412" i="3"/>
  <c r="A10412" i="3"/>
  <c r="B10411" i="3"/>
  <c r="A10411" i="3"/>
  <c r="B10410" i="3"/>
  <c r="A10410" i="3"/>
  <c r="B10409" i="3"/>
  <c r="A10409" i="3"/>
  <c r="B10408" i="3"/>
  <c r="A10408" i="3"/>
  <c r="B10407" i="3"/>
  <c r="A10407" i="3"/>
  <c r="B10406" i="3"/>
  <c r="A10406" i="3"/>
  <c r="B10405" i="3"/>
  <c r="A10405" i="3"/>
  <c r="B10404" i="3"/>
  <c r="A10404" i="3"/>
  <c r="B10403" i="3"/>
  <c r="A10403" i="3"/>
  <c r="B10402" i="3"/>
  <c r="A10402" i="3"/>
  <c r="B10401" i="3"/>
  <c r="A10401" i="3"/>
  <c r="B10400" i="3"/>
  <c r="A10400" i="3"/>
  <c r="B10399" i="3"/>
  <c r="A10399" i="3"/>
  <c r="B10398" i="3"/>
  <c r="A10398" i="3"/>
  <c r="B10397" i="3"/>
  <c r="A10397" i="3"/>
  <c r="B10396" i="3"/>
  <c r="A10396" i="3"/>
  <c r="B10395" i="3"/>
  <c r="A10395" i="3"/>
  <c r="B10394" i="3"/>
  <c r="A10394" i="3"/>
  <c r="B10393" i="3"/>
  <c r="A10393" i="3"/>
  <c r="B10392" i="3"/>
  <c r="A10392" i="3"/>
  <c r="B10391" i="3"/>
  <c r="A10391" i="3"/>
  <c r="B10390" i="3"/>
  <c r="A10390" i="3"/>
  <c r="B10389" i="3"/>
  <c r="A10389" i="3"/>
  <c r="B10388" i="3"/>
  <c r="A10388" i="3"/>
  <c r="B10387" i="3"/>
  <c r="A10387" i="3"/>
  <c r="B10386" i="3"/>
  <c r="A10386" i="3"/>
  <c r="B10385" i="3"/>
  <c r="A10385" i="3"/>
  <c r="B10384" i="3"/>
  <c r="A10384" i="3"/>
  <c r="B10383" i="3"/>
  <c r="A10383" i="3"/>
  <c r="B10382" i="3"/>
  <c r="A10382" i="3"/>
  <c r="B10381" i="3"/>
  <c r="A10381" i="3"/>
  <c r="B10380" i="3"/>
  <c r="A10380" i="3"/>
  <c r="B10379" i="3"/>
  <c r="A10379" i="3"/>
  <c r="B10378" i="3"/>
  <c r="A10378" i="3"/>
  <c r="B10377" i="3"/>
  <c r="A10377" i="3"/>
  <c r="B10376" i="3"/>
  <c r="A10376" i="3"/>
  <c r="B10375" i="3"/>
  <c r="A10375" i="3"/>
  <c r="B10374" i="3"/>
  <c r="A10374" i="3"/>
  <c r="B10373" i="3"/>
  <c r="A10373" i="3"/>
  <c r="B10372" i="3"/>
  <c r="A10372" i="3"/>
  <c r="B10371" i="3"/>
  <c r="A10371" i="3"/>
  <c r="B10370" i="3"/>
  <c r="A10370" i="3"/>
  <c r="B10369" i="3"/>
  <c r="A10369" i="3"/>
  <c r="B10368" i="3"/>
  <c r="A10368" i="3"/>
  <c r="B10367" i="3"/>
  <c r="A10367" i="3"/>
  <c r="B10366" i="3"/>
  <c r="A10366" i="3"/>
  <c r="B10365" i="3"/>
  <c r="A10365" i="3"/>
  <c r="B10364" i="3"/>
  <c r="A10364" i="3"/>
  <c r="B10363" i="3"/>
  <c r="A10363" i="3"/>
  <c r="B10362" i="3"/>
  <c r="A10362" i="3"/>
  <c r="B10361" i="3"/>
  <c r="A10361" i="3"/>
  <c r="B10360" i="3"/>
  <c r="A10360" i="3"/>
  <c r="B10359" i="3"/>
  <c r="A10359" i="3"/>
  <c r="B10358" i="3"/>
  <c r="A10358" i="3"/>
  <c r="B10357" i="3"/>
  <c r="A10357" i="3"/>
  <c r="B10356" i="3"/>
  <c r="A10356" i="3"/>
  <c r="B10355" i="3"/>
  <c r="A10355" i="3"/>
  <c r="B10354" i="3"/>
  <c r="A10354" i="3"/>
  <c r="B10353" i="3"/>
  <c r="A10353" i="3"/>
  <c r="B10352" i="3"/>
  <c r="A10352" i="3"/>
  <c r="B10351" i="3"/>
  <c r="A10351" i="3"/>
  <c r="B10350" i="3"/>
  <c r="A10350" i="3"/>
  <c r="B10349" i="3"/>
  <c r="A10349" i="3"/>
  <c r="B10348" i="3"/>
  <c r="A10348" i="3"/>
  <c r="B10347" i="3"/>
  <c r="A10347" i="3"/>
  <c r="B10346" i="3"/>
  <c r="A10346" i="3"/>
  <c r="B10345" i="3"/>
  <c r="A10345" i="3"/>
  <c r="B10344" i="3"/>
  <c r="A10344" i="3"/>
  <c r="B10343" i="3"/>
  <c r="A10343" i="3"/>
  <c r="B10342" i="3"/>
  <c r="A10342" i="3"/>
  <c r="B10341" i="3"/>
  <c r="A10341" i="3"/>
  <c r="B10340" i="3"/>
  <c r="A10340" i="3"/>
  <c r="B10339" i="3"/>
  <c r="A10339" i="3"/>
  <c r="B10338" i="3"/>
  <c r="A10338" i="3"/>
  <c r="B10337" i="3"/>
  <c r="A10337" i="3"/>
  <c r="B10336" i="3"/>
  <c r="A10336" i="3"/>
  <c r="B10335" i="3"/>
  <c r="A10335" i="3"/>
  <c r="B10334" i="3"/>
  <c r="A10334" i="3"/>
  <c r="B10333" i="3"/>
  <c r="A10333" i="3"/>
  <c r="B10332" i="3"/>
  <c r="A10332" i="3"/>
  <c r="B10331" i="3"/>
  <c r="A10331" i="3"/>
  <c r="B10330" i="3"/>
  <c r="A10330" i="3"/>
  <c r="B10329" i="3"/>
  <c r="A10329" i="3"/>
  <c r="B10328" i="3"/>
  <c r="A10328" i="3"/>
  <c r="B10327" i="3"/>
  <c r="A10327" i="3"/>
  <c r="B10326" i="3"/>
  <c r="A10326" i="3"/>
  <c r="B10325" i="3"/>
  <c r="A10325" i="3"/>
  <c r="B10324" i="3"/>
  <c r="A10324" i="3"/>
  <c r="B10323" i="3"/>
  <c r="A10323" i="3"/>
  <c r="B10322" i="3"/>
  <c r="A10322" i="3"/>
  <c r="B10321" i="3"/>
  <c r="A10321" i="3"/>
  <c r="B10320" i="3"/>
  <c r="A10320" i="3"/>
  <c r="B10319" i="3"/>
  <c r="A10319" i="3"/>
  <c r="B10318" i="3"/>
  <c r="A10318" i="3"/>
  <c r="B10317" i="3"/>
  <c r="A10317" i="3"/>
  <c r="B10316" i="3"/>
  <c r="A10316" i="3"/>
  <c r="B10315" i="3"/>
  <c r="A10315" i="3"/>
  <c r="B10314" i="3"/>
  <c r="A10314" i="3"/>
  <c r="B10313" i="3"/>
  <c r="A10313" i="3"/>
  <c r="B10312" i="3"/>
  <c r="A10312" i="3"/>
  <c r="B10311" i="3"/>
  <c r="A10311" i="3"/>
  <c r="B10310" i="3"/>
  <c r="A10310" i="3"/>
  <c r="B10309" i="3"/>
  <c r="A10309" i="3"/>
  <c r="B10308" i="3"/>
  <c r="A10308" i="3"/>
  <c r="B10307" i="3"/>
  <c r="A10307" i="3"/>
  <c r="B10306" i="3"/>
  <c r="A10306" i="3"/>
  <c r="B10305" i="3"/>
  <c r="A10305" i="3"/>
  <c r="B10304" i="3"/>
  <c r="A10304" i="3"/>
  <c r="B10303" i="3"/>
  <c r="A10303" i="3"/>
  <c r="B10302" i="3"/>
  <c r="A10302" i="3"/>
  <c r="B10301" i="3"/>
  <c r="A10301" i="3"/>
  <c r="B10300" i="3"/>
  <c r="A10300" i="3"/>
  <c r="B10299" i="3"/>
  <c r="A10299" i="3"/>
  <c r="B10298" i="3"/>
  <c r="A10298" i="3"/>
  <c r="B10297" i="3"/>
  <c r="A10297" i="3"/>
  <c r="B10296" i="3"/>
  <c r="A10296" i="3"/>
  <c r="B10295" i="3"/>
  <c r="A10295" i="3"/>
  <c r="B10294" i="3"/>
  <c r="A10294" i="3"/>
  <c r="B10293" i="3"/>
  <c r="A10293" i="3"/>
  <c r="B10292" i="3"/>
  <c r="A10292" i="3"/>
  <c r="B10291" i="3"/>
  <c r="A10291" i="3"/>
  <c r="B10290" i="3"/>
  <c r="A10290" i="3"/>
  <c r="B10289" i="3"/>
  <c r="A10289" i="3"/>
  <c r="B10288" i="3"/>
  <c r="A10288" i="3"/>
  <c r="B10287" i="3"/>
  <c r="A10287" i="3"/>
  <c r="B10286" i="3"/>
  <c r="A10286" i="3"/>
  <c r="B10285" i="3"/>
  <c r="A10285" i="3"/>
  <c r="B10284" i="3"/>
  <c r="A10284" i="3"/>
  <c r="B10283" i="3"/>
  <c r="A10283" i="3"/>
  <c r="B10282" i="3"/>
  <c r="A10282" i="3"/>
  <c r="B10281" i="3"/>
  <c r="A10281" i="3"/>
  <c r="B10280" i="3"/>
  <c r="A10280" i="3"/>
  <c r="B10279" i="3"/>
  <c r="A10279" i="3"/>
  <c r="B10278" i="3"/>
  <c r="A10278" i="3"/>
  <c r="B10277" i="3"/>
  <c r="A10277" i="3"/>
  <c r="B10276" i="3"/>
  <c r="A10276" i="3"/>
  <c r="B10275" i="3"/>
  <c r="A10275" i="3"/>
  <c r="B10274" i="3"/>
  <c r="A10274" i="3"/>
  <c r="B10273" i="3"/>
  <c r="A10273" i="3"/>
  <c r="B10272" i="3"/>
  <c r="A10272" i="3"/>
  <c r="B10271" i="3"/>
  <c r="A10271" i="3"/>
  <c r="B10270" i="3"/>
  <c r="A10270" i="3"/>
  <c r="B10269" i="3"/>
  <c r="A10269" i="3"/>
  <c r="B10268" i="3"/>
  <c r="A10268" i="3"/>
  <c r="B10267" i="3"/>
  <c r="A10267" i="3"/>
  <c r="B10266" i="3"/>
  <c r="A10266" i="3"/>
  <c r="B10265" i="3"/>
  <c r="A10265" i="3"/>
  <c r="B10264" i="3"/>
  <c r="A10264" i="3"/>
  <c r="B10263" i="3"/>
  <c r="A10263" i="3"/>
  <c r="B10262" i="3"/>
  <c r="A10262" i="3"/>
  <c r="B10261" i="3"/>
  <c r="A10261" i="3"/>
  <c r="B10260" i="3"/>
  <c r="A10260" i="3"/>
  <c r="B10259" i="3"/>
  <c r="A10259" i="3"/>
  <c r="B10258" i="3"/>
  <c r="A10258" i="3"/>
  <c r="B10257" i="3"/>
  <c r="A10257" i="3"/>
  <c r="B10256" i="3"/>
  <c r="A10256" i="3"/>
  <c r="B10255" i="3"/>
  <c r="A10255" i="3"/>
  <c r="B10254" i="3"/>
  <c r="A10254" i="3"/>
  <c r="B10253" i="3"/>
  <c r="A10253" i="3"/>
  <c r="B10252" i="3"/>
  <c r="A10252" i="3"/>
  <c r="B10251" i="3"/>
  <c r="A10251" i="3"/>
  <c r="B10250" i="3"/>
  <c r="A10250" i="3"/>
  <c r="B10249" i="3"/>
  <c r="A10249" i="3"/>
  <c r="B10248" i="3"/>
  <c r="A10248" i="3"/>
  <c r="B10247" i="3"/>
  <c r="A10247" i="3"/>
  <c r="B10246" i="3"/>
  <c r="A10246" i="3"/>
  <c r="B10245" i="3"/>
  <c r="A10245" i="3"/>
  <c r="B10244" i="3"/>
  <c r="A10244" i="3"/>
  <c r="B10243" i="3"/>
  <c r="A10243" i="3"/>
  <c r="B10242" i="3"/>
  <c r="A10242" i="3"/>
  <c r="B10241" i="3"/>
  <c r="A10241" i="3"/>
  <c r="B10240" i="3"/>
  <c r="A10240" i="3"/>
  <c r="B10239" i="3"/>
  <c r="A10239" i="3"/>
  <c r="B10238" i="3"/>
  <c r="A10238" i="3"/>
  <c r="B10237" i="3"/>
  <c r="A10237" i="3"/>
  <c r="B10236" i="3"/>
  <c r="A10236" i="3"/>
  <c r="B10235" i="3"/>
  <c r="A10235" i="3"/>
  <c r="B10234" i="3"/>
  <c r="A10234" i="3"/>
  <c r="B10233" i="3"/>
  <c r="A10233" i="3"/>
  <c r="B10232" i="3"/>
  <c r="A10232" i="3"/>
  <c r="B10231" i="3"/>
  <c r="A10231" i="3"/>
  <c r="B10230" i="3"/>
  <c r="A10230" i="3"/>
  <c r="B10229" i="3"/>
  <c r="A10229" i="3"/>
  <c r="B10228" i="3"/>
  <c r="A10228" i="3"/>
  <c r="B10227" i="3"/>
  <c r="A10227" i="3"/>
  <c r="B10226" i="3"/>
  <c r="A10226" i="3"/>
  <c r="B10225" i="3"/>
  <c r="A10225" i="3"/>
  <c r="B10224" i="3"/>
  <c r="A10224" i="3"/>
  <c r="B10223" i="3"/>
  <c r="A10223" i="3"/>
  <c r="B10222" i="3"/>
  <c r="A10222" i="3"/>
  <c r="B10221" i="3"/>
  <c r="A10221" i="3"/>
  <c r="B10220" i="3"/>
  <c r="A10220" i="3"/>
  <c r="B10219" i="3"/>
  <c r="A10219" i="3"/>
  <c r="B10218" i="3"/>
  <c r="A10218" i="3"/>
  <c r="B10217" i="3"/>
  <c r="A10217" i="3"/>
  <c r="B10216" i="3"/>
  <c r="A10216" i="3"/>
  <c r="B10215" i="3"/>
  <c r="A10215" i="3"/>
  <c r="B10214" i="3"/>
  <c r="A10214" i="3"/>
  <c r="B10213" i="3"/>
  <c r="A10213" i="3"/>
  <c r="B10212" i="3"/>
  <c r="A10212" i="3"/>
  <c r="B10211" i="3"/>
  <c r="A10211" i="3"/>
  <c r="B10210" i="3"/>
  <c r="A10210" i="3"/>
  <c r="B10209" i="3"/>
  <c r="A10209" i="3"/>
  <c r="B10208" i="3"/>
  <c r="A10208" i="3"/>
  <c r="B10207" i="3"/>
  <c r="A10207" i="3"/>
  <c r="B10206" i="3"/>
  <c r="A10206" i="3"/>
  <c r="B10205" i="3"/>
  <c r="A10205" i="3"/>
  <c r="B10204" i="3"/>
  <c r="A10204" i="3"/>
  <c r="B10203" i="3"/>
  <c r="A10203" i="3"/>
  <c r="B10202" i="3"/>
  <c r="A10202" i="3"/>
  <c r="B10201" i="3"/>
  <c r="A10201" i="3"/>
  <c r="B10200" i="3"/>
  <c r="A10200" i="3"/>
  <c r="B10199" i="3"/>
  <c r="A10199" i="3"/>
  <c r="B10198" i="3"/>
  <c r="A10198" i="3"/>
  <c r="B10197" i="3"/>
  <c r="A10197" i="3"/>
  <c r="B10196" i="3"/>
  <c r="A10196" i="3"/>
  <c r="B10195" i="3"/>
  <c r="A10195" i="3"/>
  <c r="B10194" i="3"/>
  <c r="A10194" i="3"/>
  <c r="B10193" i="3"/>
  <c r="A10193" i="3"/>
  <c r="B10192" i="3"/>
  <c r="A10192" i="3"/>
  <c r="B10191" i="3"/>
  <c r="A10191" i="3"/>
  <c r="B10190" i="3"/>
  <c r="A10190" i="3"/>
  <c r="B10189" i="3"/>
  <c r="A10189" i="3"/>
  <c r="B10188" i="3"/>
  <c r="A10188" i="3"/>
  <c r="B10187" i="3"/>
  <c r="A10187" i="3"/>
  <c r="B10186" i="3"/>
  <c r="A10186" i="3"/>
  <c r="B10185" i="3"/>
  <c r="A10185" i="3"/>
  <c r="B10184" i="3"/>
  <c r="A10184" i="3"/>
  <c r="B10183" i="3"/>
  <c r="A10183" i="3"/>
  <c r="B10182" i="3"/>
  <c r="A10182" i="3"/>
  <c r="B10181" i="3"/>
  <c r="A10181" i="3"/>
  <c r="B10180" i="3"/>
  <c r="A10180" i="3"/>
  <c r="B10179" i="3"/>
  <c r="A10179" i="3"/>
  <c r="B10178" i="3"/>
  <c r="A10178" i="3"/>
  <c r="B10177" i="3"/>
  <c r="A10177" i="3"/>
  <c r="B10176" i="3"/>
  <c r="A10176" i="3"/>
  <c r="B10175" i="3"/>
  <c r="A10175" i="3"/>
  <c r="B10174" i="3"/>
  <c r="A10174" i="3"/>
  <c r="B10173" i="3"/>
  <c r="A10173" i="3"/>
  <c r="B10172" i="3"/>
  <c r="A10172" i="3"/>
  <c r="B10171" i="3"/>
  <c r="A10171" i="3"/>
  <c r="B10170" i="3"/>
  <c r="A10170" i="3"/>
  <c r="B10169" i="3"/>
  <c r="A10169" i="3"/>
  <c r="B10168" i="3"/>
  <c r="A10168" i="3"/>
  <c r="B10167" i="3"/>
  <c r="A10167" i="3"/>
  <c r="B10166" i="3"/>
  <c r="A10166" i="3"/>
  <c r="B10165" i="3"/>
  <c r="A10165" i="3"/>
  <c r="B10164" i="3"/>
  <c r="A10164" i="3"/>
  <c r="B10163" i="3"/>
  <c r="A10163" i="3"/>
  <c r="B10162" i="3"/>
  <c r="A10162" i="3"/>
  <c r="B10161" i="3"/>
  <c r="A10161" i="3"/>
  <c r="B10160" i="3"/>
  <c r="A10160" i="3"/>
  <c r="B10159" i="3"/>
  <c r="A10159" i="3"/>
  <c r="B10158" i="3"/>
  <c r="A10158" i="3"/>
  <c r="B10157" i="3"/>
  <c r="A10157" i="3"/>
  <c r="B10156" i="3"/>
  <c r="A10156" i="3"/>
  <c r="B10155" i="3"/>
  <c r="A10155" i="3"/>
  <c r="B10154" i="3"/>
  <c r="A10154" i="3"/>
  <c r="B10153" i="3"/>
  <c r="A10153" i="3"/>
  <c r="B10152" i="3"/>
  <c r="A10152" i="3"/>
  <c r="B10151" i="3"/>
  <c r="A10151" i="3"/>
  <c r="B10150" i="3"/>
  <c r="A10150" i="3"/>
  <c r="B10149" i="3"/>
  <c r="A10149" i="3"/>
  <c r="B10148" i="3"/>
  <c r="A10148" i="3"/>
  <c r="B10147" i="3"/>
  <c r="A10147" i="3"/>
  <c r="B10146" i="3"/>
  <c r="A10146" i="3"/>
  <c r="B10145" i="3"/>
  <c r="A10145" i="3"/>
  <c r="B10144" i="3"/>
  <c r="A10144" i="3"/>
  <c r="B10143" i="3"/>
  <c r="A10143" i="3"/>
  <c r="B10142" i="3"/>
  <c r="A10142" i="3"/>
  <c r="B10141" i="3"/>
  <c r="A10141" i="3"/>
  <c r="B10140" i="3"/>
  <c r="A10140" i="3"/>
  <c r="B10139" i="3"/>
  <c r="A10139" i="3"/>
  <c r="B10138" i="3"/>
  <c r="A10138" i="3"/>
  <c r="B10137" i="3"/>
  <c r="A10137" i="3"/>
  <c r="B10136" i="3"/>
  <c r="A10136" i="3"/>
  <c r="B10135" i="3"/>
  <c r="A10135" i="3"/>
  <c r="B10134" i="3"/>
  <c r="A10134" i="3"/>
  <c r="B10133" i="3"/>
  <c r="A10133" i="3"/>
  <c r="B10132" i="3"/>
  <c r="A10132" i="3"/>
  <c r="B10131" i="3"/>
  <c r="A10131" i="3"/>
  <c r="B10130" i="3"/>
  <c r="A10130" i="3"/>
  <c r="B10129" i="3"/>
  <c r="A10129" i="3"/>
  <c r="B10128" i="3"/>
  <c r="A10128" i="3"/>
  <c r="B10127" i="3"/>
  <c r="A10127" i="3"/>
  <c r="B10126" i="3"/>
  <c r="A10126" i="3"/>
  <c r="B10125" i="3"/>
  <c r="A10125" i="3"/>
  <c r="B10124" i="3"/>
  <c r="A10124" i="3"/>
  <c r="B10123" i="3"/>
  <c r="A10123" i="3"/>
  <c r="B10122" i="3"/>
  <c r="A10122" i="3"/>
  <c r="B10121" i="3"/>
  <c r="A10121" i="3"/>
  <c r="B10120" i="3"/>
  <c r="A10120" i="3"/>
  <c r="B10119" i="3"/>
  <c r="A10119" i="3"/>
  <c r="B10118" i="3"/>
  <c r="A10118" i="3"/>
  <c r="B10117" i="3"/>
  <c r="A10117" i="3"/>
  <c r="B10116" i="3"/>
  <c r="A10116" i="3"/>
  <c r="B10115" i="3"/>
  <c r="A10115" i="3"/>
  <c r="B10114" i="3"/>
  <c r="A10114" i="3"/>
  <c r="B10113" i="3"/>
  <c r="A10113" i="3"/>
  <c r="B10112" i="3"/>
  <c r="A10112" i="3"/>
  <c r="B10111" i="3"/>
  <c r="A10111" i="3"/>
  <c r="B10110" i="3"/>
  <c r="A10110" i="3"/>
  <c r="B10109" i="3"/>
  <c r="A10109" i="3"/>
  <c r="B10108" i="3"/>
  <c r="A10108" i="3"/>
  <c r="B10107" i="3"/>
  <c r="A10107" i="3"/>
  <c r="B10106" i="3"/>
  <c r="A10106" i="3"/>
  <c r="B10105" i="3"/>
  <c r="A10105" i="3"/>
  <c r="B10104" i="3"/>
  <c r="A10104" i="3"/>
  <c r="B10103" i="3"/>
  <c r="A10103" i="3"/>
  <c r="B10102" i="3"/>
  <c r="A10102" i="3"/>
  <c r="B10101" i="3"/>
  <c r="A10101" i="3"/>
  <c r="B10100" i="3"/>
  <c r="A10100" i="3"/>
  <c r="B10099" i="3"/>
  <c r="A10099" i="3"/>
  <c r="B10098" i="3"/>
  <c r="A10098" i="3"/>
  <c r="B10097" i="3"/>
  <c r="A10097" i="3"/>
  <c r="B10096" i="3"/>
  <c r="A10096" i="3"/>
  <c r="B10095" i="3"/>
  <c r="A10095" i="3"/>
  <c r="B10094" i="3"/>
  <c r="A10094" i="3"/>
  <c r="B10093" i="3"/>
  <c r="A10093" i="3"/>
  <c r="B10092" i="3"/>
  <c r="A10092" i="3"/>
  <c r="B10091" i="3"/>
  <c r="A10091" i="3"/>
  <c r="B10090" i="3"/>
  <c r="A10090" i="3"/>
  <c r="B10089" i="3"/>
  <c r="A10089" i="3"/>
  <c r="B10088" i="3"/>
  <c r="A10088" i="3"/>
  <c r="B10087" i="3"/>
  <c r="A10087" i="3"/>
  <c r="B10086" i="3"/>
  <c r="A10086" i="3"/>
  <c r="B10085" i="3"/>
  <c r="A10085" i="3"/>
  <c r="B10084" i="3"/>
  <c r="A10084" i="3"/>
  <c r="B10083" i="3"/>
  <c r="A10083" i="3"/>
  <c r="B10082" i="3"/>
  <c r="A10082" i="3"/>
  <c r="B10081" i="3"/>
  <c r="A10081" i="3"/>
  <c r="B10080" i="3"/>
  <c r="A10080" i="3"/>
  <c r="B10079" i="3"/>
  <c r="A10079" i="3"/>
  <c r="B10078" i="3"/>
  <c r="A10078" i="3"/>
  <c r="B10077" i="3"/>
  <c r="A10077" i="3"/>
  <c r="B10076" i="3"/>
  <c r="A10076" i="3"/>
  <c r="B10075" i="3"/>
  <c r="A10075" i="3"/>
  <c r="B10074" i="3"/>
  <c r="A10074" i="3"/>
  <c r="B10073" i="3"/>
  <c r="A10073" i="3"/>
  <c r="B10072" i="3"/>
  <c r="A10072" i="3"/>
  <c r="B10071" i="3"/>
  <c r="A10071" i="3"/>
  <c r="B10070" i="3"/>
  <c r="A10070" i="3"/>
  <c r="B10069" i="3"/>
  <c r="A10069" i="3"/>
  <c r="B10068" i="3"/>
  <c r="A10068" i="3"/>
  <c r="B10067" i="3"/>
  <c r="A10067" i="3"/>
  <c r="B10066" i="3"/>
  <c r="A10066" i="3"/>
  <c r="B10065" i="3"/>
  <c r="A10065" i="3"/>
  <c r="B10064" i="3"/>
  <c r="A10064" i="3"/>
  <c r="B10063" i="3"/>
  <c r="A10063" i="3"/>
  <c r="B10062" i="3"/>
  <c r="A10062" i="3"/>
  <c r="B10061" i="3"/>
  <c r="A10061" i="3"/>
  <c r="B10060" i="3"/>
  <c r="A10060" i="3"/>
  <c r="B10059" i="3"/>
  <c r="A10059" i="3"/>
  <c r="B10058" i="3"/>
  <c r="A10058" i="3"/>
  <c r="B10057" i="3"/>
  <c r="A10057" i="3"/>
  <c r="B10056" i="3"/>
  <c r="A10056" i="3"/>
  <c r="B10055" i="3"/>
  <c r="A10055" i="3"/>
  <c r="B10054" i="3"/>
  <c r="A10054" i="3"/>
  <c r="B10053" i="3"/>
  <c r="A10053" i="3"/>
  <c r="B10052" i="3"/>
  <c r="A10052" i="3"/>
  <c r="B10051" i="3"/>
  <c r="A10051" i="3"/>
  <c r="B10050" i="3"/>
  <c r="A10050" i="3"/>
  <c r="B10049" i="3"/>
  <c r="A10049" i="3"/>
  <c r="B10048" i="3"/>
  <c r="A10048" i="3"/>
  <c r="B10047" i="3"/>
  <c r="A10047" i="3"/>
  <c r="B10046" i="3"/>
  <c r="A10046" i="3"/>
  <c r="B10045" i="3"/>
  <c r="A10045" i="3"/>
  <c r="B10044" i="3"/>
  <c r="A10044" i="3"/>
  <c r="B10043" i="3"/>
  <c r="A10043" i="3"/>
  <c r="B10042" i="3"/>
  <c r="A10042" i="3"/>
  <c r="B10041" i="3"/>
  <c r="A10041" i="3"/>
  <c r="B10040" i="3"/>
  <c r="A10040" i="3"/>
  <c r="B10039" i="3"/>
  <c r="A10039" i="3"/>
  <c r="B10038" i="3"/>
  <c r="A10038" i="3"/>
  <c r="B10037" i="3"/>
  <c r="A10037" i="3"/>
  <c r="B10036" i="3"/>
  <c r="A10036" i="3"/>
  <c r="B10035" i="3"/>
  <c r="A10035" i="3"/>
  <c r="B10034" i="3"/>
  <c r="A10034" i="3"/>
  <c r="B10033" i="3"/>
  <c r="A10033" i="3"/>
  <c r="B10032" i="3"/>
  <c r="A10032" i="3"/>
  <c r="B10031" i="3"/>
  <c r="A10031" i="3"/>
  <c r="B10030" i="3"/>
  <c r="A10030" i="3"/>
  <c r="B10029" i="3"/>
  <c r="A10029" i="3"/>
  <c r="B10028" i="3"/>
  <c r="A10028" i="3"/>
  <c r="B10027" i="3"/>
  <c r="A10027" i="3"/>
  <c r="B10026" i="3"/>
  <c r="A10026" i="3"/>
  <c r="B10025" i="3"/>
  <c r="A10025" i="3"/>
  <c r="B10024" i="3"/>
  <c r="A10024" i="3"/>
  <c r="B10023" i="3"/>
  <c r="A10023" i="3"/>
  <c r="B10022" i="3"/>
  <c r="A10022" i="3"/>
  <c r="B10021" i="3"/>
  <c r="A10021" i="3"/>
  <c r="B10020" i="3"/>
  <c r="A10020" i="3"/>
  <c r="B10019" i="3"/>
  <c r="A10019" i="3"/>
  <c r="B10018" i="3"/>
  <c r="A10018" i="3"/>
  <c r="B10017" i="3"/>
  <c r="A10017" i="3"/>
  <c r="B10016" i="3"/>
  <c r="A10016" i="3"/>
  <c r="B10015" i="3"/>
  <c r="B10014" i="3"/>
  <c r="A10014" i="3"/>
  <c r="B10013" i="3"/>
  <c r="A10013" i="3"/>
  <c r="B10012" i="3"/>
  <c r="A10012" i="3"/>
  <c r="B10011" i="3"/>
  <c r="A10011" i="3"/>
  <c r="B10010" i="3"/>
  <c r="A10010" i="3"/>
  <c r="B10009" i="3"/>
  <c r="A10009" i="3"/>
  <c r="B10008" i="3"/>
  <c r="A10008" i="3"/>
  <c r="B10007" i="3"/>
  <c r="A10007" i="3"/>
  <c r="B10006" i="3"/>
  <c r="A10006" i="3"/>
  <c r="B10005" i="3"/>
  <c r="A10005" i="3"/>
  <c r="B10004" i="3"/>
  <c r="A10004" i="3"/>
  <c r="B10003" i="3"/>
  <c r="A10003" i="3"/>
  <c r="B10002" i="3"/>
  <c r="A10002" i="3"/>
  <c r="B10001" i="3"/>
  <c r="A10001" i="3"/>
  <c r="B10000" i="3"/>
  <c r="A10000" i="3"/>
  <c r="B9999" i="3"/>
  <c r="A9999" i="3"/>
  <c r="B9998" i="3"/>
  <c r="A9998" i="3"/>
  <c r="B9997" i="3"/>
  <c r="A9997" i="3"/>
  <c r="B9996" i="3"/>
  <c r="A9996" i="3"/>
  <c r="B9995" i="3"/>
  <c r="A9995" i="3"/>
  <c r="B9994" i="3"/>
  <c r="A9994" i="3"/>
  <c r="B9993" i="3"/>
  <c r="A9993" i="3"/>
  <c r="B9992" i="3"/>
  <c r="A9992" i="3"/>
  <c r="B9991" i="3"/>
  <c r="A9991" i="3"/>
  <c r="B9990" i="3"/>
  <c r="A9990" i="3"/>
  <c r="B9989" i="3"/>
  <c r="A9989" i="3"/>
  <c r="B9988" i="3"/>
  <c r="A9988" i="3"/>
  <c r="B9987" i="3"/>
  <c r="A9987" i="3"/>
  <c r="B9986" i="3"/>
  <c r="A9986" i="3"/>
  <c r="B9985" i="3"/>
  <c r="A9985" i="3"/>
  <c r="B9984" i="3"/>
  <c r="A9984" i="3"/>
  <c r="B9983" i="3"/>
  <c r="A9983" i="3"/>
  <c r="B9982" i="3"/>
  <c r="A9982" i="3"/>
  <c r="B9981" i="3"/>
  <c r="A9981" i="3"/>
  <c r="B9980" i="3"/>
  <c r="A9980" i="3"/>
  <c r="B9979" i="3"/>
  <c r="A9979" i="3"/>
  <c r="B9978" i="3"/>
  <c r="A9978" i="3"/>
  <c r="B9977" i="3"/>
  <c r="A9977" i="3"/>
  <c r="B9976" i="3"/>
  <c r="A9976" i="3"/>
  <c r="B9975" i="3"/>
  <c r="A9975" i="3"/>
  <c r="B9974" i="3"/>
  <c r="A9974" i="3"/>
  <c r="B9973" i="3"/>
  <c r="A9973" i="3"/>
  <c r="B9972" i="3"/>
  <c r="A9972" i="3"/>
  <c r="B9971" i="3"/>
  <c r="A9971" i="3"/>
  <c r="B9970" i="3"/>
  <c r="A9970" i="3"/>
  <c r="B9969" i="3"/>
  <c r="A9969" i="3"/>
  <c r="B9968" i="3"/>
  <c r="A9968" i="3"/>
  <c r="B9967" i="3"/>
  <c r="A9967" i="3"/>
  <c r="B9966" i="3"/>
  <c r="A9966" i="3"/>
  <c r="B9965" i="3"/>
  <c r="A9965" i="3"/>
  <c r="B9964" i="3"/>
  <c r="A9964" i="3"/>
  <c r="B9963" i="3"/>
  <c r="A9963" i="3"/>
  <c r="B9962" i="3"/>
  <c r="A9962" i="3"/>
  <c r="B9961" i="3"/>
  <c r="A9961" i="3"/>
  <c r="B9960" i="3"/>
  <c r="A9960" i="3"/>
  <c r="B9959" i="3"/>
  <c r="A9959" i="3"/>
  <c r="B9958" i="3"/>
  <c r="A9958" i="3"/>
  <c r="B9957" i="3"/>
  <c r="A9957" i="3"/>
  <c r="B9956" i="3"/>
  <c r="A9956" i="3"/>
  <c r="B9955" i="3"/>
  <c r="A9955" i="3"/>
  <c r="B9954" i="3"/>
  <c r="A9954" i="3"/>
  <c r="B9953" i="3"/>
  <c r="A9953" i="3"/>
  <c r="B9952" i="3"/>
  <c r="A9952" i="3"/>
  <c r="B9951" i="3"/>
  <c r="A9951" i="3"/>
  <c r="B9950" i="3"/>
  <c r="A9950" i="3"/>
  <c r="B9949" i="3"/>
  <c r="A9949" i="3"/>
  <c r="B9948" i="3"/>
  <c r="A9948" i="3"/>
  <c r="B9947" i="3"/>
  <c r="A9947" i="3"/>
  <c r="B9946" i="3"/>
  <c r="A9946" i="3"/>
  <c r="B9945" i="3"/>
  <c r="A9945" i="3"/>
  <c r="B9944" i="3"/>
  <c r="A9944" i="3"/>
  <c r="B9943" i="3"/>
  <c r="A9943" i="3"/>
  <c r="B9942" i="3"/>
  <c r="A9942" i="3"/>
  <c r="B9941" i="3"/>
  <c r="A9941" i="3"/>
  <c r="B9940" i="3"/>
  <c r="A9940" i="3"/>
  <c r="B9939" i="3"/>
  <c r="A9939" i="3"/>
  <c r="B9938" i="3"/>
  <c r="A9938" i="3"/>
  <c r="B9937" i="3"/>
  <c r="A9937" i="3"/>
  <c r="B9936" i="3"/>
  <c r="A9936" i="3"/>
  <c r="B9935" i="3"/>
  <c r="A9935" i="3"/>
  <c r="B9934" i="3"/>
  <c r="A9934" i="3"/>
  <c r="B9933" i="3"/>
  <c r="A9933" i="3"/>
  <c r="B9932" i="3"/>
  <c r="A9932" i="3"/>
  <c r="B9931" i="3"/>
  <c r="A9931" i="3"/>
  <c r="B9930" i="3"/>
  <c r="A9930" i="3"/>
  <c r="B9929" i="3"/>
  <c r="A9929" i="3"/>
  <c r="B9928" i="3"/>
  <c r="A9928" i="3"/>
  <c r="B9927" i="3"/>
  <c r="A9927" i="3"/>
  <c r="B9926" i="3"/>
  <c r="A9926" i="3"/>
  <c r="B9925" i="3"/>
  <c r="A9925" i="3"/>
  <c r="B9924" i="3"/>
  <c r="A9924" i="3"/>
  <c r="B9923" i="3"/>
  <c r="A9923" i="3"/>
  <c r="B9922" i="3"/>
  <c r="A9922" i="3"/>
  <c r="B9921" i="3"/>
  <c r="A9921" i="3"/>
  <c r="B9920" i="3"/>
  <c r="A9920" i="3"/>
  <c r="B9919" i="3"/>
  <c r="A9919" i="3"/>
  <c r="B9918" i="3"/>
  <c r="A9918" i="3"/>
  <c r="B9917" i="3"/>
  <c r="A9917" i="3"/>
  <c r="B9916" i="3"/>
  <c r="A9916" i="3"/>
  <c r="B9915" i="3"/>
  <c r="A9915" i="3"/>
  <c r="B9914" i="3"/>
  <c r="A9914" i="3"/>
  <c r="B9913" i="3"/>
  <c r="A9913" i="3"/>
  <c r="B9912" i="3"/>
  <c r="A9912" i="3"/>
  <c r="B9911" i="3"/>
  <c r="A9911" i="3"/>
  <c r="B9910" i="3"/>
  <c r="A9910" i="3"/>
  <c r="B9909" i="3"/>
  <c r="A9909" i="3"/>
  <c r="B9908" i="3"/>
  <c r="A9908" i="3"/>
  <c r="B9907" i="3"/>
  <c r="A9907" i="3"/>
  <c r="B9906" i="3"/>
  <c r="A9906" i="3"/>
  <c r="B9905" i="3"/>
  <c r="A9905" i="3"/>
  <c r="B9904" i="3"/>
  <c r="A9904" i="3"/>
  <c r="B9903" i="3"/>
  <c r="A9903" i="3"/>
  <c r="B9902" i="3"/>
  <c r="A9902" i="3"/>
  <c r="B9901" i="3"/>
  <c r="A9901" i="3"/>
  <c r="B9900" i="3"/>
  <c r="A9900" i="3"/>
  <c r="B9899" i="3"/>
  <c r="A9899" i="3"/>
  <c r="B9898" i="3"/>
  <c r="A9898" i="3"/>
  <c r="B9897" i="3"/>
  <c r="A9897" i="3"/>
  <c r="B9896" i="3"/>
  <c r="A9896" i="3"/>
  <c r="B9895" i="3"/>
  <c r="A9895" i="3"/>
  <c r="B9894" i="3"/>
  <c r="A9894" i="3"/>
  <c r="B9893" i="3"/>
  <c r="A9893" i="3"/>
  <c r="B9892" i="3"/>
  <c r="A9892" i="3"/>
  <c r="B9891" i="3"/>
  <c r="A9891" i="3"/>
  <c r="B9890" i="3"/>
  <c r="A9890" i="3"/>
  <c r="B9889" i="3"/>
  <c r="A9889" i="3"/>
  <c r="B9888" i="3"/>
  <c r="A9888" i="3"/>
  <c r="B9887" i="3"/>
  <c r="A9887" i="3"/>
  <c r="B9886" i="3"/>
  <c r="A9886" i="3"/>
  <c r="B9885" i="3"/>
  <c r="A9885" i="3"/>
  <c r="B9884" i="3"/>
  <c r="A9884" i="3"/>
  <c r="B9883" i="3"/>
  <c r="A9883" i="3"/>
  <c r="B9882" i="3"/>
  <c r="A9882" i="3"/>
  <c r="B9881" i="3"/>
  <c r="A9881" i="3"/>
  <c r="B9880" i="3"/>
  <c r="A9880" i="3"/>
  <c r="B9879" i="3"/>
  <c r="A9879" i="3"/>
  <c r="B9878" i="3"/>
  <c r="A9878" i="3"/>
  <c r="B9877" i="3"/>
  <c r="A9877" i="3"/>
  <c r="B9876" i="3"/>
  <c r="A9876" i="3"/>
  <c r="B9875" i="3"/>
  <c r="A9875" i="3"/>
  <c r="B9874" i="3"/>
  <c r="A9874" i="3"/>
  <c r="B9873" i="3"/>
  <c r="A9873" i="3"/>
  <c r="B9872" i="3"/>
  <c r="A9872" i="3"/>
  <c r="B9871" i="3"/>
  <c r="A9871" i="3"/>
  <c r="B9870" i="3"/>
  <c r="A9870" i="3"/>
  <c r="B9869" i="3"/>
  <c r="A9869" i="3"/>
  <c r="B9868" i="3"/>
  <c r="A9868" i="3"/>
  <c r="B9867" i="3"/>
  <c r="A9867" i="3"/>
  <c r="B9866" i="3"/>
  <c r="A9866" i="3"/>
  <c r="B9865" i="3"/>
  <c r="A9865" i="3"/>
  <c r="B9864" i="3"/>
  <c r="A9864" i="3"/>
  <c r="B9863" i="3"/>
  <c r="A9863" i="3"/>
  <c r="B9862" i="3"/>
  <c r="A9862" i="3"/>
  <c r="B9861" i="3"/>
  <c r="A9861" i="3"/>
  <c r="B9860" i="3"/>
  <c r="A9860" i="3"/>
  <c r="B9859" i="3"/>
  <c r="A9859" i="3"/>
  <c r="B9858" i="3"/>
  <c r="A9858" i="3"/>
  <c r="B9857" i="3"/>
  <c r="A9857" i="3"/>
  <c r="B9856" i="3"/>
  <c r="A9856" i="3"/>
  <c r="B9855" i="3"/>
  <c r="A9855" i="3"/>
  <c r="B9854" i="3"/>
  <c r="A9854" i="3"/>
  <c r="B9853" i="3"/>
  <c r="A9853" i="3"/>
  <c r="B9852" i="3"/>
  <c r="A9852" i="3"/>
  <c r="B9851" i="3"/>
  <c r="A9851" i="3"/>
  <c r="B9850" i="3"/>
  <c r="A9850" i="3"/>
  <c r="B9849" i="3"/>
  <c r="A9849" i="3"/>
  <c r="B9848" i="3"/>
  <c r="A9848" i="3"/>
  <c r="B9847" i="3"/>
  <c r="A9847" i="3"/>
  <c r="B9846" i="3"/>
  <c r="A9846" i="3"/>
  <c r="B9845" i="3"/>
  <c r="A9845" i="3"/>
  <c r="B9844" i="3"/>
  <c r="A9844" i="3"/>
  <c r="B9843" i="3"/>
  <c r="A9843" i="3"/>
  <c r="B9842" i="3"/>
  <c r="A9842" i="3"/>
  <c r="B9841" i="3"/>
  <c r="A9841" i="3"/>
  <c r="B9840" i="3"/>
  <c r="A9840" i="3"/>
  <c r="B9839" i="3"/>
  <c r="A9839" i="3"/>
  <c r="B9838" i="3"/>
  <c r="A9838" i="3"/>
  <c r="B9837" i="3"/>
  <c r="A9837" i="3"/>
  <c r="B9836" i="3"/>
  <c r="A9836" i="3"/>
  <c r="B9835" i="3"/>
  <c r="A9835" i="3"/>
  <c r="B9834" i="3"/>
  <c r="A9834" i="3"/>
  <c r="B9833" i="3"/>
  <c r="A9833" i="3"/>
  <c r="B9832" i="3"/>
  <c r="A9832" i="3"/>
  <c r="B9831" i="3"/>
  <c r="A9831" i="3"/>
  <c r="B9830" i="3"/>
  <c r="A9830" i="3"/>
  <c r="B9829" i="3"/>
  <c r="A9829" i="3"/>
  <c r="B9828" i="3"/>
  <c r="A9828" i="3"/>
  <c r="B9827" i="3"/>
  <c r="A9827" i="3"/>
  <c r="B9826" i="3"/>
  <c r="A9826" i="3"/>
  <c r="B9825" i="3"/>
  <c r="A9825" i="3"/>
  <c r="B9824" i="3"/>
  <c r="A9824" i="3"/>
  <c r="B9823" i="3"/>
  <c r="A9823" i="3"/>
  <c r="B9822" i="3"/>
  <c r="A9822" i="3"/>
  <c r="B9821" i="3"/>
  <c r="A9821" i="3"/>
  <c r="B9820" i="3"/>
  <c r="A9820" i="3"/>
  <c r="B9819" i="3"/>
  <c r="A9819" i="3"/>
  <c r="B9818" i="3"/>
  <c r="A9818" i="3"/>
  <c r="B9817" i="3"/>
  <c r="A9817" i="3"/>
  <c r="B9816" i="3"/>
  <c r="A9816" i="3"/>
  <c r="B9815" i="3"/>
  <c r="A9815" i="3"/>
  <c r="B9814" i="3"/>
  <c r="A9814" i="3"/>
  <c r="B9813" i="3"/>
  <c r="A9813" i="3"/>
  <c r="B9812" i="3"/>
  <c r="A9812" i="3"/>
  <c r="B9811" i="3"/>
  <c r="A9811" i="3"/>
  <c r="B9810" i="3"/>
  <c r="A9810" i="3"/>
  <c r="B9809" i="3"/>
  <c r="A9809" i="3"/>
  <c r="B9808" i="3"/>
  <c r="A9808" i="3"/>
  <c r="B9807" i="3"/>
  <c r="A9807" i="3"/>
  <c r="B9806" i="3"/>
  <c r="A9806" i="3"/>
  <c r="B9805" i="3"/>
  <c r="A9805" i="3"/>
  <c r="B9804" i="3"/>
  <c r="A9804" i="3"/>
  <c r="B9803" i="3"/>
  <c r="A9803" i="3"/>
  <c r="B9802" i="3"/>
  <c r="A9802" i="3"/>
  <c r="B9801" i="3"/>
  <c r="A9801" i="3"/>
  <c r="B9800" i="3"/>
  <c r="A9800" i="3"/>
  <c r="B9799" i="3"/>
  <c r="A9799" i="3"/>
  <c r="B9798" i="3"/>
  <c r="A9798" i="3"/>
  <c r="B9797" i="3"/>
  <c r="A9797" i="3"/>
  <c r="B9796" i="3"/>
  <c r="A9796" i="3"/>
  <c r="B9795" i="3"/>
  <c r="A9795" i="3"/>
  <c r="B9794" i="3"/>
  <c r="A9794" i="3"/>
  <c r="B9793" i="3"/>
  <c r="A9793" i="3"/>
  <c r="B9792" i="3"/>
  <c r="A9792" i="3"/>
  <c r="B9791" i="3"/>
  <c r="A9791" i="3"/>
  <c r="B9790" i="3"/>
  <c r="A9790" i="3"/>
  <c r="B9789" i="3"/>
  <c r="A9789" i="3"/>
  <c r="B9788" i="3"/>
  <c r="A9788" i="3"/>
  <c r="B9787" i="3"/>
  <c r="A9787" i="3"/>
  <c r="B9786" i="3"/>
  <c r="A9786" i="3"/>
  <c r="B9785" i="3"/>
  <c r="A9785" i="3"/>
  <c r="B9784" i="3"/>
  <c r="A9784" i="3"/>
  <c r="B9783" i="3"/>
  <c r="A9783" i="3"/>
  <c r="B9782" i="3"/>
  <c r="A9782" i="3"/>
  <c r="B9781" i="3"/>
  <c r="A9781" i="3"/>
  <c r="B9780" i="3"/>
  <c r="A9780" i="3"/>
  <c r="B9779" i="3"/>
  <c r="A9779" i="3"/>
  <c r="B9778" i="3"/>
  <c r="A9778" i="3"/>
  <c r="B9777" i="3"/>
  <c r="A9777" i="3"/>
  <c r="B9776" i="3"/>
  <c r="A9776" i="3"/>
  <c r="B9775" i="3"/>
  <c r="A9775" i="3"/>
  <c r="B9774" i="3"/>
  <c r="A9774" i="3"/>
  <c r="B9773" i="3"/>
  <c r="A9773" i="3"/>
  <c r="B9772" i="3"/>
  <c r="A9772" i="3"/>
  <c r="B9771" i="3"/>
  <c r="A9771" i="3"/>
  <c r="B9770" i="3"/>
  <c r="A9770" i="3"/>
  <c r="B9769" i="3"/>
  <c r="A9769" i="3"/>
  <c r="B9768" i="3"/>
  <c r="A9768" i="3"/>
  <c r="B9767" i="3"/>
  <c r="A9767" i="3"/>
  <c r="B9766" i="3"/>
  <c r="A9766" i="3"/>
  <c r="B9765" i="3"/>
  <c r="A9765" i="3"/>
  <c r="B9764" i="3"/>
  <c r="A9764" i="3"/>
  <c r="B9763" i="3"/>
  <c r="A9763" i="3"/>
  <c r="B9762" i="3"/>
  <c r="A9762" i="3"/>
  <c r="B9761" i="3"/>
  <c r="A9761" i="3"/>
  <c r="B9760" i="3"/>
  <c r="A9760" i="3"/>
  <c r="B9759" i="3"/>
  <c r="A9759" i="3"/>
  <c r="B9758" i="3"/>
  <c r="A9758" i="3"/>
  <c r="B9757" i="3"/>
  <c r="A9757" i="3"/>
  <c r="B9756" i="3"/>
  <c r="A9756" i="3"/>
  <c r="B9755" i="3"/>
  <c r="A9755" i="3"/>
  <c r="B9754" i="3"/>
  <c r="A9754" i="3"/>
  <c r="B9753" i="3"/>
  <c r="A9753" i="3"/>
  <c r="B9752" i="3"/>
  <c r="A9752" i="3"/>
  <c r="B9751" i="3"/>
  <c r="A9751" i="3"/>
  <c r="B9750" i="3"/>
  <c r="A9750" i="3"/>
  <c r="B9749" i="3"/>
  <c r="A9749" i="3"/>
  <c r="B9748" i="3"/>
  <c r="A9748" i="3"/>
  <c r="B9747" i="3"/>
  <c r="A9747" i="3"/>
  <c r="B9746" i="3"/>
  <c r="A9746" i="3"/>
  <c r="B9745" i="3"/>
  <c r="A9745" i="3"/>
  <c r="B9744" i="3"/>
  <c r="A9744" i="3"/>
  <c r="B9743" i="3"/>
  <c r="A9743" i="3"/>
  <c r="B9742" i="3"/>
  <c r="A9742" i="3"/>
  <c r="B9741" i="3"/>
  <c r="A9741" i="3"/>
  <c r="B9740" i="3"/>
  <c r="A9740" i="3"/>
  <c r="B9739" i="3"/>
  <c r="A9739" i="3"/>
  <c r="B9738" i="3"/>
  <c r="A9738" i="3"/>
  <c r="B9737" i="3"/>
  <c r="A9737" i="3"/>
  <c r="B9736" i="3"/>
  <c r="A9736" i="3"/>
  <c r="B9735" i="3"/>
  <c r="A9735" i="3"/>
  <c r="B9734" i="3"/>
  <c r="A9734" i="3"/>
  <c r="B9733" i="3"/>
  <c r="A9733" i="3"/>
  <c r="B9732" i="3"/>
  <c r="A9732" i="3"/>
  <c r="B9731" i="3"/>
  <c r="A9731" i="3"/>
  <c r="B9730" i="3"/>
  <c r="A9730" i="3"/>
  <c r="B9729" i="3"/>
  <c r="A9729" i="3"/>
  <c r="B9728" i="3"/>
  <c r="A9728" i="3"/>
  <c r="B9727" i="3"/>
  <c r="A9727" i="3"/>
  <c r="B9726" i="3"/>
  <c r="A9726" i="3"/>
  <c r="B9725" i="3"/>
  <c r="A9725" i="3"/>
  <c r="B9724" i="3"/>
  <c r="A9724" i="3"/>
  <c r="B9723" i="3"/>
  <c r="A9723" i="3"/>
  <c r="B9722" i="3"/>
  <c r="A9722" i="3"/>
  <c r="B9721" i="3"/>
  <c r="A9721" i="3"/>
  <c r="B9720" i="3"/>
  <c r="A9720" i="3"/>
  <c r="B9719" i="3"/>
  <c r="A9719" i="3"/>
  <c r="B9718" i="3"/>
  <c r="A9718" i="3"/>
  <c r="B9717" i="3"/>
  <c r="A9717" i="3"/>
  <c r="B9716" i="3"/>
  <c r="A9716" i="3"/>
  <c r="B9715" i="3"/>
  <c r="A9715" i="3"/>
  <c r="B9714" i="3"/>
  <c r="A9714" i="3"/>
  <c r="B9713" i="3"/>
  <c r="A9713" i="3"/>
  <c r="B9712" i="3"/>
  <c r="A9712" i="3"/>
  <c r="B9711" i="3"/>
  <c r="A9711" i="3"/>
  <c r="B9710" i="3"/>
  <c r="A9710" i="3"/>
  <c r="B9709" i="3"/>
  <c r="A9709" i="3"/>
  <c r="B9708" i="3"/>
  <c r="A9708" i="3"/>
  <c r="B9707" i="3"/>
  <c r="A9707" i="3"/>
  <c r="B9706" i="3"/>
  <c r="A9706" i="3"/>
  <c r="B9705" i="3"/>
  <c r="A9705" i="3"/>
  <c r="B9704" i="3"/>
  <c r="A9704" i="3"/>
  <c r="B9703" i="3"/>
  <c r="A9703" i="3"/>
  <c r="B9702" i="3"/>
  <c r="A9702" i="3"/>
  <c r="B9701" i="3"/>
  <c r="A9701" i="3"/>
  <c r="B9700" i="3"/>
  <c r="A9700" i="3"/>
  <c r="B9699" i="3"/>
  <c r="A9699" i="3"/>
  <c r="B9698" i="3"/>
  <c r="A9698" i="3"/>
  <c r="B9697" i="3"/>
  <c r="A9697" i="3"/>
  <c r="B9696" i="3"/>
  <c r="A9696" i="3"/>
  <c r="B9695" i="3"/>
  <c r="A9695" i="3"/>
  <c r="B9694" i="3"/>
  <c r="A9694" i="3"/>
  <c r="B9693" i="3"/>
  <c r="A9693" i="3"/>
  <c r="B9692" i="3"/>
  <c r="A9692" i="3"/>
  <c r="B9691" i="3"/>
  <c r="A9691" i="3"/>
  <c r="B9690" i="3"/>
  <c r="A9690" i="3"/>
  <c r="B9689" i="3"/>
  <c r="A9689" i="3"/>
  <c r="B9688" i="3"/>
  <c r="A9688" i="3"/>
  <c r="B9687" i="3"/>
  <c r="A9687" i="3"/>
  <c r="B9686" i="3"/>
  <c r="A9686" i="3"/>
  <c r="B9685" i="3"/>
  <c r="A9685" i="3"/>
  <c r="B9684" i="3"/>
  <c r="A9684" i="3"/>
  <c r="B9683" i="3"/>
  <c r="A9683" i="3"/>
  <c r="B9682" i="3"/>
  <c r="A9682" i="3"/>
  <c r="B9681" i="3"/>
  <c r="A9681" i="3"/>
  <c r="B9680" i="3"/>
  <c r="A9680" i="3"/>
  <c r="B9679" i="3"/>
  <c r="A9679" i="3"/>
  <c r="B9678" i="3"/>
  <c r="A9678" i="3"/>
  <c r="B9677" i="3"/>
  <c r="A9677" i="3"/>
  <c r="B9676" i="3"/>
  <c r="A9676" i="3"/>
  <c r="B9675" i="3"/>
  <c r="A9675" i="3"/>
  <c r="B9674" i="3"/>
  <c r="B9673" i="3"/>
  <c r="A9673" i="3"/>
  <c r="B9672" i="3"/>
  <c r="A9672" i="3"/>
  <c r="B9671" i="3"/>
  <c r="A9671" i="3"/>
  <c r="B9670" i="3"/>
  <c r="A9670" i="3"/>
  <c r="B9669" i="3"/>
  <c r="A9669" i="3"/>
  <c r="B9668" i="3"/>
  <c r="A9668" i="3"/>
  <c r="B9667" i="3"/>
  <c r="A9667" i="3"/>
  <c r="B9666" i="3"/>
  <c r="A9666" i="3"/>
  <c r="B9665" i="3"/>
  <c r="A9665" i="3"/>
  <c r="B9664" i="3"/>
  <c r="A9664" i="3"/>
  <c r="B9663" i="3"/>
  <c r="A9663" i="3"/>
  <c r="B9662" i="3"/>
  <c r="A9662" i="3"/>
  <c r="B9661" i="3"/>
  <c r="A9661" i="3"/>
  <c r="B9660" i="3"/>
  <c r="A9660" i="3"/>
  <c r="B9659" i="3"/>
  <c r="A9659" i="3"/>
  <c r="B9658" i="3"/>
  <c r="A9658" i="3"/>
  <c r="B9657" i="3"/>
  <c r="A9657" i="3"/>
  <c r="B9656" i="3"/>
  <c r="A9656" i="3"/>
  <c r="B9655" i="3"/>
  <c r="A9655" i="3"/>
  <c r="B9654" i="3"/>
  <c r="A9654" i="3"/>
  <c r="B9653" i="3"/>
  <c r="A9653" i="3"/>
  <c r="B9652" i="3"/>
  <c r="A9652" i="3"/>
  <c r="B9651" i="3"/>
  <c r="A9651" i="3"/>
  <c r="B9650" i="3"/>
  <c r="A9650" i="3"/>
  <c r="B9649" i="3"/>
  <c r="A9649" i="3"/>
  <c r="B9648" i="3"/>
  <c r="A9648" i="3"/>
  <c r="B9647" i="3"/>
  <c r="A9647" i="3"/>
  <c r="B9646" i="3"/>
  <c r="A9646" i="3"/>
  <c r="B9645" i="3"/>
  <c r="A9645" i="3"/>
  <c r="B9644" i="3"/>
  <c r="A9644" i="3"/>
  <c r="B9643" i="3"/>
  <c r="A9643" i="3"/>
  <c r="B9642" i="3"/>
  <c r="A9642" i="3"/>
  <c r="B9641" i="3"/>
  <c r="A9641" i="3"/>
  <c r="B9640" i="3"/>
  <c r="A9640" i="3"/>
  <c r="B9639" i="3"/>
  <c r="A9639" i="3"/>
  <c r="B9638" i="3"/>
  <c r="A9638" i="3"/>
  <c r="B9637" i="3"/>
  <c r="A9637" i="3"/>
  <c r="B9636" i="3"/>
  <c r="A9636" i="3"/>
  <c r="B9635" i="3"/>
  <c r="A9635" i="3"/>
  <c r="B9634" i="3"/>
  <c r="A9634" i="3"/>
  <c r="B9633" i="3"/>
  <c r="A9633" i="3"/>
  <c r="B9632" i="3"/>
  <c r="A9632" i="3"/>
  <c r="B9631" i="3"/>
  <c r="A9631" i="3"/>
  <c r="B9630" i="3"/>
  <c r="A9630" i="3"/>
  <c r="B9629" i="3"/>
  <c r="A9629" i="3"/>
  <c r="B9628" i="3"/>
  <c r="A9628" i="3"/>
  <c r="B9627" i="3"/>
  <c r="A9627" i="3"/>
  <c r="B9626" i="3"/>
  <c r="A9626" i="3"/>
  <c r="B9625" i="3"/>
  <c r="A9625" i="3"/>
  <c r="B9624" i="3"/>
  <c r="A9624" i="3"/>
  <c r="B9623" i="3"/>
  <c r="A9623" i="3"/>
  <c r="B9622" i="3"/>
  <c r="A9622" i="3"/>
  <c r="B9621" i="3"/>
  <c r="A9621" i="3"/>
  <c r="B9620" i="3"/>
  <c r="A9620" i="3"/>
  <c r="B9619" i="3"/>
  <c r="A9619" i="3"/>
  <c r="B9618" i="3"/>
  <c r="A9618" i="3"/>
  <c r="B9617" i="3"/>
  <c r="A9617" i="3"/>
  <c r="B9616" i="3"/>
  <c r="A9616" i="3"/>
  <c r="B9615" i="3"/>
  <c r="A9615" i="3"/>
  <c r="B9614" i="3"/>
  <c r="A9614" i="3"/>
  <c r="B9613" i="3"/>
  <c r="A9613" i="3"/>
  <c r="B9612" i="3"/>
  <c r="A9612" i="3"/>
  <c r="B9611" i="3"/>
  <c r="A9611" i="3"/>
  <c r="B9610" i="3"/>
  <c r="A9610" i="3"/>
  <c r="B9609" i="3"/>
  <c r="A9609" i="3"/>
  <c r="B9608" i="3"/>
  <c r="A9608" i="3"/>
  <c r="B9607" i="3"/>
  <c r="A9607" i="3"/>
  <c r="B9606" i="3"/>
  <c r="A9606" i="3"/>
  <c r="B9605" i="3"/>
  <c r="A9605" i="3"/>
  <c r="B9604" i="3"/>
  <c r="A9604" i="3"/>
  <c r="B9603" i="3"/>
  <c r="A9603" i="3"/>
  <c r="B9602" i="3"/>
  <c r="A9602" i="3"/>
  <c r="B9601" i="3"/>
  <c r="A9601" i="3"/>
  <c r="B9600" i="3"/>
  <c r="A9600" i="3"/>
  <c r="B9599" i="3"/>
  <c r="A9599" i="3"/>
  <c r="B9598" i="3"/>
  <c r="A9598" i="3"/>
  <c r="B9597" i="3"/>
  <c r="A9597" i="3"/>
  <c r="B9596" i="3"/>
  <c r="A9596" i="3"/>
  <c r="B9595" i="3"/>
  <c r="A9595" i="3"/>
  <c r="B9594" i="3"/>
  <c r="A9594" i="3"/>
  <c r="B9593" i="3"/>
  <c r="A9593" i="3"/>
  <c r="B9592" i="3"/>
  <c r="A9592" i="3"/>
  <c r="B9591" i="3"/>
  <c r="A9591" i="3"/>
  <c r="B9590" i="3"/>
  <c r="A9590" i="3"/>
  <c r="B9589" i="3"/>
  <c r="A9589" i="3"/>
  <c r="B9588" i="3"/>
  <c r="A9588" i="3"/>
  <c r="B9587" i="3"/>
  <c r="A9587" i="3"/>
  <c r="B9586" i="3"/>
  <c r="A9586" i="3"/>
  <c r="B9585" i="3"/>
  <c r="A9585" i="3"/>
  <c r="B9584" i="3"/>
  <c r="A9584" i="3"/>
  <c r="B9583" i="3"/>
  <c r="A9583" i="3"/>
  <c r="B9582" i="3"/>
  <c r="A9582" i="3"/>
  <c r="B9581" i="3"/>
  <c r="A9581" i="3"/>
  <c r="B9580" i="3"/>
  <c r="A9580" i="3"/>
  <c r="B9579" i="3"/>
  <c r="A9579" i="3"/>
  <c r="B9578" i="3"/>
  <c r="A9578" i="3"/>
  <c r="B9577" i="3"/>
  <c r="A9577" i="3"/>
  <c r="B9576" i="3"/>
  <c r="A9576" i="3"/>
  <c r="B9575" i="3"/>
  <c r="A9575" i="3"/>
  <c r="B9574" i="3"/>
  <c r="A9574" i="3"/>
  <c r="B9573" i="3"/>
  <c r="A9573" i="3"/>
  <c r="B9572" i="3"/>
  <c r="A9572" i="3"/>
  <c r="B9571" i="3"/>
  <c r="A9571" i="3"/>
  <c r="B9570" i="3"/>
  <c r="A9570" i="3"/>
  <c r="B9569" i="3"/>
  <c r="A9569" i="3"/>
  <c r="B9568" i="3"/>
  <c r="A9568" i="3"/>
  <c r="B9567" i="3"/>
  <c r="A9567" i="3"/>
  <c r="B9566" i="3"/>
  <c r="A9566" i="3"/>
  <c r="B9565" i="3"/>
  <c r="A9565" i="3"/>
  <c r="B9564" i="3"/>
  <c r="A9564" i="3"/>
  <c r="B9563" i="3"/>
  <c r="A9563" i="3"/>
  <c r="B9562" i="3"/>
  <c r="A9562" i="3"/>
  <c r="B9561" i="3"/>
  <c r="A9561" i="3"/>
  <c r="B9560" i="3"/>
  <c r="A9560" i="3"/>
  <c r="B9559" i="3"/>
  <c r="A9559" i="3"/>
  <c r="B9558" i="3"/>
  <c r="A9558" i="3"/>
  <c r="B9557" i="3"/>
  <c r="A9557" i="3"/>
  <c r="B9556" i="3"/>
  <c r="A9556" i="3"/>
  <c r="B9555" i="3"/>
  <c r="A9555" i="3"/>
  <c r="B9554" i="3"/>
  <c r="A9554" i="3"/>
  <c r="B9553" i="3"/>
  <c r="A9553" i="3"/>
  <c r="B9552" i="3"/>
  <c r="A9552" i="3"/>
  <c r="B9551" i="3"/>
  <c r="A9551" i="3"/>
  <c r="B9550" i="3"/>
  <c r="A9550" i="3"/>
  <c r="B9549" i="3"/>
  <c r="A9549" i="3"/>
  <c r="B9548" i="3"/>
  <c r="A9548" i="3"/>
  <c r="B9547" i="3"/>
  <c r="A9547" i="3"/>
  <c r="B9546" i="3"/>
  <c r="A9546" i="3"/>
  <c r="B9545" i="3"/>
  <c r="A9545" i="3"/>
  <c r="B9544" i="3"/>
  <c r="A9544" i="3"/>
  <c r="B9543" i="3"/>
  <c r="A9543" i="3"/>
  <c r="B9542" i="3"/>
  <c r="A9542" i="3"/>
  <c r="B9541" i="3"/>
  <c r="A9541" i="3"/>
  <c r="B9540" i="3"/>
  <c r="A9540" i="3"/>
  <c r="B9539" i="3"/>
  <c r="A9539" i="3"/>
  <c r="B9538" i="3"/>
  <c r="A9538" i="3"/>
  <c r="B9537" i="3"/>
  <c r="A9537" i="3"/>
  <c r="B9536" i="3"/>
  <c r="A9536" i="3"/>
  <c r="B9535" i="3"/>
  <c r="A9535" i="3"/>
  <c r="B9534" i="3"/>
  <c r="A9534" i="3"/>
  <c r="B9533" i="3"/>
  <c r="A9533" i="3"/>
  <c r="B9532" i="3"/>
  <c r="A9532" i="3"/>
  <c r="B9531" i="3"/>
  <c r="A9531" i="3"/>
  <c r="B9530" i="3"/>
  <c r="A9530" i="3"/>
  <c r="B9529" i="3"/>
  <c r="A9529" i="3"/>
  <c r="B9528" i="3"/>
  <c r="A9528" i="3"/>
  <c r="B9527" i="3"/>
  <c r="A9527" i="3"/>
  <c r="B9526" i="3"/>
  <c r="A9526" i="3"/>
  <c r="B9525" i="3"/>
  <c r="A9525" i="3"/>
  <c r="B9524" i="3"/>
  <c r="A9524" i="3"/>
  <c r="B9523" i="3"/>
  <c r="A9523" i="3"/>
  <c r="B9522" i="3"/>
  <c r="A9522" i="3"/>
  <c r="B9521" i="3"/>
  <c r="A9521" i="3"/>
  <c r="B9520" i="3"/>
  <c r="A9520" i="3"/>
  <c r="B9519" i="3"/>
  <c r="A9519" i="3"/>
  <c r="B9518" i="3"/>
  <c r="A9518" i="3"/>
  <c r="B9517" i="3"/>
  <c r="A9517" i="3"/>
  <c r="B9516" i="3"/>
  <c r="A9516" i="3"/>
  <c r="B9515" i="3"/>
  <c r="A9515" i="3"/>
  <c r="B9514" i="3"/>
  <c r="A9514" i="3"/>
  <c r="B9513" i="3"/>
  <c r="A9513" i="3"/>
  <c r="B9512" i="3"/>
  <c r="A9512" i="3"/>
  <c r="B9511" i="3"/>
  <c r="A9511" i="3"/>
  <c r="B9510" i="3"/>
  <c r="A9510" i="3"/>
  <c r="B9509" i="3"/>
  <c r="A9509" i="3"/>
  <c r="B9508" i="3"/>
  <c r="A9508" i="3"/>
  <c r="B9507" i="3"/>
  <c r="A9507" i="3"/>
  <c r="B9506" i="3"/>
  <c r="A9506" i="3"/>
  <c r="B9505" i="3"/>
  <c r="A9505" i="3"/>
  <c r="B9504" i="3"/>
  <c r="A9504" i="3"/>
  <c r="B9503" i="3"/>
  <c r="A9503" i="3"/>
  <c r="B9502" i="3"/>
  <c r="A9502" i="3"/>
  <c r="B9501" i="3"/>
  <c r="A9501" i="3"/>
  <c r="B9500" i="3"/>
  <c r="A9500" i="3"/>
  <c r="B9499" i="3"/>
  <c r="A9499" i="3"/>
  <c r="B9498" i="3"/>
  <c r="A9498" i="3"/>
  <c r="B9497" i="3"/>
  <c r="A9497" i="3"/>
  <c r="B9496" i="3"/>
  <c r="A9496" i="3"/>
  <c r="B9495" i="3"/>
  <c r="A9495" i="3"/>
  <c r="B9494" i="3"/>
  <c r="A9494" i="3"/>
  <c r="B9493" i="3"/>
  <c r="A9493" i="3"/>
  <c r="B9492" i="3"/>
  <c r="A9492" i="3"/>
  <c r="B9491" i="3"/>
  <c r="A9491" i="3"/>
  <c r="B9490" i="3"/>
  <c r="A9490" i="3"/>
  <c r="B9489" i="3"/>
  <c r="A9489" i="3"/>
  <c r="B9488" i="3"/>
  <c r="A9488" i="3"/>
  <c r="B9487" i="3"/>
  <c r="A9487" i="3"/>
  <c r="B9486" i="3"/>
  <c r="A9486" i="3"/>
  <c r="B9485" i="3"/>
  <c r="A9485" i="3"/>
  <c r="B9484" i="3"/>
  <c r="A9484" i="3"/>
  <c r="B9483" i="3"/>
  <c r="A9483" i="3"/>
  <c r="B9482" i="3"/>
  <c r="A9482" i="3"/>
  <c r="B9481" i="3"/>
  <c r="A9481" i="3"/>
  <c r="B9480" i="3"/>
  <c r="A9480" i="3"/>
  <c r="B9479" i="3"/>
  <c r="A9479" i="3"/>
  <c r="B9478" i="3"/>
  <c r="A9478" i="3"/>
  <c r="B9477" i="3"/>
  <c r="A9477" i="3"/>
  <c r="B9476" i="3"/>
  <c r="A9476" i="3"/>
  <c r="B9475" i="3"/>
  <c r="A9475" i="3"/>
  <c r="B9474" i="3"/>
  <c r="A9474" i="3"/>
  <c r="B9473" i="3"/>
  <c r="A9473" i="3"/>
  <c r="B9472" i="3"/>
  <c r="A9472" i="3"/>
  <c r="B9471" i="3"/>
  <c r="A9471" i="3"/>
  <c r="B9470" i="3"/>
  <c r="A9470" i="3"/>
  <c r="B9469" i="3"/>
  <c r="A9469" i="3"/>
  <c r="B9468" i="3"/>
  <c r="A9468" i="3"/>
  <c r="B9467" i="3"/>
  <c r="A9467" i="3"/>
  <c r="B9466" i="3"/>
  <c r="A9466" i="3"/>
  <c r="B9465" i="3"/>
  <c r="A9465" i="3"/>
  <c r="B9464" i="3"/>
  <c r="A9464" i="3"/>
  <c r="B9463" i="3"/>
  <c r="A9463" i="3"/>
  <c r="B9462" i="3"/>
  <c r="A9462" i="3"/>
  <c r="B9461" i="3"/>
  <c r="A9461" i="3"/>
  <c r="B9460" i="3"/>
  <c r="A9460" i="3"/>
  <c r="B9459" i="3"/>
  <c r="A9459" i="3"/>
  <c r="B9458" i="3"/>
  <c r="A9458" i="3"/>
  <c r="B9457" i="3"/>
  <c r="A9457" i="3"/>
  <c r="B9456" i="3"/>
  <c r="A9456" i="3"/>
  <c r="B9455" i="3"/>
  <c r="A9455" i="3"/>
  <c r="B9454" i="3"/>
  <c r="A9454" i="3"/>
  <c r="B9453" i="3"/>
  <c r="A9453" i="3"/>
  <c r="B9452" i="3"/>
  <c r="A9452" i="3"/>
  <c r="B9451" i="3"/>
  <c r="A9451" i="3"/>
  <c r="B9450" i="3"/>
  <c r="A9450" i="3"/>
  <c r="B9449" i="3"/>
  <c r="A9449" i="3"/>
  <c r="B9448" i="3"/>
  <c r="A9448" i="3"/>
  <c r="B9447" i="3"/>
  <c r="A9447" i="3"/>
  <c r="B9446" i="3"/>
  <c r="A9446" i="3"/>
  <c r="B9445" i="3"/>
  <c r="A9445" i="3"/>
  <c r="B9444" i="3"/>
  <c r="A9444" i="3"/>
  <c r="B9443" i="3"/>
  <c r="A9443" i="3"/>
  <c r="B9442" i="3"/>
  <c r="A9442" i="3"/>
  <c r="B9441" i="3"/>
  <c r="A9441" i="3"/>
  <c r="B9440" i="3"/>
  <c r="A9440" i="3"/>
  <c r="B9439" i="3"/>
  <c r="A9439" i="3"/>
  <c r="B9438" i="3"/>
  <c r="B9437" i="3"/>
  <c r="A9437" i="3"/>
  <c r="B9436" i="3"/>
  <c r="A9436" i="3"/>
  <c r="B9435" i="3"/>
  <c r="A9435" i="3"/>
  <c r="B9434" i="3"/>
  <c r="A9434" i="3"/>
  <c r="B9433" i="3"/>
  <c r="A9433" i="3"/>
  <c r="B9432" i="3"/>
  <c r="A9432" i="3"/>
  <c r="B9431" i="3"/>
  <c r="A9431" i="3"/>
  <c r="B9430" i="3"/>
  <c r="A9430" i="3"/>
  <c r="B9429" i="3"/>
  <c r="A9429" i="3"/>
  <c r="B9428" i="3"/>
  <c r="A9428" i="3"/>
  <c r="B9427" i="3"/>
  <c r="A9427" i="3"/>
  <c r="B9426" i="3"/>
  <c r="A9426" i="3"/>
  <c r="B9425" i="3"/>
  <c r="A9425" i="3"/>
  <c r="B9424" i="3"/>
  <c r="A9424" i="3"/>
  <c r="B9423" i="3"/>
  <c r="A9423" i="3"/>
  <c r="B9422" i="3"/>
  <c r="A9422" i="3"/>
  <c r="B9421" i="3"/>
  <c r="A9421" i="3"/>
  <c r="B9420" i="3"/>
  <c r="A9420" i="3"/>
  <c r="B9419" i="3"/>
  <c r="A9419" i="3"/>
  <c r="B9418" i="3"/>
  <c r="A9418" i="3"/>
  <c r="B9417" i="3"/>
  <c r="A9417" i="3"/>
  <c r="B9416" i="3"/>
  <c r="A9416" i="3"/>
  <c r="B9415" i="3"/>
  <c r="A9415" i="3"/>
  <c r="B9414" i="3"/>
  <c r="A9414" i="3"/>
  <c r="B9413" i="3"/>
  <c r="A9413" i="3"/>
  <c r="B9412" i="3"/>
  <c r="A9412" i="3"/>
  <c r="B9411" i="3"/>
  <c r="A9411" i="3"/>
  <c r="B9410" i="3"/>
  <c r="A9410" i="3"/>
  <c r="B9409" i="3"/>
  <c r="A9409" i="3"/>
  <c r="B9408" i="3"/>
  <c r="A9408" i="3"/>
  <c r="B9407" i="3"/>
  <c r="A9407" i="3"/>
  <c r="B9406" i="3"/>
  <c r="A9406" i="3"/>
  <c r="B9405" i="3"/>
  <c r="A9405" i="3"/>
  <c r="B9404" i="3"/>
  <c r="A9404" i="3"/>
  <c r="B9403" i="3"/>
  <c r="A9403" i="3"/>
  <c r="B9402" i="3"/>
  <c r="A9402" i="3"/>
  <c r="B9401" i="3"/>
  <c r="A9401" i="3"/>
  <c r="B9400" i="3"/>
  <c r="A9400" i="3"/>
  <c r="B9399" i="3"/>
  <c r="A9399" i="3"/>
  <c r="B9398" i="3"/>
  <c r="B9397" i="3"/>
  <c r="A9397" i="3"/>
  <c r="B9396" i="3"/>
  <c r="A9396" i="3"/>
  <c r="B9395" i="3"/>
  <c r="A9395" i="3"/>
  <c r="B9394" i="3"/>
  <c r="A9394" i="3"/>
  <c r="B9393" i="3"/>
  <c r="A9393" i="3"/>
  <c r="B9392" i="3"/>
  <c r="A9392" i="3"/>
  <c r="B9391" i="3"/>
  <c r="A9391" i="3"/>
  <c r="B9390" i="3"/>
  <c r="A9390" i="3"/>
  <c r="B9389" i="3"/>
  <c r="A9389" i="3"/>
  <c r="B9388" i="3"/>
  <c r="A9388" i="3"/>
  <c r="B9387" i="3"/>
  <c r="A9387" i="3"/>
  <c r="B9386" i="3"/>
  <c r="A9386" i="3"/>
  <c r="B9385" i="3"/>
  <c r="A9385" i="3"/>
  <c r="B9384" i="3"/>
  <c r="A9384" i="3"/>
  <c r="B9383" i="3"/>
  <c r="A9383" i="3"/>
  <c r="B9382" i="3"/>
  <c r="A9382" i="3"/>
  <c r="B9381" i="3"/>
  <c r="A9381" i="3"/>
  <c r="B9380" i="3"/>
  <c r="A9380" i="3"/>
  <c r="B9379" i="3"/>
  <c r="A9379" i="3"/>
  <c r="B9378" i="3"/>
  <c r="A9378" i="3"/>
  <c r="B9377" i="3"/>
  <c r="A9377" i="3"/>
  <c r="B9376" i="3"/>
  <c r="A9376" i="3"/>
  <c r="B9375" i="3"/>
  <c r="A9375" i="3"/>
  <c r="B9374" i="3"/>
  <c r="A9374" i="3"/>
  <c r="B9373" i="3"/>
  <c r="A9373" i="3"/>
  <c r="B9372" i="3"/>
  <c r="A9372" i="3"/>
  <c r="B9371" i="3"/>
  <c r="A9371" i="3"/>
  <c r="B9370" i="3"/>
  <c r="A9370" i="3"/>
  <c r="B9369" i="3"/>
  <c r="A9369" i="3"/>
  <c r="B9368" i="3"/>
  <c r="A9368" i="3"/>
  <c r="B9367" i="3"/>
  <c r="B9366" i="3"/>
  <c r="B9365" i="3"/>
  <c r="A9365" i="3"/>
  <c r="B9364" i="3"/>
  <c r="A9364" i="3"/>
  <c r="B9363" i="3"/>
  <c r="A9363" i="3"/>
  <c r="B9362" i="3"/>
  <c r="A9362" i="3"/>
  <c r="B9361" i="3"/>
  <c r="A9361" i="3"/>
  <c r="B9360" i="3"/>
  <c r="A9360" i="3"/>
  <c r="B9359" i="3"/>
  <c r="A9359" i="3"/>
  <c r="B9358" i="3"/>
  <c r="A9358" i="3"/>
  <c r="B9357" i="3"/>
  <c r="A9357" i="3"/>
  <c r="B9356" i="3"/>
  <c r="A9356" i="3"/>
  <c r="B9355" i="3"/>
  <c r="A9355" i="3"/>
  <c r="B9354" i="3"/>
  <c r="A9354" i="3"/>
  <c r="B9353" i="3"/>
  <c r="A9353" i="3"/>
  <c r="B9352" i="3"/>
  <c r="A9352" i="3"/>
  <c r="B9351" i="3"/>
  <c r="A9351" i="3"/>
  <c r="B9350" i="3"/>
  <c r="B9349" i="3"/>
  <c r="A9349" i="3"/>
  <c r="B9348" i="3"/>
  <c r="A9348" i="3"/>
  <c r="B9347" i="3"/>
  <c r="A9347" i="3"/>
  <c r="B9346" i="3"/>
  <c r="A9346" i="3"/>
  <c r="B9345" i="3"/>
  <c r="A9345" i="3"/>
  <c r="B9344" i="3"/>
  <c r="A9344" i="3"/>
  <c r="B9343" i="3"/>
  <c r="A9343" i="3"/>
  <c r="B9342" i="3"/>
  <c r="A9342" i="3"/>
  <c r="B9341" i="3"/>
  <c r="A9341" i="3"/>
  <c r="B9340" i="3"/>
  <c r="A9340" i="3"/>
  <c r="B9339" i="3"/>
  <c r="A9339" i="3"/>
  <c r="B9338" i="3"/>
  <c r="A9338" i="3"/>
  <c r="B9337" i="3"/>
  <c r="A9337" i="3"/>
  <c r="B9336" i="3"/>
  <c r="A9336" i="3"/>
  <c r="B9335" i="3"/>
  <c r="A9335" i="3"/>
  <c r="B9334" i="3"/>
  <c r="A9334" i="3"/>
  <c r="B9333" i="3"/>
  <c r="A9333" i="3"/>
  <c r="B9332" i="3"/>
  <c r="A9332" i="3"/>
  <c r="B9331" i="3"/>
  <c r="A9331" i="3"/>
  <c r="B9330" i="3"/>
  <c r="A9330" i="3"/>
  <c r="B9329" i="3"/>
  <c r="A9329" i="3"/>
  <c r="B9328" i="3"/>
  <c r="A9328" i="3"/>
  <c r="B9327" i="3"/>
  <c r="A9327" i="3"/>
  <c r="B9326" i="3"/>
  <c r="A9326" i="3"/>
  <c r="B9325" i="3"/>
  <c r="A9325" i="3"/>
  <c r="B9324" i="3"/>
  <c r="A9324" i="3"/>
  <c r="B9323" i="3"/>
  <c r="A9323" i="3"/>
  <c r="B9322" i="3"/>
  <c r="A9322" i="3"/>
  <c r="B9321" i="3"/>
  <c r="A9321" i="3"/>
  <c r="B9320" i="3"/>
  <c r="A9320" i="3"/>
  <c r="B9319" i="3"/>
  <c r="A9319" i="3"/>
  <c r="B9318" i="3"/>
  <c r="A9318" i="3"/>
  <c r="B9317" i="3"/>
  <c r="A9317" i="3"/>
  <c r="B9316" i="3"/>
  <c r="A9316" i="3"/>
  <c r="B9315" i="3"/>
  <c r="A9315" i="3"/>
  <c r="B9314" i="3"/>
  <c r="A9314" i="3"/>
  <c r="B9313" i="3"/>
  <c r="A9313" i="3"/>
  <c r="B9312" i="3"/>
  <c r="A9312" i="3"/>
  <c r="B9311" i="3"/>
  <c r="A9311" i="3"/>
  <c r="B9310" i="3"/>
  <c r="A9310" i="3"/>
  <c r="B9309" i="3"/>
  <c r="A9309" i="3"/>
  <c r="B9308" i="3"/>
  <c r="A9308" i="3"/>
  <c r="B9307" i="3"/>
  <c r="A9307" i="3"/>
  <c r="B9306" i="3"/>
  <c r="A9306" i="3"/>
  <c r="B9305" i="3"/>
  <c r="A9305" i="3"/>
  <c r="B9304" i="3"/>
  <c r="A9304" i="3"/>
  <c r="B9303" i="3"/>
  <c r="A9303" i="3"/>
  <c r="B9302" i="3"/>
  <c r="A9302" i="3"/>
  <c r="B9301" i="3"/>
  <c r="A9301" i="3"/>
  <c r="B9300" i="3"/>
  <c r="A9300" i="3"/>
  <c r="B9299" i="3"/>
  <c r="A9299" i="3"/>
  <c r="B9298" i="3"/>
  <c r="A9298" i="3"/>
  <c r="B9297" i="3"/>
  <c r="A9297" i="3"/>
  <c r="B9296" i="3"/>
  <c r="A9296" i="3"/>
  <c r="B9295" i="3"/>
  <c r="A9295" i="3"/>
  <c r="B9294" i="3"/>
  <c r="A9294" i="3"/>
  <c r="B9293" i="3"/>
  <c r="A9293" i="3"/>
  <c r="B9292" i="3"/>
  <c r="A9292" i="3"/>
  <c r="B9291" i="3"/>
  <c r="A9291" i="3"/>
  <c r="B9290" i="3"/>
  <c r="A9290" i="3"/>
  <c r="B9289" i="3"/>
  <c r="A9289" i="3"/>
  <c r="B9288" i="3"/>
  <c r="A9288" i="3"/>
  <c r="B9287" i="3"/>
  <c r="A9287" i="3"/>
  <c r="B9286" i="3"/>
  <c r="A9286" i="3"/>
  <c r="B9285" i="3"/>
  <c r="A9285" i="3"/>
  <c r="B9284" i="3"/>
  <c r="A9284" i="3"/>
  <c r="B9283" i="3"/>
  <c r="A9283" i="3"/>
  <c r="B9282" i="3"/>
  <c r="A9282" i="3"/>
  <c r="B9281" i="3"/>
  <c r="A9281" i="3"/>
  <c r="B9280" i="3"/>
  <c r="A9280" i="3"/>
  <c r="B9279" i="3"/>
  <c r="A9279" i="3"/>
  <c r="B9278" i="3"/>
  <c r="A9278" i="3"/>
  <c r="B9277" i="3"/>
  <c r="A9277" i="3"/>
  <c r="B9276" i="3"/>
  <c r="A9276" i="3"/>
  <c r="B9275" i="3"/>
  <c r="A9275" i="3"/>
  <c r="B9274" i="3"/>
  <c r="A9274" i="3"/>
  <c r="B9273" i="3"/>
  <c r="A9273" i="3"/>
  <c r="B9272" i="3"/>
  <c r="A9272" i="3"/>
  <c r="B9271" i="3"/>
  <c r="A9271" i="3"/>
  <c r="B9270" i="3"/>
  <c r="A9270" i="3"/>
  <c r="B9269" i="3"/>
  <c r="A9269" i="3"/>
  <c r="B9268" i="3"/>
  <c r="A9268" i="3"/>
  <c r="B9267" i="3"/>
  <c r="A9267" i="3"/>
  <c r="B9266" i="3"/>
  <c r="A9266" i="3"/>
  <c r="B9265" i="3"/>
  <c r="A9265" i="3"/>
  <c r="B9264" i="3"/>
  <c r="A9264" i="3"/>
  <c r="B9263" i="3"/>
  <c r="A9263" i="3"/>
  <c r="B9262" i="3"/>
  <c r="A9262" i="3"/>
  <c r="B9261" i="3"/>
  <c r="A9261" i="3"/>
  <c r="B9260" i="3"/>
  <c r="A9260" i="3"/>
  <c r="B9259" i="3"/>
  <c r="A9259" i="3"/>
  <c r="B9258" i="3"/>
  <c r="A9258" i="3"/>
  <c r="B9257" i="3"/>
  <c r="A9257" i="3"/>
  <c r="B9256" i="3"/>
  <c r="A9256" i="3"/>
  <c r="B9255" i="3"/>
  <c r="A9255" i="3"/>
  <c r="B9254" i="3"/>
  <c r="A9254" i="3"/>
  <c r="B9253" i="3"/>
  <c r="A9253" i="3"/>
  <c r="B9252" i="3"/>
  <c r="A9252" i="3"/>
  <c r="B9251" i="3"/>
  <c r="A9251" i="3"/>
  <c r="B9250" i="3"/>
  <c r="A9250" i="3"/>
  <c r="B9249" i="3"/>
  <c r="A9249" i="3"/>
  <c r="B9248" i="3"/>
  <c r="A9248" i="3"/>
  <c r="B9247" i="3"/>
  <c r="A9247" i="3"/>
  <c r="B9246" i="3"/>
  <c r="A9246" i="3"/>
  <c r="B9245" i="3"/>
  <c r="A9245" i="3"/>
  <c r="B9244" i="3"/>
  <c r="A9244" i="3"/>
  <c r="B9243" i="3"/>
  <c r="A9243" i="3"/>
  <c r="B9242" i="3"/>
  <c r="A9242" i="3"/>
  <c r="B9241" i="3"/>
  <c r="A9241" i="3"/>
  <c r="B9240" i="3"/>
  <c r="A9240" i="3"/>
  <c r="B9239" i="3"/>
  <c r="A9239" i="3"/>
  <c r="B9238" i="3"/>
  <c r="A9238" i="3"/>
  <c r="B9237" i="3"/>
  <c r="A9237" i="3"/>
  <c r="B9236" i="3"/>
  <c r="A9236" i="3"/>
  <c r="B9235" i="3"/>
  <c r="A9235" i="3"/>
  <c r="B9234" i="3"/>
  <c r="A9234" i="3"/>
  <c r="B9233" i="3"/>
  <c r="A9233" i="3"/>
  <c r="B9232" i="3"/>
  <c r="A9232" i="3"/>
  <c r="B9231" i="3"/>
  <c r="A9231" i="3"/>
  <c r="B9230" i="3"/>
  <c r="A9230" i="3"/>
  <c r="B9229" i="3"/>
  <c r="A9229" i="3"/>
  <c r="B9228" i="3"/>
  <c r="A9228" i="3"/>
  <c r="B9227" i="3"/>
  <c r="A9227" i="3"/>
  <c r="B9226" i="3"/>
  <c r="A9226" i="3"/>
  <c r="B9225" i="3"/>
  <c r="A9225" i="3"/>
  <c r="B9224" i="3"/>
  <c r="A9224" i="3"/>
  <c r="B9223" i="3"/>
  <c r="A9223" i="3"/>
  <c r="B9222" i="3"/>
  <c r="A9222" i="3"/>
  <c r="B9221" i="3"/>
  <c r="A9221" i="3"/>
  <c r="B9220" i="3"/>
  <c r="A9220" i="3"/>
  <c r="B9219" i="3"/>
  <c r="A9219" i="3"/>
  <c r="B9218" i="3"/>
  <c r="A9218" i="3"/>
  <c r="B9217" i="3"/>
  <c r="A9217" i="3"/>
  <c r="B9216" i="3"/>
  <c r="A9216" i="3"/>
  <c r="B9215" i="3"/>
  <c r="A9215" i="3"/>
  <c r="B9214" i="3"/>
  <c r="A9214" i="3"/>
  <c r="B9213" i="3"/>
  <c r="A9213" i="3"/>
  <c r="B9212" i="3"/>
  <c r="A9212" i="3"/>
  <c r="B9211" i="3"/>
  <c r="A9211" i="3"/>
  <c r="B9210" i="3"/>
  <c r="A9210" i="3"/>
  <c r="B9209" i="3"/>
  <c r="A9209" i="3"/>
  <c r="B9208" i="3"/>
  <c r="A9208" i="3"/>
  <c r="B9207" i="3"/>
  <c r="A9207" i="3"/>
  <c r="B9206" i="3"/>
  <c r="A9206" i="3"/>
  <c r="B9205" i="3"/>
  <c r="A9205" i="3"/>
  <c r="B9204" i="3"/>
  <c r="A9204" i="3"/>
  <c r="B9203" i="3"/>
  <c r="A9203" i="3"/>
  <c r="B9202" i="3"/>
  <c r="A9202" i="3"/>
  <c r="B9201" i="3"/>
  <c r="A9201" i="3"/>
  <c r="B9200" i="3"/>
  <c r="A9200" i="3"/>
  <c r="B9199" i="3"/>
  <c r="A9199" i="3"/>
  <c r="B9198" i="3"/>
  <c r="A9198" i="3"/>
  <c r="B9197" i="3"/>
  <c r="A9197" i="3"/>
  <c r="B9196" i="3"/>
  <c r="A9196" i="3"/>
  <c r="B9195" i="3"/>
  <c r="A9195" i="3"/>
  <c r="B9194" i="3"/>
  <c r="A9194" i="3"/>
  <c r="B9193" i="3"/>
  <c r="A9193" i="3"/>
  <c r="B9192" i="3"/>
  <c r="A9192" i="3"/>
  <c r="B9191" i="3"/>
  <c r="A9191" i="3"/>
  <c r="B9190" i="3"/>
  <c r="A9190" i="3"/>
  <c r="B9189" i="3"/>
  <c r="A9189" i="3"/>
  <c r="B9188" i="3"/>
  <c r="A9188" i="3"/>
  <c r="B9187" i="3"/>
  <c r="A9187" i="3"/>
  <c r="B9186" i="3"/>
  <c r="A9186" i="3"/>
  <c r="B9185" i="3"/>
  <c r="A9185" i="3"/>
  <c r="B9184" i="3"/>
  <c r="A9184" i="3"/>
  <c r="B9183" i="3"/>
  <c r="A9183" i="3"/>
  <c r="B9182" i="3"/>
  <c r="A9182" i="3"/>
  <c r="B9181" i="3"/>
  <c r="A9181" i="3"/>
  <c r="B9180" i="3"/>
  <c r="A9180" i="3"/>
  <c r="B9179" i="3"/>
  <c r="A9179" i="3"/>
  <c r="B9178" i="3"/>
  <c r="A9178" i="3"/>
  <c r="B9177" i="3"/>
  <c r="A9177" i="3"/>
  <c r="B9176" i="3"/>
  <c r="A9176" i="3"/>
  <c r="B9175" i="3"/>
  <c r="A9175" i="3"/>
  <c r="B9174" i="3"/>
  <c r="A9174" i="3"/>
  <c r="B9173" i="3"/>
  <c r="A9173" i="3"/>
  <c r="B9172" i="3"/>
  <c r="A9172" i="3"/>
  <c r="B9171" i="3"/>
  <c r="A9171" i="3"/>
  <c r="B9170" i="3"/>
  <c r="A9170" i="3"/>
  <c r="B9169" i="3"/>
  <c r="A9169" i="3"/>
  <c r="B9168" i="3"/>
  <c r="A9168" i="3"/>
  <c r="B9167" i="3"/>
  <c r="A9167" i="3"/>
  <c r="B9166" i="3"/>
  <c r="A9166" i="3"/>
  <c r="B9165" i="3"/>
  <c r="A9165" i="3"/>
  <c r="B9164" i="3"/>
  <c r="A9164" i="3"/>
  <c r="B9163" i="3"/>
  <c r="A9163" i="3"/>
  <c r="B9162" i="3"/>
  <c r="A9162" i="3"/>
  <c r="B9161" i="3"/>
  <c r="A9161" i="3"/>
  <c r="B9160" i="3"/>
  <c r="A9160" i="3"/>
  <c r="B9159" i="3"/>
  <c r="A9159" i="3"/>
  <c r="B9158" i="3"/>
  <c r="A9158" i="3"/>
  <c r="B9157" i="3"/>
  <c r="A9157" i="3"/>
  <c r="B9156" i="3"/>
  <c r="A9156" i="3"/>
  <c r="B9155" i="3"/>
  <c r="A9155" i="3"/>
  <c r="B9154" i="3"/>
  <c r="A9154" i="3"/>
  <c r="B9153" i="3"/>
  <c r="A9153" i="3"/>
  <c r="B9152" i="3"/>
  <c r="A9152" i="3"/>
  <c r="B9151" i="3"/>
  <c r="A9151" i="3"/>
  <c r="B9150" i="3"/>
  <c r="A9150" i="3"/>
  <c r="B9149" i="3"/>
  <c r="A9149" i="3"/>
  <c r="B9148" i="3"/>
  <c r="A9148" i="3"/>
  <c r="B9147" i="3"/>
  <c r="A9147" i="3"/>
  <c r="B9146" i="3"/>
  <c r="A9146" i="3"/>
  <c r="B9145" i="3"/>
  <c r="A9145" i="3"/>
  <c r="B9144" i="3"/>
  <c r="A9144" i="3"/>
  <c r="B9143" i="3"/>
  <c r="A9143" i="3"/>
  <c r="B9142" i="3"/>
  <c r="A9142" i="3"/>
  <c r="B9141" i="3"/>
  <c r="A9141" i="3"/>
  <c r="B9140" i="3"/>
  <c r="A9140" i="3"/>
  <c r="B9139" i="3"/>
  <c r="A9139" i="3"/>
  <c r="B9138" i="3"/>
  <c r="A9138" i="3"/>
  <c r="B9137" i="3"/>
  <c r="A9137" i="3"/>
  <c r="B9136" i="3"/>
  <c r="A9136" i="3"/>
  <c r="B9135" i="3"/>
  <c r="A9135" i="3"/>
  <c r="B9134" i="3"/>
  <c r="A9134" i="3"/>
  <c r="B9133" i="3"/>
  <c r="A9133" i="3"/>
  <c r="B9132" i="3"/>
  <c r="A9132" i="3"/>
  <c r="B9131" i="3"/>
  <c r="A9131" i="3"/>
  <c r="B9130" i="3"/>
  <c r="A9130" i="3"/>
  <c r="B9129" i="3"/>
  <c r="A9129" i="3"/>
  <c r="B9128" i="3"/>
  <c r="A9128" i="3"/>
  <c r="B9127" i="3"/>
  <c r="A9127" i="3"/>
  <c r="B9126" i="3"/>
  <c r="A9126" i="3"/>
  <c r="B9125" i="3"/>
  <c r="A9125" i="3"/>
  <c r="B9124" i="3"/>
  <c r="A9124" i="3"/>
  <c r="B9123" i="3"/>
  <c r="A9123" i="3"/>
  <c r="B9122" i="3"/>
  <c r="A9122" i="3"/>
  <c r="B9121" i="3"/>
  <c r="A9121" i="3"/>
  <c r="B9120" i="3"/>
  <c r="A9120" i="3"/>
  <c r="B9119" i="3"/>
  <c r="A9119" i="3"/>
  <c r="B9118" i="3"/>
  <c r="A9118" i="3"/>
  <c r="B9117" i="3"/>
  <c r="A9117" i="3"/>
  <c r="B9116" i="3"/>
  <c r="A9116" i="3"/>
  <c r="B9115" i="3"/>
  <c r="A9115" i="3"/>
  <c r="B9114" i="3"/>
  <c r="A9114" i="3"/>
  <c r="B9113" i="3"/>
  <c r="A9113" i="3"/>
  <c r="B9112" i="3"/>
  <c r="A9112" i="3"/>
  <c r="B9111" i="3"/>
  <c r="A9111" i="3"/>
  <c r="B9110" i="3"/>
  <c r="A9110" i="3"/>
  <c r="B9109" i="3"/>
  <c r="A9109" i="3"/>
  <c r="B9108" i="3"/>
  <c r="A9108" i="3"/>
  <c r="B9107" i="3"/>
  <c r="A9107" i="3"/>
  <c r="B9106" i="3"/>
  <c r="A9106" i="3"/>
  <c r="B9105" i="3"/>
  <c r="A9105" i="3"/>
  <c r="B9104" i="3"/>
  <c r="A9104" i="3"/>
  <c r="B9103" i="3"/>
  <c r="A9103" i="3"/>
  <c r="B9102" i="3"/>
  <c r="A9102" i="3"/>
  <c r="B9101" i="3"/>
  <c r="A9101" i="3"/>
  <c r="B9100" i="3"/>
  <c r="A9100" i="3"/>
  <c r="B9099" i="3"/>
  <c r="A9099" i="3"/>
  <c r="B9098" i="3"/>
  <c r="A9098" i="3"/>
  <c r="B9097" i="3"/>
  <c r="A9097" i="3"/>
  <c r="B9096" i="3"/>
  <c r="A9096" i="3"/>
  <c r="B9095" i="3"/>
  <c r="A9095" i="3"/>
  <c r="B9094" i="3"/>
  <c r="A9094" i="3"/>
  <c r="B9093" i="3"/>
  <c r="A9093" i="3"/>
  <c r="B9092" i="3"/>
  <c r="A9092" i="3"/>
  <c r="B9091" i="3"/>
  <c r="A9091" i="3"/>
  <c r="B9090" i="3"/>
  <c r="A9090" i="3"/>
  <c r="B9089" i="3"/>
  <c r="A9089" i="3"/>
  <c r="B9088" i="3"/>
  <c r="A9088" i="3"/>
  <c r="B9087" i="3"/>
  <c r="A9087" i="3"/>
  <c r="B9086" i="3"/>
  <c r="A9086" i="3"/>
  <c r="B9085" i="3"/>
  <c r="A9085" i="3"/>
  <c r="B9084" i="3"/>
  <c r="A9084" i="3"/>
  <c r="B9083" i="3"/>
  <c r="A9083" i="3"/>
  <c r="B9082" i="3"/>
  <c r="A9082" i="3"/>
  <c r="B9081" i="3"/>
  <c r="A9081" i="3"/>
  <c r="B9080" i="3"/>
  <c r="A9080" i="3"/>
  <c r="B9079" i="3"/>
  <c r="A9079" i="3"/>
  <c r="B9078" i="3"/>
  <c r="A9078" i="3"/>
  <c r="B9077" i="3"/>
  <c r="A9077" i="3"/>
  <c r="B9076" i="3"/>
  <c r="A9076" i="3"/>
  <c r="B9075" i="3"/>
  <c r="A9075" i="3"/>
  <c r="B9074" i="3"/>
  <c r="A9074" i="3"/>
  <c r="B9073" i="3"/>
  <c r="A9073" i="3"/>
  <c r="B9072" i="3"/>
  <c r="A9072" i="3"/>
  <c r="B9071" i="3"/>
  <c r="A9071" i="3"/>
  <c r="B9070" i="3"/>
  <c r="A9070" i="3"/>
  <c r="B9069" i="3"/>
  <c r="A9069" i="3"/>
  <c r="B9068" i="3"/>
  <c r="A9068" i="3"/>
  <c r="B9067" i="3"/>
  <c r="A9067" i="3"/>
  <c r="B9066" i="3"/>
  <c r="A9066" i="3"/>
  <c r="B9065" i="3"/>
  <c r="A9065" i="3"/>
  <c r="B9064" i="3"/>
  <c r="A9064" i="3"/>
  <c r="B9063" i="3"/>
  <c r="A9063" i="3"/>
  <c r="B9062" i="3"/>
  <c r="A9062" i="3"/>
  <c r="B9061" i="3"/>
  <c r="A9061" i="3"/>
  <c r="B9060" i="3"/>
  <c r="A9060" i="3"/>
  <c r="B9059" i="3"/>
  <c r="A9059" i="3"/>
  <c r="B9058" i="3"/>
  <c r="A9058" i="3"/>
  <c r="B9057" i="3"/>
  <c r="A9057" i="3"/>
  <c r="B9056" i="3"/>
  <c r="A9056" i="3"/>
  <c r="B9055" i="3"/>
  <c r="A9055" i="3"/>
  <c r="B9054" i="3"/>
  <c r="A9054" i="3"/>
  <c r="B9053" i="3"/>
  <c r="A9053" i="3"/>
  <c r="B9052" i="3"/>
  <c r="A9052" i="3"/>
  <c r="B9051" i="3"/>
  <c r="A9051" i="3"/>
  <c r="B9050" i="3"/>
  <c r="A9050" i="3"/>
  <c r="B9049" i="3"/>
  <c r="A9049" i="3"/>
  <c r="B9048" i="3"/>
  <c r="A9048" i="3"/>
  <c r="B9047" i="3"/>
  <c r="A9047" i="3"/>
  <c r="B9046" i="3"/>
  <c r="A9046" i="3"/>
  <c r="B9045" i="3"/>
  <c r="A9045" i="3"/>
  <c r="B9044" i="3"/>
  <c r="A9044" i="3"/>
  <c r="B9043" i="3"/>
  <c r="B9042" i="3"/>
  <c r="B9041" i="3"/>
  <c r="A9041" i="3"/>
  <c r="B9040" i="3"/>
  <c r="A9040" i="3"/>
  <c r="B9039" i="3"/>
  <c r="A9039" i="3"/>
  <c r="B9038" i="3"/>
  <c r="A9038" i="3"/>
  <c r="B9037" i="3"/>
  <c r="A9037" i="3"/>
  <c r="B9036" i="3"/>
  <c r="A9036" i="3"/>
  <c r="B9035" i="3"/>
  <c r="A9035" i="3"/>
  <c r="B9034" i="3"/>
  <c r="A9034" i="3"/>
  <c r="B9033" i="3"/>
  <c r="A9033" i="3"/>
  <c r="B9032" i="3"/>
  <c r="A9032" i="3"/>
  <c r="B9031" i="3"/>
  <c r="A9031" i="3"/>
  <c r="B9030" i="3"/>
  <c r="A9030" i="3"/>
  <c r="B9029" i="3"/>
  <c r="A9029" i="3"/>
  <c r="B9028" i="3"/>
  <c r="A9028" i="3"/>
  <c r="B9027" i="3"/>
  <c r="A9027" i="3"/>
  <c r="B9026" i="3"/>
  <c r="A9026" i="3"/>
  <c r="B9025" i="3"/>
  <c r="A9025" i="3"/>
  <c r="B9024" i="3"/>
  <c r="A9024" i="3"/>
  <c r="B9023" i="3"/>
  <c r="A9023" i="3"/>
  <c r="B9022" i="3"/>
  <c r="A9022" i="3"/>
  <c r="B9021" i="3"/>
  <c r="A9021" i="3"/>
  <c r="B9020" i="3"/>
  <c r="A9020" i="3"/>
  <c r="B9019" i="3"/>
  <c r="A9019" i="3"/>
  <c r="B9018" i="3"/>
  <c r="A9018" i="3"/>
  <c r="B9017" i="3"/>
  <c r="A9017" i="3"/>
  <c r="B9016" i="3"/>
  <c r="A9016" i="3"/>
  <c r="B9015" i="3"/>
  <c r="A9015" i="3"/>
  <c r="B9014" i="3"/>
  <c r="A9014" i="3"/>
  <c r="B9013" i="3"/>
  <c r="A9013" i="3"/>
  <c r="B9012" i="3"/>
  <c r="A9012" i="3"/>
  <c r="B9011" i="3"/>
  <c r="A9011" i="3"/>
  <c r="B9010" i="3"/>
  <c r="A9010" i="3"/>
  <c r="B9009" i="3"/>
  <c r="A9009" i="3"/>
  <c r="B9008" i="3"/>
  <c r="A9008" i="3"/>
  <c r="B9007" i="3"/>
  <c r="A9007" i="3"/>
  <c r="B9006" i="3"/>
  <c r="A9006" i="3"/>
  <c r="B9005" i="3"/>
  <c r="A9005" i="3"/>
  <c r="B9004" i="3"/>
  <c r="A9004" i="3"/>
  <c r="B9003" i="3"/>
  <c r="A9003" i="3"/>
  <c r="B9002" i="3"/>
  <c r="A9002" i="3"/>
  <c r="B9001" i="3"/>
  <c r="A9001" i="3"/>
  <c r="B9000" i="3"/>
  <c r="A9000" i="3"/>
  <c r="B8999" i="3"/>
  <c r="A8999" i="3"/>
  <c r="B8998" i="3"/>
  <c r="A8998" i="3"/>
  <c r="B8997" i="3"/>
  <c r="A8997" i="3"/>
  <c r="B8996" i="3"/>
  <c r="A8996" i="3"/>
  <c r="B8995" i="3"/>
  <c r="A8995" i="3"/>
  <c r="B8994" i="3"/>
  <c r="A8994" i="3"/>
  <c r="B8993" i="3"/>
  <c r="A8993" i="3"/>
  <c r="B8992" i="3"/>
  <c r="A8992" i="3"/>
  <c r="B8991" i="3"/>
  <c r="A8991" i="3"/>
  <c r="B8990" i="3"/>
  <c r="A8990" i="3"/>
  <c r="B8989" i="3"/>
  <c r="A8989" i="3"/>
  <c r="B8988" i="3"/>
  <c r="A8988" i="3"/>
  <c r="B8987" i="3"/>
  <c r="A8987" i="3"/>
  <c r="B8986" i="3"/>
  <c r="A8986" i="3"/>
  <c r="B8985" i="3"/>
  <c r="A8985" i="3"/>
  <c r="B8984" i="3"/>
  <c r="A8984" i="3"/>
  <c r="B8983" i="3"/>
  <c r="A8983" i="3"/>
  <c r="B8982" i="3"/>
  <c r="A8982" i="3"/>
  <c r="B8981" i="3"/>
  <c r="A8981" i="3"/>
  <c r="B8980" i="3"/>
  <c r="A8980" i="3"/>
  <c r="B8979" i="3"/>
  <c r="A8979" i="3"/>
  <c r="B8978" i="3"/>
  <c r="A8978" i="3"/>
  <c r="B8977" i="3"/>
  <c r="A8977" i="3"/>
  <c r="B8976" i="3"/>
  <c r="A8976" i="3"/>
  <c r="B8975" i="3"/>
  <c r="A8975" i="3"/>
  <c r="B8974" i="3"/>
  <c r="A8974" i="3"/>
  <c r="B8973" i="3"/>
  <c r="A8973" i="3"/>
  <c r="B8972" i="3"/>
  <c r="A8972" i="3"/>
  <c r="B8971" i="3"/>
  <c r="A8971" i="3"/>
  <c r="B8970" i="3"/>
  <c r="A8970" i="3"/>
  <c r="B8969" i="3"/>
  <c r="A8969" i="3"/>
  <c r="B8968" i="3"/>
  <c r="A8968" i="3"/>
  <c r="B8967" i="3"/>
  <c r="A8967" i="3"/>
  <c r="B8966" i="3"/>
  <c r="A8966" i="3"/>
  <c r="B8965" i="3"/>
  <c r="A8965" i="3"/>
  <c r="B8964" i="3"/>
  <c r="A8964" i="3"/>
  <c r="B8963" i="3"/>
  <c r="A8963" i="3"/>
  <c r="B8962" i="3"/>
  <c r="A8962" i="3"/>
  <c r="B8961" i="3"/>
  <c r="A8961" i="3"/>
  <c r="B8960" i="3"/>
  <c r="A8960" i="3"/>
  <c r="B8959" i="3"/>
  <c r="A8959" i="3"/>
  <c r="B8958" i="3"/>
  <c r="A8958" i="3"/>
  <c r="B8957" i="3"/>
  <c r="A8957" i="3"/>
  <c r="B8956" i="3"/>
  <c r="A8956" i="3"/>
  <c r="B8955" i="3"/>
  <c r="A8955" i="3"/>
  <c r="B8954" i="3"/>
  <c r="A8954" i="3"/>
  <c r="B8953" i="3"/>
  <c r="A8953" i="3"/>
  <c r="B8952" i="3"/>
  <c r="A8952" i="3"/>
  <c r="B8951" i="3"/>
  <c r="A8951" i="3"/>
  <c r="B8950" i="3"/>
  <c r="A8950" i="3"/>
  <c r="B8949" i="3"/>
  <c r="A8949" i="3"/>
  <c r="B8948" i="3"/>
  <c r="A8948" i="3"/>
  <c r="B8947" i="3"/>
  <c r="A8947" i="3"/>
  <c r="B8946" i="3"/>
  <c r="A8946" i="3"/>
  <c r="B8945" i="3"/>
  <c r="A8945" i="3"/>
  <c r="B8944" i="3"/>
  <c r="A8944" i="3"/>
  <c r="B8943" i="3"/>
  <c r="A8943" i="3"/>
  <c r="B8942" i="3"/>
  <c r="A8942" i="3"/>
  <c r="B8941" i="3"/>
  <c r="A8941" i="3"/>
  <c r="B8940" i="3"/>
  <c r="A8940" i="3"/>
  <c r="B8939" i="3"/>
  <c r="A8939" i="3"/>
  <c r="B8938" i="3"/>
  <c r="A8938" i="3"/>
  <c r="B8937" i="3"/>
  <c r="A8937" i="3"/>
  <c r="B8936" i="3"/>
  <c r="A8936" i="3"/>
  <c r="B8935" i="3"/>
  <c r="A8935" i="3"/>
  <c r="B8934" i="3"/>
  <c r="A8934" i="3"/>
  <c r="B8933" i="3"/>
  <c r="A8933" i="3"/>
  <c r="B8932" i="3"/>
  <c r="A8932" i="3"/>
  <c r="B8931" i="3"/>
  <c r="A8931" i="3"/>
  <c r="B8930" i="3"/>
  <c r="A8930" i="3"/>
  <c r="B8929" i="3"/>
  <c r="A8929" i="3"/>
  <c r="B8928" i="3"/>
  <c r="A8928" i="3"/>
  <c r="B8927" i="3"/>
  <c r="A8927" i="3"/>
  <c r="B8926" i="3"/>
  <c r="A8926" i="3"/>
  <c r="B8925" i="3"/>
  <c r="A8925" i="3"/>
  <c r="B8924" i="3"/>
  <c r="A8924" i="3"/>
  <c r="B8923" i="3"/>
  <c r="A8923" i="3"/>
  <c r="B8922" i="3"/>
  <c r="A8922" i="3"/>
  <c r="B8921" i="3"/>
  <c r="A8921" i="3"/>
  <c r="B8920" i="3"/>
  <c r="A8920" i="3"/>
  <c r="B8919" i="3"/>
  <c r="A8919" i="3"/>
  <c r="B8918" i="3"/>
  <c r="A8918" i="3"/>
  <c r="B8917" i="3"/>
  <c r="A8917" i="3"/>
  <c r="B8916" i="3"/>
  <c r="A8916" i="3"/>
  <c r="B8915" i="3"/>
  <c r="A8915" i="3"/>
  <c r="B8914" i="3"/>
  <c r="A8914" i="3"/>
  <c r="B8913" i="3"/>
  <c r="B8912" i="3"/>
  <c r="A8912" i="3"/>
  <c r="B8911" i="3"/>
  <c r="A8911" i="3"/>
  <c r="B8910" i="3"/>
  <c r="A8910" i="3"/>
  <c r="B8909" i="3"/>
  <c r="A8909" i="3"/>
  <c r="B8908" i="3"/>
  <c r="A8908" i="3"/>
  <c r="B8907" i="3"/>
  <c r="A8907" i="3"/>
  <c r="B8906" i="3"/>
  <c r="A8906" i="3"/>
  <c r="B8905" i="3"/>
  <c r="A8905" i="3"/>
  <c r="B8904" i="3"/>
  <c r="A8904" i="3"/>
  <c r="B8903" i="3"/>
  <c r="A8903" i="3"/>
  <c r="B8902" i="3"/>
  <c r="A8902" i="3"/>
  <c r="B8901" i="3"/>
  <c r="A8901" i="3"/>
  <c r="B8900" i="3"/>
  <c r="A8900" i="3"/>
  <c r="B8899" i="3"/>
  <c r="A8899" i="3"/>
  <c r="B8898" i="3"/>
  <c r="A8898" i="3"/>
  <c r="B8897" i="3"/>
  <c r="A8897" i="3"/>
  <c r="B8896" i="3"/>
  <c r="A8896" i="3"/>
  <c r="B8895" i="3"/>
  <c r="A8895" i="3"/>
  <c r="B8894" i="3"/>
  <c r="A8894" i="3"/>
  <c r="B8893" i="3"/>
  <c r="A8893" i="3"/>
  <c r="B8892" i="3"/>
  <c r="A8892" i="3"/>
  <c r="B8891" i="3"/>
  <c r="A8891" i="3"/>
  <c r="B8890" i="3"/>
  <c r="A8890" i="3"/>
  <c r="B8889" i="3"/>
  <c r="A8889" i="3"/>
  <c r="B8888" i="3"/>
  <c r="A8888" i="3"/>
  <c r="B8887" i="3"/>
  <c r="A8887" i="3"/>
  <c r="B8886" i="3"/>
  <c r="A8886" i="3"/>
  <c r="B8885" i="3"/>
  <c r="A8885" i="3"/>
  <c r="B8884" i="3"/>
  <c r="A8884" i="3"/>
  <c r="B8883" i="3"/>
  <c r="A8883" i="3"/>
  <c r="B8882" i="3"/>
  <c r="A8882" i="3"/>
  <c r="B8881" i="3"/>
  <c r="A8881" i="3"/>
  <c r="B8880" i="3"/>
  <c r="A8880" i="3"/>
  <c r="B8879" i="3"/>
  <c r="A8879" i="3"/>
  <c r="B8878" i="3"/>
  <c r="A8878" i="3"/>
  <c r="B8877" i="3"/>
  <c r="A8877" i="3"/>
  <c r="B8876" i="3"/>
  <c r="A8876" i="3"/>
  <c r="B8875" i="3"/>
  <c r="A8875" i="3"/>
  <c r="B8874" i="3"/>
  <c r="A8874" i="3"/>
  <c r="B8873" i="3"/>
  <c r="A8873" i="3"/>
  <c r="B8872" i="3"/>
  <c r="A8872" i="3"/>
  <c r="B8871" i="3"/>
  <c r="A8871" i="3"/>
  <c r="B8870" i="3"/>
  <c r="A8870" i="3"/>
  <c r="B8869" i="3"/>
  <c r="A8869" i="3"/>
  <c r="B8868" i="3"/>
  <c r="A8868" i="3"/>
  <c r="B8867" i="3"/>
  <c r="A8867" i="3"/>
  <c r="B8866" i="3"/>
  <c r="A8866" i="3"/>
  <c r="B8865" i="3"/>
  <c r="A8865" i="3"/>
  <c r="B8864" i="3"/>
  <c r="A8864" i="3"/>
  <c r="B8863" i="3"/>
  <c r="A8863" i="3"/>
  <c r="B8862" i="3"/>
  <c r="A8862" i="3"/>
  <c r="B8861" i="3"/>
  <c r="A8861" i="3"/>
  <c r="B8860" i="3"/>
  <c r="A8860" i="3"/>
  <c r="B8859" i="3"/>
  <c r="A8859" i="3"/>
  <c r="B8858" i="3"/>
  <c r="A8858" i="3"/>
  <c r="B8857" i="3"/>
  <c r="A8857" i="3"/>
  <c r="B8856" i="3"/>
  <c r="A8856" i="3"/>
  <c r="B8855" i="3"/>
  <c r="A8855" i="3"/>
  <c r="B8854" i="3"/>
  <c r="A8854" i="3"/>
  <c r="B8853" i="3"/>
  <c r="A8853" i="3"/>
  <c r="B8852" i="3"/>
  <c r="A8852" i="3"/>
  <c r="B8851" i="3"/>
  <c r="A8851" i="3"/>
  <c r="B8850" i="3"/>
  <c r="A8850" i="3"/>
  <c r="B8849" i="3"/>
  <c r="A8849" i="3"/>
  <c r="B8848" i="3"/>
  <c r="A8848" i="3"/>
  <c r="B8847" i="3"/>
  <c r="A8847" i="3"/>
  <c r="B8846" i="3"/>
  <c r="A8846" i="3"/>
  <c r="B8845" i="3"/>
  <c r="A8845" i="3"/>
  <c r="B8844" i="3"/>
  <c r="A8844" i="3"/>
  <c r="B8843" i="3"/>
  <c r="A8843" i="3"/>
  <c r="B8842" i="3"/>
  <c r="A8842" i="3"/>
  <c r="B8841" i="3"/>
  <c r="A8841" i="3"/>
  <c r="B8840" i="3"/>
  <c r="A8840" i="3"/>
  <c r="B8839" i="3"/>
  <c r="A8839" i="3"/>
  <c r="B8838" i="3"/>
  <c r="A8838" i="3"/>
  <c r="B8837" i="3"/>
  <c r="A8837" i="3"/>
  <c r="B8836" i="3"/>
  <c r="A8836" i="3"/>
  <c r="B8835" i="3"/>
  <c r="A8835" i="3"/>
  <c r="B8834" i="3"/>
  <c r="A8834" i="3"/>
  <c r="B8833" i="3"/>
  <c r="A8833" i="3"/>
  <c r="B8832" i="3"/>
  <c r="A8832" i="3"/>
  <c r="B8831" i="3"/>
  <c r="A8831" i="3"/>
  <c r="B8830" i="3"/>
  <c r="A8830" i="3"/>
  <c r="B8829" i="3"/>
  <c r="A8829" i="3"/>
  <c r="B8828" i="3"/>
  <c r="A8828" i="3"/>
  <c r="B8827" i="3"/>
  <c r="A8827" i="3"/>
  <c r="B8826" i="3"/>
  <c r="A8826" i="3"/>
  <c r="B8825" i="3"/>
  <c r="A8825" i="3"/>
  <c r="B8824" i="3"/>
  <c r="A8824" i="3"/>
  <c r="B8823" i="3"/>
  <c r="A8823" i="3"/>
  <c r="B8822" i="3"/>
  <c r="A8822" i="3"/>
  <c r="B8821" i="3"/>
  <c r="A8821" i="3"/>
  <c r="B8820" i="3"/>
  <c r="A8820" i="3"/>
  <c r="B8819" i="3"/>
  <c r="A8819" i="3"/>
  <c r="B8818" i="3"/>
  <c r="A8818" i="3"/>
  <c r="B8817" i="3"/>
  <c r="A8817" i="3"/>
  <c r="B8816" i="3"/>
  <c r="A8816" i="3"/>
  <c r="B8815" i="3"/>
  <c r="A8815" i="3"/>
  <c r="B8814" i="3"/>
  <c r="A8814" i="3"/>
  <c r="B8813" i="3"/>
  <c r="A8813" i="3"/>
  <c r="B8812" i="3"/>
  <c r="A8812" i="3"/>
  <c r="B8811" i="3"/>
  <c r="A8811" i="3"/>
  <c r="B8810" i="3"/>
  <c r="A8810" i="3"/>
  <c r="B8809" i="3"/>
  <c r="A8809" i="3"/>
  <c r="B8808" i="3"/>
  <c r="A8808" i="3"/>
  <c r="B8807" i="3"/>
  <c r="A8807" i="3"/>
  <c r="B8806" i="3"/>
  <c r="A8806" i="3"/>
  <c r="B8805" i="3"/>
  <c r="A8805" i="3"/>
  <c r="B8804" i="3"/>
  <c r="A8804" i="3"/>
  <c r="B8803" i="3"/>
  <c r="A8803" i="3"/>
  <c r="B8802" i="3"/>
  <c r="A8802" i="3"/>
  <c r="B8801" i="3"/>
  <c r="A8801" i="3"/>
  <c r="B8800" i="3"/>
  <c r="A8800" i="3"/>
  <c r="B8799" i="3"/>
  <c r="A8799" i="3"/>
  <c r="B8798" i="3"/>
  <c r="A8798" i="3"/>
  <c r="B8797" i="3"/>
  <c r="A8797" i="3"/>
  <c r="B8796" i="3"/>
  <c r="A8796" i="3"/>
  <c r="B8795" i="3"/>
  <c r="A8795" i="3"/>
  <c r="B8794" i="3"/>
  <c r="A8794" i="3"/>
  <c r="B8793" i="3"/>
  <c r="A8793" i="3"/>
  <c r="B8792" i="3"/>
  <c r="A8792" i="3"/>
  <c r="B8791" i="3"/>
  <c r="A8791" i="3"/>
  <c r="B8790" i="3"/>
  <c r="A8790" i="3"/>
  <c r="B8789" i="3"/>
  <c r="A8789" i="3"/>
  <c r="B8788" i="3"/>
  <c r="A8788" i="3"/>
  <c r="B8787" i="3"/>
  <c r="A8787" i="3"/>
  <c r="B8786" i="3"/>
  <c r="A8786" i="3"/>
  <c r="B8785" i="3"/>
  <c r="A8785" i="3"/>
  <c r="B8784" i="3"/>
  <c r="A8784" i="3"/>
  <c r="B8783" i="3"/>
  <c r="A8783" i="3"/>
  <c r="B8782" i="3"/>
  <c r="A8782" i="3"/>
  <c r="B8781" i="3"/>
  <c r="A8781" i="3"/>
  <c r="B8780" i="3"/>
  <c r="A8780" i="3"/>
  <c r="B8779" i="3"/>
  <c r="A8779" i="3"/>
  <c r="B8778" i="3"/>
  <c r="A8778" i="3"/>
  <c r="B8777" i="3"/>
  <c r="A8777" i="3"/>
  <c r="B8776" i="3"/>
  <c r="A8776" i="3"/>
  <c r="B8775" i="3"/>
  <c r="A8775" i="3"/>
  <c r="B8774" i="3"/>
  <c r="A8774" i="3"/>
  <c r="B8773" i="3"/>
  <c r="A8773" i="3"/>
  <c r="B8772" i="3"/>
  <c r="A8772" i="3"/>
  <c r="B8771" i="3"/>
  <c r="A8771" i="3"/>
  <c r="B8770" i="3"/>
  <c r="A8770" i="3"/>
  <c r="B8769" i="3"/>
  <c r="A8769" i="3"/>
  <c r="B8768" i="3"/>
  <c r="A8768" i="3"/>
  <c r="B8767" i="3"/>
  <c r="A8767" i="3"/>
  <c r="B8766" i="3"/>
  <c r="A8766" i="3"/>
  <c r="B8765" i="3"/>
  <c r="A8765" i="3"/>
  <c r="B8764" i="3"/>
  <c r="A8764" i="3"/>
  <c r="B8763" i="3"/>
  <c r="A8763" i="3"/>
  <c r="B8762" i="3"/>
  <c r="A8762" i="3"/>
  <c r="B8761" i="3"/>
  <c r="A8761" i="3"/>
  <c r="B8760" i="3"/>
  <c r="A8760" i="3"/>
  <c r="B8759" i="3"/>
  <c r="A8759" i="3"/>
  <c r="B8758" i="3"/>
  <c r="A8758" i="3"/>
  <c r="B8757" i="3"/>
  <c r="A8757" i="3"/>
  <c r="B8756" i="3"/>
  <c r="A8756" i="3"/>
  <c r="B8755" i="3"/>
  <c r="A8755" i="3"/>
  <c r="B8754" i="3"/>
  <c r="A8754" i="3"/>
  <c r="B8753" i="3"/>
  <c r="A8753" i="3"/>
  <c r="B8752" i="3"/>
  <c r="A8752" i="3"/>
  <c r="B8751" i="3"/>
  <c r="A8751" i="3"/>
  <c r="B8750" i="3"/>
  <c r="A8750" i="3"/>
  <c r="B8749" i="3"/>
  <c r="A8749" i="3"/>
  <c r="B8748" i="3"/>
  <c r="A8748" i="3"/>
  <c r="B8747" i="3"/>
  <c r="A8747" i="3"/>
  <c r="B8746" i="3"/>
  <c r="A8746" i="3"/>
  <c r="B8745" i="3"/>
  <c r="A8745" i="3"/>
  <c r="B8744" i="3"/>
  <c r="A8744" i="3"/>
  <c r="B8743" i="3"/>
  <c r="A8743" i="3"/>
  <c r="B8742" i="3"/>
  <c r="A8742" i="3"/>
  <c r="B8741" i="3"/>
  <c r="A8741" i="3"/>
  <c r="B8740" i="3"/>
  <c r="A8740" i="3"/>
  <c r="B8739" i="3"/>
  <c r="A8739" i="3"/>
  <c r="B8738" i="3"/>
  <c r="A8738" i="3"/>
  <c r="B8737" i="3"/>
  <c r="A8737" i="3"/>
  <c r="B8736" i="3"/>
  <c r="A8736" i="3"/>
  <c r="B8735" i="3"/>
  <c r="A8735" i="3"/>
  <c r="B8734" i="3"/>
  <c r="A8734" i="3"/>
  <c r="B8733" i="3"/>
  <c r="A8733" i="3"/>
  <c r="B8732" i="3"/>
  <c r="A8732" i="3"/>
  <c r="B8731" i="3"/>
  <c r="A8731" i="3"/>
  <c r="B8730" i="3"/>
  <c r="A8730" i="3"/>
  <c r="B8729" i="3"/>
  <c r="A8729" i="3"/>
  <c r="B8728" i="3"/>
  <c r="A8728" i="3"/>
  <c r="B8727" i="3"/>
  <c r="A8727" i="3"/>
  <c r="B8726" i="3"/>
  <c r="A8726" i="3"/>
  <c r="B8725" i="3"/>
  <c r="A8725" i="3"/>
  <c r="B8724" i="3"/>
  <c r="A8724" i="3"/>
  <c r="B8723" i="3"/>
  <c r="A8723" i="3"/>
  <c r="B8722" i="3"/>
  <c r="A8722" i="3"/>
  <c r="B8721" i="3"/>
  <c r="A8721" i="3"/>
  <c r="B8720" i="3"/>
  <c r="A8720" i="3"/>
  <c r="B8719" i="3"/>
  <c r="A8719" i="3"/>
  <c r="B8718" i="3"/>
  <c r="A8718" i="3"/>
  <c r="B8717" i="3"/>
  <c r="A8717" i="3"/>
  <c r="B8716" i="3"/>
  <c r="A8716" i="3"/>
  <c r="B8715" i="3"/>
  <c r="A8715" i="3"/>
  <c r="B8714" i="3"/>
  <c r="A8714" i="3"/>
  <c r="B8713" i="3"/>
  <c r="A8713" i="3"/>
  <c r="B8712" i="3"/>
  <c r="A8712" i="3"/>
  <c r="B8711" i="3"/>
  <c r="A8711" i="3"/>
  <c r="B8710" i="3"/>
  <c r="A8710" i="3"/>
  <c r="B8709" i="3"/>
  <c r="A8709" i="3"/>
  <c r="B8708" i="3"/>
  <c r="A8708" i="3"/>
  <c r="B8707" i="3"/>
  <c r="A8707" i="3"/>
  <c r="B8706" i="3"/>
  <c r="A8706" i="3"/>
  <c r="B8705" i="3"/>
  <c r="A8705" i="3"/>
  <c r="B8704" i="3"/>
  <c r="A8704" i="3"/>
  <c r="B8703" i="3"/>
  <c r="A8703" i="3"/>
  <c r="B8702" i="3"/>
  <c r="A8702" i="3"/>
  <c r="B8701" i="3"/>
  <c r="A8701" i="3"/>
  <c r="B8700" i="3"/>
  <c r="A8700" i="3"/>
  <c r="B8699" i="3"/>
  <c r="A8699" i="3"/>
  <c r="B8698" i="3"/>
  <c r="A8698" i="3"/>
  <c r="B8697" i="3"/>
  <c r="A8697" i="3"/>
  <c r="B8696" i="3"/>
  <c r="A8696" i="3"/>
  <c r="B8695" i="3"/>
  <c r="A8695" i="3"/>
  <c r="B8694" i="3"/>
  <c r="A8694" i="3"/>
  <c r="B8693" i="3"/>
  <c r="A8693" i="3"/>
  <c r="B8692" i="3"/>
  <c r="A8692" i="3"/>
  <c r="B8691" i="3"/>
  <c r="A8691" i="3"/>
  <c r="B8690" i="3"/>
  <c r="A8690" i="3"/>
  <c r="B8689" i="3"/>
  <c r="A8689" i="3"/>
  <c r="B8688" i="3"/>
  <c r="A8688" i="3"/>
  <c r="B8687" i="3"/>
  <c r="A8687" i="3"/>
  <c r="B8686" i="3"/>
  <c r="A8686" i="3"/>
  <c r="B8685" i="3"/>
  <c r="A8685" i="3"/>
  <c r="B8684" i="3"/>
  <c r="A8684" i="3"/>
  <c r="B8683" i="3"/>
  <c r="A8683" i="3"/>
  <c r="B8682" i="3"/>
  <c r="A8682" i="3"/>
  <c r="B8681" i="3"/>
  <c r="A8681" i="3"/>
  <c r="B8680" i="3"/>
  <c r="A8680" i="3"/>
  <c r="B8679" i="3"/>
  <c r="A8679" i="3"/>
  <c r="B8678" i="3"/>
  <c r="A8678" i="3"/>
  <c r="B8677" i="3"/>
  <c r="A8677" i="3"/>
  <c r="B8676" i="3"/>
  <c r="A8676" i="3"/>
  <c r="B8675" i="3"/>
  <c r="A8675" i="3"/>
  <c r="B8674" i="3"/>
  <c r="A8674" i="3"/>
  <c r="B8673" i="3"/>
  <c r="A8673" i="3"/>
  <c r="B8672" i="3"/>
  <c r="A8672" i="3"/>
  <c r="B8671" i="3"/>
  <c r="A8671" i="3"/>
  <c r="B8670" i="3"/>
  <c r="A8670" i="3"/>
  <c r="B8669" i="3"/>
  <c r="A8669" i="3"/>
  <c r="B8668" i="3"/>
  <c r="A8668" i="3"/>
  <c r="B8667" i="3"/>
  <c r="A8667" i="3"/>
  <c r="B8666" i="3"/>
  <c r="A8666" i="3"/>
  <c r="B8665" i="3"/>
  <c r="A8665" i="3"/>
  <c r="B8664" i="3"/>
  <c r="A8664" i="3"/>
  <c r="B8663" i="3"/>
  <c r="A8663" i="3"/>
  <c r="B8662" i="3"/>
  <c r="A8662" i="3"/>
  <c r="B8661" i="3"/>
  <c r="A8661" i="3"/>
  <c r="B8660" i="3"/>
  <c r="A8660" i="3"/>
  <c r="B8659" i="3"/>
  <c r="A8659" i="3"/>
  <c r="B8658" i="3"/>
  <c r="A8658" i="3"/>
  <c r="B8657" i="3"/>
  <c r="A8657" i="3"/>
  <c r="B8656" i="3"/>
  <c r="A8656" i="3"/>
  <c r="B8655" i="3"/>
  <c r="A8655" i="3"/>
  <c r="B8654" i="3"/>
  <c r="A8654" i="3"/>
  <c r="B8653" i="3"/>
  <c r="A8653" i="3"/>
  <c r="B8652" i="3"/>
  <c r="A8652" i="3"/>
  <c r="B8651" i="3"/>
  <c r="A8651" i="3"/>
  <c r="B8650" i="3"/>
  <c r="A8650" i="3"/>
  <c r="B8649" i="3"/>
  <c r="A8649" i="3"/>
  <c r="B8648" i="3"/>
  <c r="A8648" i="3"/>
  <c r="B8647" i="3"/>
  <c r="A8647" i="3"/>
  <c r="B8646" i="3"/>
  <c r="A8646" i="3"/>
  <c r="B8645" i="3"/>
  <c r="A8645" i="3"/>
  <c r="B8644" i="3"/>
  <c r="A8644" i="3"/>
  <c r="B8643" i="3"/>
  <c r="A8643" i="3"/>
  <c r="B8642" i="3"/>
  <c r="A8642" i="3"/>
  <c r="B8641" i="3"/>
  <c r="A8641" i="3"/>
  <c r="B8640" i="3"/>
  <c r="A8640" i="3"/>
  <c r="B8639" i="3"/>
  <c r="A8639" i="3"/>
  <c r="B8638" i="3"/>
  <c r="A8638" i="3"/>
  <c r="B8637" i="3"/>
  <c r="A8637" i="3"/>
  <c r="B8636" i="3"/>
  <c r="A8636" i="3"/>
  <c r="B8635" i="3"/>
  <c r="A8635" i="3"/>
  <c r="B8634" i="3"/>
  <c r="A8634" i="3"/>
  <c r="B8633" i="3"/>
  <c r="A8633" i="3"/>
  <c r="B8632" i="3"/>
  <c r="A8632" i="3"/>
  <c r="B8631" i="3"/>
  <c r="A8631" i="3"/>
  <c r="B8630" i="3"/>
  <c r="A8630" i="3"/>
  <c r="B8629" i="3"/>
  <c r="A8629" i="3"/>
  <c r="B8628" i="3"/>
  <c r="A8628" i="3"/>
  <c r="B8627" i="3"/>
  <c r="A8627" i="3"/>
  <c r="B8626" i="3"/>
  <c r="A8626" i="3"/>
  <c r="B8625" i="3"/>
  <c r="A8625" i="3"/>
  <c r="B8624" i="3"/>
  <c r="A8624" i="3"/>
  <c r="B8623" i="3"/>
  <c r="A8623" i="3"/>
  <c r="B8622" i="3"/>
  <c r="A8622" i="3"/>
  <c r="B8621" i="3"/>
  <c r="A8621" i="3"/>
  <c r="B8620" i="3"/>
  <c r="A8620" i="3"/>
  <c r="B8619" i="3"/>
  <c r="A8619" i="3"/>
  <c r="B8618" i="3"/>
  <c r="A8618" i="3"/>
  <c r="B8617" i="3"/>
  <c r="A8617" i="3"/>
  <c r="B8616" i="3"/>
  <c r="A8616" i="3"/>
  <c r="B8615" i="3"/>
  <c r="A8615" i="3"/>
  <c r="B8614" i="3"/>
  <c r="A8614" i="3"/>
  <c r="B8613" i="3"/>
  <c r="A8613" i="3"/>
  <c r="B8612" i="3"/>
  <c r="A8612" i="3"/>
  <c r="B8611" i="3"/>
  <c r="A8611" i="3"/>
  <c r="B8610" i="3"/>
  <c r="A8610" i="3"/>
  <c r="B8609" i="3"/>
  <c r="A8609" i="3"/>
  <c r="B8608" i="3"/>
  <c r="A8608" i="3"/>
  <c r="B8607" i="3"/>
  <c r="A8607" i="3"/>
  <c r="B8606" i="3"/>
  <c r="A8606" i="3"/>
  <c r="B8605" i="3"/>
  <c r="A8605" i="3"/>
  <c r="B8604" i="3"/>
  <c r="A8604" i="3"/>
  <c r="B8603" i="3"/>
  <c r="A8603" i="3"/>
  <c r="B8602" i="3"/>
  <c r="A8602" i="3"/>
  <c r="B8601" i="3"/>
  <c r="A8601" i="3"/>
  <c r="B8600" i="3"/>
  <c r="A8600" i="3"/>
  <c r="B8599" i="3"/>
  <c r="A8599" i="3"/>
  <c r="B8598" i="3"/>
  <c r="A8598" i="3"/>
  <c r="B8597" i="3"/>
  <c r="A8597" i="3"/>
  <c r="B8596" i="3"/>
  <c r="A8596" i="3"/>
  <c r="B8595" i="3"/>
  <c r="A8595" i="3"/>
  <c r="B8594" i="3"/>
  <c r="A8594" i="3"/>
  <c r="B8593" i="3"/>
  <c r="A8593" i="3"/>
  <c r="B8592" i="3"/>
  <c r="A8592" i="3"/>
  <c r="B8591" i="3"/>
  <c r="A8591" i="3"/>
  <c r="B8590" i="3"/>
  <c r="A8590" i="3"/>
  <c r="B8589" i="3"/>
  <c r="A8589" i="3"/>
  <c r="B8588" i="3"/>
  <c r="A8588" i="3"/>
  <c r="B8587" i="3"/>
  <c r="A8587" i="3"/>
  <c r="B8586" i="3"/>
  <c r="A8586" i="3"/>
  <c r="B8585" i="3"/>
  <c r="A8585" i="3"/>
  <c r="B8584" i="3"/>
  <c r="A8584" i="3"/>
  <c r="B8583" i="3"/>
  <c r="A8583" i="3"/>
  <c r="B8582" i="3"/>
  <c r="A8582" i="3"/>
  <c r="B8581" i="3"/>
  <c r="A8581" i="3"/>
  <c r="B8580" i="3"/>
  <c r="A8580" i="3"/>
  <c r="B8579" i="3"/>
  <c r="A8579" i="3"/>
  <c r="B8578" i="3"/>
  <c r="A8578" i="3"/>
  <c r="B8577" i="3"/>
  <c r="A8577" i="3"/>
  <c r="B8576" i="3"/>
  <c r="A8576" i="3"/>
  <c r="B8575" i="3"/>
  <c r="A8575" i="3"/>
  <c r="B8574" i="3"/>
  <c r="A8574" i="3"/>
  <c r="B8573" i="3"/>
  <c r="A8573" i="3"/>
  <c r="B8572" i="3"/>
  <c r="A8572" i="3"/>
  <c r="B8571" i="3"/>
  <c r="A8571" i="3"/>
  <c r="B8570" i="3"/>
  <c r="A8570" i="3"/>
  <c r="B8569" i="3"/>
  <c r="A8569" i="3"/>
  <c r="B8568" i="3"/>
  <c r="A8568" i="3"/>
  <c r="B8567" i="3"/>
  <c r="A8567" i="3"/>
  <c r="B8566" i="3"/>
  <c r="A8566" i="3"/>
  <c r="B8565" i="3"/>
  <c r="A8565" i="3"/>
  <c r="B8564" i="3"/>
  <c r="A8564" i="3"/>
  <c r="B8563" i="3"/>
  <c r="A8563" i="3"/>
  <c r="B8562" i="3"/>
  <c r="A8562" i="3"/>
  <c r="B8561" i="3"/>
  <c r="A8561" i="3"/>
  <c r="B8560" i="3"/>
  <c r="A8560" i="3"/>
  <c r="B8559" i="3"/>
  <c r="A8559" i="3"/>
  <c r="B8558" i="3"/>
  <c r="A8558" i="3"/>
  <c r="B8557" i="3"/>
  <c r="A8557" i="3"/>
  <c r="B8556" i="3"/>
  <c r="A8556" i="3"/>
  <c r="B8555" i="3"/>
  <c r="A8555" i="3"/>
  <c r="B8554" i="3"/>
  <c r="A8554" i="3"/>
  <c r="B8553" i="3"/>
  <c r="A8553" i="3"/>
  <c r="B8552" i="3"/>
  <c r="A8552" i="3"/>
  <c r="B8551" i="3"/>
  <c r="A8551" i="3"/>
  <c r="B8550" i="3"/>
  <c r="A8550" i="3"/>
  <c r="B8549" i="3"/>
  <c r="A8549" i="3"/>
  <c r="B8548" i="3"/>
  <c r="A8548" i="3"/>
  <c r="B8547" i="3"/>
  <c r="A8547" i="3"/>
  <c r="B8546" i="3"/>
  <c r="A8546" i="3"/>
  <c r="B8545" i="3"/>
  <c r="A8545" i="3"/>
  <c r="B8544" i="3"/>
  <c r="A8544" i="3"/>
  <c r="B8543" i="3"/>
  <c r="A8543" i="3"/>
  <c r="B8542" i="3"/>
  <c r="A8542" i="3"/>
  <c r="B8541" i="3"/>
  <c r="A8541" i="3"/>
  <c r="B8540" i="3"/>
  <c r="A8540" i="3"/>
  <c r="B8539" i="3"/>
  <c r="A8539" i="3"/>
  <c r="B8538" i="3"/>
  <c r="A8538" i="3"/>
  <c r="B8537" i="3"/>
  <c r="A8537" i="3"/>
  <c r="B8536" i="3"/>
  <c r="A8536" i="3"/>
  <c r="B8535" i="3"/>
  <c r="A8535" i="3"/>
  <c r="B8534" i="3"/>
  <c r="A8534" i="3"/>
  <c r="B8533" i="3"/>
  <c r="A8533" i="3"/>
  <c r="B8532" i="3"/>
  <c r="A8532" i="3"/>
  <c r="B8531" i="3"/>
  <c r="A8531" i="3"/>
  <c r="B8530" i="3"/>
  <c r="A8530" i="3"/>
  <c r="B8529" i="3"/>
  <c r="A8529" i="3"/>
  <c r="B8528" i="3"/>
  <c r="A8528" i="3"/>
  <c r="B8527" i="3"/>
  <c r="A8527" i="3"/>
  <c r="B8526" i="3"/>
  <c r="A8526" i="3"/>
  <c r="B8525" i="3"/>
  <c r="A8525" i="3"/>
  <c r="B8524" i="3"/>
  <c r="A8524" i="3"/>
  <c r="B8523" i="3"/>
  <c r="A8523" i="3"/>
  <c r="B8522" i="3"/>
  <c r="A8522" i="3"/>
  <c r="B8521" i="3"/>
  <c r="A8521" i="3"/>
  <c r="B8520" i="3"/>
  <c r="A8520" i="3"/>
  <c r="B8519" i="3"/>
  <c r="A8519" i="3"/>
  <c r="B8518" i="3"/>
  <c r="A8518" i="3"/>
  <c r="B8517" i="3"/>
  <c r="A8517" i="3"/>
  <c r="B8516" i="3"/>
  <c r="A8516" i="3"/>
  <c r="B8515" i="3"/>
  <c r="A8515" i="3"/>
  <c r="B8514" i="3"/>
  <c r="A8514" i="3"/>
  <c r="B8513" i="3"/>
  <c r="A8513" i="3"/>
  <c r="B8512" i="3"/>
  <c r="A8512" i="3"/>
  <c r="B8511" i="3"/>
  <c r="A8511" i="3"/>
  <c r="B8510" i="3"/>
  <c r="A8510" i="3"/>
  <c r="B8509" i="3"/>
  <c r="A8509" i="3"/>
  <c r="B8508" i="3"/>
  <c r="A8508" i="3"/>
  <c r="B8507" i="3"/>
  <c r="A8507" i="3"/>
  <c r="B8506" i="3"/>
  <c r="A8506" i="3"/>
  <c r="B8505" i="3"/>
  <c r="A8505" i="3"/>
  <c r="B8504" i="3"/>
  <c r="A8504" i="3"/>
  <c r="B8503" i="3"/>
  <c r="A8503" i="3"/>
  <c r="B8502" i="3"/>
  <c r="A8502" i="3"/>
  <c r="B8501" i="3"/>
  <c r="A8501" i="3"/>
  <c r="B8500" i="3"/>
  <c r="A8500" i="3"/>
  <c r="B8499" i="3"/>
  <c r="A8499" i="3"/>
  <c r="B8498" i="3"/>
  <c r="A8498" i="3"/>
  <c r="B8497" i="3"/>
  <c r="A8497" i="3"/>
  <c r="B8496" i="3"/>
  <c r="A8496" i="3"/>
  <c r="B8495" i="3"/>
  <c r="A8495" i="3"/>
  <c r="B8494" i="3"/>
  <c r="A8494" i="3"/>
  <c r="B8493" i="3"/>
  <c r="A8493" i="3"/>
  <c r="B8492" i="3"/>
  <c r="A8492" i="3"/>
  <c r="B8491" i="3"/>
  <c r="A8491" i="3"/>
  <c r="B8490" i="3"/>
  <c r="A8490" i="3"/>
  <c r="B8489" i="3"/>
  <c r="A8489" i="3"/>
  <c r="B8488" i="3"/>
  <c r="A8488" i="3"/>
  <c r="B8487" i="3"/>
  <c r="A8487" i="3"/>
  <c r="B8486" i="3"/>
  <c r="A8486" i="3"/>
  <c r="B8485" i="3"/>
  <c r="A8485" i="3"/>
  <c r="B8484" i="3"/>
  <c r="A8484" i="3"/>
  <c r="B8483" i="3"/>
  <c r="A8483" i="3"/>
  <c r="B8482" i="3"/>
  <c r="A8482" i="3"/>
  <c r="B8481" i="3"/>
  <c r="A8481" i="3"/>
  <c r="B8480" i="3"/>
  <c r="A8480" i="3"/>
  <c r="B8479" i="3"/>
  <c r="A8479" i="3"/>
  <c r="B8478" i="3"/>
  <c r="A8478" i="3"/>
  <c r="B8477" i="3"/>
  <c r="A8477" i="3"/>
  <c r="B8476" i="3"/>
  <c r="A8476" i="3"/>
  <c r="B8475" i="3"/>
  <c r="A8475" i="3"/>
  <c r="B8474" i="3"/>
  <c r="A8474" i="3"/>
  <c r="B8473" i="3"/>
  <c r="A8473" i="3"/>
  <c r="B8472" i="3"/>
  <c r="A8472" i="3"/>
  <c r="B8471" i="3"/>
  <c r="A8471" i="3"/>
  <c r="B8470" i="3"/>
  <c r="A8470" i="3"/>
  <c r="B8469" i="3"/>
  <c r="A8469" i="3"/>
  <c r="B8468" i="3"/>
  <c r="A8468" i="3"/>
  <c r="B8467" i="3"/>
  <c r="A8467" i="3"/>
  <c r="B8466" i="3"/>
  <c r="A8466" i="3"/>
  <c r="B8465" i="3"/>
  <c r="A8465" i="3"/>
  <c r="B8464" i="3"/>
  <c r="A8464" i="3"/>
  <c r="B8463" i="3"/>
  <c r="A8463" i="3"/>
  <c r="B8462" i="3"/>
  <c r="A8462" i="3"/>
  <c r="B8461" i="3"/>
  <c r="A8461" i="3"/>
  <c r="B8460" i="3"/>
  <c r="A8460" i="3"/>
  <c r="B8459" i="3"/>
  <c r="A8459" i="3"/>
  <c r="B8458" i="3"/>
  <c r="A8458" i="3"/>
  <c r="B8457" i="3"/>
  <c r="A8457" i="3"/>
  <c r="B8456" i="3"/>
  <c r="A8456" i="3"/>
  <c r="B8455" i="3"/>
  <c r="A8455" i="3"/>
  <c r="B8454" i="3"/>
  <c r="A8454" i="3"/>
  <c r="B8453" i="3"/>
  <c r="A8453" i="3"/>
  <c r="B8452" i="3"/>
  <c r="A8452" i="3"/>
  <c r="B8451" i="3"/>
  <c r="A8451" i="3"/>
  <c r="B8450" i="3"/>
  <c r="A8450" i="3"/>
  <c r="B8449" i="3"/>
  <c r="A8449" i="3"/>
  <c r="B8448" i="3"/>
  <c r="A8448" i="3"/>
  <c r="B8447" i="3"/>
  <c r="A8447" i="3"/>
  <c r="B8446" i="3"/>
  <c r="A8446" i="3"/>
  <c r="B8445" i="3"/>
  <c r="A8445" i="3"/>
  <c r="B8444" i="3"/>
  <c r="A8444" i="3"/>
  <c r="B8443" i="3"/>
  <c r="A8443" i="3"/>
  <c r="B8442" i="3"/>
  <c r="A8442" i="3"/>
  <c r="B8441" i="3"/>
  <c r="A8441" i="3"/>
  <c r="B8440" i="3"/>
  <c r="A8440" i="3"/>
  <c r="B8439" i="3"/>
  <c r="A8439" i="3"/>
  <c r="B8438" i="3"/>
  <c r="A8438" i="3"/>
  <c r="B8437" i="3"/>
  <c r="A8437" i="3"/>
  <c r="B8436" i="3"/>
  <c r="A8436" i="3"/>
  <c r="B8435" i="3"/>
  <c r="A8435" i="3"/>
  <c r="B8434" i="3"/>
  <c r="A8434" i="3"/>
  <c r="B8433" i="3"/>
  <c r="A8433" i="3"/>
  <c r="B8432" i="3"/>
  <c r="A8432" i="3"/>
  <c r="B8431" i="3"/>
  <c r="A8431" i="3"/>
  <c r="B8430" i="3"/>
  <c r="A8430" i="3"/>
  <c r="B8429" i="3"/>
  <c r="B8428" i="3"/>
  <c r="A8428" i="3"/>
  <c r="B8427" i="3"/>
  <c r="A8427" i="3"/>
  <c r="B8426" i="3"/>
  <c r="A8426" i="3"/>
  <c r="B8425" i="3"/>
  <c r="A8425" i="3"/>
  <c r="B8424" i="3"/>
  <c r="A8424" i="3"/>
  <c r="B8423" i="3"/>
  <c r="A8423" i="3"/>
  <c r="B8422" i="3"/>
  <c r="A8422" i="3"/>
  <c r="B8421" i="3"/>
  <c r="A8421" i="3"/>
  <c r="B8420" i="3"/>
  <c r="A8420" i="3"/>
  <c r="B8419" i="3"/>
  <c r="A8419" i="3"/>
  <c r="B8418" i="3"/>
  <c r="A8418" i="3"/>
  <c r="B8417" i="3"/>
  <c r="A8417" i="3"/>
  <c r="B8416" i="3"/>
  <c r="A8416" i="3"/>
  <c r="B8415" i="3"/>
  <c r="A8415" i="3"/>
  <c r="B8414" i="3"/>
  <c r="A8414" i="3"/>
  <c r="B8413" i="3"/>
  <c r="A8413" i="3"/>
  <c r="B8412" i="3"/>
  <c r="A8412" i="3"/>
  <c r="B8411" i="3"/>
  <c r="A8411" i="3"/>
  <c r="B8410" i="3"/>
  <c r="A8410" i="3"/>
  <c r="B8409" i="3"/>
  <c r="A8409" i="3"/>
  <c r="B8408" i="3"/>
  <c r="A8408" i="3"/>
  <c r="B8407" i="3"/>
  <c r="A8407" i="3"/>
  <c r="B8406" i="3"/>
  <c r="A8406" i="3"/>
  <c r="B8405" i="3"/>
  <c r="A8405" i="3"/>
  <c r="B8404" i="3"/>
  <c r="A8404" i="3"/>
  <c r="B8403" i="3"/>
  <c r="A8403" i="3"/>
  <c r="B8402" i="3"/>
  <c r="A8402" i="3"/>
  <c r="B8401" i="3"/>
  <c r="A8401" i="3"/>
  <c r="B8400" i="3"/>
  <c r="A8400" i="3"/>
  <c r="B8399" i="3"/>
  <c r="A8399" i="3"/>
  <c r="B8398" i="3"/>
  <c r="A8398" i="3"/>
  <c r="B8397" i="3"/>
  <c r="A8397" i="3"/>
  <c r="B8396" i="3"/>
  <c r="A8396" i="3"/>
  <c r="B8395" i="3"/>
  <c r="A8395" i="3"/>
  <c r="B8394" i="3"/>
  <c r="A8394" i="3"/>
  <c r="B8393" i="3"/>
  <c r="A8393" i="3"/>
  <c r="B8392" i="3"/>
  <c r="A8392" i="3"/>
  <c r="B8391" i="3"/>
  <c r="A8391" i="3"/>
  <c r="B8390" i="3"/>
  <c r="A8390" i="3"/>
  <c r="B8389" i="3"/>
  <c r="A8389" i="3"/>
  <c r="B8388" i="3"/>
  <c r="A8388" i="3"/>
  <c r="B8387" i="3"/>
  <c r="A8387" i="3"/>
  <c r="B8386" i="3"/>
  <c r="A8386" i="3"/>
  <c r="B8385" i="3"/>
  <c r="A8385" i="3"/>
  <c r="B8384" i="3"/>
  <c r="A8384" i="3"/>
  <c r="B8383" i="3"/>
  <c r="A8383" i="3"/>
  <c r="B8382" i="3"/>
  <c r="A8382" i="3"/>
  <c r="B8381" i="3"/>
  <c r="A8381" i="3"/>
  <c r="B8380" i="3"/>
  <c r="A8380" i="3"/>
  <c r="B8379" i="3"/>
  <c r="A8379" i="3"/>
  <c r="B8378" i="3"/>
  <c r="A8378" i="3"/>
  <c r="B8377" i="3"/>
  <c r="A8377" i="3"/>
  <c r="B8376" i="3"/>
  <c r="A8376" i="3"/>
  <c r="B8375" i="3"/>
  <c r="A8375" i="3"/>
  <c r="B8374" i="3"/>
  <c r="A8374" i="3"/>
  <c r="B8373" i="3"/>
  <c r="A8373" i="3"/>
  <c r="B8372" i="3"/>
  <c r="A8372" i="3"/>
  <c r="B8371" i="3"/>
  <c r="A8371" i="3"/>
  <c r="B8370" i="3"/>
  <c r="A8370" i="3"/>
  <c r="B8369" i="3"/>
  <c r="A8369" i="3"/>
  <c r="B8368" i="3"/>
  <c r="A8368" i="3"/>
  <c r="B8367" i="3"/>
  <c r="A8367" i="3"/>
  <c r="B8366" i="3"/>
  <c r="A8366" i="3"/>
  <c r="B8365" i="3"/>
  <c r="A8365" i="3"/>
  <c r="B8364" i="3"/>
  <c r="A8364" i="3"/>
  <c r="B8363" i="3"/>
  <c r="A8363" i="3"/>
  <c r="B8362" i="3"/>
  <c r="A8362" i="3"/>
  <c r="B8361" i="3"/>
  <c r="A8361" i="3"/>
  <c r="B8360" i="3"/>
  <c r="B8359" i="3"/>
  <c r="B8358" i="3"/>
  <c r="A8358" i="3"/>
  <c r="B8357" i="3"/>
  <c r="A8357" i="3"/>
  <c r="B8356" i="3"/>
  <c r="A8356" i="3"/>
  <c r="B8355" i="3"/>
  <c r="A8355" i="3"/>
  <c r="B8354" i="3"/>
  <c r="B8353" i="3"/>
  <c r="B8352" i="3"/>
  <c r="B8351" i="3"/>
  <c r="B8350" i="3"/>
  <c r="B8349" i="3"/>
  <c r="B8348" i="3"/>
  <c r="A8348" i="3"/>
  <c r="B8347" i="3"/>
  <c r="A8347" i="3"/>
  <c r="B8346" i="3"/>
  <c r="A8346" i="3"/>
  <c r="B8345" i="3"/>
  <c r="A8345" i="3"/>
  <c r="B8344" i="3"/>
  <c r="A8344" i="3"/>
  <c r="B8343" i="3"/>
  <c r="A8343" i="3"/>
  <c r="B8342" i="3"/>
  <c r="A8342" i="3"/>
  <c r="B8341" i="3"/>
  <c r="A8341" i="3"/>
  <c r="B8340" i="3"/>
  <c r="A8340" i="3"/>
  <c r="B8339" i="3"/>
  <c r="A8339" i="3"/>
  <c r="B8338" i="3"/>
  <c r="A8338" i="3"/>
  <c r="B8337" i="3"/>
  <c r="A8337" i="3"/>
  <c r="B8336" i="3"/>
  <c r="A8336" i="3"/>
  <c r="B8335" i="3"/>
  <c r="A8335" i="3"/>
  <c r="B8334" i="3"/>
  <c r="A8334" i="3"/>
  <c r="B8333" i="3"/>
  <c r="A8333" i="3"/>
  <c r="B8332" i="3"/>
  <c r="A8332" i="3"/>
  <c r="B8331" i="3"/>
  <c r="A8331" i="3"/>
  <c r="B8330" i="3"/>
  <c r="A8330" i="3"/>
  <c r="B8329" i="3"/>
  <c r="A8329" i="3"/>
  <c r="B8328" i="3"/>
  <c r="A8328" i="3"/>
  <c r="B8327" i="3"/>
  <c r="A8327" i="3"/>
  <c r="B8326" i="3"/>
  <c r="A8326" i="3"/>
  <c r="B8325" i="3"/>
  <c r="A8325" i="3"/>
  <c r="B8324" i="3"/>
  <c r="A8324" i="3"/>
  <c r="B8323" i="3"/>
  <c r="A8323" i="3"/>
  <c r="B8322" i="3"/>
  <c r="A8322" i="3"/>
  <c r="B8321" i="3"/>
  <c r="A8321" i="3"/>
  <c r="B8320" i="3"/>
  <c r="A8320" i="3"/>
  <c r="B8319" i="3"/>
  <c r="A8319" i="3"/>
  <c r="B8318" i="3"/>
  <c r="A8318" i="3"/>
  <c r="B8317" i="3"/>
  <c r="A8317" i="3"/>
  <c r="B8316" i="3"/>
  <c r="A8316" i="3"/>
  <c r="B8315" i="3"/>
  <c r="A8315" i="3"/>
  <c r="B8314" i="3"/>
  <c r="A8314" i="3"/>
  <c r="B8313" i="3"/>
  <c r="A8313" i="3"/>
  <c r="B8312" i="3"/>
  <c r="A8312" i="3"/>
  <c r="B8311" i="3"/>
  <c r="A8311" i="3"/>
  <c r="B8310" i="3"/>
  <c r="A8310" i="3"/>
  <c r="B8309" i="3"/>
  <c r="A8309" i="3"/>
  <c r="B8308" i="3"/>
  <c r="A8308" i="3"/>
  <c r="B8307" i="3"/>
  <c r="A8307" i="3"/>
  <c r="B8306" i="3"/>
  <c r="A8306" i="3"/>
  <c r="B8305" i="3"/>
  <c r="A8305" i="3"/>
  <c r="B8304" i="3"/>
  <c r="A8304" i="3"/>
  <c r="B8303" i="3"/>
  <c r="A8303" i="3"/>
  <c r="B8302" i="3"/>
  <c r="A8302" i="3"/>
  <c r="B8301" i="3"/>
  <c r="A8301" i="3"/>
  <c r="B8300" i="3"/>
  <c r="A8300" i="3"/>
  <c r="B8299" i="3"/>
  <c r="A8299" i="3"/>
  <c r="B8298" i="3"/>
  <c r="A8298" i="3"/>
  <c r="B8297" i="3"/>
  <c r="A8297" i="3"/>
  <c r="B8296" i="3"/>
  <c r="A8296" i="3"/>
  <c r="B8295" i="3"/>
  <c r="A8295" i="3"/>
  <c r="B8294" i="3"/>
  <c r="A8294" i="3"/>
  <c r="B8293" i="3"/>
  <c r="A8293" i="3"/>
  <c r="B8292" i="3"/>
  <c r="A8292" i="3"/>
  <c r="B8291" i="3"/>
  <c r="A8291" i="3"/>
  <c r="B8290" i="3"/>
  <c r="A8290" i="3"/>
  <c r="B8289" i="3"/>
  <c r="A8289" i="3"/>
  <c r="B8288" i="3"/>
  <c r="A8288" i="3"/>
  <c r="B8287" i="3"/>
  <c r="A8287" i="3"/>
  <c r="B8286" i="3"/>
  <c r="A8286" i="3"/>
  <c r="B8285" i="3"/>
  <c r="A8285" i="3"/>
  <c r="B8284" i="3"/>
  <c r="A8284" i="3"/>
  <c r="B8283" i="3"/>
  <c r="A8283" i="3"/>
  <c r="B8282" i="3"/>
  <c r="A8282" i="3"/>
  <c r="B8281" i="3"/>
  <c r="A8281" i="3"/>
  <c r="B8280" i="3"/>
  <c r="A8280" i="3"/>
  <c r="B8279" i="3"/>
  <c r="A8279" i="3"/>
  <c r="B8278" i="3"/>
  <c r="A8278" i="3"/>
  <c r="B8277" i="3"/>
  <c r="A8277" i="3"/>
  <c r="B8276" i="3"/>
  <c r="A8276" i="3"/>
  <c r="B8275" i="3"/>
  <c r="A8275" i="3"/>
  <c r="B8274" i="3"/>
  <c r="A8274" i="3"/>
  <c r="B8273" i="3"/>
  <c r="A8273" i="3"/>
  <c r="B8272" i="3"/>
  <c r="A8272" i="3"/>
  <c r="B8271" i="3"/>
  <c r="A8271" i="3"/>
  <c r="B8270" i="3"/>
  <c r="A8270" i="3"/>
  <c r="B8269" i="3"/>
  <c r="A8269" i="3"/>
  <c r="B8268" i="3"/>
  <c r="A8268" i="3"/>
  <c r="B8267" i="3"/>
  <c r="A8267" i="3"/>
  <c r="B8266" i="3"/>
  <c r="A8266" i="3"/>
  <c r="B8265" i="3"/>
  <c r="A8265" i="3"/>
  <c r="B8264" i="3"/>
  <c r="A8264" i="3"/>
  <c r="B8263" i="3"/>
  <c r="A8263" i="3"/>
  <c r="B8262" i="3"/>
  <c r="A8262" i="3"/>
  <c r="B8261" i="3"/>
  <c r="A8261" i="3"/>
  <c r="B8260" i="3"/>
  <c r="A8260" i="3"/>
  <c r="B8259" i="3"/>
  <c r="A8259" i="3"/>
  <c r="B8258" i="3"/>
  <c r="A8258" i="3"/>
  <c r="B8257" i="3"/>
  <c r="A8257" i="3"/>
  <c r="B8256" i="3"/>
  <c r="A8256" i="3"/>
  <c r="B8255" i="3"/>
  <c r="A8255" i="3"/>
  <c r="B8254" i="3"/>
  <c r="A8254" i="3"/>
  <c r="B8253" i="3"/>
  <c r="A8253" i="3"/>
  <c r="B8252" i="3"/>
  <c r="A8252" i="3"/>
  <c r="B8251" i="3"/>
  <c r="A8251" i="3"/>
  <c r="B8250" i="3"/>
  <c r="A8250" i="3"/>
  <c r="B8249" i="3"/>
  <c r="A8249" i="3"/>
  <c r="B8248" i="3"/>
  <c r="A8248" i="3"/>
  <c r="B8247" i="3"/>
  <c r="A8247" i="3"/>
  <c r="B8246" i="3"/>
  <c r="A8246" i="3"/>
  <c r="B8245" i="3"/>
  <c r="A8245" i="3"/>
  <c r="B8244" i="3"/>
  <c r="A8244" i="3"/>
  <c r="B8243" i="3"/>
  <c r="A8243" i="3"/>
  <c r="B8242" i="3"/>
  <c r="A8242" i="3"/>
  <c r="B8241" i="3"/>
  <c r="A8241" i="3"/>
  <c r="B8240" i="3"/>
  <c r="A8240" i="3"/>
  <c r="B8239" i="3"/>
  <c r="A8239" i="3"/>
  <c r="B8238" i="3"/>
  <c r="A8238" i="3"/>
  <c r="B8237" i="3"/>
  <c r="A8237" i="3"/>
  <c r="B8236" i="3"/>
  <c r="A8236" i="3"/>
  <c r="B8235" i="3"/>
  <c r="A8235" i="3"/>
  <c r="B8234" i="3"/>
  <c r="A8234" i="3"/>
  <c r="B8233" i="3"/>
  <c r="A8233" i="3"/>
  <c r="B8232" i="3"/>
  <c r="A8232" i="3"/>
  <c r="B8231" i="3"/>
  <c r="A8231" i="3"/>
  <c r="B8230" i="3"/>
  <c r="A8230" i="3"/>
  <c r="B8229" i="3"/>
  <c r="A8229" i="3"/>
  <c r="B8228" i="3"/>
  <c r="A8228" i="3"/>
  <c r="B8227" i="3"/>
  <c r="A8227" i="3"/>
  <c r="B8226" i="3"/>
  <c r="A8226" i="3"/>
  <c r="B8225" i="3"/>
  <c r="A8225" i="3"/>
  <c r="B8224" i="3"/>
  <c r="A8224" i="3"/>
  <c r="B8223" i="3"/>
  <c r="A8223" i="3"/>
  <c r="B8222" i="3"/>
  <c r="A8222" i="3"/>
  <c r="B8221" i="3"/>
  <c r="A8221" i="3"/>
  <c r="B8220" i="3"/>
  <c r="A8220" i="3"/>
  <c r="B8219" i="3"/>
  <c r="B8218" i="3"/>
  <c r="A8218" i="3"/>
  <c r="B8217" i="3"/>
  <c r="A8217" i="3"/>
  <c r="B8216" i="3"/>
  <c r="A8216" i="3"/>
  <c r="B8215" i="3"/>
  <c r="A8215" i="3"/>
  <c r="B8214" i="3"/>
  <c r="A8214" i="3"/>
  <c r="B8213" i="3"/>
  <c r="A8213" i="3"/>
  <c r="B8212" i="3"/>
  <c r="A8212" i="3"/>
  <c r="B8211" i="3"/>
  <c r="A8211" i="3"/>
  <c r="B8210" i="3"/>
  <c r="A8210" i="3"/>
  <c r="B8209" i="3"/>
  <c r="A8209" i="3"/>
  <c r="B8208" i="3"/>
  <c r="A8208" i="3"/>
  <c r="B8207" i="3"/>
  <c r="A8207" i="3"/>
  <c r="B8206" i="3"/>
  <c r="A8206" i="3"/>
  <c r="B8205" i="3"/>
  <c r="A8205" i="3"/>
  <c r="B8204" i="3"/>
  <c r="A8204" i="3"/>
  <c r="B8203" i="3"/>
  <c r="A8203" i="3"/>
  <c r="B8202" i="3"/>
  <c r="A8202" i="3"/>
  <c r="B8201" i="3"/>
  <c r="A8201" i="3"/>
  <c r="B8200" i="3"/>
  <c r="A8200" i="3"/>
  <c r="B8199" i="3"/>
  <c r="A8199" i="3"/>
  <c r="B8198" i="3"/>
  <c r="A8198" i="3"/>
  <c r="B8197" i="3"/>
  <c r="A8197" i="3"/>
  <c r="B8196" i="3"/>
  <c r="A8196" i="3"/>
  <c r="B8195" i="3"/>
  <c r="A8195" i="3"/>
  <c r="B8194" i="3"/>
  <c r="A8194" i="3"/>
  <c r="B8193" i="3"/>
  <c r="A8193" i="3"/>
  <c r="B8192" i="3"/>
  <c r="A8192" i="3"/>
  <c r="B8191" i="3"/>
  <c r="A8191" i="3"/>
  <c r="B8190" i="3"/>
  <c r="A8190" i="3"/>
  <c r="B8189" i="3"/>
  <c r="A8189" i="3"/>
  <c r="B8188" i="3"/>
  <c r="A8188" i="3"/>
  <c r="B8187" i="3"/>
  <c r="A8187" i="3"/>
  <c r="B8186" i="3"/>
  <c r="A8186" i="3"/>
  <c r="B8185" i="3"/>
  <c r="A8185" i="3"/>
  <c r="B8184" i="3"/>
  <c r="A8184" i="3"/>
  <c r="B8183" i="3"/>
  <c r="A8183" i="3"/>
  <c r="B8182" i="3"/>
  <c r="A8182" i="3"/>
  <c r="B8181" i="3"/>
  <c r="A8181" i="3"/>
  <c r="B8180" i="3"/>
  <c r="A8180" i="3"/>
  <c r="B8179" i="3"/>
  <c r="A8179" i="3"/>
  <c r="B8178" i="3"/>
  <c r="A8178" i="3"/>
  <c r="B8177" i="3"/>
  <c r="A8177" i="3"/>
  <c r="B8176" i="3"/>
  <c r="A8176" i="3"/>
  <c r="B8175" i="3"/>
  <c r="A8175" i="3"/>
  <c r="B8174" i="3"/>
  <c r="A8174" i="3"/>
  <c r="B8173" i="3"/>
  <c r="A8173" i="3"/>
  <c r="B8172" i="3"/>
  <c r="A8172" i="3"/>
  <c r="B8171" i="3"/>
  <c r="A8171" i="3"/>
  <c r="B8170" i="3"/>
  <c r="A8170" i="3"/>
  <c r="B8169" i="3"/>
  <c r="A8169" i="3"/>
  <c r="B8168" i="3"/>
  <c r="A8168" i="3"/>
  <c r="B8167" i="3"/>
  <c r="A8167" i="3"/>
  <c r="B8166" i="3"/>
  <c r="A8166" i="3"/>
  <c r="B8165" i="3"/>
  <c r="A8165" i="3"/>
  <c r="B8164" i="3"/>
  <c r="A8164" i="3"/>
  <c r="B8163" i="3"/>
  <c r="A8163" i="3"/>
  <c r="B8162" i="3"/>
  <c r="A8162" i="3"/>
  <c r="B8161" i="3"/>
  <c r="A8161" i="3"/>
  <c r="B8160" i="3"/>
  <c r="A8160" i="3"/>
  <c r="B8159" i="3"/>
  <c r="A8159" i="3"/>
  <c r="B8158" i="3"/>
  <c r="A8158" i="3"/>
  <c r="B8157" i="3"/>
  <c r="A8157" i="3"/>
  <c r="B8156" i="3"/>
  <c r="A8156" i="3"/>
  <c r="B8155" i="3"/>
  <c r="A8155" i="3"/>
  <c r="B8154" i="3"/>
  <c r="A8154" i="3"/>
  <c r="B8153" i="3"/>
  <c r="A8153" i="3"/>
  <c r="B8152" i="3"/>
  <c r="A8152" i="3"/>
  <c r="B8151" i="3"/>
  <c r="A8151" i="3"/>
  <c r="B8150" i="3"/>
  <c r="A8150" i="3"/>
  <c r="B8149" i="3"/>
  <c r="A8149" i="3"/>
  <c r="B8148" i="3"/>
  <c r="A8148" i="3"/>
  <c r="B8147" i="3"/>
  <c r="A8147" i="3"/>
  <c r="B8146" i="3"/>
  <c r="A8146" i="3"/>
  <c r="B8145" i="3"/>
  <c r="A8145" i="3"/>
  <c r="B8144" i="3"/>
  <c r="A8144" i="3"/>
  <c r="B8143" i="3"/>
  <c r="A8143" i="3"/>
  <c r="B8142" i="3"/>
  <c r="A8142" i="3"/>
  <c r="B8141" i="3"/>
  <c r="A8141" i="3"/>
  <c r="B8140" i="3"/>
  <c r="A8140" i="3"/>
  <c r="B8139" i="3"/>
  <c r="A8139" i="3"/>
  <c r="B8138" i="3"/>
  <c r="A8138" i="3"/>
  <c r="B8137" i="3"/>
  <c r="A8137" i="3"/>
  <c r="B8136" i="3"/>
  <c r="A8136" i="3"/>
  <c r="B8135" i="3"/>
  <c r="A8135" i="3"/>
  <c r="B8134" i="3"/>
  <c r="A8134" i="3"/>
  <c r="B8133" i="3"/>
  <c r="A8133" i="3"/>
  <c r="B8132" i="3"/>
  <c r="A8132" i="3"/>
  <c r="B8131" i="3"/>
  <c r="A8131" i="3"/>
  <c r="B8130" i="3"/>
  <c r="A8130" i="3"/>
  <c r="B8129" i="3"/>
  <c r="A8129" i="3"/>
  <c r="B8128" i="3"/>
  <c r="A8128" i="3"/>
  <c r="B8127" i="3"/>
  <c r="A8127" i="3"/>
  <c r="B8126" i="3"/>
  <c r="A8126" i="3"/>
  <c r="B8125" i="3"/>
  <c r="A8125" i="3"/>
  <c r="B8124" i="3"/>
  <c r="A8124" i="3"/>
  <c r="B8123" i="3"/>
  <c r="A8123" i="3"/>
  <c r="B8122" i="3"/>
  <c r="A8122" i="3"/>
  <c r="B8121" i="3"/>
  <c r="A8121" i="3"/>
  <c r="B8120" i="3"/>
  <c r="A8120" i="3"/>
  <c r="B8119" i="3"/>
  <c r="A8119" i="3"/>
  <c r="B8118" i="3"/>
  <c r="A8118" i="3"/>
  <c r="B8117" i="3"/>
  <c r="A8117" i="3"/>
  <c r="B8116" i="3"/>
  <c r="A8116" i="3"/>
  <c r="B8115" i="3"/>
  <c r="A8115" i="3"/>
  <c r="B8114" i="3"/>
  <c r="A8114" i="3"/>
  <c r="B8113" i="3"/>
  <c r="A8113" i="3"/>
  <c r="B8112" i="3"/>
  <c r="A8112" i="3"/>
  <c r="B8111" i="3"/>
  <c r="A8111" i="3"/>
  <c r="B8110" i="3"/>
  <c r="A8110" i="3"/>
  <c r="B8109" i="3"/>
  <c r="A8109" i="3"/>
  <c r="B8108" i="3"/>
  <c r="A8108" i="3"/>
  <c r="B8107" i="3"/>
  <c r="A8107" i="3"/>
  <c r="B8106" i="3"/>
  <c r="A8106" i="3"/>
  <c r="B8105" i="3"/>
  <c r="A8105" i="3"/>
  <c r="B8104" i="3"/>
  <c r="A8104" i="3"/>
  <c r="B8103" i="3"/>
  <c r="A8103" i="3"/>
  <c r="B8102" i="3"/>
  <c r="A8102" i="3"/>
  <c r="B8101" i="3"/>
  <c r="A8101" i="3"/>
  <c r="B8100" i="3"/>
  <c r="A8100" i="3"/>
  <c r="B8099" i="3"/>
  <c r="A8099" i="3"/>
  <c r="B8098" i="3"/>
  <c r="A8098" i="3"/>
  <c r="B8097" i="3"/>
  <c r="A8097" i="3"/>
  <c r="B8096" i="3"/>
  <c r="A8096" i="3"/>
  <c r="B8095" i="3"/>
  <c r="A8095" i="3"/>
  <c r="B8094" i="3"/>
  <c r="A8094" i="3"/>
  <c r="B8093" i="3"/>
  <c r="A8093" i="3"/>
  <c r="B8092" i="3"/>
  <c r="A8092" i="3"/>
  <c r="B8091" i="3"/>
  <c r="A8091" i="3"/>
  <c r="B8090" i="3"/>
  <c r="A8090" i="3"/>
  <c r="B8089" i="3"/>
  <c r="A8089" i="3"/>
  <c r="B8088" i="3"/>
  <c r="A8088" i="3"/>
  <c r="B8087" i="3"/>
  <c r="A8087" i="3"/>
  <c r="B8086" i="3"/>
  <c r="A8086" i="3"/>
  <c r="B8085" i="3"/>
  <c r="A8085" i="3"/>
  <c r="B8084" i="3"/>
  <c r="A8084" i="3"/>
  <c r="B8083" i="3"/>
  <c r="A8083" i="3"/>
  <c r="B8082" i="3"/>
  <c r="A8082" i="3"/>
  <c r="B8081" i="3"/>
  <c r="A8081" i="3"/>
  <c r="B8080" i="3"/>
  <c r="A8080" i="3"/>
  <c r="B8079" i="3"/>
  <c r="A8079" i="3"/>
  <c r="B8078" i="3"/>
  <c r="A8078" i="3"/>
  <c r="B8077" i="3"/>
  <c r="A8077" i="3"/>
  <c r="B8076" i="3"/>
  <c r="A8076" i="3"/>
  <c r="B8075" i="3"/>
  <c r="A8075" i="3"/>
  <c r="B8074" i="3"/>
  <c r="A8074" i="3"/>
  <c r="B8073" i="3"/>
  <c r="A8073" i="3"/>
  <c r="B8072" i="3"/>
  <c r="A8072" i="3"/>
  <c r="B8071" i="3"/>
  <c r="A8071" i="3"/>
  <c r="B8070" i="3"/>
  <c r="A8070" i="3"/>
  <c r="B8069" i="3"/>
  <c r="A8069" i="3"/>
  <c r="B8068" i="3"/>
  <c r="A8068" i="3"/>
  <c r="B8067" i="3"/>
  <c r="A8067" i="3"/>
  <c r="B8066" i="3"/>
  <c r="A8066" i="3"/>
  <c r="B8065" i="3"/>
  <c r="A8065" i="3"/>
  <c r="B8064" i="3"/>
  <c r="A8064" i="3"/>
  <c r="B8063" i="3"/>
  <c r="A8063" i="3"/>
  <c r="B8062" i="3"/>
  <c r="A8062" i="3"/>
  <c r="B8061" i="3"/>
  <c r="A8061" i="3"/>
  <c r="B8060" i="3"/>
  <c r="A8060" i="3"/>
  <c r="B8059" i="3"/>
  <c r="A8059" i="3"/>
  <c r="B8058" i="3"/>
  <c r="A8058" i="3"/>
  <c r="B8057" i="3"/>
  <c r="A8057" i="3"/>
  <c r="B8056" i="3"/>
  <c r="A8056" i="3"/>
  <c r="B8055" i="3"/>
  <c r="A8055" i="3"/>
  <c r="B8054" i="3"/>
  <c r="A8054" i="3"/>
  <c r="B8053" i="3"/>
  <c r="A8053" i="3"/>
  <c r="B8052" i="3"/>
  <c r="A8052" i="3"/>
  <c r="B8051" i="3"/>
  <c r="A8051" i="3"/>
  <c r="B8050" i="3"/>
  <c r="A8050" i="3"/>
  <c r="B8049" i="3"/>
  <c r="A8049" i="3"/>
  <c r="B8048" i="3"/>
  <c r="A8048" i="3"/>
  <c r="B8047" i="3"/>
  <c r="A8047" i="3"/>
  <c r="B8046" i="3"/>
  <c r="A8046" i="3"/>
  <c r="B8045" i="3"/>
  <c r="A8045" i="3"/>
  <c r="B8044" i="3"/>
  <c r="A8044" i="3"/>
  <c r="B8043" i="3"/>
  <c r="A8043" i="3"/>
  <c r="B8042" i="3"/>
  <c r="A8042" i="3"/>
  <c r="B8041" i="3"/>
  <c r="A8041" i="3"/>
  <c r="B8040" i="3"/>
  <c r="A8040" i="3"/>
  <c r="B8039" i="3"/>
  <c r="A8039" i="3"/>
  <c r="B8038" i="3"/>
  <c r="A8038" i="3"/>
  <c r="B8037" i="3"/>
  <c r="A8037" i="3"/>
  <c r="B8036" i="3"/>
  <c r="A8036" i="3"/>
  <c r="B8035" i="3"/>
  <c r="A8035" i="3"/>
  <c r="B8034" i="3"/>
  <c r="A8034" i="3"/>
  <c r="B8033" i="3"/>
  <c r="A8033" i="3"/>
  <c r="B8032" i="3"/>
  <c r="A8032" i="3"/>
  <c r="B8031" i="3"/>
  <c r="A8031" i="3"/>
  <c r="B8030" i="3"/>
  <c r="A8030" i="3"/>
  <c r="B8029" i="3"/>
  <c r="A8029" i="3"/>
  <c r="B8028" i="3"/>
  <c r="A8028" i="3"/>
  <c r="B8027" i="3"/>
  <c r="A8027" i="3"/>
  <c r="B8026" i="3"/>
  <c r="A8026" i="3"/>
  <c r="B8025" i="3"/>
  <c r="A8025" i="3"/>
  <c r="B8024" i="3"/>
  <c r="A8024" i="3"/>
  <c r="B8023" i="3"/>
  <c r="A8023" i="3"/>
  <c r="B8022" i="3"/>
  <c r="A8022" i="3"/>
  <c r="B8021" i="3"/>
  <c r="A8021" i="3"/>
  <c r="B8020" i="3"/>
  <c r="A8020" i="3"/>
  <c r="B8019" i="3"/>
  <c r="A8019" i="3"/>
  <c r="B8018" i="3"/>
  <c r="A8018" i="3"/>
  <c r="B8017" i="3"/>
  <c r="A8017" i="3"/>
  <c r="B8016" i="3"/>
  <c r="A8016" i="3"/>
  <c r="B8015" i="3"/>
  <c r="A8015" i="3"/>
  <c r="B8014" i="3"/>
  <c r="A8014" i="3"/>
  <c r="B8013" i="3"/>
  <c r="A8013" i="3"/>
  <c r="B8012" i="3"/>
  <c r="A8012" i="3"/>
  <c r="B8011" i="3"/>
  <c r="A8011" i="3"/>
  <c r="B8010" i="3"/>
  <c r="A8010" i="3"/>
  <c r="B8009" i="3"/>
  <c r="A8009" i="3"/>
  <c r="B8008" i="3"/>
  <c r="A8008" i="3"/>
  <c r="B8007" i="3"/>
  <c r="A8007" i="3"/>
  <c r="B8006" i="3"/>
  <c r="A8006" i="3"/>
  <c r="B8005" i="3"/>
  <c r="A8005" i="3"/>
  <c r="B8004" i="3"/>
  <c r="A8004" i="3"/>
  <c r="B8003" i="3"/>
  <c r="A8003" i="3"/>
  <c r="B8002" i="3"/>
  <c r="A8002" i="3"/>
  <c r="B8001" i="3"/>
  <c r="A8001" i="3"/>
  <c r="B8000" i="3"/>
  <c r="A8000" i="3"/>
  <c r="B7999" i="3"/>
  <c r="A7999" i="3"/>
  <c r="B7998" i="3"/>
  <c r="A7998" i="3"/>
  <c r="B7997" i="3"/>
  <c r="A7997" i="3"/>
  <c r="B7996" i="3"/>
  <c r="A7996" i="3"/>
  <c r="B7995" i="3"/>
  <c r="A7995" i="3"/>
  <c r="B7994" i="3"/>
  <c r="A7994" i="3"/>
  <c r="B7993" i="3"/>
  <c r="A7993" i="3"/>
  <c r="B7992" i="3"/>
  <c r="A7992" i="3"/>
  <c r="B7991" i="3"/>
  <c r="A7991" i="3"/>
  <c r="B7990" i="3"/>
  <c r="A7990" i="3"/>
  <c r="B7989" i="3"/>
  <c r="A7989" i="3"/>
  <c r="B7988" i="3"/>
  <c r="A7988" i="3"/>
  <c r="B7987" i="3"/>
  <c r="A7987" i="3"/>
  <c r="B7986" i="3"/>
  <c r="A7986" i="3"/>
  <c r="B7985" i="3"/>
  <c r="A7985" i="3"/>
  <c r="B7984" i="3"/>
  <c r="A7984" i="3"/>
  <c r="B7983" i="3"/>
  <c r="A7983" i="3"/>
  <c r="B7982" i="3"/>
  <c r="A7982" i="3"/>
  <c r="B7981" i="3"/>
  <c r="A7981" i="3"/>
  <c r="B7980" i="3"/>
  <c r="A7980" i="3"/>
  <c r="B7979" i="3"/>
  <c r="A7979" i="3"/>
  <c r="B7978" i="3"/>
  <c r="A7978" i="3"/>
  <c r="B7977" i="3"/>
  <c r="A7977" i="3"/>
  <c r="B7976" i="3"/>
  <c r="A7976" i="3"/>
  <c r="B7975" i="3"/>
  <c r="A7975" i="3"/>
  <c r="B7974" i="3"/>
  <c r="A7974" i="3"/>
  <c r="B7973" i="3"/>
  <c r="A7973" i="3"/>
  <c r="B7972" i="3"/>
  <c r="A7972" i="3"/>
  <c r="B7971" i="3"/>
  <c r="A7971" i="3"/>
  <c r="B7970" i="3"/>
  <c r="A7970" i="3"/>
  <c r="B7969" i="3"/>
  <c r="A7969" i="3"/>
  <c r="B7968" i="3"/>
  <c r="A7968" i="3"/>
  <c r="B7967" i="3"/>
  <c r="A7967" i="3"/>
  <c r="B7966" i="3"/>
  <c r="A7966" i="3"/>
  <c r="B7965" i="3"/>
  <c r="A7965" i="3"/>
  <c r="B7964" i="3"/>
  <c r="A7964" i="3"/>
  <c r="B7963" i="3"/>
  <c r="A7963" i="3"/>
  <c r="B7962" i="3"/>
  <c r="A7962" i="3"/>
  <c r="B7961" i="3"/>
  <c r="A7961" i="3"/>
  <c r="B7960" i="3"/>
  <c r="A7960" i="3"/>
  <c r="B7959" i="3"/>
  <c r="A7959" i="3"/>
  <c r="B7958" i="3"/>
  <c r="A7958" i="3"/>
  <c r="B7957" i="3"/>
  <c r="A7957" i="3"/>
  <c r="B7956" i="3"/>
  <c r="A7956" i="3"/>
  <c r="B7955" i="3"/>
  <c r="A7955" i="3"/>
  <c r="B7954" i="3"/>
  <c r="A7954" i="3"/>
  <c r="B7953" i="3"/>
  <c r="A7953" i="3"/>
  <c r="B7952" i="3"/>
  <c r="A7952" i="3"/>
  <c r="B7951" i="3"/>
  <c r="A7951" i="3"/>
  <c r="B7950" i="3"/>
  <c r="A7950" i="3"/>
  <c r="B7949" i="3"/>
  <c r="A7949" i="3"/>
  <c r="B7948" i="3"/>
  <c r="A7948" i="3"/>
  <c r="B7947" i="3"/>
  <c r="A7947" i="3"/>
  <c r="B7946" i="3"/>
  <c r="A7946" i="3"/>
  <c r="B7945" i="3"/>
  <c r="A7945" i="3"/>
  <c r="B7944" i="3"/>
  <c r="A7944" i="3"/>
  <c r="B7943" i="3"/>
  <c r="A7943" i="3"/>
  <c r="B7942" i="3"/>
  <c r="A7942" i="3"/>
  <c r="B7941" i="3"/>
  <c r="A7941" i="3"/>
  <c r="B7940" i="3"/>
  <c r="A7940" i="3"/>
  <c r="B7939" i="3"/>
  <c r="A7939" i="3"/>
  <c r="B7938" i="3"/>
  <c r="A7938" i="3"/>
  <c r="B7937" i="3"/>
  <c r="A7937" i="3"/>
  <c r="B7936" i="3"/>
  <c r="A7936" i="3"/>
  <c r="B7935" i="3"/>
  <c r="A7935" i="3"/>
  <c r="B7934" i="3"/>
  <c r="A7934" i="3"/>
  <c r="B7933" i="3"/>
  <c r="A7933" i="3"/>
  <c r="B7932" i="3"/>
  <c r="A7932" i="3"/>
  <c r="B7931" i="3"/>
  <c r="A7931" i="3"/>
  <c r="B7930" i="3"/>
  <c r="A7930" i="3"/>
  <c r="B7929" i="3"/>
  <c r="A7929" i="3"/>
  <c r="B7928" i="3"/>
  <c r="A7928" i="3"/>
  <c r="B7927" i="3"/>
  <c r="A7927" i="3"/>
  <c r="B7926" i="3"/>
  <c r="A7926" i="3"/>
  <c r="B7925" i="3"/>
  <c r="A7925" i="3"/>
  <c r="B7924" i="3"/>
  <c r="A7924" i="3"/>
  <c r="B7923" i="3"/>
  <c r="A7923" i="3"/>
  <c r="B7922" i="3"/>
  <c r="A7922" i="3"/>
  <c r="B7921" i="3"/>
  <c r="A7921" i="3"/>
  <c r="B7920" i="3"/>
  <c r="A7920" i="3"/>
  <c r="B7919" i="3"/>
  <c r="A7919" i="3"/>
  <c r="B7918" i="3"/>
  <c r="A7918" i="3"/>
  <c r="B7917" i="3"/>
  <c r="A7917" i="3"/>
  <c r="B7916" i="3"/>
  <c r="A7916" i="3"/>
  <c r="B7915" i="3"/>
  <c r="A7915" i="3"/>
  <c r="B7914" i="3"/>
  <c r="A7914" i="3"/>
  <c r="B7913" i="3"/>
  <c r="A7913" i="3"/>
  <c r="B7912" i="3"/>
  <c r="A7912" i="3"/>
  <c r="B7911" i="3"/>
  <c r="A7911" i="3"/>
  <c r="B7910" i="3"/>
  <c r="A7910" i="3"/>
  <c r="B7909" i="3"/>
  <c r="A7909" i="3"/>
  <c r="B7908" i="3"/>
  <c r="A7908" i="3"/>
  <c r="B7907" i="3"/>
  <c r="A7907" i="3"/>
  <c r="B7906" i="3"/>
  <c r="A7906" i="3"/>
  <c r="B7905" i="3"/>
  <c r="A7905" i="3"/>
  <c r="B7904" i="3"/>
  <c r="A7904" i="3"/>
  <c r="B7903" i="3"/>
  <c r="A7903" i="3"/>
  <c r="B7902" i="3"/>
  <c r="A7902" i="3"/>
  <c r="B7901" i="3"/>
  <c r="A7901" i="3"/>
  <c r="B7900" i="3"/>
  <c r="A7900" i="3"/>
  <c r="B7899" i="3"/>
  <c r="A7899" i="3"/>
  <c r="B7898" i="3"/>
  <c r="A7898" i="3"/>
  <c r="B7897" i="3"/>
  <c r="A7897" i="3"/>
  <c r="B7896" i="3"/>
  <c r="A7896" i="3"/>
  <c r="B7895" i="3"/>
  <c r="A7895" i="3"/>
  <c r="B7894" i="3"/>
  <c r="A7894" i="3"/>
  <c r="B7893" i="3"/>
  <c r="A7893" i="3"/>
  <c r="B7892" i="3"/>
  <c r="A7892" i="3"/>
  <c r="B7891" i="3"/>
  <c r="A7891" i="3"/>
  <c r="B7890" i="3"/>
  <c r="A7890" i="3"/>
  <c r="B7889" i="3"/>
  <c r="A7889" i="3"/>
  <c r="B7888" i="3"/>
  <c r="A7888" i="3"/>
  <c r="B7887" i="3"/>
  <c r="A7887" i="3"/>
  <c r="B7886" i="3"/>
  <c r="A7886" i="3"/>
  <c r="B7885" i="3"/>
  <c r="A7885" i="3"/>
  <c r="B7884" i="3"/>
  <c r="A7884" i="3"/>
  <c r="B7883" i="3"/>
  <c r="A7883" i="3"/>
  <c r="B7882" i="3"/>
  <c r="A7882" i="3"/>
  <c r="B7881" i="3"/>
  <c r="A7881" i="3"/>
  <c r="B7880" i="3"/>
  <c r="A7880" i="3"/>
  <c r="B7879" i="3"/>
  <c r="A7879" i="3"/>
  <c r="B7878" i="3"/>
  <c r="A7878" i="3"/>
  <c r="B7877" i="3"/>
  <c r="A7877" i="3"/>
  <c r="B7876" i="3"/>
  <c r="A7876" i="3"/>
  <c r="B7875" i="3"/>
  <c r="A7875" i="3"/>
  <c r="B7874" i="3"/>
  <c r="A7874" i="3"/>
  <c r="B7873" i="3"/>
  <c r="A7873" i="3"/>
  <c r="B7872" i="3"/>
  <c r="A7872" i="3"/>
  <c r="B7871" i="3"/>
  <c r="A7871" i="3"/>
  <c r="B7870" i="3"/>
  <c r="A7870" i="3"/>
  <c r="B7869" i="3"/>
  <c r="A7869" i="3"/>
  <c r="B7868" i="3"/>
  <c r="A7868" i="3"/>
  <c r="B7867" i="3"/>
  <c r="A7867" i="3"/>
  <c r="B7866" i="3"/>
  <c r="A7866" i="3"/>
  <c r="B7865" i="3"/>
  <c r="A7865" i="3"/>
  <c r="B7864" i="3"/>
  <c r="A7864" i="3"/>
  <c r="B7863" i="3"/>
  <c r="A7863" i="3"/>
  <c r="B7862" i="3"/>
  <c r="A7862" i="3"/>
  <c r="B7861" i="3"/>
  <c r="A7861" i="3"/>
  <c r="B7860" i="3"/>
  <c r="A7860" i="3"/>
  <c r="B7859" i="3"/>
  <c r="A7859" i="3"/>
  <c r="B7858" i="3"/>
  <c r="A7858" i="3"/>
  <c r="B7857" i="3"/>
  <c r="A7857" i="3"/>
  <c r="B7856" i="3"/>
  <c r="A7856" i="3"/>
  <c r="B7855" i="3"/>
  <c r="A7855" i="3"/>
  <c r="B7854" i="3"/>
  <c r="A7854" i="3"/>
  <c r="B7853" i="3"/>
  <c r="A7853" i="3"/>
  <c r="B7852" i="3"/>
  <c r="A7852" i="3"/>
  <c r="B7851" i="3"/>
  <c r="A7851" i="3"/>
  <c r="B7850" i="3"/>
  <c r="A7850" i="3"/>
  <c r="B7849" i="3"/>
  <c r="A7849" i="3"/>
  <c r="B7848" i="3"/>
  <c r="A7848" i="3"/>
  <c r="B7847" i="3"/>
  <c r="A7847" i="3"/>
  <c r="B7846" i="3"/>
  <c r="A7846" i="3"/>
  <c r="B7845" i="3"/>
  <c r="A7845" i="3"/>
  <c r="B7844" i="3"/>
  <c r="A7844" i="3"/>
  <c r="B7843" i="3"/>
  <c r="A7843" i="3"/>
  <c r="B7842" i="3"/>
  <c r="A7842" i="3"/>
  <c r="B7841" i="3"/>
  <c r="A7841" i="3"/>
  <c r="B7840" i="3"/>
  <c r="A7840" i="3"/>
  <c r="B7839" i="3"/>
  <c r="A7839" i="3"/>
  <c r="B7838" i="3"/>
  <c r="A7838" i="3"/>
  <c r="B7837" i="3"/>
  <c r="A7837" i="3"/>
  <c r="B7836" i="3"/>
  <c r="A7836" i="3"/>
  <c r="B7835" i="3"/>
  <c r="A7835" i="3"/>
  <c r="B7834" i="3"/>
  <c r="A7834" i="3"/>
  <c r="B7833" i="3"/>
  <c r="A7833" i="3"/>
  <c r="B7832" i="3"/>
  <c r="A7832" i="3"/>
  <c r="B7831" i="3"/>
  <c r="A7831" i="3"/>
  <c r="B7830" i="3"/>
  <c r="A7830" i="3"/>
  <c r="B7829" i="3"/>
  <c r="A7829" i="3"/>
  <c r="B7828" i="3"/>
  <c r="A7828" i="3"/>
  <c r="B7827" i="3"/>
  <c r="A7827" i="3"/>
  <c r="B7826" i="3"/>
  <c r="A7826" i="3"/>
  <c r="B7825" i="3"/>
  <c r="A7825" i="3"/>
  <c r="B7824" i="3"/>
  <c r="A7824" i="3"/>
  <c r="B7823" i="3"/>
  <c r="A7823" i="3"/>
  <c r="B7822" i="3"/>
  <c r="A7822" i="3"/>
  <c r="B7821" i="3"/>
  <c r="A7821" i="3"/>
  <c r="B7820" i="3"/>
  <c r="A7820" i="3"/>
  <c r="B7819" i="3"/>
  <c r="A7819" i="3"/>
  <c r="B7818" i="3"/>
  <c r="A7818" i="3"/>
  <c r="B7817" i="3"/>
  <c r="A7817" i="3"/>
  <c r="B7816" i="3"/>
  <c r="A7816" i="3"/>
  <c r="B7815" i="3"/>
  <c r="A7815" i="3"/>
  <c r="B7814" i="3"/>
  <c r="A7814" i="3"/>
  <c r="B7813" i="3"/>
  <c r="A7813" i="3"/>
  <c r="B7812" i="3"/>
  <c r="A7812" i="3"/>
  <c r="B7811" i="3"/>
  <c r="A7811" i="3"/>
  <c r="B7810" i="3"/>
  <c r="A7810" i="3"/>
  <c r="B7809" i="3"/>
  <c r="A7809" i="3"/>
  <c r="B7808" i="3"/>
  <c r="A7808" i="3"/>
  <c r="B7807" i="3"/>
  <c r="A7807" i="3"/>
  <c r="B7806" i="3"/>
  <c r="A7806" i="3"/>
  <c r="B7805" i="3"/>
  <c r="A7805" i="3"/>
  <c r="B7804" i="3"/>
  <c r="A7804" i="3"/>
  <c r="B7803" i="3"/>
  <c r="A7803" i="3"/>
  <c r="B7802" i="3"/>
  <c r="A7802" i="3"/>
  <c r="B7801" i="3"/>
  <c r="A7801" i="3"/>
  <c r="B7800" i="3"/>
  <c r="A7800" i="3"/>
  <c r="B7799" i="3"/>
  <c r="A7799" i="3"/>
  <c r="B7798" i="3"/>
  <c r="A7798" i="3"/>
  <c r="B7797" i="3"/>
  <c r="A7797" i="3"/>
  <c r="B7796" i="3"/>
  <c r="A7796" i="3"/>
  <c r="B7795" i="3"/>
  <c r="A7795" i="3"/>
  <c r="B7794" i="3"/>
  <c r="A7794" i="3"/>
  <c r="B7793" i="3"/>
  <c r="A7793" i="3"/>
  <c r="B7792" i="3"/>
  <c r="A7792" i="3"/>
  <c r="B7791" i="3"/>
  <c r="A7791" i="3"/>
  <c r="B7790" i="3"/>
  <c r="A7790" i="3"/>
  <c r="B7789" i="3"/>
  <c r="A7789" i="3"/>
  <c r="B7788" i="3"/>
  <c r="A7788" i="3"/>
  <c r="B7787" i="3"/>
  <c r="A7787" i="3"/>
  <c r="B7786" i="3"/>
  <c r="A7786" i="3"/>
  <c r="B7785" i="3"/>
  <c r="A7785" i="3"/>
  <c r="B7784" i="3"/>
  <c r="A7784" i="3"/>
  <c r="B7783" i="3"/>
  <c r="A7783" i="3"/>
  <c r="B7782" i="3"/>
  <c r="A7782" i="3"/>
  <c r="B7781" i="3"/>
  <c r="A7781" i="3"/>
  <c r="B7780" i="3"/>
  <c r="A7780" i="3"/>
  <c r="B7779" i="3"/>
  <c r="A7779" i="3"/>
  <c r="B7778" i="3"/>
  <c r="A7778" i="3"/>
  <c r="B7777" i="3"/>
  <c r="A7777" i="3"/>
  <c r="B7776" i="3"/>
  <c r="A7776" i="3"/>
  <c r="B7775" i="3"/>
  <c r="A7775" i="3"/>
  <c r="B7774" i="3"/>
  <c r="A7774" i="3"/>
  <c r="B7773" i="3"/>
  <c r="A7773" i="3"/>
  <c r="B7772" i="3"/>
  <c r="A7772" i="3"/>
  <c r="B7771" i="3"/>
  <c r="A7771" i="3"/>
  <c r="B7770" i="3"/>
  <c r="A7770" i="3"/>
  <c r="B7769" i="3"/>
  <c r="A7769" i="3"/>
  <c r="B7768" i="3"/>
  <c r="A7768" i="3"/>
  <c r="B7767" i="3"/>
  <c r="A7767" i="3"/>
  <c r="B7766" i="3"/>
  <c r="A7766" i="3"/>
  <c r="B7765" i="3"/>
  <c r="A7765" i="3"/>
  <c r="B7764" i="3"/>
  <c r="A7764" i="3"/>
  <c r="B7763" i="3"/>
  <c r="A7763" i="3"/>
  <c r="B7762" i="3"/>
  <c r="A7762" i="3"/>
  <c r="B7761" i="3"/>
  <c r="A7761" i="3"/>
  <c r="B7760" i="3"/>
  <c r="A7760" i="3"/>
  <c r="B7759" i="3"/>
  <c r="A7759" i="3"/>
  <c r="B7758" i="3"/>
  <c r="A7758" i="3"/>
  <c r="B7757" i="3"/>
  <c r="A7757" i="3"/>
  <c r="B7756" i="3"/>
  <c r="A7756" i="3"/>
  <c r="B7755" i="3"/>
  <c r="A7755" i="3"/>
  <c r="B7754" i="3"/>
  <c r="A7754" i="3"/>
  <c r="B7753" i="3"/>
  <c r="A7753" i="3"/>
  <c r="B7752" i="3"/>
  <c r="A7752" i="3"/>
  <c r="B7751" i="3"/>
  <c r="A7751" i="3"/>
  <c r="B7750" i="3"/>
  <c r="A7750" i="3"/>
  <c r="B7749" i="3"/>
  <c r="A7749" i="3"/>
  <c r="B7748" i="3"/>
  <c r="A7748" i="3"/>
  <c r="B7747" i="3"/>
  <c r="A7747" i="3"/>
  <c r="B7746" i="3"/>
  <c r="A7746" i="3"/>
  <c r="B7745" i="3"/>
  <c r="A7745" i="3"/>
  <c r="B7744" i="3"/>
  <c r="A7744" i="3"/>
  <c r="B7743" i="3"/>
  <c r="A7743" i="3"/>
  <c r="B7742" i="3"/>
  <c r="A7742" i="3"/>
  <c r="B7741" i="3"/>
  <c r="A7741" i="3"/>
  <c r="B7740" i="3"/>
  <c r="A7740" i="3"/>
  <c r="B7739" i="3"/>
  <c r="A7739" i="3"/>
  <c r="B7738" i="3"/>
  <c r="A7738" i="3"/>
  <c r="B7737" i="3"/>
  <c r="A7737" i="3"/>
  <c r="B7736" i="3"/>
  <c r="A7736" i="3"/>
  <c r="B7735" i="3"/>
  <c r="A7735" i="3"/>
  <c r="B7734" i="3"/>
  <c r="A7734" i="3"/>
  <c r="B7733" i="3"/>
  <c r="A7733" i="3"/>
  <c r="B7732" i="3"/>
  <c r="A7732" i="3"/>
  <c r="B7731" i="3"/>
  <c r="A7731" i="3"/>
  <c r="B7730" i="3"/>
  <c r="A7730" i="3"/>
  <c r="B7729" i="3"/>
  <c r="A7729" i="3"/>
  <c r="B7728" i="3"/>
  <c r="A7728" i="3"/>
  <c r="B7727" i="3"/>
  <c r="A7727" i="3"/>
  <c r="B7726" i="3"/>
  <c r="A7726" i="3"/>
  <c r="B7725" i="3"/>
  <c r="A7725" i="3"/>
  <c r="B7724" i="3"/>
  <c r="A7724" i="3"/>
  <c r="B7723" i="3"/>
  <c r="A7723" i="3"/>
  <c r="B7722" i="3"/>
  <c r="A7722" i="3"/>
  <c r="B7721" i="3"/>
  <c r="A7721" i="3"/>
  <c r="B7720" i="3"/>
  <c r="A7720" i="3"/>
  <c r="B7719" i="3"/>
  <c r="B7718" i="3"/>
  <c r="B7717" i="3"/>
  <c r="A7717" i="3"/>
  <c r="B7716" i="3"/>
  <c r="A7716" i="3"/>
  <c r="B7715" i="3"/>
  <c r="A7715" i="3"/>
  <c r="B7714" i="3"/>
  <c r="A7714" i="3"/>
  <c r="B7713" i="3"/>
  <c r="A7713" i="3"/>
  <c r="B7712" i="3"/>
  <c r="A7712" i="3"/>
  <c r="B7711" i="3"/>
  <c r="A7711" i="3"/>
  <c r="B7710" i="3"/>
  <c r="A7710" i="3"/>
  <c r="B7709" i="3"/>
  <c r="A7709" i="3"/>
  <c r="B7708" i="3"/>
  <c r="A7708" i="3"/>
  <c r="B7707" i="3"/>
  <c r="A7707" i="3"/>
  <c r="B7706" i="3"/>
  <c r="B7705" i="3"/>
  <c r="B7704" i="3"/>
  <c r="A7704" i="3"/>
  <c r="B7703" i="3"/>
  <c r="A7703" i="3"/>
  <c r="B7702" i="3"/>
  <c r="A7702" i="3"/>
  <c r="B7701" i="3"/>
  <c r="A7701" i="3"/>
  <c r="B7700" i="3"/>
  <c r="A7700" i="3"/>
  <c r="B7699" i="3"/>
  <c r="A7699" i="3"/>
  <c r="B7698" i="3"/>
  <c r="A7698" i="3"/>
  <c r="B7697" i="3"/>
  <c r="A7697" i="3"/>
  <c r="B7696" i="3"/>
  <c r="A7696" i="3"/>
  <c r="B7695" i="3"/>
  <c r="A7695" i="3"/>
  <c r="B7694" i="3"/>
  <c r="A7694" i="3"/>
  <c r="B7693" i="3"/>
  <c r="A7693" i="3"/>
  <c r="B7692" i="3"/>
  <c r="A7692" i="3"/>
  <c r="B7691" i="3"/>
  <c r="A7691" i="3"/>
  <c r="B7690" i="3"/>
  <c r="A7690" i="3"/>
  <c r="B7689" i="3"/>
  <c r="A7689" i="3"/>
  <c r="B7688" i="3"/>
  <c r="A7688" i="3"/>
  <c r="B7687" i="3"/>
  <c r="A7687" i="3"/>
  <c r="B7686" i="3"/>
  <c r="A7686" i="3"/>
  <c r="B7685" i="3"/>
  <c r="A7685" i="3"/>
  <c r="B7684" i="3"/>
  <c r="A7684" i="3"/>
  <c r="B7683" i="3"/>
  <c r="A7683" i="3"/>
  <c r="B7682" i="3"/>
  <c r="A7682" i="3"/>
  <c r="B7681" i="3"/>
  <c r="A7681" i="3"/>
  <c r="B7680" i="3"/>
  <c r="A7680" i="3"/>
  <c r="B7679" i="3"/>
  <c r="A7679" i="3"/>
  <c r="B7678" i="3"/>
  <c r="A7678" i="3"/>
  <c r="B7677" i="3"/>
  <c r="A7677" i="3"/>
  <c r="B7676" i="3"/>
  <c r="A7676" i="3"/>
  <c r="B7675" i="3"/>
  <c r="A7675" i="3"/>
  <c r="B7674" i="3"/>
  <c r="A7674" i="3"/>
  <c r="B7673" i="3"/>
  <c r="A7673" i="3"/>
  <c r="B7672" i="3"/>
  <c r="A7672" i="3"/>
  <c r="B7671" i="3"/>
  <c r="A7671" i="3"/>
  <c r="B7670" i="3"/>
  <c r="A7670" i="3"/>
  <c r="B7669" i="3"/>
  <c r="A7669" i="3"/>
  <c r="B7668" i="3"/>
  <c r="A7668" i="3"/>
  <c r="B7667" i="3"/>
  <c r="A7667" i="3"/>
  <c r="B7666" i="3"/>
  <c r="A7666" i="3"/>
  <c r="B7665" i="3"/>
  <c r="A7665" i="3"/>
  <c r="B7664" i="3"/>
  <c r="A7664" i="3"/>
  <c r="B7663" i="3"/>
  <c r="A7663" i="3"/>
  <c r="B7662" i="3"/>
  <c r="A7662" i="3"/>
  <c r="B7661" i="3"/>
  <c r="A7661" i="3"/>
  <c r="B7660" i="3"/>
  <c r="A7660" i="3"/>
  <c r="B7659" i="3"/>
  <c r="A7659" i="3"/>
  <c r="B7658" i="3"/>
  <c r="B7657" i="3"/>
  <c r="A7657" i="3"/>
  <c r="B7656" i="3"/>
  <c r="A7656" i="3"/>
  <c r="B7655" i="3"/>
  <c r="A7655" i="3"/>
  <c r="B7654" i="3"/>
  <c r="A7654" i="3"/>
  <c r="B7653" i="3"/>
  <c r="A7653" i="3"/>
  <c r="B7652" i="3"/>
  <c r="A7652" i="3"/>
  <c r="B7651" i="3"/>
  <c r="A7651" i="3"/>
  <c r="B7650" i="3"/>
  <c r="A7650" i="3"/>
  <c r="B7649" i="3"/>
  <c r="A7649" i="3"/>
  <c r="B7648" i="3"/>
  <c r="A7648" i="3"/>
  <c r="B7647" i="3"/>
  <c r="A7647" i="3"/>
  <c r="B7646" i="3"/>
  <c r="A7646" i="3"/>
  <c r="B7645" i="3"/>
  <c r="A7645" i="3"/>
  <c r="B7644" i="3"/>
  <c r="A7644" i="3"/>
  <c r="B7643" i="3"/>
  <c r="A7643" i="3"/>
  <c r="B7642" i="3"/>
  <c r="A7642" i="3"/>
  <c r="B7641" i="3"/>
  <c r="A7641" i="3"/>
  <c r="B7640" i="3"/>
  <c r="A7640" i="3"/>
  <c r="B7639" i="3"/>
  <c r="A7639" i="3"/>
  <c r="B7638" i="3"/>
  <c r="A7638" i="3"/>
  <c r="B7637" i="3"/>
  <c r="A7637" i="3"/>
  <c r="B7636" i="3"/>
  <c r="A7636" i="3"/>
  <c r="B7635" i="3"/>
  <c r="A7635" i="3"/>
  <c r="B7634" i="3"/>
  <c r="A7634" i="3"/>
  <c r="B7633" i="3"/>
  <c r="A7633" i="3"/>
  <c r="B7632" i="3"/>
  <c r="A7632" i="3"/>
  <c r="B7631" i="3"/>
  <c r="A7631" i="3"/>
  <c r="B7630" i="3"/>
  <c r="A7630" i="3"/>
  <c r="B7629" i="3"/>
  <c r="A7629" i="3"/>
  <c r="B7628" i="3"/>
  <c r="A7628" i="3"/>
  <c r="B7627" i="3"/>
  <c r="A7627" i="3"/>
  <c r="B7626" i="3"/>
  <c r="A7626" i="3"/>
  <c r="B7625" i="3"/>
  <c r="A7625" i="3"/>
  <c r="B7624" i="3"/>
  <c r="A7624" i="3"/>
  <c r="B7623" i="3"/>
  <c r="A7623" i="3"/>
  <c r="B7622" i="3"/>
  <c r="A7622" i="3"/>
  <c r="B7621" i="3"/>
  <c r="A7621" i="3"/>
  <c r="B7620" i="3"/>
  <c r="A7620" i="3"/>
  <c r="B7619" i="3"/>
  <c r="A7619" i="3"/>
  <c r="B7618" i="3"/>
  <c r="A7618" i="3"/>
  <c r="B7617" i="3"/>
  <c r="A7617" i="3"/>
  <c r="B7616" i="3"/>
  <c r="A7616" i="3"/>
  <c r="B7615" i="3"/>
  <c r="A7615" i="3"/>
  <c r="B7614" i="3"/>
  <c r="A7614" i="3"/>
  <c r="B7613" i="3"/>
  <c r="A7613" i="3"/>
  <c r="B7612" i="3"/>
  <c r="A7612" i="3"/>
  <c r="B7611" i="3"/>
  <c r="A7611" i="3"/>
  <c r="B7610" i="3"/>
  <c r="A7610" i="3"/>
  <c r="B7609" i="3"/>
  <c r="A7609" i="3"/>
  <c r="B7608" i="3"/>
  <c r="A7608" i="3"/>
  <c r="B7607" i="3"/>
  <c r="A7607" i="3"/>
  <c r="B7606" i="3"/>
  <c r="A7606" i="3"/>
  <c r="B7605" i="3"/>
  <c r="A7605" i="3"/>
  <c r="B7604" i="3"/>
  <c r="A7604" i="3"/>
  <c r="B7603" i="3"/>
  <c r="A7603" i="3"/>
  <c r="B7602" i="3"/>
  <c r="A7602" i="3"/>
  <c r="B7601" i="3"/>
  <c r="A7601" i="3"/>
  <c r="B7600" i="3"/>
  <c r="A7600" i="3"/>
  <c r="B7599" i="3"/>
  <c r="A7599" i="3"/>
  <c r="B7598" i="3"/>
  <c r="A7598" i="3"/>
  <c r="B7597" i="3"/>
  <c r="A7597" i="3"/>
  <c r="B7596" i="3"/>
  <c r="A7596" i="3"/>
  <c r="B7595" i="3"/>
  <c r="A7595" i="3"/>
  <c r="B7594" i="3"/>
  <c r="A7594" i="3"/>
  <c r="B7593" i="3"/>
  <c r="A7593" i="3"/>
  <c r="B7592" i="3"/>
  <c r="A7592" i="3"/>
  <c r="B7591" i="3"/>
  <c r="A7591" i="3"/>
  <c r="B7590" i="3"/>
  <c r="A7590" i="3"/>
  <c r="B7589" i="3"/>
  <c r="A7589" i="3"/>
  <c r="B7588" i="3"/>
  <c r="A7588" i="3"/>
  <c r="B7587" i="3"/>
  <c r="A7587" i="3"/>
  <c r="B7586" i="3"/>
  <c r="A7586" i="3"/>
  <c r="B7585" i="3"/>
  <c r="A7585" i="3"/>
  <c r="B7584" i="3"/>
  <c r="A7584" i="3"/>
  <c r="B7583" i="3"/>
  <c r="A7583" i="3"/>
  <c r="B7582" i="3"/>
  <c r="A7582" i="3"/>
  <c r="B7581" i="3"/>
  <c r="A7581" i="3"/>
  <c r="B7580" i="3"/>
  <c r="A7580" i="3"/>
  <c r="B7579" i="3"/>
  <c r="A7579" i="3"/>
  <c r="B7578" i="3"/>
  <c r="A7578" i="3"/>
  <c r="B7577" i="3"/>
  <c r="A7577" i="3"/>
  <c r="B7576" i="3"/>
  <c r="A7576" i="3"/>
  <c r="B7575" i="3"/>
  <c r="A7575" i="3"/>
  <c r="B7574" i="3"/>
  <c r="A7574" i="3"/>
  <c r="B7573" i="3"/>
  <c r="A7573" i="3"/>
  <c r="B7572" i="3"/>
  <c r="A7572" i="3"/>
  <c r="B7571" i="3"/>
  <c r="A7571" i="3"/>
  <c r="B7570" i="3"/>
  <c r="A7570" i="3"/>
  <c r="B7569" i="3"/>
  <c r="A7569" i="3"/>
  <c r="B7568" i="3"/>
  <c r="A7568" i="3"/>
  <c r="B7567" i="3"/>
  <c r="A7567" i="3"/>
  <c r="B7566" i="3"/>
  <c r="A7566" i="3"/>
  <c r="B7565" i="3"/>
  <c r="A7565" i="3"/>
  <c r="B7564" i="3"/>
  <c r="A7564" i="3"/>
  <c r="B7563" i="3"/>
  <c r="A7563" i="3"/>
  <c r="B7562" i="3"/>
  <c r="A7562" i="3"/>
  <c r="B7561" i="3"/>
  <c r="A7561" i="3"/>
  <c r="B7560" i="3"/>
  <c r="A7560" i="3"/>
  <c r="B7559" i="3"/>
  <c r="A7559" i="3"/>
  <c r="B7558" i="3"/>
  <c r="A7558" i="3"/>
  <c r="B7557" i="3"/>
  <c r="A7557" i="3"/>
  <c r="B7556" i="3"/>
  <c r="A7556" i="3"/>
  <c r="B7555" i="3"/>
  <c r="A7555" i="3"/>
  <c r="B7554" i="3"/>
  <c r="A7554" i="3"/>
  <c r="B7553" i="3"/>
  <c r="A7553" i="3"/>
  <c r="B7552" i="3"/>
  <c r="A7552" i="3"/>
  <c r="B7551" i="3"/>
  <c r="A7551" i="3"/>
  <c r="B7550" i="3"/>
  <c r="A7550" i="3"/>
  <c r="B7549" i="3"/>
  <c r="A7549" i="3"/>
  <c r="B7548" i="3"/>
  <c r="A7548" i="3"/>
  <c r="B7547" i="3"/>
  <c r="A7547" i="3"/>
  <c r="B7546" i="3"/>
  <c r="A7546" i="3"/>
  <c r="B7545" i="3"/>
  <c r="A7545" i="3"/>
  <c r="B7544" i="3"/>
  <c r="A7544" i="3"/>
  <c r="B7543" i="3"/>
  <c r="A7543" i="3"/>
  <c r="B7542" i="3"/>
  <c r="A7542" i="3"/>
  <c r="B7541" i="3"/>
  <c r="A7541" i="3"/>
  <c r="B7540" i="3"/>
  <c r="A7540" i="3"/>
  <c r="B7539" i="3"/>
  <c r="A7539" i="3"/>
  <c r="B7538" i="3"/>
  <c r="A7538" i="3"/>
  <c r="B7537" i="3"/>
  <c r="A7537" i="3"/>
  <c r="B7536" i="3"/>
  <c r="A7536" i="3"/>
  <c r="B7535" i="3"/>
  <c r="A7535" i="3"/>
  <c r="B7534" i="3"/>
  <c r="A7534" i="3"/>
  <c r="B7533" i="3"/>
  <c r="A7533" i="3"/>
  <c r="B7532" i="3"/>
  <c r="A7532" i="3"/>
  <c r="B7531" i="3"/>
  <c r="A7531" i="3"/>
  <c r="B7530" i="3"/>
  <c r="A7530" i="3"/>
  <c r="B7529" i="3"/>
  <c r="A7529" i="3"/>
  <c r="B7528" i="3"/>
  <c r="A7528" i="3"/>
  <c r="B7527" i="3"/>
  <c r="A7527" i="3"/>
  <c r="B7526" i="3"/>
  <c r="A7526" i="3"/>
  <c r="B7525" i="3"/>
  <c r="A7525" i="3"/>
  <c r="B7524" i="3"/>
  <c r="A7524" i="3"/>
  <c r="B7523" i="3"/>
  <c r="A7523" i="3"/>
  <c r="B7522" i="3"/>
  <c r="A7522" i="3"/>
  <c r="B7521" i="3"/>
  <c r="A7521" i="3"/>
  <c r="B7520" i="3"/>
  <c r="A7520" i="3"/>
  <c r="B7519" i="3"/>
  <c r="A7519" i="3"/>
  <c r="B7518" i="3"/>
  <c r="A7518" i="3"/>
  <c r="B7517" i="3"/>
  <c r="A7517" i="3"/>
  <c r="B7516" i="3"/>
  <c r="A7516" i="3"/>
  <c r="B7515" i="3"/>
  <c r="A7515" i="3"/>
  <c r="B7514" i="3"/>
  <c r="A7514" i="3"/>
  <c r="B7513" i="3"/>
  <c r="A7513" i="3"/>
  <c r="B7512" i="3"/>
  <c r="A7512" i="3"/>
  <c r="B7511" i="3"/>
  <c r="A7511" i="3"/>
  <c r="B7510" i="3"/>
  <c r="A7510" i="3"/>
  <c r="B7509" i="3"/>
  <c r="A7509" i="3"/>
  <c r="B7508" i="3"/>
  <c r="A7508" i="3"/>
  <c r="B7507" i="3"/>
  <c r="A7507" i="3"/>
  <c r="B7506" i="3"/>
  <c r="A7506" i="3"/>
  <c r="B7505" i="3"/>
  <c r="A7505" i="3"/>
  <c r="B7504" i="3"/>
  <c r="A7504" i="3"/>
  <c r="B7503" i="3"/>
  <c r="A7503" i="3"/>
  <c r="B7502" i="3"/>
  <c r="A7502" i="3"/>
  <c r="B7501" i="3"/>
  <c r="A7501" i="3"/>
  <c r="B7500" i="3"/>
  <c r="A7500" i="3"/>
  <c r="B7499" i="3"/>
  <c r="A7499" i="3"/>
  <c r="B7498" i="3"/>
  <c r="A7498" i="3"/>
  <c r="B7497" i="3"/>
  <c r="A7497" i="3"/>
  <c r="B7496" i="3"/>
  <c r="A7496" i="3"/>
  <c r="B7495" i="3"/>
  <c r="A7495" i="3"/>
  <c r="B7494" i="3"/>
  <c r="A7494" i="3"/>
  <c r="B7493" i="3"/>
  <c r="A7493" i="3"/>
  <c r="B7492" i="3"/>
  <c r="A7492" i="3"/>
  <c r="B7491" i="3"/>
  <c r="A7491" i="3"/>
  <c r="B7490" i="3"/>
  <c r="A7490" i="3"/>
  <c r="B7489" i="3"/>
  <c r="A7489" i="3"/>
  <c r="B7488" i="3"/>
  <c r="A7488" i="3"/>
  <c r="B7487" i="3"/>
  <c r="A7487" i="3"/>
  <c r="B7486" i="3"/>
  <c r="A7486" i="3"/>
  <c r="B7485" i="3"/>
  <c r="A7485" i="3"/>
  <c r="B7484" i="3"/>
  <c r="A7484" i="3"/>
  <c r="B7483" i="3"/>
  <c r="A7483" i="3"/>
  <c r="B7482" i="3"/>
  <c r="A7482" i="3"/>
  <c r="B7481" i="3"/>
  <c r="A7481" i="3"/>
  <c r="B7480" i="3"/>
  <c r="A7480" i="3"/>
  <c r="B7479" i="3"/>
  <c r="A7479" i="3"/>
  <c r="B7478" i="3"/>
  <c r="A7478" i="3"/>
  <c r="B7477" i="3"/>
  <c r="A7477" i="3"/>
  <c r="B7476" i="3"/>
  <c r="A7476" i="3"/>
  <c r="B7475" i="3"/>
  <c r="A7475" i="3"/>
  <c r="B7474" i="3"/>
  <c r="A7474" i="3"/>
  <c r="B7473" i="3"/>
  <c r="A7473" i="3"/>
  <c r="B7472" i="3"/>
  <c r="A7472" i="3"/>
  <c r="B7471" i="3"/>
  <c r="A7471" i="3"/>
  <c r="B7470" i="3"/>
  <c r="A7470" i="3"/>
  <c r="B7469" i="3"/>
  <c r="A7469" i="3"/>
  <c r="B7468" i="3"/>
  <c r="A7468" i="3"/>
  <c r="B7467" i="3"/>
  <c r="A7467" i="3"/>
  <c r="B7466" i="3"/>
  <c r="A7466" i="3"/>
  <c r="B7465" i="3"/>
  <c r="A7465" i="3"/>
  <c r="B7464" i="3"/>
  <c r="A7464" i="3"/>
  <c r="B7463" i="3"/>
  <c r="A7463" i="3"/>
  <c r="B7462" i="3"/>
  <c r="A7462" i="3"/>
  <c r="B7461" i="3"/>
  <c r="A7461" i="3"/>
  <c r="B7460" i="3"/>
  <c r="A7460" i="3"/>
  <c r="B7459" i="3"/>
  <c r="A7459" i="3"/>
  <c r="B7458" i="3"/>
  <c r="B7457" i="3"/>
  <c r="A7457" i="3"/>
  <c r="B7456" i="3"/>
  <c r="A7456" i="3"/>
  <c r="B7455" i="3"/>
  <c r="A7455" i="3"/>
  <c r="B7454" i="3"/>
  <c r="A7454" i="3"/>
  <c r="B7453" i="3"/>
  <c r="A7453" i="3"/>
  <c r="B7452" i="3"/>
  <c r="A7452" i="3"/>
  <c r="B7451" i="3"/>
  <c r="A7451" i="3"/>
  <c r="B7450" i="3"/>
  <c r="A7450" i="3"/>
  <c r="B7449" i="3"/>
  <c r="A7449" i="3"/>
  <c r="B7448" i="3"/>
  <c r="A7448" i="3"/>
  <c r="B7447" i="3"/>
  <c r="A7447" i="3"/>
  <c r="B7446" i="3"/>
  <c r="A7446" i="3"/>
  <c r="B7445" i="3"/>
  <c r="A7445" i="3"/>
  <c r="B7444" i="3"/>
  <c r="A7444" i="3"/>
  <c r="B7443" i="3"/>
  <c r="A7443" i="3"/>
  <c r="B7442" i="3"/>
  <c r="A7442" i="3"/>
  <c r="B7441" i="3"/>
  <c r="A7441" i="3"/>
  <c r="B7440" i="3"/>
  <c r="A7440" i="3"/>
  <c r="B7439" i="3"/>
  <c r="A7439" i="3"/>
  <c r="B7438" i="3"/>
  <c r="A7438" i="3"/>
  <c r="B7437" i="3"/>
  <c r="A7437" i="3"/>
  <c r="B7436" i="3"/>
  <c r="A7436" i="3"/>
  <c r="B7435" i="3"/>
  <c r="A7435" i="3"/>
  <c r="B7434" i="3"/>
  <c r="A7434" i="3"/>
  <c r="B7433" i="3"/>
  <c r="A7433" i="3"/>
  <c r="B7432" i="3"/>
  <c r="A7432" i="3"/>
  <c r="B7431" i="3"/>
  <c r="A7431" i="3"/>
  <c r="B7430" i="3"/>
  <c r="A7430" i="3"/>
  <c r="B7429" i="3"/>
  <c r="A7429" i="3"/>
  <c r="B7428" i="3"/>
  <c r="A7428" i="3"/>
  <c r="B7427" i="3"/>
  <c r="A7427" i="3"/>
  <c r="B7426" i="3"/>
  <c r="A7426" i="3"/>
  <c r="B7425" i="3"/>
  <c r="A7425" i="3"/>
  <c r="B7424" i="3"/>
  <c r="A7424" i="3"/>
  <c r="B7423" i="3"/>
  <c r="A7423" i="3"/>
  <c r="B7422" i="3"/>
  <c r="A7422" i="3"/>
  <c r="B7421" i="3"/>
  <c r="A7421" i="3"/>
  <c r="B7420" i="3"/>
  <c r="A7420" i="3"/>
  <c r="B7419" i="3"/>
  <c r="A7419" i="3"/>
  <c r="B7418" i="3"/>
  <c r="A7418" i="3"/>
  <c r="B7417" i="3"/>
  <c r="A7417" i="3"/>
  <c r="B7416" i="3"/>
  <c r="A7416" i="3"/>
  <c r="B7415" i="3"/>
  <c r="A7415" i="3"/>
  <c r="B7414" i="3"/>
  <c r="A7414" i="3"/>
  <c r="B7413" i="3"/>
  <c r="A7413" i="3"/>
  <c r="B7412" i="3"/>
  <c r="A7412" i="3"/>
  <c r="B7411" i="3"/>
  <c r="A7411" i="3"/>
  <c r="B7410" i="3"/>
  <c r="A7410" i="3"/>
  <c r="B7409" i="3"/>
  <c r="A7409" i="3"/>
  <c r="B7408" i="3"/>
  <c r="A7408" i="3"/>
  <c r="B7407" i="3"/>
  <c r="A7407" i="3"/>
  <c r="B7406" i="3"/>
  <c r="A7406" i="3"/>
  <c r="B7405" i="3"/>
  <c r="A7405" i="3"/>
  <c r="B7404" i="3"/>
  <c r="A7404" i="3"/>
  <c r="B7403" i="3"/>
  <c r="A7403" i="3"/>
  <c r="B7402" i="3"/>
  <c r="A7402" i="3"/>
  <c r="B7401" i="3"/>
  <c r="A7401" i="3"/>
  <c r="B7400" i="3"/>
  <c r="A7400" i="3"/>
  <c r="B7399" i="3"/>
  <c r="A7399" i="3"/>
  <c r="B7398" i="3"/>
  <c r="A7398" i="3"/>
  <c r="B7397" i="3"/>
  <c r="A7397" i="3"/>
  <c r="B7396" i="3"/>
  <c r="A7396" i="3"/>
  <c r="B7395" i="3"/>
  <c r="A7395" i="3"/>
  <c r="B7394" i="3"/>
  <c r="A7394" i="3"/>
  <c r="B7393" i="3"/>
  <c r="A7393" i="3"/>
  <c r="B7392" i="3"/>
  <c r="A7392" i="3"/>
  <c r="B7391" i="3"/>
  <c r="A7391" i="3"/>
  <c r="B7390" i="3"/>
  <c r="A7390" i="3"/>
  <c r="B7389" i="3"/>
  <c r="A7389" i="3"/>
  <c r="B7388" i="3"/>
  <c r="A7388" i="3"/>
  <c r="B7387" i="3"/>
  <c r="A7387" i="3"/>
  <c r="B7386" i="3"/>
  <c r="A7386" i="3"/>
  <c r="B7385" i="3"/>
  <c r="A7385" i="3"/>
  <c r="B7384" i="3"/>
  <c r="A7384" i="3"/>
  <c r="B7383" i="3"/>
  <c r="A7383" i="3"/>
  <c r="B7382" i="3"/>
  <c r="A7382" i="3"/>
  <c r="B7381" i="3"/>
  <c r="A7381" i="3"/>
  <c r="B7380" i="3"/>
  <c r="A7380" i="3"/>
  <c r="B7379" i="3"/>
  <c r="A7379" i="3"/>
  <c r="B7378" i="3"/>
  <c r="A7378" i="3"/>
  <c r="B7377" i="3"/>
  <c r="A7377" i="3"/>
  <c r="B7376" i="3"/>
  <c r="A7376" i="3"/>
  <c r="B7375" i="3"/>
  <c r="A7375" i="3"/>
  <c r="B7374" i="3"/>
  <c r="A7374" i="3"/>
  <c r="B7373" i="3"/>
  <c r="A7373" i="3"/>
  <c r="B7372" i="3"/>
  <c r="A7372" i="3"/>
  <c r="B7371" i="3"/>
  <c r="A7371" i="3"/>
  <c r="B7370" i="3"/>
  <c r="A7370" i="3"/>
  <c r="B7369" i="3"/>
  <c r="A7369" i="3"/>
  <c r="B7368" i="3"/>
  <c r="A7368" i="3"/>
  <c r="B7367" i="3"/>
  <c r="A7367" i="3"/>
  <c r="B7366" i="3"/>
  <c r="A7366" i="3"/>
  <c r="B7365" i="3"/>
  <c r="A7365" i="3"/>
  <c r="B7364" i="3"/>
  <c r="A7364" i="3"/>
  <c r="B7363" i="3"/>
  <c r="A7363" i="3"/>
  <c r="B7362" i="3"/>
  <c r="A7362" i="3"/>
  <c r="B7361" i="3"/>
  <c r="A7361" i="3"/>
  <c r="B7360" i="3"/>
  <c r="A7360" i="3"/>
  <c r="B7359" i="3"/>
  <c r="A7359" i="3"/>
  <c r="B7358" i="3"/>
  <c r="A7358" i="3"/>
  <c r="B7357" i="3"/>
  <c r="A7357" i="3"/>
  <c r="B7356" i="3"/>
  <c r="A7356" i="3"/>
  <c r="B7355" i="3"/>
  <c r="A7355" i="3"/>
  <c r="B7354" i="3"/>
  <c r="A7354" i="3"/>
  <c r="B7353" i="3"/>
  <c r="A7353" i="3"/>
  <c r="B7352" i="3"/>
  <c r="A7352" i="3"/>
  <c r="B7351" i="3"/>
  <c r="A7351" i="3"/>
  <c r="B7350" i="3"/>
  <c r="A7350" i="3"/>
  <c r="B7349" i="3"/>
  <c r="A7349" i="3"/>
  <c r="B7348" i="3"/>
  <c r="A7348" i="3"/>
  <c r="B7347" i="3"/>
  <c r="A7347" i="3"/>
  <c r="B7346" i="3"/>
  <c r="A7346" i="3"/>
  <c r="B7345" i="3"/>
  <c r="B7344" i="3"/>
  <c r="A7344" i="3"/>
  <c r="B7343" i="3"/>
  <c r="A7343" i="3"/>
  <c r="B7342" i="3"/>
  <c r="A7342" i="3"/>
  <c r="B7341" i="3"/>
  <c r="A7341" i="3"/>
  <c r="B7340" i="3"/>
  <c r="A7340" i="3"/>
  <c r="B7339" i="3"/>
  <c r="A7339" i="3"/>
  <c r="B7338" i="3"/>
  <c r="A7338" i="3"/>
  <c r="B7337" i="3"/>
  <c r="A7337" i="3"/>
  <c r="B7336" i="3"/>
  <c r="A7336" i="3"/>
  <c r="B7335" i="3"/>
  <c r="A7335" i="3"/>
  <c r="B7334" i="3"/>
  <c r="A7334" i="3"/>
  <c r="B7333" i="3"/>
  <c r="A7333" i="3"/>
  <c r="B7332" i="3"/>
  <c r="A7332" i="3"/>
  <c r="B7331" i="3"/>
  <c r="A7331" i="3"/>
  <c r="B7330" i="3"/>
  <c r="A7330" i="3"/>
  <c r="B7329" i="3"/>
  <c r="A7329" i="3"/>
  <c r="B7328" i="3"/>
  <c r="A7328" i="3"/>
  <c r="B7327" i="3"/>
  <c r="A7327" i="3"/>
  <c r="B7326" i="3"/>
  <c r="A7326" i="3"/>
  <c r="B7325" i="3"/>
  <c r="A7325" i="3"/>
  <c r="B7324" i="3"/>
  <c r="A7324" i="3"/>
  <c r="B7323" i="3"/>
  <c r="A7323" i="3"/>
  <c r="B7322" i="3"/>
  <c r="A7322" i="3"/>
  <c r="B7321" i="3"/>
  <c r="A7321" i="3"/>
  <c r="B7320" i="3"/>
  <c r="A7320" i="3"/>
  <c r="B7319" i="3"/>
  <c r="A7319" i="3"/>
  <c r="B7318" i="3"/>
  <c r="A7318" i="3"/>
  <c r="B7317" i="3"/>
  <c r="A7317" i="3"/>
  <c r="B7316" i="3"/>
  <c r="A7316" i="3"/>
  <c r="B7315" i="3"/>
  <c r="A7315" i="3"/>
  <c r="B7314" i="3"/>
  <c r="A7314" i="3"/>
  <c r="B7313" i="3"/>
  <c r="A7313" i="3"/>
  <c r="B7312" i="3"/>
  <c r="A7312" i="3"/>
  <c r="B7311" i="3"/>
  <c r="A7311" i="3"/>
  <c r="B7310" i="3"/>
  <c r="A7310" i="3"/>
  <c r="B7309" i="3"/>
  <c r="A7309" i="3"/>
  <c r="B7308" i="3"/>
  <c r="A7308" i="3"/>
  <c r="B7307" i="3"/>
  <c r="A7307" i="3"/>
  <c r="B7306" i="3"/>
  <c r="A7306" i="3"/>
  <c r="B7305" i="3"/>
  <c r="A7305" i="3"/>
  <c r="B7304" i="3"/>
  <c r="A7304" i="3"/>
  <c r="B7303" i="3"/>
  <c r="A7303" i="3"/>
  <c r="B7302" i="3"/>
  <c r="A7302" i="3"/>
  <c r="B7301" i="3"/>
  <c r="A7301" i="3"/>
  <c r="B7300" i="3"/>
  <c r="A7300" i="3"/>
  <c r="B7299" i="3"/>
  <c r="A7299" i="3"/>
  <c r="B7298" i="3"/>
  <c r="A7298" i="3"/>
  <c r="B7297" i="3"/>
  <c r="A7297" i="3"/>
  <c r="B7296" i="3"/>
  <c r="A7296" i="3"/>
  <c r="B7295" i="3"/>
  <c r="A7295" i="3"/>
  <c r="B7294" i="3"/>
  <c r="A7294" i="3"/>
  <c r="B7293" i="3"/>
  <c r="A7293" i="3"/>
  <c r="B7292" i="3"/>
  <c r="A7292" i="3"/>
  <c r="B7291" i="3"/>
  <c r="A7291" i="3"/>
  <c r="B7290" i="3"/>
  <c r="A7290" i="3"/>
  <c r="B7289" i="3"/>
  <c r="A7289" i="3"/>
  <c r="B7288" i="3"/>
  <c r="A7288" i="3"/>
  <c r="B7287" i="3"/>
  <c r="A7287" i="3"/>
  <c r="B7286" i="3"/>
  <c r="A7286" i="3"/>
  <c r="B7285" i="3"/>
  <c r="A7285" i="3"/>
  <c r="B7284" i="3"/>
  <c r="A7284" i="3"/>
  <c r="B7283" i="3"/>
  <c r="A7283" i="3"/>
  <c r="B7282" i="3"/>
  <c r="A7282" i="3"/>
  <c r="B7281" i="3"/>
  <c r="A7281" i="3"/>
  <c r="B7280" i="3"/>
  <c r="A7280" i="3"/>
  <c r="B7279" i="3"/>
  <c r="A7279" i="3"/>
  <c r="B7278" i="3"/>
  <c r="A7278" i="3"/>
  <c r="B7277" i="3"/>
  <c r="A7277" i="3"/>
  <c r="B7276" i="3"/>
  <c r="A7276" i="3"/>
  <c r="B7275" i="3"/>
  <c r="A7275" i="3"/>
  <c r="B7274" i="3"/>
  <c r="A7274" i="3"/>
  <c r="B7273" i="3"/>
  <c r="A7273" i="3"/>
  <c r="B7272" i="3"/>
  <c r="A7272" i="3"/>
  <c r="B7271" i="3"/>
  <c r="A7271" i="3"/>
  <c r="B7270" i="3"/>
  <c r="A7270" i="3"/>
  <c r="B7269" i="3"/>
  <c r="A7269" i="3"/>
  <c r="B7268" i="3"/>
  <c r="A7268" i="3"/>
  <c r="B7267" i="3"/>
  <c r="A7267" i="3"/>
  <c r="B7266" i="3"/>
  <c r="A7266" i="3"/>
  <c r="B7265" i="3"/>
  <c r="A7265" i="3"/>
  <c r="B7264" i="3"/>
  <c r="A7264" i="3"/>
  <c r="B7263" i="3"/>
  <c r="A7263" i="3"/>
  <c r="B7262" i="3"/>
  <c r="A7262" i="3"/>
  <c r="B7261" i="3"/>
  <c r="A7261" i="3"/>
  <c r="B7260" i="3"/>
  <c r="A7260" i="3"/>
  <c r="B7259" i="3"/>
  <c r="A7259" i="3"/>
  <c r="B7258" i="3"/>
  <c r="A7258" i="3"/>
  <c r="B7257" i="3"/>
  <c r="A7257" i="3"/>
  <c r="B7256" i="3"/>
  <c r="A7256" i="3"/>
  <c r="B7255" i="3"/>
  <c r="A7255" i="3"/>
  <c r="B7254" i="3"/>
  <c r="A7254" i="3"/>
  <c r="B7253" i="3"/>
  <c r="A7253" i="3"/>
  <c r="B7252" i="3"/>
  <c r="A7252" i="3"/>
  <c r="B7251" i="3"/>
  <c r="A7251" i="3"/>
  <c r="B7250" i="3"/>
  <c r="A7250" i="3"/>
  <c r="B7249" i="3"/>
  <c r="A7249" i="3"/>
  <c r="B7248" i="3"/>
  <c r="A7248" i="3"/>
  <c r="B7247" i="3"/>
  <c r="A7247" i="3"/>
  <c r="B7246" i="3"/>
  <c r="A7246" i="3"/>
  <c r="B7245" i="3"/>
  <c r="A7245" i="3"/>
  <c r="B7244" i="3"/>
  <c r="A7244" i="3"/>
  <c r="B7243" i="3"/>
  <c r="A7243" i="3"/>
  <c r="B7242" i="3"/>
  <c r="A7242" i="3"/>
  <c r="B7241" i="3"/>
  <c r="A7241" i="3"/>
  <c r="B7240" i="3"/>
  <c r="A7240" i="3"/>
  <c r="B7239" i="3"/>
  <c r="A7239" i="3"/>
  <c r="B7238" i="3"/>
  <c r="A7238" i="3"/>
  <c r="B7237" i="3"/>
  <c r="A7237" i="3"/>
  <c r="B7236" i="3"/>
  <c r="A7236" i="3"/>
  <c r="B7235" i="3"/>
  <c r="A7235" i="3"/>
  <c r="B7234" i="3"/>
  <c r="A7234" i="3"/>
  <c r="B7233" i="3"/>
  <c r="A7233" i="3"/>
  <c r="B7232" i="3"/>
  <c r="A7232" i="3"/>
  <c r="B7231" i="3"/>
  <c r="A7231" i="3"/>
  <c r="B7230" i="3"/>
  <c r="A7230" i="3"/>
  <c r="B7229" i="3"/>
  <c r="A7229" i="3"/>
  <c r="B7228" i="3"/>
  <c r="A7228" i="3"/>
  <c r="B7227" i="3"/>
  <c r="A7227" i="3"/>
  <c r="B7226" i="3"/>
  <c r="A7226" i="3"/>
  <c r="B7225" i="3"/>
  <c r="A7225" i="3"/>
  <c r="B7224" i="3"/>
  <c r="A7224" i="3"/>
  <c r="B7223" i="3"/>
  <c r="A7223" i="3"/>
  <c r="B7222" i="3"/>
  <c r="A7222" i="3"/>
  <c r="B7221" i="3"/>
  <c r="A7221" i="3"/>
  <c r="B7220" i="3"/>
  <c r="A7220" i="3"/>
  <c r="B7219" i="3"/>
  <c r="A7219" i="3"/>
  <c r="B7218" i="3"/>
  <c r="A7218" i="3"/>
  <c r="B7217" i="3"/>
  <c r="A7217" i="3"/>
  <c r="B7216" i="3"/>
  <c r="A7216" i="3"/>
  <c r="B7215" i="3"/>
  <c r="A7215" i="3"/>
  <c r="B7214" i="3"/>
  <c r="A7214" i="3"/>
  <c r="B7213" i="3"/>
  <c r="A7213" i="3"/>
  <c r="B7212" i="3"/>
  <c r="A7212" i="3"/>
  <c r="B7211" i="3"/>
  <c r="A7211" i="3"/>
  <c r="B7210" i="3"/>
  <c r="A7210" i="3"/>
  <c r="B7209" i="3"/>
  <c r="A7209" i="3"/>
  <c r="B7208" i="3"/>
  <c r="A7208" i="3"/>
  <c r="B7207" i="3"/>
  <c r="A7207" i="3"/>
  <c r="B7206" i="3"/>
  <c r="A7206" i="3"/>
  <c r="B7205" i="3"/>
  <c r="A7205" i="3"/>
  <c r="B7204" i="3"/>
  <c r="A7204" i="3"/>
  <c r="B7203" i="3"/>
  <c r="A7203" i="3"/>
  <c r="B7202" i="3"/>
  <c r="A7202" i="3"/>
  <c r="B7201" i="3"/>
  <c r="A7201" i="3"/>
  <c r="B7200" i="3"/>
  <c r="A7200" i="3"/>
  <c r="B7199" i="3"/>
  <c r="A7199" i="3"/>
  <c r="B7198" i="3"/>
  <c r="A7198" i="3"/>
  <c r="B7197" i="3"/>
  <c r="A7197" i="3"/>
  <c r="B7196" i="3"/>
  <c r="B7195" i="3"/>
  <c r="A7195" i="3"/>
  <c r="B7194" i="3"/>
  <c r="A7194" i="3"/>
  <c r="B7193" i="3"/>
  <c r="A7193" i="3"/>
  <c r="B7192" i="3"/>
  <c r="A7192" i="3"/>
  <c r="B7191" i="3"/>
  <c r="A7191" i="3"/>
  <c r="B7190" i="3"/>
  <c r="A7190" i="3"/>
  <c r="B7189" i="3"/>
  <c r="A7189" i="3"/>
  <c r="B7188" i="3"/>
  <c r="A7188" i="3"/>
  <c r="B7187" i="3"/>
  <c r="A7187" i="3"/>
  <c r="B7186" i="3"/>
  <c r="A7186" i="3"/>
  <c r="B7185" i="3"/>
  <c r="B7184" i="3"/>
  <c r="A7184" i="3"/>
  <c r="B7183" i="3"/>
  <c r="A7183" i="3"/>
  <c r="B7182" i="3"/>
  <c r="A7182" i="3"/>
  <c r="B7181" i="3"/>
  <c r="A7181" i="3"/>
  <c r="B7180" i="3"/>
  <c r="A7180" i="3"/>
  <c r="B7179" i="3"/>
  <c r="A7179" i="3"/>
  <c r="B7178" i="3"/>
  <c r="A7178" i="3"/>
  <c r="B7177" i="3"/>
  <c r="A7177" i="3"/>
  <c r="B7176" i="3"/>
  <c r="A7176" i="3"/>
  <c r="B7175" i="3"/>
  <c r="A7175" i="3"/>
  <c r="B7174" i="3"/>
  <c r="A7174" i="3"/>
  <c r="B7173" i="3"/>
  <c r="A7173" i="3"/>
  <c r="B7172" i="3"/>
  <c r="A7172" i="3"/>
  <c r="B7171" i="3"/>
  <c r="A7171" i="3"/>
  <c r="B7170" i="3"/>
  <c r="A7170" i="3"/>
  <c r="B7169" i="3"/>
  <c r="A7169" i="3"/>
  <c r="B7168" i="3"/>
  <c r="A7168" i="3"/>
  <c r="B7167" i="3"/>
  <c r="A7167" i="3"/>
  <c r="B7166" i="3"/>
  <c r="A7166" i="3"/>
  <c r="B7165" i="3"/>
  <c r="A7165" i="3"/>
  <c r="B7164" i="3"/>
  <c r="A7164" i="3"/>
  <c r="B7163" i="3"/>
  <c r="A7163" i="3"/>
  <c r="B7162" i="3"/>
  <c r="A7162" i="3"/>
  <c r="B7161" i="3"/>
  <c r="A7161" i="3"/>
  <c r="B7160" i="3"/>
  <c r="A7160" i="3"/>
  <c r="B7159" i="3"/>
  <c r="A7159" i="3"/>
  <c r="B7158" i="3"/>
  <c r="A7158" i="3"/>
  <c r="B7157" i="3"/>
  <c r="A7157" i="3"/>
  <c r="B7156" i="3"/>
  <c r="A7156" i="3"/>
  <c r="B7155" i="3"/>
  <c r="A7155" i="3"/>
  <c r="B7154" i="3"/>
  <c r="A7154" i="3"/>
  <c r="B7153" i="3"/>
  <c r="A7153" i="3"/>
  <c r="B7152" i="3"/>
  <c r="A7152" i="3"/>
  <c r="B7151" i="3"/>
  <c r="A7151" i="3"/>
  <c r="B7150" i="3"/>
  <c r="A7150" i="3"/>
  <c r="B7149" i="3"/>
  <c r="A7149" i="3"/>
  <c r="B7148" i="3"/>
  <c r="A7148" i="3"/>
  <c r="B7147" i="3"/>
  <c r="A7147" i="3"/>
  <c r="B7146" i="3"/>
  <c r="A7146" i="3"/>
  <c r="B7145" i="3"/>
  <c r="A7145" i="3"/>
  <c r="B7144" i="3"/>
  <c r="A7144" i="3"/>
  <c r="B7143" i="3"/>
  <c r="A7143" i="3"/>
  <c r="B7142" i="3"/>
  <c r="A7142" i="3"/>
  <c r="B7141" i="3"/>
  <c r="A7141" i="3"/>
  <c r="B7140" i="3"/>
  <c r="A7140" i="3"/>
  <c r="B7139" i="3"/>
  <c r="A7139" i="3"/>
  <c r="B7138" i="3"/>
  <c r="A7138" i="3"/>
  <c r="B7137" i="3"/>
  <c r="A7137" i="3"/>
  <c r="B7136" i="3"/>
  <c r="A7136" i="3"/>
  <c r="B7135" i="3"/>
  <c r="A7135" i="3"/>
  <c r="B7134" i="3"/>
  <c r="A7134" i="3"/>
  <c r="B7133" i="3"/>
  <c r="A7133" i="3"/>
  <c r="B7132" i="3"/>
  <c r="A7132" i="3"/>
  <c r="B7131" i="3"/>
  <c r="A7131" i="3"/>
  <c r="B7130" i="3"/>
  <c r="A7130" i="3"/>
  <c r="B7129" i="3"/>
  <c r="A7129" i="3"/>
  <c r="B7128" i="3"/>
  <c r="A7128" i="3"/>
  <c r="B7127" i="3"/>
  <c r="A7127" i="3"/>
  <c r="B7126" i="3"/>
  <c r="A7126" i="3"/>
  <c r="B7125" i="3"/>
  <c r="A7125" i="3"/>
  <c r="B7124" i="3"/>
  <c r="A7124" i="3"/>
  <c r="B7123" i="3"/>
  <c r="A7123" i="3"/>
  <c r="B7122" i="3"/>
  <c r="A7122" i="3"/>
  <c r="B7121" i="3"/>
  <c r="A7121" i="3"/>
  <c r="B7120" i="3"/>
  <c r="A7120" i="3"/>
  <c r="B7119" i="3"/>
  <c r="A7119" i="3"/>
  <c r="B7118" i="3"/>
  <c r="A7118" i="3"/>
  <c r="B7117" i="3"/>
  <c r="A7117" i="3"/>
  <c r="B7116" i="3"/>
  <c r="A7116" i="3"/>
  <c r="B7115" i="3"/>
  <c r="A7115" i="3"/>
  <c r="B7114" i="3"/>
  <c r="A7114" i="3"/>
  <c r="B7113" i="3"/>
  <c r="A7113" i="3"/>
  <c r="B7112" i="3"/>
  <c r="A7112" i="3"/>
  <c r="B7111" i="3"/>
  <c r="A7111" i="3"/>
  <c r="B7110" i="3"/>
  <c r="A7110" i="3"/>
  <c r="B7109" i="3"/>
  <c r="A7109" i="3"/>
  <c r="B7108" i="3"/>
  <c r="A7108" i="3"/>
  <c r="B7107" i="3"/>
  <c r="A7107" i="3"/>
  <c r="B7106" i="3"/>
  <c r="A7106" i="3"/>
  <c r="B7105" i="3"/>
  <c r="A7105" i="3"/>
  <c r="B7104" i="3"/>
  <c r="A7104" i="3"/>
  <c r="B7103" i="3"/>
  <c r="A7103" i="3"/>
  <c r="B7102" i="3"/>
  <c r="A7102" i="3"/>
  <c r="B7101" i="3"/>
  <c r="A7101" i="3"/>
  <c r="B7100" i="3"/>
  <c r="A7100" i="3"/>
  <c r="B7099" i="3"/>
  <c r="A7099" i="3"/>
  <c r="B7098" i="3"/>
  <c r="A7098" i="3"/>
  <c r="B7097" i="3"/>
  <c r="A7097" i="3"/>
  <c r="B7096" i="3"/>
  <c r="A7096" i="3"/>
  <c r="B7095" i="3"/>
  <c r="A7095" i="3"/>
  <c r="B7094" i="3"/>
  <c r="A7094" i="3"/>
  <c r="B7093" i="3"/>
  <c r="A7093" i="3"/>
  <c r="B7092" i="3"/>
  <c r="A7092" i="3"/>
  <c r="B7091" i="3"/>
  <c r="A7091" i="3"/>
  <c r="B7090" i="3"/>
  <c r="A7090" i="3"/>
  <c r="B7089" i="3"/>
  <c r="A7089" i="3"/>
  <c r="B7088" i="3"/>
  <c r="A7088" i="3"/>
  <c r="B7087" i="3"/>
  <c r="A7087" i="3"/>
  <c r="B7086" i="3"/>
  <c r="A7086" i="3"/>
  <c r="B7085" i="3"/>
  <c r="A7085" i="3"/>
  <c r="B7084" i="3"/>
  <c r="A7084" i="3"/>
  <c r="B7083" i="3"/>
  <c r="A7083" i="3"/>
  <c r="B7082" i="3"/>
  <c r="A7082" i="3"/>
  <c r="B7081" i="3"/>
  <c r="A7081" i="3"/>
  <c r="B7080" i="3"/>
  <c r="A7080" i="3"/>
  <c r="B7079" i="3"/>
  <c r="A7079" i="3"/>
  <c r="B7078" i="3"/>
  <c r="A7078" i="3"/>
  <c r="B7077" i="3"/>
  <c r="A7077" i="3"/>
  <c r="B7076" i="3"/>
  <c r="A7076" i="3"/>
  <c r="B7075" i="3"/>
  <c r="A7075" i="3"/>
  <c r="B7074" i="3"/>
  <c r="A7074" i="3"/>
  <c r="B7073" i="3"/>
  <c r="A7073" i="3"/>
  <c r="B7072" i="3"/>
  <c r="A7072" i="3"/>
  <c r="B7071" i="3"/>
  <c r="A7071" i="3"/>
  <c r="B7070" i="3"/>
  <c r="A7070" i="3"/>
  <c r="B7069" i="3"/>
  <c r="A7069" i="3"/>
  <c r="B7068" i="3"/>
  <c r="B7067" i="3"/>
  <c r="A7067" i="3"/>
  <c r="B7066" i="3"/>
  <c r="A7066" i="3"/>
  <c r="B7065" i="3"/>
  <c r="A7065" i="3"/>
  <c r="B7064" i="3"/>
  <c r="A7064" i="3"/>
  <c r="B7063" i="3"/>
  <c r="A7063" i="3"/>
  <c r="B7062" i="3"/>
  <c r="A7062" i="3"/>
  <c r="B7061" i="3"/>
  <c r="A7061" i="3"/>
  <c r="B7060" i="3"/>
  <c r="A7060" i="3"/>
  <c r="B7059" i="3"/>
  <c r="A7059" i="3"/>
  <c r="B7058" i="3"/>
  <c r="A7058" i="3"/>
  <c r="B7057" i="3"/>
  <c r="A7057" i="3"/>
  <c r="B7056" i="3"/>
  <c r="A7056" i="3"/>
  <c r="B7055" i="3"/>
  <c r="A7055" i="3"/>
  <c r="B7054" i="3"/>
  <c r="A7054" i="3"/>
  <c r="B7053" i="3"/>
  <c r="A7053" i="3"/>
  <c r="B7052" i="3"/>
  <c r="A7052" i="3"/>
  <c r="B7051" i="3"/>
  <c r="A7051" i="3"/>
  <c r="B7050" i="3"/>
  <c r="A7050" i="3"/>
  <c r="B7049" i="3"/>
  <c r="A7049" i="3"/>
  <c r="B7048" i="3"/>
  <c r="A7048" i="3"/>
  <c r="B7047" i="3"/>
  <c r="A7047" i="3"/>
  <c r="B7046" i="3"/>
  <c r="A7046" i="3"/>
  <c r="B7045" i="3"/>
  <c r="A7045" i="3"/>
  <c r="B7044" i="3"/>
  <c r="A7044" i="3"/>
  <c r="B7043" i="3"/>
  <c r="A7043" i="3"/>
  <c r="B7042" i="3"/>
  <c r="A7042" i="3"/>
  <c r="B7041" i="3"/>
  <c r="A7041" i="3"/>
  <c r="B7040" i="3"/>
  <c r="A7040" i="3"/>
  <c r="B7039" i="3"/>
  <c r="A7039" i="3"/>
  <c r="B7038" i="3"/>
  <c r="A7038" i="3"/>
  <c r="B7037" i="3"/>
  <c r="A7037" i="3"/>
  <c r="B7036" i="3"/>
  <c r="A7036" i="3"/>
  <c r="B7035" i="3"/>
  <c r="A7035" i="3"/>
  <c r="B7034" i="3"/>
  <c r="A7034" i="3"/>
  <c r="B7033" i="3"/>
  <c r="A7033" i="3"/>
  <c r="B7032" i="3"/>
  <c r="B7031" i="3"/>
  <c r="A7031" i="3"/>
  <c r="B7030" i="3"/>
  <c r="A7030" i="3"/>
  <c r="B7029" i="3"/>
  <c r="A7029" i="3"/>
  <c r="B7028" i="3"/>
  <c r="A7028" i="3"/>
  <c r="B7027" i="3"/>
  <c r="A7027" i="3"/>
  <c r="B7026" i="3"/>
  <c r="A7026" i="3"/>
  <c r="B7025" i="3"/>
  <c r="A7025" i="3"/>
  <c r="B7024" i="3"/>
  <c r="A7024" i="3"/>
  <c r="B7023" i="3"/>
  <c r="A7023" i="3"/>
  <c r="B7022" i="3"/>
  <c r="A7022" i="3"/>
  <c r="B7021" i="3"/>
  <c r="A7021" i="3"/>
  <c r="B7020" i="3"/>
  <c r="A7020" i="3"/>
  <c r="B7019" i="3"/>
  <c r="A7019" i="3"/>
  <c r="B7018" i="3"/>
  <c r="A7018" i="3"/>
  <c r="B7017" i="3"/>
  <c r="A7017" i="3"/>
  <c r="B7016" i="3"/>
  <c r="A7016" i="3"/>
  <c r="B7015" i="3"/>
  <c r="A7015" i="3"/>
  <c r="B7014" i="3"/>
  <c r="A7014" i="3"/>
  <c r="B7013" i="3"/>
  <c r="A7013" i="3"/>
  <c r="B7012" i="3"/>
  <c r="A7012" i="3"/>
  <c r="B7011" i="3"/>
  <c r="A7011" i="3"/>
  <c r="B7010" i="3"/>
  <c r="A7010" i="3"/>
  <c r="B7009" i="3"/>
  <c r="A7009" i="3"/>
  <c r="B7008" i="3"/>
  <c r="A7008" i="3"/>
  <c r="B7007" i="3"/>
  <c r="A7007" i="3"/>
  <c r="B7006" i="3"/>
  <c r="A7006" i="3"/>
  <c r="B7005" i="3"/>
  <c r="A7005" i="3"/>
  <c r="B7004" i="3"/>
  <c r="A7004" i="3"/>
  <c r="B7003" i="3"/>
  <c r="A7003" i="3"/>
  <c r="B7002" i="3"/>
  <c r="A7002" i="3"/>
  <c r="B7001" i="3"/>
  <c r="A7001" i="3"/>
  <c r="B7000" i="3"/>
  <c r="A7000" i="3"/>
  <c r="B6999" i="3"/>
  <c r="A6999" i="3"/>
  <c r="B6998" i="3"/>
  <c r="A6998" i="3"/>
  <c r="B6997" i="3"/>
  <c r="A6997" i="3"/>
  <c r="B6996" i="3"/>
  <c r="A6996" i="3"/>
  <c r="B6995" i="3"/>
  <c r="A6995" i="3"/>
  <c r="B6994" i="3"/>
  <c r="A6994" i="3"/>
  <c r="B6993" i="3"/>
  <c r="A6993" i="3"/>
  <c r="B6992" i="3"/>
  <c r="A6992" i="3"/>
  <c r="B6991" i="3"/>
  <c r="A6991" i="3"/>
  <c r="B6990" i="3"/>
  <c r="A6990" i="3"/>
  <c r="B6989" i="3"/>
  <c r="A6989" i="3"/>
  <c r="B6988" i="3"/>
  <c r="A6988" i="3"/>
  <c r="B6987" i="3"/>
  <c r="A6987" i="3"/>
  <c r="B6986" i="3"/>
  <c r="A6986" i="3"/>
  <c r="B6985" i="3"/>
  <c r="A6985" i="3"/>
  <c r="B6984" i="3"/>
  <c r="A6984" i="3"/>
  <c r="B6983" i="3"/>
  <c r="A6983" i="3"/>
  <c r="B6982" i="3"/>
  <c r="A6982" i="3"/>
  <c r="B6981" i="3"/>
  <c r="A6981" i="3"/>
  <c r="B6980" i="3"/>
  <c r="A6980" i="3"/>
  <c r="B6979" i="3"/>
  <c r="A6979" i="3"/>
  <c r="B6978" i="3"/>
  <c r="A6978" i="3"/>
  <c r="B6977" i="3"/>
  <c r="A6977" i="3"/>
  <c r="B6976" i="3"/>
  <c r="A6976" i="3"/>
  <c r="B6975" i="3"/>
  <c r="A6975" i="3"/>
  <c r="B6974" i="3"/>
  <c r="A6974" i="3"/>
  <c r="B6973" i="3"/>
  <c r="A6973" i="3"/>
  <c r="B6972" i="3"/>
  <c r="A6972" i="3"/>
  <c r="B6971" i="3"/>
  <c r="A6971" i="3"/>
  <c r="B6970" i="3"/>
  <c r="A6970" i="3"/>
  <c r="B6969" i="3"/>
  <c r="A6969" i="3"/>
  <c r="B6968" i="3"/>
  <c r="A6968" i="3"/>
  <c r="B6967" i="3"/>
  <c r="A6967" i="3"/>
  <c r="B6966" i="3"/>
  <c r="A6966" i="3"/>
  <c r="B6965" i="3"/>
  <c r="A6965" i="3"/>
  <c r="B6964" i="3"/>
  <c r="A6964" i="3"/>
  <c r="B6963" i="3"/>
  <c r="A6963" i="3"/>
  <c r="B6962" i="3"/>
  <c r="A6962" i="3"/>
  <c r="B6961" i="3"/>
  <c r="A6961" i="3"/>
  <c r="B6960" i="3"/>
  <c r="A6960" i="3"/>
  <c r="B6959" i="3"/>
  <c r="A6959" i="3"/>
  <c r="B6958" i="3"/>
  <c r="A6958" i="3"/>
  <c r="B6957" i="3"/>
  <c r="A6957" i="3"/>
  <c r="B6956" i="3"/>
  <c r="A6956" i="3"/>
  <c r="B6955" i="3"/>
  <c r="A6955" i="3"/>
  <c r="B6954" i="3"/>
  <c r="A6954" i="3"/>
  <c r="B6953" i="3"/>
  <c r="A6953" i="3"/>
  <c r="B6952" i="3"/>
  <c r="A6952" i="3"/>
  <c r="B6951" i="3"/>
  <c r="A6951" i="3"/>
  <c r="B6950" i="3"/>
  <c r="A6950" i="3"/>
  <c r="B6949" i="3"/>
  <c r="A6949" i="3"/>
  <c r="B6948" i="3"/>
  <c r="A6948" i="3"/>
  <c r="B6947" i="3"/>
  <c r="A6947" i="3"/>
  <c r="B6946" i="3"/>
  <c r="A6946" i="3"/>
  <c r="B6945" i="3"/>
  <c r="A6945" i="3"/>
  <c r="B6944" i="3"/>
  <c r="A6944" i="3"/>
  <c r="B6943" i="3"/>
  <c r="A6943" i="3"/>
  <c r="B6942" i="3"/>
  <c r="A6942" i="3"/>
  <c r="B6941" i="3"/>
  <c r="A6941" i="3"/>
  <c r="B6940" i="3"/>
  <c r="A6940" i="3"/>
  <c r="B6939" i="3"/>
  <c r="A6939" i="3"/>
  <c r="B6938" i="3"/>
  <c r="A6938" i="3"/>
  <c r="B6937" i="3"/>
  <c r="A6937" i="3"/>
  <c r="B6936" i="3"/>
  <c r="A6936" i="3"/>
  <c r="B6935" i="3"/>
  <c r="A6935" i="3"/>
  <c r="B6934" i="3"/>
  <c r="A6934" i="3"/>
  <c r="B6933" i="3"/>
  <c r="A6933" i="3"/>
  <c r="B6932" i="3"/>
  <c r="A6932" i="3"/>
  <c r="B6931" i="3"/>
  <c r="A6931" i="3"/>
  <c r="B6930" i="3"/>
  <c r="A6930" i="3"/>
  <c r="B6929" i="3"/>
  <c r="A6929" i="3"/>
  <c r="B6928" i="3"/>
  <c r="A6928" i="3"/>
  <c r="B6927" i="3"/>
  <c r="A6927" i="3"/>
  <c r="B6926" i="3"/>
  <c r="A6926" i="3"/>
  <c r="B6925" i="3"/>
  <c r="A6925" i="3"/>
  <c r="B6924" i="3"/>
  <c r="A6924" i="3"/>
  <c r="B6923" i="3"/>
  <c r="A6923" i="3"/>
  <c r="B6922" i="3"/>
  <c r="A6922" i="3"/>
  <c r="B6921" i="3"/>
  <c r="A6921" i="3"/>
  <c r="B6920" i="3"/>
  <c r="A6920" i="3"/>
  <c r="B6919" i="3"/>
  <c r="A6919" i="3"/>
  <c r="B6918" i="3"/>
  <c r="A6918" i="3"/>
  <c r="B6917" i="3"/>
  <c r="A6917" i="3"/>
  <c r="B6916" i="3"/>
  <c r="A6916" i="3"/>
  <c r="B6915" i="3"/>
  <c r="A6915" i="3"/>
  <c r="B6914" i="3"/>
  <c r="A6914" i="3"/>
  <c r="B6913" i="3"/>
  <c r="A6913" i="3"/>
  <c r="B6912" i="3"/>
  <c r="A6912" i="3"/>
  <c r="B6911" i="3"/>
  <c r="A6911" i="3"/>
  <c r="B6910" i="3"/>
  <c r="A6910" i="3"/>
  <c r="B6909" i="3"/>
  <c r="A6909" i="3"/>
  <c r="B6908" i="3"/>
  <c r="A6908" i="3"/>
  <c r="B6907" i="3"/>
  <c r="A6907" i="3"/>
  <c r="B6906" i="3"/>
  <c r="A6906" i="3"/>
  <c r="B6905" i="3"/>
  <c r="A6905" i="3"/>
  <c r="B6904" i="3"/>
  <c r="A6904" i="3"/>
  <c r="B6903" i="3"/>
  <c r="A6903" i="3"/>
  <c r="B6902" i="3"/>
  <c r="A6902" i="3"/>
  <c r="B6901" i="3"/>
  <c r="A6901" i="3"/>
  <c r="B6900" i="3"/>
  <c r="A6900" i="3"/>
  <c r="B6899" i="3"/>
  <c r="A6899" i="3"/>
  <c r="B6898" i="3"/>
  <c r="A6898" i="3"/>
  <c r="B6897" i="3"/>
  <c r="A6897" i="3"/>
  <c r="B6896" i="3"/>
  <c r="A6896" i="3"/>
  <c r="B6895" i="3"/>
  <c r="A6895" i="3"/>
  <c r="B6894" i="3"/>
  <c r="A6894" i="3"/>
  <c r="B6893" i="3"/>
  <c r="A6893" i="3"/>
  <c r="B6892" i="3"/>
  <c r="A6892" i="3"/>
  <c r="B6891" i="3"/>
  <c r="A6891" i="3"/>
  <c r="B6890" i="3"/>
  <c r="A6890" i="3"/>
  <c r="B6889" i="3"/>
  <c r="A6889" i="3"/>
  <c r="B6888" i="3"/>
  <c r="A6888" i="3"/>
  <c r="B6887" i="3"/>
  <c r="A6887" i="3"/>
  <c r="B6886" i="3"/>
  <c r="A6886" i="3"/>
  <c r="B6885" i="3"/>
  <c r="A6885" i="3"/>
  <c r="B6884" i="3"/>
  <c r="A6884" i="3"/>
  <c r="B6883" i="3"/>
  <c r="A6883" i="3"/>
  <c r="B6882" i="3"/>
  <c r="A6882" i="3"/>
  <c r="B6881" i="3"/>
  <c r="A6881" i="3"/>
  <c r="B6880" i="3"/>
  <c r="A6880" i="3"/>
  <c r="B6879" i="3"/>
  <c r="A6879" i="3"/>
  <c r="B6878" i="3"/>
  <c r="A6878" i="3"/>
  <c r="B6877" i="3"/>
  <c r="A6877" i="3"/>
  <c r="B6876" i="3"/>
  <c r="A6876" i="3"/>
  <c r="B6875" i="3"/>
  <c r="A6875" i="3"/>
  <c r="B6874" i="3"/>
  <c r="A6874" i="3"/>
  <c r="B6873" i="3"/>
  <c r="A6873" i="3"/>
  <c r="B6872" i="3"/>
  <c r="A6872" i="3"/>
  <c r="B6871" i="3"/>
  <c r="A6871" i="3"/>
  <c r="B6870" i="3"/>
  <c r="A6870" i="3"/>
  <c r="B6869" i="3"/>
  <c r="A6869" i="3"/>
  <c r="B6868" i="3"/>
  <c r="A6868" i="3"/>
  <c r="B6867" i="3"/>
  <c r="A6867" i="3"/>
  <c r="B6866" i="3"/>
  <c r="A6866" i="3"/>
  <c r="B6865" i="3"/>
  <c r="A6865" i="3"/>
  <c r="B6864" i="3"/>
  <c r="A6864" i="3"/>
  <c r="B6863" i="3"/>
  <c r="A6863" i="3"/>
  <c r="B6862" i="3"/>
  <c r="A6862" i="3"/>
  <c r="B6861" i="3"/>
  <c r="A6861" i="3"/>
  <c r="B6860" i="3"/>
  <c r="A6860" i="3"/>
  <c r="B6859" i="3"/>
  <c r="A6859" i="3"/>
  <c r="B6858" i="3"/>
  <c r="A6858" i="3"/>
  <c r="B6857" i="3"/>
  <c r="A6857" i="3"/>
  <c r="B6856" i="3"/>
  <c r="A6856" i="3"/>
  <c r="B6855" i="3"/>
  <c r="A6855" i="3"/>
  <c r="B6854" i="3"/>
  <c r="A6854" i="3"/>
  <c r="B6853" i="3"/>
  <c r="A6853" i="3"/>
  <c r="B6852" i="3"/>
  <c r="A6852" i="3"/>
  <c r="B6851" i="3"/>
  <c r="A6851" i="3"/>
  <c r="B6850" i="3"/>
  <c r="B6849" i="3"/>
  <c r="A6849" i="3"/>
  <c r="B6848" i="3"/>
  <c r="A6848" i="3"/>
  <c r="B6847" i="3"/>
  <c r="A6847" i="3"/>
  <c r="B6846" i="3"/>
  <c r="A6846" i="3"/>
  <c r="B6845" i="3"/>
  <c r="A6845" i="3"/>
  <c r="B6844" i="3"/>
  <c r="A6844" i="3"/>
  <c r="B6843" i="3"/>
  <c r="A6843" i="3"/>
  <c r="B6842" i="3"/>
  <c r="A6842" i="3"/>
  <c r="B6841" i="3"/>
  <c r="A6841" i="3"/>
  <c r="B6840" i="3"/>
  <c r="A6840" i="3"/>
  <c r="B6839" i="3"/>
  <c r="A6839" i="3"/>
  <c r="B6838" i="3"/>
  <c r="A6838" i="3"/>
  <c r="B6837" i="3"/>
  <c r="A6837" i="3"/>
  <c r="B6836" i="3"/>
  <c r="A6836" i="3"/>
  <c r="B6835" i="3"/>
  <c r="A6835" i="3"/>
  <c r="B6834" i="3"/>
  <c r="A6834" i="3"/>
  <c r="B6833" i="3"/>
  <c r="A6833" i="3"/>
  <c r="B6832" i="3"/>
  <c r="A6832" i="3"/>
  <c r="B6831" i="3"/>
  <c r="A6831" i="3"/>
  <c r="B6830" i="3"/>
  <c r="A6830" i="3"/>
  <c r="B6829" i="3"/>
  <c r="A6829" i="3"/>
  <c r="B6828" i="3"/>
  <c r="A6828" i="3"/>
  <c r="B6827" i="3"/>
  <c r="A6827" i="3"/>
  <c r="B6826" i="3"/>
  <c r="A6826" i="3"/>
  <c r="B6825" i="3"/>
  <c r="A6825" i="3"/>
  <c r="B6824" i="3"/>
  <c r="A6824" i="3"/>
  <c r="B6823" i="3"/>
  <c r="A6823" i="3"/>
  <c r="B6822" i="3"/>
  <c r="A6822" i="3"/>
  <c r="B6821" i="3"/>
  <c r="B6820" i="3"/>
  <c r="A6820" i="3"/>
  <c r="B6819" i="3"/>
  <c r="A6819" i="3"/>
  <c r="B6818" i="3"/>
  <c r="A6818" i="3"/>
  <c r="B6817" i="3"/>
  <c r="A6817" i="3"/>
  <c r="B6816" i="3"/>
  <c r="A6816" i="3"/>
  <c r="B6815" i="3"/>
  <c r="A6815" i="3"/>
  <c r="B6814" i="3"/>
  <c r="A6814" i="3"/>
  <c r="B6813" i="3"/>
  <c r="A6813" i="3"/>
  <c r="B6812" i="3"/>
  <c r="A6812" i="3"/>
  <c r="B6811" i="3"/>
  <c r="A6811" i="3"/>
  <c r="B6810" i="3"/>
  <c r="A6810" i="3"/>
  <c r="B6809" i="3"/>
  <c r="A6809" i="3"/>
  <c r="B6808" i="3"/>
  <c r="A6808" i="3"/>
  <c r="B6807" i="3"/>
  <c r="A6807" i="3"/>
  <c r="B6806" i="3"/>
  <c r="A6806" i="3"/>
  <c r="B6805" i="3"/>
  <c r="A6805" i="3"/>
  <c r="B6804" i="3"/>
  <c r="A6804" i="3"/>
  <c r="B6803" i="3"/>
  <c r="A6803" i="3"/>
  <c r="B6802" i="3"/>
  <c r="A6802" i="3"/>
  <c r="B6801" i="3"/>
  <c r="A6801" i="3"/>
  <c r="B6800" i="3"/>
  <c r="A6800" i="3"/>
  <c r="B6799" i="3"/>
  <c r="A6799" i="3"/>
  <c r="B6798" i="3"/>
  <c r="A6798" i="3"/>
  <c r="B6797" i="3"/>
  <c r="A6797" i="3"/>
  <c r="B6796" i="3"/>
  <c r="A6796" i="3"/>
  <c r="B6795" i="3"/>
  <c r="A6795" i="3"/>
  <c r="B6794" i="3"/>
  <c r="A6794" i="3"/>
  <c r="B6793" i="3"/>
  <c r="A6793" i="3"/>
  <c r="B6792" i="3"/>
  <c r="A6792" i="3"/>
  <c r="B6791" i="3"/>
  <c r="A6791" i="3"/>
  <c r="B6790" i="3"/>
  <c r="A6790" i="3"/>
  <c r="B6789" i="3"/>
  <c r="A6789" i="3"/>
  <c r="B6788" i="3"/>
  <c r="A6788" i="3"/>
  <c r="B6787" i="3"/>
  <c r="A6787" i="3"/>
  <c r="B6786" i="3"/>
  <c r="A6786" i="3"/>
  <c r="B6785" i="3"/>
  <c r="A6785" i="3"/>
  <c r="B6784" i="3"/>
  <c r="A6784" i="3"/>
  <c r="B6783" i="3"/>
  <c r="A6783" i="3"/>
  <c r="B6782" i="3"/>
  <c r="A6782" i="3"/>
  <c r="B6781" i="3"/>
  <c r="A6781" i="3"/>
  <c r="B6780" i="3"/>
  <c r="A6780" i="3"/>
  <c r="B6779" i="3"/>
  <c r="A6779" i="3"/>
  <c r="B6778" i="3"/>
  <c r="A6778" i="3"/>
  <c r="B6777" i="3"/>
  <c r="A6777" i="3"/>
  <c r="B6776" i="3"/>
  <c r="A6776" i="3"/>
  <c r="B6775" i="3"/>
  <c r="A6775" i="3"/>
  <c r="B6774" i="3"/>
  <c r="A6774" i="3"/>
  <c r="B6773" i="3"/>
  <c r="A6773" i="3"/>
  <c r="B6772" i="3"/>
  <c r="A6772" i="3"/>
  <c r="B6771" i="3"/>
  <c r="A6771" i="3"/>
  <c r="B6770" i="3"/>
  <c r="A6770" i="3"/>
  <c r="B6769" i="3"/>
  <c r="A6769" i="3"/>
  <c r="B6768" i="3"/>
  <c r="A6768" i="3"/>
  <c r="B6767" i="3"/>
  <c r="A6767" i="3"/>
  <c r="B6766" i="3"/>
  <c r="A6766" i="3"/>
  <c r="B6765" i="3"/>
  <c r="A6765" i="3"/>
  <c r="B6764" i="3"/>
  <c r="A6764" i="3"/>
  <c r="B6763" i="3"/>
  <c r="A6763" i="3"/>
  <c r="B6762" i="3"/>
  <c r="A6762" i="3"/>
  <c r="B6761" i="3"/>
  <c r="A6761" i="3"/>
  <c r="B6760" i="3"/>
  <c r="A6760" i="3"/>
  <c r="B6759" i="3"/>
  <c r="A6759" i="3"/>
  <c r="B6758" i="3"/>
  <c r="A6758" i="3"/>
  <c r="B6757" i="3"/>
  <c r="A6757" i="3"/>
  <c r="B6756" i="3"/>
  <c r="A6756" i="3"/>
  <c r="B6755" i="3"/>
  <c r="A6755" i="3"/>
  <c r="B6754" i="3"/>
  <c r="A6754" i="3"/>
  <c r="B6753" i="3"/>
  <c r="A6753" i="3"/>
  <c r="B6752" i="3"/>
  <c r="A6752" i="3"/>
  <c r="B6751" i="3"/>
  <c r="A6751" i="3"/>
  <c r="B6750" i="3"/>
  <c r="A6750" i="3"/>
  <c r="B6749" i="3"/>
  <c r="A6749" i="3"/>
  <c r="B6748" i="3"/>
  <c r="A6748" i="3"/>
  <c r="B6747" i="3"/>
  <c r="A6747" i="3"/>
  <c r="B6746" i="3"/>
  <c r="A6746" i="3"/>
  <c r="B6745" i="3"/>
  <c r="A6745" i="3"/>
  <c r="B6744" i="3"/>
  <c r="A6744" i="3"/>
  <c r="B6743" i="3"/>
  <c r="A6743" i="3"/>
  <c r="B6742" i="3"/>
  <c r="A6742" i="3"/>
  <c r="B6741" i="3"/>
  <c r="A6741" i="3"/>
  <c r="B6740" i="3"/>
  <c r="A6740" i="3"/>
  <c r="B6739" i="3"/>
  <c r="A6739" i="3"/>
  <c r="B6738" i="3"/>
  <c r="A6738" i="3"/>
  <c r="B6737" i="3"/>
  <c r="A6737" i="3"/>
  <c r="B6736" i="3"/>
  <c r="A6736" i="3"/>
  <c r="B6735" i="3"/>
  <c r="A6735" i="3"/>
  <c r="B6734" i="3"/>
  <c r="A6734" i="3"/>
  <c r="B6733" i="3"/>
  <c r="A6733" i="3"/>
  <c r="B6732" i="3"/>
  <c r="A6732" i="3"/>
  <c r="B6731" i="3"/>
  <c r="A6731" i="3"/>
  <c r="B6730" i="3"/>
  <c r="A6730" i="3"/>
  <c r="B6729" i="3"/>
  <c r="A6729" i="3"/>
  <c r="B6728" i="3"/>
  <c r="A6728" i="3"/>
  <c r="B6727" i="3"/>
  <c r="A6727" i="3"/>
  <c r="B6726" i="3"/>
  <c r="A6726" i="3"/>
  <c r="B6725" i="3"/>
  <c r="A6725" i="3"/>
  <c r="B6724" i="3"/>
  <c r="A6724" i="3"/>
  <c r="B6723" i="3"/>
  <c r="A6723" i="3"/>
  <c r="B6722" i="3"/>
  <c r="A6722" i="3"/>
  <c r="B6721" i="3"/>
  <c r="A6721" i="3"/>
  <c r="B6720" i="3"/>
  <c r="A6720" i="3"/>
  <c r="B6719" i="3"/>
  <c r="A6719" i="3"/>
  <c r="B6718" i="3"/>
  <c r="A6718" i="3"/>
  <c r="B6717" i="3"/>
  <c r="A6717" i="3"/>
  <c r="B6716" i="3"/>
  <c r="A6716" i="3"/>
  <c r="B6715" i="3"/>
  <c r="A6715" i="3"/>
  <c r="B6714" i="3"/>
  <c r="A6714" i="3"/>
  <c r="B6713" i="3"/>
  <c r="A6713" i="3"/>
  <c r="B6712" i="3"/>
  <c r="A6712" i="3"/>
  <c r="B6711" i="3"/>
  <c r="A6711" i="3"/>
  <c r="B6710" i="3"/>
  <c r="A6710" i="3"/>
  <c r="B6709" i="3"/>
  <c r="A6709" i="3"/>
  <c r="B6708" i="3"/>
  <c r="A6708" i="3"/>
  <c r="B6707" i="3"/>
  <c r="A6707" i="3"/>
  <c r="B6706" i="3"/>
  <c r="A6706" i="3"/>
  <c r="B6705" i="3"/>
  <c r="A6705" i="3"/>
  <c r="B6704" i="3"/>
  <c r="A6704" i="3"/>
  <c r="B6703" i="3"/>
  <c r="A6703" i="3"/>
  <c r="B6702" i="3"/>
  <c r="A6702" i="3"/>
  <c r="B6701" i="3"/>
  <c r="A6701" i="3"/>
  <c r="B6700" i="3"/>
  <c r="A6700" i="3"/>
  <c r="B6699" i="3"/>
  <c r="A6699" i="3"/>
  <c r="B6698" i="3"/>
  <c r="A6698" i="3"/>
  <c r="B6697" i="3"/>
  <c r="A6697" i="3"/>
  <c r="B6696" i="3"/>
  <c r="A6696" i="3"/>
  <c r="B6695" i="3"/>
  <c r="A6695" i="3"/>
  <c r="B6694" i="3"/>
  <c r="A6694" i="3"/>
  <c r="B6693" i="3"/>
  <c r="A6693" i="3"/>
  <c r="B6692" i="3"/>
  <c r="A6692" i="3"/>
  <c r="B6691" i="3"/>
  <c r="A6691" i="3"/>
  <c r="B6690" i="3"/>
  <c r="A6690" i="3"/>
  <c r="B6689" i="3"/>
  <c r="A6689" i="3"/>
  <c r="B6688" i="3"/>
  <c r="A6688" i="3"/>
  <c r="B6687" i="3"/>
  <c r="A6687" i="3"/>
  <c r="B6686" i="3"/>
  <c r="A6686" i="3"/>
  <c r="B6685" i="3"/>
  <c r="A6685" i="3"/>
  <c r="B6684" i="3"/>
  <c r="A6684" i="3"/>
  <c r="B6683" i="3"/>
  <c r="A6683" i="3"/>
  <c r="B6682" i="3"/>
  <c r="A6682" i="3"/>
  <c r="B6681" i="3"/>
  <c r="A6681" i="3"/>
  <c r="B6680" i="3"/>
  <c r="A6680" i="3"/>
  <c r="B6679" i="3"/>
  <c r="A6679" i="3"/>
  <c r="B6678" i="3"/>
  <c r="A6678" i="3"/>
  <c r="B6677" i="3"/>
  <c r="A6677" i="3"/>
  <c r="B6676" i="3"/>
  <c r="A6676" i="3"/>
  <c r="B6675" i="3"/>
  <c r="A6675" i="3"/>
  <c r="B6674" i="3"/>
  <c r="A6674" i="3"/>
  <c r="B6673" i="3"/>
  <c r="A6673" i="3"/>
  <c r="B6672" i="3"/>
  <c r="A6672" i="3"/>
  <c r="B6671" i="3"/>
  <c r="A6671" i="3"/>
  <c r="B6670" i="3"/>
  <c r="A6670" i="3"/>
  <c r="B6669" i="3"/>
  <c r="A6669" i="3"/>
  <c r="B6668" i="3"/>
  <c r="A6668" i="3"/>
  <c r="B6667" i="3"/>
  <c r="A6667" i="3"/>
  <c r="B6666" i="3"/>
  <c r="A6666" i="3"/>
  <c r="B6665" i="3"/>
  <c r="A6665" i="3"/>
  <c r="B6664" i="3"/>
  <c r="A6664" i="3"/>
  <c r="B6663" i="3"/>
  <c r="A6663" i="3"/>
  <c r="B6662" i="3"/>
  <c r="A6662" i="3"/>
  <c r="B6661" i="3"/>
  <c r="A6661" i="3"/>
  <c r="B6660" i="3"/>
  <c r="A6660" i="3"/>
  <c r="B6659" i="3"/>
  <c r="A6659" i="3"/>
  <c r="B6658" i="3"/>
  <c r="A6658" i="3"/>
  <c r="B6657" i="3"/>
  <c r="A6657" i="3"/>
  <c r="B6656" i="3"/>
  <c r="A6656" i="3"/>
  <c r="B6655" i="3"/>
  <c r="A6655" i="3"/>
  <c r="B6654" i="3"/>
  <c r="A6654" i="3"/>
  <c r="B6653" i="3"/>
  <c r="A6653" i="3"/>
  <c r="B6652" i="3"/>
  <c r="A6652" i="3"/>
  <c r="B6651" i="3"/>
  <c r="A6651" i="3"/>
  <c r="B6650" i="3"/>
  <c r="A6650" i="3"/>
  <c r="B6649" i="3"/>
  <c r="A6649" i="3"/>
  <c r="B6648" i="3"/>
  <c r="A6648" i="3"/>
  <c r="B6647" i="3"/>
  <c r="A6647" i="3"/>
  <c r="B6646" i="3"/>
  <c r="A6646" i="3"/>
  <c r="B6645" i="3"/>
  <c r="A6645" i="3"/>
  <c r="B6644" i="3"/>
  <c r="A6644" i="3"/>
  <c r="B6643" i="3"/>
  <c r="A6643" i="3"/>
  <c r="B6642" i="3"/>
  <c r="A6642" i="3"/>
  <c r="B6641" i="3"/>
  <c r="A6641" i="3"/>
  <c r="B6640" i="3"/>
  <c r="A6640" i="3"/>
  <c r="B6639" i="3"/>
  <c r="A6639" i="3"/>
  <c r="B6638" i="3"/>
  <c r="A6638" i="3"/>
  <c r="B6637" i="3"/>
  <c r="A6637" i="3"/>
  <c r="B6636" i="3"/>
  <c r="A6636" i="3"/>
  <c r="B6635" i="3"/>
  <c r="A6635" i="3"/>
  <c r="B6634" i="3"/>
  <c r="A6634" i="3"/>
  <c r="B6633" i="3"/>
  <c r="A6633" i="3"/>
  <c r="B6632" i="3"/>
  <c r="A6632" i="3"/>
  <c r="B6631" i="3"/>
  <c r="A6631" i="3"/>
  <c r="B6630" i="3"/>
  <c r="A6630" i="3"/>
  <c r="B6629" i="3"/>
  <c r="A6629" i="3"/>
  <c r="B6628" i="3"/>
  <c r="A6628" i="3"/>
  <c r="B6627" i="3"/>
  <c r="A6627" i="3"/>
  <c r="B6626" i="3"/>
  <c r="A6626" i="3"/>
  <c r="B6625" i="3"/>
  <c r="A6625" i="3"/>
  <c r="B6624" i="3"/>
  <c r="A6624" i="3"/>
  <c r="B6623" i="3"/>
  <c r="A6623" i="3"/>
  <c r="B6622" i="3"/>
  <c r="A6622" i="3"/>
  <c r="B6621" i="3"/>
  <c r="A6621" i="3"/>
  <c r="B6620" i="3"/>
  <c r="A6620" i="3"/>
  <c r="B6619" i="3"/>
  <c r="A6619" i="3"/>
  <c r="B6618" i="3"/>
  <c r="A6618" i="3"/>
  <c r="B6617" i="3"/>
  <c r="A6617" i="3"/>
  <c r="B6616" i="3"/>
  <c r="A6616" i="3"/>
  <c r="B6615" i="3"/>
  <c r="A6615" i="3"/>
  <c r="B6614" i="3"/>
  <c r="A6614" i="3"/>
  <c r="B6613" i="3"/>
  <c r="A6613" i="3"/>
  <c r="B6612" i="3"/>
  <c r="A6612" i="3"/>
  <c r="B6611" i="3"/>
  <c r="A6611" i="3"/>
  <c r="B6610" i="3"/>
  <c r="A6610" i="3"/>
  <c r="B6609" i="3"/>
  <c r="A6609" i="3"/>
  <c r="B6608" i="3"/>
  <c r="A6608" i="3"/>
  <c r="B6607" i="3"/>
  <c r="A6607" i="3"/>
  <c r="B6606" i="3"/>
  <c r="A6606" i="3"/>
  <c r="B6605" i="3"/>
  <c r="A6605" i="3"/>
  <c r="B6604" i="3"/>
  <c r="A6604" i="3"/>
  <c r="B6603" i="3"/>
  <c r="A6603" i="3"/>
  <c r="B6602" i="3"/>
  <c r="A6602" i="3"/>
  <c r="B6601" i="3"/>
  <c r="A6601" i="3"/>
  <c r="B6600" i="3"/>
  <c r="A6600" i="3"/>
  <c r="B6599" i="3"/>
  <c r="A6599" i="3"/>
  <c r="B6598" i="3"/>
  <c r="A6598" i="3"/>
  <c r="B6597" i="3"/>
  <c r="A6597" i="3"/>
  <c r="B6596" i="3"/>
  <c r="A6596" i="3"/>
  <c r="B6595" i="3"/>
  <c r="A6595" i="3"/>
  <c r="B6594" i="3"/>
  <c r="A6594" i="3"/>
  <c r="B6593" i="3"/>
  <c r="A6593" i="3"/>
  <c r="B6592" i="3"/>
  <c r="A6592" i="3"/>
  <c r="B6591" i="3"/>
  <c r="A6591" i="3"/>
  <c r="B6590" i="3"/>
  <c r="A6590" i="3"/>
  <c r="B6589" i="3"/>
  <c r="A6589" i="3"/>
  <c r="B6588" i="3"/>
  <c r="A6588" i="3"/>
  <c r="B6587" i="3"/>
  <c r="A6587" i="3"/>
  <c r="B6586" i="3"/>
  <c r="A6586" i="3"/>
  <c r="B6585" i="3"/>
  <c r="A6585" i="3"/>
  <c r="B6584" i="3"/>
  <c r="A6584" i="3"/>
  <c r="B6583" i="3"/>
  <c r="A6583" i="3"/>
  <c r="B6582" i="3"/>
  <c r="A6582" i="3"/>
  <c r="B6581" i="3"/>
  <c r="A6581" i="3"/>
  <c r="B6580" i="3"/>
  <c r="A6580" i="3"/>
  <c r="B6579" i="3"/>
  <c r="A6579" i="3"/>
  <c r="B6578" i="3"/>
  <c r="A6578" i="3"/>
  <c r="B6577" i="3"/>
  <c r="A6577" i="3"/>
  <c r="B6576" i="3"/>
  <c r="A6576" i="3"/>
  <c r="B6575" i="3"/>
  <c r="A6575" i="3"/>
  <c r="B6574" i="3"/>
  <c r="A6574" i="3"/>
  <c r="B6573" i="3"/>
  <c r="A6573" i="3"/>
  <c r="B6572" i="3"/>
  <c r="A6572" i="3"/>
  <c r="B6571" i="3"/>
  <c r="A6571" i="3"/>
  <c r="B6570" i="3"/>
  <c r="A6570" i="3"/>
  <c r="B6569" i="3"/>
  <c r="A6569" i="3"/>
  <c r="B6568" i="3"/>
  <c r="A6568" i="3"/>
  <c r="B6567" i="3"/>
  <c r="A6567" i="3"/>
  <c r="B6566" i="3"/>
  <c r="A6566" i="3"/>
  <c r="B6565" i="3"/>
  <c r="A6565" i="3"/>
  <c r="B6564" i="3"/>
  <c r="A6564" i="3"/>
  <c r="B6563" i="3"/>
  <c r="A6563" i="3"/>
  <c r="B6562" i="3"/>
  <c r="A6562" i="3"/>
  <c r="B6561" i="3"/>
  <c r="A6561" i="3"/>
  <c r="B6560" i="3"/>
  <c r="A6560" i="3"/>
  <c r="B6559" i="3"/>
  <c r="A6559" i="3"/>
  <c r="B6558" i="3"/>
  <c r="A6558" i="3"/>
  <c r="B6557" i="3"/>
  <c r="A6557" i="3"/>
  <c r="B6556" i="3"/>
  <c r="A6556" i="3"/>
  <c r="B6555" i="3"/>
  <c r="A6555" i="3"/>
  <c r="B6554" i="3"/>
  <c r="A6554" i="3"/>
  <c r="B6553" i="3"/>
  <c r="A6553" i="3"/>
  <c r="B6552" i="3"/>
  <c r="A6552" i="3"/>
  <c r="B6551" i="3"/>
  <c r="A6551" i="3"/>
  <c r="B6550" i="3"/>
  <c r="A6550" i="3"/>
  <c r="B6549" i="3"/>
  <c r="A6549" i="3"/>
  <c r="B6548" i="3"/>
  <c r="A6548" i="3"/>
  <c r="B6547" i="3"/>
  <c r="A6547" i="3"/>
  <c r="B6546" i="3"/>
  <c r="A6546" i="3"/>
  <c r="B6545" i="3"/>
  <c r="A6545" i="3"/>
  <c r="B6544" i="3"/>
  <c r="A6544" i="3"/>
  <c r="B6543" i="3"/>
  <c r="A6543" i="3"/>
  <c r="B6542" i="3"/>
  <c r="A6542" i="3"/>
  <c r="B6541" i="3"/>
  <c r="A6541" i="3"/>
  <c r="B6540" i="3"/>
  <c r="A6540" i="3"/>
  <c r="B6539" i="3"/>
  <c r="A6539" i="3"/>
  <c r="B6538" i="3"/>
  <c r="A6538" i="3"/>
  <c r="B6537" i="3"/>
  <c r="A6537" i="3"/>
  <c r="B6536" i="3"/>
  <c r="A6536" i="3"/>
  <c r="B6535" i="3"/>
  <c r="A6535" i="3"/>
  <c r="B6534" i="3"/>
  <c r="A6534" i="3"/>
  <c r="B6533" i="3"/>
  <c r="A6533" i="3"/>
  <c r="B6532" i="3"/>
  <c r="A6532" i="3"/>
  <c r="B6531" i="3"/>
  <c r="A6531" i="3"/>
  <c r="B6530" i="3"/>
  <c r="A6530" i="3"/>
  <c r="B6529" i="3"/>
  <c r="A6529" i="3"/>
  <c r="B6528" i="3"/>
  <c r="A6528" i="3"/>
  <c r="B6527" i="3"/>
  <c r="A6527" i="3"/>
  <c r="B6526" i="3"/>
  <c r="A6526" i="3"/>
  <c r="B6525" i="3"/>
  <c r="A6525" i="3"/>
  <c r="B6524" i="3"/>
  <c r="B6523" i="3"/>
  <c r="A6523" i="3"/>
  <c r="B6522" i="3"/>
  <c r="A6522" i="3"/>
  <c r="B6521" i="3"/>
  <c r="A6521" i="3"/>
  <c r="B6520" i="3"/>
  <c r="A6520" i="3"/>
  <c r="B6519" i="3"/>
  <c r="A6519" i="3"/>
  <c r="B6518" i="3"/>
  <c r="A6518" i="3"/>
  <c r="B6517" i="3"/>
  <c r="A6517" i="3"/>
  <c r="B6516" i="3"/>
  <c r="A6516" i="3"/>
  <c r="B6515" i="3"/>
  <c r="A6515" i="3"/>
  <c r="B6514" i="3"/>
  <c r="A6514" i="3"/>
  <c r="B6513" i="3"/>
  <c r="A6513" i="3"/>
  <c r="B6512" i="3"/>
  <c r="A6512" i="3"/>
  <c r="B6511" i="3"/>
  <c r="A6511" i="3"/>
  <c r="B6510" i="3"/>
  <c r="A6510" i="3"/>
  <c r="B6509" i="3"/>
  <c r="A6509" i="3"/>
  <c r="B6508" i="3"/>
  <c r="A6508" i="3"/>
  <c r="B6507" i="3"/>
  <c r="A6507" i="3"/>
  <c r="B6506" i="3"/>
  <c r="A6506" i="3"/>
  <c r="B6505" i="3"/>
  <c r="A6505" i="3"/>
  <c r="B6504" i="3"/>
  <c r="A6504" i="3"/>
  <c r="B6503" i="3"/>
  <c r="A6503" i="3"/>
  <c r="B6502" i="3"/>
  <c r="A6502" i="3"/>
  <c r="B6501" i="3"/>
  <c r="A6501" i="3"/>
  <c r="B6500" i="3"/>
  <c r="A6500" i="3"/>
  <c r="B6499" i="3"/>
  <c r="A6499" i="3"/>
  <c r="B6498" i="3"/>
  <c r="B6497" i="3"/>
  <c r="A6497" i="3"/>
  <c r="B6496" i="3"/>
  <c r="A6496" i="3"/>
  <c r="B6495" i="3"/>
  <c r="A6495" i="3"/>
  <c r="B6494" i="3"/>
  <c r="A6494" i="3"/>
  <c r="B6493" i="3"/>
  <c r="A6493" i="3"/>
  <c r="B6492" i="3"/>
  <c r="A6492" i="3"/>
  <c r="B6491" i="3"/>
  <c r="A6491" i="3"/>
  <c r="B6490" i="3"/>
  <c r="A6490" i="3"/>
  <c r="B6489" i="3"/>
  <c r="A6489" i="3"/>
  <c r="B6488" i="3"/>
  <c r="A6488" i="3"/>
  <c r="B6487" i="3"/>
  <c r="A6487" i="3"/>
  <c r="B6486" i="3"/>
  <c r="A6486" i="3"/>
  <c r="B6485" i="3"/>
  <c r="A6485" i="3"/>
  <c r="B6484" i="3"/>
  <c r="A6484" i="3"/>
  <c r="B6483" i="3"/>
  <c r="A6483" i="3"/>
  <c r="B6482" i="3"/>
  <c r="A6482" i="3"/>
  <c r="B6481" i="3"/>
  <c r="A6481" i="3"/>
  <c r="B6480" i="3"/>
  <c r="A6480" i="3"/>
  <c r="B6479" i="3"/>
  <c r="A6479" i="3"/>
  <c r="B6478" i="3"/>
  <c r="A6478" i="3"/>
  <c r="B6477" i="3"/>
  <c r="A6477" i="3"/>
  <c r="B6476" i="3"/>
  <c r="A6476" i="3"/>
  <c r="B6475" i="3"/>
  <c r="A6475" i="3"/>
  <c r="B6474" i="3"/>
  <c r="A6474" i="3"/>
  <c r="B6473" i="3"/>
  <c r="A6473" i="3"/>
  <c r="B6472" i="3"/>
  <c r="A6472" i="3"/>
  <c r="B6471" i="3"/>
  <c r="A6471" i="3"/>
  <c r="B6470" i="3"/>
  <c r="A6470" i="3"/>
  <c r="B6469" i="3"/>
  <c r="A6469" i="3"/>
  <c r="B6468" i="3"/>
  <c r="A6468" i="3"/>
  <c r="B6467" i="3"/>
  <c r="A6467" i="3"/>
  <c r="B6466" i="3"/>
  <c r="A6466" i="3"/>
  <c r="B6465" i="3"/>
  <c r="A6465" i="3"/>
  <c r="B6464" i="3"/>
  <c r="A6464" i="3"/>
  <c r="B6463" i="3"/>
  <c r="A6463" i="3"/>
  <c r="B6462" i="3"/>
  <c r="A6462" i="3"/>
  <c r="B6461" i="3"/>
  <c r="A6461" i="3"/>
  <c r="B6460" i="3"/>
  <c r="A6460" i="3"/>
  <c r="B6459" i="3"/>
  <c r="A6459" i="3"/>
  <c r="B6458" i="3"/>
  <c r="A6458" i="3"/>
  <c r="B6457" i="3"/>
  <c r="A6457" i="3"/>
  <c r="B6456" i="3"/>
  <c r="A6456" i="3"/>
  <c r="B6455" i="3"/>
  <c r="A6455" i="3"/>
  <c r="B6454" i="3"/>
  <c r="A6454" i="3"/>
  <c r="B6453" i="3"/>
  <c r="A6453" i="3"/>
  <c r="B6452" i="3"/>
  <c r="A6452" i="3"/>
  <c r="B6451" i="3"/>
  <c r="A6451" i="3"/>
  <c r="B6450" i="3"/>
  <c r="A6450" i="3"/>
  <c r="B6449" i="3"/>
  <c r="A6449" i="3"/>
  <c r="B6448" i="3"/>
  <c r="A6448" i="3"/>
  <c r="B6447" i="3"/>
  <c r="A6447" i="3"/>
  <c r="B6446" i="3"/>
  <c r="A6446" i="3"/>
  <c r="B6445" i="3"/>
  <c r="A6445" i="3"/>
  <c r="B6444" i="3"/>
  <c r="A6444" i="3"/>
  <c r="B6443" i="3"/>
  <c r="A6443" i="3"/>
  <c r="B6442" i="3"/>
  <c r="A6442" i="3"/>
  <c r="B6441" i="3"/>
  <c r="A6441" i="3"/>
  <c r="B6440" i="3"/>
  <c r="A6440" i="3"/>
  <c r="B6439" i="3"/>
  <c r="A6439" i="3"/>
  <c r="B6438" i="3"/>
  <c r="A6438" i="3"/>
  <c r="B6437" i="3"/>
  <c r="A6437" i="3"/>
  <c r="B6436" i="3"/>
  <c r="A6436" i="3"/>
  <c r="B6435" i="3"/>
  <c r="A6435" i="3"/>
  <c r="B6434" i="3"/>
  <c r="A6434" i="3"/>
  <c r="B6433" i="3"/>
  <c r="A6433" i="3"/>
  <c r="B6432" i="3"/>
  <c r="A6432" i="3"/>
  <c r="B6431" i="3"/>
  <c r="A6431" i="3"/>
  <c r="B6430" i="3"/>
  <c r="A6430" i="3"/>
  <c r="B6429" i="3"/>
  <c r="A6429" i="3"/>
  <c r="B6428" i="3"/>
  <c r="A6428" i="3"/>
  <c r="B6427" i="3"/>
  <c r="A6427" i="3"/>
  <c r="B6426" i="3"/>
  <c r="A6426" i="3"/>
  <c r="B6425" i="3"/>
  <c r="A6425" i="3"/>
  <c r="B6424" i="3"/>
  <c r="A6424" i="3"/>
  <c r="B6423" i="3"/>
  <c r="A6423" i="3"/>
  <c r="B6422" i="3"/>
  <c r="A6422" i="3"/>
  <c r="B6421" i="3"/>
  <c r="A6421" i="3"/>
  <c r="B6420" i="3"/>
  <c r="A6420" i="3"/>
  <c r="B6419" i="3"/>
  <c r="A6419" i="3"/>
  <c r="B6418" i="3"/>
  <c r="A6418" i="3"/>
  <c r="B6417" i="3"/>
  <c r="A6417" i="3"/>
  <c r="B6416" i="3"/>
  <c r="A6416" i="3"/>
  <c r="B6415" i="3"/>
  <c r="A6415" i="3"/>
  <c r="B6414" i="3"/>
  <c r="A6414" i="3"/>
  <c r="B6413" i="3"/>
  <c r="A6413" i="3"/>
  <c r="B6412" i="3"/>
  <c r="A6412" i="3"/>
  <c r="B6411" i="3"/>
  <c r="A6411" i="3"/>
  <c r="B6410" i="3"/>
  <c r="A6410" i="3"/>
  <c r="B6409" i="3"/>
  <c r="A6409" i="3"/>
  <c r="B6408" i="3"/>
  <c r="A6408" i="3"/>
  <c r="B6407" i="3"/>
  <c r="A6407" i="3"/>
  <c r="B6406" i="3"/>
  <c r="A6406" i="3"/>
  <c r="B6405" i="3"/>
  <c r="A6405" i="3"/>
  <c r="B6404" i="3"/>
  <c r="A6404" i="3"/>
  <c r="B6403" i="3"/>
  <c r="A6403" i="3"/>
  <c r="B6402" i="3"/>
  <c r="A6402" i="3"/>
  <c r="B6401" i="3"/>
  <c r="A6401" i="3"/>
  <c r="B6400" i="3"/>
  <c r="A6400" i="3"/>
  <c r="B6399" i="3"/>
  <c r="A6399" i="3"/>
  <c r="B6398" i="3"/>
  <c r="A6398" i="3"/>
  <c r="B6397" i="3"/>
  <c r="A6397" i="3"/>
  <c r="B6396" i="3"/>
  <c r="A6396" i="3"/>
  <c r="B6395" i="3"/>
  <c r="A6395" i="3"/>
  <c r="B6394" i="3"/>
  <c r="A6394" i="3"/>
  <c r="B6393" i="3"/>
  <c r="A6393" i="3"/>
  <c r="B6392" i="3"/>
  <c r="A6392" i="3"/>
  <c r="B6391" i="3"/>
  <c r="A6391" i="3"/>
  <c r="B6390" i="3"/>
  <c r="A6390" i="3"/>
  <c r="B6389" i="3"/>
  <c r="A6389" i="3"/>
  <c r="B6388" i="3"/>
  <c r="A6388" i="3"/>
  <c r="B6387" i="3"/>
  <c r="A6387" i="3"/>
  <c r="B6386" i="3"/>
  <c r="A6386" i="3"/>
  <c r="B6385" i="3"/>
  <c r="A6385" i="3"/>
  <c r="B6384" i="3"/>
  <c r="A6384" i="3"/>
  <c r="B6383" i="3"/>
  <c r="A6383" i="3"/>
  <c r="B6382" i="3"/>
  <c r="A6382" i="3"/>
  <c r="B6381" i="3"/>
  <c r="A6381" i="3"/>
  <c r="B6380" i="3"/>
  <c r="A6380" i="3"/>
  <c r="B6379" i="3"/>
  <c r="A6379" i="3"/>
  <c r="B6378" i="3"/>
  <c r="A6378" i="3"/>
  <c r="B6377" i="3"/>
  <c r="A6377" i="3"/>
  <c r="B6376" i="3"/>
  <c r="A6376" i="3"/>
  <c r="B6375" i="3"/>
  <c r="A6375" i="3"/>
  <c r="B6374" i="3"/>
  <c r="A6374" i="3"/>
  <c r="B6373" i="3"/>
  <c r="A6373" i="3"/>
  <c r="B6372" i="3"/>
  <c r="A6372" i="3"/>
  <c r="B6371" i="3"/>
  <c r="A6371" i="3"/>
  <c r="B6370" i="3"/>
  <c r="A6370" i="3"/>
  <c r="B6369" i="3"/>
  <c r="A6369" i="3"/>
  <c r="B6368" i="3"/>
  <c r="A6368" i="3"/>
  <c r="B6367" i="3"/>
  <c r="A6367" i="3"/>
  <c r="B6366" i="3"/>
  <c r="A6366" i="3"/>
  <c r="B6365" i="3"/>
  <c r="A6365" i="3"/>
  <c r="B6364" i="3"/>
  <c r="A6364" i="3"/>
  <c r="B6363" i="3"/>
  <c r="A6363" i="3"/>
  <c r="B6362" i="3"/>
  <c r="A6362" i="3"/>
  <c r="B6361" i="3"/>
  <c r="A6361" i="3"/>
  <c r="B6360" i="3"/>
  <c r="A6360" i="3"/>
  <c r="B6359" i="3"/>
  <c r="A6359" i="3"/>
  <c r="B6358" i="3"/>
  <c r="A6358" i="3"/>
  <c r="B6357" i="3"/>
  <c r="A6357" i="3"/>
  <c r="B6356" i="3"/>
  <c r="A6356" i="3"/>
  <c r="B6355" i="3"/>
  <c r="A6355" i="3"/>
  <c r="B6354" i="3"/>
  <c r="A6354" i="3"/>
  <c r="B6353" i="3"/>
  <c r="A6353" i="3"/>
  <c r="B6352" i="3"/>
  <c r="A6352" i="3"/>
  <c r="B6351" i="3"/>
  <c r="A6351" i="3"/>
  <c r="B6350" i="3"/>
  <c r="A6350" i="3"/>
  <c r="B6349" i="3"/>
  <c r="A6349" i="3"/>
  <c r="B6348" i="3"/>
  <c r="A6348" i="3"/>
  <c r="B6347" i="3"/>
  <c r="A6347" i="3"/>
  <c r="B6346" i="3"/>
  <c r="A6346" i="3"/>
  <c r="B6345" i="3"/>
  <c r="A6345" i="3"/>
  <c r="B6344" i="3"/>
  <c r="A6344" i="3"/>
  <c r="B6343" i="3"/>
  <c r="A6343" i="3"/>
  <c r="B6342" i="3"/>
  <c r="A6342" i="3"/>
  <c r="B6341" i="3"/>
  <c r="A6341" i="3"/>
  <c r="B6340" i="3"/>
  <c r="A6340" i="3"/>
  <c r="B6339" i="3"/>
  <c r="A6339" i="3"/>
  <c r="B6338" i="3"/>
  <c r="A6338" i="3"/>
  <c r="B6337" i="3"/>
  <c r="A6337" i="3"/>
  <c r="B6336" i="3"/>
  <c r="A6336" i="3"/>
  <c r="B6335" i="3"/>
  <c r="A6335" i="3"/>
  <c r="B6334" i="3"/>
  <c r="A6334" i="3"/>
  <c r="B6333" i="3"/>
  <c r="A6333" i="3"/>
  <c r="B6332" i="3"/>
  <c r="A6332" i="3"/>
  <c r="B6331" i="3"/>
  <c r="A6331" i="3"/>
  <c r="B6330" i="3"/>
  <c r="A6330" i="3"/>
  <c r="B6329" i="3"/>
  <c r="A6329" i="3"/>
  <c r="B6328" i="3"/>
  <c r="A6328" i="3"/>
  <c r="B6327" i="3"/>
  <c r="A6327" i="3"/>
  <c r="B6326" i="3"/>
  <c r="A6326" i="3"/>
  <c r="B6325" i="3"/>
  <c r="A6325" i="3"/>
  <c r="B6324" i="3"/>
  <c r="A6324" i="3"/>
  <c r="B6323" i="3"/>
  <c r="A6323" i="3"/>
  <c r="B6322" i="3"/>
  <c r="A6322" i="3"/>
  <c r="B6321" i="3"/>
  <c r="A6321" i="3"/>
  <c r="B6320" i="3"/>
  <c r="A6320" i="3"/>
  <c r="B6319" i="3"/>
  <c r="A6319" i="3"/>
  <c r="B6318" i="3"/>
  <c r="A6318" i="3"/>
  <c r="B6317" i="3"/>
  <c r="A6317" i="3"/>
  <c r="B6316" i="3"/>
  <c r="A6316" i="3"/>
  <c r="B6315" i="3"/>
  <c r="A6315" i="3"/>
  <c r="B6314" i="3"/>
  <c r="A6314" i="3"/>
  <c r="B6313" i="3"/>
  <c r="A6313" i="3"/>
  <c r="B6312" i="3"/>
  <c r="A6312" i="3"/>
  <c r="B6311" i="3"/>
  <c r="A6311" i="3"/>
  <c r="B6310" i="3"/>
  <c r="A6310" i="3"/>
  <c r="B6309" i="3"/>
  <c r="A6309" i="3"/>
  <c r="B6308" i="3"/>
  <c r="A6308" i="3"/>
  <c r="B6307" i="3"/>
  <c r="A6307" i="3"/>
  <c r="B6306" i="3"/>
  <c r="A6306" i="3"/>
  <c r="B6305" i="3"/>
  <c r="A6305" i="3"/>
  <c r="B6304" i="3"/>
  <c r="A6304" i="3"/>
  <c r="B6303" i="3"/>
  <c r="A6303" i="3"/>
  <c r="B6302" i="3"/>
  <c r="A6302" i="3"/>
  <c r="B6301" i="3"/>
  <c r="A6301" i="3"/>
  <c r="B6300" i="3"/>
  <c r="A6300" i="3"/>
  <c r="B6299" i="3"/>
  <c r="A6299" i="3"/>
  <c r="B6298" i="3"/>
  <c r="A6298" i="3"/>
  <c r="B6297" i="3"/>
  <c r="A6297" i="3"/>
  <c r="B6296" i="3"/>
  <c r="A6296" i="3"/>
  <c r="B6295" i="3"/>
  <c r="A6295" i="3"/>
  <c r="B6294" i="3"/>
  <c r="A6294" i="3"/>
  <c r="B6293" i="3"/>
  <c r="A6293" i="3"/>
  <c r="B6292" i="3"/>
  <c r="A6292" i="3"/>
  <c r="B6291" i="3"/>
  <c r="A6291" i="3"/>
  <c r="B6290" i="3"/>
  <c r="A6290" i="3"/>
  <c r="B6289" i="3"/>
  <c r="A6289" i="3"/>
  <c r="B6288" i="3"/>
  <c r="A6288" i="3"/>
  <c r="B6287" i="3"/>
  <c r="A6287" i="3"/>
  <c r="B6286" i="3"/>
  <c r="A6286" i="3"/>
  <c r="B6285" i="3"/>
  <c r="A6285" i="3"/>
  <c r="B6284" i="3"/>
  <c r="A6284" i="3"/>
  <c r="B6283" i="3"/>
  <c r="A6283" i="3"/>
  <c r="B6282" i="3"/>
  <c r="A6282" i="3"/>
  <c r="B6281" i="3"/>
  <c r="A6281" i="3"/>
  <c r="B6280" i="3"/>
  <c r="A6280" i="3"/>
  <c r="B6279" i="3"/>
  <c r="A6279" i="3"/>
  <c r="B6278" i="3"/>
  <c r="A6278" i="3"/>
  <c r="B6277" i="3"/>
  <c r="A6277" i="3"/>
  <c r="B6276" i="3"/>
  <c r="A6276" i="3"/>
  <c r="B6275" i="3"/>
  <c r="A6275" i="3"/>
  <c r="B6274" i="3"/>
  <c r="A6274" i="3"/>
  <c r="B6273" i="3"/>
  <c r="A6273" i="3"/>
  <c r="B6272" i="3"/>
  <c r="A6272" i="3"/>
  <c r="B6271" i="3"/>
  <c r="A6271" i="3"/>
  <c r="B6270" i="3"/>
  <c r="A6270" i="3"/>
  <c r="B6269" i="3"/>
  <c r="A6269" i="3"/>
  <c r="B6268" i="3"/>
  <c r="A6268" i="3"/>
  <c r="B6267" i="3"/>
  <c r="A6267" i="3"/>
  <c r="B6266" i="3"/>
  <c r="A6266" i="3"/>
  <c r="B6265" i="3"/>
  <c r="A6265" i="3"/>
  <c r="B6264" i="3"/>
  <c r="A6264" i="3"/>
  <c r="B6263" i="3"/>
  <c r="A6263" i="3"/>
  <c r="B6262" i="3"/>
  <c r="A6262" i="3"/>
  <c r="B6261" i="3"/>
  <c r="A6261" i="3"/>
  <c r="B6260" i="3"/>
  <c r="A6260" i="3"/>
  <c r="B6259" i="3"/>
  <c r="A6259" i="3"/>
  <c r="B6258" i="3"/>
  <c r="A6258" i="3"/>
  <c r="B6257" i="3"/>
  <c r="A6257" i="3"/>
  <c r="B6256" i="3"/>
  <c r="A6256" i="3"/>
  <c r="B6255" i="3"/>
  <c r="A6255" i="3"/>
  <c r="B6254" i="3"/>
  <c r="A6254" i="3"/>
  <c r="B6253" i="3"/>
  <c r="A6253" i="3"/>
  <c r="B6252" i="3"/>
  <c r="A6252" i="3"/>
  <c r="B6251" i="3"/>
  <c r="A6251" i="3"/>
  <c r="B6250" i="3"/>
  <c r="A6250" i="3"/>
  <c r="B6249" i="3"/>
  <c r="A6249" i="3"/>
  <c r="B6248" i="3"/>
  <c r="A6248" i="3"/>
  <c r="B6247" i="3"/>
  <c r="A6247" i="3"/>
  <c r="B6246" i="3"/>
  <c r="A6246" i="3"/>
  <c r="B6245" i="3"/>
  <c r="A6245" i="3"/>
  <c r="B6244" i="3"/>
  <c r="A6244" i="3"/>
  <c r="B6243" i="3"/>
  <c r="A6243" i="3"/>
  <c r="B6242" i="3"/>
  <c r="A6242" i="3"/>
  <c r="B6241" i="3"/>
  <c r="A6241" i="3"/>
  <c r="B6240" i="3"/>
  <c r="A6240" i="3"/>
  <c r="B6239" i="3"/>
  <c r="A6239" i="3"/>
  <c r="B6238" i="3"/>
  <c r="A6238" i="3"/>
  <c r="B6237" i="3"/>
  <c r="A6237" i="3"/>
  <c r="B6236" i="3"/>
  <c r="A6236" i="3"/>
  <c r="B6235" i="3"/>
  <c r="A6235" i="3"/>
  <c r="B6234" i="3"/>
  <c r="A6234" i="3"/>
  <c r="B6233" i="3"/>
  <c r="A6233" i="3"/>
  <c r="B6232" i="3"/>
  <c r="A6232" i="3"/>
  <c r="B6231" i="3"/>
  <c r="A6231" i="3"/>
  <c r="B6230" i="3"/>
  <c r="A6230" i="3"/>
  <c r="B6229" i="3"/>
  <c r="A6229" i="3"/>
  <c r="B6228" i="3"/>
  <c r="A6228" i="3"/>
  <c r="B6227" i="3"/>
  <c r="A6227" i="3"/>
  <c r="B6226" i="3"/>
  <c r="A6226" i="3"/>
  <c r="B6225" i="3"/>
  <c r="A6225" i="3"/>
  <c r="B6224" i="3"/>
  <c r="A6224" i="3"/>
  <c r="B6223" i="3"/>
  <c r="A6223" i="3"/>
  <c r="B6222" i="3"/>
  <c r="A6222" i="3"/>
  <c r="B6221" i="3"/>
  <c r="A6221" i="3"/>
  <c r="B6220" i="3"/>
  <c r="A6220" i="3"/>
  <c r="B6219" i="3"/>
  <c r="A6219" i="3"/>
  <c r="B6218" i="3"/>
  <c r="B6217" i="3"/>
  <c r="A6217" i="3"/>
  <c r="B6216" i="3"/>
  <c r="A6216" i="3"/>
  <c r="B6215" i="3"/>
  <c r="A6215" i="3"/>
  <c r="B6214" i="3"/>
  <c r="A6214" i="3"/>
  <c r="B6213" i="3"/>
  <c r="A6213" i="3"/>
  <c r="B6212" i="3"/>
  <c r="A6212" i="3"/>
  <c r="B6211" i="3"/>
  <c r="A6211" i="3"/>
  <c r="B6210" i="3"/>
  <c r="A6210" i="3"/>
  <c r="B6209" i="3"/>
  <c r="A6209" i="3"/>
  <c r="B6208" i="3"/>
  <c r="A6208" i="3"/>
  <c r="B6207" i="3"/>
  <c r="A6207" i="3"/>
  <c r="B6206" i="3"/>
  <c r="A6206" i="3"/>
  <c r="B6205" i="3"/>
  <c r="A6205" i="3"/>
  <c r="B6204" i="3"/>
  <c r="A6204" i="3"/>
  <c r="B6203" i="3"/>
  <c r="A6203" i="3"/>
  <c r="B6202" i="3"/>
  <c r="A6202" i="3"/>
  <c r="B6201" i="3"/>
  <c r="A6201" i="3"/>
  <c r="B6200" i="3"/>
  <c r="A6200" i="3"/>
  <c r="B6199" i="3"/>
  <c r="A6199" i="3"/>
  <c r="B6198" i="3"/>
  <c r="A6198" i="3"/>
  <c r="B6197" i="3"/>
  <c r="A6197" i="3"/>
  <c r="B6196" i="3"/>
  <c r="A6196" i="3"/>
  <c r="B6195" i="3"/>
  <c r="A6195" i="3"/>
  <c r="B6194" i="3"/>
  <c r="A6194" i="3"/>
  <c r="B6193" i="3"/>
  <c r="A6193" i="3"/>
  <c r="B6192" i="3"/>
  <c r="A6192" i="3"/>
  <c r="B6191" i="3"/>
  <c r="A6191" i="3"/>
  <c r="B6190" i="3"/>
  <c r="A6190" i="3"/>
  <c r="B6189" i="3"/>
  <c r="A6189" i="3"/>
  <c r="B6188" i="3"/>
  <c r="A6188" i="3"/>
  <c r="B6187" i="3"/>
  <c r="A6187" i="3"/>
  <c r="B6186" i="3"/>
  <c r="A6186" i="3"/>
  <c r="B6185" i="3"/>
  <c r="A6185" i="3"/>
  <c r="B6184" i="3"/>
  <c r="A6184" i="3"/>
  <c r="B6183" i="3"/>
  <c r="A6183" i="3"/>
  <c r="B6182" i="3"/>
  <c r="A6182" i="3"/>
  <c r="B6181" i="3"/>
  <c r="A6181" i="3"/>
  <c r="B6180" i="3"/>
  <c r="A6180" i="3"/>
  <c r="B6179" i="3"/>
  <c r="A6179" i="3"/>
  <c r="B6178" i="3"/>
  <c r="A6178" i="3"/>
  <c r="B6177" i="3"/>
  <c r="A6177" i="3"/>
  <c r="B6176" i="3"/>
  <c r="A6176" i="3"/>
  <c r="B6175" i="3"/>
  <c r="A6175" i="3"/>
  <c r="B6174" i="3"/>
  <c r="A6174" i="3"/>
  <c r="B6173" i="3"/>
  <c r="A6173" i="3"/>
  <c r="B6172" i="3"/>
  <c r="A6172" i="3"/>
  <c r="B6171" i="3"/>
  <c r="A6171" i="3"/>
  <c r="B6170" i="3"/>
  <c r="A6170" i="3"/>
  <c r="B6169" i="3"/>
  <c r="A6169" i="3"/>
  <c r="B6168" i="3"/>
  <c r="A6168" i="3"/>
  <c r="B6167" i="3"/>
  <c r="A6167" i="3"/>
  <c r="B6166" i="3"/>
  <c r="A6166" i="3"/>
  <c r="B6165" i="3"/>
  <c r="A6165" i="3"/>
  <c r="B6164" i="3"/>
  <c r="A6164" i="3"/>
  <c r="B6163" i="3"/>
  <c r="A6163" i="3"/>
  <c r="B6162" i="3"/>
  <c r="A6162" i="3"/>
  <c r="B6161" i="3"/>
  <c r="A6161" i="3"/>
  <c r="B6160" i="3"/>
  <c r="A6160" i="3"/>
  <c r="B6159" i="3"/>
  <c r="A6159" i="3"/>
  <c r="B6158" i="3"/>
  <c r="A6158" i="3"/>
  <c r="B6157" i="3"/>
  <c r="A6157" i="3"/>
  <c r="B6156" i="3"/>
  <c r="A6156" i="3"/>
  <c r="B6155" i="3"/>
  <c r="A6155" i="3"/>
  <c r="B6154" i="3"/>
  <c r="A6154" i="3"/>
  <c r="B6153" i="3"/>
  <c r="A6153" i="3"/>
  <c r="B6152" i="3"/>
  <c r="A6152" i="3"/>
  <c r="B6151" i="3"/>
  <c r="A6151" i="3"/>
  <c r="B6150" i="3"/>
  <c r="A6150" i="3"/>
  <c r="B6149" i="3"/>
  <c r="B6148" i="3"/>
  <c r="A6148" i="3"/>
  <c r="B6147" i="3"/>
  <c r="A6147" i="3"/>
  <c r="B6146" i="3"/>
  <c r="A6146" i="3"/>
  <c r="B6145" i="3"/>
  <c r="A6145" i="3"/>
  <c r="B6144" i="3"/>
  <c r="A6144" i="3"/>
  <c r="B6143" i="3"/>
  <c r="A6143" i="3"/>
  <c r="B6142" i="3"/>
  <c r="A6142" i="3"/>
  <c r="B6141" i="3"/>
  <c r="A6141" i="3"/>
  <c r="B6140" i="3"/>
  <c r="A6140" i="3"/>
  <c r="B6139" i="3"/>
  <c r="A6139" i="3"/>
  <c r="B6138" i="3"/>
  <c r="A6138" i="3"/>
  <c r="B6137" i="3"/>
  <c r="A6137" i="3"/>
  <c r="B6136" i="3"/>
  <c r="A6136" i="3"/>
  <c r="B6135" i="3"/>
  <c r="A6135" i="3"/>
  <c r="B6134" i="3"/>
  <c r="A6134" i="3"/>
  <c r="B6133" i="3"/>
  <c r="A6133" i="3"/>
  <c r="B6132" i="3"/>
  <c r="A6132" i="3"/>
  <c r="B6131" i="3"/>
  <c r="A6131" i="3"/>
  <c r="B6130" i="3"/>
  <c r="A6130" i="3"/>
  <c r="B6129" i="3"/>
  <c r="A6129" i="3"/>
  <c r="B6128" i="3"/>
  <c r="A6128" i="3"/>
  <c r="B6127" i="3"/>
  <c r="A6127" i="3"/>
  <c r="B6126" i="3"/>
  <c r="A6126" i="3"/>
  <c r="B6125" i="3"/>
  <c r="A6125" i="3"/>
  <c r="B6124" i="3"/>
  <c r="A6124" i="3"/>
  <c r="B6123" i="3"/>
  <c r="A6123" i="3"/>
  <c r="B6122" i="3"/>
  <c r="A6122" i="3"/>
  <c r="B6121" i="3"/>
  <c r="A6121" i="3"/>
  <c r="B6120" i="3"/>
  <c r="A6120" i="3"/>
  <c r="B6119" i="3"/>
  <c r="A6119" i="3"/>
  <c r="B6118" i="3"/>
  <c r="A6118" i="3"/>
  <c r="B6117" i="3"/>
  <c r="A6117" i="3"/>
  <c r="B6116" i="3"/>
  <c r="A6116" i="3"/>
  <c r="B6115" i="3"/>
  <c r="A6115" i="3"/>
  <c r="B6114" i="3"/>
  <c r="A6114" i="3"/>
  <c r="B6113" i="3"/>
  <c r="A6113" i="3"/>
  <c r="B6112" i="3"/>
  <c r="A6112" i="3"/>
  <c r="B6111" i="3"/>
  <c r="A6111" i="3"/>
  <c r="B6110" i="3"/>
  <c r="A6110" i="3"/>
  <c r="B6109" i="3"/>
  <c r="A6109" i="3"/>
  <c r="B6108" i="3"/>
  <c r="A6108" i="3"/>
  <c r="B6107" i="3"/>
  <c r="A6107" i="3"/>
  <c r="B6106" i="3"/>
  <c r="A6106" i="3"/>
  <c r="B6105" i="3"/>
  <c r="A6105" i="3"/>
  <c r="B6104" i="3"/>
  <c r="A6104" i="3"/>
  <c r="B6103" i="3"/>
  <c r="A6103" i="3"/>
  <c r="B6102" i="3"/>
  <c r="A6102" i="3"/>
  <c r="B6101" i="3"/>
  <c r="A6101" i="3"/>
  <c r="B6100" i="3"/>
  <c r="A6100" i="3"/>
  <c r="B6099" i="3"/>
  <c r="A6099" i="3"/>
  <c r="B6098" i="3"/>
  <c r="A6098" i="3"/>
  <c r="B6097" i="3"/>
  <c r="A6097" i="3"/>
  <c r="B6096" i="3"/>
  <c r="A6096" i="3"/>
  <c r="B6095" i="3"/>
  <c r="A6095" i="3"/>
  <c r="B6094" i="3"/>
  <c r="A6094" i="3"/>
  <c r="B6093" i="3"/>
  <c r="A6093" i="3"/>
  <c r="B6092" i="3"/>
  <c r="A6092" i="3"/>
  <c r="B6091" i="3"/>
  <c r="A6091" i="3"/>
  <c r="B6090" i="3"/>
  <c r="A6090" i="3"/>
  <c r="B6089" i="3"/>
  <c r="A6089" i="3"/>
  <c r="B6088" i="3"/>
  <c r="A6088" i="3"/>
  <c r="B6087" i="3"/>
  <c r="A6087" i="3"/>
  <c r="B6086" i="3"/>
  <c r="A6086" i="3"/>
  <c r="B6085" i="3"/>
  <c r="A6085" i="3"/>
  <c r="B6084" i="3"/>
  <c r="A6084" i="3"/>
  <c r="B6083" i="3"/>
  <c r="A6083" i="3"/>
  <c r="B6082" i="3"/>
  <c r="A6082" i="3"/>
  <c r="B6081" i="3"/>
  <c r="A6081" i="3"/>
  <c r="B6080" i="3"/>
  <c r="A6080" i="3"/>
  <c r="B6079" i="3"/>
  <c r="A6079" i="3"/>
  <c r="B6078" i="3"/>
  <c r="A6078" i="3"/>
  <c r="B6077" i="3"/>
  <c r="A6077" i="3"/>
  <c r="B6076" i="3"/>
  <c r="A6076" i="3"/>
  <c r="B6075" i="3"/>
  <c r="A6075" i="3"/>
  <c r="B6074" i="3"/>
  <c r="A6074" i="3"/>
  <c r="B6073" i="3"/>
  <c r="A6073" i="3"/>
  <c r="B6072" i="3"/>
  <c r="A6072" i="3"/>
  <c r="B6071" i="3"/>
  <c r="A6071" i="3"/>
  <c r="B6070" i="3"/>
  <c r="A6070" i="3"/>
  <c r="B6069" i="3"/>
  <c r="A6069" i="3"/>
  <c r="B6068" i="3"/>
  <c r="A6068" i="3"/>
  <c r="B6067" i="3"/>
  <c r="A6067" i="3"/>
  <c r="B6066" i="3"/>
  <c r="A6066" i="3"/>
  <c r="B6065" i="3"/>
  <c r="A6065" i="3"/>
  <c r="B6064" i="3"/>
  <c r="A6064" i="3"/>
  <c r="B6063" i="3"/>
  <c r="A6063" i="3"/>
  <c r="B6062" i="3"/>
  <c r="A6062" i="3"/>
  <c r="B6061" i="3"/>
  <c r="A6061" i="3"/>
  <c r="B6060" i="3"/>
  <c r="A6060" i="3"/>
  <c r="B6059" i="3"/>
  <c r="A6059" i="3"/>
  <c r="B6058" i="3"/>
  <c r="A6058" i="3"/>
  <c r="B6057" i="3"/>
  <c r="A6057" i="3"/>
  <c r="B6056" i="3"/>
  <c r="A6056" i="3"/>
  <c r="B6055" i="3"/>
  <c r="A6055" i="3"/>
  <c r="B6054" i="3"/>
  <c r="A6054" i="3"/>
  <c r="B6053" i="3"/>
  <c r="A6053" i="3"/>
  <c r="B6052" i="3"/>
  <c r="A6052" i="3"/>
  <c r="B6051" i="3"/>
  <c r="A6051" i="3"/>
  <c r="B6050" i="3"/>
  <c r="A6050" i="3"/>
  <c r="B6049" i="3"/>
  <c r="A6049" i="3"/>
  <c r="B6048" i="3"/>
  <c r="A6048" i="3"/>
  <c r="B6047" i="3"/>
  <c r="A6047" i="3"/>
  <c r="B6046" i="3"/>
  <c r="A6046" i="3"/>
  <c r="B6045" i="3"/>
  <c r="A6045" i="3"/>
  <c r="B6044" i="3"/>
  <c r="A6044" i="3"/>
  <c r="B6043" i="3"/>
  <c r="A6043" i="3"/>
  <c r="B6042" i="3"/>
  <c r="A6042" i="3"/>
  <c r="B6041" i="3"/>
  <c r="A6041" i="3"/>
  <c r="B6040" i="3"/>
  <c r="A6040" i="3"/>
  <c r="B6039" i="3"/>
  <c r="A6039" i="3"/>
  <c r="B6038" i="3"/>
  <c r="A6038" i="3"/>
  <c r="B6037" i="3"/>
  <c r="A6037" i="3"/>
  <c r="B6036" i="3"/>
  <c r="A6036" i="3"/>
  <c r="B6035" i="3"/>
  <c r="A6035" i="3"/>
  <c r="B6034" i="3"/>
  <c r="A6034" i="3"/>
  <c r="B6033" i="3"/>
  <c r="A6033" i="3"/>
  <c r="B6032" i="3"/>
  <c r="A6032" i="3"/>
  <c r="B6031" i="3"/>
  <c r="A6031" i="3"/>
  <c r="B6030" i="3"/>
  <c r="A6030" i="3"/>
  <c r="B6029" i="3"/>
  <c r="A6029" i="3"/>
  <c r="B6028" i="3"/>
  <c r="A6028" i="3"/>
  <c r="B6027" i="3"/>
  <c r="A6027" i="3"/>
  <c r="B6026" i="3"/>
  <c r="A6026" i="3"/>
  <c r="B6025" i="3"/>
  <c r="A6025" i="3"/>
  <c r="B6024" i="3"/>
  <c r="A6024" i="3"/>
  <c r="B6023" i="3"/>
  <c r="A6023" i="3"/>
  <c r="B6022" i="3"/>
  <c r="A6022" i="3"/>
  <c r="B6021" i="3"/>
  <c r="A6021" i="3"/>
  <c r="B6020" i="3"/>
  <c r="A6020" i="3"/>
  <c r="B6019" i="3"/>
  <c r="A6019" i="3"/>
  <c r="B6018" i="3"/>
  <c r="A6018" i="3"/>
  <c r="B6017" i="3"/>
  <c r="A6017" i="3"/>
  <c r="B6016" i="3"/>
  <c r="A6016" i="3"/>
  <c r="B6015" i="3"/>
  <c r="A6015" i="3"/>
  <c r="B6014" i="3"/>
  <c r="A6014" i="3"/>
  <c r="B6013" i="3"/>
  <c r="A6013" i="3"/>
  <c r="B6012" i="3"/>
  <c r="A6012" i="3"/>
  <c r="B6011" i="3"/>
  <c r="A6011" i="3"/>
  <c r="B6010" i="3"/>
  <c r="A6010" i="3"/>
  <c r="B6009" i="3"/>
  <c r="A6009" i="3"/>
  <c r="B6008" i="3"/>
  <c r="A6008" i="3"/>
  <c r="B6007" i="3"/>
  <c r="A6007" i="3"/>
  <c r="B6006" i="3"/>
  <c r="A6006" i="3"/>
  <c r="B6005" i="3"/>
  <c r="A6005" i="3"/>
  <c r="B6004" i="3"/>
  <c r="A6004" i="3"/>
  <c r="B6003" i="3"/>
  <c r="A6003" i="3"/>
  <c r="B6002" i="3"/>
  <c r="A6002" i="3"/>
  <c r="B6001" i="3"/>
  <c r="A6001" i="3"/>
  <c r="B6000" i="3"/>
  <c r="A6000" i="3"/>
  <c r="B5999" i="3"/>
  <c r="B5998" i="3"/>
  <c r="A5998" i="3"/>
  <c r="B5997" i="3"/>
  <c r="A5997" i="3"/>
  <c r="B5996" i="3"/>
  <c r="A5996" i="3"/>
  <c r="B5995" i="3"/>
  <c r="A5995" i="3"/>
  <c r="B5994" i="3"/>
  <c r="A5994" i="3"/>
  <c r="B5993" i="3"/>
  <c r="A5993" i="3"/>
  <c r="B5992" i="3"/>
  <c r="A5992" i="3"/>
  <c r="B5991" i="3"/>
  <c r="A5991" i="3"/>
  <c r="B5990" i="3"/>
  <c r="A5990" i="3"/>
  <c r="B5989" i="3"/>
  <c r="A5989" i="3"/>
  <c r="B5988" i="3"/>
  <c r="A5988" i="3"/>
  <c r="B5987" i="3"/>
  <c r="A5987" i="3"/>
  <c r="B5986" i="3"/>
  <c r="A5986" i="3"/>
  <c r="B5985" i="3"/>
  <c r="A5985" i="3"/>
  <c r="B5984" i="3"/>
  <c r="A5984" i="3"/>
  <c r="B5983" i="3"/>
  <c r="A5983" i="3"/>
  <c r="B5982" i="3"/>
  <c r="A5982" i="3"/>
  <c r="B5981" i="3"/>
  <c r="A5981" i="3"/>
  <c r="B5980" i="3"/>
  <c r="A5980" i="3"/>
  <c r="B5979" i="3"/>
  <c r="A5979" i="3"/>
  <c r="B5978" i="3"/>
  <c r="A5978" i="3"/>
  <c r="B5977" i="3"/>
  <c r="A5977" i="3"/>
  <c r="B5976" i="3"/>
  <c r="A5976" i="3"/>
  <c r="B5975" i="3"/>
  <c r="A5975" i="3"/>
  <c r="B5974" i="3"/>
  <c r="A5974" i="3"/>
  <c r="B5973" i="3"/>
  <c r="A5973" i="3"/>
  <c r="B5972" i="3"/>
  <c r="A5972" i="3"/>
  <c r="B5971" i="3"/>
  <c r="A5971" i="3"/>
  <c r="B5970" i="3"/>
  <c r="A5970" i="3"/>
  <c r="B5969" i="3"/>
  <c r="A5969" i="3"/>
  <c r="B5968" i="3"/>
  <c r="A5968" i="3"/>
  <c r="B5967" i="3"/>
  <c r="A5967" i="3"/>
  <c r="B5966" i="3"/>
  <c r="A5966" i="3"/>
  <c r="B5965" i="3"/>
  <c r="A5965" i="3"/>
  <c r="B5964" i="3"/>
  <c r="A5964" i="3"/>
  <c r="B5963" i="3"/>
  <c r="A5963" i="3"/>
  <c r="B5962" i="3"/>
  <c r="A5962" i="3"/>
  <c r="B5961" i="3"/>
  <c r="A5961" i="3"/>
  <c r="B5960" i="3"/>
  <c r="A5960" i="3"/>
  <c r="B5959" i="3"/>
  <c r="A5959" i="3"/>
  <c r="B5958" i="3"/>
  <c r="A5958" i="3"/>
  <c r="B5957" i="3"/>
  <c r="A5957" i="3"/>
  <c r="B5956" i="3"/>
  <c r="A5956" i="3"/>
  <c r="B5955" i="3"/>
  <c r="A5955" i="3"/>
  <c r="B5954" i="3"/>
  <c r="A5954" i="3"/>
  <c r="B5953" i="3"/>
  <c r="A5953" i="3"/>
  <c r="B5952" i="3"/>
  <c r="A5952" i="3"/>
  <c r="B5951" i="3"/>
  <c r="A5951" i="3"/>
  <c r="B5950" i="3"/>
  <c r="A5950" i="3"/>
  <c r="B5949" i="3"/>
  <c r="A5949" i="3"/>
  <c r="B5948" i="3"/>
  <c r="A5948" i="3"/>
  <c r="B5947" i="3"/>
  <c r="A5947" i="3"/>
  <c r="B5946" i="3"/>
  <c r="A5946" i="3"/>
  <c r="B5945" i="3"/>
  <c r="A5945" i="3"/>
  <c r="B5944" i="3"/>
  <c r="A5944" i="3"/>
  <c r="B5943" i="3"/>
  <c r="A5943" i="3"/>
  <c r="B5942" i="3"/>
  <c r="A5942" i="3"/>
  <c r="B5941" i="3"/>
  <c r="A5941" i="3"/>
  <c r="B5940" i="3"/>
  <c r="A5940" i="3"/>
  <c r="B5939" i="3"/>
  <c r="A5939" i="3"/>
  <c r="B5938" i="3"/>
  <c r="A5938" i="3"/>
  <c r="B5937" i="3"/>
  <c r="A5937" i="3"/>
  <c r="B5936" i="3"/>
  <c r="A5936" i="3"/>
  <c r="B5935" i="3"/>
  <c r="A5935" i="3"/>
  <c r="B5934" i="3"/>
  <c r="A5934" i="3"/>
  <c r="B5933" i="3"/>
  <c r="A5933" i="3"/>
  <c r="B5932" i="3"/>
  <c r="A5932" i="3"/>
  <c r="B5931" i="3"/>
  <c r="A5931" i="3"/>
  <c r="B5930" i="3"/>
  <c r="A5930" i="3"/>
  <c r="B5929" i="3"/>
  <c r="A5929" i="3"/>
  <c r="B5928" i="3"/>
  <c r="A5928" i="3"/>
  <c r="B5927" i="3"/>
  <c r="A5927" i="3"/>
  <c r="B5926" i="3"/>
  <c r="A5926" i="3"/>
  <c r="B5925" i="3"/>
  <c r="A5925" i="3"/>
  <c r="B5924" i="3"/>
  <c r="A5924" i="3"/>
  <c r="B5923" i="3"/>
  <c r="A5923" i="3"/>
  <c r="B5922" i="3"/>
  <c r="A5922" i="3"/>
  <c r="B5921" i="3"/>
  <c r="A5921" i="3"/>
  <c r="B5920" i="3"/>
  <c r="A5920" i="3"/>
  <c r="B5919" i="3"/>
  <c r="A5919" i="3"/>
  <c r="B5918" i="3"/>
  <c r="A5918" i="3"/>
  <c r="B5917" i="3"/>
  <c r="A5917" i="3"/>
  <c r="B5916" i="3"/>
  <c r="A5916" i="3"/>
  <c r="B5915" i="3"/>
  <c r="A5915" i="3"/>
  <c r="B5914" i="3"/>
  <c r="A5914" i="3"/>
  <c r="B5913" i="3"/>
  <c r="A5913" i="3"/>
  <c r="B5912" i="3"/>
  <c r="A5912" i="3"/>
  <c r="B5911" i="3"/>
  <c r="A5911" i="3"/>
  <c r="B5910" i="3"/>
  <c r="A5910" i="3"/>
  <c r="B5909" i="3"/>
  <c r="A5909" i="3"/>
  <c r="B5908" i="3"/>
  <c r="A5908" i="3"/>
  <c r="B5907" i="3"/>
  <c r="A5907" i="3"/>
  <c r="B5906" i="3"/>
  <c r="A5906" i="3"/>
  <c r="B5905" i="3"/>
  <c r="A5905" i="3"/>
  <c r="B5904" i="3"/>
  <c r="A5904" i="3"/>
  <c r="B5903" i="3"/>
  <c r="A5903" i="3"/>
  <c r="B5902" i="3"/>
  <c r="A5902" i="3"/>
  <c r="B5901" i="3"/>
  <c r="A5901" i="3"/>
  <c r="B5900" i="3"/>
  <c r="A5900" i="3"/>
  <c r="B5899" i="3"/>
  <c r="A5899" i="3"/>
  <c r="B5898" i="3"/>
  <c r="A5898" i="3"/>
  <c r="B5897" i="3"/>
  <c r="A5897" i="3"/>
  <c r="B5896" i="3"/>
  <c r="A5896" i="3"/>
  <c r="B5895" i="3"/>
  <c r="A5895" i="3"/>
  <c r="B5894" i="3"/>
  <c r="A5894" i="3"/>
  <c r="B5893" i="3"/>
  <c r="A5893" i="3"/>
  <c r="B5892" i="3"/>
  <c r="A5892" i="3"/>
  <c r="B5891" i="3"/>
  <c r="A5891" i="3"/>
  <c r="B5890" i="3"/>
  <c r="A5890" i="3"/>
  <c r="B5889" i="3"/>
  <c r="A5889" i="3"/>
  <c r="B5888" i="3"/>
  <c r="A5888" i="3"/>
  <c r="B5887" i="3"/>
  <c r="A5887" i="3"/>
  <c r="B5886" i="3"/>
  <c r="A5886" i="3"/>
  <c r="B5885" i="3"/>
  <c r="A5885" i="3"/>
  <c r="B5884" i="3"/>
  <c r="A5884" i="3"/>
  <c r="B5883" i="3"/>
  <c r="A5883" i="3"/>
  <c r="B5882" i="3"/>
  <c r="A5882" i="3"/>
  <c r="B5881" i="3"/>
  <c r="A5881" i="3"/>
  <c r="B5880" i="3"/>
  <c r="A5880" i="3"/>
  <c r="B5879" i="3"/>
  <c r="A5879" i="3"/>
  <c r="B5878" i="3"/>
  <c r="A5878" i="3"/>
  <c r="B5877" i="3"/>
  <c r="A5877" i="3"/>
  <c r="B5876" i="3"/>
  <c r="A5876" i="3"/>
  <c r="B5875" i="3"/>
  <c r="A5875" i="3"/>
  <c r="B5874" i="3"/>
  <c r="A5874" i="3"/>
  <c r="B5873" i="3"/>
  <c r="A5873" i="3"/>
  <c r="B5872" i="3"/>
  <c r="A5872" i="3"/>
  <c r="B5871" i="3"/>
  <c r="A5871" i="3"/>
  <c r="B5870" i="3"/>
  <c r="A5870" i="3"/>
  <c r="B5869" i="3"/>
  <c r="A5869" i="3"/>
  <c r="B5868" i="3"/>
  <c r="A5868" i="3"/>
  <c r="B5867" i="3"/>
  <c r="A5867" i="3"/>
  <c r="B5866" i="3"/>
  <c r="A5866" i="3"/>
  <c r="B5865" i="3"/>
  <c r="A5865" i="3"/>
  <c r="B5864" i="3"/>
  <c r="A5864" i="3"/>
  <c r="B5863" i="3"/>
  <c r="A5863" i="3"/>
  <c r="B5862" i="3"/>
  <c r="A5862" i="3"/>
  <c r="B5861" i="3"/>
  <c r="A5861" i="3"/>
  <c r="B5860" i="3"/>
  <c r="A5860" i="3"/>
  <c r="B5859" i="3"/>
  <c r="A5859" i="3"/>
  <c r="B5858" i="3"/>
  <c r="A5858" i="3"/>
  <c r="B5857" i="3"/>
  <c r="A5857" i="3"/>
  <c r="B5856" i="3"/>
  <c r="A5856" i="3"/>
  <c r="B5855" i="3"/>
  <c r="A5855" i="3"/>
  <c r="B5854" i="3"/>
  <c r="A5854" i="3"/>
  <c r="B5853" i="3"/>
  <c r="A5853" i="3"/>
  <c r="B5852" i="3"/>
  <c r="A5852" i="3"/>
  <c r="B5851" i="3"/>
  <c r="A5851" i="3"/>
  <c r="B5850" i="3"/>
  <c r="A5850" i="3"/>
  <c r="B5849" i="3"/>
  <c r="A5849" i="3"/>
  <c r="B5848" i="3"/>
  <c r="A5848" i="3"/>
  <c r="B5847" i="3"/>
  <c r="A5847" i="3"/>
  <c r="B5846" i="3"/>
  <c r="A5846" i="3"/>
  <c r="B5845" i="3"/>
  <c r="A5845" i="3"/>
  <c r="B5844" i="3"/>
  <c r="A5844" i="3"/>
  <c r="B5843" i="3"/>
  <c r="A5843" i="3"/>
  <c r="B5842" i="3"/>
  <c r="A5842" i="3"/>
  <c r="B5841" i="3"/>
  <c r="A5841" i="3"/>
  <c r="B5840" i="3"/>
  <c r="A5840" i="3"/>
  <c r="B5839" i="3"/>
  <c r="A5839" i="3"/>
  <c r="B5838" i="3"/>
  <c r="A5838" i="3"/>
  <c r="B5837" i="3"/>
  <c r="A5837" i="3"/>
  <c r="B5836" i="3"/>
  <c r="A5836" i="3"/>
  <c r="B5835" i="3"/>
  <c r="A5835" i="3"/>
  <c r="B5834" i="3"/>
  <c r="A5834" i="3"/>
  <c r="B5833" i="3"/>
  <c r="A5833" i="3"/>
  <c r="B5832" i="3"/>
  <c r="A5832" i="3"/>
  <c r="B5831" i="3"/>
  <c r="A5831" i="3"/>
  <c r="B5830" i="3"/>
  <c r="A5830" i="3"/>
  <c r="B5829" i="3"/>
  <c r="A5829" i="3"/>
  <c r="B5828" i="3"/>
  <c r="A5828" i="3"/>
  <c r="B5827" i="3"/>
  <c r="A5827" i="3"/>
  <c r="B5826" i="3"/>
  <c r="A5826" i="3"/>
  <c r="B5825" i="3"/>
  <c r="A5825" i="3"/>
  <c r="B5824" i="3"/>
  <c r="A5824" i="3"/>
  <c r="B5823" i="3"/>
  <c r="A5823" i="3"/>
  <c r="B5822" i="3"/>
  <c r="A5822" i="3"/>
  <c r="B5821" i="3"/>
  <c r="A5821" i="3"/>
  <c r="B5820" i="3"/>
  <c r="A5820" i="3"/>
  <c r="B5819" i="3"/>
  <c r="A5819" i="3"/>
  <c r="B5818" i="3"/>
  <c r="A5818" i="3"/>
  <c r="B5817" i="3"/>
  <c r="A5817" i="3"/>
  <c r="B5816" i="3"/>
  <c r="A5816" i="3"/>
  <c r="B5815" i="3"/>
  <c r="A5815" i="3"/>
  <c r="B5814" i="3"/>
  <c r="A5814" i="3"/>
  <c r="B5813" i="3"/>
  <c r="A5813" i="3"/>
  <c r="B5812" i="3"/>
  <c r="A5812" i="3"/>
  <c r="B5811" i="3"/>
  <c r="A5811" i="3"/>
  <c r="B5810" i="3"/>
  <c r="A5810" i="3"/>
  <c r="B5809" i="3"/>
  <c r="A5809" i="3"/>
  <c r="B5808" i="3"/>
  <c r="A5808" i="3"/>
  <c r="B5807" i="3"/>
  <c r="A5807" i="3"/>
  <c r="B5806" i="3"/>
  <c r="A5806" i="3"/>
  <c r="B5805" i="3"/>
  <c r="A5805" i="3"/>
  <c r="B5804" i="3"/>
  <c r="A5804" i="3"/>
  <c r="B5803" i="3"/>
  <c r="A5803" i="3"/>
  <c r="B5802" i="3"/>
  <c r="A5802" i="3"/>
  <c r="B5801" i="3"/>
  <c r="A5801" i="3"/>
  <c r="B5800" i="3"/>
  <c r="A5800" i="3"/>
  <c r="B5799" i="3"/>
  <c r="A5799" i="3"/>
  <c r="B5798" i="3"/>
  <c r="A5798" i="3"/>
  <c r="B5797" i="3"/>
  <c r="A5797" i="3"/>
  <c r="B5796" i="3"/>
  <c r="A5796" i="3"/>
  <c r="B5795" i="3"/>
  <c r="A5795" i="3"/>
  <c r="B5794" i="3"/>
  <c r="A5794" i="3"/>
  <c r="B5793" i="3"/>
  <c r="A5793" i="3"/>
  <c r="B5792" i="3"/>
  <c r="A5792" i="3"/>
  <c r="B5791" i="3"/>
  <c r="A5791" i="3"/>
  <c r="B5790" i="3"/>
  <c r="A5790" i="3"/>
  <c r="B5789" i="3"/>
  <c r="A5789" i="3"/>
  <c r="B5788" i="3"/>
  <c r="A5788" i="3"/>
  <c r="B5787" i="3"/>
  <c r="B5786" i="3"/>
  <c r="A5786" i="3"/>
  <c r="B5785" i="3"/>
  <c r="A5785" i="3"/>
  <c r="B5784" i="3"/>
  <c r="A5784" i="3"/>
  <c r="B5783" i="3"/>
  <c r="A5783" i="3"/>
  <c r="B5782" i="3"/>
  <c r="A5782" i="3"/>
  <c r="B5781" i="3"/>
  <c r="A5781" i="3"/>
  <c r="B5780" i="3"/>
  <c r="A5780" i="3"/>
  <c r="B5779" i="3"/>
  <c r="A5779" i="3"/>
  <c r="B5778" i="3"/>
  <c r="A5778" i="3"/>
  <c r="B5777" i="3"/>
  <c r="A5777" i="3"/>
  <c r="B5776" i="3"/>
  <c r="A5776" i="3"/>
  <c r="B5775" i="3"/>
  <c r="A5775" i="3"/>
  <c r="B5774" i="3"/>
  <c r="A5774" i="3"/>
  <c r="B5773" i="3"/>
  <c r="A5773" i="3"/>
  <c r="B5772" i="3"/>
  <c r="A5772" i="3"/>
  <c r="B5771" i="3"/>
  <c r="B5770" i="3"/>
  <c r="A5770" i="3"/>
  <c r="B5769" i="3"/>
  <c r="A5769" i="3"/>
  <c r="B5768" i="3"/>
  <c r="A5768" i="3"/>
  <c r="B5767" i="3"/>
  <c r="A5767" i="3"/>
  <c r="B5766" i="3"/>
  <c r="A5766" i="3"/>
  <c r="B5765" i="3"/>
  <c r="A5765" i="3"/>
  <c r="B5764" i="3"/>
  <c r="A5764" i="3"/>
  <c r="B5763" i="3"/>
  <c r="A5763" i="3"/>
  <c r="B5762" i="3"/>
  <c r="A5762" i="3"/>
  <c r="B5761" i="3"/>
  <c r="A5761" i="3"/>
  <c r="B5760" i="3"/>
  <c r="A5760" i="3"/>
  <c r="B5759" i="3"/>
  <c r="A5759" i="3"/>
  <c r="B5758" i="3"/>
  <c r="A5758" i="3"/>
  <c r="B5757" i="3"/>
  <c r="A5757" i="3"/>
  <c r="B5756" i="3"/>
  <c r="A5756" i="3"/>
  <c r="B5755" i="3"/>
  <c r="A5755" i="3"/>
  <c r="B5754" i="3"/>
  <c r="A5754" i="3"/>
  <c r="B5753" i="3"/>
  <c r="A5753" i="3"/>
  <c r="B5752" i="3"/>
  <c r="A5752" i="3"/>
  <c r="B5751" i="3"/>
  <c r="A5751" i="3"/>
  <c r="B5750" i="3"/>
  <c r="A5750" i="3"/>
  <c r="B5749" i="3"/>
  <c r="A5749" i="3"/>
  <c r="B5748" i="3"/>
  <c r="A5748" i="3"/>
  <c r="B5747" i="3"/>
  <c r="A5747" i="3"/>
  <c r="B5746" i="3"/>
  <c r="A5746" i="3"/>
  <c r="B5745" i="3"/>
  <c r="A5745" i="3"/>
  <c r="B5744" i="3"/>
  <c r="A5744" i="3"/>
  <c r="B5743" i="3"/>
  <c r="A5743" i="3"/>
  <c r="B5742" i="3"/>
  <c r="A5742" i="3"/>
  <c r="B5741" i="3"/>
  <c r="A5741" i="3"/>
  <c r="B5740" i="3"/>
  <c r="A5740" i="3"/>
  <c r="B5739" i="3"/>
  <c r="A5739" i="3"/>
  <c r="B5738" i="3"/>
  <c r="A5738" i="3"/>
  <c r="B5737" i="3"/>
  <c r="A5737" i="3"/>
  <c r="B5736" i="3"/>
  <c r="A5736" i="3"/>
  <c r="B5735" i="3"/>
  <c r="A5735" i="3"/>
  <c r="B5734" i="3"/>
  <c r="A5734" i="3"/>
  <c r="B5733" i="3"/>
  <c r="A5733" i="3"/>
  <c r="B5732" i="3"/>
  <c r="A5732" i="3"/>
  <c r="B5731" i="3"/>
  <c r="A5731" i="3"/>
  <c r="B5730" i="3"/>
  <c r="A5730" i="3"/>
  <c r="B5729" i="3"/>
  <c r="A5729" i="3"/>
  <c r="B5728" i="3"/>
  <c r="A5728" i="3"/>
  <c r="B5727" i="3"/>
  <c r="A5727" i="3"/>
  <c r="B5726" i="3"/>
  <c r="A5726" i="3"/>
  <c r="B5725" i="3"/>
  <c r="A5725" i="3"/>
  <c r="B5724" i="3"/>
  <c r="A5724" i="3"/>
  <c r="B5723" i="3"/>
  <c r="A5723" i="3"/>
  <c r="B5722" i="3"/>
  <c r="A5722" i="3"/>
  <c r="B5721" i="3"/>
  <c r="A5721" i="3"/>
  <c r="B5720" i="3"/>
  <c r="A5720" i="3"/>
  <c r="B5719" i="3"/>
  <c r="A5719" i="3"/>
  <c r="B5718" i="3"/>
  <c r="A5718" i="3"/>
  <c r="B5717" i="3"/>
  <c r="A5717" i="3"/>
  <c r="B5716" i="3"/>
  <c r="A5716" i="3"/>
  <c r="B5715" i="3"/>
  <c r="A5715" i="3"/>
  <c r="B5714" i="3"/>
  <c r="A5714" i="3"/>
  <c r="B5713" i="3"/>
  <c r="A5713" i="3"/>
  <c r="B5712" i="3"/>
  <c r="A5712" i="3"/>
  <c r="B5711" i="3"/>
  <c r="A5711" i="3"/>
  <c r="B5710" i="3"/>
  <c r="A5710" i="3"/>
  <c r="B5709" i="3"/>
  <c r="A5709" i="3"/>
  <c r="B5708" i="3"/>
  <c r="A5708" i="3"/>
  <c r="B5707" i="3"/>
  <c r="A5707" i="3"/>
  <c r="B5706" i="3"/>
  <c r="A5706" i="3"/>
  <c r="B5705" i="3"/>
  <c r="A5705" i="3"/>
  <c r="B5704" i="3"/>
  <c r="A5704" i="3"/>
  <c r="B5703" i="3"/>
  <c r="A5703" i="3"/>
  <c r="B5702" i="3"/>
  <c r="A5702" i="3"/>
  <c r="B5701" i="3"/>
  <c r="A5701" i="3"/>
  <c r="B5700" i="3"/>
  <c r="A5700" i="3"/>
  <c r="B5699" i="3"/>
  <c r="A5699" i="3"/>
  <c r="B5698" i="3"/>
  <c r="A5698" i="3"/>
  <c r="B5697" i="3"/>
  <c r="A5697" i="3"/>
  <c r="B5696" i="3"/>
  <c r="A5696" i="3"/>
  <c r="B5695" i="3"/>
  <c r="A5695" i="3"/>
  <c r="B5694" i="3"/>
  <c r="A5694" i="3"/>
  <c r="B5693" i="3"/>
  <c r="A5693" i="3"/>
  <c r="B5692" i="3"/>
  <c r="A5692" i="3"/>
  <c r="B5691" i="3"/>
  <c r="A5691" i="3"/>
  <c r="B5690" i="3"/>
  <c r="A5690" i="3"/>
  <c r="B5689" i="3"/>
  <c r="A5689" i="3"/>
  <c r="B5688" i="3"/>
  <c r="A5688" i="3"/>
  <c r="B5687" i="3"/>
  <c r="A5687" i="3"/>
  <c r="B5686" i="3"/>
  <c r="A5686" i="3"/>
  <c r="B5685" i="3"/>
  <c r="A5685" i="3"/>
  <c r="B5684" i="3"/>
  <c r="A5684" i="3"/>
  <c r="B5683" i="3"/>
  <c r="A5683" i="3"/>
  <c r="B5682" i="3"/>
  <c r="A5682" i="3"/>
  <c r="B5681" i="3"/>
  <c r="A5681" i="3"/>
  <c r="B5680" i="3"/>
  <c r="A5680" i="3"/>
  <c r="B5679" i="3"/>
  <c r="A5679" i="3"/>
  <c r="B5678" i="3"/>
  <c r="A5678" i="3"/>
  <c r="B5677" i="3"/>
  <c r="A5677" i="3"/>
  <c r="B5676" i="3"/>
  <c r="A5676" i="3"/>
  <c r="B5675" i="3"/>
  <c r="A5675" i="3"/>
  <c r="B5674" i="3"/>
  <c r="A5674" i="3"/>
  <c r="B5673" i="3"/>
  <c r="A5673" i="3"/>
  <c r="B5672" i="3"/>
  <c r="A5672" i="3"/>
  <c r="B5671" i="3"/>
  <c r="A5671" i="3"/>
  <c r="B5670" i="3"/>
  <c r="A5670" i="3"/>
  <c r="B5669" i="3"/>
  <c r="A5669" i="3"/>
  <c r="B5668" i="3"/>
  <c r="A5668" i="3"/>
  <c r="B5667" i="3"/>
  <c r="A5667" i="3"/>
  <c r="B5666" i="3"/>
  <c r="A5666" i="3"/>
  <c r="B5665" i="3"/>
  <c r="A5665" i="3"/>
  <c r="B5664" i="3"/>
  <c r="A5664" i="3"/>
  <c r="B5663" i="3"/>
  <c r="A5663" i="3"/>
  <c r="B5662" i="3"/>
  <c r="A5662" i="3"/>
  <c r="B5661" i="3"/>
  <c r="A5661" i="3"/>
  <c r="B5660" i="3"/>
  <c r="A5660" i="3"/>
  <c r="B5659" i="3"/>
  <c r="A5659" i="3"/>
  <c r="B5658" i="3"/>
  <c r="A5658" i="3"/>
  <c r="B5657" i="3"/>
  <c r="A5657" i="3"/>
  <c r="B5656" i="3"/>
  <c r="A5656" i="3"/>
  <c r="B5655" i="3"/>
  <c r="A5655" i="3"/>
  <c r="B5654" i="3"/>
  <c r="A5654" i="3"/>
  <c r="B5653" i="3"/>
  <c r="B5652" i="3"/>
  <c r="A5652" i="3"/>
  <c r="B5651" i="3"/>
  <c r="A5651" i="3"/>
  <c r="B5650" i="3"/>
  <c r="A5650" i="3"/>
  <c r="B5649" i="3"/>
  <c r="A5649" i="3"/>
  <c r="B5648" i="3"/>
  <c r="A5648" i="3"/>
  <c r="B5647" i="3"/>
  <c r="A5647" i="3"/>
  <c r="B5646" i="3"/>
  <c r="A5646" i="3"/>
  <c r="B5645" i="3"/>
  <c r="A5645" i="3"/>
  <c r="B5644" i="3"/>
  <c r="A5644" i="3"/>
  <c r="B5643" i="3"/>
  <c r="A5643" i="3"/>
  <c r="B5642" i="3"/>
  <c r="A5642" i="3"/>
  <c r="B5641" i="3"/>
  <c r="A5641" i="3"/>
  <c r="B5640" i="3"/>
  <c r="A5640" i="3"/>
  <c r="B5639" i="3"/>
  <c r="A5639" i="3"/>
  <c r="B5638" i="3"/>
  <c r="A5638" i="3"/>
  <c r="B5637" i="3"/>
  <c r="A5637" i="3"/>
  <c r="B5636" i="3"/>
  <c r="A5636" i="3"/>
  <c r="B5635" i="3"/>
  <c r="A5635" i="3"/>
  <c r="B5634" i="3"/>
  <c r="A5634" i="3"/>
  <c r="B5633" i="3"/>
  <c r="A5633" i="3"/>
  <c r="B5632" i="3"/>
  <c r="A5632" i="3"/>
  <c r="B5631" i="3"/>
  <c r="A5631" i="3"/>
  <c r="B5630" i="3"/>
  <c r="A5630" i="3"/>
  <c r="B5629" i="3"/>
  <c r="A5629" i="3"/>
  <c r="B5628" i="3"/>
  <c r="A5628" i="3"/>
  <c r="B5627" i="3"/>
  <c r="A5627" i="3"/>
  <c r="B5626" i="3"/>
  <c r="A5626" i="3"/>
  <c r="B5625" i="3"/>
  <c r="A5625" i="3"/>
  <c r="B5624" i="3"/>
  <c r="A5624" i="3"/>
  <c r="B5623" i="3"/>
  <c r="A5623" i="3"/>
  <c r="B5622" i="3"/>
  <c r="A5622" i="3"/>
  <c r="B5621" i="3"/>
  <c r="A5621" i="3"/>
  <c r="B5620" i="3"/>
  <c r="A5620" i="3"/>
  <c r="B5619" i="3"/>
  <c r="A5619" i="3"/>
  <c r="B5618" i="3"/>
  <c r="A5618" i="3"/>
  <c r="B5617" i="3"/>
  <c r="A5617" i="3"/>
  <c r="B5616" i="3"/>
  <c r="A5616" i="3"/>
  <c r="B5615" i="3"/>
  <c r="A5615" i="3"/>
  <c r="B5614" i="3"/>
  <c r="A5614" i="3"/>
  <c r="B5613" i="3"/>
  <c r="A5613" i="3"/>
  <c r="B5612" i="3"/>
  <c r="A5612" i="3"/>
  <c r="B5611" i="3"/>
  <c r="A5611" i="3"/>
  <c r="B5610" i="3"/>
  <c r="A5610" i="3"/>
  <c r="B5609" i="3"/>
  <c r="A5609" i="3"/>
  <c r="B5608" i="3"/>
  <c r="A5608" i="3"/>
  <c r="B5607" i="3"/>
  <c r="A5607" i="3"/>
  <c r="B5606" i="3"/>
  <c r="A5606" i="3"/>
  <c r="B5605" i="3"/>
  <c r="A5605" i="3"/>
  <c r="B5604" i="3"/>
  <c r="A5604" i="3"/>
  <c r="B5603" i="3"/>
  <c r="A5603" i="3"/>
  <c r="B5602" i="3"/>
  <c r="A5602" i="3"/>
  <c r="B5601" i="3"/>
  <c r="A5601" i="3"/>
  <c r="B5600" i="3"/>
  <c r="A5600" i="3"/>
  <c r="B5599" i="3"/>
  <c r="A5599" i="3"/>
  <c r="B5598" i="3"/>
  <c r="A5598" i="3"/>
  <c r="B5597" i="3"/>
  <c r="A5597" i="3"/>
  <c r="B5596" i="3"/>
  <c r="A5596" i="3"/>
  <c r="B5595" i="3"/>
  <c r="A5595" i="3"/>
  <c r="B5594" i="3"/>
  <c r="A5594" i="3"/>
  <c r="B5593" i="3"/>
  <c r="A5593" i="3"/>
  <c r="B5592" i="3"/>
  <c r="A5592" i="3"/>
  <c r="B5591" i="3"/>
  <c r="A5591" i="3"/>
  <c r="B5590" i="3"/>
  <c r="A5590" i="3"/>
  <c r="B5589" i="3"/>
  <c r="A5589" i="3"/>
  <c r="B5588" i="3"/>
  <c r="A5588" i="3"/>
  <c r="B5587" i="3"/>
  <c r="A5587" i="3"/>
  <c r="B5586" i="3"/>
  <c r="A5586" i="3"/>
  <c r="B5585" i="3"/>
  <c r="A5585" i="3"/>
  <c r="B5584" i="3"/>
  <c r="A5584" i="3"/>
  <c r="B5583" i="3"/>
  <c r="A5583" i="3"/>
  <c r="B5582" i="3"/>
  <c r="A5582" i="3"/>
  <c r="B5581" i="3"/>
  <c r="A5581" i="3"/>
  <c r="B5580" i="3"/>
  <c r="A5580" i="3"/>
  <c r="B5579" i="3"/>
  <c r="A5579" i="3"/>
  <c r="B5578" i="3"/>
  <c r="A5578" i="3"/>
  <c r="B5577" i="3"/>
  <c r="A5577" i="3"/>
  <c r="B5576" i="3"/>
  <c r="A5576" i="3"/>
  <c r="B5575" i="3"/>
  <c r="A5575" i="3"/>
  <c r="B5574" i="3"/>
  <c r="A5574" i="3"/>
  <c r="B5573" i="3"/>
  <c r="A5573" i="3"/>
  <c r="B5572" i="3"/>
  <c r="A5572" i="3"/>
  <c r="B5571" i="3"/>
  <c r="A5571" i="3"/>
  <c r="B5570" i="3"/>
  <c r="A5570" i="3"/>
  <c r="B5569" i="3"/>
  <c r="A5569" i="3"/>
  <c r="B5568" i="3"/>
  <c r="A5568" i="3"/>
  <c r="B5567" i="3"/>
  <c r="A5567" i="3"/>
  <c r="B5566" i="3"/>
  <c r="A5566" i="3"/>
  <c r="B5565" i="3"/>
  <c r="A5565" i="3"/>
  <c r="B5564" i="3"/>
  <c r="A5564" i="3"/>
  <c r="B5563" i="3"/>
  <c r="A5563" i="3"/>
  <c r="B5562" i="3"/>
  <c r="A5562" i="3"/>
  <c r="B5561" i="3"/>
  <c r="A5561" i="3"/>
  <c r="B5560" i="3"/>
  <c r="A5560" i="3"/>
  <c r="B5559" i="3"/>
  <c r="A5559" i="3"/>
  <c r="B5558" i="3"/>
  <c r="A5558" i="3"/>
  <c r="B5557" i="3"/>
  <c r="A5557" i="3"/>
  <c r="B5556" i="3"/>
  <c r="A5556" i="3"/>
  <c r="B5555" i="3"/>
  <c r="A5555" i="3"/>
  <c r="B5554" i="3"/>
  <c r="A5554" i="3"/>
  <c r="B5553" i="3"/>
  <c r="A5553" i="3"/>
  <c r="B5552" i="3"/>
  <c r="A5552" i="3"/>
  <c r="B5551" i="3"/>
  <c r="A5551" i="3"/>
  <c r="B5550" i="3"/>
  <c r="A5550" i="3"/>
  <c r="B5549" i="3"/>
  <c r="A5549" i="3"/>
  <c r="B5548" i="3"/>
  <c r="A5548" i="3"/>
  <c r="B5547" i="3"/>
  <c r="A5547" i="3"/>
  <c r="B5546" i="3"/>
  <c r="A5546" i="3"/>
  <c r="B5545" i="3"/>
  <c r="A5545" i="3"/>
  <c r="B5544" i="3"/>
  <c r="A5544" i="3"/>
  <c r="B5543" i="3"/>
  <c r="A5543" i="3"/>
  <c r="B5542" i="3"/>
  <c r="A5542" i="3"/>
  <c r="B5541" i="3"/>
  <c r="A5541" i="3"/>
  <c r="B5540" i="3"/>
  <c r="A5540" i="3"/>
  <c r="B5539" i="3"/>
  <c r="A5539" i="3"/>
  <c r="B5538" i="3"/>
  <c r="A5538" i="3"/>
  <c r="B5537" i="3"/>
  <c r="A5537" i="3"/>
  <c r="B5536" i="3"/>
  <c r="A5536" i="3"/>
  <c r="B5535" i="3"/>
  <c r="A5535" i="3"/>
  <c r="B5534" i="3"/>
  <c r="A5534" i="3"/>
  <c r="B5533" i="3"/>
  <c r="A5533" i="3"/>
  <c r="B5532" i="3"/>
  <c r="A5532" i="3"/>
  <c r="B5531" i="3"/>
  <c r="A5531" i="3"/>
  <c r="B5530" i="3"/>
  <c r="A5530" i="3"/>
  <c r="B5529" i="3"/>
  <c r="A5529" i="3"/>
  <c r="B5528" i="3"/>
  <c r="A5528" i="3"/>
  <c r="B5527" i="3"/>
  <c r="A5527" i="3"/>
  <c r="B5526" i="3"/>
  <c r="A5526" i="3"/>
  <c r="B5525" i="3"/>
  <c r="A5525" i="3"/>
  <c r="B5524" i="3"/>
  <c r="A5524" i="3"/>
  <c r="B5523" i="3"/>
  <c r="A5523" i="3"/>
  <c r="B5522" i="3"/>
  <c r="A5522" i="3"/>
  <c r="B5521" i="3"/>
  <c r="A5521" i="3"/>
  <c r="B5520" i="3"/>
  <c r="A5520" i="3"/>
  <c r="B5519" i="3"/>
  <c r="A5519" i="3"/>
  <c r="B5518" i="3"/>
  <c r="A5518" i="3"/>
  <c r="B5517" i="3"/>
  <c r="A5517" i="3"/>
  <c r="B5516" i="3"/>
  <c r="A5516" i="3"/>
  <c r="B5515" i="3"/>
  <c r="A5515" i="3"/>
  <c r="B5514" i="3"/>
  <c r="A5514" i="3"/>
  <c r="B5513" i="3"/>
  <c r="A5513" i="3"/>
  <c r="B5512" i="3"/>
  <c r="A5512" i="3"/>
  <c r="B5511" i="3"/>
  <c r="A5511" i="3"/>
  <c r="B5510" i="3"/>
  <c r="A5510" i="3"/>
  <c r="B5509" i="3"/>
  <c r="A5509" i="3"/>
  <c r="B5508" i="3"/>
  <c r="A5508" i="3"/>
  <c r="B5507" i="3"/>
  <c r="A5507" i="3"/>
  <c r="B5506" i="3"/>
  <c r="A5506" i="3"/>
  <c r="B5505" i="3"/>
  <c r="A5505" i="3"/>
  <c r="B5504" i="3"/>
  <c r="A5504" i="3"/>
  <c r="B5503" i="3"/>
  <c r="A5503" i="3"/>
  <c r="B5502" i="3"/>
  <c r="A5502" i="3"/>
  <c r="B5501" i="3"/>
  <c r="A5501" i="3"/>
  <c r="B5500" i="3"/>
  <c r="A5500" i="3"/>
  <c r="B5499" i="3"/>
  <c r="A5499" i="3"/>
  <c r="B5498" i="3"/>
  <c r="A5498" i="3"/>
  <c r="B5497" i="3"/>
  <c r="A5497" i="3"/>
  <c r="B5496" i="3"/>
  <c r="A5496" i="3"/>
  <c r="B5495" i="3"/>
  <c r="A5495" i="3"/>
  <c r="B5494" i="3"/>
  <c r="A5494" i="3"/>
  <c r="B5493" i="3"/>
  <c r="A5493" i="3"/>
  <c r="B5492" i="3"/>
  <c r="A5492" i="3"/>
  <c r="B5491" i="3"/>
  <c r="A5491" i="3"/>
  <c r="B5490" i="3"/>
  <c r="A5490" i="3"/>
  <c r="B5489" i="3"/>
  <c r="A5489" i="3"/>
  <c r="B5488" i="3"/>
  <c r="A5488" i="3"/>
  <c r="B5487" i="3"/>
  <c r="A5487" i="3"/>
  <c r="B5486" i="3"/>
  <c r="A5486" i="3"/>
  <c r="B5485" i="3"/>
  <c r="A5485" i="3"/>
  <c r="B5484" i="3"/>
  <c r="A5484" i="3"/>
  <c r="B5483" i="3"/>
  <c r="A5483" i="3"/>
  <c r="B5482" i="3"/>
  <c r="A5482" i="3"/>
  <c r="B5481" i="3"/>
  <c r="A5481" i="3"/>
  <c r="B5480" i="3"/>
  <c r="A5480" i="3"/>
  <c r="B5479" i="3"/>
  <c r="A5479" i="3"/>
  <c r="B5478" i="3"/>
  <c r="A5478" i="3"/>
  <c r="B5477" i="3"/>
  <c r="A5477" i="3"/>
  <c r="B5476" i="3"/>
  <c r="A5476" i="3"/>
  <c r="B5475" i="3"/>
  <c r="A5475" i="3"/>
  <c r="B5474" i="3"/>
  <c r="A5474" i="3"/>
  <c r="B5473" i="3"/>
  <c r="A5473" i="3"/>
  <c r="B5472" i="3"/>
  <c r="A5472" i="3"/>
  <c r="B5471" i="3"/>
  <c r="A5471" i="3"/>
  <c r="B5470" i="3"/>
  <c r="A5470" i="3"/>
  <c r="B5469" i="3"/>
  <c r="A5469" i="3"/>
  <c r="B5468" i="3"/>
  <c r="A5468" i="3"/>
  <c r="B5467" i="3"/>
  <c r="A5467" i="3"/>
  <c r="B5466" i="3"/>
  <c r="A5466" i="3"/>
  <c r="B5465" i="3"/>
  <c r="A5465" i="3"/>
  <c r="B5464" i="3"/>
  <c r="A5464" i="3"/>
  <c r="B5463" i="3"/>
  <c r="A5463" i="3"/>
  <c r="B5462" i="3"/>
  <c r="A5462" i="3"/>
  <c r="B5461" i="3"/>
  <c r="A5461" i="3"/>
  <c r="B5460" i="3"/>
  <c r="A5460" i="3"/>
  <c r="B5459" i="3"/>
  <c r="A5459" i="3"/>
  <c r="B5458" i="3"/>
  <c r="A5458" i="3"/>
  <c r="B5457" i="3"/>
  <c r="A5457" i="3"/>
  <c r="B5456" i="3"/>
  <c r="A5456" i="3"/>
  <c r="B5455" i="3"/>
  <c r="A5455" i="3"/>
  <c r="B5454" i="3"/>
  <c r="A5454" i="3"/>
  <c r="B5453" i="3"/>
  <c r="A5453" i="3"/>
  <c r="B5452" i="3"/>
  <c r="A5452" i="3"/>
  <c r="B5451" i="3"/>
  <c r="A5451" i="3"/>
  <c r="B5450" i="3"/>
  <c r="A5450" i="3"/>
  <c r="B5449" i="3"/>
  <c r="A5449" i="3"/>
  <c r="B5448" i="3"/>
  <c r="A5448" i="3"/>
  <c r="B5447" i="3"/>
  <c r="A5447" i="3"/>
  <c r="B5446" i="3"/>
  <c r="A5446" i="3"/>
  <c r="B5445" i="3"/>
  <c r="A5445" i="3"/>
  <c r="B5444" i="3"/>
  <c r="A5444" i="3"/>
  <c r="B5443" i="3"/>
  <c r="A5443" i="3"/>
  <c r="B5442" i="3"/>
  <c r="A5442" i="3"/>
  <c r="B5441" i="3"/>
  <c r="A5441" i="3"/>
  <c r="B5440" i="3"/>
  <c r="A5440" i="3"/>
  <c r="B5439" i="3"/>
  <c r="A5439" i="3"/>
  <c r="B5438" i="3"/>
  <c r="A5438" i="3"/>
  <c r="B5437" i="3"/>
  <c r="A5437" i="3"/>
  <c r="B5436" i="3"/>
  <c r="A5436" i="3"/>
  <c r="B5435" i="3"/>
  <c r="A5435" i="3"/>
  <c r="B5434" i="3"/>
  <c r="A5434" i="3"/>
  <c r="B5433" i="3"/>
  <c r="A5433" i="3"/>
  <c r="B5432" i="3"/>
  <c r="A5432" i="3"/>
  <c r="B5431" i="3"/>
  <c r="A5431" i="3"/>
  <c r="B5430" i="3"/>
  <c r="A5430" i="3"/>
  <c r="B5429" i="3"/>
  <c r="A5429" i="3"/>
  <c r="B5428" i="3"/>
  <c r="A5428" i="3"/>
  <c r="B5427" i="3"/>
  <c r="A5427" i="3"/>
  <c r="B5426" i="3"/>
  <c r="A5426" i="3"/>
  <c r="B5425" i="3"/>
  <c r="A5425" i="3"/>
  <c r="B5424" i="3"/>
  <c r="A5424" i="3"/>
  <c r="B5423" i="3"/>
  <c r="A5423" i="3"/>
  <c r="B5422" i="3"/>
  <c r="A5422" i="3"/>
  <c r="B5421" i="3"/>
  <c r="A5421" i="3"/>
  <c r="B5420" i="3"/>
  <c r="A5420" i="3"/>
  <c r="B5419" i="3"/>
  <c r="A5419" i="3"/>
  <c r="B5418" i="3"/>
  <c r="A5418" i="3"/>
  <c r="B5417" i="3"/>
  <c r="A5417" i="3"/>
  <c r="B5416" i="3"/>
  <c r="A5416" i="3"/>
  <c r="B5415" i="3"/>
  <c r="A5415" i="3"/>
  <c r="B5414" i="3"/>
  <c r="A5414" i="3"/>
  <c r="B5413" i="3"/>
  <c r="A5413" i="3"/>
  <c r="B5412" i="3"/>
  <c r="A5412" i="3"/>
  <c r="B5411" i="3"/>
  <c r="A5411" i="3"/>
  <c r="B5410" i="3"/>
  <c r="A5410" i="3"/>
  <c r="B5409" i="3"/>
  <c r="A5409" i="3"/>
  <c r="B5408" i="3"/>
  <c r="A5408" i="3"/>
  <c r="B5407" i="3"/>
  <c r="A5407" i="3"/>
  <c r="B5406" i="3"/>
  <c r="A5406" i="3"/>
  <c r="B5405" i="3"/>
  <c r="A5405" i="3"/>
  <c r="B5404" i="3"/>
  <c r="A5404" i="3"/>
  <c r="B5403" i="3"/>
  <c r="A5403" i="3"/>
  <c r="B5402" i="3"/>
  <c r="A5402" i="3"/>
  <c r="B5401" i="3"/>
  <c r="A5401" i="3"/>
  <c r="B5400" i="3"/>
  <c r="A5400" i="3"/>
  <c r="B5399" i="3"/>
  <c r="A5399" i="3"/>
  <c r="B5398" i="3"/>
  <c r="A5398" i="3"/>
  <c r="B5397" i="3"/>
  <c r="A5397" i="3"/>
  <c r="B5396" i="3"/>
  <c r="A5396" i="3"/>
  <c r="B5395" i="3"/>
  <c r="A5395" i="3"/>
  <c r="B5394" i="3"/>
  <c r="A5394" i="3"/>
  <c r="B5393" i="3"/>
  <c r="A5393" i="3"/>
  <c r="B5392" i="3"/>
  <c r="A5392" i="3"/>
  <c r="B5391" i="3"/>
  <c r="A5391" i="3"/>
  <c r="B5390" i="3"/>
  <c r="A5390" i="3"/>
  <c r="B5389" i="3"/>
  <c r="A5389" i="3"/>
  <c r="B5388" i="3"/>
  <c r="A5388" i="3"/>
  <c r="B5387" i="3"/>
  <c r="A5387" i="3"/>
  <c r="B5386" i="3"/>
  <c r="A5386" i="3"/>
  <c r="B5385" i="3"/>
  <c r="A5385" i="3"/>
  <c r="B5384" i="3"/>
  <c r="A5384" i="3"/>
  <c r="B5383" i="3"/>
  <c r="A5383" i="3"/>
  <c r="B5382" i="3"/>
  <c r="A5382" i="3"/>
  <c r="B5381" i="3"/>
  <c r="A5381" i="3"/>
  <c r="B5380" i="3"/>
  <c r="A5380" i="3"/>
  <c r="B5379" i="3"/>
  <c r="A5379" i="3"/>
  <c r="B5378" i="3"/>
  <c r="A5378" i="3"/>
  <c r="B5377" i="3"/>
  <c r="A5377" i="3"/>
  <c r="B5376" i="3"/>
  <c r="A5376" i="3"/>
  <c r="B5375" i="3"/>
  <c r="A5375" i="3"/>
  <c r="B5374" i="3"/>
  <c r="A5374" i="3"/>
  <c r="B5373" i="3"/>
  <c r="A5373" i="3"/>
  <c r="B5372" i="3"/>
  <c r="A5372" i="3"/>
  <c r="B5371" i="3"/>
  <c r="A5371" i="3"/>
  <c r="B5370" i="3"/>
  <c r="A5370" i="3"/>
  <c r="B5369" i="3"/>
  <c r="A5369" i="3"/>
  <c r="B5368" i="3"/>
  <c r="A5368" i="3"/>
  <c r="B5367" i="3"/>
  <c r="A5367" i="3"/>
  <c r="B5366" i="3"/>
  <c r="A5366" i="3"/>
  <c r="B5365" i="3"/>
  <c r="A5365" i="3"/>
  <c r="B5364" i="3"/>
  <c r="A5364" i="3"/>
  <c r="B5363" i="3"/>
  <c r="A5363" i="3"/>
  <c r="B5362" i="3"/>
  <c r="A5362" i="3"/>
  <c r="B5361" i="3"/>
  <c r="A5361" i="3"/>
  <c r="B5360" i="3"/>
  <c r="A5360" i="3"/>
  <c r="B5359" i="3"/>
  <c r="A5359" i="3"/>
  <c r="B5358" i="3"/>
  <c r="A5358" i="3"/>
  <c r="B5357" i="3"/>
  <c r="A5357" i="3"/>
  <c r="B5356" i="3"/>
  <c r="A5356" i="3"/>
  <c r="B5355" i="3"/>
  <c r="A5355" i="3"/>
  <c r="B5354" i="3"/>
  <c r="A5354" i="3"/>
  <c r="B5353" i="3"/>
  <c r="A5353" i="3"/>
  <c r="B5352" i="3"/>
  <c r="A5352" i="3"/>
  <c r="B5351" i="3"/>
  <c r="A5351" i="3"/>
  <c r="B5350" i="3"/>
  <c r="A5350" i="3"/>
  <c r="B5349" i="3"/>
  <c r="A5349" i="3"/>
  <c r="B5348" i="3"/>
  <c r="A5348" i="3"/>
  <c r="B5347" i="3"/>
  <c r="A5347" i="3"/>
  <c r="B5346" i="3"/>
  <c r="A5346" i="3"/>
  <c r="B5345" i="3"/>
  <c r="A5345" i="3"/>
  <c r="B5344" i="3"/>
  <c r="A5344" i="3"/>
  <c r="B5343" i="3"/>
  <c r="A5343" i="3"/>
  <c r="B5342" i="3"/>
  <c r="A5342" i="3"/>
  <c r="B5341" i="3"/>
  <c r="A5341" i="3"/>
  <c r="B5340" i="3"/>
  <c r="A5340" i="3"/>
  <c r="B5339" i="3"/>
  <c r="A5339" i="3"/>
  <c r="B5338" i="3"/>
  <c r="A5338" i="3"/>
  <c r="B5337" i="3"/>
  <c r="A5337" i="3"/>
  <c r="B5336" i="3"/>
  <c r="A5336" i="3"/>
  <c r="B5335" i="3"/>
  <c r="A5335" i="3"/>
  <c r="B5334" i="3"/>
  <c r="A5334" i="3"/>
  <c r="B5333" i="3"/>
  <c r="A5333" i="3"/>
  <c r="B5332" i="3"/>
  <c r="A5332" i="3"/>
  <c r="B5331" i="3"/>
  <c r="A5331" i="3"/>
  <c r="B5330" i="3"/>
  <c r="A5330" i="3"/>
  <c r="B5329" i="3"/>
  <c r="A5329" i="3"/>
  <c r="B5328" i="3"/>
  <c r="A5328" i="3"/>
  <c r="B5327" i="3"/>
  <c r="A5327" i="3"/>
  <c r="B5326" i="3"/>
  <c r="A5326" i="3"/>
  <c r="B5325" i="3"/>
  <c r="A5325" i="3"/>
  <c r="B5324" i="3"/>
  <c r="A5324" i="3"/>
  <c r="B5323" i="3"/>
  <c r="A5323" i="3"/>
  <c r="B5322" i="3"/>
  <c r="A5322" i="3"/>
  <c r="B5321" i="3"/>
  <c r="A5321" i="3"/>
  <c r="B5320" i="3"/>
  <c r="A5320" i="3"/>
  <c r="B5319" i="3"/>
  <c r="A5319" i="3"/>
  <c r="B5318" i="3"/>
  <c r="A5318" i="3"/>
  <c r="B5317" i="3"/>
  <c r="A5317" i="3"/>
  <c r="B5316" i="3"/>
  <c r="A5316" i="3"/>
  <c r="B5315" i="3"/>
  <c r="A5315" i="3"/>
  <c r="B5314" i="3"/>
  <c r="A5314" i="3"/>
  <c r="B5313" i="3"/>
  <c r="A5313" i="3"/>
  <c r="B5312" i="3"/>
  <c r="A5312" i="3"/>
  <c r="B5311" i="3"/>
  <c r="A5311" i="3"/>
  <c r="B5310" i="3"/>
  <c r="A5310" i="3"/>
  <c r="B5309" i="3"/>
  <c r="A5309" i="3"/>
  <c r="B5308" i="3"/>
  <c r="A5308" i="3"/>
  <c r="B5307" i="3"/>
  <c r="A5307" i="3"/>
  <c r="B5306" i="3"/>
  <c r="A5306" i="3"/>
  <c r="B5305" i="3"/>
  <c r="A5305" i="3"/>
  <c r="B5304" i="3"/>
  <c r="A5304" i="3"/>
  <c r="B5303" i="3"/>
  <c r="A5303" i="3"/>
  <c r="B5302" i="3"/>
  <c r="A5302" i="3"/>
  <c r="B5301" i="3"/>
  <c r="A5301" i="3"/>
  <c r="B5300" i="3"/>
  <c r="A5300" i="3"/>
  <c r="B5299" i="3"/>
  <c r="A5299" i="3"/>
  <c r="B5298" i="3"/>
  <c r="A5298" i="3"/>
  <c r="B5297" i="3"/>
  <c r="A5297" i="3"/>
  <c r="B5296" i="3"/>
  <c r="A5296" i="3"/>
  <c r="B5295" i="3"/>
  <c r="A5295" i="3"/>
  <c r="B5294" i="3"/>
  <c r="A5294" i="3"/>
  <c r="B5293" i="3"/>
  <c r="A5293" i="3"/>
  <c r="B5292" i="3"/>
  <c r="A5292" i="3"/>
  <c r="B5291" i="3"/>
  <c r="A5291" i="3"/>
  <c r="B5290" i="3"/>
  <c r="A5290" i="3"/>
  <c r="B5289" i="3"/>
  <c r="A5289" i="3"/>
  <c r="B5288" i="3"/>
  <c r="A5288" i="3"/>
  <c r="B5287" i="3"/>
  <c r="A5287" i="3"/>
  <c r="B5286" i="3"/>
  <c r="A5286" i="3"/>
  <c r="B5285" i="3"/>
  <c r="A5285" i="3"/>
  <c r="B5284" i="3"/>
  <c r="A5284" i="3"/>
  <c r="B5283" i="3"/>
  <c r="A5283" i="3"/>
  <c r="B5282" i="3"/>
  <c r="A5282" i="3"/>
  <c r="B5281" i="3"/>
  <c r="A5281" i="3"/>
  <c r="B5280" i="3"/>
  <c r="A5280" i="3"/>
  <c r="B5279" i="3"/>
  <c r="A5279" i="3"/>
  <c r="B5278" i="3"/>
  <c r="A5278" i="3"/>
  <c r="B5277" i="3"/>
  <c r="A5277" i="3"/>
  <c r="B5276" i="3"/>
  <c r="A5276" i="3"/>
  <c r="B5275" i="3"/>
  <c r="A5275" i="3"/>
  <c r="B5274" i="3"/>
  <c r="A5274" i="3"/>
  <c r="B5273" i="3"/>
  <c r="A5273" i="3"/>
  <c r="B5272" i="3"/>
  <c r="A5272" i="3"/>
  <c r="B5271" i="3"/>
  <c r="A5271" i="3"/>
  <c r="B5270" i="3"/>
  <c r="A5270" i="3"/>
  <c r="B5269" i="3"/>
  <c r="A5269" i="3"/>
  <c r="B5268" i="3"/>
  <c r="A5268" i="3"/>
  <c r="B5267" i="3"/>
  <c r="A5267" i="3"/>
  <c r="B5266" i="3"/>
  <c r="A5266" i="3"/>
  <c r="B5265" i="3"/>
  <c r="A5265" i="3"/>
  <c r="B5264" i="3"/>
  <c r="A5264" i="3"/>
  <c r="B5263" i="3"/>
  <c r="A5263" i="3"/>
  <c r="B5262" i="3"/>
  <c r="A5262" i="3"/>
  <c r="B5261" i="3"/>
  <c r="A5261" i="3"/>
  <c r="B5260" i="3"/>
  <c r="A5260" i="3"/>
  <c r="B5259" i="3"/>
  <c r="A5259" i="3"/>
  <c r="B5258" i="3"/>
  <c r="A5258" i="3"/>
  <c r="B5257" i="3"/>
  <c r="A5257" i="3"/>
  <c r="B5256" i="3"/>
  <c r="A5256" i="3"/>
  <c r="B5255" i="3"/>
  <c r="A5255" i="3"/>
  <c r="B5254" i="3"/>
  <c r="A5254" i="3"/>
  <c r="B5253" i="3"/>
  <c r="A5253" i="3"/>
  <c r="B5252" i="3"/>
  <c r="A5252" i="3"/>
  <c r="B5251" i="3"/>
  <c r="A5251" i="3"/>
  <c r="B5250" i="3"/>
  <c r="A5250" i="3"/>
  <c r="B5249" i="3"/>
  <c r="A5249" i="3"/>
  <c r="B5248" i="3"/>
  <c r="A5248" i="3"/>
  <c r="B5247" i="3"/>
  <c r="A5247" i="3"/>
  <c r="B5246" i="3"/>
  <c r="A5246" i="3"/>
  <c r="B5245" i="3"/>
  <c r="A5245" i="3"/>
  <c r="B5244" i="3"/>
  <c r="A5244" i="3"/>
  <c r="B5243" i="3"/>
  <c r="A5243" i="3"/>
  <c r="B5242" i="3"/>
  <c r="A5242" i="3"/>
  <c r="B5241" i="3"/>
  <c r="A5241" i="3"/>
  <c r="B5240" i="3"/>
  <c r="A5240" i="3"/>
  <c r="B5239" i="3"/>
  <c r="A5239" i="3"/>
  <c r="B5238" i="3"/>
  <c r="A5238" i="3"/>
  <c r="B5237" i="3"/>
  <c r="A5237" i="3"/>
  <c r="B5236" i="3"/>
  <c r="A5236" i="3"/>
  <c r="B5235" i="3"/>
  <c r="A5235" i="3"/>
  <c r="B5234" i="3"/>
  <c r="A5234" i="3"/>
  <c r="B5233" i="3"/>
  <c r="A5233" i="3"/>
  <c r="B5232" i="3"/>
  <c r="A5232" i="3"/>
  <c r="B5231" i="3"/>
  <c r="A5231" i="3"/>
  <c r="B5230" i="3"/>
  <c r="A5230" i="3"/>
  <c r="B5229" i="3"/>
  <c r="A5229" i="3"/>
  <c r="B5228" i="3"/>
  <c r="A5228" i="3"/>
  <c r="B5227" i="3"/>
  <c r="A5227" i="3"/>
  <c r="B5226" i="3"/>
  <c r="A5226" i="3"/>
  <c r="B5225" i="3"/>
  <c r="A5225" i="3"/>
  <c r="B5224" i="3"/>
  <c r="A5224" i="3"/>
  <c r="B5223" i="3"/>
  <c r="A5223" i="3"/>
  <c r="B5222" i="3"/>
  <c r="A5222" i="3"/>
  <c r="B5221" i="3"/>
  <c r="A5221" i="3"/>
  <c r="B5220" i="3"/>
  <c r="A5220" i="3"/>
  <c r="B5219" i="3"/>
  <c r="A5219" i="3"/>
  <c r="B5218" i="3"/>
  <c r="A5218" i="3"/>
  <c r="B5217" i="3"/>
  <c r="A5217" i="3"/>
  <c r="B5216" i="3"/>
  <c r="A5216" i="3"/>
  <c r="B5215" i="3"/>
  <c r="A5215" i="3"/>
  <c r="B5214" i="3"/>
  <c r="A5214" i="3"/>
  <c r="B5213" i="3"/>
  <c r="A5213" i="3"/>
  <c r="B5212" i="3"/>
  <c r="A5212" i="3"/>
  <c r="B5211" i="3"/>
  <c r="A5211" i="3"/>
  <c r="B5210" i="3"/>
  <c r="A5210" i="3"/>
  <c r="B5209" i="3"/>
  <c r="A5209" i="3"/>
  <c r="B5208" i="3"/>
  <c r="A5208" i="3"/>
  <c r="B5207" i="3"/>
  <c r="A5207" i="3"/>
  <c r="B5206" i="3"/>
  <c r="A5206" i="3"/>
  <c r="B5205" i="3"/>
  <c r="A5205" i="3"/>
  <c r="B5204" i="3"/>
  <c r="A5204" i="3"/>
  <c r="B5203" i="3"/>
  <c r="A5203" i="3"/>
  <c r="B5202" i="3"/>
  <c r="A5202" i="3"/>
  <c r="B5201" i="3"/>
  <c r="A5201" i="3"/>
  <c r="B5200" i="3"/>
  <c r="A5200" i="3"/>
  <c r="B5199" i="3"/>
  <c r="A5199" i="3"/>
  <c r="B5198" i="3"/>
  <c r="A5198" i="3"/>
  <c r="B5197" i="3"/>
  <c r="A5197" i="3"/>
  <c r="B5196" i="3"/>
  <c r="A5196" i="3"/>
  <c r="B5195" i="3"/>
  <c r="A5195" i="3"/>
  <c r="B5194" i="3"/>
  <c r="A5194" i="3"/>
  <c r="B5193" i="3"/>
  <c r="A5193" i="3"/>
  <c r="B5192" i="3"/>
  <c r="A5192" i="3"/>
  <c r="B5191" i="3"/>
  <c r="A5191" i="3"/>
  <c r="B5190" i="3"/>
  <c r="A5190" i="3"/>
  <c r="B5189" i="3"/>
  <c r="A5189" i="3"/>
  <c r="B5188" i="3"/>
  <c r="A5188" i="3"/>
  <c r="B5187" i="3"/>
  <c r="A5187" i="3"/>
  <c r="B5186" i="3"/>
  <c r="A5186" i="3"/>
  <c r="B5185" i="3"/>
  <c r="A5185" i="3"/>
  <c r="B5184" i="3"/>
  <c r="A5184" i="3"/>
  <c r="B5183" i="3"/>
  <c r="A5183" i="3"/>
  <c r="B5182" i="3"/>
  <c r="A5182" i="3"/>
  <c r="B5181" i="3"/>
  <c r="A5181" i="3"/>
  <c r="B5180" i="3"/>
  <c r="A5180" i="3"/>
  <c r="B5179" i="3"/>
  <c r="A5179" i="3"/>
  <c r="B5178" i="3"/>
  <c r="A5178" i="3"/>
  <c r="B5177" i="3"/>
  <c r="A5177" i="3"/>
  <c r="B5176" i="3"/>
  <c r="A5176" i="3"/>
  <c r="B5175" i="3"/>
  <c r="A5175" i="3"/>
  <c r="B5174" i="3"/>
  <c r="A5174" i="3"/>
  <c r="B5173" i="3"/>
  <c r="A5173" i="3"/>
  <c r="B5172" i="3"/>
  <c r="A5172" i="3"/>
  <c r="B5171" i="3"/>
  <c r="A5171" i="3"/>
  <c r="B5170" i="3"/>
  <c r="A5170" i="3"/>
  <c r="B5169" i="3"/>
  <c r="A5169" i="3"/>
  <c r="B5168" i="3"/>
  <c r="A5168" i="3"/>
  <c r="B5167" i="3"/>
  <c r="A5167" i="3"/>
  <c r="B5166" i="3"/>
  <c r="A5166" i="3"/>
  <c r="B5165" i="3"/>
  <c r="A5165" i="3"/>
  <c r="B5164" i="3"/>
  <c r="A5164" i="3"/>
  <c r="B5163" i="3"/>
  <c r="A5163" i="3"/>
  <c r="B5162" i="3"/>
  <c r="A5162" i="3"/>
  <c r="B5161" i="3"/>
  <c r="A5161" i="3"/>
  <c r="B5160" i="3"/>
  <c r="A5160" i="3"/>
  <c r="B5159" i="3"/>
  <c r="A5159" i="3"/>
  <c r="B5158" i="3"/>
  <c r="A5158" i="3"/>
  <c r="B5157" i="3"/>
  <c r="A5157" i="3"/>
  <c r="B5156" i="3"/>
  <c r="A5156" i="3"/>
  <c r="B5155" i="3"/>
  <c r="A5155" i="3"/>
  <c r="B5154" i="3"/>
  <c r="A5154" i="3"/>
  <c r="B5153" i="3"/>
  <c r="A5153" i="3"/>
  <c r="B5152" i="3"/>
  <c r="A5152" i="3"/>
  <c r="B5151" i="3"/>
  <c r="A5151" i="3"/>
  <c r="B5150" i="3"/>
  <c r="A5150" i="3"/>
  <c r="B5149" i="3"/>
  <c r="A5149" i="3"/>
  <c r="B5148" i="3"/>
  <c r="A5148" i="3"/>
  <c r="B5147" i="3"/>
  <c r="A5147" i="3"/>
  <c r="B5146" i="3"/>
  <c r="A5146" i="3"/>
  <c r="B5145" i="3"/>
  <c r="A5145" i="3"/>
  <c r="B5144" i="3"/>
  <c r="A5144" i="3"/>
  <c r="B5143" i="3"/>
  <c r="A5143" i="3"/>
  <c r="B5142" i="3"/>
  <c r="A5142" i="3"/>
  <c r="B5141" i="3"/>
  <c r="A5141" i="3"/>
  <c r="B5140" i="3"/>
  <c r="A5140" i="3"/>
  <c r="B5139" i="3"/>
  <c r="A5139" i="3"/>
  <c r="B5138" i="3"/>
  <c r="A5138" i="3"/>
  <c r="B5137" i="3"/>
  <c r="A5137" i="3"/>
  <c r="B5136" i="3"/>
  <c r="A5136" i="3"/>
  <c r="B5135" i="3"/>
  <c r="A5135" i="3"/>
  <c r="B5134" i="3"/>
  <c r="A5134" i="3"/>
  <c r="B5133" i="3"/>
  <c r="A5133" i="3"/>
  <c r="B5132" i="3"/>
  <c r="A5132" i="3"/>
  <c r="B5131" i="3"/>
  <c r="A5131" i="3"/>
  <c r="B5130" i="3"/>
  <c r="A5130" i="3"/>
  <c r="B5129" i="3"/>
  <c r="A5129" i="3"/>
  <c r="B5128" i="3"/>
  <c r="A5128" i="3"/>
  <c r="B5127" i="3"/>
  <c r="A5127" i="3"/>
  <c r="B5126" i="3"/>
  <c r="A5126" i="3"/>
  <c r="B5125" i="3"/>
  <c r="A5125" i="3"/>
  <c r="B5124" i="3"/>
  <c r="A5124" i="3"/>
  <c r="B5123" i="3"/>
  <c r="A5123" i="3"/>
  <c r="B5122" i="3"/>
  <c r="A5122" i="3"/>
  <c r="B5121" i="3"/>
  <c r="A5121" i="3"/>
  <c r="B5120" i="3"/>
  <c r="A5120" i="3"/>
  <c r="B5119" i="3"/>
  <c r="A5119" i="3"/>
  <c r="B5118" i="3"/>
  <c r="A5118" i="3"/>
  <c r="B5117" i="3"/>
  <c r="A5117" i="3"/>
  <c r="B5116" i="3"/>
  <c r="A5116" i="3"/>
  <c r="B5115" i="3"/>
  <c r="A5115" i="3"/>
  <c r="B5114" i="3"/>
  <c r="A5114" i="3"/>
  <c r="B5113" i="3"/>
  <c r="A5113" i="3"/>
  <c r="B5112" i="3"/>
  <c r="A5112" i="3"/>
  <c r="B5111" i="3"/>
  <c r="A5111" i="3"/>
  <c r="B5110" i="3"/>
  <c r="A5110" i="3"/>
  <c r="B5109" i="3"/>
  <c r="A5109" i="3"/>
  <c r="B5108" i="3"/>
  <c r="A5108" i="3"/>
  <c r="B5107" i="3"/>
  <c r="A5107" i="3"/>
  <c r="B5106" i="3"/>
  <c r="A5106" i="3"/>
  <c r="B5105" i="3"/>
  <c r="A5105" i="3"/>
  <c r="B5104" i="3"/>
  <c r="A5104" i="3"/>
  <c r="B5103" i="3"/>
  <c r="A5103" i="3"/>
  <c r="B5102" i="3"/>
  <c r="A5102" i="3"/>
  <c r="B5101" i="3"/>
  <c r="A5101" i="3"/>
  <c r="B5100" i="3"/>
  <c r="A5100" i="3"/>
  <c r="B5099" i="3"/>
  <c r="A5099" i="3"/>
  <c r="B5098" i="3"/>
  <c r="A5098" i="3"/>
  <c r="B5097" i="3"/>
  <c r="A5097" i="3"/>
  <c r="B5096" i="3"/>
  <c r="A5096" i="3"/>
  <c r="B5095" i="3"/>
  <c r="A5095" i="3"/>
  <c r="B5094" i="3"/>
  <c r="A5094" i="3"/>
  <c r="B5093" i="3"/>
  <c r="A5093" i="3"/>
  <c r="B5092" i="3"/>
  <c r="A5092" i="3"/>
  <c r="B5091" i="3"/>
  <c r="A5091" i="3"/>
  <c r="B5090" i="3"/>
  <c r="A5090" i="3"/>
  <c r="B5089" i="3"/>
  <c r="A5089" i="3"/>
  <c r="B5088" i="3"/>
  <c r="A5088" i="3"/>
  <c r="B5087" i="3"/>
  <c r="A5087" i="3"/>
  <c r="B5086" i="3"/>
  <c r="A5086" i="3"/>
  <c r="B5085" i="3"/>
  <c r="A5085" i="3"/>
  <c r="B5084" i="3"/>
  <c r="A5084" i="3"/>
  <c r="B5083" i="3"/>
  <c r="A5083" i="3"/>
  <c r="B5082" i="3"/>
  <c r="A5082" i="3"/>
  <c r="B5081" i="3"/>
  <c r="A5081" i="3"/>
  <c r="B5080" i="3"/>
  <c r="A5080" i="3"/>
  <c r="B5079" i="3"/>
  <c r="A5079" i="3"/>
  <c r="B5078" i="3"/>
  <c r="A5078" i="3"/>
  <c r="B5077" i="3"/>
  <c r="A5077" i="3"/>
  <c r="B5076" i="3"/>
  <c r="A5076" i="3"/>
  <c r="B5075" i="3"/>
  <c r="A5075" i="3"/>
  <c r="B5074" i="3"/>
  <c r="A5074" i="3"/>
  <c r="B5073" i="3"/>
  <c r="A5073" i="3"/>
  <c r="B5072" i="3"/>
  <c r="A5072" i="3"/>
  <c r="B5071" i="3"/>
  <c r="A5071" i="3"/>
  <c r="B5070" i="3"/>
  <c r="A5070" i="3"/>
  <c r="B5069" i="3"/>
  <c r="A5069" i="3"/>
  <c r="B5068" i="3"/>
  <c r="A5068" i="3"/>
  <c r="B5067" i="3"/>
  <c r="A5067" i="3"/>
  <c r="B5066" i="3"/>
  <c r="A5066" i="3"/>
  <c r="B5065" i="3"/>
  <c r="A5065" i="3"/>
  <c r="B5064" i="3"/>
  <c r="A5064" i="3"/>
  <c r="B5063" i="3"/>
  <c r="A5063" i="3"/>
  <c r="B5062" i="3"/>
  <c r="A5062" i="3"/>
  <c r="B5061" i="3"/>
  <c r="A5061" i="3"/>
  <c r="B5060" i="3"/>
  <c r="A5060" i="3"/>
  <c r="B5059" i="3"/>
  <c r="A5059" i="3"/>
  <c r="B5058" i="3"/>
  <c r="A5058" i="3"/>
  <c r="B5057" i="3"/>
  <c r="A5057" i="3"/>
  <c r="B5056" i="3"/>
  <c r="A5056" i="3"/>
  <c r="B5055" i="3"/>
  <c r="A5055" i="3"/>
  <c r="B5054" i="3"/>
  <c r="A5054" i="3"/>
  <c r="B5053" i="3"/>
  <c r="A5053" i="3"/>
  <c r="B5052" i="3"/>
  <c r="A5052" i="3"/>
  <c r="B5051" i="3"/>
  <c r="A5051" i="3"/>
  <c r="B5050" i="3"/>
  <c r="A5050" i="3"/>
  <c r="B5049" i="3"/>
  <c r="A5049" i="3"/>
  <c r="B5048" i="3"/>
  <c r="A5048" i="3"/>
  <c r="B5047" i="3"/>
  <c r="A5047" i="3"/>
  <c r="B5046" i="3"/>
  <c r="A5046" i="3"/>
  <c r="B5045" i="3"/>
  <c r="A5045" i="3"/>
  <c r="B5044" i="3"/>
  <c r="A5044" i="3"/>
  <c r="B5043" i="3"/>
  <c r="A5043" i="3"/>
  <c r="B5042" i="3"/>
  <c r="A5042" i="3"/>
  <c r="B5041" i="3"/>
  <c r="A5041" i="3"/>
  <c r="B5040" i="3"/>
  <c r="A5040" i="3"/>
  <c r="B5039" i="3"/>
  <c r="A5039" i="3"/>
  <c r="B5038" i="3"/>
  <c r="A5038" i="3"/>
  <c r="B5037" i="3"/>
  <c r="A5037" i="3"/>
  <c r="B5036" i="3"/>
  <c r="A5036" i="3"/>
  <c r="B5035" i="3"/>
  <c r="A5035" i="3"/>
  <c r="B5034" i="3"/>
  <c r="A5034" i="3"/>
  <c r="B5033" i="3"/>
  <c r="A5033" i="3"/>
  <c r="B5032" i="3"/>
  <c r="A5032" i="3"/>
  <c r="B5031" i="3"/>
  <c r="A5031" i="3"/>
  <c r="B5030" i="3"/>
  <c r="A5030" i="3"/>
  <c r="B5029" i="3"/>
  <c r="A5029" i="3"/>
  <c r="B5028" i="3"/>
  <c r="A5028" i="3"/>
  <c r="B5027" i="3"/>
  <c r="A5027" i="3"/>
  <c r="B5026" i="3"/>
  <c r="A5026" i="3"/>
  <c r="B5025" i="3"/>
  <c r="A5025" i="3"/>
  <c r="B5024" i="3"/>
  <c r="A5024" i="3"/>
  <c r="B5023" i="3"/>
  <c r="A5023" i="3"/>
  <c r="B5022" i="3"/>
  <c r="A5022" i="3"/>
  <c r="B5021" i="3"/>
  <c r="A5021" i="3"/>
  <c r="B5020" i="3"/>
  <c r="A5020" i="3"/>
  <c r="B5019" i="3"/>
  <c r="A5019" i="3"/>
  <c r="B5018" i="3"/>
  <c r="A5018" i="3"/>
  <c r="B5017" i="3"/>
  <c r="A5017" i="3"/>
  <c r="B5016" i="3"/>
  <c r="A5016" i="3"/>
  <c r="B5015" i="3"/>
  <c r="A5015" i="3"/>
  <c r="B5014" i="3"/>
  <c r="A5014" i="3"/>
  <c r="B5013" i="3"/>
  <c r="A5013" i="3"/>
  <c r="B5012" i="3"/>
  <c r="A5012" i="3"/>
  <c r="B5011" i="3"/>
  <c r="A5011" i="3"/>
  <c r="B5010" i="3"/>
  <c r="A5010" i="3"/>
  <c r="B5009" i="3"/>
  <c r="A5009" i="3"/>
  <c r="B5008" i="3"/>
  <c r="A5008" i="3"/>
  <c r="B5007" i="3"/>
  <c r="A5007" i="3"/>
  <c r="B5006" i="3"/>
  <c r="A5006" i="3"/>
  <c r="B5005" i="3"/>
  <c r="A5005" i="3"/>
  <c r="B5004" i="3"/>
  <c r="A5004" i="3"/>
  <c r="B5003" i="3"/>
  <c r="A5003" i="3"/>
  <c r="B5002" i="3"/>
  <c r="A5002" i="3"/>
  <c r="B5001" i="3"/>
  <c r="A5001" i="3"/>
  <c r="B5000" i="3"/>
  <c r="A5000" i="3"/>
  <c r="B4999" i="3"/>
  <c r="A4999" i="3"/>
  <c r="B4998" i="3"/>
  <c r="A4998" i="3"/>
  <c r="B4997" i="3"/>
  <c r="A4997" i="3"/>
  <c r="B4996" i="3"/>
  <c r="A4996" i="3"/>
  <c r="B4995" i="3"/>
  <c r="A4995" i="3"/>
  <c r="B4994" i="3"/>
  <c r="A4994" i="3"/>
  <c r="B4993" i="3"/>
  <c r="A4993" i="3"/>
  <c r="B4992" i="3"/>
  <c r="A4992" i="3"/>
  <c r="B4991" i="3"/>
  <c r="A4991" i="3"/>
  <c r="B4990" i="3"/>
  <c r="A4990" i="3"/>
  <c r="B4989" i="3"/>
  <c r="A4989" i="3"/>
  <c r="B4988" i="3"/>
  <c r="A4988" i="3"/>
  <c r="B4987" i="3"/>
  <c r="A4987" i="3"/>
  <c r="B4986" i="3"/>
  <c r="A4986" i="3"/>
  <c r="B4985" i="3"/>
  <c r="A4985" i="3"/>
  <c r="B4984" i="3"/>
  <c r="A4984" i="3"/>
  <c r="B4983" i="3"/>
  <c r="A4983" i="3"/>
  <c r="B4982" i="3"/>
  <c r="A4982" i="3"/>
  <c r="B4981" i="3"/>
  <c r="A4981" i="3"/>
  <c r="B4980" i="3"/>
  <c r="A4980" i="3"/>
  <c r="B4979" i="3"/>
  <c r="A4979" i="3"/>
  <c r="B4978" i="3"/>
  <c r="A4978" i="3"/>
  <c r="B4977" i="3"/>
  <c r="A4977" i="3"/>
  <c r="B4976" i="3"/>
  <c r="A4976" i="3"/>
  <c r="B4975" i="3"/>
  <c r="A4975" i="3"/>
  <c r="B4974" i="3"/>
  <c r="A4974" i="3"/>
  <c r="B4973" i="3"/>
  <c r="A4973" i="3"/>
  <c r="B4972" i="3"/>
  <c r="A4972" i="3"/>
  <c r="B4971" i="3"/>
  <c r="A4971" i="3"/>
  <c r="B4970" i="3"/>
  <c r="A4970" i="3"/>
  <c r="B4969" i="3"/>
  <c r="A4969" i="3"/>
  <c r="B4968" i="3"/>
  <c r="A4968" i="3"/>
  <c r="B4967" i="3"/>
  <c r="A4967" i="3"/>
  <c r="B4966" i="3"/>
  <c r="A4966" i="3"/>
  <c r="B4965" i="3"/>
  <c r="A4965" i="3"/>
  <c r="B4964" i="3"/>
  <c r="A4964" i="3"/>
  <c r="B4963" i="3"/>
  <c r="A4963" i="3"/>
  <c r="B4962" i="3"/>
  <c r="A4962" i="3"/>
  <c r="B4961" i="3"/>
  <c r="A4961" i="3"/>
  <c r="B4960" i="3"/>
  <c r="A4960" i="3"/>
  <c r="B4959" i="3"/>
  <c r="A4959" i="3"/>
  <c r="B4958" i="3"/>
  <c r="A4958" i="3"/>
  <c r="B4957" i="3"/>
  <c r="A4957" i="3"/>
  <c r="B4956" i="3"/>
  <c r="A4956" i="3"/>
  <c r="B4955" i="3"/>
  <c r="A4955" i="3"/>
  <c r="B4954" i="3"/>
  <c r="A4954" i="3"/>
  <c r="B4953" i="3"/>
  <c r="B4952" i="3"/>
  <c r="A4952" i="3"/>
  <c r="B4951" i="3"/>
  <c r="A4951" i="3"/>
  <c r="B4950" i="3"/>
  <c r="A4950" i="3"/>
  <c r="B4949" i="3"/>
  <c r="A4949" i="3"/>
  <c r="B4948" i="3"/>
  <c r="A4948" i="3"/>
  <c r="B4947" i="3"/>
  <c r="A4947" i="3"/>
  <c r="B4946" i="3"/>
  <c r="A4946" i="3"/>
  <c r="B4945" i="3"/>
  <c r="A4945" i="3"/>
  <c r="B4944" i="3"/>
  <c r="A4944" i="3"/>
  <c r="B4943" i="3"/>
  <c r="A4943" i="3"/>
  <c r="B4942" i="3"/>
  <c r="A4942" i="3"/>
  <c r="B4941" i="3"/>
  <c r="A4941" i="3"/>
  <c r="B4940" i="3"/>
  <c r="A4940" i="3"/>
  <c r="B4939" i="3"/>
  <c r="A4939" i="3"/>
  <c r="B4938" i="3"/>
  <c r="A4938" i="3"/>
  <c r="B4937" i="3"/>
  <c r="A4937" i="3"/>
  <c r="B4936" i="3"/>
  <c r="A4936" i="3"/>
  <c r="B4935" i="3"/>
  <c r="A4935" i="3"/>
  <c r="B4934" i="3"/>
  <c r="A4934" i="3"/>
  <c r="B4933" i="3"/>
  <c r="A4933" i="3"/>
  <c r="B4932" i="3"/>
  <c r="A4932" i="3"/>
  <c r="B4931" i="3"/>
  <c r="A4931" i="3"/>
  <c r="B4930" i="3"/>
  <c r="A4930" i="3"/>
  <c r="B4929" i="3"/>
  <c r="A4929" i="3"/>
  <c r="B4928" i="3"/>
  <c r="A4928" i="3"/>
  <c r="B4927" i="3"/>
  <c r="A4927" i="3"/>
  <c r="B4926" i="3"/>
  <c r="A4926" i="3"/>
  <c r="B4925" i="3"/>
  <c r="A4925" i="3"/>
  <c r="B4924" i="3"/>
  <c r="A4924" i="3"/>
  <c r="B4923" i="3"/>
  <c r="A4923" i="3"/>
  <c r="B4922" i="3"/>
  <c r="A4922" i="3"/>
  <c r="B4921" i="3"/>
  <c r="A4921" i="3"/>
  <c r="B4920" i="3"/>
  <c r="A4920" i="3"/>
  <c r="B4919" i="3"/>
  <c r="A4919" i="3"/>
  <c r="B4918" i="3"/>
  <c r="A4918" i="3"/>
  <c r="B4917" i="3"/>
  <c r="A4917" i="3"/>
  <c r="B4916" i="3"/>
  <c r="A4916" i="3"/>
  <c r="B4915" i="3"/>
  <c r="A4915" i="3"/>
  <c r="B4914" i="3"/>
  <c r="A4914" i="3"/>
  <c r="B4913" i="3"/>
  <c r="A4913" i="3"/>
  <c r="B4912" i="3"/>
  <c r="A4912" i="3"/>
  <c r="B4911" i="3"/>
  <c r="A4911" i="3"/>
  <c r="B4910" i="3"/>
  <c r="A4910" i="3"/>
  <c r="B4909" i="3"/>
  <c r="A4909" i="3"/>
  <c r="B4908" i="3"/>
  <c r="A4908" i="3"/>
  <c r="B4907" i="3"/>
  <c r="A4907" i="3"/>
  <c r="B4906" i="3"/>
  <c r="A4906" i="3"/>
  <c r="B4905" i="3"/>
  <c r="A4905" i="3"/>
  <c r="B4904" i="3"/>
  <c r="A4904" i="3"/>
  <c r="B4903" i="3"/>
  <c r="A4903" i="3"/>
  <c r="B4902" i="3"/>
  <c r="A4902" i="3"/>
  <c r="B4901" i="3"/>
  <c r="A4901" i="3"/>
  <c r="B4900" i="3"/>
  <c r="A4900" i="3"/>
  <c r="B4899" i="3"/>
  <c r="A4899" i="3"/>
  <c r="B4898" i="3"/>
  <c r="A4898" i="3"/>
  <c r="B4897" i="3"/>
  <c r="A4897" i="3"/>
  <c r="B4896" i="3"/>
  <c r="A4896" i="3"/>
  <c r="B4895" i="3"/>
  <c r="A4895" i="3"/>
  <c r="B4894" i="3"/>
  <c r="A4894" i="3"/>
  <c r="B4893" i="3"/>
  <c r="A4893" i="3"/>
  <c r="B4892" i="3"/>
  <c r="A4892" i="3"/>
  <c r="B4891" i="3"/>
  <c r="A4891" i="3"/>
  <c r="B4890" i="3"/>
  <c r="A4890" i="3"/>
  <c r="B4889" i="3"/>
  <c r="A4889" i="3"/>
  <c r="B4888" i="3"/>
  <c r="A4888" i="3"/>
  <c r="B4887" i="3"/>
  <c r="A4887" i="3"/>
  <c r="B4886" i="3"/>
  <c r="A4886" i="3"/>
  <c r="B4885" i="3"/>
  <c r="A4885" i="3"/>
  <c r="B4884" i="3"/>
  <c r="A4884" i="3"/>
  <c r="B4883" i="3"/>
  <c r="A4883" i="3"/>
  <c r="B4882" i="3"/>
  <c r="A4882" i="3"/>
  <c r="B4881" i="3"/>
  <c r="A4881" i="3"/>
  <c r="B4880" i="3"/>
  <c r="A4880" i="3"/>
  <c r="B4879" i="3"/>
  <c r="A4879" i="3"/>
  <c r="B4878" i="3"/>
  <c r="A4878" i="3"/>
  <c r="B4877" i="3"/>
  <c r="A4877" i="3"/>
  <c r="B4876" i="3"/>
  <c r="A4876" i="3"/>
  <c r="B4875" i="3"/>
  <c r="A4875" i="3"/>
  <c r="B4874" i="3"/>
  <c r="A4874" i="3"/>
  <c r="B4873" i="3"/>
  <c r="A4873" i="3"/>
  <c r="B4872" i="3"/>
  <c r="A4872" i="3"/>
  <c r="B4871" i="3"/>
  <c r="A4871" i="3"/>
  <c r="B4870" i="3"/>
  <c r="A4870" i="3"/>
  <c r="B4869" i="3"/>
  <c r="A4869" i="3"/>
  <c r="B4868" i="3"/>
  <c r="A4868" i="3"/>
  <c r="B4867" i="3"/>
  <c r="A4867" i="3"/>
  <c r="B4866" i="3"/>
  <c r="A4866" i="3"/>
  <c r="B4865" i="3"/>
  <c r="A4865" i="3"/>
  <c r="B4864" i="3"/>
  <c r="A4864" i="3"/>
  <c r="B4863" i="3"/>
  <c r="A4863" i="3"/>
  <c r="B4862" i="3"/>
  <c r="A4862" i="3"/>
  <c r="B4861" i="3"/>
  <c r="A4861" i="3"/>
  <c r="B4860" i="3"/>
  <c r="A4860" i="3"/>
  <c r="B4859" i="3"/>
  <c r="A4859" i="3"/>
  <c r="B4858" i="3"/>
  <c r="A4858" i="3"/>
  <c r="B4857" i="3"/>
  <c r="A4857" i="3"/>
  <c r="B4856" i="3"/>
  <c r="B4855" i="3"/>
  <c r="A4855" i="3"/>
  <c r="B4854" i="3"/>
  <c r="A4854" i="3"/>
  <c r="B4853" i="3"/>
  <c r="A4853" i="3"/>
  <c r="B4852" i="3"/>
  <c r="A4852" i="3"/>
  <c r="B4851" i="3"/>
  <c r="A4851" i="3"/>
  <c r="B4850" i="3"/>
  <c r="A4850" i="3"/>
  <c r="B4849" i="3"/>
  <c r="A4849" i="3"/>
  <c r="B4848" i="3"/>
  <c r="A4848" i="3"/>
  <c r="B4847" i="3"/>
  <c r="A4847" i="3"/>
  <c r="B4846" i="3"/>
  <c r="A4846" i="3"/>
  <c r="B4845" i="3"/>
  <c r="A4845" i="3"/>
  <c r="B4844" i="3"/>
  <c r="A4844" i="3"/>
  <c r="B4843" i="3"/>
  <c r="A4843" i="3"/>
  <c r="B4842" i="3"/>
  <c r="A4842" i="3"/>
  <c r="B4841" i="3"/>
  <c r="A4841" i="3"/>
  <c r="B4840" i="3"/>
  <c r="A4840" i="3"/>
  <c r="B4839" i="3"/>
  <c r="A4839" i="3"/>
  <c r="B4838" i="3"/>
  <c r="A4838" i="3"/>
  <c r="B4837" i="3"/>
  <c r="A4837" i="3"/>
  <c r="B4836" i="3"/>
  <c r="A4836" i="3"/>
  <c r="B4835" i="3"/>
  <c r="A4835" i="3"/>
  <c r="B4834" i="3"/>
  <c r="A4834" i="3"/>
  <c r="B4833" i="3"/>
  <c r="A4833" i="3"/>
  <c r="B4832" i="3"/>
  <c r="A4832" i="3"/>
  <c r="B4831" i="3"/>
  <c r="A4831" i="3"/>
  <c r="B4830" i="3"/>
  <c r="A4830" i="3"/>
  <c r="B4829" i="3"/>
  <c r="A4829" i="3"/>
  <c r="B4828" i="3"/>
  <c r="A4828" i="3"/>
  <c r="B4827" i="3"/>
  <c r="A4827" i="3"/>
  <c r="B4826" i="3"/>
  <c r="A4826" i="3"/>
  <c r="B4825" i="3"/>
  <c r="A4825" i="3"/>
  <c r="B4824" i="3"/>
  <c r="A4824" i="3"/>
  <c r="B4823" i="3"/>
  <c r="A4823" i="3"/>
  <c r="B4822" i="3"/>
  <c r="A4822" i="3"/>
  <c r="B4821" i="3"/>
  <c r="A4821" i="3"/>
  <c r="B4820" i="3"/>
  <c r="A4820" i="3"/>
  <c r="B4819" i="3"/>
  <c r="A4819" i="3"/>
  <c r="B4818" i="3"/>
  <c r="A4818" i="3"/>
  <c r="B4817" i="3"/>
  <c r="A4817" i="3"/>
  <c r="B4816" i="3"/>
  <c r="A4816" i="3"/>
  <c r="B4815" i="3"/>
  <c r="A4815" i="3"/>
  <c r="B4814" i="3"/>
  <c r="A4814" i="3"/>
  <c r="B4813" i="3"/>
  <c r="A4813" i="3"/>
  <c r="B4812" i="3"/>
  <c r="A4812" i="3"/>
  <c r="B4811" i="3"/>
  <c r="A4811" i="3"/>
  <c r="B4810" i="3"/>
  <c r="A4810" i="3"/>
  <c r="B4809" i="3"/>
  <c r="A4809" i="3"/>
  <c r="B4808" i="3"/>
  <c r="A4808" i="3"/>
  <c r="B4807" i="3"/>
  <c r="A4807" i="3"/>
  <c r="B4806" i="3"/>
  <c r="A4806" i="3"/>
  <c r="B4805" i="3"/>
  <c r="A4805" i="3"/>
  <c r="B4804" i="3"/>
  <c r="A4804" i="3"/>
  <c r="B4803" i="3"/>
  <c r="A4803" i="3"/>
  <c r="B4802" i="3"/>
  <c r="A4802" i="3"/>
  <c r="B4801" i="3"/>
  <c r="A4801" i="3"/>
  <c r="B4800" i="3"/>
  <c r="A4800" i="3"/>
  <c r="B4799" i="3"/>
  <c r="A4799" i="3"/>
  <c r="B4798" i="3"/>
  <c r="A4798" i="3"/>
  <c r="B4797" i="3"/>
  <c r="A4797" i="3"/>
  <c r="B4796" i="3"/>
  <c r="A4796" i="3"/>
  <c r="B4795" i="3"/>
  <c r="A4795" i="3"/>
  <c r="B4794" i="3"/>
  <c r="A4794" i="3"/>
  <c r="B4793" i="3"/>
  <c r="A4793" i="3"/>
  <c r="B4792" i="3"/>
  <c r="A4792" i="3"/>
  <c r="B4791" i="3"/>
  <c r="A4791" i="3"/>
  <c r="B4790" i="3"/>
  <c r="A4790" i="3"/>
  <c r="B4789" i="3"/>
  <c r="A4789" i="3"/>
  <c r="B4788" i="3"/>
  <c r="A4788" i="3"/>
  <c r="B4787" i="3"/>
  <c r="A4787" i="3"/>
  <c r="B4786" i="3"/>
  <c r="A4786" i="3"/>
  <c r="B4785" i="3"/>
  <c r="A4785" i="3"/>
  <c r="B4784" i="3"/>
  <c r="A4784" i="3"/>
  <c r="B4783" i="3"/>
  <c r="A4783" i="3"/>
  <c r="B4782" i="3"/>
  <c r="B4781" i="3"/>
  <c r="A4781" i="3"/>
  <c r="B4780" i="3"/>
  <c r="A4780" i="3"/>
  <c r="B4779" i="3"/>
  <c r="A4779" i="3"/>
  <c r="B4778" i="3"/>
  <c r="A4778" i="3"/>
  <c r="B4777" i="3"/>
  <c r="A4777" i="3"/>
  <c r="B4776" i="3"/>
  <c r="A4776" i="3"/>
  <c r="B4775" i="3"/>
  <c r="A4775" i="3"/>
  <c r="B4774" i="3"/>
  <c r="A4774" i="3"/>
  <c r="B4773" i="3"/>
  <c r="A4773" i="3"/>
  <c r="B4772" i="3"/>
  <c r="A4772" i="3"/>
  <c r="B4771" i="3"/>
  <c r="A4771" i="3"/>
  <c r="B4770" i="3"/>
  <c r="A4770" i="3"/>
  <c r="B4769" i="3"/>
  <c r="A4769" i="3"/>
  <c r="B4768" i="3"/>
  <c r="A4768" i="3"/>
  <c r="B4767" i="3"/>
  <c r="A4767" i="3"/>
  <c r="B4766" i="3"/>
  <c r="A4766" i="3"/>
  <c r="B4765" i="3"/>
  <c r="A4765" i="3"/>
  <c r="B4764" i="3"/>
  <c r="A4764" i="3"/>
  <c r="B4763" i="3"/>
  <c r="A4763" i="3"/>
  <c r="B4762" i="3"/>
  <c r="A4762" i="3"/>
  <c r="B4761" i="3"/>
  <c r="A4761" i="3"/>
  <c r="B4760" i="3"/>
  <c r="A4760" i="3"/>
  <c r="B4759" i="3"/>
  <c r="A4759" i="3"/>
  <c r="B4758" i="3"/>
  <c r="A4758" i="3"/>
  <c r="B4757" i="3"/>
  <c r="A4757" i="3"/>
  <c r="B4756" i="3"/>
  <c r="A4756" i="3"/>
  <c r="B4755" i="3"/>
  <c r="A4755" i="3"/>
  <c r="B4754" i="3"/>
  <c r="A4754" i="3"/>
  <c r="B4753" i="3"/>
  <c r="A4753" i="3"/>
  <c r="B4752" i="3"/>
  <c r="A4752" i="3"/>
  <c r="B4751" i="3"/>
  <c r="A4751" i="3"/>
  <c r="B4750" i="3"/>
  <c r="A4750" i="3"/>
  <c r="B4749" i="3"/>
  <c r="A4749" i="3"/>
  <c r="B4748" i="3"/>
  <c r="A4748" i="3"/>
  <c r="B4747" i="3"/>
  <c r="A4747" i="3"/>
  <c r="B4746" i="3"/>
  <c r="A4746" i="3"/>
  <c r="B4745" i="3"/>
  <c r="A4745" i="3"/>
  <c r="B4744" i="3"/>
  <c r="A4744" i="3"/>
  <c r="B4743" i="3"/>
  <c r="A4743" i="3"/>
  <c r="B4742" i="3"/>
  <c r="A4742" i="3"/>
  <c r="B4741" i="3"/>
  <c r="A4741" i="3"/>
  <c r="B4740" i="3"/>
  <c r="A4740" i="3"/>
  <c r="B4739" i="3"/>
  <c r="A4739" i="3"/>
  <c r="B4738" i="3"/>
  <c r="A4738" i="3"/>
  <c r="B4737" i="3"/>
  <c r="A4737" i="3"/>
  <c r="B4736" i="3"/>
  <c r="A4736" i="3"/>
  <c r="B4735" i="3"/>
  <c r="A4735" i="3"/>
  <c r="B4734" i="3"/>
  <c r="A4734" i="3"/>
  <c r="B4733" i="3"/>
  <c r="A4733" i="3"/>
  <c r="B4732" i="3"/>
  <c r="A4732" i="3"/>
  <c r="B4731" i="3"/>
  <c r="A4731" i="3"/>
  <c r="B4730" i="3"/>
  <c r="A4730" i="3"/>
  <c r="B4729" i="3"/>
  <c r="A4729" i="3"/>
  <c r="B4728" i="3"/>
  <c r="A4728" i="3"/>
  <c r="B4727" i="3"/>
  <c r="A4727" i="3"/>
  <c r="B4726" i="3"/>
  <c r="A4726" i="3"/>
  <c r="B4725" i="3"/>
  <c r="A4725" i="3"/>
  <c r="B4724" i="3"/>
  <c r="A4724" i="3"/>
  <c r="B4723" i="3"/>
  <c r="A4723" i="3"/>
  <c r="B4722" i="3"/>
  <c r="A4722" i="3"/>
  <c r="B4721" i="3"/>
  <c r="A4721" i="3"/>
  <c r="B4720" i="3"/>
  <c r="A4720" i="3"/>
  <c r="B4719" i="3"/>
  <c r="A4719" i="3"/>
  <c r="B4718" i="3"/>
  <c r="A4718" i="3"/>
  <c r="B4717" i="3"/>
  <c r="A4717" i="3"/>
  <c r="B4716" i="3"/>
  <c r="A4716" i="3"/>
  <c r="B4715" i="3"/>
  <c r="A4715" i="3"/>
  <c r="B4714" i="3"/>
  <c r="A4714" i="3"/>
  <c r="B4713" i="3"/>
  <c r="A4713" i="3"/>
  <c r="B4712" i="3"/>
  <c r="A4712" i="3"/>
  <c r="B4711" i="3"/>
  <c r="A4711" i="3"/>
  <c r="B4710" i="3"/>
  <c r="A4710" i="3"/>
  <c r="B4709" i="3"/>
  <c r="A4709" i="3"/>
  <c r="B4708" i="3"/>
  <c r="A4708" i="3"/>
  <c r="B4707" i="3"/>
  <c r="A4707" i="3"/>
  <c r="B4706" i="3"/>
  <c r="A4706" i="3"/>
  <c r="B4705" i="3"/>
  <c r="A4705" i="3"/>
  <c r="B4704" i="3"/>
  <c r="A4704" i="3"/>
  <c r="B4703" i="3"/>
  <c r="A4703" i="3"/>
  <c r="B4702" i="3"/>
  <c r="A4702" i="3"/>
  <c r="B4701" i="3"/>
  <c r="A4701" i="3"/>
  <c r="B4700" i="3"/>
  <c r="A4700" i="3"/>
  <c r="B4699" i="3"/>
  <c r="A4699" i="3"/>
  <c r="B4698" i="3"/>
  <c r="A4698" i="3"/>
  <c r="B4697" i="3"/>
  <c r="A4697" i="3"/>
  <c r="B4696" i="3"/>
  <c r="A4696" i="3"/>
  <c r="B4695" i="3"/>
  <c r="A4695" i="3"/>
  <c r="B4694" i="3"/>
  <c r="A4694" i="3"/>
  <c r="B4693" i="3"/>
  <c r="A4693" i="3"/>
  <c r="B4692" i="3"/>
  <c r="A4692" i="3"/>
  <c r="B4691" i="3"/>
  <c r="A4691" i="3"/>
  <c r="B4690" i="3"/>
  <c r="A4690" i="3"/>
  <c r="B4689" i="3"/>
  <c r="A4689" i="3"/>
  <c r="B4688" i="3"/>
  <c r="A4688" i="3"/>
  <c r="B4687" i="3"/>
  <c r="A4687" i="3"/>
  <c r="B4686" i="3"/>
  <c r="B4685" i="3"/>
  <c r="A4685" i="3"/>
  <c r="B4684" i="3"/>
  <c r="A4684" i="3"/>
  <c r="B4683" i="3"/>
  <c r="A4683" i="3"/>
  <c r="B4682" i="3"/>
  <c r="A4682" i="3"/>
  <c r="B4681" i="3"/>
  <c r="A4681" i="3"/>
  <c r="B4680" i="3"/>
  <c r="A4680" i="3"/>
  <c r="B4679" i="3"/>
  <c r="A4679" i="3"/>
  <c r="B4678" i="3"/>
  <c r="A4678" i="3"/>
  <c r="B4677" i="3"/>
  <c r="A4677" i="3"/>
  <c r="B4676" i="3"/>
  <c r="A4676" i="3"/>
  <c r="B4675" i="3"/>
  <c r="A4675" i="3"/>
  <c r="B4674" i="3"/>
  <c r="A4674" i="3"/>
  <c r="B4673" i="3"/>
  <c r="A4673" i="3"/>
  <c r="B4672" i="3"/>
  <c r="A4672" i="3"/>
  <c r="B4671" i="3"/>
  <c r="A4671" i="3"/>
  <c r="B4670" i="3"/>
  <c r="A4670" i="3"/>
  <c r="B4669" i="3"/>
  <c r="A4669" i="3"/>
  <c r="B4668" i="3"/>
  <c r="A4668" i="3"/>
  <c r="B4667" i="3"/>
  <c r="A4667" i="3"/>
  <c r="B4666" i="3"/>
  <c r="A4666" i="3"/>
  <c r="B4665" i="3"/>
  <c r="A4665" i="3"/>
  <c r="B4664" i="3"/>
  <c r="A4664" i="3"/>
  <c r="B4663" i="3"/>
  <c r="A4663" i="3"/>
  <c r="B4662" i="3"/>
  <c r="A4662" i="3"/>
  <c r="B4661" i="3"/>
  <c r="A4661" i="3"/>
  <c r="B4660" i="3"/>
  <c r="A4660" i="3"/>
  <c r="B4659" i="3"/>
  <c r="A4659" i="3"/>
  <c r="B4658" i="3"/>
  <c r="A4658" i="3"/>
  <c r="B4657" i="3"/>
  <c r="A4657" i="3"/>
  <c r="B4656" i="3"/>
  <c r="A4656" i="3"/>
  <c r="B4655" i="3"/>
  <c r="A4655" i="3"/>
  <c r="B4654" i="3"/>
  <c r="A4654" i="3"/>
  <c r="B4653" i="3"/>
  <c r="A4653" i="3"/>
  <c r="B4652" i="3"/>
  <c r="A4652" i="3"/>
  <c r="B4651" i="3"/>
  <c r="A4651" i="3"/>
  <c r="B4650" i="3"/>
  <c r="A4650" i="3"/>
  <c r="B4649" i="3"/>
  <c r="A4649" i="3"/>
  <c r="B4648" i="3"/>
  <c r="A4648" i="3"/>
  <c r="B4647" i="3"/>
  <c r="A4647" i="3"/>
  <c r="B4646" i="3"/>
  <c r="A4646" i="3"/>
  <c r="B4645" i="3"/>
  <c r="A4645" i="3"/>
  <c r="B4644" i="3"/>
  <c r="A4644" i="3"/>
  <c r="B4643" i="3"/>
  <c r="A4643" i="3"/>
  <c r="B4642" i="3"/>
  <c r="A4642" i="3"/>
  <c r="B4641" i="3"/>
  <c r="A4641" i="3"/>
  <c r="B4640" i="3"/>
  <c r="A4640" i="3"/>
  <c r="B4639" i="3"/>
  <c r="A4639" i="3"/>
  <c r="B4638" i="3"/>
  <c r="A4638" i="3"/>
  <c r="B4637" i="3"/>
  <c r="A4637" i="3"/>
  <c r="B4636" i="3"/>
  <c r="A4636" i="3"/>
  <c r="B4635" i="3"/>
  <c r="A4635" i="3"/>
  <c r="B4634" i="3"/>
  <c r="A4634" i="3"/>
  <c r="B4633" i="3"/>
  <c r="A4633" i="3"/>
  <c r="B4632" i="3"/>
  <c r="A4632" i="3"/>
  <c r="B4631" i="3"/>
  <c r="A4631" i="3"/>
  <c r="B4630" i="3"/>
  <c r="A4630" i="3"/>
  <c r="B4629" i="3"/>
  <c r="A4629" i="3"/>
  <c r="B4628" i="3"/>
  <c r="A4628" i="3"/>
  <c r="B4627" i="3"/>
  <c r="A4627" i="3"/>
  <c r="B4626" i="3"/>
  <c r="A4626" i="3"/>
  <c r="B4625" i="3"/>
  <c r="A4625" i="3"/>
  <c r="B4624" i="3"/>
  <c r="A4624" i="3"/>
  <c r="B4623" i="3"/>
  <c r="A4623" i="3"/>
  <c r="B4622" i="3"/>
  <c r="A4622" i="3"/>
  <c r="B4621" i="3"/>
  <c r="A4621" i="3"/>
  <c r="B4620" i="3"/>
  <c r="A4620" i="3"/>
  <c r="B4619" i="3"/>
  <c r="A4619" i="3"/>
  <c r="B4618" i="3"/>
  <c r="A4618" i="3"/>
  <c r="B4617" i="3"/>
  <c r="A4617" i="3"/>
  <c r="B4616" i="3"/>
  <c r="A4616" i="3"/>
  <c r="B4615" i="3"/>
  <c r="A4615" i="3"/>
  <c r="B4614" i="3"/>
  <c r="A4614" i="3"/>
  <c r="B4613" i="3"/>
  <c r="A4613" i="3"/>
  <c r="B4612" i="3"/>
  <c r="A4612" i="3"/>
  <c r="B4611" i="3"/>
  <c r="A4611" i="3"/>
  <c r="B4610" i="3"/>
  <c r="A4610" i="3"/>
  <c r="B4609" i="3"/>
  <c r="A4609" i="3"/>
  <c r="B4608" i="3"/>
  <c r="A4608" i="3"/>
  <c r="B4607" i="3"/>
  <c r="A4607" i="3"/>
  <c r="B4606" i="3"/>
  <c r="A4606" i="3"/>
  <c r="B4605" i="3"/>
  <c r="A4605" i="3"/>
  <c r="B4604" i="3"/>
  <c r="A4604" i="3"/>
  <c r="B4603" i="3"/>
  <c r="A4603" i="3"/>
  <c r="B4602" i="3"/>
  <c r="A4602" i="3"/>
  <c r="B4601" i="3"/>
  <c r="A4601" i="3"/>
  <c r="B4600" i="3"/>
  <c r="A4600" i="3"/>
  <c r="B4599" i="3"/>
  <c r="A4599" i="3"/>
  <c r="B4598" i="3"/>
  <c r="A4598" i="3"/>
  <c r="B4597" i="3"/>
  <c r="A4597" i="3"/>
  <c r="B4596" i="3"/>
  <c r="A4596" i="3"/>
  <c r="B4595" i="3"/>
  <c r="A4595" i="3"/>
  <c r="B4594" i="3"/>
  <c r="A4594" i="3"/>
  <c r="B4593" i="3"/>
  <c r="A4593" i="3"/>
  <c r="B4592" i="3"/>
  <c r="A4592" i="3"/>
  <c r="B4591" i="3"/>
  <c r="A4591" i="3"/>
  <c r="B4590" i="3"/>
  <c r="A4590" i="3"/>
  <c r="B4589" i="3"/>
  <c r="A4589" i="3"/>
  <c r="B4588" i="3"/>
  <c r="A4588" i="3"/>
  <c r="B4587" i="3"/>
  <c r="A4587" i="3"/>
  <c r="B4586" i="3"/>
  <c r="A4586" i="3"/>
  <c r="B4585" i="3"/>
  <c r="A4585" i="3"/>
  <c r="B4584" i="3"/>
  <c r="A4584" i="3"/>
  <c r="B4583" i="3"/>
  <c r="A4583" i="3"/>
  <c r="B4582" i="3"/>
  <c r="A4582" i="3"/>
  <c r="B4581" i="3"/>
  <c r="A4581" i="3"/>
  <c r="B4580" i="3"/>
  <c r="A4580" i="3"/>
  <c r="B4579" i="3"/>
  <c r="A4579" i="3"/>
  <c r="B4578" i="3"/>
  <c r="A4578" i="3"/>
  <c r="B4577" i="3"/>
  <c r="A4577" i="3"/>
  <c r="B4576" i="3"/>
  <c r="A4576" i="3"/>
  <c r="B4575" i="3"/>
  <c r="A4575" i="3"/>
  <c r="B4574" i="3"/>
  <c r="A4574" i="3"/>
  <c r="B4573" i="3"/>
  <c r="A4573" i="3"/>
  <c r="B4572" i="3"/>
  <c r="A4572" i="3"/>
  <c r="B4571" i="3"/>
  <c r="A4571" i="3"/>
  <c r="B4570" i="3"/>
  <c r="A4570" i="3"/>
  <c r="B4569" i="3"/>
  <c r="A4569" i="3"/>
  <c r="B4568" i="3"/>
  <c r="A4568" i="3"/>
  <c r="B4567" i="3"/>
  <c r="A4567" i="3"/>
  <c r="B4566" i="3"/>
  <c r="A4566" i="3"/>
  <c r="B4565" i="3"/>
  <c r="A4565" i="3"/>
  <c r="B4564" i="3"/>
  <c r="A4564" i="3"/>
  <c r="B4563" i="3"/>
  <c r="A4563" i="3"/>
  <c r="B4562" i="3"/>
  <c r="A4562" i="3"/>
  <c r="B4561" i="3"/>
  <c r="A4561" i="3"/>
  <c r="B4560" i="3"/>
  <c r="A4560" i="3"/>
  <c r="B4559" i="3"/>
  <c r="A4559" i="3"/>
  <c r="B4558" i="3"/>
  <c r="A4558" i="3"/>
  <c r="B4557" i="3"/>
  <c r="A4557" i="3"/>
  <c r="B4556" i="3"/>
  <c r="B4555" i="3"/>
  <c r="A4555" i="3"/>
  <c r="B4554" i="3"/>
  <c r="A4554" i="3"/>
  <c r="B4553" i="3"/>
  <c r="A4553" i="3"/>
  <c r="B4552" i="3"/>
  <c r="A4552" i="3"/>
  <c r="B4551" i="3"/>
  <c r="A4551" i="3"/>
  <c r="B4550" i="3"/>
  <c r="A4550" i="3"/>
  <c r="B4549" i="3"/>
  <c r="A4549" i="3"/>
  <c r="B4548" i="3"/>
  <c r="A4548" i="3"/>
  <c r="B4547" i="3"/>
  <c r="A4547" i="3"/>
  <c r="B4546" i="3"/>
  <c r="A4546" i="3"/>
  <c r="B4545" i="3"/>
  <c r="A4545" i="3"/>
  <c r="B4544" i="3"/>
  <c r="A4544" i="3"/>
  <c r="B4543" i="3"/>
  <c r="A4543" i="3"/>
  <c r="B4542" i="3"/>
  <c r="A4542" i="3"/>
  <c r="B4541" i="3"/>
  <c r="A4541" i="3"/>
  <c r="B4540" i="3"/>
  <c r="A4540" i="3"/>
  <c r="B4539" i="3"/>
  <c r="A4539" i="3"/>
  <c r="B4538" i="3"/>
  <c r="A4538" i="3"/>
  <c r="B4537" i="3"/>
  <c r="A4537" i="3"/>
  <c r="B4536" i="3"/>
  <c r="A4536" i="3"/>
  <c r="B4535" i="3"/>
  <c r="A4535" i="3"/>
  <c r="B4534" i="3"/>
  <c r="A4534" i="3"/>
  <c r="B4533" i="3"/>
  <c r="A4533" i="3"/>
  <c r="B4532" i="3"/>
  <c r="A4532" i="3"/>
  <c r="B4531" i="3"/>
  <c r="A4531" i="3"/>
  <c r="B4530" i="3"/>
  <c r="A4530" i="3"/>
  <c r="B4529" i="3"/>
  <c r="A4529" i="3"/>
  <c r="B4528" i="3"/>
  <c r="A4528" i="3"/>
  <c r="B4527" i="3"/>
  <c r="A4527" i="3"/>
  <c r="B4526" i="3"/>
  <c r="A4526" i="3"/>
  <c r="B4525" i="3"/>
  <c r="A4525" i="3"/>
  <c r="B4524" i="3"/>
  <c r="A4524" i="3"/>
  <c r="B4523" i="3"/>
  <c r="A4523" i="3"/>
  <c r="B4522" i="3"/>
  <c r="A4522" i="3"/>
  <c r="B4521" i="3"/>
  <c r="A4521" i="3"/>
  <c r="B4520" i="3"/>
  <c r="A4520" i="3"/>
  <c r="B4519" i="3"/>
  <c r="A4519" i="3"/>
  <c r="B4518" i="3"/>
  <c r="A4518" i="3"/>
  <c r="B4517" i="3"/>
  <c r="A4517" i="3"/>
  <c r="B4516" i="3"/>
  <c r="A4516" i="3"/>
  <c r="B4515" i="3"/>
  <c r="A4515" i="3"/>
  <c r="B4514" i="3"/>
  <c r="A4514" i="3"/>
  <c r="B4513" i="3"/>
  <c r="A4513" i="3"/>
  <c r="B4512" i="3"/>
  <c r="A4512" i="3"/>
  <c r="B4511" i="3"/>
  <c r="A4511" i="3"/>
  <c r="B4510" i="3"/>
  <c r="A4510" i="3"/>
  <c r="B4509" i="3"/>
  <c r="A4509" i="3"/>
  <c r="B4508" i="3"/>
  <c r="A4508" i="3"/>
  <c r="B4507" i="3"/>
  <c r="A4507" i="3"/>
  <c r="B4506" i="3"/>
  <c r="A4506" i="3"/>
  <c r="B4505" i="3"/>
  <c r="A4505" i="3"/>
  <c r="B4504" i="3"/>
  <c r="A4504" i="3"/>
  <c r="B4503" i="3"/>
  <c r="A4503" i="3"/>
  <c r="B4502" i="3"/>
  <c r="A4502" i="3"/>
  <c r="B4501" i="3"/>
  <c r="A4501" i="3"/>
  <c r="B4500" i="3"/>
  <c r="A4500" i="3"/>
  <c r="B4499" i="3"/>
  <c r="A4499" i="3"/>
  <c r="B4498" i="3"/>
  <c r="A4498" i="3"/>
  <c r="B4497" i="3"/>
  <c r="A4497" i="3"/>
  <c r="B4496" i="3"/>
  <c r="A4496" i="3"/>
  <c r="B4495" i="3"/>
  <c r="A4495" i="3"/>
  <c r="B4494" i="3"/>
  <c r="A4494" i="3"/>
  <c r="B4493" i="3"/>
  <c r="A4493" i="3"/>
  <c r="B4492" i="3"/>
  <c r="A4492" i="3"/>
  <c r="B4491" i="3"/>
  <c r="A4491" i="3"/>
  <c r="B4490" i="3"/>
  <c r="A4490" i="3"/>
  <c r="B4489" i="3"/>
  <c r="A4489" i="3"/>
  <c r="B4488" i="3"/>
  <c r="A4488" i="3"/>
  <c r="B4487" i="3"/>
  <c r="A4487" i="3"/>
  <c r="B4486" i="3"/>
  <c r="A4486" i="3"/>
  <c r="B4485" i="3"/>
  <c r="A4485" i="3"/>
  <c r="B4484" i="3"/>
  <c r="A4484" i="3"/>
  <c r="B4483" i="3"/>
  <c r="A4483" i="3"/>
  <c r="B4482" i="3"/>
  <c r="A4482" i="3"/>
  <c r="B4481" i="3"/>
  <c r="A4481" i="3"/>
  <c r="B4480" i="3"/>
  <c r="A4480" i="3"/>
  <c r="B4479" i="3"/>
  <c r="A4479" i="3"/>
  <c r="B4478" i="3"/>
  <c r="A4478" i="3"/>
  <c r="B4477" i="3"/>
  <c r="A4477" i="3"/>
  <c r="B4476" i="3"/>
  <c r="A4476" i="3"/>
  <c r="B4475" i="3"/>
  <c r="A4475" i="3"/>
  <c r="B4474" i="3"/>
  <c r="A4474" i="3"/>
  <c r="B4473" i="3"/>
  <c r="A4473" i="3"/>
  <c r="B4472" i="3"/>
  <c r="A4472" i="3"/>
  <c r="B4471" i="3"/>
  <c r="A4471" i="3"/>
  <c r="B4470" i="3"/>
  <c r="A4470" i="3"/>
  <c r="B4469" i="3"/>
  <c r="A4469" i="3"/>
  <c r="B4468" i="3"/>
  <c r="A4468" i="3"/>
  <c r="B4467" i="3"/>
  <c r="A4467" i="3"/>
  <c r="B4466" i="3"/>
  <c r="A4466" i="3"/>
  <c r="B4465" i="3"/>
  <c r="A4465" i="3"/>
  <c r="B4464" i="3"/>
  <c r="A4464" i="3"/>
  <c r="B4463" i="3"/>
  <c r="A4463" i="3"/>
  <c r="B4462" i="3"/>
  <c r="A4462" i="3"/>
  <c r="B4461" i="3"/>
  <c r="A4461" i="3"/>
  <c r="B4460" i="3"/>
  <c r="A4460" i="3"/>
  <c r="B4459" i="3"/>
  <c r="A4459" i="3"/>
  <c r="B4458" i="3"/>
  <c r="A4458" i="3"/>
  <c r="B4457" i="3"/>
  <c r="A4457" i="3"/>
  <c r="B4456" i="3"/>
  <c r="A4456" i="3"/>
  <c r="B4455" i="3"/>
  <c r="A4455" i="3"/>
  <c r="B4454" i="3"/>
  <c r="A4454" i="3"/>
  <c r="B4453" i="3"/>
  <c r="A4453" i="3"/>
  <c r="B4452" i="3"/>
  <c r="A4452" i="3"/>
  <c r="B4451" i="3"/>
  <c r="A4451" i="3"/>
  <c r="B4450" i="3"/>
  <c r="A4450" i="3"/>
  <c r="B4449" i="3"/>
  <c r="A4449" i="3"/>
  <c r="B4448" i="3"/>
  <c r="A4448" i="3"/>
  <c r="B4447" i="3"/>
  <c r="A4447" i="3"/>
  <c r="B4446" i="3"/>
  <c r="A4446" i="3"/>
  <c r="B4445" i="3"/>
  <c r="A4445" i="3"/>
  <c r="B4444" i="3"/>
  <c r="A4444" i="3"/>
  <c r="B4443" i="3"/>
  <c r="A4443" i="3"/>
  <c r="B4442" i="3"/>
  <c r="A4442" i="3"/>
  <c r="B4441" i="3"/>
  <c r="A4441" i="3"/>
  <c r="B4440" i="3"/>
  <c r="A4440" i="3"/>
  <c r="B4439" i="3"/>
  <c r="A4439" i="3"/>
  <c r="B4438" i="3"/>
  <c r="A4438" i="3"/>
  <c r="B4437" i="3"/>
  <c r="A4437" i="3"/>
  <c r="B4436" i="3"/>
  <c r="A4436" i="3"/>
  <c r="B4435" i="3"/>
  <c r="A4435" i="3"/>
  <c r="B4434" i="3"/>
  <c r="A4434" i="3"/>
  <c r="B4433" i="3"/>
  <c r="A4433" i="3"/>
  <c r="B4432" i="3"/>
  <c r="A4432" i="3"/>
  <c r="B4431" i="3"/>
  <c r="A4431" i="3"/>
  <c r="B4430" i="3"/>
  <c r="A4430" i="3"/>
  <c r="B4429" i="3"/>
  <c r="A4429" i="3"/>
  <c r="B4428" i="3"/>
  <c r="B4427" i="3"/>
  <c r="A4427" i="3"/>
  <c r="B4426" i="3"/>
  <c r="A4426" i="3"/>
  <c r="B4425" i="3"/>
  <c r="A4425" i="3"/>
  <c r="B4424" i="3"/>
  <c r="A4424" i="3"/>
  <c r="B4423" i="3"/>
  <c r="A4423" i="3"/>
  <c r="B4422" i="3"/>
  <c r="A4422" i="3"/>
  <c r="B4421" i="3"/>
  <c r="A4421" i="3"/>
  <c r="B4420" i="3"/>
  <c r="A4420" i="3"/>
  <c r="B4419" i="3"/>
  <c r="A4419" i="3"/>
  <c r="B4418" i="3"/>
  <c r="A4418" i="3"/>
  <c r="B4417" i="3"/>
  <c r="A4417" i="3"/>
  <c r="B4416" i="3"/>
  <c r="A4416" i="3"/>
  <c r="B4415" i="3"/>
  <c r="A4415" i="3"/>
  <c r="B4414" i="3"/>
  <c r="A4414" i="3"/>
  <c r="B4413" i="3"/>
  <c r="A4413" i="3"/>
  <c r="B4412" i="3"/>
  <c r="A4412" i="3"/>
  <c r="B4411" i="3"/>
  <c r="A4411" i="3"/>
  <c r="B4410" i="3"/>
  <c r="A4410" i="3"/>
  <c r="B4409" i="3"/>
  <c r="A4409" i="3"/>
  <c r="B4408" i="3"/>
  <c r="A4408" i="3"/>
  <c r="B4407" i="3"/>
  <c r="A4407" i="3"/>
  <c r="B4406" i="3"/>
  <c r="A4406" i="3"/>
  <c r="B4405" i="3"/>
  <c r="A4405" i="3"/>
  <c r="B4404" i="3"/>
  <c r="A4404" i="3"/>
  <c r="B4403" i="3"/>
  <c r="A4403" i="3"/>
  <c r="B4402" i="3"/>
  <c r="A4402" i="3"/>
  <c r="B4401" i="3"/>
  <c r="A4401" i="3"/>
  <c r="B4400" i="3"/>
  <c r="A4400" i="3"/>
  <c r="B4399" i="3"/>
  <c r="A4399" i="3"/>
  <c r="B4398" i="3"/>
  <c r="A4398" i="3"/>
  <c r="B4397" i="3"/>
  <c r="A4397" i="3"/>
  <c r="B4396" i="3"/>
  <c r="A4396" i="3"/>
  <c r="B4395" i="3"/>
  <c r="A4395" i="3"/>
  <c r="B4394" i="3"/>
  <c r="A4394" i="3"/>
  <c r="B4393" i="3"/>
  <c r="A4393" i="3"/>
  <c r="B4392" i="3"/>
  <c r="A4392" i="3"/>
  <c r="B4391" i="3"/>
  <c r="A4391" i="3"/>
  <c r="B4390" i="3"/>
  <c r="A4390" i="3"/>
  <c r="B4389" i="3"/>
  <c r="A4389" i="3"/>
  <c r="B4388" i="3"/>
  <c r="A4388" i="3"/>
  <c r="B4387" i="3"/>
  <c r="A4387" i="3"/>
  <c r="B4386" i="3"/>
  <c r="A4386" i="3"/>
  <c r="B4385" i="3"/>
  <c r="A4385" i="3"/>
  <c r="B4384" i="3"/>
  <c r="A4384" i="3"/>
  <c r="B4383" i="3"/>
  <c r="A4383" i="3"/>
  <c r="B4382" i="3"/>
  <c r="A4382" i="3"/>
  <c r="B4381" i="3"/>
  <c r="A4381" i="3"/>
  <c r="B4380" i="3"/>
  <c r="A4380" i="3"/>
  <c r="B4379" i="3"/>
  <c r="A4379" i="3"/>
  <c r="B4378" i="3"/>
  <c r="A4378" i="3"/>
  <c r="B4377" i="3"/>
  <c r="A4377" i="3"/>
  <c r="B4376" i="3"/>
  <c r="A4376" i="3"/>
  <c r="B4375" i="3"/>
  <c r="A4375" i="3"/>
  <c r="B4374" i="3"/>
  <c r="A4374" i="3"/>
  <c r="B4373" i="3"/>
  <c r="A4373" i="3"/>
  <c r="B4372" i="3"/>
  <c r="A4372" i="3"/>
  <c r="B4371" i="3"/>
  <c r="A4371" i="3"/>
  <c r="B4370" i="3"/>
  <c r="A4370" i="3"/>
  <c r="B4369" i="3"/>
  <c r="A4369" i="3"/>
  <c r="B4368" i="3"/>
  <c r="A4368" i="3"/>
  <c r="B4367" i="3"/>
  <c r="A4367" i="3"/>
  <c r="B4366" i="3"/>
  <c r="A4366" i="3"/>
  <c r="B4365" i="3"/>
  <c r="A4365" i="3"/>
  <c r="B4364" i="3"/>
  <c r="A4364" i="3"/>
  <c r="B4363" i="3"/>
  <c r="A4363" i="3"/>
  <c r="B4362" i="3"/>
  <c r="A4362" i="3"/>
  <c r="B4361" i="3"/>
  <c r="A4361" i="3"/>
  <c r="B4360" i="3"/>
  <c r="A4360" i="3"/>
  <c r="B4359" i="3"/>
  <c r="A4359" i="3"/>
  <c r="B4358" i="3"/>
  <c r="A4358" i="3"/>
  <c r="B4357" i="3"/>
  <c r="A4357" i="3"/>
  <c r="B4356" i="3"/>
  <c r="A4356" i="3"/>
  <c r="B4355" i="3"/>
  <c r="A4355" i="3"/>
  <c r="B4354" i="3"/>
  <c r="A4354" i="3"/>
  <c r="B4353" i="3"/>
  <c r="A4353" i="3"/>
  <c r="B4352" i="3"/>
  <c r="A4352" i="3"/>
  <c r="B4351" i="3"/>
  <c r="A4351" i="3"/>
  <c r="B4350" i="3"/>
  <c r="A4350" i="3"/>
  <c r="B4349" i="3"/>
  <c r="A4349" i="3"/>
  <c r="B4348" i="3"/>
  <c r="A4348" i="3"/>
  <c r="B4347" i="3"/>
  <c r="A4347" i="3"/>
  <c r="B4346" i="3"/>
  <c r="A4346" i="3"/>
  <c r="B4345" i="3"/>
  <c r="A4345" i="3"/>
  <c r="B4344" i="3"/>
  <c r="A4344" i="3"/>
  <c r="B4343" i="3"/>
  <c r="A4343" i="3"/>
  <c r="B4342" i="3"/>
  <c r="A4342" i="3"/>
  <c r="B4341" i="3"/>
  <c r="A4341" i="3"/>
  <c r="B4340" i="3"/>
  <c r="A4340" i="3"/>
  <c r="B4339" i="3"/>
  <c r="A4339" i="3"/>
  <c r="B4338" i="3"/>
  <c r="A4338" i="3"/>
  <c r="B4337" i="3"/>
  <c r="A4337" i="3"/>
  <c r="B4336" i="3"/>
  <c r="A4336" i="3"/>
  <c r="B4335" i="3"/>
  <c r="A4335" i="3"/>
  <c r="B4334" i="3"/>
  <c r="A4334" i="3"/>
  <c r="B4333" i="3"/>
  <c r="A4333" i="3"/>
  <c r="B4332" i="3"/>
  <c r="A4332" i="3"/>
  <c r="B4331" i="3"/>
  <c r="A4331" i="3"/>
  <c r="B4330" i="3"/>
  <c r="A4330" i="3"/>
  <c r="B4329" i="3"/>
  <c r="A4329" i="3"/>
  <c r="B4328" i="3"/>
  <c r="A4328" i="3"/>
  <c r="B4327" i="3"/>
  <c r="A4327" i="3"/>
  <c r="B4326" i="3"/>
  <c r="A4326" i="3"/>
  <c r="B4325" i="3"/>
  <c r="A4325" i="3"/>
  <c r="B4324" i="3"/>
  <c r="A4324" i="3"/>
  <c r="B4323" i="3"/>
  <c r="A4323" i="3"/>
  <c r="B4322" i="3"/>
  <c r="A4322" i="3"/>
  <c r="B4321" i="3"/>
  <c r="A4321" i="3"/>
  <c r="B4320" i="3"/>
  <c r="A4320" i="3"/>
  <c r="B4319" i="3"/>
  <c r="A4319" i="3"/>
  <c r="B4318" i="3"/>
  <c r="A4318" i="3"/>
  <c r="B4317" i="3"/>
  <c r="A4317" i="3"/>
  <c r="B4316" i="3"/>
  <c r="A4316" i="3"/>
  <c r="B4315" i="3"/>
  <c r="B4314" i="3"/>
  <c r="A4314" i="3"/>
  <c r="B4313" i="3"/>
  <c r="A4313" i="3"/>
  <c r="B4312" i="3"/>
  <c r="A4312" i="3"/>
  <c r="B4311" i="3"/>
  <c r="A4311" i="3"/>
  <c r="B4310" i="3"/>
  <c r="A4310" i="3"/>
  <c r="B4309" i="3"/>
  <c r="A4309" i="3"/>
  <c r="B4308" i="3"/>
  <c r="A4308" i="3"/>
  <c r="B4307" i="3"/>
  <c r="A4307" i="3"/>
  <c r="B4306" i="3"/>
  <c r="A4306" i="3"/>
  <c r="B4305" i="3"/>
  <c r="A4305" i="3"/>
  <c r="B4304" i="3"/>
  <c r="A4304" i="3"/>
  <c r="B4303" i="3"/>
  <c r="A4303" i="3"/>
  <c r="B4302" i="3"/>
  <c r="A4302" i="3"/>
  <c r="B4301" i="3"/>
  <c r="A4301" i="3"/>
  <c r="B4300" i="3"/>
  <c r="A4300" i="3"/>
  <c r="B4299" i="3"/>
  <c r="A4299" i="3"/>
  <c r="B4298" i="3"/>
  <c r="A4298" i="3"/>
  <c r="B4297" i="3"/>
  <c r="A4297" i="3"/>
  <c r="B4296" i="3"/>
  <c r="A4296" i="3"/>
  <c r="B4295" i="3"/>
  <c r="A4295" i="3"/>
  <c r="B4294" i="3"/>
  <c r="A4294" i="3"/>
  <c r="B4293" i="3"/>
  <c r="A4293" i="3"/>
  <c r="B4292" i="3"/>
  <c r="A4292" i="3"/>
  <c r="B4291" i="3"/>
  <c r="A4291" i="3"/>
  <c r="B4290" i="3"/>
  <c r="A4290" i="3"/>
  <c r="B4289" i="3"/>
  <c r="A4289" i="3"/>
  <c r="B4288" i="3"/>
  <c r="A4288" i="3"/>
  <c r="B4287" i="3"/>
  <c r="A4287" i="3"/>
  <c r="B4286" i="3"/>
  <c r="A4286" i="3"/>
  <c r="B4285" i="3"/>
  <c r="A4285" i="3"/>
  <c r="B4284" i="3"/>
  <c r="A4284" i="3"/>
  <c r="B4283" i="3"/>
  <c r="A4283" i="3"/>
  <c r="B4282" i="3"/>
  <c r="A4282" i="3"/>
  <c r="B4281" i="3"/>
  <c r="A4281" i="3"/>
  <c r="B4280" i="3"/>
  <c r="A4280" i="3"/>
  <c r="B4279" i="3"/>
  <c r="A4279" i="3"/>
  <c r="B4278" i="3"/>
  <c r="A4278" i="3"/>
  <c r="B4277" i="3"/>
  <c r="A4277" i="3"/>
  <c r="B4276" i="3"/>
  <c r="A4276" i="3"/>
  <c r="B4275" i="3"/>
  <c r="B4274" i="3"/>
  <c r="A4274" i="3"/>
  <c r="B4273" i="3"/>
  <c r="A4273" i="3"/>
  <c r="B4272" i="3"/>
  <c r="A4272" i="3"/>
  <c r="B4271" i="3"/>
  <c r="A4271" i="3"/>
  <c r="B4270" i="3"/>
  <c r="A4270" i="3"/>
  <c r="B4269" i="3"/>
  <c r="A4269" i="3"/>
  <c r="B4268" i="3"/>
  <c r="A4268" i="3"/>
  <c r="B4267" i="3"/>
  <c r="A4267" i="3"/>
  <c r="B4266" i="3"/>
  <c r="A4266" i="3"/>
  <c r="B4265" i="3"/>
  <c r="A4265" i="3"/>
  <c r="B4264" i="3"/>
  <c r="A4264" i="3"/>
  <c r="B4263" i="3"/>
  <c r="A4263" i="3"/>
  <c r="B4262" i="3"/>
  <c r="A4262" i="3"/>
  <c r="B4261" i="3"/>
  <c r="A4261" i="3"/>
  <c r="B4260" i="3"/>
  <c r="A4260" i="3"/>
  <c r="B4259" i="3"/>
  <c r="A4259" i="3"/>
  <c r="B4258" i="3"/>
  <c r="A4258" i="3"/>
  <c r="B4257" i="3"/>
  <c r="A4257" i="3"/>
  <c r="B4256" i="3"/>
  <c r="A4256" i="3"/>
  <c r="B4255" i="3"/>
  <c r="A4255" i="3"/>
  <c r="B4254" i="3"/>
  <c r="A4254" i="3"/>
  <c r="B4253" i="3"/>
  <c r="A4253" i="3"/>
  <c r="B4252" i="3"/>
  <c r="A4252" i="3"/>
  <c r="B4251" i="3"/>
  <c r="A4251" i="3"/>
  <c r="B4250" i="3"/>
  <c r="A4250" i="3"/>
  <c r="B4249" i="3"/>
  <c r="A4249" i="3"/>
  <c r="B4248" i="3"/>
  <c r="A4248" i="3"/>
  <c r="B4247" i="3"/>
  <c r="A4247" i="3"/>
  <c r="B4246" i="3"/>
  <c r="A4246" i="3"/>
  <c r="B4245" i="3"/>
  <c r="A4245" i="3"/>
  <c r="B4244" i="3"/>
  <c r="A4244" i="3"/>
  <c r="B4243" i="3"/>
  <c r="A4243" i="3"/>
  <c r="B4242" i="3"/>
  <c r="A4242" i="3"/>
  <c r="B4241" i="3"/>
  <c r="A4241" i="3"/>
  <c r="B4240" i="3"/>
  <c r="A4240" i="3"/>
  <c r="B4239" i="3"/>
  <c r="A4239" i="3"/>
  <c r="B4238" i="3"/>
  <c r="A4238" i="3"/>
  <c r="B4237" i="3"/>
  <c r="A4237" i="3"/>
  <c r="B4236" i="3"/>
  <c r="A4236" i="3"/>
  <c r="B4235" i="3"/>
  <c r="A4235" i="3"/>
  <c r="B4234" i="3"/>
  <c r="A4234" i="3"/>
  <c r="B4233" i="3"/>
  <c r="A4233" i="3"/>
  <c r="B4232" i="3"/>
  <c r="A4232" i="3"/>
  <c r="B4231" i="3"/>
  <c r="A4231" i="3"/>
  <c r="B4230" i="3"/>
  <c r="A4230" i="3"/>
  <c r="B4229" i="3"/>
  <c r="A4229" i="3"/>
  <c r="B4228" i="3"/>
  <c r="A4228" i="3"/>
  <c r="B4227" i="3"/>
  <c r="A4227" i="3"/>
  <c r="B4226" i="3"/>
  <c r="A4226" i="3"/>
  <c r="B4225" i="3"/>
  <c r="A4225" i="3"/>
  <c r="B4224" i="3"/>
  <c r="A4224" i="3"/>
  <c r="B4223" i="3"/>
  <c r="A4223" i="3"/>
  <c r="B4222" i="3"/>
  <c r="A4222" i="3"/>
  <c r="B4221" i="3"/>
  <c r="A4221" i="3"/>
  <c r="B4220" i="3"/>
  <c r="A4220" i="3"/>
  <c r="B4219" i="3"/>
  <c r="A4219" i="3"/>
  <c r="B4218" i="3"/>
  <c r="A4218" i="3"/>
  <c r="B4217" i="3"/>
  <c r="A4217" i="3"/>
  <c r="B4216" i="3"/>
  <c r="A4216" i="3"/>
  <c r="B4215" i="3"/>
  <c r="A4215" i="3"/>
  <c r="B4214" i="3"/>
  <c r="A4214" i="3"/>
  <c r="B4213" i="3"/>
  <c r="A4213" i="3"/>
  <c r="B4212" i="3"/>
  <c r="A4212" i="3"/>
  <c r="B4211" i="3"/>
  <c r="A4211" i="3"/>
  <c r="B4210" i="3"/>
  <c r="A4210" i="3"/>
  <c r="B4209" i="3"/>
  <c r="A4209" i="3"/>
  <c r="B4208" i="3"/>
  <c r="A4208" i="3"/>
  <c r="B4207" i="3"/>
  <c r="A4207" i="3"/>
  <c r="B4206" i="3"/>
  <c r="A4206" i="3"/>
  <c r="B4205" i="3"/>
  <c r="A4205" i="3"/>
  <c r="B4204" i="3"/>
  <c r="A4204" i="3"/>
  <c r="B4203" i="3"/>
  <c r="A4203" i="3"/>
  <c r="B4202" i="3"/>
  <c r="A4202" i="3"/>
  <c r="B4201" i="3"/>
  <c r="A4201" i="3"/>
  <c r="B4200" i="3"/>
  <c r="A4200" i="3"/>
  <c r="B4199" i="3"/>
  <c r="A4199" i="3"/>
  <c r="B4198" i="3"/>
  <c r="A4198" i="3"/>
  <c r="B4197" i="3"/>
  <c r="A4197" i="3"/>
  <c r="B4196" i="3"/>
  <c r="A4196" i="3"/>
  <c r="B4195" i="3"/>
  <c r="A4195" i="3"/>
  <c r="B4194" i="3"/>
  <c r="A4194" i="3"/>
  <c r="B4193" i="3"/>
  <c r="A4193" i="3"/>
  <c r="B4192" i="3"/>
  <c r="A4192" i="3"/>
  <c r="B4191" i="3"/>
  <c r="A4191" i="3"/>
  <c r="B4190" i="3"/>
  <c r="A4190" i="3"/>
  <c r="B4189" i="3"/>
  <c r="A4189" i="3"/>
  <c r="B4188" i="3"/>
  <c r="A4188" i="3"/>
  <c r="B4187" i="3"/>
  <c r="A4187" i="3"/>
  <c r="B4186" i="3"/>
  <c r="A4186" i="3"/>
  <c r="B4185" i="3"/>
  <c r="A4185" i="3"/>
  <c r="B4184" i="3"/>
  <c r="A4184" i="3"/>
  <c r="B4183" i="3"/>
  <c r="A4183" i="3"/>
  <c r="B4182" i="3"/>
  <c r="A4182" i="3"/>
  <c r="B4181" i="3"/>
  <c r="A4181" i="3"/>
  <c r="B4180" i="3"/>
  <c r="A4180" i="3"/>
  <c r="B4179" i="3"/>
  <c r="A4179" i="3"/>
  <c r="B4178" i="3"/>
  <c r="A4178" i="3"/>
  <c r="B4177" i="3"/>
  <c r="A4177" i="3"/>
  <c r="B4176" i="3"/>
  <c r="A4176" i="3"/>
  <c r="B4175" i="3"/>
  <c r="A4175" i="3"/>
  <c r="B4174" i="3"/>
  <c r="A4174" i="3"/>
  <c r="B4173" i="3"/>
  <c r="A4173" i="3"/>
  <c r="B4172" i="3"/>
  <c r="A4172" i="3"/>
  <c r="B4171" i="3"/>
  <c r="A4171" i="3"/>
  <c r="B4170" i="3"/>
  <c r="A4170" i="3"/>
  <c r="B4169" i="3"/>
  <c r="A4169" i="3"/>
  <c r="B4168" i="3"/>
  <c r="A4168" i="3"/>
  <c r="B4167" i="3"/>
  <c r="A4167" i="3"/>
  <c r="B4166" i="3"/>
  <c r="A4166" i="3"/>
  <c r="B4165" i="3"/>
  <c r="A4165" i="3"/>
  <c r="B4164" i="3"/>
  <c r="A4164" i="3"/>
  <c r="B4163" i="3"/>
  <c r="A4163" i="3"/>
  <c r="B4162" i="3"/>
  <c r="A4162" i="3"/>
  <c r="B4161" i="3"/>
  <c r="A4161" i="3"/>
  <c r="B4160" i="3"/>
  <c r="A4160" i="3"/>
  <c r="B4159" i="3"/>
  <c r="A4159" i="3"/>
  <c r="B4158" i="3"/>
  <c r="A4158" i="3"/>
  <c r="B4157" i="3"/>
  <c r="A4157" i="3"/>
  <c r="B4156" i="3"/>
  <c r="A4156" i="3"/>
  <c r="B4155" i="3"/>
  <c r="A4155" i="3"/>
  <c r="B4154" i="3"/>
  <c r="A4154" i="3"/>
  <c r="B4153" i="3"/>
  <c r="A4153" i="3"/>
  <c r="B4152" i="3"/>
  <c r="A4152" i="3"/>
  <c r="B4151" i="3"/>
  <c r="A4151" i="3"/>
  <c r="B4150" i="3"/>
  <c r="A4150" i="3"/>
  <c r="B4149" i="3"/>
  <c r="A4149" i="3"/>
  <c r="B4148" i="3"/>
  <c r="A4148" i="3"/>
  <c r="B4147" i="3"/>
  <c r="A4147" i="3"/>
  <c r="B4146" i="3"/>
  <c r="A4146" i="3"/>
  <c r="B4145" i="3"/>
  <c r="A4145" i="3"/>
  <c r="B4144" i="3"/>
  <c r="A4144" i="3"/>
  <c r="B4143" i="3"/>
  <c r="A4143" i="3"/>
  <c r="B4142" i="3"/>
  <c r="A4142" i="3"/>
  <c r="B4141" i="3"/>
  <c r="A4141" i="3"/>
  <c r="B4140" i="3"/>
  <c r="A4140" i="3"/>
  <c r="B4139" i="3"/>
  <c r="A4139" i="3"/>
  <c r="B4138" i="3"/>
  <c r="A4138" i="3"/>
  <c r="B4137" i="3"/>
  <c r="A4137" i="3"/>
  <c r="B4136" i="3"/>
  <c r="A4136" i="3"/>
  <c r="B4135" i="3"/>
  <c r="A4135" i="3"/>
  <c r="B4134" i="3"/>
  <c r="A4134" i="3"/>
  <c r="B4133" i="3"/>
  <c r="A4133" i="3"/>
  <c r="B4132" i="3"/>
  <c r="A4132" i="3"/>
  <c r="B4131" i="3"/>
  <c r="A4131" i="3"/>
  <c r="B4130" i="3"/>
  <c r="A4130" i="3"/>
  <c r="B4129" i="3"/>
  <c r="A4129" i="3"/>
  <c r="B4128" i="3"/>
  <c r="A4128" i="3"/>
  <c r="B4127" i="3"/>
  <c r="A4127" i="3"/>
  <c r="B4126" i="3"/>
  <c r="A4126" i="3"/>
  <c r="B4125" i="3"/>
  <c r="A4125" i="3"/>
  <c r="B4124" i="3"/>
  <c r="A4124" i="3"/>
  <c r="B4123" i="3"/>
  <c r="A4123" i="3"/>
  <c r="B4122" i="3"/>
  <c r="A4122" i="3"/>
  <c r="B4121" i="3"/>
  <c r="A4121" i="3"/>
  <c r="B4120" i="3"/>
  <c r="A4120" i="3"/>
  <c r="B4119" i="3"/>
  <c r="A4119" i="3"/>
  <c r="B4118" i="3"/>
  <c r="A4118" i="3"/>
  <c r="B4117" i="3"/>
  <c r="A4117" i="3"/>
  <c r="B4116" i="3"/>
  <c r="A4116" i="3"/>
  <c r="B4115" i="3"/>
  <c r="A4115" i="3"/>
  <c r="B4114" i="3"/>
  <c r="A4114" i="3"/>
  <c r="B4113" i="3"/>
  <c r="A4113" i="3"/>
  <c r="B4112" i="3"/>
  <c r="A4112" i="3"/>
  <c r="B4111" i="3"/>
  <c r="A4111" i="3"/>
  <c r="B4110" i="3"/>
  <c r="A4110" i="3"/>
  <c r="B4109" i="3"/>
  <c r="A4109" i="3"/>
  <c r="B4108" i="3"/>
  <c r="A4108" i="3"/>
  <c r="B4107" i="3"/>
  <c r="A4107" i="3"/>
  <c r="B4106" i="3"/>
  <c r="A4106" i="3"/>
  <c r="B4105" i="3"/>
  <c r="A4105" i="3"/>
  <c r="B4104" i="3"/>
  <c r="A4104" i="3"/>
  <c r="B4103" i="3"/>
  <c r="A4103" i="3"/>
  <c r="B4102" i="3"/>
  <c r="A4102" i="3"/>
  <c r="B4101" i="3"/>
  <c r="A4101" i="3"/>
  <c r="B4100" i="3"/>
  <c r="A4100" i="3"/>
  <c r="B4099" i="3"/>
  <c r="A4099" i="3"/>
  <c r="B4098" i="3"/>
  <c r="A4098" i="3"/>
  <c r="B4097" i="3"/>
  <c r="A4097" i="3"/>
  <c r="B4096" i="3"/>
  <c r="A4096" i="3"/>
  <c r="B4095" i="3"/>
  <c r="A4095" i="3"/>
  <c r="B4094" i="3"/>
  <c r="A4094" i="3"/>
  <c r="B4093" i="3"/>
  <c r="A4093" i="3"/>
  <c r="B4092" i="3"/>
  <c r="A4092" i="3"/>
  <c r="B4091" i="3"/>
  <c r="A4091" i="3"/>
  <c r="B4090" i="3"/>
  <c r="A4090" i="3"/>
  <c r="B4089" i="3"/>
  <c r="A4089" i="3"/>
  <c r="B4088" i="3"/>
  <c r="A4088" i="3"/>
  <c r="B4087" i="3"/>
  <c r="A4087" i="3"/>
  <c r="B4086" i="3"/>
  <c r="A4086" i="3"/>
  <c r="B4085" i="3"/>
  <c r="A4085" i="3"/>
  <c r="B4084" i="3"/>
  <c r="A4084" i="3"/>
  <c r="B4083" i="3"/>
  <c r="A4083" i="3"/>
  <c r="B4082" i="3"/>
  <c r="A4082" i="3"/>
  <c r="B4081" i="3"/>
  <c r="A4081" i="3"/>
  <c r="B4080" i="3"/>
  <c r="A4080" i="3"/>
  <c r="B4079" i="3"/>
  <c r="A4079" i="3"/>
  <c r="B4078" i="3"/>
  <c r="A4078" i="3"/>
  <c r="B4077" i="3"/>
  <c r="A4077" i="3"/>
  <c r="B4076" i="3"/>
  <c r="A4076" i="3"/>
  <c r="B4075" i="3"/>
  <c r="A4075" i="3"/>
  <c r="B4074" i="3"/>
  <c r="A4074" i="3"/>
  <c r="B4073" i="3"/>
  <c r="A4073" i="3"/>
  <c r="B4072" i="3"/>
  <c r="A4072" i="3"/>
  <c r="B4071" i="3"/>
  <c r="A4071" i="3"/>
  <c r="B4070" i="3"/>
  <c r="A4070" i="3"/>
  <c r="B4069" i="3"/>
  <c r="A4069" i="3"/>
  <c r="B4068" i="3"/>
  <c r="A4068" i="3"/>
  <c r="B4067" i="3"/>
  <c r="A4067" i="3"/>
  <c r="B4066" i="3"/>
  <c r="A4066" i="3"/>
  <c r="B4065" i="3"/>
  <c r="A4065" i="3"/>
  <c r="B4064" i="3"/>
  <c r="A4064" i="3"/>
  <c r="B4063" i="3"/>
  <c r="A4063" i="3"/>
  <c r="B4062" i="3"/>
  <c r="A4062" i="3"/>
  <c r="B4061" i="3"/>
  <c r="A4061" i="3"/>
  <c r="B4060" i="3"/>
  <c r="A4060" i="3"/>
  <c r="B4059" i="3"/>
  <c r="A4059" i="3"/>
  <c r="B4058" i="3"/>
  <c r="A4058" i="3"/>
  <c r="B4057" i="3"/>
  <c r="A4057" i="3"/>
  <c r="B4056" i="3"/>
  <c r="A4056" i="3"/>
  <c r="B4055" i="3"/>
  <c r="A4055" i="3"/>
  <c r="B4054" i="3"/>
  <c r="A4054" i="3"/>
  <c r="B4053" i="3"/>
  <c r="A4053" i="3"/>
  <c r="B4052" i="3"/>
  <c r="A4052" i="3"/>
  <c r="B4051" i="3"/>
  <c r="A4051" i="3"/>
  <c r="B4050" i="3"/>
  <c r="A4050" i="3"/>
  <c r="B4049" i="3"/>
  <c r="A4049" i="3"/>
  <c r="B4048" i="3"/>
  <c r="A4048" i="3"/>
  <c r="B4047" i="3"/>
  <c r="A4047" i="3"/>
  <c r="B4046" i="3"/>
  <c r="A4046" i="3"/>
  <c r="B4045" i="3"/>
  <c r="A4045" i="3"/>
  <c r="B4044" i="3"/>
  <c r="A4044" i="3"/>
  <c r="B4043" i="3"/>
  <c r="A4043" i="3"/>
  <c r="B4042" i="3"/>
  <c r="A4042" i="3"/>
  <c r="B4041" i="3"/>
  <c r="A4041" i="3"/>
  <c r="B4040" i="3"/>
  <c r="A4040" i="3"/>
  <c r="B4039" i="3"/>
  <c r="A4039" i="3"/>
  <c r="B4038" i="3"/>
  <c r="A4038" i="3"/>
  <c r="B4037" i="3"/>
  <c r="A4037" i="3"/>
  <c r="B4036" i="3"/>
  <c r="A4036" i="3"/>
  <c r="B4035" i="3"/>
  <c r="A4035" i="3"/>
  <c r="B4034" i="3"/>
  <c r="A4034" i="3"/>
  <c r="B4033" i="3"/>
  <c r="A4033" i="3"/>
  <c r="B4032" i="3"/>
  <c r="A4032" i="3"/>
  <c r="B4031" i="3"/>
  <c r="A4031" i="3"/>
  <c r="B4030" i="3"/>
  <c r="A4030" i="3"/>
  <c r="B4029" i="3"/>
  <c r="A4029" i="3"/>
  <c r="B4028" i="3"/>
  <c r="A4028" i="3"/>
  <c r="B4027" i="3"/>
  <c r="B4026" i="3"/>
  <c r="A4026" i="3"/>
  <c r="B4025" i="3"/>
  <c r="A4025" i="3"/>
  <c r="B4024" i="3"/>
  <c r="A4024" i="3"/>
  <c r="B4023" i="3"/>
  <c r="A4023" i="3"/>
  <c r="B4022" i="3"/>
  <c r="A4022" i="3"/>
  <c r="B4021" i="3"/>
  <c r="A4021" i="3"/>
  <c r="B4020" i="3"/>
  <c r="A4020" i="3"/>
  <c r="B4019" i="3"/>
  <c r="A4019" i="3"/>
  <c r="B4018" i="3"/>
  <c r="A4018" i="3"/>
  <c r="B4017" i="3"/>
  <c r="A4017" i="3"/>
  <c r="B4016" i="3"/>
  <c r="A4016" i="3"/>
  <c r="B4015" i="3"/>
  <c r="A4015" i="3"/>
  <c r="B4014" i="3"/>
  <c r="A4014" i="3"/>
  <c r="B4013" i="3"/>
  <c r="A4013" i="3"/>
  <c r="B4012" i="3"/>
  <c r="A4012" i="3"/>
  <c r="B4011" i="3"/>
  <c r="A4011" i="3"/>
  <c r="B4010" i="3"/>
  <c r="A4010" i="3"/>
  <c r="B4009" i="3"/>
  <c r="A4009" i="3"/>
  <c r="B4008" i="3"/>
  <c r="A4008" i="3"/>
  <c r="B4007" i="3"/>
  <c r="A4007" i="3"/>
  <c r="B4006" i="3"/>
  <c r="A4006" i="3"/>
  <c r="B4005" i="3"/>
  <c r="A4005" i="3"/>
  <c r="B4004" i="3"/>
  <c r="A4004" i="3"/>
  <c r="B4003" i="3"/>
  <c r="A4003" i="3"/>
  <c r="B4002" i="3"/>
  <c r="A4002" i="3"/>
  <c r="B4001" i="3"/>
  <c r="A4001" i="3"/>
  <c r="B4000" i="3"/>
  <c r="A4000" i="3"/>
  <c r="B3999" i="3"/>
  <c r="A3999" i="3"/>
  <c r="B3998" i="3"/>
  <c r="A3998" i="3"/>
  <c r="B3997" i="3"/>
  <c r="A3997" i="3"/>
  <c r="B3996" i="3"/>
  <c r="A3996" i="3"/>
  <c r="B3995" i="3"/>
  <c r="A3995" i="3"/>
  <c r="B3994" i="3"/>
  <c r="A3994" i="3"/>
  <c r="B3993" i="3"/>
  <c r="A3993" i="3"/>
  <c r="B3992" i="3"/>
  <c r="A3992" i="3"/>
  <c r="B3991" i="3"/>
  <c r="A3991" i="3"/>
  <c r="B3990" i="3"/>
  <c r="A3990" i="3"/>
  <c r="B3989" i="3"/>
  <c r="A3989" i="3"/>
  <c r="B3988" i="3"/>
  <c r="A3988" i="3"/>
  <c r="B3987" i="3"/>
  <c r="A3987" i="3"/>
  <c r="B3986" i="3"/>
  <c r="A3986" i="3"/>
  <c r="B3985" i="3"/>
  <c r="A3985" i="3"/>
  <c r="B3984" i="3"/>
  <c r="A3984" i="3"/>
  <c r="B3983" i="3"/>
  <c r="A3983" i="3"/>
  <c r="B3982" i="3"/>
  <c r="A3982" i="3"/>
  <c r="B3981" i="3"/>
  <c r="A3981" i="3"/>
  <c r="B3980" i="3"/>
  <c r="A3980" i="3"/>
  <c r="B3979" i="3"/>
  <c r="A3979" i="3"/>
  <c r="B3978" i="3"/>
  <c r="A3978" i="3"/>
  <c r="B3977" i="3"/>
  <c r="A3977" i="3"/>
  <c r="B3976" i="3"/>
  <c r="A3976" i="3"/>
  <c r="B3975" i="3"/>
  <c r="A3975" i="3"/>
  <c r="B3974" i="3"/>
  <c r="A3974" i="3"/>
  <c r="B3973" i="3"/>
  <c r="A3973" i="3"/>
  <c r="B3972" i="3"/>
  <c r="A3972" i="3"/>
  <c r="B3971" i="3"/>
  <c r="A3971" i="3"/>
  <c r="B3970" i="3"/>
  <c r="A3970" i="3"/>
  <c r="B3969" i="3"/>
  <c r="A3969" i="3"/>
  <c r="B3968" i="3"/>
  <c r="A3968" i="3"/>
  <c r="B3967" i="3"/>
  <c r="A3967" i="3"/>
  <c r="B3966" i="3"/>
  <c r="A3966" i="3"/>
  <c r="B3965" i="3"/>
  <c r="A3965" i="3"/>
  <c r="B3964" i="3"/>
  <c r="A3964" i="3"/>
  <c r="B3963" i="3"/>
  <c r="A3963" i="3"/>
  <c r="B3962" i="3"/>
  <c r="A3962" i="3"/>
  <c r="B3961" i="3"/>
  <c r="A3961" i="3"/>
  <c r="B3960" i="3"/>
  <c r="A3960" i="3"/>
  <c r="B3959" i="3"/>
  <c r="A3959" i="3"/>
  <c r="B3958" i="3"/>
  <c r="A3958" i="3"/>
  <c r="B3957" i="3"/>
  <c r="A3957" i="3"/>
  <c r="B3956" i="3"/>
  <c r="A3956" i="3"/>
  <c r="B3955" i="3"/>
  <c r="A3955" i="3"/>
  <c r="B3954" i="3"/>
  <c r="A3954" i="3"/>
  <c r="B3953" i="3"/>
  <c r="A3953" i="3"/>
  <c r="B3952" i="3"/>
  <c r="B3951" i="3"/>
  <c r="A3951" i="3"/>
  <c r="B3950" i="3"/>
  <c r="A3950" i="3"/>
  <c r="B3949" i="3"/>
  <c r="A3949" i="3"/>
  <c r="B3948" i="3"/>
  <c r="A3948" i="3"/>
  <c r="B3947" i="3"/>
  <c r="A3947" i="3"/>
  <c r="B3946" i="3"/>
  <c r="A3946" i="3"/>
  <c r="B3945" i="3"/>
  <c r="A3945" i="3"/>
  <c r="B3944" i="3"/>
  <c r="A3944" i="3"/>
  <c r="B3943" i="3"/>
  <c r="A3943" i="3"/>
  <c r="B3942" i="3"/>
  <c r="A3942" i="3"/>
  <c r="B3941" i="3"/>
  <c r="A3941" i="3"/>
  <c r="B3940" i="3"/>
  <c r="A3940" i="3"/>
  <c r="B3939" i="3"/>
  <c r="A3939" i="3"/>
  <c r="B3938" i="3"/>
  <c r="A3938" i="3"/>
  <c r="B3937" i="3"/>
  <c r="A3937" i="3"/>
  <c r="B3936" i="3"/>
  <c r="A3936" i="3"/>
  <c r="B3935" i="3"/>
  <c r="A3935" i="3"/>
  <c r="B3934" i="3"/>
  <c r="A3934" i="3"/>
  <c r="B3933" i="3"/>
  <c r="A3933" i="3"/>
  <c r="B3932" i="3"/>
  <c r="A3932" i="3"/>
  <c r="B3931" i="3"/>
  <c r="A3931" i="3"/>
  <c r="B3930" i="3"/>
  <c r="A3930" i="3"/>
  <c r="B3929" i="3"/>
  <c r="A3929" i="3"/>
  <c r="B3928" i="3"/>
  <c r="A3928" i="3"/>
  <c r="B3927" i="3"/>
  <c r="A3927" i="3"/>
  <c r="B3926" i="3"/>
  <c r="A3926" i="3"/>
  <c r="B3925" i="3"/>
  <c r="A3925" i="3"/>
  <c r="B3924" i="3"/>
  <c r="A3924" i="3"/>
  <c r="B3923" i="3"/>
  <c r="A3923" i="3"/>
  <c r="B3922" i="3"/>
  <c r="A3922" i="3"/>
  <c r="B3921" i="3"/>
  <c r="A3921" i="3"/>
  <c r="B3920" i="3"/>
  <c r="A3920" i="3"/>
  <c r="B3919" i="3"/>
  <c r="A3919" i="3"/>
  <c r="B3918" i="3"/>
  <c r="A3918" i="3"/>
  <c r="B3917" i="3"/>
  <c r="A3917" i="3"/>
  <c r="B3916" i="3"/>
  <c r="A3916" i="3"/>
  <c r="B3915" i="3"/>
  <c r="A3915" i="3"/>
  <c r="B3914" i="3"/>
  <c r="A3914" i="3"/>
  <c r="B3913" i="3"/>
  <c r="A3913" i="3"/>
  <c r="B3912" i="3"/>
  <c r="A3912" i="3"/>
  <c r="B3911" i="3"/>
  <c r="A3911" i="3"/>
  <c r="B3910" i="3"/>
  <c r="A3910" i="3"/>
  <c r="B3909" i="3"/>
  <c r="A3909" i="3"/>
  <c r="B3908" i="3"/>
  <c r="A3908" i="3"/>
  <c r="B3907" i="3"/>
  <c r="A3907" i="3"/>
  <c r="B3906" i="3"/>
  <c r="A3906" i="3"/>
  <c r="B3905" i="3"/>
  <c r="A3905" i="3"/>
  <c r="B3904" i="3"/>
  <c r="A3904" i="3"/>
  <c r="B3903" i="3"/>
  <c r="A3903" i="3"/>
  <c r="B3902" i="3"/>
  <c r="A3902" i="3"/>
  <c r="B3901" i="3"/>
  <c r="A3901" i="3"/>
  <c r="B3900" i="3"/>
  <c r="A3900" i="3"/>
  <c r="B3899" i="3"/>
  <c r="A3899" i="3"/>
  <c r="B3898" i="3"/>
  <c r="A3898" i="3"/>
  <c r="B3897" i="3"/>
  <c r="A3897" i="3"/>
  <c r="B3896" i="3"/>
  <c r="A3896" i="3"/>
  <c r="B3895" i="3"/>
  <c r="A3895" i="3"/>
  <c r="B3894" i="3"/>
  <c r="A3894" i="3"/>
  <c r="B3893" i="3"/>
  <c r="A3893" i="3"/>
  <c r="B3892" i="3"/>
  <c r="A3892" i="3"/>
  <c r="B3891" i="3"/>
  <c r="A3891" i="3"/>
  <c r="B3890" i="3"/>
  <c r="A3890" i="3"/>
  <c r="B3889" i="3"/>
  <c r="A3889" i="3"/>
  <c r="B3888" i="3"/>
  <c r="A3888" i="3"/>
  <c r="B3887" i="3"/>
  <c r="A3887" i="3"/>
  <c r="B3886" i="3"/>
  <c r="A3886" i="3"/>
  <c r="B3885" i="3"/>
  <c r="A3885" i="3"/>
  <c r="B3884" i="3"/>
  <c r="A3884" i="3"/>
  <c r="B3883" i="3"/>
  <c r="A3883" i="3"/>
  <c r="B3882" i="3"/>
  <c r="A3882" i="3"/>
  <c r="B3881" i="3"/>
  <c r="A3881" i="3"/>
  <c r="B3880" i="3"/>
  <c r="A3880" i="3"/>
  <c r="B3879" i="3"/>
  <c r="A3879" i="3"/>
  <c r="B3878" i="3"/>
  <c r="A3878" i="3"/>
  <c r="B3877" i="3"/>
  <c r="A3877" i="3"/>
  <c r="B3876" i="3"/>
  <c r="A3876" i="3"/>
  <c r="B3875" i="3"/>
  <c r="A3875" i="3"/>
  <c r="B3874" i="3"/>
  <c r="A3874" i="3"/>
  <c r="B3873" i="3"/>
  <c r="A3873" i="3"/>
  <c r="B3872" i="3"/>
  <c r="A3872" i="3"/>
  <c r="B3871" i="3"/>
  <c r="A3871" i="3"/>
  <c r="B3870" i="3"/>
  <c r="A3870" i="3"/>
  <c r="B3869" i="3"/>
  <c r="A3869" i="3"/>
  <c r="B3868" i="3"/>
  <c r="A3868" i="3"/>
  <c r="B3867" i="3"/>
  <c r="A3867" i="3"/>
  <c r="B3866" i="3"/>
  <c r="A3866" i="3"/>
  <c r="B3865" i="3"/>
  <c r="A3865" i="3"/>
  <c r="B3864" i="3"/>
  <c r="A3864" i="3"/>
  <c r="B3863" i="3"/>
  <c r="A3863" i="3"/>
  <c r="B3862" i="3"/>
  <c r="A3862" i="3"/>
  <c r="B3861" i="3"/>
  <c r="A3861" i="3"/>
  <c r="B3860" i="3"/>
  <c r="A3860" i="3"/>
  <c r="B3859" i="3"/>
  <c r="A3859" i="3"/>
  <c r="B3858" i="3"/>
  <c r="A3858" i="3"/>
  <c r="B3857" i="3"/>
  <c r="A3857" i="3"/>
  <c r="B3856" i="3"/>
  <c r="A3856" i="3"/>
  <c r="B3855" i="3"/>
  <c r="A3855" i="3"/>
  <c r="B3854" i="3"/>
  <c r="A3854" i="3"/>
  <c r="B3853" i="3"/>
  <c r="A3853" i="3"/>
  <c r="B3852" i="3"/>
  <c r="A3852" i="3"/>
  <c r="B3851" i="3"/>
  <c r="A3851" i="3"/>
  <c r="B3850" i="3"/>
  <c r="A3850" i="3"/>
  <c r="B3849" i="3"/>
  <c r="A3849" i="3"/>
  <c r="B3848" i="3"/>
  <c r="A3848" i="3"/>
  <c r="B3847" i="3"/>
  <c r="A3847" i="3"/>
  <c r="B3846" i="3"/>
  <c r="A3846" i="3"/>
  <c r="B3845" i="3"/>
  <c r="A3845" i="3"/>
  <c r="B3844" i="3"/>
  <c r="A3844" i="3"/>
  <c r="B3843" i="3"/>
  <c r="A3843" i="3"/>
  <c r="B3842" i="3"/>
  <c r="A3842" i="3"/>
  <c r="B3841" i="3"/>
  <c r="A3841" i="3"/>
  <c r="B3840" i="3"/>
  <c r="A3840" i="3"/>
  <c r="B3839" i="3"/>
  <c r="A3839" i="3"/>
  <c r="B3838" i="3"/>
  <c r="A3838" i="3"/>
  <c r="B3837" i="3"/>
  <c r="A3837" i="3"/>
  <c r="B3836" i="3"/>
  <c r="A3836" i="3"/>
  <c r="B3835" i="3"/>
  <c r="A3835" i="3"/>
  <c r="B3834" i="3"/>
  <c r="A3834" i="3"/>
  <c r="B3833" i="3"/>
  <c r="A3833" i="3"/>
  <c r="B3832" i="3"/>
  <c r="A3832" i="3"/>
  <c r="B3831" i="3"/>
  <c r="A3831" i="3"/>
  <c r="B3830" i="3"/>
  <c r="A3830" i="3"/>
  <c r="B3829" i="3"/>
  <c r="A3829" i="3"/>
  <c r="B3828" i="3"/>
  <c r="B3827" i="3"/>
  <c r="A3827" i="3"/>
  <c r="B3826" i="3"/>
  <c r="A3826" i="3"/>
  <c r="B3825" i="3"/>
  <c r="A3825" i="3"/>
  <c r="B3824" i="3"/>
  <c r="A3824" i="3"/>
  <c r="B3823" i="3"/>
  <c r="A3823" i="3"/>
  <c r="B3822" i="3"/>
  <c r="A3822" i="3"/>
  <c r="B3821" i="3"/>
  <c r="A3821" i="3"/>
  <c r="B3820" i="3"/>
  <c r="A3820" i="3"/>
  <c r="B3819" i="3"/>
  <c r="A3819" i="3"/>
  <c r="B3818" i="3"/>
  <c r="A3818" i="3"/>
  <c r="B3817" i="3"/>
  <c r="A3817" i="3"/>
  <c r="B3816" i="3"/>
  <c r="A3816" i="3"/>
  <c r="B3815" i="3"/>
  <c r="A3815" i="3"/>
  <c r="B3814" i="3"/>
  <c r="A3814" i="3"/>
  <c r="B3813" i="3"/>
  <c r="A3813" i="3"/>
  <c r="B3812" i="3"/>
  <c r="A3812" i="3"/>
  <c r="B3811" i="3"/>
  <c r="A3811" i="3"/>
  <c r="B3810" i="3"/>
  <c r="A3810" i="3"/>
  <c r="B3809" i="3"/>
  <c r="A3809" i="3"/>
  <c r="B3808" i="3"/>
  <c r="A3808" i="3"/>
  <c r="B3807" i="3"/>
  <c r="A3807" i="3"/>
  <c r="B3806" i="3"/>
  <c r="A3806" i="3"/>
  <c r="B3805" i="3"/>
  <c r="A3805" i="3"/>
  <c r="B3804" i="3"/>
  <c r="A3804" i="3"/>
  <c r="B3803" i="3"/>
  <c r="A3803" i="3"/>
  <c r="B3802" i="3"/>
  <c r="A3802" i="3"/>
  <c r="B3801" i="3"/>
  <c r="A3801" i="3"/>
  <c r="B3800" i="3"/>
  <c r="A3800" i="3"/>
  <c r="B3799" i="3"/>
  <c r="A3799" i="3"/>
  <c r="B3798" i="3"/>
  <c r="A3798" i="3"/>
  <c r="B3797" i="3"/>
  <c r="A3797" i="3"/>
  <c r="B3796" i="3"/>
  <c r="A3796" i="3"/>
  <c r="B3795" i="3"/>
  <c r="A3795" i="3"/>
  <c r="B3794" i="3"/>
  <c r="A3794" i="3"/>
  <c r="B3793" i="3"/>
  <c r="A3793" i="3"/>
  <c r="B3792" i="3"/>
  <c r="A3792" i="3"/>
  <c r="B3791" i="3"/>
  <c r="A3791" i="3"/>
  <c r="B3790" i="3"/>
  <c r="A3790" i="3"/>
  <c r="B3789" i="3"/>
  <c r="A3789" i="3"/>
  <c r="B3788" i="3"/>
  <c r="A3788" i="3"/>
  <c r="B3787" i="3"/>
  <c r="A3787" i="3"/>
  <c r="B3786" i="3"/>
  <c r="B3785" i="3"/>
  <c r="A3785" i="3"/>
  <c r="B3784" i="3"/>
  <c r="A3784" i="3"/>
  <c r="B3783" i="3"/>
  <c r="A3783" i="3"/>
  <c r="B3782" i="3"/>
  <c r="A3782" i="3"/>
  <c r="B3781" i="3"/>
  <c r="A3781" i="3"/>
  <c r="B3780" i="3"/>
  <c r="A3780" i="3"/>
  <c r="B3779" i="3"/>
  <c r="A3779" i="3"/>
  <c r="B3778" i="3"/>
  <c r="A3778" i="3"/>
  <c r="B3777" i="3"/>
  <c r="A3777" i="3"/>
  <c r="B3776" i="3"/>
  <c r="A3776" i="3"/>
  <c r="B3775" i="3"/>
  <c r="A3775" i="3"/>
  <c r="B3774" i="3"/>
  <c r="A3774" i="3"/>
  <c r="B3773" i="3"/>
  <c r="A3773" i="3"/>
  <c r="B3772" i="3"/>
  <c r="A3772" i="3"/>
  <c r="B3771" i="3"/>
  <c r="A3771" i="3"/>
  <c r="B3770" i="3"/>
  <c r="A3770" i="3"/>
  <c r="B3769" i="3"/>
  <c r="A3769" i="3"/>
  <c r="B3768" i="3"/>
  <c r="A3768" i="3"/>
  <c r="B3767" i="3"/>
  <c r="A3767" i="3"/>
  <c r="B3766" i="3"/>
  <c r="A3766" i="3"/>
  <c r="B3765" i="3"/>
  <c r="A3765" i="3"/>
  <c r="B3764" i="3"/>
  <c r="A3764" i="3"/>
  <c r="B3763" i="3"/>
  <c r="A3763" i="3"/>
  <c r="B3762" i="3"/>
  <c r="A3762" i="3"/>
  <c r="B3761" i="3"/>
  <c r="A3761" i="3"/>
  <c r="B3760" i="3"/>
  <c r="A3760" i="3"/>
  <c r="B3759" i="3"/>
  <c r="A3759" i="3"/>
  <c r="B3758" i="3"/>
  <c r="A3758" i="3"/>
  <c r="B3757" i="3"/>
  <c r="A3757" i="3"/>
  <c r="B3756" i="3"/>
  <c r="A3756" i="3"/>
  <c r="B3755" i="3"/>
  <c r="A3755" i="3"/>
  <c r="B3754" i="3"/>
  <c r="A3754" i="3"/>
  <c r="B3753" i="3"/>
  <c r="A3753" i="3"/>
  <c r="B3752" i="3"/>
  <c r="A3752" i="3"/>
  <c r="B3751" i="3"/>
  <c r="A3751" i="3"/>
  <c r="B3750" i="3"/>
  <c r="A3750" i="3"/>
  <c r="B3749" i="3"/>
  <c r="A3749" i="3"/>
  <c r="B3748" i="3"/>
  <c r="A3748" i="3"/>
  <c r="B3747" i="3"/>
  <c r="A3747" i="3"/>
  <c r="B3746" i="3"/>
  <c r="A3746" i="3"/>
  <c r="B3745" i="3"/>
  <c r="A3745" i="3"/>
  <c r="B3744" i="3"/>
  <c r="A3744" i="3"/>
  <c r="B3743" i="3"/>
  <c r="A3743" i="3"/>
  <c r="B3742" i="3"/>
  <c r="A3742" i="3"/>
  <c r="B3741" i="3"/>
  <c r="A3741" i="3"/>
  <c r="B3740" i="3"/>
  <c r="A3740" i="3"/>
  <c r="B3739" i="3"/>
  <c r="A3739" i="3"/>
  <c r="B3738" i="3"/>
  <c r="A3738" i="3"/>
  <c r="B3737" i="3"/>
  <c r="A3737" i="3"/>
  <c r="B3736" i="3"/>
  <c r="A3736" i="3"/>
  <c r="B3735" i="3"/>
  <c r="A3735" i="3"/>
  <c r="B3734" i="3"/>
  <c r="A3734" i="3"/>
  <c r="B3733" i="3"/>
  <c r="A3733" i="3"/>
  <c r="B3732" i="3"/>
  <c r="A3732" i="3"/>
  <c r="B3731" i="3"/>
  <c r="A3731" i="3"/>
  <c r="B3730" i="3"/>
  <c r="A3730" i="3"/>
  <c r="B3729" i="3"/>
  <c r="A3729" i="3"/>
  <c r="B3728" i="3"/>
  <c r="A3728" i="3"/>
  <c r="B3727" i="3"/>
  <c r="A3727" i="3"/>
  <c r="B3726" i="3"/>
  <c r="A3726" i="3"/>
  <c r="B3725" i="3"/>
  <c r="A3725" i="3"/>
  <c r="B3724" i="3"/>
  <c r="A3724" i="3"/>
  <c r="B3723" i="3"/>
  <c r="A3723" i="3"/>
  <c r="B3722" i="3"/>
  <c r="A3722" i="3"/>
  <c r="B3721" i="3"/>
  <c r="A3721" i="3"/>
  <c r="B3720" i="3"/>
  <c r="A3720" i="3"/>
  <c r="B3719" i="3"/>
  <c r="A3719" i="3"/>
  <c r="B3718" i="3"/>
  <c r="A3718" i="3"/>
  <c r="B3717" i="3"/>
  <c r="A3717" i="3"/>
  <c r="B3716" i="3"/>
  <c r="A3716" i="3"/>
  <c r="B3715" i="3"/>
  <c r="A3715" i="3"/>
  <c r="B3714" i="3"/>
  <c r="A3714" i="3"/>
  <c r="B3713" i="3"/>
  <c r="A3713" i="3"/>
  <c r="B3712" i="3"/>
  <c r="A3712" i="3"/>
  <c r="B3711" i="3"/>
  <c r="A3711" i="3"/>
  <c r="B3710" i="3"/>
  <c r="A3710" i="3"/>
  <c r="B3709" i="3"/>
  <c r="A3709" i="3"/>
  <c r="B3708" i="3"/>
  <c r="A3708" i="3"/>
  <c r="B3707" i="3"/>
  <c r="A3707" i="3"/>
  <c r="B3706" i="3"/>
  <c r="A3706" i="3"/>
  <c r="B3705" i="3"/>
  <c r="A3705" i="3"/>
  <c r="B3704" i="3"/>
  <c r="A3704" i="3"/>
  <c r="B3703" i="3"/>
  <c r="A3703" i="3"/>
  <c r="B3702" i="3"/>
  <c r="A3702" i="3"/>
  <c r="B3701" i="3"/>
  <c r="A3701" i="3"/>
  <c r="B3700" i="3"/>
  <c r="A3700" i="3"/>
  <c r="B3699" i="3"/>
  <c r="A3699" i="3"/>
  <c r="B3698" i="3"/>
  <c r="A3698" i="3"/>
  <c r="B3697" i="3"/>
  <c r="A3697" i="3"/>
  <c r="B3696" i="3"/>
  <c r="A3696" i="3"/>
  <c r="B3695" i="3"/>
  <c r="A3695" i="3"/>
  <c r="B3694" i="3"/>
  <c r="A3694" i="3"/>
  <c r="B3693" i="3"/>
  <c r="A3693" i="3"/>
  <c r="B3692" i="3"/>
  <c r="A3692" i="3"/>
  <c r="B3691" i="3"/>
  <c r="A3691" i="3"/>
  <c r="B3690" i="3"/>
  <c r="A3690" i="3"/>
  <c r="B3689" i="3"/>
  <c r="A3689" i="3"/>
  <c r="B3688" i="3"/>
  <c r="A3688" i="3"/>
  <c r="B3687" i="3"/>
  <c r="A3687" i="3"/>
  <c r="B3686" i="3"/>
  <c r="A3686" i="3"/>
  <c r="B3685" i="3"/>
  <c r="A3685" i="3"/>
  <c r="B3684" i="3"/>
  <c r="A3684" i="3"/>
  <c r="B3683" i="3"/>
  <c r="A3683" i="3"/>
  <c r="B3682" i="3"/>
  <c r="A3682" i="3"/>
  <c r="B3681" i="3"/>
  <c r="A3681" i="3"/>
  <c r="B3680" i="3"/>
  <c r="A3680" i="3"/>
  <c r="B3679" i="3"/>
  <c r="A3679" i="3"/>
  <c r="B3678" i="3"/>
  <c r="A3678" i="3"/>
  <c r="B3677" i="3"/>
  <c r="A3677" i="3"/>
  <c r="B3676" i="3"/>
  <c r="A3676" i="3"/>
  <c r="B3675" i="3"/>
  <c r="A3675" i="3"/>
  <c r="B3674" i="3"/>
  <c r="A3674" i="3"/>
  <c r="B3673" i="3"/>
  <c r="A3673" i="3"/>
  <c r="B3672" i="3"/>
  <c r="A3672" i="3"/>
  <c r="B3671" i="3"/>
  <c r="A3671" i="3"/>
  <c r="B3670" i="3"/>
  <c r="A3670" i="3"/>
  <c r="B3669" i="3"/>
  <c r="A3669" i="3"/>
  <c r="B3668" i="3"/>
  <c r="A3668" i="3"/>
  <c r="B3667" i="3"/>
  <c r="A3667" i="3"/>
  <c r="B3666" i="3"/>
  <c r="A3666" i="3"/>
  <c r="B3665" i="3"/>
  <c r="A3665" i="3"/>
  <c r="B3664" i="3"/>
  <c r="A3664" i="3"/>
  <c r="B3663" i="3"/>
  <c r="A3663" i="3"/>
  <c r="B3662" i="3"/>
  <c r="A3662" i="3"/>
  <c r="B3661" i="3"/>
  <c r="A3661" i="3"/>
  <c r="B3660" i="3"/>
  <c r="A3660" i="3"/>
  <c r="B3659" i="3"/>
  <c r="A3659" i="3"/>
  <c r="B3658" i="3"/>
  <c r="A3658" i="3"/>
  <c r="B3657" i="3"/>
  <c r="A3657" i="3"/>
  <c r="B3656" i="3"/>
  <c r="A3656" i="3"/>
  <c r="B3655" i="3"/>
  <c r="A3655" i="3"/>
  <c r="B3654" i="3"/>
  <c r="A3654" i="3"/>
  <c r="B3653" i="3"/>
  <c r="A3653" i="3"/>
  <c r="B3652" i="3"/>
  <c r="A3652" i="3"/>
  <c r="B3651" i="3"/>
  <c r="A3651" i="3"/>
  <c r="B3650" i="3"/>
  <c r="A3650" i="3"/>
  <c r="B3649" i="3"/>
  <c r="A3649" i="3"/>
  <c r="B3648" i="3"/>
  <c r="A3648" i="3"/>
  <c r="B3647" i="3"/>
  <c r="A3647" i="3"/>
  <c r="B3646" i="3"/>
  <c r="A3646" i="3"/>
  <c r="B3645" i="3"/>
  <c r="A3645" i="3"/>
  <c r="B3644" i="3"/>
  <c r="A3644" i="3"/>
  <c r="B3643" i="3"/>
  <c r="A3643" i="3"/>
  <c r="B3642" i="3"/>
  <c r="A3642" i="3"/>
  <c r="B3641" i="3"/>
  <c r="A3641" i="3"/>
  <c r="B3640" i="3"/>
  <c r="A3640" i="3"/>
  <c r="B3639" i="3"/>
  <c r="A3639" i="3"/>
  <c r="B3638" i="3"/>
  <c r="A3638" i="3"/>
  <c r="B3637" i="3"/>
  <c r="A3637" i="3"/>
  <c r="B3636" i="3"/>
  <c r="A3636" i="3"/>
  <c r="B3635" i="3"/>
  <c r="A3635" i="3"/>
  <c r="B3634" i="3"/>
  <c r="A3634" i="3"/>
  <c r="B3633" i="3"/>
  <c r="A3633" i="3"/>
  <c r="B3632" i="3"/>
  <c r="A3632" i="3"/>
  <c r="B3631" i="3"/>
  <c r="A3631" i="3"/>
  <c r="B3630" i="3"/>
  <c r="A3630" i="3"/>
  <c r="B3629" i="3"/>
  <c r="A3629" i="3"/>
  <c r="B3628" i="3"/>
  <c r="A3628" i="3"/>
  <c r="B3627" i="3"/>
  <c r="A3627" i="3"/>
  <c r="B3626" i="3"/>
  <c r="A3626" i="3"/>
  <c r="B3625" i="3"/>
  <c r="A3625" i="3"/>
  <c r="B3624" i="3"/>
  <c r="A3624" i="3"/>
  <c r="B3623" i="3"/>
  <c r="A3623" i="3"/>
  <c r="B3622" i="3"/>
  <c r="A3622" i="3"/>
  <c r="B3621" i="3"/>
  <c r="A3621" i="3"/>
  <c r="B3620" i="3"/>
  <c r="A3620" i="3"/>
  <c r="B3619" i="3"/>
  <c r="A3619" i="3"/>
  <c r="B3618" i="3"/>
  <c r="A3618" i="3"/>
  <c r="B3617" i="3"/>
  <c r="A3617" i="3"/>
  <c r="B3616" i="3"/>
  <c r="A3616" i="3"/>
  <c r="B3615" i="3"/>
  <c r="A3615" i="3"/>
  <c r="B3614" i="3"/>
  <c r="A3614" i="3"/>
  <c r="B3613" i="3"/>
  <c r="A3613" i="3"/>
  <c r="B3612" i="3"/>
  <c r="A3612" i="3"/>
  <c r="B3611" i="3"/>
  <c r="A3611" i="3"/>
  <c r="B3610" i="3"/>
  <c r="A3610" i="3"/>
  <c r="B3609" i="3"/>
  <c r="A3609" i="3"/>
  <c r="B3608" i="3"/>
  <c r="A3608" i="3"/>
  <c r="B3607" i="3"/>
  <c r="A3607" i="3"/>
  <c r="B3606" i="3"/>
  <c r="A3606" i="3"/>
  <c r="B3605" i="3"/>
  <c r="A3605" i="3"/>
  <c r="B3604" i="3"/>
  <c r="A3604" i="3"/>
  <c r="B3603" i="3"/>
  <c r="A3603" i="3"/>
  <c r="B3602" i="3"/>
  <c r="A3602" i="3"/>
  <c r="B3601" i="3"/>
  <c r="A3601" i="3"/>
  <c r="B3600" i="3"/>
  <c r="A3600" i="3"/>
  <c r="B3599" i="3"/>
  <c r="A3599" i="3"/>
  <c r="B3598" i="3"/>
  <c r="A3598" i="3"/>
  <c r="B3597" i="3"/>
  <c r="A3597" i="3"/>
  <c r="B3596" i="3"/>
  <c r="A3596" i="3"/>
  <c r="B3595" i="3"/>
  <c r="A3595" i="3"/>
  <c r="B3594" i="3"/>
  <c r="A3594" i="3"/>
  <c r="B3593" i="3"/>
  <c r="A3593" i="3"/>
  <c r="B3592" i="3"/>
  <c r="A3592" i="3"/>
  <c r="B3591" i="3"/>
  <c r="A3591" i="3"/>
  <c r="B3590" i="3"/>
  <c r="A3590" i="3"/>
  <c r="B3589" i="3"/>
  <c r="A3589" i="3"/>
  <c r="B3588" i="3"/>
  <c r="A3588" i="3"/>
  <c r="B3587" i="3"/>
  <c r="A3587" i="3"/>
  <c r="B3586" i="3"/>
  <c r="A3586" i="3"/>
  <c r="B3585" i="3"/>
  <c r="A3585" i="3"/>
  <c r="B3584" i="3"/>
  <c r="A3584" i="3"/>
  <c r="B3583" i="3"/>
  <c r="A3583" i="3"/>
  <c r="B3582" i="3"/>
  <c r="A3582" i="3"/>
  <c r="B3581" i="3"/>
  <c r="A3581" i="3"/>
  <c r="B3580" i="3"/>
  <c r="A3580" i="3"/>
  <c r="B3579" i="3"/>
  <c r="A3579" i="3"/>
  <c r="B3578" i="3"/>
  <c r="A3578" i="3"/>
  <c r="B3577" i="3"/>
  <c r="A3577" i="3"/>
  <c r="B3576" i="3"/>
  <c r="A3576" i="3"/>
  <c r="B3575" i="3"/>
  <c r="A3575" i="3"/>
  <c r="B3574" i="3"/>
  <c r="A3574" i="3"/>
  <c r="B3573" i="3"/>
  <c r="A3573" i="3"/>
  <c r="B3572" i="3"/>
  <c r="A3572" i="3"/>
  <c r="B3571" i="3"/>
  <c r="A3571" i="3"/>
  <c r="B3570" i="3"/>
  <c r="A3570" i="3"/>
  <c r="B3569" i="3"/>
  <c r="A3569" i="3"/>
  <c r="B3568" i="3"/>
  <c r="A3568" i="3"/>
  <c r="B3567" i="3"/>
  <c r="A3567" i="3"/>
  <c r="B3566" i="3"/>
  <c r="A3566" i="3"/>
  <c r="B3565" i="3"/>
  <c r="A3565" i="3"/>
  <c r="B3564" i="3"/>
  <c r="A3564" i="3"/>
  <c r="B3563" i="3"/>
  <c r="A3563" i="3"/>
  <c r="B3562" i="3"/>
  <c r="A3562" i="3"/>
  <c r="B3561" i="3"/>
  <c r="A3561" i="3"/>
  <c r="B3560" i="3"/>
  <c r="A3560" i="3"/>
  <c r="B3559" i="3"/>
  <c r="A3559" i="3"/>
  <c r="B3558" i="3"/>
  <c r="A3558" i="3"/>
  <c r="B3557" i="3"/>
  <c r="A3557" i="3"/>
  <c r="B3556" i="3"/>
  <c r="A3556" i="3"/>
  <c r="B3555" i="3"/>
  <c r="A3555" i="3"/>
  <c r="B3554" i="3"/>
  <c r="A3554" i="3"/>
  <c r="B3553" i="3"/>
  <c r="A3553" i="3"/>
  <c r="B3552" i="3"/>
  <c r="A3552" i="3"/>
  <c r="B3551" i="3"/>
  <c r="A3551" i="3"/>
  <c r="B3550" i="3"/>
  <c r="A3550" i="3"/>
  <c r="B3549" i="3"/>
  <c r="A3549" i="3"/>
  <c r="B3548" i="3"/>
  <c r="A3548" i="3"/>
  <c r="B3547" i="3"/>
  <c r="A3547" i="3"/>
  <c r="B3546" i="3"/>
  <c r="A3546" i="3"/>
  <c r="B3545" i="3"/>
  <c r="A3545" i="3"/>
  <c r="B3544" i="3"/>
  <c r="A3544" i="3"/>
  <c r="B3543" i="3"/>
  <c r="A3543" i="3"/>
  <c r="B3542" i="3"/>
  <c r="A3542" i="3"/>
  <c r="B3541" i="3"/>
  <c r="B3540" i="3"/>
  <c r="A3540" i="3"/>
  <c r="B3539" i="3"/>
  <c r="A3539" i="3"/>
  <c r="B3538" i="3"/>
  <c r="A3538" i="3"/>
  <c r="B3537" i="3"/>
  <c r="A3537" i="3"/>
  <c r="B3536" i="3"/>
  <c r="A3536" i="3"/>
  <c r="B3535" i="3"/>
  <c r="A3535" i="3"/>
  <c r="B3534" i="3"/>
  <c r="A3534" i="3"/>
  <c r="B3533" i="3"/>
  <c r="A3533" i="3"/>
  <c r="B3532" i="3"/>
  <c r="A3532" i="3"/>
  <c r="B3531" i="3"/>
  <c r="A3531" i="3"/>
  <c r="B3530" i="3"/>
  <c r="A3530" i="3"/>
  <c r="B3529" i="3"/>
  <c r="A3529" i="3"/>
  <c r="B3528" i="3"/>
  <c r="A3528" i="3"/>
  <c r="B3527" i="3"/>
  <c r="A3527" i="3"/>
  <c r="B3526" i="3"/>
  <c r="A3526" i="3"/>
  <c r="B3525" i="3"/>
  <c r="A3525" i="3"/>
  <c r="B3524" i="3"/>
  <c r="A3524" i="3"/>
  <c r="B3523" i="3"/>
  <c r="A3523" i="3"/>
  <c r="B3522" i="3"/>
  <c r="A3522" i="3"/>
  <c r="B3521" i="3"/>
  <c r="A3521" i="3"/>
  <c r="B3520" i="3"/>
  <c r="A3520" i="3"/>
  <c r="B3519" i="3"/>
  <c r="A3519" i="3"/>
  <c r="B3518" i="3"/>
  <c r="A3518" i="3"/>
  <c r="B3517" i="3"/>
  <c r="A3517" i="3"/>
  <c r="B3516" i="3"/>
  <c r="A3516" i="3"/>
  <c r="B3515" i="3"/>
  <c r="A3515" i="3"/>
  <c r="B3514" i="3"/>
  <c r="A3514" i="3"/>
  <c r="B3513" i="3"/>
  <c r="A3513" i="3"/>
  <c r="B3512" i="3"/>
  <c r="A3512" i="3"/>
  <c r="B3511" i="3"/>
  <c r="A3511" i="3"/>
  <c r="B3510" i="3"/>
  <c r="A3510" i="3"/>
  <c r="B3509" i="3"/>
  <c r="A3509" i="3"/>
  <c r="B3508" i="3"/>
  <c r="A3508" i="3"/>
  <c r="B3507" i="3"/>
  <c r="A3507" i="3"/>
  <c r="B3506" i="3"/>
  <c r="A3506" i="3"/>
  <c r="B3505" i="3"/>
  <c r="A3505" i="3"/>
  <c r="B3504" i="3"/>
  <c r="A3504" i="3"/>
  <c r="B3503" i="3"/>
  <c r="A3503" i="3"/>
  <c r="B3502" i="3"/>
  <c r="A3502" i="3"/>
  <c r="B3501" i="3"/>
  <c r="A3501" i="3"/>
  <c r="B3500" i="3"/>
  <c r="A3500" i="3"/>
  <c r="B3499" i="3"/>
  <c r="A3499" i="3"/>
  <c r="B3498" i="3"/>
  <c r="A3498" i="3"/>
  <c r="B3497" i="3"/>
  <c r="A3497" i="3"/>
  <c r="B3496" i="3"/>
  <c r="A3496" i="3"/>
  <c r="B3495" i="3"/>
  <c r="A3495" i="3"/>
  <c r="B3494" i="3"/>
  <c r="A3494" i="3"/>
  <c r="B3493" i="3"/>
  <c r="A3493" i="3"/>
  <c r="B3492" i="3"/>
  <c r="A3492" i="3"/>
  <c r="B3491" i="3"/>
  <c r="A3491" i="3"/>
  <c r="B3490" i="3"/>
  <c r="A3490" i="3"/>
  <c r="B3489" i="3"/>
  <c r="A3489" i="3"/>
  <c r="B3488" i="3"/>
  <c r="A3488" i="3"/>
  <c r="B3487" i="3"/>
  <c r="A3487" i="3"/>
  <c r="B3486" i="3"/>
  <c r="A3486" i="3"/>
  <c r="B3485" i="3"/>
  <c r="A3485" i="3"/>
  <c r="B3484" i="3"/>
  <c r="A3484" i="3"/>
  <c r="B3483" i="3"/>
  <c r="A3483" i="3"/>
  <c r="B3482" i="3"/>
  <c r="A3482" i="3"/>
  <c r="B3481" i="3"/>
  <c r="A3481" i="3"/>
  <c r="B3480" i="3"/>
  <c r="A3480" i="3"/>
  <c r="B3479" i="3"/>
  <c r="A3479" i="3"/>
  <c r="B3478" i="3"/>
  <c r="A3478" i="3"/>
  <c r="B3477" i="3"/>
  <c r="A3477" i="3"/>
  <c r="B3476" i="3"/>
  <c r="A3476" i="3"/>
  <c r="B3475" i="3"/>
  <c r="A3475" i="3"/>
  <c r="B3474" i="3"/>
  <c r="A3474" i="3"/>
  <c r="B3473" i="3"/>
  <c r="A3473" i="3"/>
  <c r="B3472" i="3"/>
  <c r="A3472" i="3"/>
  <c r="B3471" i="3"/>
  <c r="A3471" i="3"/>
  <c r="B3470" i="3"/>
  <c r="A3470" i="3"/>
  <c r="B3469" i="3"/>
  <c r="A3469" i="3"/>
  <c r="B3468" i="3"/>
  <c r="A3468" i="3"/>
  <c r="B3467" i="3"/>
  <c r="A3467" i="3"/>
  <c r="B3466" i="3"/>
  <c r="A3466" i="3"/>
  <c r="B3465" i="3"/>
  <c r="A3465" i="3"/>
  <c r="B3464" i="3"/>
  <c r="A3464" i="3"/>
  <c r="B3463" i="3"/>
  <c r="A3463" i="3"/>
  <c r="B3462" i="3"/>
  <c r="A3462" i="3"/>
  <c r="B3461" i="3"/>
  <c r="A3461" i="3"/>
  <c r="B3460" i="3"/>
  <c r="A3460" i="3"/>
  <c r="B3459" i="3"/>
  <c r="A3459" i="3"/>
  <c r="B3458" i="3"/>
  <c r="A3458" i="3"/>
  <c r="B3457" i="3"/>
  <c r="A3457" i="3"/>
  <c r="B3456" i="3"/>
  <c r="A3456" i="3"/>
  <c r="B3455" i="3"/>
  <c r="A3455" i="3"/>
  <c r="B3454" i="3"/>
  <c r="A3454" i="3"/>
  <c r="B3453" i="3"/>
  <c r="A3453" i="3"/>
  <c r="B3452" i="3"/>
  <c r="A3452" i="3"/>
  <c r="B3451" i="3"/>
  <c r="A3451" i="3"/>
  <c r="B3450" i="3"/>
  <c r="A3450" i="3"/>
  <c r="B3449" i="3"/>
  <c r="A3449" i="3"/>
  <c r="B3448" i="3"/>
  <c r="A3448" i="3"/>
  <c r="B3447" i="3"/>
  <c r="A3447" i="3"/>
  <c r="B3446" i="3"/>
  <c r="A3446" i="3"/>
  <c r="B3445" i="3"/>
  <c r="A3445" i="3"/>
  <c r="B3444" i="3"/>
  <c r="A3444" i="3"/>
  <c r="B3443" i="3"/>
  <c r="A3443" i="3"/>
  <c r="B3442" i="3"/>
  <c r="A3442" i="3"/>
  <c r="B3441" i="3"/>
  <c r="A3441" i="3"/>
  <c r="B3440" i="3"/>
  <c r="A3440" i="3"/>
  <c r="B3439" i="3"/>
  <c r="A3439" i="3"/>
  <c r="B3438" i="3"/>
  <c r="A3438" i="3"/>
  <c r="B3437" i="3"/>
  <c r="A3437" i="3"/>
  <c r="B3436" i="3"/>
  <c r="A3436" i="3"/>
  <c r="B3435" i="3"/>
  <c r="A3435" i="3"/>
  <c r="B3434" i="3"/>
  <c r="A3434" i="3"/>
  <c r="B3433" i="3"/>
  <c r="A3433" i="3"/>
  <c r="B3432" i="3"/>
  <c r="A3432" i="3"/>
  <c r="B3431" i="3"/>
  <c r="A3431" i="3"/>
  <c r="B3430" i="3"/>
  <c r="A3430" i="3"/>
  <c r="B3429" i="3"/>
  <c r="A3429" i="3"/>
  <c r="B3428" i="3"/>
  <c r="A3428" i="3"/>
  <c r="B3427" i="3"/>
  <c r="A3427" i="3"/>
  <c r="B3426" i="3"/>
  <c r="A3426" i="3"/>
  <c r="B3425" i="3"/>
  <c r="A3425" i="3"/>
  <c r="B3424" i="3"/>
  <c r="A3424" i="3"/>
  <c r="B3423" i="3"/>
  <c r="A3423" i="3"/>
  <c r="B3422" i="3"/>
  <c r="A3422" i="3"/>
  <c r="B3421" i="3"/>
  <c r="A3421" i="3"/>
  <c r="B3420" i="3"/>
  <c r="A3420" i="3"/>
  <c r="B3419" i="3"/>
  <c r="A3419" i="3"/>
  <c r="B3418" i="3"/>
  <c r="A3418" i="3"/>
  <c r="B3417" i="3"/>
  <c r="A3417" i="3"/>
  <c r="B3416" i="3"/>
  <c r="A3416" i="3"/>
  <c r="B3415" i="3"/>
  <c r="A3415" i="3"/>
  <c r="B3414" i="3"/>
  <c r="A3414" i="3"/>
  <c r="B3413" i="3"/>
  <c r="A3413" i="3"/>
  <c r="B3412" i="3"/>
  <c r="A3412" i="3"/>
  <c r="B3411" i="3"/>
  <c r="A3411" i="3"/>
  <c r="B3410" i="3"/>
  <c r="A3410" i="3"/>
  <c r="B3409" i="3"/>
  <c r="A3409" i="3"/>
  <c r="B3408" i="3"/>
  <c r="A3408" i="3"/>
  <c r="B3407" i="3"/>
  <c r="A3407" i="3"/>
  <c r="B3406" i="3"/>
  <c r="A3406" i="3"/>
  <c r="B3405" i="3"/>
  <c r="A3405" i="3"/>
  <c r="B3404" i="3"/>
  <c r="A3404" i="3"/>
  <c r="B3403" i="3"/>
  <c r="A3403" i="3"/>
  <c r="B3402" i="3"/>
  <c r="A3402" i="3"/>
  <c r="B3401" i="3"/>
  <c r="A3401" i="3"/>
  <c r="B3400" i="3"/>
  <c r="A3400" i="3"/>
  <c r="B3399" i="3"/>
  <c r="A3399" i="3"/>
  <c r="B3398" i="3"/>
  <c r="A3398" i="3"/>
  <c r="B3397" i="3"/>
  <c r="A3397" i="3"/>
  <c r="B3396" i="3"/>
  <c r="A3396" i="3"/>
  <c r="B3395" i="3"/>
  <c r="A3395" i="3"/>
  <c r="B3394" i="3"/>
  <c r="A3394" i="3"/>
  <c r="B3393" i="3"/>
  <c r="A3393" i="3"/>
  <c r="B3392" i="3"/>
  <c r="A3392" i="3"/>
  <c r="B3391" i="3"/>
  <c r="A3391" i="3"/>
  <c r="B3390" i="3"/>
  <c r="A3390" i="3"/>
  <c r="B3389" i="3"/>
  <c r="A3389" i="3"/>
  <c r="B3388" i="3"/>
  <c r="A3388" i="3"/>
  <c r="B3387" i="3"/>
  <c r="A3387" i="3"/>
  <c r="B3386" i="3"/>
  <c r="A3386" i="3"/>
  <c r="B3385" i="3"/>
  <c r="A3385" i="3"/>
  <c r="B3384" i="3"/>
  <c r="A3384" i="3"/>
  <c r="B3383" i="3"/>
  <c r="A3383" i="3"/>
  <c r="B3382" i="3"/>
  <c r="A3382" i="3"/>
  <c r="B3381" i="3"/>
  <c r="A3381" i="3"/>
  <c r="B3380" i="3"/>
  <c r="A3380" i="3"/>
  <c r="B3379" i="3"/>
  <c r="A3379" i="3"/>
  <c r="B3378" i="3"/>
  <c r="A3378" i="3"/>
  <c r="B3377" i="3"/>
  <c r="A3377" i="3"/>
  <c r="B3376" i="3"/>
  <c r="A3376" i="3"/>
  <c r="B3375" i="3"/>
  <c r="A3375" i="3"/>
  <c r="B3374" i="3"/>
  <c r="A3374" i="3"/>
  <c r="B3373" i="3"/>
  <c r="A3373" i="3"/>
  <c r="B3372" i="3"/>
  <c r="A3372" i="3"/>
  <c r="B3371" i="3"/>
  <c r="A3371" i="3"/>
  <c r="B3370" i="3"/>
  <c r="A3370" i="3"/>
  <c r="B3369" i="3"/>
  <c r="A3369" i="3"/>
  <c r="B3368" i="3"/>
  <c r="A3368" i="3"/>
  <c r="B3367" i="3"/>
  <c r="A3367" i="3"/>
  <c r="B3366" i="3"/>
  <c r="A3366" i="3"/>
  <c r="B3365" i="3"/>
  <c r="A3365" i="3"/>
  <c r="B3364" i="3"/>
  <c r="A3364" i="3"/>
  <c r="B3363" i="3"/>
  <c r="A3363" i="3"/>
  <c r="B3362" i="3"/>
  <c r="A3362" i="3"/>
  <c r="B3361" i="3"/>
  <c r="A3361" i="3"/>
  <c r="B3360" i="3"/>
  <c r="A3360" i="3"/>
  <c r="B3359" i="3"/>
  <c r="A3359" i="3"/>
  <c r="B3358" i="3"/>
  <c r="A3358" i="3"/>
  <c r="B3357" i="3"/>
  <c r="A3357" i="3"/>
  <c r="B3356" i="3"/>
  <c r="A3356" i="3"/>
  <c r="B3355" i="3"/>
  <c r="A3355" i="3"/>
  <c r="B3354" i="3"/>
  <c r="A3354" i="3"/>
  <c r="B3353" i="3"/>
  <c r="A3353" i="3"/>
  <c r="B3352" i="3"/>
  <c r="A3352" i="3"/>
  <c r="B3351" i="3"/>
  <c r="A3351" i="3"/>
  <c r="B3350" i="3"/>
  <c r="A3350" i="3"/>
  <c r="B3349" i="3"/>
  <c r="A3349" i="3"/>
  <c r="B3348" i="3"/>
  <c r="A3348" i="3"/>
  <c r="B3347" i="3"/>
  <c r="A3347" i="3"/>
  <c r="B3346" i="3"/>
  <c r="A3346" i="3"/>
  <c r="B3345" i="3"/>
  <c r="A3345" i="3"/>
  <c r="B3344" i="3"/>
  <c r="A3344" i="3"/>
  <c r="B3343" i="3"/>
  <c r="A3343" i="3"/>
  <c r="B3342" i="3"/>
  <c r="A3342" i="3"/>
  <c r="B3341" i="3"/>
  <c r="A3341" i="3"/>
  <c r="B3340" i="3"/>
  <c r="A3340" i="3"/>
  <c r="B3339" i="3"/>
  <c r="A3339" i="3"/>
  <c r="B3338" i="3"/>
  <c r="A3338" i="3"/>
  <c r="B3337" i="3"/>
  <c r="A3337" i="3"/>
  <c r="B3336" i="3"/>
  <c r="A3336" i="3"/>
  <c r="B3335" i="3"/>
  <c r="A3335" i="3"/>
  <c r="B3334" i="3"/>
  <c r="A3334" i="3"/>
  <c r="B3333" i="3"/>
  <c r="A3333" i="3"/>
  <c r="B3332" i="3"/>
  <c r="A3332" i="3"/>
  <c r="B3331" i="3"/>
  <c r="A3331" i="3"/>
  <c r="B3330" i="3"/>
  <c r="A3330" i="3"/>
  <c r="B3329" i="3"/>
  <c r="A3329" i="3"/>
  <c r="B3328" i="3"/>
  <c r="A3328" i="3"/>
  <c r="B3327" i="3"/>
  <c r="A3327" i="3"/>
  <c r="B3326" i="3"/>
  <c r="A3326" i="3"/>
  <c r="B3325" i="3"/>
  <c r="A3325" i="3"/>
  <c r="B3324" i="3"/>
  <c r="A3324" i="3"/>
  <c r="B3323" i="3"/>
  <c r="A3323" i="3"/>
  <c r="B3322" i="3"/>
  <c r="A3322" i="3"/>
  <c r="B3321" i="3"/>
  <c r="A3321" i="3"/>
  <c r="B3320" i="3"/>
  <c r="A3320" i="3"/>
  <c r="B3319" i="3"/>
  <c r="A3319" i="3"/>
  <c r="B3318" i="3"/>
  <c r="A3318" i="3"/>
  <c r="B3317" i="3"/>
  <c r="A3317" i="3"/>
  <c r="B3316" i="3"/>
  <c r="A3316" i="3"/>
  <c r="B3315" i="3"/>
  <c r="A3315" i="3"/>
  <c r="B3314" i="3"/>
  <c r="A3314" i="3"/>
  <c r="B3313" i="3"/>
  <c r="A3313" i="3"/>
  <c r="B3312" i="3"/>
  <c r="A3312" i="3"/>
  <c r="B3311" i="3"/>
  <c r="A3311" i="3"/>
  <c r="B3310" i="3"/>
  <c r="A3310" i="3"/>
  <c r="B3309" i="3"/>
  <c r="A3309" i="3"/>
  <c r="B3308" i="3"/>
  <c r="A3308" i="3"/>
  <c r="B3307" i="3"/>
  <c r="A3307" i="3"/>
  <c r="B3306" i="3"/>
  <c r="A3306" i="3"/>
  <c r="B3305" i="3"/>
  <c r="A3305" i="3"/>
  <c r="B3304" i="3"/>
  <c r="A3304" i="3"/>
  <c r="B3303" i="3"/>
  <c r="A3303" i="3"/>
  <c r="B3302" i="3"/>
  <c r="A3302" i="3"/>
  <c r="B3301" i="3"/>
  <c r="A3301" i="3"/>
  <c r="B3300" i="3"/>
  <c r="A3300" i="3"/>
  <c r="B3299" i="3"/>
  <c r="A3299" i="3"/>
  <c r="B3298" i="3"/>
  <c r="A3298" i="3"/>
  <c r="B3297" i="3"/>
  <c r="A3297" i="3"/>
  <c r="B3296" i="3"/>
  <c r="A3296" i="3"/>
  <c r="B3295" i="3"/>
  <c r="A3295" i="3"/>
  <c r="B3294" i="3"/>
  <c r="A3294" i="3"/>
  <c r="B3293" i="3"/>
  <c r="A3293" i="3"/>
  <c r="B3292" i="3"/>
  <c r="A3292" i="3"/>
  <c r="B3291" i="3"/>
  <c r="A3291" i="3"/>
  <c r="B3290" i="3"/>
  <c r="A3290" i="3"/>
  <c r="B3289" i="3"/>
  <c r="A3289" i="3"/>
  <c r="B3288" i="3"/>
  <c r="A3288" i="3"/>
  <c r="B3287" i="3"/>
  <c r="A3287" i="3"/>
  <c r="B3286" i="3"/>
  <c r="A3286" i="3"/>
  <c r="B3285" i="3"/>
  <c r="A3285" i="3"/>
  <c r="B3284" i="3"/>
  <c r="A3284" i="3"/>
  <c r="B3283" i="3"/>
  <c r="A3283" i="3"/>
  <c r="B3282" i="3"/>
  <c r="A3282" i="3"/>
  <c r="B3281" i="3"/>
  <c r="A3281" i="3"/>
  <c r="B3280" i="3"/>
  <c r="A3280" i="3"/>
  <c r="B3279" i="3"/>
  <c r="A3279" i="3"/>
  <c r="B3278" i="3"/>
  <c r="A3278" i="3"/>
  <c r="B3277" i="3"/>
  <c r="A3277" i="3"/>
  <c r="B3276" i="3"/>
  <c r="A3276" i="3"/>
  <c r="B3275" i="3"/>
  <c r="A3275" i="3"/>
  <c r="B3274" i="3"/>
  <c r="A3274" i="3"/>
  <c r="B3273" i="3"/>
  <c r="A3273" i="3"/>
  <c r="B3272" i="3"/>
  <c r="A3272" i="3"/>
  <c r="B3271" i="3"/>
  <c r="A3271" i="3"/>
  <c r="B3270" i="3"/>
  <c r="A3270" i="3"/>
  <c r="B3269" i="3"/>
  <c r="A3269" i="3"/>
  <c r="B3268" i="3"/>
  <c r="A3268" i="3"/>
  <c r="B3267" i="3"/>
  <c r="A3267" i="3"/>
  <c r="B3266" i="3"/>
  <c r="A3266" i="3"/>
  <c r="B3265" i="3"/>
  <c r="A3265" i="3"/>
  <c r="B3264" i="3"/>
  <c r="A3264" i="3"/>
  <c r="B3263" i="3"/>
  <c r="A3263" i="3"/>
  <c r="B3262" i="3"/>
  <c r="A3262" i="3"/>
  <c r="B3261" i="3"/>
  <c r="A3261" i="3"/>
  <c r="B3260" i="3"/>
  <c r="A3260" i="3"/>
  <c r="B3259" i="3"/>
  <c r="A3259" i="3"/>
  <c r="B3258" i="3"/>
  <c r="A3258" i="3"/>
  <c r="B3257" i="3"/>
  <c r="A3257" i="3"/>
  <c r="B3256" i="3"/>
  <c r="A3256" i="3"/>
  <c r="B3255" i="3"/>
  <c r="A3255" i="3"/>
  <c r="B3254" i="3"/>
  <c r="A3254" i="3"/>
  <c r="B3253" i="3"/>
  <c r="A3253" i="3"/>
  <c r="B3252" i="3"/>
  <c r="A3252" i="3"/>
  <c r="B3251" i="3"/>
  <c r="A3251" i="3"/>
  <c r="B3250" i="3"/>
  <c r="A3250" i="3"/>
  <c r="B3249" i="3"/>
  <c r="A3249" i="3"/>
  <c r="B3248" i="3"/>
  <c r="A3248" i="3"/>
  <c r="B3247" i="3"/>
  <c r="A3247" i="3"/>
  <c r="B3246" i="3"/>
  <c r="A3246" i="3"/>
  <c r="B3245" i="3"/>
  <c r="A3245" i="3"/>
  <c r="B3244" i="3"/>
  <c r="A3244" i="3"/>
  <c r="B3243" i="3"/>
  <c r="A3243" i="3"/>
  <c r="B3242" i="3"/>
  <c r="A3242" i="3"/>
  <c r="B3241" i="3"/>
  <c r="A3241" i="3"/>
  <c r="B3240" i="3"/>
  <c r="A3240" i="3"/>
  <c r="B3239" i="3"/>
  <c r="A3239" i="3"/>
  <c r="B3238" i="3"/>
  <c r="A3238" i="3"/>
  <c r="B3237" i="3"/>
  <c r="A3237" i="3"/>
  <c r="B3236" i="3"/>
  <c r="A3236" i="3"/>
  <c r="B3235" i="3"/>
  <c r="A3235" i="3"/>
  <c r="B3234" i="3"/>
  <c r="A3234" i="3"/>
  <c r="B3233" i="3"/>
  <c r="A3233" i="3"/>
  <c r="B3232" i="3"/>
  <c r="A3232" i="3"/>
  <c r="B3231" i="3"/>
  <c r="A3231" i="3"/>
  <c r="B3230" i="3"/>
  <c r="A3230" i="3"/>
  <c r="B3229" i="3"/>
  <c r="A3229" i="3"/>
  <c r="B3228" i="3"/>
  <c r="A3228" i="3"/>
  <c r="B3227" i="3"/>
  <c r="A3227" i="3"/>
  <c r="B3226" i="3"/>
  <c r="A3226" i="3"/>
  <c r="B3225" i="3"/>
  <c r="A3225" i="3"/>
  <c r="B3224" i="3"/>
  <c r="A3224" i="3"/>
  <c r="B3223" i="3"/>
  <c r="A3223" i="3"/>
  <c r="B3222" i="3"/>
  <c r="A3222" i="3"/>
  <c r="B3221" i="3"/>
  <c r="A3221" i="3"/>
  <c r="B3220" i="3"/>
  <c r="A3220" i="3"/>
  <c r="B3219" i="3"/>
  <c r="A3219" i="3"/>
  <c r="B3218" i="3"/>
  <c r="A3218" i="3"/>
  <c r="B3217" i="3"/>
  <c r="A3217" i="3"/>
  <c r="B3216" i="3"/>
  <c r="A3216" i="3"/>
  <c r="B3215" i="3"/>
  <c r="A3215" i="3"/>
  <c r="B3214" i="3"/>
  <c r="A3214" i="3"/>
  <c r="B3213" i="3"/>
  <c r="A3213" i="3"/>
  <c r="B3212" i="3"/>
  <c r="A3212" i="3"/>
  <c r="B3211" i="3"/>
  <c r="A3211" i="3"/>
  <c r="B3210" i="3"/>
  <c r="A3210" i="3"/>
  <c r="B3209" i="3"/>
  <c r="A3209" i="3"/>
  <c r="B3208" i="3"/>
  <c r="A3208" i="3"/>
  <c r="B3207" i="3"/>
  <c r="A3207" i="3"/>
  <c r="B3206" i="3"/>
  <c r="A3206" i="3"/>
  <c r="B3205" i="3"/>
  <c r="A3205" i="3"/>
  <c r="B3204" i="3"/>
  <c r="A3204" i="3"/>
  <c r="B3203" i="3"/>
  <c r="A3203" i="3"/>
  <c r="B3202" i="3"/>
  <c r="A3202" i="3"/>
  <c r="B3201" i="3"/>
  <c r="A3201" i="3"/>
  <c r="B3200" i="3"/>
  <c r="A3200" i="3"/>
  <c r="B3199" i="3"/>
  <c r="A3199" i="3"/>
  <c r="B3198" i="3"/>
  <c r="A3198" i="3"/>
  <c r="B3197" i="3"/>
  <c r="A3197" i="3"/>
  <c r="B3196" i="3"/>
  <c r="A3196" i="3"/>
  <c r="B3195" i="3"/>
  <c r="A3195" i="3"/>
  <c r="B3194" i="3"/>
  <c r="A3194" i="3"/>
  <c r="B3193" i="3"/>
  <c r="A3193" i="3"/>
  <c r="B3192" i="3"/>
  <c r="A3192" i="3"/>
  <c r="B3191" i="3"/>
  <c r="A3191" i="3"/>
  <c r="B3190" i="3"/>
  <c r="A3190" i="3"/>
  <c r="B3189" i="3"/>
  <c r="A3189" i="3"/>
  <c r="B3188" i="3"/>
  <c r="A3188" i="3"/>
  <c r="B3187" i="3"/>
  <c r="A3187" i="3"/>
  <c r="B3186" i="3"/>
  <c r="A3186" i="3"/>
  <c r="B3185" i="3"/>
  <c r="A3185" i="3"/>
  <c r="B3184" i="3"/>
  <c r="A3184" i="3"/>
  <c r="B3183" i="3"/>
  <c r="A3183" i="3"/>
  <c r="B3182" i="3"/>
  <c r="A3182" i="3"/>
  <c r="B3181" i="3"/>
  <c r="A3181" i="3"/>
  <c r="B3180" i="3"/>
  <c r="A3180" i="3"/>
  <c r="B3179" i="3"/>
  <c r="A3179" i="3"/>
  <c r="B3178" i="3"/>
  <c r="A3178" i="3"/>
  <c r="B3177" i="3"/>
  <c r="A3177" i="3"/>
  <c r="B3176" i="3"/>
  <c r="A3176" i="3"/>
  <c r="B3175" i="3"/>
  <c r="A3175" i="3"/>
  <c r="B3174" i="3"/>
  <c r="A3174" i="3"/>
  <c r="B3173" i="3"/>
  <c r="A3173" i="3"/>
  <c r="B3172" i="3"/>
  <c r="A3172" i="3"/>
  <c r="B3171" i="3"/>
  <c r="A3171" i="3"/>
  <c r="B3170" i="3"/>
  <c r="A3170" i="3"/>
  <c r="B3169" i="3"/>
  <c r="A3169" i="3"/>
  <c r="B3168" i="3"/>
  <c r="A3168" i="3"/>
  <c r="B3167" i="3"/>
  <c r="A3167" i="3"/>
  <c r="B3166" i="3"/>
  <c r="A3166" i="3"/>
  <c r="B3165" i="3"/>
  <c r="A3165" i="3"/>
  <c r="B3164" i="3"/>
  <c r="A3164" i="3"/>
  <c r="B3163" i="3"/>
  <c r="A3163" i="3"/>
  <c r="B3162" i="3"/>
  <c r="A3162" i="3"/>
  <c r="B3161" i="3"/>
  <c r="A3161" i="3"/>
  <c r="B3160" i="3"/>
  <c r="A3160" i="3"/>
  <c r="B3159" i="3"/>
  <c r="A3159" i="3"/>
  <c r="B3158" i="3"/>
  <c r="A3158" i="3"/>
  <c r="B3157" i="3"/>
  <c r="A3157" i="3"/>
  <c r="B3156" i="3"/>
  <c r="A3156" i="3"/>
  <c r="B3155" i="3"/>
  <c r="A3155" i="3"/>
  <c r="B3154" i="3"/>
  <c r="A3154" i="3"/>
  <c r="B3153" i="3"/>
  <c r="A3153" i="3"/>
  <c r="B3152" i="3"/>
  <c r="A3152" i="3"/>
  <c r="B3151" i="3"/>
  <c r="A3151" i="3"/>
  <c r="B3150" i="3"/>
  <c r="A3150" i="3"/>
  <c r="B3149" i="3"/>
  <c r="A3149" i="3"/>
  <c r="B3148" i="3"/>
  <c r="A3148" i="3"/>
  <c r="B3147" i="3"/>
  <c r="A3147" i="3"/>
  <c r="B3146" i="3"/>
  <c r="A3146" i="3"/>
  <c r="B3145" i="3"/>
  <c r="A3145" i="3"/>
  <c r="B3144" i="3"/>
  <c r="A3144" i="3"/>
  <c r="B3143" i="3"/>
  <c r="A3143" i="3"/>
  <c r="B3142" i="3"/>
  <c r="A3142" i="3"/>
  <c r="B3141" i="3"/>
  <c r="A3141" i="3"/>
  <c r="B3140" i="3"/>
  <c r="A3140" i="3"/>
  <c r="B3139" i="3"/>
  <c r="A3139" i="3"/>
  <c r="B3138" i="3"/>
  <c r="A3138" i="3"/>
  <c r="B3137" i="3"/>
  <c r="A3137" i="3"/>
  <c r="B3136" i="3"/>
  <c r="A3136" i="3"/>
  <c r="B3135" i="3"/>
  <c r="A3135" i="3"/>
  <c r="B3134" i="3"/>
  <c r="A3134" i="3"/>
  <c r="B3133" i="3"/>
  <c r="A3133" i="3"/>
  <c r="B3132" i="3"/>
  <c r="A3132" i="3"/>
  <c r="B3131" i="3"/>
  <c r="A3131" i="3"/>
  <c r="B3130" i="3"/>
  <c r="A3130" i="3"/>
  <c r="B3129" i="3"/>
  <c r="A3129" i="3"/>
  <c r="B3128" i="3"/>
  <c r="A3128" i="3"/>
  <c r="B3127" i="3"/>
  <c r="A3127" i="3"/>
  <c r="B3126" i="3"/>
  <c r="A3126" i="3"/>
  <c r="B3125" i="3"/>
  <c r="A3125" i="3"/>
  <c r="B3124" i="3"/>
  <c r="A3124" i="3"/>
  <c r="B3123" i="3"/>
  <c r="A3123" i="3"/>
  <c r="B3122" i="3"/>
  <c r="A3122" i="3"/>
  <c r="B3121" i="3"/>
  <c r="A3121" i="3"/>
  <c r="B3120" i="3"/>
  <c r="A3120" i="3"/>
  <c r="B3119" i="3"/>
  <c r="A3119" i="3"/>
  <c r="B3118" i="3"/>
  <c r="A3118" i="3"/>
  <c r="B3117" i="3"/>
  <c r="A3117" i="3"/>
  <c r="B3116" i="3"/>
  <c r="A3116" i="3"/>
  <c r="B3115" i="3"/>
  <c r="A3115" i="3"/>
  <c r="B3114" i="3"/>
  <c r="A3114" i="3"/>
  <c r="B3113" i="3"/>
  <c r="A3113" i="3"/>
  <c r="B3112" i="3"/>
  <c r="A3112" i="3"/>
  <c r="B3111" i="3"/>
  <c r="A3111" i="3"/>
  <c r="B3110" i="3"/>
  <c r="A3110" i="3"/>
  <c r="B3109" i="3"/>
  <c r="A3109" i="3"/>
  <c r="B3108" i="3"/>
  <c r="A3108" i="3"/>
  <c r="B3107" i="3"/>
  <c r="A3107" i="3"/>
  <c r="B3106" i="3"/>
  <c r="A3106" i="3"/>
  <c r="B3105" i="3"/>
  <c r="A3105" i="3"/>
  <c r="B3104" i="3"/>
  <c r="A3104" i="3"/>
  <c r="B3103" i="3"/>
  <c r="A3103" i="3"/>
  <c r="B3102" i="3"/>
  <c r="A3102" i="3"/>
  <c r="B3101" i="3"/>
  <c r="A3101" i="3"/>
  <c r="B3100" i="3"/>
  <c r="A3100" i="3"/>
  <c r="B3099" i="3"/>
  <c r="A3099" i="3"/>
  <c r="B3098" i="3"/>
  <c r="A3098" i="3"/>
  <c r="B3097" i="3"/>
  <c r="A3097" i="3"/>
  <c r="B3096" i="3"/>
  <c r="A3096" i="3"/>
  <c r="B3095" i="3"/>
  <c r="A3095" i="3"/>
  <c r="B3094" i="3"/>
  <c r="A3094" i="3"/>
  <c r="B3093" i="3"/>
  <c r="A3093" i="3"/>
  <c r="B3092" i="3"/>
  <c r="A3092" i="3"/>
  <c r="B3091" i="3"/>
  <c r="A3091" i="3"/>
  <c r="B3090" i="3"/>
  <c r="A3090" i="3"/>
  <c r="B3089" i="3"/>
  <c r="A3089" i="3"/>
  <c r="B3088" i="3"/>
  <c r="A3088" i="3"/>
  <c r="B3087" i="3"/>
  <c r="A3087" i="3"/>
  <c r="B3086" i="3"/>
  <c r="A3086" i="3"/>
  <c r="B3085" i="3"/>
  <c r="A3085" i="3"/>
  <c r="B3084" i="3"/>
  <c r="A3084" i="3"/>
  <c r="B3083" i="3"/>
  <c r="A3083" i="3"/>
  <c r="B3082" i="3"/>
  <c r="A3082" i="3"/>
  <c r="B3081" i="3"/>
  <c r="A3081" i="3"/>
  <c r="B3080" i="3"/>
  <c r="A3080" i="3"/>
  <c r="B3079" i="3"/>
  <c r="A3079" i="3"/>
  <c r="B3078" i="3"/>
  <c r="A3078" i="3"/>
  <c r="B3077" i="3"/>
  <c r="A3077" i="3"/>
  <c r="B3076" i="3"/>
  <c r="A3076" i="3"/>
  <c r="B3075" i="3"/>
  <c r="A3075" i="3"/>
  <c r="B3074" i="3"/>
  <c r="A3074" i="3"/>
  <c r="B3073" i="3"/>
  <c r="A3073" i="3"/>
  <c r="B3072" i="3"/>
  <c r="A3072" i="3"/>
  <c r="B3071" i="3"/>
  <c r="A3071" i="3"/>
  <c r="B3070" i="3"/>
  <c r="A3070" i="3"/>
  <c r="B3069" i="3"/>
  <c r="A3069" i="3"/>
  <c r="B3068" i="3"/>
  <c r="A3068" i="3"/>
  <c r="B3067" i="3"/>
  <c r="A3067" i="3"/>
  <c r="B3066" i="3"/>
  <c r="A3066" i="3"/>
  <c r="B3065" i="3"/>
  <c r="A3065" i="3"/>
  <c r="B3064" i="3"/>
  <c r="A3064" i="3"/>
  <c r="B3063" i="3"/>
  <c r="A3063" i="3"/>
  <c r="B3062" i="3"/>
  <c r="A3062" i="3"/>
  <c r="B3061" i="3"/>
  <c r="A3061" i="3"/>
  <c r="B3060" i="3"/>
  <c r="A3060" i="3"/>
  <c r="B3059" i="3"/>
  <c r="A3059" i="3"/>
  <c r="B3058" i="3"/>
  <c r="A3058" i="3"/>
  <c r="B3057" i="3"/>
  <c r="A3057" i="3"/>
  <c r="B3056" i="3"/>
  <c r="A3056" i="3"/>
  <c r="B3055" i="3"/>
  <c r="A3055" i="3"/>
  <c r="B3054" i="3"/>
  <c r="A3054" i="3"/>
  <c r="B3053" i="3"/>
  <c r="A3053" i="3"/>
  <c r="B3052" i="3"/>
  <c r="A3052" i="3"/>
  <c r="B3051" i="3"/>
  <c r="A3051" i="3"/>
  <c r="B3050" i="3"/>
  <c r="A3050" i="3"/>
  <c r="B3049" i="3"/>
  <c r="A3049" i="3"/>
  <c r="B3048" i="3"/>
  <c r="A3048" i="3"/>
  <c r="B3047" i="3"/>
  <c r="A3047" i="3"/>
  <c r="B3046" i="3"/>
  <c r="A3046" i="3"/>
  <c r="B3045" i="3"/>
  <c r="A3045" i="3"/>
  <c r="B3044" i="3"/>
  <c r="A3044" i="3"/>
  <c r="B3043" i="3"/>
  <c r="A3043" i="3"/>
  <c r="B3042" i="3"/>
  <c r="A3042" i="3"/>
  <c r="B3041" i="3"/>
  <c r="A3041" i="3"/>
  <c r="B3040" i="3"/>
  <c r="A3040" i="3"/>
  <c r="B3039" i="3"/>
  <c r="A3039" i="3"/>
  <c r="B3038" i="3"/>
  <c r="A3038" i="3"/>
  <c r="B3037" i="3"/>
  <c r="A3037" i="3"/>
  <c r="B3036" i="3"/>
  <c r="A3036" i="3"/>
  <c r="B3035" i="3"/>
  <c r="A3035" i="3"/>
  <c r="B3034" i="3"/>
  <c r="A3034" i="3"/>
  <c r="B3033" i="3"/>
  <c r="A3033" i="3"/>
  <c r="B3032" i="3"/>
  <c r="A3032" i="3"/>
  <c r="B3031" i="3"/>
  <c r="A3031" i="3"/>
  <c r="B3030" i="3"/>
  <c r="A3030" i="3"/>
  <c r="B3029" i="3"/>
  <c r="A3029" i="3"/>
  <c r="B3028" i="3"/>
  <c r="A3028" i="3"/>
  <c r="B3027" i="3"/>
  <c r="A3027" i="3"/>
  <c r="B3026" i="3"/>
  <c r="A3026" i="3"/>
  <c r="B3025" i="3"/>
  <c r="A3025" i="3"/>
  <c r="B3024" i="3"/>
  <c r="A3024" i="3"/>
  <c r="B3023" i="3"/>
  <c r="A3023" i="3"/>
  <c r="B3022" i="3"/>
  <c r="A3022" i="3"/>
  <c r="B3021" i="3"/>
  <c r="A3021" i="3"/>
  <c r="B3020" i="3"/>
  <c r="A3020" i="3"/>
  <c r="B3019" i="3"/>
  <c r="A3019" i="3"/>
  <c r="B3018" i="3"/>
  <c r="A3018" i="3"/>
  <c r="B3017" i="3"/>
  <c r="A3017" i="3"/>
  <c r="B3016" i="3"/>
  <c r="A3016" i="3"/>
  <c r="B3015" i="3"/>
  <c r="A3015" i="3"/>
  <c r="B3014" i="3"/>
  <c r="A3014" i="3"/>
  <c r="B3013" i="3"/>
  <c r="A3013" i="3"/>
  <c r="B3012" i="3"/>
  <c r="A3012" i="3"/>
  <c r="B3011" i="3"/>
  <c r="A3011" i="3"/>
  <c r="B3010" i="3"/>
  <c r="A3010" i="3"/>
  <c r="B3009" i="3"/>
  <c r="A3009" i="3"/>
  <c r="B3008" i="3"/>
  <c r="A3008" i="3"/>
  <c r="B3007" i="3"/>
  <c r="A3007" i="3"/>
  <c r="B3006" i="3"/>
  <c r="A3006" i="3"/>
  <c r="B3005" i="3"/>
  <c r="A3005" i="3"/>
  <c r="B3004" i="3"/>
  <c r="A3004" i="3"/>
  <c r="B3003" i="3"/>
  <c r="A3003" i="3"/>
  <c r="B3002" i="3"/>
  <c r="A3002" i="3"/>
  <c r="B3001" i="3"/>
  <c r="A3001" i="3"/>
  <c r="B3000" i="3"/>
  <c r="A3000" i="3"/>
  <c r="B2999" i="3"/>
  <c r="A2999" i="3"/>
  <c r="B2998" i="3"/>
  <c r="A2998" i="3"/>
  <c r="B2997" i="3"/>
  <c r="A2997" i="3"/>
  <c r="B2996" i="3"/>
  <c r="A2996" i="3"/>
  <c r="B2995" i="3"/>
  <c r="A2995" i="3"/>
  <c r="B2994" i="3"/>
  <c r="A2994" i="3"/>
  <c r="B2993" i="3"/>
  <c r="A2993" i="3"/>
  <c r="B2992" i="3"/>
  <c r="A2992" i="3"/>
  <c r="B2991" i="3"/>
  <c r="A2991" i="3"/>
  <c r="B2990" i="3"/>
  <c r="A2990" i="3"/>
  <c r="B2989" i="3"/>
  <c r="A2989" i="3"/>
  <c r="B2988" i="3"/>
  <c r="A2988" i="3"/>
  <c r="B2987" i="3"/>
  <c r="A2987" i="3"/>
  <c r="B2986" i="3"/>
  <c r="A2986" i="3"/>
  <c r="B2985" i="3"/>
  <c r="A2985" i="3"/>
  <c r="B2984" i="3"/>
  <c r="A2984" i="3"/>
  <c r="B2983" i="3"/>
  <c r="A2983" i="3"/>
  <c r="B2982" i="3"/>
  <c r="A2982" i="3"/>
  <c r="B2981" i="3"/>
  <c r="A2981" i="3"/>
  <c r="B2980" i="3"/>
  <c r="A2980" i="3"/>
  <c r="B2979" i="3"/>
  <c r="A2979" i="3"/>
  <c r="B2978" i="3"/>
  <c r="A2978" i="3"/>
  <c r="B2977" i="3"/>
  <c r="A2977" i="3"/>
  <c r="B2976" i="3"/>
  <c r="A2976" i="3"/>
  <c r="B2975" i="3"/>
  <c r="A2975" i="3"/>
  <c r="B2974" i="3"/>
  <c r="A2974" i="3"/>
  <c r="B2973" i="3"/>
  <c r="A2973" i="3"/>
  <c r="B2972" i="3"/>
  <c r="A2972" i="3"/>
  <c r="B2971" i="3"/>
  <c r="A2971" i="3"/>
  <c r="B2970" i="3"/>
  <c r="A2970" i="3"/>
  <c r="B2969" i="3"/>
  <c r="A2969" i="3"/>
  <c r="B2968" i="3"/>
  <c r="A2968" i="3"/>
  <c r="B2967" i="3"/>
  <c r="A2967" i="3"/>
  <c r="B2966" i="3"/>
  <c r="A2966" i="3"/>
  <c r="B2965" i="3"/>
  <c r="A2965" i="3"/>
  <c r="B2964" i="3"/>
  <c r="A2964" i="3"/>
  <c r="B2963" i="3"/>
  <c r="A2963" i="3"/>
  <c r="B2962" i="3"/>
  <c r="A2962" i="3"/>
  <c r="B2961" i="3"/>
  <c r="A2961" i="3"/>
  <c r="B2960" i="3"/>
  <c r="A2960" i="3"/>
  <c r="B2959" i="3"/>
  <c r="A2959" i="3"/>
  <c r="B2958" i="3"/>
  <c r="A2958" i="3"/>
  <c r="B2957" i="3"/>
  <c r="A2957" i="3"/>
  <c r="B2956" i="3"/>
  <c r="A2956" i="3"/>
  <c r="B2955" i="3"/>
  <c r="A2955" i="3"/>
  <c r="B2954" i="3"/>
  <c r="A2954" i="3"/>
  <c r="B2953" i="3"/>
  <c r="A2953" i="3"/>
  <c r="B2952" i="3"/>
  <c r="A2952" i="3"/>
  <c r="B2951" i="3"/>
  <c r="A2951" i="3"/>
  <c r="B2950" i="3"/>
  <c r="A2950" i="3"/>
  <c r="B2949" i="3"/>
  <c r="A2949" i="3"/>
  <c r="B2948" i="3"/>
  <c r="A2948" i="3"/>
  <c r="B2947" i="3"/>
  <c r="A2947" i="3"/>
  <c r="B2946" i="3"/>
  <c r="A2946" i="3"/>
  <c r="B2945" i="3"/>
  <c r="A2945" i="3"/>
  <c r="B2944" i="3"/>
  <c r="A2944" i="3"/>
  <c r="B2943" i="3"/>
  <c r="A2943" i="3"/>
  <c r="B2942" i="3"/>
  <c r="A2942" i="3"/>
  <c r="B2941" i="3"/>
  <c r="A2941" i="3"/>
  <c r="B2940" i="3"/>
  <c r="A2940" i="3"/>
  <c r="B2939" i="3"/>
  <c r="A2939" i="3"/>
  <c r="B2938" i="3"/>
  <c r="A2938" i="3"/>
  <c r="B2937" i="3"/>
  <c r="A2937" i="3"/>
  <c r="B2936" i="3"/>
  <c r="A2936" i="3"/>
  <c r="B2935" i="3"/>
  <c r="A2935" i="3"/>
  <c r="B2934" i="3"/>
  <c r="A2934" i="3"/>
  <c r="B2933" i="3"/>
  <c r="A2933" i="3"/>
  <c r="B2932" i="3"/>
  <c r="A2932" i="3"/>
  <c r="B2931" i="3"/>
  <c r="A2931" i="3"/>
  <c r="B2930" i="3"/>
  <c r="A2930" i="3"/>
  <c r="B2929" i="3"/>
  <c r="A2929" i="3"/>
  <c r="B2928" i="3"/>
  <c r="A2928" i="3"/>
  <c r="B2927" i="3"/>
  <c r="A2927" i="3"/>
  <c r="B2926" i="3"/>
  <c r="A2926" i="3"/>
  <c r="B2925" i="3"/>
  <c r="A2925" i="3"/>
  <c r="B2924" i="3"/>
  <c r="A2924" i="3"/>
  <c r="B2923" i="3"/>
  <c r="A2923" i="3"/>
  <c r="B2922" i="3"/>
  <c r="A2922" i="3"/>
  <c r="B2921" i="3"/>
  <c r="A2921" i="3"/>
  <c r="B2920" i="3"/>
  <c r="A2920" i="3"/>
  <c r="B2919" i="3"/>
  <c r="A2919" i="3"/>
  <c r="B2918" i="3"/>
  <c r="A2918" i="3"/>
  <c r="B2917" i="3"/>
  <c r="A2917" i="3"/>
  <c r="B2916" i="3"/>
  <c r="A2916" i="3"/>
  <c r="B2915" i="3"/>
  <c r="A2915" i="3"/>
  <c r="B2914" i="3"/>
  <c r="A2914" i="3"/>
  <c r="B2913" i="3"/>
  <c r="A2913" i="3"/>
  <c r="B2912" i="3"/>
  <c r="A2912" i="3"/>
  <c r="B2911" i="3"/>
  <c r="A2911" i="3"/>
  <c r="B2910" i="3"/>
  <c r="A2910" i="3"/>
  <c r="B2909" i="3"/>
  <c r="A2909" i="3"/>
  <c r="B2908" i="3"/>
  <c r="A2908" i="3"/>
  <c r="B2907" i="3"/>
  <c r="A2907" i="3"/>
  <c r="B2906" i="3"/>
  <c r="A2906" i="3"/>
  <c r="B2905" i="3"/>
  <c r="A2905" i="3"/>
  <c r="B2904" i="3"/>
  <c r="A2904" i="3"/>
  <c r="B2903" i="3"/>
  <c r="A2903" i="3"/>
  <c r="B2902" i="3"/>
  <c r="A2902" i="3"/>
  <c r="B2901" i="3"/>
  <c r="A2901" i="3"/>
  <c r="B2900" i="3"/>
  <c r="A2900" i="3"/>
  <c r="B2899" i="3"/>
  <c r="A2899" i="3"/>
  <c r="B2898" i="3"/>
  <c r="A2898" i="3"/>
  <c r="B2897" i="3"/>
  <c r="B2896" i="3"/>
  <c r="A2896" i="3"/>
  <c r="B2895" i="3"/>
  <c r="A2895" i="3"/>
  <c r="B2894" i="3"/>
  <c r="A2894" i="3"/>
  <c r="B2893" i="3"/>
  <c r="A2893" i="3"/>
  <c r="B2892" i="3"/>
  <c r="A2892" i="3"/>
  <c r="B2891" i="3"/>
  <c r="A2891" i="3"/>
  <c r="B2890" i="3"/>
  <c r="A2890" i="3"/>
  <c r="B2889" i="3"/>
  <c r="A2889" i="3"/>
  <c r="B2888" i="3"/>
  <c r="A2888" i="3"/>
  <c r="B2887" i="3"/>
  <c r="A2887" i="3"/>
  <c r="B2886" i="3"/>
  <c r="A2886" i="3"/>
  <c r="B2885" i="3"/>
  <c r="A2885" i="3"/>
  <c r="B2884" i="3"/>
  <c r="A2884" i="3"/>
  <c r="B2883" i="3"/>
  <c r="A2883" i="3"/>
  <c r="B2882" i="3"/>
  <c r="A2882" i="3"/>
  <c r="B2881" i="3"/>
  <c r="A2881" i="3"/>
  <c r="B2880" i="3"/>
  <c r="A2880" i="3"/>
  <c r="B2879" i="3"/>
  <c r="A2879" i="3"/>
  <c r="B2878" i="3"/>
  <c r="A2878" i="3"/>
  <c r="B2877" i="3"/>
  <c r="A2877" i="3"/>
  <c r="B2876" i="3"/>
  <c r="A2876" i="3"/>
  <c r="B2875" i="3"/>
  <c r="A2875" i="3"/>
  <c r="B2874" i="3"/>
  <c r="A2874" i="3"/>
  <c r="B2873" i="3"/>
  <c r="A2873" i="3"/>
  <c r="B2872" i="3"/>
  <c r="A2872" i="3"/>
  <c r="B2871" i="3"/>
  <c r="A2871" i="3"/>
  <c r="B2870" i="3"/>
  <c r="A2870" i="3"/>
  <c r="B2869" i="3"/>
  <c r="A2869" i="3"/>
  <c r="B2868" i="3"/>
  <c r="A2868" i="3"/>
  <c r="B2867" i="3"/>
  <c r="A2867" i="3"/>
  <c r="B2866" i="3"/>
  <c r="A2866" i="3"/>
  <c r="B2865" i="3"/>
  <c r="A2865" i="3"/>
  <c r="B2864" i="3"/>
  <c r="A2864" i="3"/>
  <c r="B2863" i="3"/>
  <c r="A2863" i="3"/>
  <c r="B2862" i="3"/>
  <c r="A2862" i="3"/>
  <c r="B2861" i="3"/>
  <c r="A2861" i="3"/>
  <c r="B2860" i="3"/>
  <c r="B2859" i="3"/>
  <c r="A2859" i="3"/>
  <c r="B2858" i="3"/>
  <c r="A2858" i="3"/>
  <c r="B2857" i="3"/>
  <c r="A2857" i="3"/>
  <c r="B2856" i="3"/>
  <c r="A2856" i="3"/>
  <c r="B2855" i="3"/>
  <c r="A2855" i="3"/>
  <c r="B2854" i="3"/>
  <c r="A2854" i="3"/>
  <c r="B2853" i="3"/>
  <c r="A2853" i="3"/>
  <c r="B2852" i="3"/>
  <c r="A2852" i="3"/>
  <c r="B2851" i="3"/>
  <c r="A2851" i="3"/>
  <c r="B2850" i="3"/>
  <c r="A2850" i="3"/>
  <c r="B2849" i="3"/>
  <c r="A2849" i="3"/>
  <c r="B2848" i="3"/>
  <c r="A2848" i="3"/>
  <c r="B2847" i="3"/>
  <c r="B2846" i="3"/>
  <c r="A2846" i="3"/>
  <c r="B2845" i="3"/>
  <c r="A2845" i="3"/>
  <c r="B2844" i="3"/>
  <c r="A2844" i="3"/>
  <c r="B2843" i="3"/>
  <c r="A2843" i="3"/>
  <c r="B2842" i="3"/>
  <c r="A2842" i="3"/>
  <c r="B2841" i="3"/>
  <c r="A2841" i="3"/>
  <c r="B2840" i="3"/>
  <c r="A2840" i="3"/>
  <c r="B2839" i="3"/>
  <c r="A2839" i="3"/>
  <c r="B2838" i="3"/>
  <c r="A2838" i="3"/>
  <c r="B2837" i="3"/>
  <c r="A2837" i="3"/>
  <c r="B2836" i="3"/>
  <c r="A2836" i="3"/>
  <c r="B2835" i="3"/>
  <c r="A2835" i="3"/>
  <c r="B2834" i="3"/>
  <c r="A2834" i="3"/>
  <c r="B2833" i="3"/>
  <c r="A2833" i="3"/>
  <c r="B2832" i="3"/>
  <c r="A2832" i="3"/>
  <c r="B2831" i="3"/>
  <c r="A2831" i="3"/>
  <c r="B2830" i="3"/>
  <c r="A2830" i="3"/>
  <c r="B2829" i="3"/>
  <c r="A2829" i="3"/>
  <c r="B2828" i="3"/>
  <c r="A2828" i="3"/>
  <c r="B2827" i="3"/>
  <c r="A2827" i="3"/>
  <c r="B2826" i="3"/>
  <c r="A2826" i="3"/>
  <c r="B2825" i="3"/>
  <c r="A2825" i="3"/>
  <c r="B2824" i="3"/>
  <c r="A2824" i="3"/>
  <c r="B2823" i="3"/>
  <c r="A2823" i="3"/>
  <c r="B2822" i="3"/>
  <c r="A2822" i="3"/>
  <c r="B2821" i="3"/>
  <c r="A2821" i="3"/>
  <c r="B2820" i="3"/>
  <c r="A2820" i="3"/>
  <c r="B2819" i="3"/>
  <c r="A2819" i="3"/>
  <c r="B2818" i="3"/>
  <c r="A2818" i="3"/>
  <c r="B2817" i="3"/>
  <c r="A2817" i="3"/>
  <c r="B2816" i="3"/>
  <c r="A2816" i="3"/>
  <c r="B2815" i="3"/>
  <c r="A2815" i="3"/>
  <c r="B2814" i="3"/>
  <c r="A2814" i="3"/>
  <c r="B2813" i="3"/>
  <c r="A2813" i="3"/>
  <c r="B2812" i="3"/>
  <c r="A2812" i="3"/>
  <c r="B2811" i="3"/>
  <c r="A2811" i="3"/>
  <c r="B2810" i="3"/>
  <c r="A2810" i="3"/>
  <c r="B2809" i="3"/>
  <c r="A2809" i="3"/>
  <c r="B2808" i="3"/>
  <c r="A2808" i="3"/>
  <c r="B2807" i="3"/>
  <c r="A2807" i="3"/>
  <c r="B2806" i="3"/>
  <c r="A2806" i="3"/>
  <c r="B2805" i="3"/>
  <c r="A2805" i="3"/>
  <c r="B2804" i="3"/>
  <c r="A2804" i="3"/>
  <c r="B2803" i="3"/>
  <c r="A2803" i="3"/>
  <c r="B2802" i="3"/>
  <c r="A2802" i="3"/>
  <c r="B2801" i="3"/>
  <c r="A2801" i="3"/>
  <c r="B2800" i="3"/>
  <c r="A2800" i="3"/>
  <c r="B2799" i="3"/>
  <c r="A2799" i="3"/>
  <c r="B2798" i="3"/>
  <c r="A2798" i="3"/>
  <c r="B2797" i="3"/>
  <c r="A2797" i="3"/>
  <c r="B2796" i="3"/>
  <c r="A2796" i="3"/>
  <c r="B2795" i="3"/>
  <c r="A2795" i="3"/>
  <c r="B2794" i="3"/>
  <c r="A2794" i="3"/>
  <c r="B2793" i="3"/>
  <c r="A2793" i="3"/>
  <c r="B2792" i="3"/>
  <c r="A2792" i="3"/>
  <c r="B2791" i="3"/>
  <c r="A2791" i="3"/>
  <c r="B2790" i="3"/>
  <c r="A2790" i="3"/>
  <c r="B2789" i="3"/>
  <c r="A2789" i="3"/>
  <c r="B2788" i="3"/>
  <c r="A2788" i="3"/>
  <c r="B2787" i="3"/>
  <c r="A2787" i="3"/>
  <c r="B2786" i="3"/>
  <c r="A2786" i="3"/>
  <c r="B2785" i="3"/>
  <c r="A2785" i="3"/>
  <c r="B2784" i="3"/>
  <c r="A2784" i="3"/>
  <c r="B2783" i="3"/>
  <c r="A2783" i="3"/>
  <c r="B2782" i="3"/>
  <c r="A2782" i="3"/>
  <c r="B2781" i="3"/>
  <c r="A2781" i="3"/>
  <c r="B2780" i="3"/>
  <c r="A2780" i="3"/>
  <c r="B2779" i="3"/>
  <c r="A2779" i="3"/>
  <c r="B2778" i="3"/>
  <c r="A2778" i="3"/>
  <c r="B2777" i="3"/>
  <c r="A2777" i="3"/>
  <c r="B2776" i="3"/>
  <c r="A2776" i="3"/>
  <c r="B2775" i="3"/>
  <c r="A2775" i="3"/>
  <c r="B2774" i="3"/>
  <c r="A2774" i="3"/>
  <c r="B2773" i="3"/>
  <c r="A2773" i="3"/>
  <c r="B2772" i="3"/>
  <c r="A2772" i="3"/>
  <c r="B2771" i="3"/>
  <c r="A2771" i="3"/>
  <c r="B2770" i="3"/>
  <c r="A2770" i="3"/>
  <c r="B2769" i="3"/>
  <c r="A2769" i="3"/>
  <c r="B2768" i="3"/>
  <c r="A2768" i="3"/>
  <c r="B2767" i="3"/>
  <c r="A2767" i="3"/>
  <c r="B2766" i="3"/>
  <c r="A2766" i="3"/>
  <c r="B2765" i="3"/>
  <c r="A2765" i="3"/>
  <c r="B2764" i="3"/>
  <c r="A2764" i="3"/>
  <c r="B2763" i="3"/>
  <c r="A2763" i="3"/>
  <c r="B2762" i="3"/>
  <c r="A2762" i="3"/>
  <c r="B2761" i="3"/>
  <c r="A2761" i="3"/>
  <c r="B2760" i="3"/>
  <c r="A2760" i="3"/>
  <c r="B2759" i="3"/>
  <c r="A2759" i="3"/>
  <c r="B2758" i="3"/>
  <c r="A2758" i="3"/>
  <c r="B2757" i="3"/>
  <c r="A2757" i="3"/>
  <c r="B2756" i="3"/>
  <c r="A2756" i="3"/>
  <c r="B2755" i="3"/>
  <c r="A2755" i="3"/>
  <c r="B2754" i="3"/>
  <c r="A2754" i="3"/>
  <c r="B2753" i="3"/>
  <c r="A2753" i="3"/>
  <c r="B2752" i="3"/>
  <c r="A2752" i="3"/>
  <c r="B2751" i="3"/>
  <c r="A2751" i="3"/>
  <c r="B2750" i="3"/>
  <c r="A2750" i="3"/>
  <c r="B2749" i="3"/>
  <c r="A2749" i="3"/>
  <c r="B2748" i="3"/>
  <c r="A2748" i="3"/>
  <c r="B2747" i="3"/>
  <c r="A2747" i="3"/>
  <c r="B2746" i="3"/>
  <c r="A2746" i="3"/>
  <c r="B2745" i="3"/>
  <c r="A2745" i="3"/>
  <c r="B2744" i="3"/>
  <c r="A2744" i="3"/>
  <c r="B2743" i="3"/>
  <c r="A2743" i="3"/>
  <c r="B2742" i="3"/>
  <c r="A2742" i="3"/>
  <c r="B2741" i="3"/>
  <c r="A2741" i="3"/>
  <c r="B2740" i="3"/>
  <c r="A2740" i="3"/>
  <c r="B2739" i="3"/>
  <c r="A2739" i="3"/>
  <c r="B2738" i="3"/>
  <c r="A2738" i="3"/>
  <c r="B2737" i="3"/>
  <c r="A2737" i="3"/>
  <c r="B2736" i="3"/>
  <c r="A2736" i="3"/>
  <c r="B2735" i="3"/>
  <c r="A2735" i="3"/>
  <c r="B2734" i="3"/>
  <c r="A2734" i="3"/>
  <c r="B2733" i="3"/>
  <c r="A2733" i="3"/>
  <c r="B2732" i="3"/>
  <c r="B2731" i="3"/>
  <c r="A2731" i="3"/>
  <c r="B2730" i="3"/>
  <c r="A2730" i="3"/>
  <c r="B2729" i="3"/>
  <c r="A2729" i="3"/>
  <c r="B2728" i="3"/>
  <c r="A2728" i="3"/>
  <c r="B2727" i="3"/>
  <c r="A2727" i="3"/>
  <c r="B2726" i="3"/>
  <c r="A2726" i="3"/>
  <c r="B2725" i="3"/>
  <c r="B2724" i="3"/>
  <c r="A2724" i="3"/>
  <c r="B2723" i="3"/>
  <c r="A2723" i="3"/>
  <c r="B2722" i="3"/>
  <c r="A2722" i="3"/>
  <c r="B2721" i="3"/>
  <c r="A2721" i="3"/>
  <c r="B2720" i="3"/>
  <c r="A2720" i="3"/>
  <c r="B2719" i="3"/>
  <c r="A2719" i="3"/>
  <c r="B2718" i="3"/>
  <c r="A2718" i="3"/>
  <c r="B2717" i="3"/>
  <c r="A2717" i="3"/>
  <c r="B2716" i="3"/>
  <c r="A2716" i="3"/>
  <c r="B2715" i="3"/>
  <c r="A2715" i="3"/>
  <c r="B2714" i="3"/>
  <c r="A2714" i="3"/>
  <c r="B2713" i="3"/>
  <c r="A2713" i="3"/>
  <c r="B2712" i="3"/>
  <c r="A2712" i="3"/>
  <c r="B2711" i="3"/>
  <c r="A2711" i="3"/>
  <c r="B2710" i="3"/>
  <c r="A2710" i="3"/>
  <c r="B2709" i="3"/>
  <c r="A2709" i="3"/>
  <c r="B2708" i="3"/>
  <c r="A2708" i="3"/>
  <c r="B2707" i="3"/>
  <c r="A2707" i="3"/>
  <c r="B2706" i="3"/>
  <c r="A2706" i="3"/>
  <c r="B2705" i="3"/>
  <c r="A2705" i="3"/>
  <c r="B2704" i="3"/>
  <c r="A2704" i="3"/>
  <c r="B2703" i="3"/>
  <c r="A2703" i="3"/>
  <c r="B2702" i="3"/>
  <c r="A2702" i="3"/>
  <c r="B2701" i="3"/>
  <c r="A2701" i="3"/>
  <c r="B2700" i="3"/>
  <c r="A2700" i="3"/>
  <c r="B2699" i="3"/>
  <c r="A2699" i="3"/>
  <c r="B2698" i="3"/>
  <c r="A2698" i="3"/>
  <c r="B2697" i="3"/>
  <c r="A2697" i="3"/>
  <c r="B2696" i="3"/>
  <c r="A2696" i="3"/>
  <c r="B2695" i="3"/>
  <c r="B2694" i="3"/>
  <c r="A2694" i="3"/>
  <c r="B2693" i="3"/>
  <c r="A2693" i="3"/>
  <c r="B2692" i="3"/>
  <c r="A2692" i="3"/>
  <c r="B2691" i="3"/>
  <c r="A2691" i="3"/>
  <c r="B2690" i="3"/>
  <c r="A2690" i="3"/>
  <c r="B2689" i="3"/>
  <c r="A2689" i="3"/>
  <c r="B2688" i="3"/>
  <c r="A2688" i="3"/>
  <c r="B2687" i="3"/>
  <c r="A2687" i="3"/>
  <c r="B2686" i="3"/>
  <c r="A2686" i="3"/>
  <c r="B2685" i="3"/>
  <c r="A2685" i="3"/>
  <c r="B2684" i="3"/>
  <c r="A2684" i="3"/>
  <c r="B2683" i="3"/>
  <c r="A2683" i="3"/>
  <c r="B2682" i="3"/>
  <c r="A2682" i="3"/>
  <c r="B2681" i="3"/>
  <c r="A2681" i="3"/>
  <c r="B2680" i="3"/>
  <c r="A2680" i="3"/>
  <c r="B2679" i="3"/>
  <c r="A2679" i="3"/>
  <c r="B2678" i="3"/>
  <c r="A2678" i="3"/>
  <c r="B2677" i="3"/>
  <c r="A2677" i="3"/>
  <c r="B2676" i="3"/>
  <c r="A2676" i="3"/>
  <c r="B2675" i="3"/>
  <c r="A2675" i="3"/>
  <c r="B2674" i="3"/>
  <c r="A2674" i="3"/>
  <c r="B2673" i="3"/>
  <c r="A2673" i="3"/>
  <c r="B2672" i="3"/>
  <c r="A2672" i="3"/>
  <c r="B2671" i="3"/>
  <c r="A2671" i="3"/>
  <c r="B2670" i="3"/>
  <c r="A2670" i="3"/>
  <c r="B2669" i="3"/>
  <c r="A2669" i="3"/>
  <c r="B2668" i="3"/>
  <c r="A2668" i="3"/>
  <c r="B2667" i="3"/>
  <c r="A2667" i="3"/>
  <c r="B2666" i="3"/>
  <c r="A2666" i="3"/>
  <c r="B2665" i="3"/>
  <c r="A2665" i="3"/>
  <c r="B2664" i="3"/>
  <c r="A2664" i="3"/>
  <c r="B2663" i="3"/>
  <c r="B2662" i="3"/>
  <c r="A2662" i="3"/>
  <c r="B2661" i="3"/>
  <c r="A2661" i="3"/>
  <c r="B2660" i="3"/>
  <c r="A2660" i="3"/>
  <c r="B2659" i="3"/>
  <c r="A2659" i="3"/>
  <c r="B2658" i="3"/>
  <c r="A2658" i="3"/>
  <c r="B2657" i="3"/>
  <c r="A2657" i="3"/>
  <c r="B2656" i="3"/>
  <c r="A2656" i="3"/>
  <c r="B2655" i="3"/>
  <c r="A2655" i="3"/>
  <c r="B2654" i="3"/>
  <c r="A2654" i="3"/>
  <c r="B2653" i="3"/>
  <c r="A2653" i="3"/>
  <c r="B2652" i="3"/>
  <c r="A2652" i="3"/>
  <c r="B2651" i="3"/>
  <c r="A2651" i="3"/>
  <c r="B2650" i="3"/>
  <c r="A2650" i="3"/>
  <c r="B2649" i="3"/>
  <c r="A2649" i="3"/>
  <c r="B2648" i="3"/>
  <c r="A2648" i="3"/>
  <c r="B2647" i="3"/>
  <c r="A2647" i="3"/>
  <c r="B2646" i="3"/>
  <c r="A2646" i="3"/>
  <c r="B2645" i="3"/>
  <c r="A2645" i="3"/>
  <c r="B2644" i="3"/>
  <c r="A2644" i="3"/>
  <c r="B2643" i="3"/>
  <c r="A2643" i="3"/>
  <c r="B2642" i="3"/>
  <c r="A2642" i="3"/>
  <c r="B2641" i="3"/>
  <c r="A2641" i="3"/>
  <c r="B2640" i="3"/>
  <c r="A2640" i="3"/>
  <c r="B2639" i="3"/>
  <c r="A2639" i="3"/>
  <c r="B2638" i="3"/>
  <c r="A2638" i="3"/>
  <c r="B2637" i="3"/>
  <c r="A2637" i="3"/>
  <c r="B2636" i="3"/>
  <c r="A2636" i="3"/>
  <c r="B2635" i="3"/>
  <c r="A2635" i="3"/>
  <c r="B2634" i="3"/>
  <c r="A2634" i="3"/>
  <c r="B2633" i="3"/>
  <c r="A2633" i="3"/>
  <c r="B2632" i="3"/>
  <c r="A2632" i="3"/>
  <c r="B2631" i="3"/>
  <c r="A2631" i="3"/>
  <c r="B2630" i="3"/>
  <c r="A2630" i="3"/>
  <c r="B2629" i="3"/>
  <c r="A2629" i="3"/>
  <c r="B2628" i="3"/>
  <c r="A2628" i="3"/>
  <c r="B2627" i="3"/>
  <c r="A2627" i="3"/>
  <c r="B2626" i="3"/>
  <c r="A2626" i="3"/>
  <c r="B2625" i="3"/>
  <c r="A2625" i="3"/>
  <c r="B2624" i="3"/>
  <c r="A2624" i="3"/>
  <c r="B2623" i="3"/>
  <c r="A2623" i="3"/>
  <c r="B2622" i="3"/>
  <c r="A2622" i="3"/>
  <c r="B2621" i="3"/>
  <c r="A2621" i="3"/>
  <c r="B2620" i="3"/>
  <c r="A2620" i="3"/>
  <c r="B2619" i="3"/>
  <c r="A2619" i="3"/>
  <c r="B2618" i="3"/>
  <c r="A2618" i="3"/>
  <c r="B2617" i="3"/>
  <c r="A2617" i="3"/>
  <c r="B2616" i="3"/>
  <c r="A2616" i="3"/>
  <c r="B2615" i="3"/>
  <c r="A2615" i="3"/>
  <c r="B2614" i="3"/>
  <c r="A2614" i="3"/>
  <c r="B2613" i="3"/>
  <c r="A2613" i="3"/>
  <c r="B2612" i="3"/>
  <c r="A2612" i="3"/>
  <c r="B2611" i="3"/>
  <c r="A2611" i="3"/>
  <c r="B2610" i="3"/>
  <c r="A2610" i="3"/>
  <c r="B2609" i="3"/>
  <c r="A2609" i="3"/>
  <c r="B2608" i="3"/>
  <c r="A2608" i="3"/>
  <c r="B2607" i="3"/>
  <c r="A2607" i="3"/>
  <c r="B2606" i="3"/>
  <c r="A2606" i="3"/>
  <c r="B2605" i="3"/>
  <c r="A2605" i="3"/>
  <c r="B2604" i="3"/>
  <c r="A2604" i="3"/>
  <c r="B2603" i="3"/>
  <c r="A2603" i="3"/>
  <c r="B2602" i="3"/>
  <c r="A2602" i="3"/>
  <c r="B2601" i="3"/>
  <c r="A2601" i="3"/>
  <c r="B2600" i="3"/>
  <c r="A2600" i="3"/>
  <c r="B2599" i="3"/>
  <c r="B2598" i="3"/>
  <c r="A2598" i="3"/>
  <c r="B2597" i="3"/>
  <c r="A2597" i="3"/>
  <c r="B2596" i="3"/>
  <c r="A2596" i="3"/>
  <c r="B2595" i="3"/>
  <c r="A2595" i="3"/>
  <c r="B2594" i="3"/>
  <c r="A2594" i="3"/>
  <c r="B2593" i="3"/>
  <c r="A2593" i="3"/>
  <c r="B2592" i="3"/>
  <c r="A2592" i="3"/>
  <c r="B2591" i="3"/>
  <c r="A2591" i="3"/>
  <c r="B2590" i="3"/>
  <c r="A2590" i="3"/>
  <c r="B2589" i="3"/>
  <c r="A2589" i="3"/>
  <c r="B2588" i="3"/>
  <c r="A2588" i="3"/>
  <c r="B2587" i="3"/>
  <c r="A2587" i="3"/>
  <c r="B2586" i="3"/>
  <c r="A2586" i="3"/>
  <c r="B2585" i="3"/>
  <c r="A2585" i="3"/>
  <c r="B2584" i="3"/>
  <c r="A2584" i="3"/>
  <c r="B2583" i="3"/>
  <c r="A2583" i="3"/>
  <c r="B2582" i="3"/>
  <c r="A2582" i="3"/>
  <c r="B2581" i="3"/>
  <c r="A2581" i="3"/>
  <c r="B2580" i="3"/>
  <c r="A2580" i="3"/>
  <c r="B2579" i="3"/>
  <c r="A2579" i="3"/>
  <c r="B2578" i="3"/>
  <c r="A2578" i="3"/>
  <c r="B2577" i="3"/>
  <c r="A2577" i="3"/>
  <c r="B2576" i="3"/>
  <c r="A2576" i="3"/>
  <c r="B2575" i="3"/>
  <c r="A2575" i="3"/>
  <c r="B2574" i="3"/>
  <c r="A2574" i="3"/>
  <c r="B2573" i="3"/>
  <c r="A2573" i="3"/>
  <c r="B2572" i="3"/>
  <c r="A2572" i="3"/>
  <c r="B2571" i="3"/>
  <c r="A2571" i="3"/>
  <c r="B2570" i="3"/>
  <c r="A2570" i="3"/>
  <c r="B2569" i="3"/>
  <c r="A2569" i="3"/>
  <c r="B2568" i="3"/>
  <c r="A2568" i="3"/>
  <c r="B2567" i="3"/>
  <c r="A2567" i="3"/>
  <c r="B2566" i="3"/>
  <c r="A2566" i="3"/>
  <c r="B2565" i="3"/>
  <c r="A2565" i="3"/>
  <c r="B2564" i="3"/>
  <c r="A2564" i="3"/>
  <c r="B2563" i="3"/>
  <c r="A2563" i="3"/>
  <c r="B2562" i="3"/>
  <c r="A2562" i="3"/>
  <c r="B2561" i="3"/>
  <c r="A2561" i="3"/>
  <c r="B2560" i="3"/>
  <c r="A2560" i="3"/>
  <c r="B2559" i="3"/>
  <c r="A2559" i="3"/>
  <c r="B2558" i="3"/>
  <c r="A2558" i="3"/>
  <c r="B2557" i="3"/>
  <c r="A2557" i="3"/>
  <c r="B2556" i="3"/>
  <c r="A2556" i="3"/>
  <c r="B2555" i="3"/>
  <c r="A2555" i="3"/>
  <c r="B2554" i="3"/>
  <c r="A2554" i="3"/>
  <c r="B2553" i="3"/>
  <c r="A2553" i="3"/>
  <c r="B2552" i="3"/>
  <c r="A2552" i="3"/>
  <c r="B2551" i="3"/>
  <c r="A2551" i="3"/>
  <c r="B2550" i="3"/>
  <c r="A2550" i="3"/>
  <c r="B2549" i="3"/>
  <c r="A2549" i="3"/>
  <c r="B2548" i="3"/>
  <c r="A2548" i="3"/>
  <c r="B2547" i="3"/>
  <c r="A2547" i="3"/>
  <c r="B2546" i="3"/>
  <c r="A2546" i="3"/>
  <c r="B2545" i="3"/>
  <c r="A2545" i="3"/>
  <c r="B2544" i="3"/>
  <c r="A2544" i="3"/>
  <c r="B2543" i="3"/>
  <c r="A2543" i="3"/>
  <c r="B2542" i="3"/>
  <c r="A2542" i="3"/>
  <c r="B2541" i="3"/>
  <c r="A2541" i="3"/>
  <c r="B2540" i="3"/>
  <c r="A2540" i="3"/>
  <c r="B2539" i="3"/>
  <c r="A2539" i="3"/>
  <c r="B2538" i="3"/>
  <c r="A2538" i="3"/>
  <c r="B2537" i="3"/>
  <c r="A2537" i="3"/>
  <c r="B2536" i="3"/>
  <c r="A2536" i="3"/>
  <c r="B2535" i="3"/>
  <c r="A2535" i="3"/>
  <c r="B2534" i="3"/>
  <c r="A2534" i="3"/>
  <c r="B2533" i="3"/>
  <c r="A2533" i="3"/>
  <c r="B2532" i="3"/>
  <c r="A2532" i="3"/>
  <c r="B2531" i="3"/>
  <c r="A2531" i="3"/>
  <c r="B2530" i="3"/>
  <c r="A2530" i="3"/>
  <c r="B2529" i="3"/>
  <c r="A2529" i="3"/>
  <c r="B2528" i="3"/>
  <c r="A2528" i="3"/>
  <c r="B2527" i="3"/>
  <c r="A2527" i="3"/>
  <c r="B2526" i="3"/>
  <c r="A2526" i="3"/>
  <c r="B2525" i="3"/>
  <c r="A2525" i="3"/>
  <c r="B2524" i="3"/>
  <c r="A2524" i="3"/>
  <c r="B2523" i="3"/>
  <c r="A2523" i="3"/>
  <c r="B2522" i="3"/>
  <c r="A2522" i="3"/>
  <c r="B2521" i="3"/>
  <c r="A2521" i="3"/>
  <c r="B2520" i="3"/>
  <c r="A2520" i="3"/>
  <c r="B2519" i="3"/>
  <c r="A2519" i="3"/>
  <c r="B2518" i="3"/>
  <c r="A2518" i="3"/>
  <c r="B2517" i="3"/>
  <c r="A2517" i="3"/>
  <c r="B2516" i="3"/>
  <c r="A2516" i="3"/>
  <c r="B2515" i="3"/>
  <c r="A2515" i="3"/>
  <c r="B2514" i="3"/>
  <c r="A2514" i="3"/>
  <c r="B2513" i="3"/>
  <c r="A2513" i="3"/>
  <c r="B2512" i="3"/>
  <c r="A2512" i="3"/>
  <c r="B2511" i="3"/>
  <c r="A2511" i="3"/>
  <c r="B2510" i="3"/>
  <c r="A2510" i="3"/>
  <c r="B2509" i="3"/>
  <c r="A2509" i="3"/>
  <c r="B2508" i="3"/>
  <c r="A2508" i="3"/>
  <c r="B2507" i="3"/>
  <c r="A2507" i="3"/>
  <c r="B2506" i="3"/>
  <c r="A2506" i="3"/>
  <c r="B2505" i="3"/>
  <c r="A2505" i="3"/>
  <c r="B2504" i="3"/>
  <c r="A2504" i="3"/>
  <c r="B2503" i="3"/>
  <c r="A2503" i="3"/>
  <c r="B2502" i="3"/>
  <c r="A2502" i="3"/>
  <c r="B2501" i="3"/>
  <c r="A2501" i="3"/>
  <c r="B2500" i="3"/>
  <c r="A2500" i="3"/>
  <c r="B2499" i="3"/>
  <c r="A2499" i="3"/>
  <c r="B2498" i="3"/>
  <c r="A2498" i="3"/>
  <c r="B2497" i="3"/>
  <c r="A2497" i="3"/>
  <c r="B2496" i="3"/>
  <c r="A2496" i="3"/>
  <c r="B2495" i="3"/>
  <c r="A2495" i="3"/>
  <c r="B2494" i="3"/>
  <c r="A2494" i="3"/>
  <c r="B2493" i="3"/>
  <c r="A2493" i="3"/>
  <c r="B2492" i="3"/>
  <c r="A2492" i="3"/>
  <c r="B2491" i="3"/>
  <c r="A2491" i="3"/>
  <c r="B2490" i="3"/>
  <c r="A2490" i="3"/>
  <c r="B2489" i="3"/>
  <c r="A2489" i="3"/>
  <c r="B2488" i="3"/>
  <c r="A2488" i="3"/>
  <c r="B2487" i="3"/>
  <c r="A2487" i="3"/>
  <c r="B2486" i="3"/>
  <c r="A2486" i="3"/>
  <c r="B2485" i="3"/>
  <c r="A2485" i="3"/>
  <c r="B2484" i="3"/>
  <c r="A2484" i="3"/>
  <c r="B2483" i="3"/>
  <c r="A2483" i="3"/>
  <c r="B2482" i="3"/>
  <c r="A2482" i="3"/>
  <c r="B2481" i="3"/>
  <c r="A2481" i="3"/>
  <c r="B2480" i="3"/>
  <c r="A2480" i="3"/>
  <c r="B2479" i="3"/>
  <c r="A2479" i="3"/>
  <c r="B2478" i="3"/>
  <c r="A2478" i="3"/>
  <c r="B2477" i="3"/>
  <c r="A2477" i="3"/>
  <c r="B2476" i="3"/>
  <c r="A2476" i="3"/>
  <c r="B2475" i="3"/>
  <c r="A2475" i="3"/>
  <c r="B2474" i="3"/>
  <c r="A2474" i="3"/>
  <c r="B2473" i="3"/>
  <c r="A2473" i="3"/>
  <c r="B2472" i="3"/>
  <c r="A2472" i="3"/>
  <c r="B2471" i="3"/>
  <c r="A2471" i="3"/>
  <c r="B2470" i="3"/>
  <c r="A2470" i="3"/>
  <c r="B2469" i="3"/>
  <c r="A2469" i="3"/>
  <c r="B2468" i="3"/>
  <c r="A2468" i="3"/>
  <c r="B2467" i="3"/>
  <c r="A2467" i="3"/>
  <c r="B2466" i="3"/>
  <c r="A2466" i="3"/>
  <c r="B2465" i="3"/>
  <c r="A2465" i="3"/>
  <c r="B2464" i="3"/>
  <c r="A2464" i="3"/>
  <c r="B2463" i="3"/>
  <c r="A2463" i="3"/>
  <c r="B2462" i="3"/>
  <c r="A2462" i="3"/>
  <c r="B2461" i="3"/>
  <c r="A2461" i="3"/>
  <c r="B2460" i="3"/>
  <c r="A2460" i="3"/>
  <c r="B2459" i="3"/>
  <c r="A2459" i="3"/>
  <c r="B2458" i="3"/>
  <c r="A2458" i="3"/>
  <c r="B2457" i="3"/>
  <c r="A2457" i="3"/>
  <c r="B2456" i="3"/>
  <c r="A2456" i="3"/>
  <c r="B2455" i="3"/>
  <c r="A2455" i="3"/>
  <c r="B2454" i="3"/>
  <c r="A2454" i="3"/>
  <c r="B2453" i="3"/>
  <c r="A2453" i="3"/>
  <c r="B2452" i="3"/>
  <c r="A2452" i="3"/>
  <c r="B2451" i="3"/>
  <c r="A2451" i="3"/>
  <c r="B2450" i="3"/>
  <c r="A2450" i="3"/>
  <c r="B2449" i="3"/>
  <c r="A2449" i="3"/>
  <c r="B2448" i="3"/>
  <c r="A2448" i="3"/>
  <c r="B2447" i="3"/>
  <c r="A2447" i="3"/>
  <c r="B2446" i="3"/>
  <c r="A2446" i="3"/>
  <c r="B2445" i="3"/>
  <c r="B2444" i="3"/>
  <c r="A2444" i="3"/>
  <c r="B2443" i="3"/>
  <c r="A2443" i="3"/>
  <c r="B2442" i="3"/>
  <c r="A2442" i="3"/>
  <c r="B2441" i="3"/>
  <c r="A2441" i="3"/>
  <c r="B2440" i="3"/>
  <c r="A2440" i="3"/>
  <c r="B2439" i="3"/>
  <c r="A2439" i="3"/>
  <c r="B2438" i="3"/>
  <c r="A2438" i="3"/>
  <c r="B2437" i="3"/>
  <c r="A2437" i="3"/>
  <c r="B2436" i="3"/>
  <c r="A2436" i="3"/>
  <c r="B2435" i="3"/>
  <c r="A2435" i="3"/>
  <c r="B2434" i="3"/>
  <c r="A2434" i="3"/>
  <c r="B2433" i="3"/>
  <c r="A2433" i="3"/>
  <c r="B2432" i="3"/>
  <c r="A2432" i="3"/>
  <c r="B2431" i="3"/>
  <c r="A2431" i="3"/>
  <c r="B2430" i="3"/>
  <c r="A2430" i="3"/>
  <c r="B2429" i="3"/>
  <c r="A2429" i="3"/>
  <c r="B2428" i="3"/>
  <c r="A2428" i="3"/>
  <c r="B2427" i="3"/>
  <c r="A2427" i="3"/>
  <c r="B2426" i="3"/>
  <c r="A2426" i="3"/>
  <c r="B2425" i="3"/>
  <c r="A2425" i="3"/>
  <c r="B2424" i="3"/>
  <c r="A2424" i="3"/>
  <c r="B2423" i="3"/>
  <c r="A2423" i="3"/>
  <c r="B2422" i="3"/>
  <c r="A2422" i="3"/>
  <c r="B2421" i="3"/>
  <c r="A2421" i="3"/>
  <c r="B2420" i="3"/>
  <c r="A2420" i="3"/>
  <c r="B2419" i="3"/>
  <c r="A2419" i="3"/>
  <c r="B2418" i="3"/>
  <c r="A2418" i="3"/>
  <c r="B2417" i="3"/>
  <c r="A2417" i="3"/>
  <c r="B2416" i="3"/>
  <c r="A2416" i="3"/>
  <c r="B2415" i="3"/>
  <c r="A2415" i="3"/>
  <c r="B2414" i="3"/>
  <c r="A2414" i="3"/>
  <c r="B2413" i="3"/>
  <c r="A2413" i="3"/>
  <c r="B2412" i="3"/>
  <c r="A2412" i="3"/>
  <c r="B2411" i="3"/>
  <c r="A2411" i="3"/>
  <c r="B2410" i="3"/>
  <c r="A2410" i="3"/>
  <c r="B2409" i="3"/>
  <c r="A2409" i="3"/>
  <c r="B2408" i="3"/>
  <c r="A2408" i="3"/>
  <c r="B2407" i="3"/>
  <c r="A2407" i="3"/>
  <c r="B2406" i="3"/>
  <c r="A2406" i="3"/>
  <c r="B2405" i="3"/>
  <c r="A2405" i="3"/>
  <c r="B2404" i="3"/>
  <c r="A2404" i="3"/>
  <c r="B2403" i="3"/>
  <c r="A2403" i="3"/>
  <c r="B2402" i="3"/>
  <c r="A2402" i="3"/>
  <c r="B2401" i="3"/>
  <c r="A2401" i="3"/>
  <c r="B2400" i="3"/>
  <c r="A2400" i="3"/>
  <c r="B2399" i="3"/>
  <c r="A2399" i="3"/>
  <c r="B2398" i="3"/>
  <c r="A2398" i="3"/>
  <c r="B2397" i="3"/>
  <c r="A2397" i="3"/>
  <c r="B2396" i="3"/>
  <c r="A2396" i="3"/>
  <c r="B2395" i="3"/>
  <c r="A2395" i="3"/>
  <c r="B2394" i="3"/>
  <c r="A2394" i="3"/>
  <c r="B2393" i="3"/>
  <c r="A2393" i="3"/>
  <c r="B2392" i="3"/>
  <c r="A2392" i="3"/>
  <c r="B2391" i="3"/>
  <c r="A2391" i="3"/>
  <c r="B2390" i="3"/>
  <c r="A2390" i="3"/>
  <c r="B2389" i="3"/>
  <c r="A2389" i="3"/>
  <c r="B2388" i="3"/>
  <c r="A2388" i="3"/>
  <c r="B2387" i="3"/>
  <c r="A2387" i="3"/>
  <c r="B2386" i="3"/>
  <c r="A2386" i="3"/>
  <c r="B2385" i="3"/>
  <c r="A2385" i="3"/>
  <c r="B2384" i="3"/>
  <c r="A2384" i="3"/>
  <c r="B2383" i="3"/>
  <c r="A2383" i="3"/>
  <c r="B2382" i="3"/>
  <c r="A2382" i="3"/>
  <c r="B2381" i="3"/>
  <c r="A2381" i="3"/>
  <c r="B2380" i="3"/>
  <c r="A2380" i="3"/>
  <c r="B2379" i="3"/>
  <c r="A2379" i="3"/>
  <c r="B2378" i="3"/>
  <c r="A2378" i="3"/>
  <c r="B2377" i="3"/>
  <c r="A2377" i="3"/>
  <c r="B2376" i="3"/>
  <c r="A2376" i="3"/>
  <c r="B2375" i="3"/>
  <c r="A2375" i="3"/>
  <c r="B2374" i="3"/>
  <c r="A2374" i="3"/>
  <c r="B2373" i="3"/>
  <c r="A2373" i="3"/>
  <c r="B2372" i="3"/>
  <c r="A2372" i="3"/>
  <c r="B2371" i="3"/>
  <c r="A2371" i="3"/>
  <c r="B2370" i="3"/>
  <c r="A2370" i="3"/>
  <c r="B2369" i="3"/>
  <c r="A2369" i="3"/>
  <c r="B2368" i="3"/>
  <c r="A2368" i="3"/>
  <c r="B2367" i="3"/>
  <c r="A2367" i="3"/>
  <c r="B2366" i="3"/>
  <c r="A2366" i="3"/>
  <c r="B2365" i="3"/>
  <c r="A2365" i="3"/>
  <c r="B2364" i="3"/>
  <c r="A2364" i="3"/>
  <c r="B2363" i="3"/>
  <c r="A2363" i="3"/>
  <c r="B2362" i="3"/>
  <c r="A2362" i="3"/>
  <c r="B2361" i="3"/>
  <c r="A2361" i="3"/>
  <c r="B2360" i="3"/>
  <c r="A2360" i="3"/>
  <c r="B2359" i="3"/>
  <c r="A2359" i="3"/>
  <c r="B2358" i="3"/>
  <c r="A2358" i="3"/>
  <c r="B2357" i="3"/>
  <c r="A2357" i="3"/>
  <c r="B2356" i="3"/>
  <c r="A2356" i="3"/>
  <c r="B2355" i="3"/>
  <c r="A2355" i="3"/>
  <c r="B2354" i="3"/>
  <c r="A2354" i="3"/>
  <c r="B2353" i="3"/>
  <c r="A2353" i="3"/>
  <c r="B2352" i="3"/>
  <c r="A2352" i="3"/>
  <c r="B2351" i="3"/>
  <c r="A2351" i="3"/>
  <c r="B2350" i="3"/>
  <c r="A2350" i="3"/>
  <c r="B2349" i="3"/>
  <c r="A2349" i="3"/>
  <c r="B2348" i="3"/>
  <c r="A2348" i="3"/>
  <c r="B2347" i="3"/>
  <c r="A2347" i="3"/>
  <c r="B2346" i="3"/>
  <c r="A2346" i="3"/>
  <c r="B2345" i="3"/>
  <c r="A2345" i="3"/>
  <c r="B2344" i="3"/>
  <c r="A2344" i="3"/>
  <c r="B2343" i="3"/>
  <c r="A2343" i="3"/>
  <c r="B2342" i="3"/>
  <c r="A2342" i="3"/>
  <c r="B2341" i="3"/>
  <c r="A2341" i="3"/>
  <c r="B2340" i="3"/>
  <c r="A2340" i="3"/>
  <c r="B2339" i="3"/>
  <c r="A2339" i="3"/>
  <c r="B2338" i="3"/>
  <c r="A2338" i="3"/>
  <c r="B2337" i="3"/>
  <c r="A2337" i="3"/>
  <c r="B2336" i="3"/>
  <c r="A2336" i="3"/>
  <c r="B2335" i="3"/>
  <c r="A2335" i="3"/>
  <c r="B2334" i="3"/>
  <c r="A2334" i="3"/>
  <c r="B2333" i="3"/>
  <c r="A2333" i="3"/>
  <c r="B2332" i="3"/>
  <c r="A2332" i="3"/>
  <c r="B2331" i="3"/>
  <c r="A2331" i="3"/>
  <c r="B2330" i="3"/>
  <c r="A2330" i="3"/>
  <c r="B2329" i="3"/>
  <c r="A2329" i="3"/>
  <c r="B2328" i="3"/>
  <c r="A2328" i="3"/>
  <c r="B2327" i="3"/>
  <c r="A2327" i="3"/>
  <c r="B2326" i="3"/>
  <c r="A2326" i="3"/>
  <c r="B2325" i="3"/>
  <c r="A2325" i="3"/>
  <c r="B2324" i="3"/>
  <c r="A2324" i="3"/>
  <c r="B2323" i="3"/>
  <c r="A2323" i="3"/>
  <c r="B2322" i="3"/>
  <c r="A2322" i="3"/>
  <c r="B2321" i="3"/>
  <c r="A2321" i="3"/>
  <c r="B2320" i="3"/>
  <c r="A2320" i="3"/>
  <c r="B2319" i="3"/>
  <c r="A2319" i="3"/>
  <c r="B2318" i="3"/>
  <c r="A2318" i="3"/>
  <c r="B2317" i="3"/>
  <c r="A2317" i="3"/>
  <c r="B2316" i="3"/>
  <c r="A2316" i="3"/>
  <c r="B2315" i="3"/>
  <c r="A2315" i="3"/>
  <c r="B2314" i="3"/>
  <c r="A2314" i="3"/>
  <c r="B2313" i="3"/>
  <c r="A2313" i="3"/>
  <c r="B2312" i="3"/>
  <c r="A2312" i="3"/>
  <c r="B2311" i="3"/>
  <c r="A2311" i="3"/>
  <c r="B2310" i="3"/>
  <c r="A2310" i="3"/>
  <c r="B2309" i="3"/>
  <c r="A2309" i="3"/>
  <c r="B2308" i="3"/>
  <c r="A2308" i="3"/>
  <c r="B2307" i="3"/>
  <c r="A2307" i="3"/>
  <c r="B2306" i="3"/>
  <c r="A2306" i="3"/>
  <c r="B2305" i="3"/>
  <c r="A2305" i="3"/>
  <c r="B2304" i="3"/>
  <c r="A2304" i="3"/>
  <c r="B2303" i="3"/>
  <c r="A2303" i="3"/>
  <c r="B2302" i="3"/>
  <c r="A2302" i="3"/>
  <c r="B2301" i="3"/>
  <c r="A2301" i="3"/>
  <c r="B2300" i="3"/>
  <c r="A2300" i="3"/>
  <c r="B2299" i="3"/>
  <c r="A2299" i="3"/>
  <c r="B2298" i="3"/>
  <c r="A2298" i="3"/>
  <c r="B2297" i="3"/>
  <c r="A2297" i="3"/>
  <c r="B2296" i="3"/>
  <c r="A2296" i="3"/>
  <c r="B2295" i="3"/>
  <c r="A2295" i="3"/>
  <c r="B2294" i="3"/>
  <c r="A2294" i="3"/>
  <c r="B2293" i="3"/>
  <c r="A2293" i="3"/>
  <c r="B2292" i="3"/>
  <c r="A2292" i="3"/>
  <c r="B2291" i="3"/>
  <c r="A2291" i="3"/>
  <c r="B2290" i="3"/>
  <c r="A2290" i="3"/>
  <c r="B2289" i="3"/>
  <c r="A2289" i="3"/>
  <c r="B2288" i="3"/>
  <c r="A2288" i="3"/>
  <c r="B2287" i="3"/>
  <c r="A2287" i="3"/>
  <c r="B2286" i="3"/>
  <c r="A2286" i="3"/>
  <c r="B2285" i="3"/>
  <c r="A2285" i="3"/>
  <c r="B2284" i="3"/>
  <c r="A2284" i="3"/>
  <c r="B2283" i="3"/>
  <c r="A2283" i="3"/>
  <c r="B2282" i="3"/>
  <c r="A2282" i="3"/>
  <c r="B2281" i="3"/>
  <c r="A2281" i="3"/>
  <c r="B2280" i="3"/>
  <c r="A2280" i="3"/>
  <c r="B2279" i="3"/>
  <c r="A2279" i="3"/>
  <c r="B2278" i="3"/>
  <c r="A2278" i="3"/>
  <c r="B2277" i="3"/>
  <c r="A2277" i="3"/>
  <c r="B2276" i="3"/>
  <c r="A2276" i="3"/>
  <c r="B2275" i="3"/>
  <c r="A2275" i="3"/>
  <c r="B2274" i="3"/>
  <c r="A2274" i="3"/>
  <c r="B2273" i="3"/>
  <c r="A2273" i="3"/>
  <c r="B2272" i="3"/>
  <c r="A2272" i="3"/>
  <c r="B2271" i="3"/>
  <c r="A2271" i="3"/>
  <c r="B2270" i="3"/>
  <c r="A2270" i="3"/>
  <c r="B2269" i="3"/>
  <c r="A2269" i="3"/>
  <c r="B2268" i="3"/>
  <c r="A2268" i="3"/>
  <c r="B2267" i="3"/>
  <c r="A2267" i="3"/>
  <c r="B2266" i="3"/>
  <c r="A2266" i="3"/>
  <c r="B2265" i="3"/>
  <c r="A2265" i="3"/>
  <c r="B2264" i="3"/>
  <c r="A2264" i="3"/>
  <c r="B2263" i="3"/>
  <c r="A2263" i="3"/>
  <c r="B2262" i="3"/>
  <c r="A2262" i="3"/>
  <c r="B2261" i="3"/>
  <c r="A2261" i="3"/>
  <c r="B2260" i="3"/>
  <c r="A2260" i="3"/>
  <c r="B2259" i="3"/>
  <c r="A2259" i="3"/>
  <c r="B2258" i="3"/>
  <c r="A2258" i="3"/>
  <c r="B2257" i="3"/>
  <c r="A2257" i="3"/>
  <c r="B2256" i="3"/>
  <c r="A2256" i="3"/>
  <c r="B2255" i="3"/>
  <c r="A2255" i="3"/>
  <c r="B2254" i="3"/>
  <c r="A2254" i="3"/>
  <c r="B2253" i="3"/>
  <c r="A2253" i="3"/>
  <c r="B2252" i="3"/>
  <c r="A2252" i="3"/>
  <c r="B2251" i="3"/>
  <c r="A2251" i="3"/>
  <c r="B2250" i="3"/>
  <c r="A2250" i="3"/>
  <c r="B2249" i="3"/>
  <c r="A2249" i="3"/>
  <c r="B2248" i="3"/>
  <c r="A2248" i="3"/>
  <c r="B2247" i="3"/>
  <c r="A2247" i="3"/>
  <c r="B2246" i="3"/>
  <c r="A2246" i="3"/>
  <c r="B2245" i="3"/>
  <c r="A2245" i="3"/>
  <c r="B2244" i="3"/>
  <c r="A2244" i="3"/>
  <c r="B2243" i="3"/>
  <c r="A2243" i="3"/>
  <c r="B2242" i="3"/>
  <c r="A2242" i="3"/>
  <c r="B2241" i="3"/>
  <c r="A2241" i="3"/>
  <c r="B2240" i="3"/>
  <c r="A2240" i="3"/>
  <c r="B2239" i="3"/>
  <c r="A2239" i="3"/>
  <c r="B2238" i="3"/>
  <c r="A2238" i="3"/>
  <c r="B2237" i="3"/>
  <c r="A2237" i="3"/>
  <c r="B2236" i="3"/>
  <c r="A2236" i="3"/>
  <c r="B2235" i="3"/>
  <c r="A2235" i="3"/>
  <c r="B2234" i="3"/>
  <c r="A2234" i="3"/>
  <c r="B2233" i="3"/>
  <c r="A2233" i="3"/>
  <c r="B2232" i="3"/>
  <c r="A2232" i="3"/>
  <c r="B2231" i="3"/>
  <c r="A2231" i="3"/>
  <c r="B2230" i="3"/>
  <c r="A2230" i="3"/>
  <c r="B2229" i="3"/>
  <c r="A2229" i="3"/>
  <c r="B2228" i="3"/>
  <c r="A2228" i="3"/>
  <c r="B2227" i="3"/>
  <c r="A2227" i="3"/>
  <c r="B2226" i="3"/>
  <c r="A2226" i="3"/>
  <c r="B2225" i="3"/>
  <c r="A2225" i="3"/>
  <c r="B2224" i="3"/>
  <c r="A2224" i="3"/>
  <c r="B2223" i="3"/>
  <c r="A2223" i="3"/>
  <c r="B2222" i="3"/>
  <c r="A2222" i="3"/>
  <c r="B2221" i="3"/>
  <c r="A2221" i="3"/>
  <c r="B2220" i="3"/>
  <c r="A2220" i="3"/>
  <c r="B2219" i="3"/>
  <c r="A2219" i="3"/>
  <c r="B2218" i="3"/>
  <c r="A2218" i="3"/>
  <c r="B2217" i="3"/>
  <c r="A2217" i="3"/>
  <c r="B2216" i="3"/>
  <c r="A2216" i="3"/>
  <c r="B2215" i="3"/>
  <c r="B2214" i="3"/>
  <c r="B2213" i="3"/>
  <c r="A2213" i="3"/>
  <c r="B2212" i="3"/>
  <c r="A2212" i="3"/>
  <c r="B2211" i="3"/>
  <c r="A2211" i="3"/>
  <c r="B2210" i="3"/>
  <c r="A2210" i="3"/>
  <c r="B2209" i="3"/>
  <c r="A2209" i="3"/>
  <c r="B2208" i="3"/>
  <c r="A2208" i="3"/>
  <c r="B2207" i="3"/>
  <c r="A2207" i="3"/>
  <c r="B2206" i="3"/>
  <c r="A2206" i="3"/>
  <c r="B2205" i="3"/>
  <c r="A2205" i="3"/>
  <c r="B2204" i="3"/>
  <c r="A2204" i="3"/>
  <c r="B2203" i="3"/>
  <c r="A2203" i="3"/>
  <c r="B2202" i="3"/>
  <c r="A2202" i="3"/>
  <c r="B2201" i="3"/>
  <c r="A2201" i="3"/>
  <c r="B2200" i="3"/>
  <c r="A2200" i="3"/>
  <c r="B2199" i="3"/>
  <c r="A2199" i="3"/>
  <c r="B2198" i="3"/>
  <c r="A2198" i="3"/>
  <c r="B2197" i="3"/>
  <c r="A2197" i="3"/>
  <c r="B2196" i="3"/>
  <c r="A2196" i="3"/>
  <c r="B2195" i="3"/>
  <c r="A2195" i="3"/>
  <c r="B2194" i="3"/>
  <c r="A2194" i="3"/>
  <c r="B2193" i="3"/>
  <c r="A2193" i="3"/>
  <c r="B2192" i="3"/>
  <c r="A2192" i="3"/>
  <c r="B2191" i="3"/>
  <c r="A2191" i="3"/>
  <c r="B2190" i="3"/>
  <c r="A2190" i="3"/>
  <c r="B2189" i="3"/>
  <c r="A2189" i="3"/>
  <c r="B2188" i="3"/>
  <c r="A2188" i="3"/>
  <c r="B2187" i="3"/>
  <c r="A2187" i="3"/>
  <c r="B2186" i="3"/>
  <c r="A2186" i="3"/>
  <c r="B2185" i="3"/>
  <c r="A2185" i="3"/>
  <c r="B2184" i="3"/>
  <c r="A2184" i="3"/>
  <c r="B2183" i="3"/>
  <c r="A2183" i="3"/>
  <c r="B2182" i="3"/>
  <c r="A2182" i="3"/>
  <c r="B2181" i="3"/>
  <c r="A2181" i="3"/>
  <c r="B2180" i="3"/>
  <c r="A2180" i="3"/>
  <c r="B2179" i="3"/>
  <c r="A2179" i="3"/>
  <c r="B2178" i="3"/>
  <c r="A2178" i="3"/>
  <c r="B2177" i="3"/>
  <c r="A2177" i="3"/>
  <c r="B2176" i="3"/>
  <c r="A2176" i="3"/>
  <c r="B2175" i="3"/>
  <c r="A2175" i="3"/>
  <c r="B2174" i="3"/>
  <c r="A2174" i="3"/>
  <c r="B2173" i="3"/>
  <c r="A2173" i="3"/>
  <c r="B2172" i="3"/>
  <c r="A2172" i="3"/>
  <c r="B2171" i="3"/>
  <c r="A2171" i="3"/>
  <c r="B2170" i="3"/>
  <c r="A2170" i="3"/>
  <c r="B2169" i="3"/>
  <c r="A2169" i="3"/>
  <c r="B2168" i="3"/>
  <c r="A2168" i="3"/>
  <c r="B2167" i="3"/>
  <c r="A2167" i="3"/>
  <c r="B2166" i="3"/>
  <c r="A2166" i="3"/>
  <c r="B2165" i="3"/>
  <c r="A2165" i="3"/>
  <c r="B2164" i="3"/>
  <c r="A2164" i="3"/>
  <c r="B2163" i="3"/>
  <c r="A2163" i="3"/>
  <c r="B2162" i="3"/>
  <c r="A2162" i="3"/>
  <c r="B2161" i="3"/>
  <c r="A2161" i="3"/>
  <c r="B2160" i="3"/>
  <c r="A2160" i="3"/>
  <c r="B2159" i="3"/>
  <c r="A2159" i="3"/>
  <c r="B2158" i="3"/>
  <c r="A2158" i="3"/>
  <c r="B2157" i="3"/>
  <c r="A2157" i="3"/>
  <c r="B2156" i="3"/>
  <c r="A2156" i="3"/>
  <c r="B2155" i="3"/>
  <c r="A2155" i="3"/>
  <c r="B2154" i="3"/>
  <c r="A2154" i="3"/>
  <c r="B2153" i="3"/>
  <c r="A2153" i="3"/>
  <c r="B2152" i="3"/>
  <c r="A2152" i="3"/>
  <c r="B2151" i="3"/>
  <c r="A2151" i="3"/>
  <c r="B2150" i="3"/>
  <c r="A2150" i="3"/>
  <c r="B2149" i="3"/>
  <c r="A2149" i="3"/>
  <c r="B2148" i="3"/>
  <c r="A2148" i="3"/>
  <c r="B2147" i="3"/>
  <c r="A2147" i="3"/>
  <c r="B2146" i="3"/>
  <c r="A2146" i="3"/>
  <c r="B2145" i="3"/>
  <c r="A2145" i="3"/>
  <c r="B2144" i="3"/>
  <c r="A2144" i="3"/>
  <c r="B2143" i="3"/>
  <c r="A2143" i="3"/>
  <c r="B2142" i="3"/>
  <c r="A2142" i="3"/>
  <c r="B2141" i="3"/>
  <c r="A2141" i="3"/>
  <c r="B2140" i="3"/>
  <c r="A2140" i="3"/>
  <c r="B2139" i="3"/>
  <c r="A2139" i="3"/>
  <c r="B2138" i="3"/>
  <c r="A2138" i="3"/>
  <c r="B2137" i="3"/>
  <c r="A2137" i="3"/>
  <c r="B2136" i="3"/>
  <c r="A2136" i="3"/>
  <c r="B2135" i="3"/>
  <c r="A2135" i="3"/>
  <c r="B2134" i="3"/>
  <c r="A2134" i="3"/>
  <c r="B2133" i="3"/>
  <c r="A2133" i="3"/>
  <c r="B2132" i="3"/>
  <c r="A2132" i="3"/>
  <c r="B2131" i="3"/>
  <c r="A2131" i="3"/>
  <c r="B2130" i="3"/>
  <c r="A2130" i="3"/>
  <c r="B2129" i="3"/>
  <c r="A2129" i="3"/>
  <c r="B2128" i="3"/>
  <c r="A2128" i="3"/>
  <c r="B2127" i="3"/>
  <c r="A2127" i="3"/>
  <c r="B2126" i="3"/>
  <c r="A2126" i="3"/>
  <c r="B2125" i="3"/>
  <c r="A2125" i="3"/>
  <c r="B2124" i="3"/>
  <c r="A2124" i="3"/>
  <c r="B2123" i="3"/>
  <c r="A2123" i="3"/>
  <c r="B2122" i="3"/>
  <c r="A2122" i="3"/>
  <c r="B2121" i="3"/>
  <c r="A2121" i="3"/>
  <c r="B2120" i="3"/>
  <c r="A2120" i="3"/>
  <c r="B2119" i="3"/>
  <c r="A2119" i="3"/>
  <c r="B2118" i="3"/>
  <c r="A2118" i="3"/>
  <c r="B2117" i="3"/>
  <c r="A2117" i="3"/>
  <c r="B2116" i="3"/>
  <c r="A2116" i="3"/>
  <c r="B2115" i="3"/>
  <c r="A2115" i="3"/>
  <c r="B2114" i="3"/>
  <c r="A2114" i="3"/>
  <c r="B2113" i="3"/>
  <c r="A2113" i="3"/>
  <c r="B2112" i="3"/>
  <c r="A2112" i="3"/>
  <c r="B2111" i="3"/>
  <c r="A2111" i="3"/>
  <c r="B2110" i="3"/>
  <c r="A2110" i="3"/>
  <c r="B2109" i="3"/>
  <c r="A2109" i="3"/>
  <c r="B2108" i="3"/>
  <c r="A2108" i="3"/>
  <c r="B2107" i="3"/>
  <c r="A2107" i="3"/>
  <c r="B2106" i="3"/>
  <c r="A2106" i="3"/>
  <c r="B2105" i="3"/>
  <c r="A2105" i="3"/>
  <c r="B2104" i="3"/>
  <c r="A2104" i="3"/>
  <c r="B2103" i="3"/>
  <c r="A2103" i="3"/>
  <c r="B2102" i="3"/>
  <c r="A2102" i="3"/>
  <c r="B2101" i="3"/>
  <c r="A2101" i="3"/>
  <c r="B2100" i="3"/>
  <c r="A2100" i="3"/>
  <c r="B2099" i="3"/>
  <c r="A2099" i="3"/>
  <c r="B2098" i="3"/>
  <c r="A2098" i="3"/>
  <c r="B2097" i="3"/>
  <c r="A2097" i="3"/>
  <c r="B2096" i="3"/>
  <c r="A2096" i="3"/>
  <c r="B2095" i="3"/>
  <c r="A2095" i="3"/>
  <c r="B2094" i="3"/>
  <c r="A2094" i="3"/>
  <c r="B2093" i="3"/>
  <c r="A2093" i="3"/>
  <c r="B2092" i="3"/>
  <c r="A2092" i="3"/>
  <c r="B2091" i="3"/>
  <c r="A2091" i="3"/>
  <c r="B2090" i="3"/>
  <c r="A2090" i="3"/>
  <c r="B2089" i="3"/>
  <c r="A2089" i="3"/>
  <c r="B2088" i="3"/>
  <c r="A2088" i="3"/>
  <c r="B2087" i="3"/>
  <c r="A2087" i="3"/>
  <c r="B2086" i="3"/>
  <c r="A2086" i="3"/>
  <c r="B2085" i="3"/>
  <c r="A2085" i="3"/>
  <c r="B2084" i="3"/>
  <c r="A2084" i="3"/>
  <c r="B2083" i="3"/>
  <c r="A2083" i="3"/>
  <c r="B2082" i="3"/>
  <c r="A2082" i="3"/>
  <c r="B2081" i="3"/>
  <c r="A2081" i="3"/>
  <c r="B2080" i="3"/>
  <c r="A2080" i="3"/>
  <c r="B2079" i="3"/>
  <c r="A2079" i="3"/>
  <c r="B2078" i="3"/>
  <c r="A2078" i="3"/>
  <c r="B2077" i="3"/>
  <c r="A2077" i="3"/>
  <c r="B2076" i="3"/>
  <c r="A2076" i="3"/>
  <c r="B2075" i="3"/>
  <c r="A2075" i="3"/>
  <c r="B2074" i="3"/>
  <c r="A2074" i="3"/>
  <c r="B2073" i="3"/>
  <c r="A2073" i="3"/>
  <c r="B2072" i="3"/>
  <c r="A2072" i="3"/>
  <c r="B2071" i="3"/>
  <c r="A2071" i="3"/>
  <c r="B2070" i="3"/>
  <c r="A2070" i="3"/>
  <c r="B2069" i="3"/>
  <c r="A2069" i="3"/>
  <c r="B2068" i="3"/>
  <c r="A2068" i="3"/>
  <c r="B2067" i="3"/>
  <c r="A2067" i="3"/>
  <c r="B2066" i="3"/>
  <c r="A2066" i="3"/>
  <c r="B2065" i="3"/>
  <c r="A2065" i="3"/>
  <c r="B2064" i="3"/>
  <c r="A2064" i="3"/>
  <c r="B2063" i="3"/>
  <c r="A2063" i="3"/>
  <c r="B2062" i="3"/>
  <c r="A2062" i="3"/>
  <c r="B2061" i="3"/>
  <c r="A2061" i="3"/>
  <c r="B2060" i="3"/>
  <c r="A2060" i="3"/>
  <c r="B2059" i="3"/>
  <c r="A2059" i="3"/>
  <c r="B2058" i="3"/>
  <c r="A2058" i="3"/>
  <c r="B2057" i="3"/>
  <c r="A2057" i="3"/>
  <c r="B2056" i="3"/>
  <c r="A2056" i="3"/>
  <c r="B2055" i="3"/>
  <c r="A2055" i="3"/>
  <c r="B2054" i="3"/>
  <c r="A2054" i="3"/>
  <c r="B2053" i="3"/>
  <c r="A2053" i="3"/>
  <c r="B2052" i="3"/>
  <c r="A2052" i="3"/>
  <c r="B2051" i="3"/>
  <c r="A2051" i="3"/>
  <c r="B2050" i="3"/>
  <c r="A2050" i="3"/>
  <c r="B2049" i="3"/>
  <c r="A2049" i="3"/>
  <c r="B2048" i="3"/>
  <c r="A2048" i="3"/>
  <c r="B2047" i="3"/>
  <c r="A2047" i="3"/>
  <c r="B2046" i="3"/>
  <c r="A2046" i="3"/>
  <c r="B2045" i="3"/>
  <c r="A2045" i="3"/>
  <c r="B2044" i="3"/>
  <c r="A2044" i="3"/>
  <c r="B2043" i="3"/>
  <c r="A2043" i="3"/>
  <c r="B2042" i="3"/>
  <c r="A2042" i="3"/>
  <c r="B2041" i="3"/>
  <c r="A2041" i="3"/>
  <c r="B2040" i="3"/>
  <c r="A2040" i="3"/>
  <c r="B2039" i="3"/>
  <c r="A2039" i="3"/>
  <c r="B2038" i="3"/>
  <c r="A2038" i="3"/>
  <c r="B2037" i="3"/>
  <c r="A2037" i="3"/>
  <c r="B2036" i="3"/>
  <c r="A2036" i="3"/>
  <c r="B2035" i="3"/>
  <c r="A2035" i="3"/>
  <c r="B2034" i="3"/>
  <c r="A2034" i="3"/>
  <c r="B2033" i="3"/>
  <c r="A2033" i="3"/>
  <c r="B2032" i="3"/>
  <c r="A2032" i="3"/>
  <c r="B2031" i="3"/>
  <c r="A2031" i="3"/>
  <c r="B2030" i="3"/>
  <c r="A2030" i="3"/>
  <c r="B2029" i="3"/>
  <c r="A2029" i="3"/>
  <c r="B2028" i="3"/>
  <c r="A2028" i="3"/>
  <c r="B2027" i="3"/>
  <c r="A2027" i="3"/>
  <c r="B2026" i="3"/>
  <c r="A2026" i="3"/>
  <c r="B2025" i="3"/>
  <c r="A2025" i="3"/>
  <c r="B2024" i="3"/>
  <c r="A2024" i="3"/>
  <c r="B2023" i="3"/>
  <c r="A2023" i="3"/>
  <c r="B2022" i="3"/>
  <c r="A2022" i="3"/>
  <c r="B2021" i="3"/>
  <c r="A2021" i="3"/>
  <c r="B2020" i="3"/>
  <c r="A2020" i="3"/>
  <c r="B2019" i="3"/>
  <c r="A2019" i="3"/>
  <c r="B2018" i="3"/>
  <c r="A2018" i="3"/>
  <c r="B2017" i="3"/>
  <c r="A2017" i="3"/>
  <c r="B2016" i="3"/>
  <c r="A2016" i="3"/>
  <c r="B2015" i="3"/>
  <c r="A2015" i="3"/>
  <c r="B2014" i="3"/>
  <c r="A2014" i="3"/>
  <c r="B2013" i="3"/>
  <c r="A2013" i="3"/>
  <c r="B2012" i="3"/>
  <c r="A2012" i="3"/>
  <c r="B2011" i="3"/>
  <c r="A2011" i="3"/>
  <c r="B2010" i="3"/>
  <c r="A2010" i="3"/>
  <c r="B2009" i="3"/>
  <c r="A2009" i="3"/>
  <c r="B2008" i="3"/>
  <c r="A2008" i="3"/>
  <c r="B2007" i="3"/>
  <c r="A2007" i="3"/>
  <c r="B2006" i="3"/>
  <c r="A2006" i="3"/>
  <c r="B2005" i="3"/>
  <c r="A2005" i="3"/>
  <c r="B2004" i="3"/>
  <c r="A2004" i="3"/>
  <c r="B2003" i="3"/>
  <c r="A2003" i="3"/>
  <c r="B2002" i="3"/>
  <c r="A2002" i="3"/>
  <c r="B2001" i="3"/>
  <c r="A2001" i="3"/>
  <c r="B2000" i="3"/>
  <c r="A2000" i="3"/>
  <c r="B1999" i="3"/>
  <c r="B1998" i="3"/>
  <c r="A1998" i="3"/>
  <c r="B1997" i="3"/>
  <c r="A1997" i="3"/>
  <c r="B1996" i="3"/>
  <c r="A1996" i="3"/>
  <c r="B1995" i="3"/>
  <c r="A1995" i="3"/>
  <c r="B1994" i="3"/>
  <c r="A1994" i="3"/>
  <c r="B1993" i="3"/>
  <c r="A1993" i="3"/>
  <c r="B1992" i="3"/>
  <c r="A1992" i="3"/>
  <c r="B1991" i="3"/>
  <c r="A1991" i="3"/>
  <c r="B1990" i="3"/>
  <c r="A1990" i="3"/>
  <c r="B1989" i="3"/>
  <c r="A1989" i="3"/>
  <c r="B1988" i="3"/>
  <c r="A1988" i="3"/>
  <c r="B1987" i="3"/>
  <c r="A1987" i="3"/>
  <c r="B1986" i="3"/>
  <c r="A1986" i="3"/>
  <c r="B1985" i="3"/>
  <c r="A1985" i="3"/>
  <c r="B1984" i="3"/>
  <c r="A1984" i="3"/>
  <c r="B1983" i="3"/>
  <c r="A1983" i="3"/>
  <c r="B1982" i="3"/>
  <c r="A1982" i="3"/>
  <c r="B1981" i="3"/>
  <c r="A1981" i="3"/>
  <c r="B1980" i="3"/>
  <c r="A1980" i="3"/>
  <c r="B1979" i="3"/>
  <c r="A1979" i="3"/>
  <c r="B1978" i="3"/>
  <c r="A1978" i="3"/>
  <c r="B1977" i="3"/>
  <c r="A1977" i="3"/>
  <c r="B1976" i="3"/>
  <c r="A1976" i="3"/>
  <c r="B1975" i="3"/>
  <c r="A1975" i="3"/>
  <c r="B1974" i="3"/>
  <c r="A1974" i="3"/>
  <c r="B1973" i="3"/>
  <c r="A1973" i="3"/>
  <c r="B1972" i="3"/>
  <c r="A1972" i="3"/>
  <c r="B1971" i="3"/>
  <c r="A1971" i="3"/>
  <c r="B1970" i="3"/>
  <c r="A1970" i="3"/>
  <c r="B1969" i="3"/>
  <c r="A1969" i="3"/>
  <c r="B1968" i="3"/>
  <c r="A1968" i="3"/>
  <c r="B1967" i="3"/>
  <c r="A1967" i="3"/>
  <c r="B1966" i="3"/>
  <c r="A1966" i="3"/>
  <c r="B1965" i="3"/>
  <c r="A1965" i="3"/>
  <c r="B1964" i="3"/>
  <c r="A1964" i="3"/>
  <c r="B1963" i="3"/>
  <c r="A1963" i="3"/>
  <c r="B1962" i="3"/>
  <c r="A1962" i="3"/>
  <c r="B1961" i="3"/>
  <c r="A1961" i="3"/>
  <c r="B1960" i="3"/>
  <c r="A1960" i="3"/>
  <c r="B1959" i="3"/>
  <c r="A1959" i="3"/>
  <c r="B1958" i="3"/>
  <c r="A1958" i="3"/>
  <c r="B1957" i="3"/>
  <c r="A1957" i="3"/>
  <c r="B1956" i="3"/>
  <c r="A1956" i="3"/>
  <c r="B1955" i="3"/>
  <c r="A1955" i="3"/>
  <c r="B1954" i="3"/>
  <c r="A1954" i="3"/>
  <c r="B1953" i="3"/>
  <c r="A1953" i="3"/>
  <c r="B1952" i="3"/>
  <c r="A1952" i="3"/>
  <c r="B1951" i="3"/>
  <c r="A1951" i="3"/>
  <c r="B1950" i="3"/>
  <c r="A1950" i="3"/>
  <c r="B1949" i="3"/>
  <c r="A1949" i="3"/>
  <c r="B1948" i="3"/>
  <c r="A1948" i="3"/>
  <c r="B1947" i="3"/>
  <c r="A1947" i="3"/>
  <c r="B1946" i="3"/>
  <c r="A1946" i="3"/>
  <c r="B1945" i="3"/>
  <c r="A1945" i="3"/>
  <c r="B1944" i="3"/>
  <c r="A1944" i="3"/>
  <c r="B1943" i="3"/>
  <c r="A1943" i="3"/>
  <c r="B1942" i="3"/>
  <c r="A1942" i="3"/>
  <c r="B1941" i="3"/>
  <c r="A1941" i="3"/>
  <c r="B1940" i="3"/>
  <c r="A1940" i="3"/>
  <c r="B1939" i="3"/>
  <c r="A1939" i="3"/>
  <c r="B1938" i="3"/>
  <c r="A1938" i="3"/>
  <c r="B1937" i="3"/>
  <c r="A1937" i="3"/>
  <c r="B1936" i="3"/>
  <c r="A1936" i="3"/>
  <c r="B1935" i="3"/>
  <c r="A1935" i="3"/>
  <c r="B1934" i="3"/>
  <c r="B1933" i="3"/>
  <c r="A1933" i="3"/>
  <c r="B1932" i="3"/>
  <c r="A1932" i="3"/>
  <c r="B1931" i="3"/>
  <c r="A1931" i="3"/>
  <c r="B1930" i="3"/>
  <c r="B1929" i="3"/>
  <c r="A1929" i="3"/>
  <c r="B1928" i="3"/>
  <c r="A1928" i="3"/>
  <c r="B1927" i="3"/>
  <c r="A1927" i="3"/>
  <c r="B1926" i="3"/>
  <c r="A1926" i="3"/>
  <c r="B1925" i="3"/>
  <c r="A1925" i="3"/>
  <c r="B1924" i="3"/>
  <c r="A1924" i="3"/>
  <c r="B1923" i="3"/>
  <c r="A1923" i="3"/>
  <c r="B1922" i="3"/>
  <c r="A1922" i="3"/>
  <c r="B1921" i="3"/>
  <c r="A1921" i="3"/>
  <c r="B1920" i="3"/>
  <c r="A1920" i="3"/>
  <c r="B1919" i="3"/>
  <c r="A1919" i="3"/>
  <c r="B1918" i="3"/>
  <c r="A1918" i="3"/>
  <c r="B1917" i="3"/>
  <c r="A1917" i="3"/>
  <c r="B1916" i="3"/>
  <c r="A1916" i="3"/>
  <c r="B1915" i="3"/>
  <c r="A1915" i="3"/>
  <c r="B1914" i="3"/>
  <c r="A1914" i="3"/>
  <c r="B1913" i="3"/>
  <c r="A1913" i="3"/>
  <c r="B1912" i="3"/>
  <c r="A1912" i="3"/>
  <c r="B1911" i="3"/>
  <c r="A1911" i="3"/>
  <c r="B1910" i="3"/>
  <c r="A1910" i="3"/>
  <c r="B1909" i="3"/>
  <c r="A1909" i="3"/>
  <c r="B1908" i="3"/>
  <c r="A1908" i="3"/>
  <c r="B1907" i="3"/>
  <c r="A1907" i="3"/>
  <c r="B1906" i="3"/>
  <c r="A1906" i="3"/>
  <c r="B1905" i="3"/>
  <c r="A1905" i="3"/>
  <c r="B1904" i="3"/>
  <c r="A1904" i="3"/>
  <c r="B1903" i="3"/>
  <c r="A1903" i="3"/>
  <c r="B1902" i="3"/>
  <c r="A1902" i="3"/>
  <c r="B1901" i="3"/>
  <c r="A1901" i="3"/>
  <c r="B1900" i="3"/>
  <c r="A1900" i="3"/>
  <c r="B1899" i="3"/>
  <c r="A1899" i="3"/>
  <c r="B1898" i="3"/>
  <c r="A1898" i="3"/>
  <c r="B1897" i="3"/>
  <c r="A1897" i="3"/>
  <c r="B1896" i="3"/>
  <c r="A1896" i="3"/>
  <c r="B1895" i="3"/>
  <c r="A1895" i="3"/>
  <c r="B1894" i="3"/>
  <c r="A1894" i="3"/>
  <c r="B1893" i="3"/>
  <c r="A1893" i="3"/>
  <c r="B1892" i="3"/>
  <c r="A1892" i="3"/>
  <c r="B1891" i="3"/>
  <c r="A1891" i="3"/>
  <c r="B1890" i="3"/>
  <c r="A1890" i="3"/>
  <c r="B1889" i="3"/>
  <c r="A1889" i="3"/>
  <c r="B1888" i="3"/>
  <c r="A1888" i="3"/>
  <c r="B1887" i="3"/>
  <c r="A1887" i="3"/>
  <c r="B1886" i="3"/>
  <c r="A1886" i="3"/>
  <c r="B1885" i="3"/>
  <c r="A1885" i="3"/>
  <c r="B1884" i="3"/>
  <c r="A1884" i="3"/>
  <c r="B1883" i="3"/>
  <c r="A1883" i="3"/>
  <c r="B1882" i="3"/>
  <c r="A1882" i="3"/>
  <c r="B1881" i="3"/>
  <c r="A1881" i="3"/>
  <c r="B1880" i="3"/>
  <c r="A1880" i="3"/>
  <c r="B1879" i="3"/>
  <c r="A1879" i="3"/>
  <c r="B1878" i="3"/>
  <c r="A1878" i="3"/>
  <c r="B1877" i="3"/>
  <c r="A1877" i="3"/>
  <c r="B1876" i="3"/>
  <c r="A1876" i="3"/>
  <c r="B1875" i="3"/>
  <c r="A1875" i="3"/>
  <c r="B1874" i="3"/>
  <c r="A1874" i="3"/>
  <c r="B1873" i="3"/>
  <c r="A1873" i="3"/>
  <c r="B1872" i="3"/>
  <c r="A1872" i="3"/>
  <c r="B1871" i="3"/>
  <c r="A1871" i="3"/>
  <c r="B1870" i="3"/>
  <c r="A1870" i="3"/>
  <c r="B1869" i="3"/>
  <c r="A1869" i="3"/>
  <c r="B1868" i="3"/>
  <c r="A1868" i="3"/>
  <c r="B1867" i="3"/>
  <c r="A1867" i="3"/>
  <c r="B1866" i="3"/>
  <c r="A1866" i="3"/>
  <c r="B1865" i="3"/>
  <c r="A1865" i="3"/>
  <c r="B1864" i="3"/>
  <c r="A1864" i="3"/>
  <c r="B1863" i="3"/>
  <c r="A1863" i="3"/>
  <c r="B1862" i="3"/>
  <c r="A1862" i="3"/>
  <c r="B1861" i="3"/>
  <c r="A1861" i="3"/>
  <c r="B1860" i="3"/>
  <c r="A1860" i="3"/>
  <c r="B1859" i="3"/>
  <c r="A1859" i="3"/>
  <c r="B1858" i="3"/>
  <c r="A1858" i="3"/>
  <c r="B1857" i="3"/>
  <c r="A1857" i="3"/>
  <c r="B1856" i="3"/>
  <c r="A1856" i="3"/>
  <c r="B1855" i="3"/>
  <c r="A1855" i="3"/>
  <c r="B1854" i="3"/>
  <c r="A1854" i="3"/>
  <c r="B1853" i="3"/>
  <c r="A1853" i="3"/>
  <c r="B1852" i="3"/>
  <c r="A1852" i="3"/>
  <c r="B1851" i="3"/>
  <c r="A1851" i="3"/>
  <c r="B1850" i="3"/>
  <c r="A1850" i="3"/>
  <c r="B1849" i="3"/>
  <c r="A1849" i="3"/>
  <c r="B1848" i="3"/>
  <c r="A1848" i="3"/>
  <c r="B1847" i="3"/>
  <c r="A1847" i="3"/>
  <c r="B1846" i="3"/>
  <c r="A1846" i="3"/>
  <c r="B1845" i="3"/>
  <c r="A1845" i="3"/>
  <c r="B1844" i="3"/>
  <c r="A1844" i="3"/>
  <c r="B1843" i="3"/>
  <c r="A1843" i="3"/>
  <c r="B1842" i="3"/>
  <c r="A1842" i="3"/>
  <c r="B1841" i="3"/>
  <c r="A1841" i="3"/>
  <c r="B1840" i="3"/>
  <c r="A1840" i="3"/>
  <c r="B1839" i="3"/>
  <c r="A1839" i="3"/>
  <c r="B1838" i="3"/>
  <c r="A1838" i="3"/>
  <c r="B1837" i="3"/>
  <c r="A1837" i="3"/>
  <c r="B1836" i="3"/>
  <c r="A1836" i="3"/>
  <c r="B1835" i="3"/>
  <c r="A1835" i="3"/>
  <c r="B1834" i="3"/>
  <c r="A1834" i="3"/>
  <c r="B1833" i="3"/>
  <c r="A1833" i="3"/>
  <c r="B1832" i="3"/>
  <c r="A1832" i="3"/>
  <c r="B1831" i="3"/>
  <c r="A1831" i="3"/>
  <c r="B1830" i="3"/>
  <c r="A1830" i="3"/>
  <c r="B1829" i="3"/>
  <c r="A1829" i="3"/>
  <c r="B1828" i="3"/>
  <c r="A1828" i="3"/>
  <c r="B1827" i="3"/>
  <c r="A1827" i="3"/>
  <c r="B1826" i="3"/>
  <c r="A1826" i="3"/>
  <c r="B1825" i="3"/>
  <c r="A1825" i="3"/>
  <c r="B1824" i="3"/>
  <c r="A1824" i="3"/>
  <c r="B1823" i="3"/>
  <c r="A1823" i="3"/>
  <c r="B1822" i="3"/>
  <c r="A1822" i="3"/>
  <c r="B1821" i="3"/>
  <c r="A1821" i="3"/>
  <c r="B1820" i="3"/>
  <c r="A1820" i="3"/>
  <c r="B1819" i="3"/>
  <c r="A1819" i="3"/>
  <c r="B1818" i="3"/>
  <c r="A1818" i="3"/>
  <c r="B1817" i="3"/>
  <c r="A1817" i="3"/>
  <c r="B1816" i="3"/>
  <c r="A1816" i="3"/>
  <c r="B1815" i="3"/>
  <c r="A1815" i="3"/>
  <c r="B1814" i="3"/>
  <c r="A1814" i="3"/>
  <c r="B1813" i="3"/>
  <c r="A1813" i="3"/>
  <c r="B1812" i="3"/>
  <c r="A1812" i="3"/>
  <c r="B1811" i="3"/>
  <c r="A1811" i="3"/>
  <c r="B1810" i="3"/>
  <c r="A1810" i="3"/>
  <c r="B1809" i="3"/>
  <c r="A1809" i="3"/>
  <c r="B1808" i="3"/>
  <c r="A1808" i="3"/>
  <c r="B1807" i="3"/>
  <c r="A1807" i="3"/>
  <c r="B1806" i="3"/>
  <c r="A1806" i="3"/>
  <c r="B1805" i="3"/>
  <c r="A1805" i="3"/>
  <c r="B1804" i="3"/>
  <c r="A1804" i="3"/>
  <c r="B1803" i="3"/>
  <c r="A1803" i="3"/>
  <c r="B1802" i="3"/>
  <c r="A1802" i="3"/>
  <c r="B1801" i="3"/>
  <c r="A1801" i="3"/>
  <c r="B1800" i="3"/>
  <c r="A1800" i="3"/>
  <c r="B1799" i="3"/>
  <c r="A1799" i="3"/>
  <c r="B1798" i="3"/>
  <c r="A1798" i="3"/>
  <c r="B1797" i="3"/>
  <c r="A1797" i="3"/>
  <c r="B1796" i="3"/>
  <c r="A1796" i="3"/>
  <c r="B1795" i="3"/>
  <c r="A1795" i="3"/>
  <c r="B1794" i="3"/>
  <c r="A1794" i="3"/>
  <c r="B1793" i="3"/>
  <c r="A1793" i="3"/>
  <c r="B1792" i="3"/>
  <c r="A1792" i="3"/>
  <c r="B1791" i="3"/>
  <c r="A1791" i="3"/>
  <c r="B1790" i="3"/>
  <c r="A1790" i="3"/>
  <c r="B1789" i="3"/>
  <c r="A1789" i="3"/>
  <c r="B1788" i="3"/>
  <c r="A1788" i="3"/>
  <c r="B1787" i="3"/>
  <c r="A1787" i="3"/>
  <c r="B1786" i="3"/>
  <c r="A1786" i="3"/>
  <c r="B1785" i="3"/>
  <c r="A1785" i="3"/>
  <c r="B1784" i="3"/>
  <c r="A1784" i="3"/>
  <c r="B1783" i="3"/>
  <c r="A1783" i="3"/>
  <c r="B1782" i="3"/>
  <c r="A1782" i="3"/>
  <c r="B1781" i="3"/>
  <c r="A1781" i="3"/>
  <c r="B1780" i="3"/>
  <c r="A1780" i="3"/>
  <c r="B1779" i="3"/>
  <c r="A1779" i="3"/>
  <c r="B1778" i="3"/>
  <c r="A1778" i="3"/>
  <c r="B1777" i="3"/>
  <c r="A1777" i="3"/>
  <c r="B1776" i="3"/>
  <c r="A1776" i="3"/>
  <c r="B1775" i="3"/>
  <c r="A1775" i="3"/>
  <c r="B1774" i="3"/>
  <c r="A1774" i="3"/>
  <c r="B1773" i="3"/>
  <c r="A1773" i="3"/>
  <c r="B1772" i="3"/>
  <c r="A1772" i="3"/>
  <c r="B1771" i="3"/>
  <c r="A1771" i="3"/>
  <c r="B1770" i="3"/>
  <c r="A1770" i="3"/>
  <c r="B1769" i="3"/>
  <c r="A1769" i="3"/>
  <c r="B1768" i="3"/>
  <c r="A1768" i="3"/>
  <c r="B1767" i="3"/>
  <c r="A1767" i="3"/>
  <c r="B1766" i="3"/>
  <c r="A1766" i="3"/>
  <c r="B1765" i="3"/>
  <c r="A1765" i="3"/>
  <c r="B1764" i="3"/>
  <c r="A1764" i="3"/>
  <c r="B1763" i="3"/>
  <c r="A1763" i="3"/>
  <c r="B1762" i="3"/>
  <c r="A1762" i="3"/>
  <c r="B1761" i="3"/>
  <c r="A1761" i="3"/>
  <c r="B1760" i="3"/>
  <c r="A1760" i="3"/>
  <c r="B1759" i="3"/>
  <c r="A1759" i="3"/>
  <c r="B1758" i="3"/>
  <c r="A1758" i="3"/>
  <c r="B1757" i="3"/>
  <c r="A1757" i="3"/>
  <c r="B1756" i="3"/>
  <c r="A1756" i="3"/>
  <c r="B1755" i="3"/>
  <c r="A1755" i="3"/>
  <c r="B1754" i="3"/>
  <c r="A1754" i="3"/>
  <c r="B1753" i="3"/>
  <c r="A1753" i="3"/>
  <c r="B1752" i="3"/>
  <c r="A1752" i="3"/>
  <c r="B1751" i="3"/>
  <c r="A1751" i="3"/>
  <c r="B1750" i="3"/>
  <c r="A1750" i="3"/>
  <c r="B1749" i="3"/>
  <c r="A1749" i="3"/>
  <c r="B1748" i="3"/>
  <c r="A1748" i="3"/>
  <c r="B1747" i="3"/>
  <c r="A1747" i="3"/>
  <c r="B1746" i="3"/>
  <c r="A1746" i="3"/>
  <c r="B1745" i="3"/>
  <c r="A1745" i="3"/>
  <c r="B1744" i="3"/>
  <c r="A1744" i="3"/>
  <c r="B1743" i="3"/>
  <c r="A1743" i="3"/>
  <c r="B1742" i="3"/>
  <c r="A1742" i="3"/>
  <c r="B1741" i="3"/>
  <c r="A1741" i="3"/>
  <c r="B1740" i="3"/>
  <c r="A1740" i="3"/>
  <c r="B1739" i="3"/>
  <c r="A1739" i="3"/>
  <c r="B1738" i="3"/>
  <c r="A1738" i="3"/>
  <c r="B1737" i="3"/>
  <c r="A1737" i="3"/>
  <c r="B1736" i="3"/>
  <c r="A1736" i="3"/>
  <c r="B1735" i="3"/>
  <c r="A1735" i="3"/>
  <c r="B1734" i="3"/>
  <c r="A1734" i="3"/>
  <c r="B1733" i="3"/>
  <c r="A1733" i="3"/>
  <c r="B1732" i="3"/>
  <c r="A1732" i="3"/>
  <c r="B1731" i="3"/>
  <c r="A1731" i="3"/>
  <c r="B1730" i="3"/>
  <c r="A1730" i="3"/>
  <c r="B1729" i="3"/>
  <c r="A1729" i="3"/>
  <c r="B1728" i="3"/>
  <c r="A1728" i="3"/>
  <c r="B1727" i="3"/>
  <c r="A1727" i="3"/>
  <c r="B1726" i="3"/>
  <c r="A1726" i="3"/>
  <c r="B1725" i="3"/>
  <c r="A1725" i="3"/>
  <c r="B1724" i="3"/>
  <c r="A1724" i="3"/>
  <c r="B1723" i="3"/>
  <c r="A1723" i="3"/>
  <c r="B1722" i="3"/>
  <c r="A1722" i="3"/>
  <c r="B1721" i="3"/>
  <c r="A1721" i="3"/>
  <c r="B1720" i="3"/>
  <c r="A1720" i="3"/>
  <c r="B1719" i="3"/>
  <c r="A1719" i="3"/>
  <c r="B1718" i="3"/>
  <c r="A1718" i="3"/>
  <c r="B1717" i="3"/>
  <c r="A1717" i="3"/>
  <c r="B1716" i="3"/>
  <c r="A1716" i="3"/>
  <c r="B1715" i="3"/>
  <c r="A1715" i="3"/>
  <c r="B1714" i="3"/>
  <c r="A1714" i="3"/>
  <c r="B1713" i="3"/>
  <c r="A1713" i="3"/>
  <c r="B1712" i="3"/>
  <c r="A1712" i="3"/>
  <c r="B1711" i="3"/>
  <c r="A1711" i="3"/>
  <c r="B1710" i="3"/>
  <c r="A1710" i="3"/>
  <c r="B1709" i="3"/>
  <c r="A1709" i="3"/>
  <c r="B1708" i="3"/>
  <c r="A1708" i="3"/>
  <c r="B1707" i="3"/>
  <c r="A1707" i="3"/>
  <c r="B1706" i="3"/>
  <c r="A1706" i="3"/>
  <c r="B1705" i="3"/>
  <c r="A1705" i="3"/>
  <c r="B1704" i="3"/>
  <c r="A1704" i="3"/>
  <c r="B1703" i="3"/>
  <c r="A1703" i="3"/>
  <c r="B1702" i="3"/>
  <c r="A1702" i="3"/>
  <c r="B1701" i="3"/>
  <c r="A1701" i="3"/>
  <c r="B1700" i="3"/>
  <c r="A1700" i="3"/>
  <c r="B1699" i="3"/>
  <c r="A1699" i="3"/>
  <c r="B1698" i="3"/>
  <c r="A1698" i="3"/>
  <c r="B1697" i="3"/>
  <c r="A1697" i="3"/>
  <c r="B1696" i="3"/>
  <c r="A1696" i="3"/>
  <c r="B1695" i="3"/>
  <c r="A1695" i="3"/>
  <c r="B1694" i="3"/>
  <c r="A1694" i="3"/>
  <c r="B1693" i="3"/>
  <c r="A1693" i="3"/>
  <c r="B1692" i="3"/>
  <c r="A1692" i="3"/>
  <c r="B1691" i="3"/>
  <c r="A1691" i="3"/>
  <c r="B1690" i="3"/>
  <c r="A1690" i="3"/>
  <c r="B1689" i="3"/>
  <c r="A1689" i="3"/>
  <c r="B1688" i="3"/>
  <c r="A1688" i="3"/>
  <c r="B1687" i="3"/>
  <c r="A1687" i="3"/>
  <c r="B1686" i="3"/>
  <c r="A1686" i="3"/>
  <c r="B1685" i="3"/>
  <c r="A1685" i="3"/>
  <c r="B1684" i="3"/>
  <c r="A1684" i="3"/>
  <c r="B1683" i="3"/>
  <c r="A1683" i="3"/>
  <c r="B1682" i="3"/>
  <c r="A1682" i="3"/>
  <c r="B1681" i="3"/>
  <c r="A1681" i="3"/>
  <c r="B1680" i="3"/>
  <c r="A1680" i="3"/>
  <c r="B1679" i="3"/>
  <c r="A1679" i="3"/>
  <c r="B1678" i="3"/>
  <c r="A1678" i="3"/>
  <c r="B1677" i="3"/>
  <c r="A1677" i="3"/>
  <c r="B1676" i="3"/>
  <c r="A1676" i="3"/>
  <c r="B1675" i="3"/>
  <c r="A1675" i="3"/>
  <c r="B1674" i="3"/>
  <c r="A1674" i="3"/>
  <c r="B1673" i="3"/>
  <c r="A1673" i="3"/>
  <c r="B1672" i="3"/>
  <c r="A1672" i="3"/>
  <c r="B1671" i="3"/>
  <c r="A1671" i="3"/>
  <c r="B1670" i="3"/>
  <c r="A1670" i="3"/>
  <c r="B1669" i="3"/>
  <c r="A1669" i="3"/>
  <c r="B1668" i="3"/>
  <c r="A1668" i="3"/>
  <c r="B1667" i="3"/>
  <c r="A1667" i="3"/>
  <c r="B1666" i="3"/>
  <c r="A1666" i="3"/>
  <c r="B1665" i="3"/>
  <c r="A1665" i="3"/>
  <c r="B1664" i="3"/>
  <c r="A1664" i="3"/>
  <c r="B1663" i="3"/>
  <c r="A1663" i="3"/>
  <c r="B1662" i="3"/>
  <c r="A1662" i="3"/>
  <c r="B1661" i="3"/>
  <c r="A1661" i="3"/>
  <c r="B1660" i="3"/>
  <c r="A1660" i="3"/>
  <c r="B1659" i="3"/>
  <c r="A1659" i="3"/>
  <c r="B1658" i="3"/>
  <c r="A1658" i="3"/>
  <c r="B1657" i="3"/>
  <c r="A1657" i="3"/>
  <c r="B1656" i="3"/>
  <c r="A1656" i="3"/>
  <c r="B1655" i="3"/>
  <c r="A1655" i="3"/>
  <c r="B1654" i="3"/>
  <c r="A1654" i="3"/>
  <c r="B1653" i="3"/>
  <c r="A1653" i="3"/>
  <c r="B1652" i="3"/>
  <c r="A1652" i="3"/>
  <c r="B1651" i="3"/>
  <c r="A1651" i="3"/>
  <c r="B1650" i="3"/>
  <c r="A1650" i="3"/>
  <c r="B1649" i="3"/>
  <c r="A1649" i="3"/>
  <c r="B1648" i="3"/>
  <c r="A1648" i="3"/>
  <c r="B1647" i="3"/>
  <c r="A1647" i="3"/>
  <c r="B1646" i="3"/>
  <c r="A1646" i="3"/>
  <c r="B1645" i="3"/>
  <c r="A1645" i="3"/>
  <c r="B1644" i="3"/>
  <c r="A1644" i="3"/>
  <c r="B1643" i="3"/>
  <c r="A1643" i="3"/>
  <c r="B1642" i="3"/>
  <c r="A1642" i="3"/>
  <c r="B1641" i="3"/>
  <c r="A1641" i="3"/>
  <c r="B1640" i="3"/>
  <c r="A1640" i="3"/>
  <c r="B1639" i="3"/>
  <c r="A1639" i="3"/>
  <c r="B1638" i="3"/>
  <c r="A1638" i="3"/>
  <c r="B1637" i="3"/>
  <c r="A1637" i="3"/>
  <c r="B1636" i="3"/>
  <c r="A1636" i="3"/>
  <c r="B1635" i="3"/>
  <c r="A1635" i="3"/>
  <c r="B1634" i="3"/>
  <c r="A1634" i="3"/>
  <c r="B1633" i="3"/>
  <c r="A1633" i="3"/>
  <c r="B1632" i="3"/>
  <c r="A1632" i="3"/>
  <c r="B1631" i="3"/>
  <c r="A1631" i="3"/>
  <c r="B1630" i="3"/>
  <c r="A1630" i="3"/>
  <c r="B1629" i="3"/>
  <c r="A1629" i="3"/>
  <c r="B1628" i="3"/>
  <c r="A1628" i="3"/>
  <c r="B1627" i="3"/>
  <c r="A1627" i="3"/>
  <c r="B1626" i="3"/>
  <c r="A1626" i="3"/>
  <c r="B1625" i="3"/>
  <c r="A1625" i="3"/>
  <c r="B1624" i="3"/>
  <c r="A1624" i="3"/>
  <c r="B1623" i="3"/>
  <c r="A1623" i="3"/>
  <c r="B1622" i="3"/>
  <c r="A1622" i="3"/>
  <c r="B1621" i="3"/>
  <c r="A1621" i="3"/>
  <c r="B1620" i="3"/>
  <c r="A1620" i="3"/>
  <c r="B1619" i="3"/>
  <c r="A1619" i="3"/>
  <c r="B1618" i="3"/>
  <c r="A1618" i="3"/>
  <c r="B1617" i="3"/>
  <c r="A1617" i="3"/>
  <c r="B1616" i="3"/>
  <c r="A1616" i="3"/>
  <c r="B1615" i="3"/>
  <c r="A1615" i="3"/>
  <c r="B1614" i="3"/>
  <c r="A1614" i="3"/>
  <c r="B1613" i="3"/>
  <c r="A1613" i="3"/>
  <c r="B1612" i="3"/>
  <c r="A1612" i="3"/>
  <c r="B1611" i="3"/>
  <c r="A1611" i="3"/>
  <c r="B1610" i="3"/>
  <c r="A1610" i="3"/>
  <c r="B1609" i="3"/>
  <c r="A1609" i="3"/>
  <c r="B1608" i="3"/>
  <c r="A1608" i="3"/>
  <c r="B1607" i="3"/>
  <c r="A1607" i="3"/>
  <c r="B1606" i="3"/>
  <c r="A1606" i="3"/>
  <c r="B1605" i="3"/>
  <c r="A1605" i="3"/>
  <c r="B1604" i="3"/>
  <c r="A1604" i="3"/>
  <c r="B1603" i="3"/>
  <c r="A1603" i="3"/>
  <c r="B1602" i="3"/>
  <c r="A1602" i="3"/>
  <c r="B1601" i="3"/>
  <c r="A1601" i="3"/>
  <c r="B1600" i="3"/>
  <c r="A1600" i="3"/>
  <c r="B1599" i="3"/>
  <c r="A1599" i="3"/>
  <c r="B1598" i="3"/>
  <c r="A1598" i="3"/>
  <c r="B1597" i="3"/>
  <c r="A1597" i="3"/>
  <c r="B1596" i="3"/>
  <c r="A1596" i="3"/>
  <c r="B1595" i="3"/>
  <c r="A1595" i="3"/>
  <c r="B1594" i="3"/>
  <c r="A1594" i="3"/>
  <c r="B1593" i="3"/>
  <c r="A1593" i="3"/>
  <c r="B1592" i="3"/>
  <c r="A1592" i="3"/>
  <c r="B1591" i="3"/>
  <c r="A1591" i="3"/>
  <c r="B1590" i="3"/>
  <c r="A1590" i="3"/>
  <c r="B1589" i="3"/>
  <c r="A1589" i="3"/>
  <c r="B1588" i="3"/>
  <c r="A1588" i="3"/>
  <c r="B1587" i="3"/>
  <c r="A1587" i="3"/>
  <c r="B1586" i="3"/>
  <c r="A1586" i="3"/>
  <c r="B1585" i="3"/>
  <c r="A1585" i="3"/>
  <c r="B1584" i="3"/>
  <c r="A1584" i="3"/>
  <c r="B1583" i="3"/>
  <c r="A1583" i="3"/>
  <c r="B1582" i="3"/>
  <c r="A1582" i="3"/>
  <c r="B1581" i="3"/>
  <c r="A1581" i="3"/>
  <c r="B1580" i="3"/>
  <c r="A1580" i="3"/>
  <c r="B1579" i="3"/>
  <c r="A1579" i="3"/>
  <c r="B1578" i="3"/>
  <c r="A1578" i="3"/>
  <c r="B1577" i="3"/>
  <c r="A1577" i="3"/>
  <c r="B1576" i="3"/>
  <c r="A1576" i="3"/>
  <c r="B1575" i="3"/>
  <c r="A1575" i="3"/>
  <c r="B1574" i="3"/>
  <c r="A1574" i="3"/>
  <c r="B1573" i="3"/>
  <c r="A1573" i="3"/>
  <c r="B1572" i="3"/>
  <c r="A1572" i="3"/>
  <c r="B1571" i="3"/>
  <c r="A1571" i="3"/>
  <c r="B1570" i="3"/>
  <c r="A1570" i="3"/>
  <c r="B1569" i="3"/>
  <c r="A1569" i="3"/>
  <c r="B1568" i="3"/>
  <c r="A1568" i="3"/>
  <c r="B1567" i="3"/>
  <c r="A1567" i="3"/>
  <c r="B1566" i="3"/>
  <c r="A1566" i="3"/>
  <c r="B1565" i="3"/>
  <c r="A1565" i="3"/>
  <c r="B1564" i="3"/>
  <c r="A1564" i="3"/>
  <c r="B1563" i="3"/>
  <c r="A1563" i="3"/>
  <c r="B1562" i="3"/>
  <c r="A1562" i="3"/>
  <c r="B1561" i="3"/>
  <c r="A1561" i="3"/>
  <c r="B1560" i="3"/>
  <c r="A1560" i="3"/>
  <c r="B1559" i="3"/>
  <c r="A1559" i="3"/>
  <c r="B1558" i="3"/>
  <c r="A1558" i="3"/>
  <c r="B1557" i="3"/>
  <c r="A1557" i="3"/>
  <c r="B1556" i="3"/>
  <c r="A1556" i="3"/>
  <c r="B1555" i="3"/>
  <c r="A1555" i="3"/>
  <c r="B1554" i="3"/>
  <c r="A1554" i="3"/>
  <c r="B1553" i="3"/>
  <c r="A1553" i="3"/>
  <c r="B1552" i="3"/>
  <c r="A1552" i="3"/>
  <c r="B1551" i="3"/>
  <c r="A1551" i="3"/>
  <c r="B1550" i="3"/>
  <c r="A1550" i="3"/>
  <c r="B1549" i="3"/>
  <c r="A1549" i="3"/>
  <c r="B1548" i="3"/>
  <c r="A1548" i="3"/>
  <c r="B1547" i="3"/>
  <c r="A1547" i="3"/>
  <c r="B1546" i="3"/>
  <c r="A1546" i="3"/>
  <c r="B1545" i="3"/>
  <c r="A1545" i="3"/>
  <c r="B1544" i="3"/>
  <c r="A1544" i="3"/>
  <c r="B1543" i="3"/>
  <c r="A1543" i="3"/>
  <c r="B1542" i="3"/>
  <c r="A1542" i="3"/>
  <c r="B1541" i="3"/>
  <c r="A1541" i="3"/>
  <c r="B1540" i="3"/>
  <c r="A1540" i="3"/>
  <c r="B1539" i="3"/>
  <c r="A1539" i="3"/>
  <c r="B1538" i="3"/>
  <c r="A1538" i="3"/>
  <c r="B1537" i="3"/>
  <c r="A1537" i="3"/>
  <c r="B1536" i="3"/>
  <c r="A1536" i="3"/>
  <c r="B1535" i="3"/>
  <c r="A1535" i="3"/>
  <c r="B1534" i="3"/>
  <c r="A1534" i="3"/>
  <c r="B1533" i="3"/>
  <c r="A1533" i="3"/>
  <c r="B1532" i="3"/>
  <c r="A1532" i="3"/>
  <c r="B1531" i="3"/>
  <c r="A1531" i="3"/>
  <c r="B1530" i="3"/>
  <c r="A1530" i="3"/>
  <c r="B1529" i="3"/>
  <c r="A1529" i="3"/>
  <c r="B1528" i="3"/>
  <c r="A1528" i="3"/>
  <c r="B1527" i="3"/>
  <c r="A1527" i="3"/>
  <c r="B1526" i="3"/>
  <c r="A1526" i="3"/>
  <c r="B1525" i="3"/>
  <c r="A1525" i="3"/>
  <c r="B1524" i="3"/>
  <c r="A1524" i="3"/>
  <c r="B1523" i="3"/>
  <c r="A1523" i="3"/>
  <c r="B1522" i="3"/>
  <c r="A1522" i="3"/>
  <c r="B1521" i="3"/>
  <c r="A1521" i="3"/>
  <c r="B1520" i="3"/>
  <c r="A1520" i="3"/>
  <c r="B1519" i="3"/>
  <c r="A1519" i="3"/>
  <c r="B1518" i="3"/>
  <c r="A1518" i="3"/>
  <c r="B1517" i="3"/>
  <c r="A1517" i="3"/>
  <c r="B1516" i="3"/>
  <c r="A1516" i="3"/>
  <c r="B1515" i="3"/>
  <c r="A1515" i="3"/>
  <c r="B1514" i="3"/>
  <c r="A1514" i="3"/>
  <c r="B1513" i="3"/>
  <c r="A1513" i="3"/>
  <c r="B1512" i="3"/>
  <c r="A1512" i="3"/>
  <c r="B1511" i="3"/>
  <c r="A1511" i="3"/>
  <c r="B1510" i="3"/>
  <c r="A1510" i="3"/>
  <c r="B1509" i="3"/>
  <c r="A1509" i="3"/>
  <c r="B1508" i="3"/>
  <c r="A1508" i="3"/>
  <c r="B1507" i="3"/>
  <c r="A1507" i="3"/>
  <c r="B1506" i="3"/>
  <c r="A1506" i="3"/>
  <c r="B1505" i="3"/>
  <c r="A1505" i="3"/>
  <c r="B1504" i="3"/>
  <c r="A1504" i="3"/>
  <c r="B1503" i="3"/>
  <c r="A1503" i="3"/>
  <c r="B1502" i="3"/>
  <c r="A1502" i="3"/>
  <c r="B1501" i="3"/>
  <c r="A1501" i="3"/>
  <c r="B1500" i="3"/>
  <c r="A1500" i="3"/>
  <c r="B1499" i="3"/>
  <c r="A1499" i="3"/>
  <c r="B1498" i="3"/>
  <c r="A1498" i="3"/>
  <c r="B1497" i="3"/>
  <c r="A1497" i="3"/>
  <c r="B1496" i="3"/>
  <c r="A1496" i="3"/>
  <c r="B1495" i="3"/>
  <c r="A1495" i="3"/>
  <c r="B1494" i="3"/>
  <c r="A1494" i="3"/>
  <c r="B1493" i="3"/>
  <c r="A1493" i="3"/>
  <c r="B1492" i="3"/>
  <c r="A1492" i="3"/>
  <c r="B1491" i="3"/>
  <c r="A1491" i="3"/>
  <c r="B1490" i="3"/>
  <c r="A1490" i="3"/>
  <c r="B1489" i="3"/>
  <c r="A1489" i="3"/>
  <c r="B1488" i="3"/>
  <c r="A1488" i="3"/>
  <c r="B1487" i="3"/>
  <c r="A1487" i="3"/>
  <c r="B1486" i="3"/>
  <c r="A1486" i="3"/>
  <c r="B1485" i="3"/>
  <c r="A1485" i="3"/>
  <c r="B1484" i="3"/>
  <c r="A1484" i="3"/>
  <c r="B1483" i="3"/>
  <c r="A1483" i="3"/>
  <c r="B1482" i="3"/>
  <c r="A1482" i="3"/>
  <c r="B1481" i="3"/>
  <c r="A1481" i="3"/>
  <c r="B1480" i="3"/>
  <c r="A1480" i="3"/>
  <c r="B1479" i="3"/>
  <c r="A1479" i="3"/>
  <c r="B1478" i="3"/>
  <c r="A1478" i="3"/>
  <c r="B1477" i="3"/>
  <c r="A1477" i="3"/>
  <c r="B1476" i="3"/>
  <c r="A1476" i="3"/>
  <c r="B1475" i="3"/>
  <c r="A1475" i="3"/>
  <c r="B1474" i="3"/>
  <c r="A1474" i="3"/>
  <c r="B1473" i="3"/>
  <c r="A1473" i="3"/>
  <c r="B1472" i="3"/>
  <c r="A1472" i="3"/>
  <c r="B1471" i="3"/>
  <c r="A1471" i="3"/>
  <c r="B1470" i="3"/>
  <c r="A1470" i="3"/>
  <c r="B1469" i="3"/>
  <c r="A1469" i="3"/>
  <c r="B1468" i="3"/>
  <c r="A1468" i="3"/>
  <c r="B1467" i="3"/>
  <c r="A1467" i="3"/>
  <c r="B1466" i="3"/>
  <c r="A1466" i="3"/>
  <c r="B1465" i="3"/>
  <c r="A1465" i="3"/>
  <c r="B1464" i="3"/>
  <c r="A1464" i="3"/>
  <c r="B1463" i="3"/>
  <c r="A1463" i="3"/>
  <c r="B1462" i="3"/>
  <c r="A1462" i="3"/>
  <c r="B1461" i="3"/>
  <c r="A1461" i="3"/>
  <c r="B1460" i="3"/>
  <c r="A1460" i="3"/>
  <c r="B1459" i="3"/>
  <c r="A1459" i="3"/>
  <c r="B1458" i="3"/>
  <c r="A1458" i="3"/>
  <c r="B1457" i="3"/>
  <c r="A1457" i="3"/>
  <c r="B1456" i="3"/>
  <c r="A1456" i="3"/>
  <c r="B1455" i="3"/>
  <c r="A1455" i="3"/>
  <c r="B1454" i="3"/>
  <c r="A1454" i="3"/>
  <c r="B1453" i="3"/>
  <c r="A1453" i="3"/>
  <c r="B1452" i="3"/>
  <c r="A1452" i="3"/>
  <c r="B1451" i="3"/>
  <c r="A1451" i="3"/>
  <c r="B1450" i="3"/>
  <c r="A1450" i="3"/>
  <c r="B1449" i="3"/>
  <c r="A1449" i="3"/>
  <c r="B1448" i="3"/>
  <c r="A1448" i="3"/>
  <c r="B1447" i="3"/>
  <c r="A1447" i="3"/>
  <c r="B1446" i="3"/>
  <c r="A1446" i="3"/>
  <c r="B1445" i="3"/>
  <c r="A1445" i="3"/>
  <c r="B1444" i="3"/>
  <c r="A1444" i="3"/>
  <c r="B1443" i="3"/>
  <c r="A1443" i="3"/>
  <c r="B1442" i="3"/>
  <c r="A1442" i="3"/>
  <c r="B1441" i="3"/>
  <c r="A1441" i="3"/>
  <c r="B1440" i="3"/>
  <c r="A1440" i="3"/>
  <c r="B1439" i="3"/>
  <c r="A1439" i="3"/>
  <c r="B1438" i="3"/>
  <c r="A1438" i="3"/>
  <c r="B1437" i="3"/>
  <c r="A1437" i="3"/>
  <c r="B1436" i="3"/>
  <c r="A1436" i="3"/>
  <c r="B1435" i="3"/>
  <c r="A1435" i="3"/>
  <c r="B1434" i="3"/>
  <c r="A1434" i="3"/>
  <c r="B1433" i="3"/>
  <c r="A1433" i="3"/>
  <c r="B1432" i="3"/>
  <c r="A1432" i="3"/>
  <c r="B1431" i="3"/>
  <c r="A1431" i="3"/>
  <c r="B1430" i="3"/>
  <c r="A1430" i="3"/>
  <c r="B1429" i="3"/>
  <c r="A1429" i="3"/>
  <c r="B1428" i="3"/>
  <c r="A1428" i="3"/>
  <c r="B1427" i="3"/>
  <c r="A1427" i="3"/>
  <c r="B1426" i="3"/>
  <c r="A1426" i="3"/>
  <c r="B1425" i="3"/>
  <c r="A1425" i="3"/>
  <c r="B1424" i="3"/>
  <c r="A1424" i="3"/>
  <c r="B1423" i="3"/>
  <c r="A1423" i="3"/>
  <c r="B1422" i="3"/>
  <c r="A1422" i="3"/>
  <c r="B1421" i="3"/>
  <c r="A1421" i="3"/>
  <c r="B1420" i="3"/>
  <c r="A1420" i="3"/>
  <c r="B1419" i="3"/>
  <c r="A1419" i="3"/>
  <c r="B1418" i="3"/>
  <c r="A1418" i="3"/>
  <c r="B1417" i="3"/>
  <c r="A1417" i="3"/>
  <c r="B1416" i="3"/>
  <c r="A1416" i="3"/>
  <c r="B1415" i="3"/>
  <c r="A1415" i="3"/>
  <c r="B1414" i="3"/>
  <c r="A1414" i="3"/>
  <c r="B1413" i="3"/>
  <c r="A1413" i="3"/>
  <c r="B1412" i="3"/>
  <c r="A1412" i="3"/>
  <c r="B1411" i="3"/>
  <c r="A1411" i="3"/>
  <c r="B1410" i="3"/>
  <c r="A1410" i="3"/>
  <c r="B1409" i="3"/>
  <c r="A1409" i="3"/>
  <c r="B1408" i="3"/>
  <c r="A1408" i="3"/>
  <c r="B1407" i="3"/>
  <c r="A1407" i="3"/>
  <c r="B1406" i="3"/>
  <c r="A1406" i="3"/>
  <c r="B1405" i="3"/>
  <c r="A1405" i="3"/>
  <c r="B1404" i="3"/>
  <c r="A1404" i="3"/>
  <c r="B1403" i="3"/>
  <c r="A1403" i="3"/>
  <c r="B1402" i="3"/>
  <c r="A1402" i="3"/>
  <c r="B1401" i="3"/>
  <c r="A1401" i="3"/>
  <c r="B1400" i="3"/>
  <c r="A1400" i="3"/>
  <c r="B1399" i="3"/>
  <c r="A1399" i="3"/>
  <c r="B1398" i="3"/>
  <c r="A1398" i="3"/>
  <c r="B1397" i="3"/>
  <c r="A1397" i="3"/>
  <c r="B1396" i="3"/>
  <c r="A1396" i="3"/>
  <c r="B1395" i="3"/>
  <c r="A1395" i="3"/>
  <c r="B1394" i="3"/>
  <c r="A1394" i="3"/>
  <c r="B1393" i="3"/>
  <c r="A1393" i="3"/>
  <c r="B1392" i="3"/>
  <c r="A1392" i="3"/>
  <c r="B1391" i="3"/>
  <c r="A1391" i="3"/>
  <c r="B1390" i="3"/>
  <c r="A1390" i="3"/>
  <c r="B1389" i="3"/>
  <c r="A1389" i="3"/>
  <c r="B1388" i="3"/>
  <c r="A1388" i="3"/>
  <c r="B1387" i="3"/>
  <c r="A1387" i="3"/>
  <c r="B1386" i="3"/>
  <c r="A1386" i="3"/>
  <c r="B1385" i="3"/>
  <c r="A1385" i="3"/>
  <c r="B1384" i="3"/>
  <c r="A1384" i="3"/>
  <c r="B1383" i="3"/>
  <c r="A1383" i="3"/>
  <c r="B1382" i="3"/>
  <c r="A1382" i="3"/>
  <c r="B1381" i="3"/>
  <c r="A1381" i="3"/>
  <c r="B1380" i="3"/>
  <c r="A1380" i="3"/>
  <c r="B1379" i="3"/>
  <c r="A1379" i="3"/>
  <c r="B1378" i="3"/>
  <c r="A1378" i="3"/>
  <c r="B1377" i="3"/>
  <c r="A1377" i="3"/>
  <c r="B1376" i="3"/>
  <c r="A1376" i="3"/>
  <c r="B1375" i="3"/>
  <c r="A1375" i="3"/>
  <c r="B1374" i="3"/>
  <c r="A1374" i="3"/>
  <c r="B1373" i="3"/>
  <c r="A1373" i="3"/>
  <c r="B1372" i="3"/>
  <c r="A1372" i="3"/>
  <c r="B1371" i="3"/>
  <c r="A1371" i="3"/>
  <c r="B1370" i="3"/>
  <c r="A1370" i="3"/>
  <c r="B1369" i="3"/>
  <c r="A1369" i="3"/>
  <c r="B1368" i="3"/>
  <c r="A1368" i="3"/>
  <c r="B1367" i="3"/>
  <c r="A1367" i="3"/>
  <c r="B1366" i="3"/>
  <c r="A1366" i="3"/>
  <c r="B1365" i="3"/>
  <c r="A1365" i="3"/>
  <c r="B1364" i="3"/>
  <c r="A1364" i="3"/>
  <c r="B1363" i="3"/>
  <c r="A1363" i="3"/>
  <c r="B1362" i="3"/>
  <c r="A1362" i="3"/>
  <c r="B1361" i="3"/>
  <c r="A1361" i="3"/>
  <c r="B1360" i="3"/>
  <c r="A1360" i="3"/>
  <c r="B1359" i="3"/>
  <c r="A1359" i="3"/>
  <c r="B1358" i="3"/>
  <c r="A1358" i="3"/>
  <c r="B1357" i="3"/>
  <c r="A1357" i="3"/>
  <c r="B1356" i="3"/>
  <c r="A1356" i="3"/>
  <c r="B1355" i="3"/>
  <c r="A1355" i="3"/>
  <c r="B1354" i="3"/>
  <c r="A1354" i="3"/>
  <c r="B1353" i="3"/>
  <c r="A1353" i="3"/>
  <c r="B1352" i="3"/>
  <c r="A1352" i="3"/>
  <c r="B1351" i="3"/>
  <c r="A1351" i="3"/>
  <c r="B1350" i="3"/>
  <c r="A1350" i="3"/>
  <c r="B1349" i="3"/>
  <c r="A1349" i="3"/>
  <c r="B1348" i="3"/>
  <c r="A1348" i="3"/>
  <c r="B1347" i="3"/>
  <c r="A1347" i="3"/>
  <c r="B1346" i="3"/>
  <c r="A1346" i="3"/>
  <c r="B1345" i="3"/>
  <c r="A1345" i="3"/>
  <c r="B1344" i="3"/>
  <c r="A1344" i="3"/>
  <c r="B1343" i="3"/>
  <c r="A1343" i="3"/>
  <c r="B1342" i="3"/>
  <c r="A1342" i="3"/>
  <c r="B1341" i="3"/>
  <c r="A1341" i="3"/>
  <c r="B1340" i="3"/>
  <c r="A1340" i="3"/>
  <c r="B1339" i="3"/>
  <c r="A1339" i="3"/>
  <c r="B1338" i="3"/>
  <c r="A1338" i="3"/>
  <c r="B1337" i="3"/>
  <c r="A1337" i="3"/>
  <c r="B1336" i="3"/>
  <c r="A1336" i="3"/>
  <c r="B1335" i="3"/>
  <c r="A1335" i="3"/>
  <c r="B1334" i="3"/>
  <c r="A1334" i="3"/>
  <c r="B1333" i="3"/>
  <c r="A1333" i="3"/>
  <c r="B1332" i="3"/>
  <c r="A1332" i="3"/>
  <c r="B1331" i="3"/>
  <c r="A1331" i="3"/>
  <c r="B1330" i="3"/>
  <c r="A1330" i="3"/>
  <c r="B1329" i="3"/>
  <c r="A1329" i="3"/>
  <c r="B1328" i="3"/>
  <c r="A1328" i="3"/>
  <c r="B1327" i="3"/>
  <c r="A1327" i="3"/>
  <c r="B1326" i="3"/>
  <c r="A1326" i="3"/>
  <c r="B1325" i="3"/>
  <c r="A1325" i="3"/>
  <c r="B1324" i="3"/>
  <c r="A1324" i="3"/>
  <c r="B1323" i="3"/>
  <c r="A1323" i="3"/>
  <c r="B1322" i="3"/>
  <c r="A1322" i="3"/>
  <c r="B1321" i="3"/>
  <c r="A1321" i="3"/>
  <c r="B1320" i="3"/>
  <c r="A1320" i="3"/>
  <c r="B1319" i="3"/>
  <c r="A1319" i="3"/>
  <c r="B1318" i="3"/>
  <c r="A1318" i="3"/>
  <c r="B1317" i="3"/>
  <c r="A1317" i="3"/>
  <c r="B1316" i="3"/>
  <c r="A1316" i="3"/>
  <c r="B1315" i="3"/>
  <c r="A1315" i="3"/>
  <c r="B1314" i="3"/>
  <c r="A1314" i="3"/>
  <c r="B1313" i="3"/>
  <c r="A1313" i="3"/>
  <c r="B1312" i="3"/>
  <c r="A1312" i="3"/>
  <c r="B1311" i="3"/>
  <c r="A1311" i="3"/>
  <c r="B1310" i="3"/>
  <c r="A1310" i="3"/>
  <c r="B1309" i="3"/>
  <c r="A1309" i="3"/>
  <c r="B1308" i="3"/>
  <c r="A1308" i="3"/>
  <c r="B1307" i="3"/>
  <c r="A1307" i="3"/>
  <c r="B1306" i="3"/>
  <c r="A1306" i="3"/>
  <c r="B1305" i="3"/>
  <c r="A1305" i="3"/>
  <c r="B1304" i="3"/>
  <c r="A1304" i="3"/>
  <c r="B1303" i="3"/>
  <c r="A1303" i="3"/>
  <c r="B1302" i="3"/>
  <c r="A1302" i="3"/>
  <c r="B1301" i="3"/>
  <c r="A1301" i="3"/>
  <c r="B1300" i="3"/>
  <c r="A1300" i="3"/>
  <c r="B1299" i="3"/>
  <c r="A1299" i="3"/>
  <c r="B1298" i="3"/>
  <c r="A1298" i="3"/>
  <c r="B1297" i="3"/>
  <c r="A1297" i="3"/>
  <c r="B1296" i="3"/>
  <c r="A1296" i="3"/>
  <c r="B1295" i="3"/>
  <c r="A1295" i="3"/>
  <c r="B1294" i="3"/>
  <c r="A1294" i="3"/>
  <c r="B1293" i="3"/>
  <c r="A1293" i="3"/>
  <c r="B1292" i="3"/>
  <c r="A1292" i="3"/>
  <c r="B1291" i="3"/>
  <c r="A1291" i="3"/>
  <c r="B1290" i="3"/>
  <c r="A1290" i="3"/>
  <c r="B1289" i="3"/>
  <c r="A1289" i="3"/>
  <c r="B1288" i="3"/>
  <c r="A1288" i="3"/>
  <c r="B1287" i="3"/>
  <c r="A1287" i="3"/>
  <c r="B1286" i="3"/>
  <c r="A1286" i="3"/>
  <c r="B1285" i="3"/>
  <c r="A1285" i="3"/>
  <c r="B1284" i="3"/>
  <c r="A1284" i="3"/>
  <c r="B1283" i="3"/>
  <c r="A1283" i="3"/>
  <c r="B1282" i="3"/>
  <c r="A1282" i="3"/>
  <c r="B1281" i="3"/>
  <c r="A1281" i="3"/>
  <c r="B1280" i="3"/>
  <c r="A1280" i="3"/>
  <c r="B1279" i="3"/>
  <c r="A1279" i="3"/>
  <c r="B1278" i="3"/>
  <c r="A1278" i="3"/>
  <c r="B1277" i="3"/>
  <c r="A1277" i="3"/>
  <c r="B1276" i="3"/>
  <c r="A1276" i="3"/>
  <c r="B1275" i="3"/>
  <c r="A1275" i="3"/>
  <c r="B1274" i="3"/>
  <c r="A1274" i="3"/>
  <c r="B1273" i="3"/>
  <c r="A1273" i="3"/>
  <c r="B1272" i="3"/>
  <c r="A1272" i="3"/>
  <c r="B1271" i="3"/>
  <c r="A1271" i="3"/>
  <c r="B1270" i="3"/>
  <c r="A1270" i="3"/>
  <c r="B1269" i="3"/>
  <c r="A1269" i="3"/>
  <c r="B1268" i="3"/>
  <c r="A1268" i="3"/>
  <c r="B1267" i="3"/>
  <c r="A1267" i="3"/>
  <c r="B1266" i="3"/>
  <c r="A1266" i="3"/>
  <c r="B1265" i="3"/>
  <c r="A1265" i="3"/>
  <c r="B1264" i="3"/>
  <c r="A1264" i="3"/>
  <c r="B1263" i="3"/>
  <c r="A1263" i="3"/>
  <c r="B1262" i="3"/>
  <c r="A1262" i="3"/>
  <c r="B1261" i="3"/>
  <c r="A1261" i="3"/>
  <c r="B1260" i="3"/>
  <c r="A1260" i="3"/>
  <c r="B1259" i="3"/>
  <c r="A1259" i="3"/>
  <c r="B1258" i="3"/>
  <c r="A1258" i="3"/>
  <c r="B1257" i="3"/>
  <c r="A1257" i="3"/>
  <c r="B1256" i="3"/>
  <c r="A1256" i="3"/>
  <c r="B1255" i="3"/>
  <c r="A1255" i="3"/>
  <c r="B1254" i="3"/>
  <c r="A1254" i="3"/>
  <c r="B1253" i="3"/>
  <c r="A1253" i="3"/>
  <c r="B1252" i="3"/>
  <c r="A1252" i="3"/>
  <c r="B1251" i="3"/>
  <c r="A1251" i="3"/>
  <c r="B1250" i="3"/>
  <c r="A1250" i="3"/>
  <c r="B1249" i="3"/>
  <c r="A1249" i="3"/>
  <c r="B1248" i="3"/>
  <c r="A1248" i="3"/>
  <c r="B1247" i="3"/>
  <c r="A1247" i="3"/>
  <c r="B1246" i="3"/>
  <c r="A1246" i="3"/>
  <c r="B1245" i="3"/>
  <c r="A1245" i="3"/>
  <c r="B1244" i="3"/>
  <c r="A1244" i="3"/>
  <c r="B1243" i="3"/>
  <c r="A1243" i="3"/>
  <c r="B1242" i="3"/>
  <c r="A1242" i="3"/>
  <c r="B1241" i="3"/>
  <c r="A1241" i="3"/>
  <c r="B1240" i="3"/>
  <c r="A1240" i="3"/>
  <c r="B1239" i="3"/>
  <c r="A1239" i="3"/>
  <c r="B1238" i="3"/>
  <c r="A1238" i="3"/>
  <c r="B1237" i="3"/>
  <c r="A1237" i="3"/>
  <c r="B1236" i="3"/>
  <c r="A1236" i="3"/>
  <c r="B1235" i="3"/>
  <c r="A1235" i="3"/>
  <c r="B1234" i="3"/>
  <c r="A1234" i="3"/>
  <c r="B1233" i="3"/>
  <c r="A1233" i="3"/>
  <c r="B1232" i="3"/>
  <c r="A1232" i="3"/>
  <c r="B1231" i="3"/>
  <c r="A1231" i="3"/>
  <c r="B1230" i="3"/>
  <c r="A1230" i="3"/>
  <c r="B1229" i="3"/>
  <c r="A1229" i="3"/>
  <c r="B1228" i="3"/>
  <c r="A1228" i="3"/>
  <c r="B1227" i="3"/>
  <c r="A1227" i="3"/>
  <c r="B1226" i="3"/>
  <c r="A1226" i="3"/>
  <c r="B1225" i="3"/>
  <c r="A1225" i="3"/>
  <c r="B1224" i="3"/>
  <c r="A1224" i="3"/>
  <c r="B1223" i="3"/>
  <c r="A1223" i="3"/>
  <c r="B1222" i="3"/>
  <c r="A1222" i="3"/>
  <c r="B1221" i="3"/>
  <c r="A1221" i="3"/>
  <c r="B1220" i="3"/>
  <c r="A1220" i="3"/>
  <c r="B1219" i="3"/>
  <c r="A1219" i="3"/>
  <c r="B1218" i="3"/>
  <c r="A1218" i="3"/>
  <c r="B1217" i="3"/>
  <c r="A1217" i="3"/>
  <c r="B1216" i="3"/>
  <c r="A1216" i="3"/>
  <c r="B1215" i="3"/>
  <c r="A1215" i="3"/>
  <c r="B1214" i="3"/>
  <c r="A1214" i="3"/>
  <c r="B1213" i="3"/>
  <c r="A1213" i="3"/>
  <c r="B1212" i="3"/>
  <c r="A1212" i="3"/>
  <c r="B1211" i="3"/>
  <c r="A1211" i="3"/>
  <c r="B1210" i="3"/>
  <c r="A1210" i="3"/>
  <c r="B1209" i="3"/>
  <c r="A1209" i="3"/>
  <c r="B1208" i="3"/>
  <c r="A1208" i="3"/>
  <c r="B1207" i="3"/>
  <c r="A1207" i="3"/>
  <c r="B1206" i="3"/>
  <c r="A1206" i="3"/>
  <c r="B1205" i="3"/>
  <c r="A1205" i="3"/>
  <c r="B1204" i="3"/>
  <c r="A1204" i="3"/>
  <c r="B1203" i="3"/>
  <c r="A1203" i="3"/>
  <c r="B1202" i="3"/>
  <c r="A1202" i="3"/>
  <c r="B1201" i="3"/>
  <c r="A1201" i="3"/>
  <c r="B1200" i="3"/>
  <c r="A1200" i="3"/>
  <c r="B1199" i="3"/>
  <c r="A1199" i="3"/>
  <c r="B1198" i="3"/>
  <c r="A1198" i="3"/>
  <c r="B1197" i="3"/>
  <c r="A1197" i="3"/>
  <c r="B1196" i="3"/>
  <c r="A1196" i="3"/>
  <c r="B1195" i="3"/>
  <c r="A1195" i="3"/>
  <c r="B1194" i="3"/>
  <c r="A1194" i="3"/>
  <c r="B1193" i="3"/>
  <c r="A1193" i="3"/>
  <c r="B1192" i="3"/>
  <c r="A1192" i="3"/>
  <c r="B1191" i="3"/>
  <c r="A1191" i="3"/>
  <c r="B1190" i="3"/>
  <c r="A1190" i="3"/>
  <c r="B1189" i="3"/>
  <c r="A1189" i="3"/>
  <c r="B1188" i="3"/>
  <c r="A1188" i="3"/>
  <c r="B1187" i="3"/>
  <c r="A1187" i="3"/>
  <c r="B1186" i="3"/>
  <c r="A1186" i="3"/>
  <c r="B1185" i="3"/>
  <c r="A1185" i="3"/>
  <c r="B1184" i="3"/>
  <c r="A1184" i="3"/>
  <c r="B1183" i="3"/>
  <c r="A1183" i="3"/>
  <c r="B1182" i="3"/>
  <c r="A1182" i="3"/>
  <c r="B1181" i="3"/>
  <c r="A1181" i="3"/>
  <c r="B1180" i="3"/>
  <c r="A1180" i="3"/>
  <c r="B1179" i="3"/>
  <c r="A1179" i="3"/>
  <c r="B1178" i="3"/>
  <c r="A1178" i="3"/>
  <c r="B1177" i="3"/>
  <c r="A1177" i="3"/>
  <c r="B1176" i="3"/>
  <c r="A1176" i="3"/>
  <c r="B1175" i="3"/>
  <c r="A1175" i="3"/>
  <c r="B1174" i="3"/>
  <c r="A1174" i="3"/>
  <c r="B1173" i="3"/>
  <c r="A1173" i="3"/>
  <c r="B1172" i="3"/>
  <c r="A1172" i="3"/>
  <c r="B1171" i="3"/>
  <c r="A1171" i="3"/>
  <c r="B1170" i="3"/>
  <c r="A1170" i="3"/>
  <c r="B1169" i="3"/>
  <c r="A1169" i="3"/>
  <c r="B1168" i="3"/>
  <c r="A1168" i="3"/>
  <c r="B1167" i="3"/>
  <c r="A1167" i="3"/>
  <c r="B1166" i="3"/>
  <c r="A1166" i="3"/>
  <c r="B1165" i="3"/>
  <c r="A1165" i="3"/>
  <c r="B1164" i="3"/>
  <c r="A1164" i="3"/>
  <c r="B1163" i="3"/>
  <c r="A1163" i="3"/>
  <c r="B1162" i="3"/>
  <c r="A1162" i="3"/>
  <c r="B1161" i="3"/>
  <c r="A1161" i="3"/>
  <c r="B1160" i="3"/>
  <c r="A1160" i="3"/>
  <c r="B1159" i="3"/>
  <c r="A1159" i="3"/>
  <c r="B1158" i="3"/>
  <c r="A1158" i="3"/>
  <c r="B1157" i="3"/>
  <c r="A1157" i="3"/>
  <c r="B1156" i="3"/>
  <c r="B1155" i="3"/>
  <c r="A1155" i="3"/>
  <c r="B1154" i="3"/>
  <c r="A1154" i="3"/>
  <c r="B1153" i="3"/>
  <c r="A1153" i="3"/>
  <c r="B1152" i="3"/>
  <c r="A1152" i="3"/>
  <c r="B1151" i="3"/>
  <c r="A1151" i="3"/>
  <c r="B1150" i="3"/>
  <c r="A1150" i="3"/>
  <c r="B1149" i="3"/>
  <c r="A1149" i="3"/>
  <c r="B1148" i="3"/>
  <c r="A1148" i="3"/>
  <c r="B1147" i="3"/>
  <c r="A1147" i="3"/>
  <c r="B1146" i="3"/>
  <c r="A1146" i="3"/>
  <c r="B1145" i="3"/>
  <c r="A1145" i="3"/>
  <c r="B1144" i="3"/>
  <c r="A1144" i="3"/>
  <c r="B1143" i="3"/>
  <c r="A1143" i="3"/>
  <c r="B1142" i="3"/>
  <c r="A1142" i="3"/>
  <c r="B1141" i="3"/>
  <c r="A1141" i="3"/>
  <c r="B1140" i="3"/>
  <c r="A1140" i="3"/>
  <c r="B1139" i="3"/>
  <c r="A1139" i="3"/>
  <c r="B1138" i="3"/>
  <c r="A1138" i="3"/>
  <c r="B1137" i="3"/>
  <c r="A1137" i="3"/>
  <c r="B1136" i="3"/>
  <c r="A1136" i="3"/>
  <c r="B1135" i="3"/>
  <c r="A1135" i="3"/>
  <c r="B1134" i="3"/>
  <c r="A1134" i="3"/>
  <c r="B1133" i="3"/>
  <c r="A1133" i="3"/>
  <c r="B1132" i="3"/>
  <c r="A1132" i="3"/>
  <c r="B1131" i="3"/>
  <c r="A1131" i="3"/>
  <c r="B1130" i="3"/>
  <c r="A1130" i="3"/>
  <c r="B1129" i="3"/>
  <c r="A1129" i="3"/>
  <c r="B1128" i="3"/>
  <c r="A1128" i="3"/>
  <c r="B1127" i="3"/>
  <c r="A1127" i="3"/>
  <c r="B1126" i="3"/>
  <c r="A1126" i="3"/>
  <c r="B1125" i="3"/>
  <c r="A1125" i="3"/>
  <c r="B1124" i="3"/>
  <c r="A1124" i="3"/>
  <c r="B1123" i="3"/>
  <c r="A1123" i="3"/>
  <c r="B1122" i="3"/>
  <c r="A1122" i="3"/>
  <c r="B1121" i="3"/>
  <c r="A1121" i="3"/>
  <c r="B1120" i="3"/>
  <c r="A1120" i="3"/>
  <c r="B1119" i="3"/>
  <c r="A1119" i="3"/>
  <c r="B1118" i="3"/>
  <c r="A1118" i="3"/>
  <c r="B1117" i="3"/>
  <c r="A1117" i="3"/>
  <c r="B1116" i="3"/>
  <c r="A1116" i="3"/>
  <c r="B1115" i="3"/>
  <c r="A1115" i="3"/>
  <c r="B1114" i="3"/>
  <c r="A1114" i="3"/>
  <c r="B1113" i="3"/>
  <c r="A1113" i="3"/>
  <c r="B1112" i="3"/>
  <c r="A1112" i="3"/>
  <c r="B1111" i="3"/>
  <c r="A1111" i="3"/>
  <c r="B1110" i="3"/>
  <c r="A1110" i="3"/>
  <c r="B1109" i="3"/>
  <c r="A1109" i="3"/>
  <c r="B1108" i="3"/>
  <c r="A1108" i="3"/>
  <c r="B1107" i="3"/>
  <c r="A1107" i="3"/>
  <c r="B1106" i="3"/>
  <c r="A1106" i="3"/>
  <c r="B1105" i="3"/>
  <c r="A1105" i="3"/>
  <c r="B1104" i="3"/>
  <c r="A1104" i="3"/>
  <c r="B1103" i="3"/>
  <c r="A1103" i="3"/>
  <c r="B1102" i="3"/>
  <c r="A1102" i="3"/>
  <c r="B1101" i="3"/>
  <c r="A1101" i="3"/>
  <c r="B1100" i="3"/>
  <c r="A1100" i="3"/>
  <c r="B1099" i="3"/>
  <c r="A1099" i="3"/>
  <c r="B1098" i="3"/>
  <c r="A1098" i="3"/>
  <c r="B1097" i="3"/>
  <c r="A1097" i="3"/>
  <c r="B1096" i="3"/>
  <c r="A1096" i="3"/>
  <c r="B1095" i="3"/>
  <c r="A1095" i="3"/>
  <c r="B1094" i="3"/>
  <c r="A1094" i="3"/>
  <c r="B1093" i="3"/>
  <c r="A1093" i="3"/>
  <c r="B1092" i="3"/>
  <c r="A1092" i="3"/>
  <c r="B1091" i="3"/>
  <c r="A1091" i="3"/>
  <c r="B1090" i="3"/>
  <c r="A1090" i="3"/>
  <c r="B1089" i="3"/>
  <c r="A1089" i="3"/>
  <c r="B1088" i="3"/>
  <c r="A1088" i="3"/>
  <c r="B1087" i="3"/>
  <c r="A1087" i="3"/>
  <c r="B1086" i="3"/>
  <c r="A1086" i="3"/>
  <c r="B1085" i="3"/>
  <c r="A1085" i="3"/>
  <c r="B1084" i="3"/>
  <c r="A1084" i="3"/>
  <c r="B1083" i="3"/>
  <c r="A1083" i="3"/>
  <c r="B1082" i="3"/>
  <c r="A1082" i="3"/>
  <c r="B1081" i="3"/>
  <c r="A1081" i="3"/>
  <c r="B1080" i="3"/>
  <c r="A1080" i="3"/>
  <c r="B1079" i="3"/>
  <c r="A1079" i="3"/>
  <c r="B1078" i="3"/>
  <c r="A1078" i="3"/>
  <c r="B1077" i="3"/>
  <c r="A1077" i="3"/>
  <c r="B1076" i="3"/>
  <c r="A1076" i="3"/>
  <c r="B1075" i="3"/>
  <c r="A1075" i="3"/>
  <c r="B1074" i="3"/>
  <c r="A1074" i="3"/>
  <c r="B1073" i="3"/>
  <c r="A1073" i="3"/>
  <c r="B1072" i="3"/>
  <c r="A1072" i="3"/>
  <c r="B1071" i="3"/>
  <c r="A1071" i="3"/>
  <c r="B1070" i="3"/>
  <c r="A1070" i="3"/>
  <c r="B1069" i="3"/>
  <c r="A1069" i="3"/>
  <c r="B1068" i="3"/>
  <c r="A1068" i="3"/>
  <c r="B1067" i="3"/>
  <c r="A1067" i="3"/>
  <c r="B1066" i="3"/>
  <c r="A1066" i="3"/>
  <c r="B1065" i="3"/>
  <c r="A1065" i="3"/>
  <c r="B1064" i="3"/>
  <c r="A1064" i="3"/>
  <c r="B1063" i="3"/>
  <c r="A1063" i="3"/>
  <c r="B1062" i="3"/>
  <c r="A1062" i="3"/>
  <c r="B1061" i="3"/>
  <c r="A1061" i="3"/>
  <c r="B1060" i="3"/>
  <c r="A1060" i="3"/>
  <c r="B1059" i="3"/>
  <c r="A1059" i="3"/>
  <c r="B1058" i="3"/>
  <c r="A1058" i="3"/>
  <c r="B1057" i="3"/>
  <c r="A1057" i="3"/>
  <c r="B1056" i="3"/>
  <c r="A1056" i="3"/>
  <c r="B1055" i="3"/>
  <c r="A1055" i="3"/>
  <c r="B1054" i="3"/>
  <c r="A1054" i="3"/>
  <c r="B1053" i="3"/>
  <c r="A1053" i="3"/>
  <c r="B1052" i="3"/>
  <c r="A1052" i="3"/>
  <c r="B1051" i="3"/>
  <c r="A1051" i="3"/>
  <c r="B1050" i="3"/>
  <c r="A1050" i="3"/>
  <c r="B1049" i="3"/>
  <c r="A1049" i="3"/>
  <c r="B1048" i="3"/>
  <c r="A1048" i="3"/>
  <c r="B1047" i="3"/>
  <c r="A1047" i="3"/>
  <c r="B1046" i="3"/>
  <c r="A1046" i="3"/>
  <c r="B1045" i="3"/>
  <c r="A1045" i="3"/>
  <c r="B1044" i="3"/>
  <c r="A1044" i="3"/>
  <c r="B1043" i="3"/>
  <c r="A1043" i="3"/>
  <c r="B1042" i="3"/>
  <c r="A1042" i="3"/>
  <c r="B1041" i="3"/>
  <c r="A1041" i="3"/>
  <c r="B1040" i="3"/>
  <c r="A1040" i="3"/>
  <c r="B1039" i="3"/>
  <c r="A1039" i="3"/>
  <c r="B1038" i="3"/>
  <c r="A1038" i="3"/>
  <c r="B1037" i="3"/>
  <c r="A1037" i="3"/>
  <c r="B1036" i="3"/>
  <c r="A1036" i="3"/>
  <c r="B1035" i="3"/>
  <c r="A1035" i="3"/>
  <c r="B1034" i="3"/>
  <c r="A1034" i="3"/>
  <c r="B1033" i="3"/>
  <c r="A1033" i="3"/>
  <c r="B1032" i="3"/>
  <c r="A1032" i="3"/>
  <c r="B1031" i="3"/>
  <c r="A1031" i="3"/>
  <c r="B1030" i="3"/>
  <c r="A1030" i="3"/>
  <c r="B1029" i="3"/>
  <c r="A1029" i="3"/>
  <c r="B1028" i="3"/>
  <c r="A1028" i="3"/>
  <c r="B1027" i="3"/>
  <c r="A1027" i="3"/>
  <c r="B1026" i="3"/>
  <c r="A1026" i="3"/>
  <c r="B1025" i="3"/>
  <c r="A1025" i="3"/>
  <c r="B1024" i="3"/>
  <c r="A1024" i="3"/>
  <c r="B1023" i="3"/>
  <c r="A1023" i="3"/>
  <c r="B1022" i="3"/>
  <c r="A1022" i="3"/>
  <c r="B1021" i="3"/>
  <c r="A1021" i="3"/>
  <c r="B1020" i="3"/>
  <c r="A1020" i="3"/>
  <c r="B1019" i="3"/>
  <c r="A1019" i="3"/>
  <c r="B1018" i="3"/>
  <c r="A1018" i="3"/>
  <c r="B1017" i="3"/>
  <c r="A1017" i="3"/>
  <c r="B1016" i="3"/>
  <c r="A1016" i="3"/>
  <c r="B1015" i="3"/>
  <c r="A1015" i="3"/>
  <c r="B1014" i="3"/>
  <c r="A1014" i="3"/>
  <c r="B1013" i="3"/>
  <c r="A1013" i="3"/>
  <c r="B1012" i="3"/>
  <c r="A1012" i="3"/>
  <c r="B1011" i="3"/>
  <c r="A1011" i="3"/>
  <c r="B1010" i="3"/>
  <c r="A1010" i="3"/>
  <c r="B1009" i="3"/>
  <c r="A1009" i="3"/>
  <c r="B1008" i="3"/>
  <c r="A1008" i="3"/>
  <c r="B1007" i="3"/>
  <c r="A1007" i="3"/>
  <c r="B1006" i="3"/>
  <c r="A1006" i="3"/>
  <c r="B1005" i="3"/>
  <c r="A1005" i="3"/>
  <c r="B1004" i="3"/>
  <c r="A1004" i="3"/>
  <c r="B1003" i="3"/>
  <c r="A1003" i="3"/>
  <c r="B1002" i="3"/>
  <c r="A1002" i="3"/>
  <c r="B1001" i="3"/>
  <c r="A1001" i="3"/>
  <c r="B1000" i="3"/>
  <c r="A1000" i="3"/>
  <c r="B999" i="3"/>
  <c r="A999" i="3"/>
  <c r="B998" i="3"/>
  <c r="A998" i="3"/>
  <c r="B997" i="3"/>
  <c r="A997" i="3"/>
  <c r="B996" i="3"/>
  <c r="A996" i="3"/>
  <c r="B995" i="3"/>
  <c r="A995" i="3"/>
  <c r="B994" i="3"/>
  <c r="A994" i="3"/>
  <c r="B993" i="3"/>
  <c r="A993" i="3"/>
  <c r="B992" i="3"/>
  <c r="A992" i="3"/>
  <c r="B991" i="3"/>
  <c r="A991" i="3"/>
  <c r="B990" i="3"/>
  <c r="A990" i="3"/>
  <c r="B989" i="3"/>
  <c r="A989" i="3"/>
  <c r="B988" i="3"/>
  <c r="A988" i="3"/>
  <c r="B987" i="3"/>
  <c r="A987" i="3"/>
  <c r="B986" i="3"/>
  <c r="A986" i="3"/>
  <c r="B985" i="3"/>
  <c r="A985" i="3"/>
  <c r="B984" i="3"/>
  <c r="A984" i="3"/>
  <c r="B983" i="3"/>
  <c r="A983" i="3"/>
  <c r="B982" i="3"/>
  <c r="A982" i="3"/>
  <c r="B981" i="3"/>
  <c r="A981" i="3"/>
  <c r="B980" i="3"/>
  <c r="A980" i="3"/>
  <c r="B979" i="3"/>
  <c r="A979" i="3"/>
  <c r="B978" i="3"/>
  <c r="A978" i="3"/>
  <c r="B977" i="3"/>
  <c r="A977" i="3"/>
  <c r="B976" i="3"/>
  <c r="A976" i="3"/>
  <c r="B975" i="3"/>
  <c r="A975" i="3"/>
  <c r="B974" i="3"/>
  <c r="A974" i="3"/>
  <c r="B973" i="3"/>
  <c r="A973" i="3"/>
  <c r="B972" i="3"/>
  <c r="A972" i="3"/>
  <c r="B971" i="3"/>
  <c r="A971" i="3"/>
  <c r="B970" i="3"/>
  <c r="A970" i="3"/>
  <c r="B969" i="3"/>
  <c r="A969" i="3"/>
  <c r="B968" i="3"/>
  <c r="A968" i="3"/>
  <c r="B967" i="3"/>
  <c r="A967" i="3"/>
  <c r="B966" i="3"/>
  <c r="A966" i="3"/>
  <c r="B965" i="3"/>
  <c r="A965" i="3"/>
  <c r="B964" i="3"/>
  <c r="A964" i="3"/>
  <c r="B963" i="3"/>
  <c r="A963" i="3"/>
  <c r="B962" i="3"/>
  <c r="A962" i="3"/>
  <c r="B961" i="3"/>
  <c r="A961" i="3"/>
  <c r="B960" i="3"/>
  <c r="A960" i="3"/>
  <c r="B959" i="3"/>
  <c r="A959" i="3"/>
  <c r="B958" i="3"/>
  <c r="A958" i="3"/>
  <c r="B957" i="3"/>
  <c r="A957" i="3"/>
  <c r="B956" i="3"/>
  <c r="A956" i="3"/>
  <c r="B955" i="3"/>
  <c r="A955" i="3"/>
  <c r="B954" i="3"/>
  <c r="A954" i="3"/>
  <c r="B953" i="3"/>
  <c r="A953" i="3"/>
  <c r="B952" i="3"/>
  <c r="A952" i="3"/>
  <c r="B951" i="3"/>
  <c r="A951" i="3"/>
  <c r="B950" i="3"/>
  <c r="A950" i="3"/>
  <c r="B949" i="3"/>
  <c r="A949" i="3"/>
  <c r="B948" i="3"/>
  <c r="A948" i="3"/>
  <c r="B947" i="3"/>
  <c r="A947" i="3"/>
  <c r="B946" i="3"/>
  <c r="A946" i="3"/>
  <c r="B945" i="3"/>
  <c r="A945" i="3"/>
  <c r="B944" i="3"/>
  <c r="A944" i="3"/>
  <c r="B943" i="3"/>
  <c r="A943" i="3"/>
  <c r="B942" i="3"/>
  <c r="A942" i="3"/>
  <c r="B941" i="3"/>
  <c r="A941" i="3"/>
  <c r="B940" i="3"/>
  <c r="A940" i="3"/>
  <c r="B939" i="3"/>
  <c r="A939" i="3"/>
  <c r="B938" i="3"/>
  <c r="A938" i="3"/>
  <c r="B937" i="3"/>
  <c r="A937" i="3"/>
  <c r="B936" i="3"/>
  <c r="A936" i="3"/>
  <c r="B935" i="3"/>
  <c r="A935" i="3"/>
  <c r="B934" i="3"/>
  <c r="A934" i="3"/>
  <c r="B933" i="3"/>
  <c r="A933" i="3"/>
  <c r="B932" i="3"/>
  <c r="A932" i="3"/>
  <c r="B931" i="3"/>
  <c r="A931" i="3"/>
  <c r="B930" i="3"/>
  <c r="A930" i="3"/>
  <c r="B929" i="3"/>
  <c r="A929" i="3"/>
  <c r="B928" i="3"/>
  <c r="A928" i="3"/>
  <c r="B927" i="3"/>
  <c r="A927" i="3"/>
  <c r="B926" i="3"/>
  <c r="A926" i="3"/>
  <c r="B925" i="3"/>
  <c r="A925" i="3"/>
  <c r="B924" i="3"/>
  <c r="A924" i="3"/>
  <c r="B923" i="3"/>
  <c r="A923" i="3"/>
  <c r="B922" i="3"/>
  <c r="A922" i="3"/>
  <c r="B921" i="3"/>
  <c r="A921" i="3"/>
  <c r="B920" i="3"/>
  <c r="A920" i="3"/>
  <c r="B919" i="3"/>
  <c r="A919" i="3"/>
  <c r="B918" i="3"/>
  <c r="A918" i="3"/>
  <c r="B917" i="3"/>
  <c r="A917" i="3"/>
  <c r="B916" i="3"/>
  <c r="A916" i="3"/>
  <c r="B915" i="3"/>
  <c r="A915" i="3"/>
  <c r="B914" i="3"/>
  <c r="A914" i="3"/>
  <c r="B913" i="3"/>
  <c r="A913" i="3"/>
  <c r="B912" i="3"/>
  <c r="A912" i="3"/>
  <c r="B911" i="3"/>
  <c r="A911" i="3"/>
  <c r="B910" i="3"/>
  <c r="A910" i="3"/>
  <c r="B909" i="3"/>
  <c r="A909" i="3"/>
  <c r="B908" i="3"/>
  <c r="A908" i="3"/>
  <c r="B907" i="3"/>
  <c r="A907" i="3"/>
  <c r="B906" i="3"/>
  <c r="A906" i="3"/>
  <c r="B905" i="3"/>
  <c r="A905" i="3"/>
  <c r="B904" i="3"/>
  <c r="A904" i="3"/>
  <c r="B903" i="3"/>
  <c r="A903" i="3"/>
  <c r="B902" i="3"/>
  <c r="A902" i="3"/>
  <c r="B901" i="3"/>
  <c r="A901" i="3"/>
  <c r="B900" i="3"/>
  <c r="A900" i="3"/>
  <c r="B899" i="3"/>
  <c r="A899" i="3"/>
  <c r="B898" i="3"/>
  <c r="A898" i="3"/>
  <c r="B897" i="3"/>
  <c r="A897" i="3"/>
  <c r="B896" i="3"/>
  <c r="A896" i="3"/>
  <c r="B895" i="3"/>
  <c r="A895" i="3"/>
  <c r="B894" i="3"/>
  <c r="A894" i="3"/>
  <c r="B893" i="3"/>
  <c r="A893" i="3"/>
  <c r="B892" i="3"/>
  <c r="A892" i="3"/>
  <c r="B891" i="3"/>
  <c r="A891" i="3"/>
  <c r="B890" i="3"/>
  <c r="A890" i="3"/>
  <c r="B889" i="3"/>
  <c r="A889" i="3"/>
  <c r="B888" i="3"/>
  <c r="A888" i="3"/>
  <c r="B887" i="3"/>
  <c r="A887" i="3"/>
  <c r="B886" i="3"/>
  <c r="A886" i="3"/>
  <c r="B885" i="3"/>
  <c r="A885" i="3"/>
  <c r="B884" i="3"/>
  <c r="A884" i="3"/>
  <c r="B883" i="3"/>
  <c r="A883" i="3"/>
  <c r="B882" i="3"/>
  <c r="A882" i="3"/>
  <c r="B881" i="3"/>
  <c r="A881" i="3"/>
  <c r="B880" i="3"/>
  <c r="A880" i="3"/>
  <c r="B879" i="3"/>
  <c r="A879" i="3"/>
  <c r="B878" i="3"/>
  <c r="A878" i="3"/>
  <c r="B877" i="3"/>
  <c r="A877" i="3"/>
  <c r="B876" i="3"/>
  <c r="A876" i="3"/>
  <c r="B875" i="3"/>
  <c r="A875" i="3"/>
  <c r="B874" i="3"/>
  <c r="A874" i="3"/>
  <c r="B873" i="3"/>
  <c r="A873" i="3"/>
  <c r="B872" i="3"/>
  <c r="A872" i="3"/>
  <c r="B871" i="3"/>
  <c r="A871" i="3"/>
  <c r="B870" i="3"/>
  <c r="A870" i="3"/>
  <c r="B869" i="3"/>
  <c r="A869" i="3"/>
  <c r="B868" i="3"/>
  <c r="A868" i="3"/>
  <c r="B867" i="3"/>
  <c r="A867" i="3"/>
  <c r="B866" i="3"/>
  <c r="A866" i="3"/>
  <c r="B865" i="3"/>
  <c r="A865" i="3"/>
  <c r="B864" i="3"/>
  <c r="A864" i="3"/>
  <c r="B863" i="3"/>
  <c r="A863" i="3"/>
  <c r="B862" i="3"/>
  <c r="A862" i="3"/>
  <c r="B861" i="3"/>
  <c r="A861" i="3"/>
  <c r="B860" i="3"/>
  <c r="A860" i="3"/>
  <c r="B859" i="3"/>
  <c r="A859" i="3"/>
  <c r="B858" i="3"/>
  <c r="A858" i="3"/>
  <c r="B857" i="3"/>
  <c r="A857" i="3"/>
  <c r="B856" i="3"/>
  <c r="A856" i="3"/>
  <c r="B855" i="3"/>
  <c r="A855" i="3"/>
  <c r="B854" i="3"/>
  <c r="A854" i="3"/>
  <c r="B853" i="3"/>
  <c r="A853" i="3"/>
  <c r="B852" i="3"/>
  <c r="A852" i="3"/>
  <c r="B851" i="3"/>
  <c r="A851" i="3"/>
  <c r="B850" i="3"/>
  <c r="A850" i="3"/>
  <c r="B849" i="3"/>
  <c r="A849" i="3"/>
  <c r="B848" i="3"/>
  <c r="A848" i="3"/>
  <c r="B847" i="3"/>
  <c r="A847" i="3"/>
  <c r="B846" i="3"/>
  <c r="A846" i="3"/>
  <c r="B845" i="3"/>
  <c r="A845" i="3"/>
  <c r="B844" i="3"/>
  <c r="A844" i="3"/>
  <c r="B843" i="3"/>
  <c r="A843" i="3"/>
  <c r="B842" i="3"/>
  <c r="A842" i="3"/>
  <c r="B841" i="3"/>
  <c r="A841" i="3"/>
  <c r="B840" i="3"/>
  <c r="A840" i="3"/>
  <c r="B839" i="3"/>
  <c r="A839" i="3"/>
  <c r="B838" i="3"/>
  <c r="A838" i="3"/>
  <c r="B837" i="3"/>
  <c r="A837" i="3"/>
  <c r="B836" i="3"/>
  <c r="A836" i="3"/>
  <c r="B835" i="3"/>
  <c r="A835" i="3"/>
  <c r="B834" i="3"/>
  <c r="A834" i="3"/>
  <c r="B833" i="3"/>
  <c r="A833" i="3"/>
  <c r="B832" i="3"/>
  <c r="A832" i="3"/>
  <c r="B831" i="3"/>
  <c r="A831" i="3"/>
  <c r="B830" i="3"/>
  <c r="A830" i="3"/>
  <c r="B829" i="3"/>
  <c r="A829" i="3"/>
  <c r="B828" i="3"/>
  <c r="A828" i="3"/>
  <c r="B827" i="3"/>
  <c r="A827" i="3"/>
  <c r="B826" i="3"/>
  <c r="A826" i="3"/>
  <c r="B825" i="3"/>
  <c r="A825" i="3"/>
  <c r="B824" i="3"/>
  <c r="A824" i="3"/>
  <c r="B823" i="3"/>
  <c r="A823" i="3"/>
  <c r="B822" i="3"/>
  <c r="A822" i="3"/>
  <c r="B821" i="3"/>
  <c r="A821" i="3"/>
  <c r="B820" i="3"/>
  <c r="A820" i="3"/>
  <c r="B819" i="3"/>
  <c r="A819" i="3"/>
  <c r="B818" i="3"/>
  <c r="A818" i="3"/>
  <c r="B817" i="3"/>
  <c r="A817" i="3"/>
  <c r="B816" i="3"/>
  <c r="A816" i="3"/>
  <c r="B815" i="3"/>
  <c r="A815" i="3"/>
  <c r="B814" i="3"/>
  <c r="A814" i="3"/>
  <c r="B813" i="3"/>
  <c r="A813" i="3"/>
  <c r="B812" i="3"/>
  <c r="A812" i="3"/>
  <c r="B811" i="3"/>
  <c r="A811" i="3"/>
  <c r="B810" i="3"/>
  <c r="A810" i="3"/>
  <c r="B809" i="3"/>
  <c r="A809" i="3"/>
  <c r="B808" i="3"/>
  <c r="A808" i="3"/>
  <c r="B807" i="3"/>
  <c r="A807" i="3"/>
  <c r="B806" i="3"/>
  <c r="A806" i="3"/>
  <c r="B805" i="3"/>
  <c r="A805" i="3"/>
  <c r="B804" i="3"/>
  <c r="A804" i="3"/>
  <c r="B803" i="3"/>
  <c r="A803" i="3"/>
  <c r="B802" i="3"/>
  <c r="A802" i="3"/>
  <c r="B801" i="3"/>
  <c r="A801" i="3"/>
  <c r="B800" i="3"/>
  <c r="A800" i="3"/>
  <c r="B799" i="3"/>
  <c r="A799" i="3"/>
  <c r="B798" i="3"/>
  <c r="A798" i="3"/>
  <c r="B797" i="3"/>
  <c r="A797" i="3"/>
  <c r="B796" i="3"/>
  <c r="A796" i="3"/>
  <c r="B795" i="3"/>
  <c r="A795" i="3"/>
  <c r="B794" i="3"/>
  <c r="A794" i="3"/>
  <c r="B793" i="3"/>
  <c r="A793" i="3"/>
  <c r="B792" i="3"/>
  <c r="A792" i="3"/>
  <c r="B791" i="3"/>
  <c r="A791" i="3"/>
  <c r="B790" i="3"/>
  <c r="A790" i="3"/>
  <c r="B789" i="3"/>
  <c r="A789" i="3"/>
  <c r="B788" i="3"/>
  <c r="A788" i="3"/>
  <c r="B787" i="3"/>
  <c r="A787" i="3"/>
  <c r="B786" i="3"/>
  <c r="A786" i="3"/>
  <c r="B785" i="3"/>
  <c r="A785" i="3"/>
  <c r="B784" i="3"/>
  <c r="A784" i="3"/>
  <c r="B783" i="3"/>
  <c r="A783" i="3"/>
  <c r="B782" i="3"/>
  <c r="A782" i="3"/>
  <c r="B781" i="3"/>
  <c r="A781" i="3"/>
  <c r="B780" i="3"/>
  <c r="A780" i="3"/>
  <c r="B779" i="3"/>
  <c r="A779" i="3"/>
  <c r="B778" i="3"/>
  <c r="A778" i="3"/>
  <c r="B777" i="3"/>
  <c r="A777" i="3"/>
  <c r="B776" i="3"/>
  <c r="A776" i="3"/>
  <c r="B775" i="3"/>
  <c r="A775" i="3"/>
  <c r="B774" i="3"/>
  <c r="A774" i="3"/>
  <c r="B773" i="3"/>
  <c r="A773" i="3"/>
  <c r="B772" i="3"/>
  <c r="A772" i="3"/>
  <c r="B771" i="3"/>
  <c r="A771" i="3"/>
  <c r="B770" i="3"/>
  <c r="A770" i="3"/>
  <c r="B769" i="3"/>
  <c r="A769" i="3"/>
  <c r="B768" i="3"/>
  <c r="A768" i="3"/>
  <c r="B767" i="3"/>
  <c r="A767" i="3"/>
  <c r="B766" i="3"/>
  <c r="A766" i="3"/>
  <c r="B765" i="3"/>
  <c r="A765" i="3"/>
  <c r="B764" i="3"/>
  <c r="A764" i="3"/>
  <c r="B763" i="3"/>
  <c r="A763" i="3"/>
  <c r="B762" i="3"/>
  <c r="A762" i="3"/>
  <c r="B761" i="3"/>
  <c r="A761" i="3"/>
  <c r="B760" i="3"/>
  <c r="A760" i="3"/>
  <c r="B759" i="3"/>
  <c r="A759" i="3"/>
  <c r="B758" i="3"/>
  <c r="A758" i="3"/>
  <c r="B757" i="3"/>
  <c r="A757" i="3"/>
  <c r="B756" i="3"/>
  <c r="A756" i="3"/>
  <c r="B755" i="3"/>
  <c r="A755" i="3"/>
  <c r="B754" i="3"/>
  <c r="A754" i="3"/>
  <c r="B753" i="3"/>
  <c r="A753" i="3"/>
  <c r="B752" i="3"/>
  <c r="A752" i="3"/>
  <c r="B751" i="3"/>
  <c r="A751" i="3"/>
  <c r="B750" i="3"/>
  <c r="A750" i="3"/>
  <c r="B749" i="3"/>
  <c r="A749" i="3"/>
  <c r="B748" i="3"/>
  <c r="A748" i="3"/>
  <c r="B747" i="3"/>
  <c r="A747" i="3"/>
  <c r="B746" i="3"/>
  <c r="A746" i="3"/>
  <c r="B745" i="3"/>
  <c r="A745" i="3"/>
  <c r="B744" i="3"/>
  <c r="A744" i="3"/>
  <c r="B743" i="3"/>
  <c r="A743" i="3"/>
  <c r="B742" i="3"/>
  <c r="A742" i="3"/>
  <c r="B741" i="3"/>
  <c r="A741" i="3"/>
  <c r="B740" i="3"/>
  <c r="A740" i="3"/>
  <c r="B739" i="3"/>
  <c r="A739" i="3"/>
  <c r="B738" i="3"/>
  <c r="A738" i="3"/>
  <c r="B737" i="3"/>
  <c r="A737" i="3"/>
  <c r="B736" i="3"/>
  <c r="A736" i="3"/>
  <c r="B735" i="3"/>
  <c r="A735" i="3"/>
  <c r="B734" i="3"/>
  <c r="A734" i="3"/>
  <c r="B733" i="3"/>
  <c r="A733" i="3"/>
  <c r="B732" i="3"/>
  <c r="A732" i="3"/>
  <c r="B731" i="3"/>
  <c r="A731" i="3"/>
  <c r="B730" i="3"/>
  <c r="A730" i="3"/>
  <c r="B729" i="3"/>
  <c r="A729" i="3"/>
  <c r="B728" i="3"/>
  <c r="A728" i="3"/>
  <c r="B727" i="3"/>
  <c r="A727" i="3"/>
  <c r="B726" i="3"/>
  <c r="A726" i="3"/>
  <c r="B725" i="3"/>
  <c r="A725" i="3"/>
  <c r="B724" i="3"/>
  <c r="A724" i="3"/>
  <c r="B723" i="3"/>
  <c r="A723" i="3"/>
  <c r="B722" i="3"/>
  <c r="B721" i="3"/>
  <c r="A721" i="3"/>
  <c r="B720" i="3"/>
  <c r="A720" i="3"/>
  <c r="B719" i="3"/>
  <c r="A719" i="3"/>
  <c r="B718" i="3"/>
  <c r="A718" i="3"/>
  <c r="B717" i="3"/>
  <c r="A717" i="3"/>
  <c r="B716" i="3"/>
  <c r="A716" i="3"/>
  <c r="B715" i="3"/>
  <c r="A715" i="3"/>
  <c r="B714" i="3"/>
  <c r="A714" i="3"/>
  <c r="B713" i="3"/>
  <c r="A713" i="3"/>
  <c r="B712" i="3"/>
  <c r="A712" i="3"/>
  <c r="B711" i="3"/>
  <c r="A711" i="3"/>
  <c r="B710" i="3"/>
  <c r="A710" i="3"/>
  <c r="B709" i="3"/>
  <c r="A709" i="3"/>
  <c r="B708" i="3"/>
  <c r="A708" i="3"/>
  <c r="B707" i="3"/>
  <c r="A707" i="3"/>
  <c r="B706" i="3"/>
  <c r="A706" i="3"/>
  <c r="B705" i="3"/>
  <c r="A705" i="3"/>
  <c r="B704" i="3"/>
  <c r="A704" i="3"/>
  <c r="B703" i="3"/>
  <c r="A703" i="3"/>
  <c r="B702" i="3"/>
  <c r="A702" i="3"/>
  <c r="B701" i="3"/>
  <c r="B700" i="3"/>
  <c r="A700" i="3"/>
  <c r="B699" i="3"/>
  <c r="A699" i="3"/>
  <c r="B698" i="3"/>
  <c r="A698" i="3"/>
  <c r="B697" i="3"/>
  <c r="A697" i="3"/>
  <c r="B696" i="3"/>
  <c r="A696" i="3"/>
  <c r="B695" i="3"/>
  <c r="A695" i="3"/>
  <c r="B694" i="3"/>
  <c r="A694" i="3"/>
  <c r="B693" i="3"/>
  <c r="A693" i="3"/>
  <c r="B692" i="3"/>
  <c r="A692" i="3"/>
  <c r="B691" i="3"/>
  <c r="A691" i="3"/>
  <c r="B690" i="3"/>
  <c r="A690" i="3"/>
  <c r="B689" i="3"/>
  <c r="A689" i="3"/>
  <c r="B688" i="3"/>
  <c r="A688" i="3"/>
  <c r="B687" i="3"/>
  <c r="A687" i="3"/>
  <c r="B686" i="3"/>
  <c r="A686" i="3"/>
  <c r="B685" i="3"/>
  <c r="A685" i="3"/>
  <c r="B684" i="3"/>
  <c r="A684" i="3"/>
  <c r="B683" i="3"/>
  <c r="A683" i="3"/>
  <c r="B682" i="3"/>
  <c r="A682" i="3"/>
  <c r="B681" i="3"/>
  <c r="A681" i="3"/>
  <c r="B680" i="3"/>
  <c r="A680" i="3"/>
  <c r="B679" i="3"/>
  <c r="A679" i="3"/>
  <c r="B678" i="3"/>
  <c r="A678" i="3"/>
  <c r="B677" i="3"/>
  <c r="A677" i="3"/>
  <c r="B676" i="3"/>
  <c r="A676" i="3"/>
  <c r="B675" i="3"/>
  <c r="A675" i="3"/>
  <c r="B674" i="3"/>
  <c r="A674" i="3"/>
  <c r="B673" i="3"/>
  <c r="A673" i="3"/>
  <c r="B672" i="3"/>
  <c r="A672" i="3"/>
  <c r="B671" i="3"/>
  <c r="A671" i="3"/>
  <c r="B670" i="3"/>
  <c r="A670" i="3"/>
  <c r="B669" i="3"/>
  <c r="A669" i="3"/>
  <c r="B668" i="3"/>
  <c r="A668" i="3"/>
  <c r="B667" i="3"/>
  <c r="A667" i="3"/>
  <c r="B666" i="3"/>
  <c r="A666" i="3"/>
  <c r="B665" i="3"/>
  <c r="A665" i="3"/>
  <c r="B664" i="3"/>
  <c r="A664" i="3"/>
  <c r="B663" i="3"/>
  <c r="A663" i="3"/>
  <c r="B662" i="3"/>
  <c r="A662" i="3"/>
  <c r="B661" i="3"/>
  <c r="A661" i="3"/>
  <c r="B660" i="3"/>
  <c r="A660" i="3"/>
  <c r="B659" i="3"/>
  <c r="A659" i="3"/>
  <c r="B658" i="3"/>
  <c r="A658" i="3"/>
  <c r="B657" i="3"/>
  <c r="A657" i="3"/>
  <c r="B656" i="3"/>
  <c r="A656" i="3"/>
  <c r="B655" i="3"/>
  <c r="A655" i="3"/>
  <c r="B654" i="3"/>
  <c r="A654" i="3"/>
  <c r="B653" i="3"/>
  <c r="A653" i="3"/>
  <c r="B652" i="3"/>
  <c r="A652" i="3"/>
  <c r="B651" i="3"/>
  <c r="A651" i="3"/>
  <c r="B650" i="3"/>
  <c r="A650" i="3"/>
  <c r="B649" i="3"/>
  <c r="B648" i="3"/>
  <c r="A648" i="3"/>
  <c r="B647" i="3"/>
  <c r="A647" i="3"/>
  <c r="B646" i="3"/>
  <c r="A646" i="3"/>
  <c r="B645" i="3"/>
  <c r="A645" i="3"/>
  <c r="B644" i="3"/>
  <c r="A644" i="3"/>
  <c r="B643" i="3"/>
  <c r="A643" i="3"/>
  <c r="B642" i="3"/>
  <c r="A642" i="3"/>
  <c r="B641" i="3"/>
  <c r="A641" i="3"/>
  <c r="B640" i="3"/>
  <c r="A640" i="3"/>
  <c r="B639" i="3"/>
  <c r="A639" i="3"/>
  <c r="B638" i="3"/>
  <c r="A638" i="3"/>
  <c r="B637" i="3"/>
  <c r="A637" i="3"/>
  <c r="B636" i="3"/>
  <c r="A636" i="3"/>
  <c r="B635" i="3"/>
  <c r="A635" i="3"/>
  <c r="B634" i="3"/>
  <c r="A634" i="3"/>
  <c r="B633" i="3"/>
  <c r="A633" i="3"/>
  <c r="B632" i="3"/>
  <c r="A632" i="3"/>
  <c r="B631" i="3"/>
  <c r="A631" i="3"/>
  <c r="B630" i="3"/>
  <c r="A630" i="3"/>
  <c r="B629" i="3"/>
  <c r="A629" i="3"/>
  <c r="B628" i="3"/>
  <c r="A628" i="3"/>
  <c r="B627" i="3"/>
  <c r="A627" i="3"/>
  <c r="B626" i="3"/>
  <c r="A626" i="3"/>
  <c r="B625" i="3"/>
  <c r="A625" i="3"/>
  <c r="B624" i="3"/>
  <c r="A624" i="3"/>
  <c r="B623" i="3"/>
  <c r="A623" i="3"/>
  <c r="B622" i="3"/>
  <c r="A622" i="3"/>
  <c r="B621" i="3"/>
  <c r="A621" i="3"/>
  <c r="B620" i="3"/>
  <c r="A620" i="3"/>
  <c r="B619" i="3"/>
  <c r="A619" i="3"/>
  <c r="B618" i="3"/>
  <c r="A618" i="3"/>
  <c r="B617" i="3"/>
  <c r="A617" i="3"/>
  <c r="B616" i="3"/>
  <c r="A616" i="3"/>
  <c r="B615" i="3"/>
  <c r="A615" i="3"/>
  <c r="B614" i="3"/>
  <c r="A614" i="3"/>
  <c r="B613" i="3"/>
  <c r="A613" i="3"/>
  <c r="B612" i="3"/>
  <c r="A612" i="3"/>
  <c r="B611" i="3"/>
  <c r="A611" i="3"/>
  <c r="B610" i="3"/>
  <c r="A610" i="3"/>
  <c r="B609" i="3"/>
  <c r="A609" i="3"/>
  <c r="B608" i="3"/>
  <c r="A608" i="3"/>
  <c r="B607" i="3"/>
  <c r="A607" i="3"/>
  <c r="B606" i="3"/>
  <c r="A606" i="3"/>
  <c r="B605" i="3"/>
  <c r="A605" i="3"/>
  <c r="B604" i="3"/>
  <c r="A604" i="3"/>
  <c r="B603" i="3"/>
  <c r="A603" i="3"/>
  <c r="B602" i="3"/>
  <c r="A602" i="3"/>
  <c r="B601" i="3"/>
  <c r="A601" i="3"/>
  <c r="B600" i="3"/>
  <c r="A600" i="3"/>
  <c r="B599" i="3"/>
  <c r="A599" i="3"/>
  <c r="B598" i="3"/>
  <c r="A598" i="3"/>
  <c r="B597" i="3"/>
  <c r="A597" i="3"/>
  <c r="B596" i="3"/>
  <c r="A596" i="3"/>
  <c r="B595" i="3"/>
  <c r="A595" i="3"/>
  <c r="B594" i="3"/>
  <c r="A594" i="3"/>
  <c r="B593" i="3"/>
  <c r="A593" i="3"/>
  <c r="B592" i="3"/>
  <c r="A592" i="3"/>
  <c r="B591" i="3"/>
  <c r="A591" i="3"/>
  <c r="B590" i="3"/>
  <c r="A590" i="3"/>
  <c r="B589" i="3"/>
  <c r="A589" i="3"/>
  <c r="B588" i="3"/>
  <c r="A588" i="3"/>
  <c r="B587" i="3"/>
  <c r="A587" i="3"/>
  <c r="B586" i="3"/>
  <c r="A586" i="3"/>
  <c r="B585" i="3"/>
  <c r="A585" i="3"/>
  <c r="B584" i="3"/>
  <c r="A584" i="3"/>
  <c r="B583" i="3"/>
  <c r="A583" i="3"/>
  <c r="B582" i="3"/>
  <c r="A582" i="3"/>
  <c r="B581" i="3"/>
  <c r="A581" i="3"/>
  <c r="B580" i="3"/>
  <c r="A580" i="3"/>
  <c r="B579" i="3"/>
  <c r="A579" i="3"/>
  <c r="B578" i="3"/>
  <c r="A578" i="3"/>
  <c r="B577" i="3"/>
  <c r="A577" i="3"/>
  <c r="B576" i="3"/>
  <c r="A576" i="3"/>
  <c r="B575" i="3"/>
  <c r="A575" i="3"/>
  <c r="B574" i="3"/>
  <c r="A574" i="3"/>
  <c r="B573" i="3"/>
  <c r="A573" i="3"/>
  <c r="B572" i="3"/>
  <c r="A572" i="3"/>
  <c r="B571" i="3"/>
  <c r="A571" i="3"/>
  <c r="B570" i="3"/>
  <c r="A570" i="3"/>
  <c r="B569" i="3"/>
  <c r="A569" i="3"/>
  <c r="B568" i="3"/>
  <c r="A568" i="3"/>
  <c r="B567" i="3"/>
  <c r="A567" i="3"/>
  <c r="B566" i="3"/>
  <c r="A566" i="3"/>
  <c r="B565" i="3"/>
  <c r="A565" i="3"/>
  <c r="B564" i="3"/>
  <c r="A564" i="3"/>
  <c r="B563" i="3"/>
  <c r="A563" i="3"/>
  <c r="B562" i="3"/>
  <c r="A562" i="3"/>
  <c r="B561" i="3"/>
  <c r="A561" i="3"/>
  <c r="B560" i="3"/>
  <c r="A560" i="3"/>
  <c r="B559" i="3"/>
  <c r="A559" i="3"/>
  <c r="B558" i="3"/>
  <c r="A558" i="3"/>
  <c r="B557" i="3"/>
  <c r="A557" i="3"/>
  <c r="B556" i="3"/>
  <c r="A556" i="3"/>
  <c r="B555" i="3"/>
  <c r="A555" i="3"/>
  <c r="B554" i="3"/>
  <c r="A554" i="3"/>
  <c r="B553" i="3"/>
  <c r="A553" i="3"/>
  <c r="B552" i="3"/>
  <c r="A552" i="3"/>
  <c r="B551" i="3"/>
  <c r="A551" i="3"/>
  <c r="B550" i="3"/>
  <c r="A550" i="3"/>
  <c r="B549" i="3"/>
  <c r="A549" i="3"/>
  <c r="B548" i="3"/>
  <c r="A548" i="3"/>
  <c r="B547" i="3"/>
  <c r="A547" i="3"/>
  <c r="B546" i="3"/>
  <c r="A546" i="3"/>
  <c r="B545" i="3"/>
  <c r="A545" i="3"/>
  <c r="B544" i="3"/>
  <c r="A544" i="3"/>
  <c r="B543" i="3"/>
  <c r="A543" i="3"/>
  <c r="B542" i="3"/>
  <c r="A542" i="3"/>
  <c r="B541" i="3"/>
  <c r="A541" i="3"/>
  <c r="B540" i="3"/>
  <c r="A540" i="3"/>
  <c r="B539" i="3"/>
  <c r="A539" i="3"/>
  <c r="B538" i="3"/>
  <c r="A538" i="3"/>
  <c r="B537" i="3"/>
  <c r="A537" i="3"/>
  <c r="B536" i="3"/>
  <c r="A536" i="3"/>
  <c r="B535" i="3"/>
  <c r="A535" i="3"/>
  <c r="B534" i="3"/>
  <c r="A534" i="3"/>
  <c r="B533" i="3"/>
  <c r="A533" i="3"/>
  <c r="B532" i="3"/>
  <c r="A532" i="3"/>
  <c r="B531" i="3"/>
  <c r="A531" i="3"/>
  <c r="B530" i="3"/>
  <c r="A530" i="3"/>
  <c r="B529" i="3"/>
  <c r="A529" i="3"/>
  <c r="B528" i="3"/>
  <c r="A528" i="3"/>
  <c r="B527" i="3"/>
  <c r="A527" i="3"/>
  <c r="B526" i="3"/>
  <c r="A526" i="3"/>
  <c r="B525" i="3"/>
  <c r="A525" i="3"/>
  <c r="B524" i="3"/>
  <c r="A524" i="3"/>
  <c r="B523" i="3"/>
  <c r="A523" i="3"/>
  <c r="B522" i="3"/>
  <c r="A522" i="3"/>
  <c r="B521" i="3"/>
  <c r="A521" i="3"/>
  <c r="B520" i="3"/>
  <c r="A520" i="3"/>
  <c r="B519" i="3"/>
  <c r="A519" i="3"/>
  <c r="B518" i="3"/>
  <c r="A518" i="3"/>
  <c r="B517" i="3"/>
  <c r="A517" i="3"/>
  <c r="B516" i="3"/>
  <c r="A516" i="3"/>
  <c r="B515" i="3"/>
  <c r="A515" i="3"/>
  <c r="B514" i="3"/>
  <c r="A514" i="3"/>
  <c r="B513" i="3"/>
  <c r="A513" i="3"/>
  <c r="B512" i="3"/>
  <c r="A512" i="3"/>
  <c r="B511" i="3"/>
  <c r="B510" i="3"/>
  <c r="A510" i="3"/>
  <c r="B509" i="3"/>
  <c r="A509" i="3"/>
  <c r="B508" i="3"/>
  <c r="A508" i="3"/>
  <c r="B507" i="3"/>
  <c r="A507" i="3"/>
  <c r="B506" i="3"/>
  <c r="A506" i="3"/>
  <c r="B505" i="3"/>
  <c r="A505" i="3"/>
  <c r="B504" i="3"/>
  <c r="A504" i="3"/>
  <c r="B503" i="3"/>
  <c r="A503" i="3"/>
  <c r="B502" i="3"/>
  <c r="A502" i="3"/>
  <c r="B501" i="3"/>
  <c r="A501" i="3"/>
  <c r="B500" i="3"/>
  <c r="A500" i="3"/>
  <c r="B499" i="3"/>
  <c r="A499" i="3"/>
  <c r="B498" i="3"/>
  <c r="A498" i="3"/>
  <c r="B497" i="3"/>
  <c r="A497" i="3"/>
  <c r="B496" i="3"/>
  <c r="A496" i="3"/>
  <c r="B495" i="3"/>
  <c r="A495" i="3"/>
  <c r="B494" i="3"/>
  <c r="A494" i="3"/>
  <c r="B493" i="3"/>
  <c r="A493" i="3"/>
  <c r="B492" i="3"/>
  <c r="A492" i="3"/>
  <c r="B491" i="3"/>
  <c r="A491" i="3"/>
  <c r="B490" i="3"/>
  <c r="A490" i="3"/>
  <c r="B489" i="3"/>
  <c r="A489" i="3"/>
  <c r="B488" i="3"/>
  <c r="A488" i="3"/>
  <c r="B487" i="3"/>
  <c r="A487" i="3"/>
  <c r="B486" i="3"/>
  <c r="A486" i="3"/>
  <c r="B485" i="3"/>
  <c r="A485" i="3"/>
  <c r="B484" i="3"/>
  <c r="A484" i="3"/>
  <c r="B483" i="3"/>
  <c r="A483" i="3"/>
  <c r="B482" i="3"/>
  <c r="A482" i="3"/>
  <c r="B481" i="3"/>
  <c r="A481" i="3"/>
  <c r="B480" i="3"/>
  <c r="A480" i="3"/>
  <c r="B479" i="3"/>
  <c r="A479" i="3"/>
  <c r="B478" i="3"/>
  <c r="A478" i="3"/>
  <c r="B477" i="3"/>
  <c r="A477" i="3"/>
  <c r="B476" i="3"/>
  <c r="A476" i="3"/>
  <c r="B475" i="3"/>
  <c r="A475" i="3"/>
  <c r="B474" i="3"/>
  <c r="A474" i="3"/>
  <c r="B473" i="3"/>
  <c r="A473" i="3"/>
  <c r="B472" i="3"/>
  <c r="A472" i="3"/>
  <c r="B471" i="3"/>
  <c r="A471" i="3"/>
  <c r="B470" i="3"/>
  <c r="A470" i="3"/>
  <c r="B469" i="3"/>
  <c r="A469" i="3"/>
  <c r="B468" i="3"/>
  <c r="A468" i="3"/>
  <c r="B467" i="3"/>
  <c r="A467" i="3"/>
  <c r="B466" i="3"/>
  <c r="A466" i="3"/>
  <c r="B465" i="3"/>
  <c r="A465" i="3"/>
  <c r="B464" i="3"/>
  <c r="A464" i="3"/>
  <c r="B463" i="3"/>
  <c r="A463" i="3"/>
  <c r="B462" i="3"/>
  <c r="B461" i="3"/>
  <c r="A461" i="3"/>
  <c r="B460" i="3"/>
  <c r="A460" i="3"/>
  <c r="B459" i="3"/>
  <c r="A459" i="3"/>
  <c r="B458" i="3"/>
  <c r="A458" i="3"/>
  <c r="B457" i="3"/>
  <c r="A457" i="3"/>
  <c r="B456" i="3"/>
  <c r="A456" i="3"/>
  <c r="B455" i="3"/>
  <c r="A455" i="3"/>
  <c r="B454" i="3"/>
  <c r="A454" i="3"/>
  <c r="B453" i="3"/>
  <c r="A453" i="3"/>
  <c r="B452" i="3"/>
  <c r="A452" i="3"/>
  <c r="B451" i="3"/>
  <c r="A451" i="3"/>
  <c r="B450" i="3"/>
  <c r="A450" i="3"/>
  <c r="B449" i="3"/>
  <c r="A449" i="3"/>
  <c r="B448" i="3"/>
  <c r="A448" i="3"/>
  <c r="B447" i="3"/>
  <c r="A447" i="3"/>
  <c r="B446" i="3"/>
  <c r="A446" i="3"/>
  <c r="B445" i="3"/>
  <c r="A445" i="3"/>
  <c r="B444" i="3"/>
  <c r="A444" i="3"/>
  <c r="B443" i="3"/>
  <c r="A443" i="3"/>
  <c r="B442" i="3"/>
  <c r="A442" i="3"/>
  <c r="B441" i="3"/>
  <c r="A441" i="3"/>
  <c r="B440" i="3"/>
  <c r="A440" i="3"/>
  <c r="B439" i="3"/>
  <c r="A439" i="3"/>
  <c r="B438" i="3"/>
  <c r="A438" i="3"/>
  <c r="B437" i="3"/>
  <c r="A437" i="3"/>
  <c r="B436" i="3"/>
  <c r="A436" i="3"/>
  <c r="B435" i="3"/>
  <c r="A435" i="3"/>
  <c r="B434" i="3"/>
  <c r="A434" i="3"/>
  <c r="B433" i="3"/>
  <c r="A433" i="3"/>
  <c r="B432" i="3"/>
  <c r="A432" i="3"/>
  <c r="B431" i="3"/>
  <c r="A431" i="3"/>
  <c r="B430" i="3"/>
  <c r="A430" i="3"/>
  <c r="B429" i="3"/>
  <c r="A429" i="3"/>
  <c r="B428" i="3"/>
  <c r="A428" i="3"/>
  <c r="B427" i="3"/>
  <c r="A427" i="3"/>
  <c r="B426" i="3"/>
  <c r="A426" i="3"/>
  <c r="B425" i="3"/>
  <c r="A425" i="3"/>
  <c r="B424" i="3"/>
  <c r="A424" i="3"/>
  <c r="B423" i="3"/>
  <c r="A423" i="3"/>
  <c r="B422" i="3"/>
  <c r="A422" i="3"/>
  <c r="B421" i="3"/>
  <c r="A421" i="3"/>
  <c r="B420" i="3"/>
  <c r="A420" i="3"/>
  <c r="B419" i="3"/>
  <c r="A419" i="3"/>
  <c r="B418" i="3"/>
  <c r="A418" i="3"/>
  <c r="B417" i="3"/>
  <c r="A417" i="3"/>
  <c r="B416" i="3"/>
  <c r="A416" i="3"/>
  <c r="B415" i="3"/>
  <c r="A415" i="3"/>
  <c r="B414" i="3"/>
  <c r="A414" i="3"/>
  <c r="B413" i="3"/>
  <c r="A413" i="3"/>
  <c r="B412" i="3"/>
  <c r="A412" i="3"/>
  <c r="B411" i="3"/>
  <c r="A411" i="3"/>
  <c r="B410" i="3"/>
  <c r="A410" i="3"/>
  <c r="B409" i="3"/>
  <c r="A409" i="3"/>
  <c r="B408" i="3"/>
  <c r="B407" i="3"/>
  <c r="A407" i="3"/>
  <c r="B406" i="3"/>
  <c r="A406" i="3"/>
  <c r="B405" i="3"/>
  <c r="A405" i="3"/>
  <c r="B404" i="3"/>
  <c r="A404" i="3"/>
  <c r="B403" i="3"/>
  <c r="A403" i="3"/>
  <c r="B402" i="3"/>
  <c r="A402" i="3"/>
  <c r="B401" i="3"/>
  <c r="A401" i="3"/>
  <c r="B400" i="3"/>
  <c r="A400" i="3"/>
  <c r="B399" i="3"/>
  <c r="A399" i="3"/>
  <c r="B398" i="3"/>
  <c r="A398" i="3"/>
  <c r="B397" i="3"/>
  <c r="A397" i="3"/>
  <c r="B396" i="3"/>
  <c r="A396" i="3"/>
  <c r="B395" i="3"/>
  <c r="A395" i="3"/>
  <c r="B394" i="3"/>
  <c r="A394" i="3"/>
  <c r="B393" i="3"/>
  <c r="A393" i="3"/>
  <c r="B392" i="3"/>
  <c r="A392" i="3"/>
  <c r="B391" i="3"/>
  <c r="A391" i="3"/>
  <c r="B390" i="3"/>
  <c r="A390" i="3"/>
  <c r="B389" i="3"/>
  <c r="A389" i="3"/>
  <c r="B388" i="3"/>
  <c r="A388" i="3"/>
  <c r="B387" i="3"/>
  <c r="A387" i="3"/>
  <c r="B386" i="3"/>
  <c r="A386" i="3"/>
  <c r="B385" i="3"/>
  <c r="A385" i="3"/>
  <c r="B384" i="3"/>
  <c r="A384" i="3"/>
  <c r="B383" i="3"/>
  <c r="A383" i="3"/>
  <c r="B382" i="3"/>
  <c r="A382" i="3"/>
  <c r="B381" i="3"/>
  <c r="A381" i="3"/>
  <c r="B380" i="3"/>
  <c r="A380" i="3"/>
  <c r="B379" i="3"/>
  <c r="A379" i="3"/>
  <c r="B378" i="3"/>
  <c r="A378" i="3"/>
  <c r="B377" i="3"/>
  <c r="A377" i="3"/>
  <c r="B376" i="3"/>
  <c r="A376" i="3"/>
  <c r="B375" i="3"/>
  <c r="A375" i="3"/>
  <c r="B374" i="3"/>
  <c r="A374" i="3"/>
  <c r="B373" i="3"/>
  <c r="A373" i="3"/>
  <c r="B372" i="3"/>
  <c r="A372" i="3"/>
  <c r="B371" i="3"/>
  <c r="A371" i="3"/>
  <c r="B370" i="3"/>
  <c r="A370" i="3"/>
  <c r="B369" i="3"/>
  <c r="A369" i="3"/>
  <c r="B368" i="3"/>
  <c r="A368" i="3"/>
  <c r="B367" i="3"/>
  <c r="A367" i="3"/>
  <c r="B366" i="3"/>
  <c r="A366" i="3"/>
  <c r="B365" i="3"/>
  <c r="A365" i="3"/>
  <c r="B364" i="3"/>
  <c r="A364" i="3"/>
  <c r="B363" i="3"/>
  <c r="A363" i="3"/>
  <c r="B362" i="3"/>
  <c r="A362" i="3"/>
  <c r="B361" i="3"/>
  <c r="A361" i="3"/>
  <c r="B360" i="3"/>
  <c r="A360" i="3"/>
  <c r="B359" i="3"/>
  <c r="A359" i="3"/>
  <c r="B358" i="3"/>
  <c r="A358" i="3"/>
  <c r="B357" i="3"/>
  <c r="A357" i="3"/>
  <c r="B356" i="3"/>
  <c r="A356" i="3"/>
  <c r="B355" i="3"/>
  <c r="A355" i="3"/>
  <c r="B354" i="3"/>
  <c r="A354" i="3"/>
  <c r="B353" i="3"/>
  <c r="A353" i="3"/>
  <c r="B352" i="3"/>
  <c r="A352" i="3"/>
  <c r="B351" i="3"/>
  <c r="A351" i="3"/>
  <c r="B350" i="3"/>
  <c r="A350" i="3"/>
  <c r="B349" i="3"/>
  <c r="A349" i="3"/>
  <c r="B348" i="3"/>
  <c r="A348" i="3"/>
  <c r="B347" i="3"/>
  <c r="A347" i="3"/>
  <c r="B346" i="3"/>
  <c r="A346" i="3"/>
  <c r="B345" i="3"/>
  <c r="A345" i="3"/>
  <c r="B344" i="3"/>
  <c r="A344" i="3"/>
  <c r="B343" i="3"/>
  <c r="A343" i="3"/>
  <c r="B342" i="3"/>
  <c r="A342" i="3"/>
  <c r="B341" i="3"/>
  <c r="A341" i="3"/>
  <c r="B340" i="3"/>
  <c r="A340" i="3"/>
  <c r="B339" i="3"/>
  <c r="A339" i="3"/>
  <c r="B338" i="3"/>
  <c r="A338" i="3"/>
  <c r="B337" i="3"/>
  <c r="A337" i="3"/>
  <c r="B336" i="3"/>
  <c r="A336" i="3"/>
  <c r="B335" i="3"/>
  <c r="A335" i="3"/>
  <c r="B334" i="3"/>
  <c r="A334" i="3"/>
  <c r="B333" i="3"/>
  <c r="A333" i="3"/>
  <c r="B332" i="3"/>
  <c r="A332" i="3"/>
  <c r="B331" i="3"/>
  <c r="A331" i="3"/>
  <c r="B330" i="3"/>
  <c r="A330" i="3"/>
  <c r="B329" i="3"/>
  <c r="A329" i="3"/>
  <c r="B328" i="3"/>
  <c r="A328" i="3"/>
  <c r="B327" i="3"/>
  <c r="A327" i="3"/>
  <c r="B326" i="3"/>
  <c r="A326" i="3"/>
  <c r="B325" i="3"/>
  <c r="A325" i="3"/>
  <c r="B324" i="3"/>
  <c r="A324" i="3"/>
  <c r="B323" i="3"/>
  <c r="A323" i="3"/>
  <c r="B322" i="3"/>
  <c r="A322" i="3"/>
  <c r="B321" i="3"/>
  <c r="A321" i="3"/>
  <c r="B320" i="3"/>
  <c r="A320" i="3"/>
  <c r="B319" i="3"/>
  <c r="A319" i="3"/>
  <c r="B318" i="3"/>
  <c r="A318" i="3"/>
  <c r="B317" i="3"/>
  <c r="A317" i="3"/>
  <c r="B316" i="3"/>
  <c r="B315" i="3"/>
  <c r="A315" i="3"/>
  <c r="B314" i="3"/>
  <c r="A314" i="3"/>
  <c r="B313" i="3"/>
  <c r="A313" i="3"/>
  <c r="B312" i="3"/>
  <c r="A312" i="3"/>
  <c r="B311" i="3"/>
  <c r="A311" i="3"/>
  <c r="B310" i="3"/>
  <c r="A310" i="3"/>
  <c r="B309" i="3"/>
  <c r="A309" i="3"/>
  <c r="B308" i="3"/>
  <c r="A308" i="3"/>
  <c r="B307" i="3"/>
  <c r="A307" i="3"/>
  <c r="B306" i="3"/>
  <c r="A306" i="3"/>
  <c r="B305" i="3"/>
  <c r="A305" i="3"/>
  <c r="B304" i="3"/>
  <c r="A304" i="3"/>
  <c r="B303" i="3"/>
  <c r="A303" i="3"/>
  <c r="B302" i="3"/>
  <c r="A302" i="3"/>
  <c r="B301" i="3"/>
  <c r="A301" i="3"/>
  <c r="B300" i="3"/>
  <c r="A300" i="3"/>
  <c r="B299" i="3"/>
  <c r="A299" i="3"/>
  <c r="B298" i="3"/>
  <c r="A298" i="3"/>
  <c r="B297" i="3"/>
  <c r="A297" i="3"/>
  <c r="B296" i="3"/>
  <c r="A296" i="3"/>
  <c r="B295" i="3"/>
  <c r="A295" i="3"/>
  <c r="B294" i="3"/>
  <c r="A294" i="3"/>
  <c r="B293" i="3"/>
  <c r="A293" i="3"/>
  <c r="B292" i="3"/>
  <c r="A292" i="3"/>
  <c r="B291" i="3"/>
  <c r="A291" i="3"/>
  <c r="B290" i="3"/>
  <c r="A290" i="3"/>
  <c r="B289" i="3"/>
  <c r="A289" i="3"/>
  <c r="B288" i="3"/>
  <c r="A288" i="3"/>
  <c r="B287" i="3"/>
  <c r="A287" i="3"/>
  <c r="B286" i="3"/>
  <c r="A286" i="3"/>
  <c r="B285" i="3"/>
  <c r="A285" i="3"/>
  <c r="B284" i="3"/>
  <c r="A284" i="3"/>
  <c r="B283" i="3"/>
  <c r="A283" i="3"/>
  <c r="B282" i="3"/>
  <c r="A282" i="3"/>
  <c r="B281" i="3"/>
  <c r="A281" i="3"/>
  <c r="B280" i="3"/>
  <c r="A280" i="3"/>
  <c r="B279" i="3"/>
  <c r="A279" i="3"/>
  <c r="B278" i="3"/>
  <c r="A278" i="3"/>
  <c r="B277" i="3"/>
  <c r="A277" i="3"/>
  <c r="B276" i="3"/>
  <c r="A276" i="3"/>
  <c r="B275" i="3"/>
  <c r="A275" i="3"/>
  <c r="B274" i="3"/>
  <c r="A274" i="3"/>
  <c r="B273" i="3"/>
  <c r="A273" i="3"/>
  <c r="B272" i="3"/>
  <c r="A272" i="3"/>
  <c r="B271" i="3"/>
  <c r="A271" i="3"/>
  <c r="B270" i="3"/>
  <c r="A270" i="3"/>
  <c r="B269" i="3"/>
  <c r="A269" i="3"/>
  <c r="B268" i="3"/>
  <c r="A268" i="3"/>
  <c r="B267" i="3"/>
  <c r="A267" i="3"/>
  <c r="B266" i="3"/>
  <c r="A266" i="3"/>
  <c r="B265" i="3"/>
  <c r="A265" i="3"/>
  <c r="B264" i="3"/>
  <c r="B263" i="3"/>
  <c r="A263" i="3"/>
  <c r="B262" i="3"/>
  <c r="A262" i="3"/>
  <c r="B261" i="3"/>
  <c r="A261" i="3"/>
  <c r="B260" i="3"/>
  <c r="A260" i="3"/>
  <c r="B259" i="3"/>
  <c r="A259" i="3"/>
  <c r="B258" i="3"/>
  <c r="A258" i="3"/>
  <c r="B257" i="3"/>
  <c r="A257" i="3"/>
  <c r="B256" i="3"/>
  <c r="A256" i="3"/>
  <c r="B255" i="3"/>
  <c r="A255" i="3"/>
  <c r="B254" i="3"/>
  <c r="A254" i="3"/>
  <c r="B253" i="3"/>
  <c r="A253" i="3"/>
  <c r="B252" i="3"/>
  <c r="A252" i="3"/>
  <c r="B251" i="3"/>
  <c r="A251" i="3"/>
  <c r="B250" i="3"/>
  <c r="A250" i="3"/>
  <c r="B249" i="3"/>
  <c r="A249" i="3"/>
  <c r="B248" i="3"/>
  <c r="A248" i="3"/>
  <c r="B247" i="3"/>
  <c r="A247" i="3"/>
  <c r="B246" i="3"/>
  <c r="A246" i="3"/>
  <c r="B245" i="3"/>
  <c r="A245" i="3"/>
  <c r="B244" i="3"/>
  <c r="A244" i="3"/>
  <c r="B243" i="3"/>
  <c r="A243" i="3"/>
  <c r="B242" i="3"/>
  <c r="A242" i="3"/>
  <c r="B241" i="3"/>
  <c r="A241" i="3"/>
  <c r="B240" i="3"/>
  <c r="A240" i="3"/>
  <c r="B239" i="3"/>
  <c r="A239" i="3"/>
  <c r="B238" i="3"/>
  <c r="A238" i="3"/>
  <c r="B237" i="3"/>
  <c r="A237" i="3"/>
  <c r="B236" i="3"/>
  <c r="A236" i="3"/>
  <c r="B235" i="3"/>
  <c r="A235" i="3"/>
  <c r="B234" i="3"/>
  <c r="A234" i="3"/>
  <c r="B233" i="3"/>
  <c r="A233" i="3"/>
  <c r="B232" i="3"/>
  <c r="A232" i="3"/>
  <c r="B231" i="3"/>
  <c r="A231" i="3"/>
  <c r="B230" i="3"/>
  <c r="A230" i="3"/>
  <c r="B229" i="3"/>
  <c r="A229" i="3"/>
  <c r="B228" i="3"/>
  <c r="A228" i="3"/>
  <c r="B227" i="3"/>
  <c r="A227" i="3"/>
  <c r="B226" i="3"/>
  <c r="A226" i="3"/>
  <c r="B225" i="3"/>
  <c r="A225" i="3"/>
  <c r="B224" i="3"/>
  <c r="A224" i="3"/>
  <c r="B223" i="3"/>
  <c r="A223" i="3"/>
  <c r="B222" i="3"/>
  <c r="A222" i="3"/>
  <c r="B221" i="3"/>
  <c r="A221" i="3"/>
  <c r="B220" i="3"/>
  <c r="A220" i="3"/>
  <c r="B219" i="3"/>
  <c r="A219" i="3"/>
  <c r="B218" i="3"/>
  <c r="A218" i="3"/>
  <c r="B217" i="3"/>
  <c r="A217" i="3"/>
  <c r="B216" i="3"/>
  <c r="A216" i="3"/>
  <c r="B215" i="3"/>
  <c r="A215" i="3"/>
  <c r="B214" i="3"/>
  <c r="A214" i="3"/>
  <c r="B213" i="3"/>
  <c r="A213" i="3"/>
  <c r="B212" i="3"/>
  <c r="A212" i="3"/>
  <c r="B211" i="3"/>
  <c r="A211" i="3"/>
  <c r="B210" i="3"/>
  <c r="A210" i="3"/>
  <c r="B209" i="3"/>
  <c r="A209" i="3"/>
  <c r="B208" i="3"/>
  <c r="A208" i="3"/>
  <c r="B207" i="3"/>
  <c r="A207" i="3"/>
  <c r="B206" i="3"/>
  <c r="A206" i="3"/>
  <c r="B205" i="3"/>
  <c r="A205" i="3"/>
  <c r="B204" i="3"/>
  <c r="A204" i="3"/>
  <c r="B203" i="3"/>
  <c r="A203" i="3"/>
  <c r="B202" i="3"/>
  <c r="A202" i="3"/>
  <c r="B201" i="3"/>
  <c r="A201" i="3"/>
  <c r="B200" i="3"/>
  <c r="A200" i="3"/>
  <c r="B199" i="3"/>
  <c r="A199" i="3"/>
  <c r="B198" i="3"/>
  <c r="A198" i="3"/>
  <c r="B197" i="3"/>
  <c r="A197" i="3"/>
  <c r="B196" i="3"/>
  <c r="A196" i="3"/>
  <c r="B195" i="3"/>
  <c r="A195" i="3"/>
  <c r="B194" i="3"/>
  <c r="A194" i="3"/>
  <c r="B193" i="3"/>
  <c r="A193" i="3"/>
  <c r="B192" i="3"/>
  <c r="A192" i="3"/>
  <c r="B191" i="3"/>
  <c r="A191" i="3"/>
  <c r="B190" i="3"/>
  <c r="A190" i="3"/>
  <c r="B189" i="3"/>
  <c r="A189" i="3"/>
  <c r="B188" i="3"/>
  <c r="A188" i="3"/>
  <c r="B187" i="3"/>
  <c r="A187" i="3"/>
  <c r="B186" i="3"/>
  <c r="A186" i="3"/>
  <c r="B185" i="3"/>
  <c r="A185" i="3"/>
  <c r="B184" i="3"/>
  <c r="A184" i="3"/>
  <c r="B183" i="3"/>
  <c r="A183" i="3"/>
  <c r="B182" i="3"/>
  <c r="A182" i="3"/>
  <c r="B181" i="3"/>
  <c r="A181" i="3"/>
  <c r="B180" i="3"/>
  <c r="A180" i="3"/>
  <c r="B179" i="3"/>
  <c r="A179" i="3"/>
  <c r="B178" i="3"/>
  <c r="A178" i="3"/>
  <c r="B177" i="3"/>
  <c r="A177" i="3"/>
  <c r="B176" i="3"/>
  <c r="A176" i="3"/>
  <c r="B175" i="3"/>
  <c r="A175" i="3"/>
  <c r="B174" i="3"/>
  <c r="A174" i="3"/>
  <c r="B173" i="3"/>
  <c r="A173" i="3"/>
  <c r="B172" i="3"/>
  <c r="A172" i="3"/>
  <c r="B171" i="3"/>
  <c r="A171" i="3"/>
  <c r="B170" i="3"/>
  <c r="A170" i="3"/>
  <c r="B169" i="3"/>
  <c r="A169" i="3"/>
  <c r="B168" i="3"/>
  <c r="A168" i="3"/>
  <c r="B167" i="3"/>
  <c r="A167" i="3"/>
  <c r="B166" i="3"/>
  <c r="A166" i="3"/>
  <c r="B165" i="3"/>
  <c r="A165" i="3"/>
  <c r="B164" i="3"/>
  <c r="A164" i="3"/>
  <c r="B163" i="3"/>
  <c r="A163" i="3"/>
  <c r="B162" i="3"/>
  <c r="A162" i="3"/>
  <c r="B161" i="3"/>
  <c r="A161" i="3"/>
  <c r="B160" i="3"/>
  <c r="A160" i="3"/>
  <c r="B159" i="3"/>
  <c r="A159" i="3"/>
  <c r="B158" i="3"/>
  <c r="A158" i="3"/>
  <c r="B157" i="3"/>
  <c r="A157" i="3"/>
  <c r="B156" i="3"/>
  <c r="A156" i="3"/>
  <c r="B155" i="3"/>
  <c r="A155" i="3"/>
  <c r="B154" i="3"/>
  <c r="A154" i="3"/>
  <c r="B153" i="3"/>
  <c r="A153" i="3"/>
  <c r="B152" i="3"/>
  <c r="A152" i="3"/>
  <c r="B151" i="3"/>
  <c r="A151" i="3"/>
  <c r="B150" i="3"/>
  <c r="A150" i="3"/>
  <c r="B149" i="3"/>
  <c r="A149" i="3"/>
  <c r="B148" i="3"/>
  <c r="A148" i="3"/>
  <c r="B147" i="3"/>
  <c r="A147" i="3"/>
  <c r="B146" i="3"/>
  <c r="A146" i="3"/>
  <c r="B145" i="3"/>
  <c r="A145" i="3"/>
  <c r="B144" i="3"/>
  <c r="A144" i="3"/>
  <c r="B143" i="3"/>
  <c r="A143" i="3"/>
  <c r="B142" i="3"/>
  <c r="A142" i="3"/>
  <c r="B141" i="3"/>
  <c r="A141" i="3"/>
  <c r="B140" i="3"/>
  <c r="A140" i="3"/>
  <c r="B139" i="3"/>
  <c r="A139" i="3"/>
  <c r="B138" i="3"/>
  <c r="A138" i="3"/>
  <c r="B137" i="3"/>
  <c r="A137" i="3"/>
  <c r="B136" i="3"/>
  <c r="A136" i="3"/>
  <c r="B135" i="3"/>
  <c r="A135" i="3"/>
  <c r="B134" i="3"/>
  <c r="A134" i="3"/>
  <c r="B133" i="3"/>
  <c r="A133" i="3"/>
  <c r="B132" i="3"/>
  <c r="A132" i="3"/>
  <c r="B131" i="3"/>
  <c r="A131" i="3"/>
  <c r="B130" i="3"/>
  <c r="A130" i="3"/>
  <c r="B129" i="3"/>
  <c r="A129" i="3"/>
  <c r="B128" i="3"/>
  <c r="A128" i="3"/>
  <c r="B127" i="3"/>
  <c r="A127" i="3"/>
  <c r="B126" i="3"/>
  <c r="A126" i="3"/>
  <c r="B125" i="3"/>
  <c r="A125" i="3"/>
  <c r="B124" i="3"/>
  <c r="A124" i="3"/>
  <c r="B123" i="3"/>
  <c r="B122" i="3"/>
  <c r="A122" i="3"/>
  <c r="B121" i="3"/>
  <c r="A121" i="3"/>
  <c r="B120" i="3"/>
  <c r="A120" i="3"/>
  <c r="B119" i="3"/>
  <c r="A119" i="3"/>
  <c r="B118" i="3"/>
  <c r="A118" i="3"/>
  <c r="B117" i="3"/>
  <c r="A117" i="3"/>
  <c r="B116" i="3"/>
  <c r="A116" i="3"/>
  <c r="B115" i="3"/>
  <c r="A115" i="3"/>
  <c r="B114" i="3"/>
  <c r="A114" i="3"/>
  <c r="B113" i="3"/>
  <c r="A113" i="3"/>
  <c r="B112" i="3"/>
  <c r="A112" i="3"/>
  <c r="B111" i="3"/>
  <c r="A111" i="3"/>
  <c r="B110" i="3"/>
  <c r="A110" i="3"/>
  <c r="B109" i="3"/>
  <c r="A109" i="3"/>
  <c r="B108" i="3"/>
  <c r="A108" i="3"/>
  <c r="B107" i="3"/>
  <c r="A107" i="3"/>
  <c r="B106" i="3"/>
  <c r="A106" i="3"/>
  <c r="B105" i="3"/>
  <c r="A105" i="3"/>
  <c r="B104" i="3"/>
  <c r="A104" i="3"/>
  <c r="B103" i="3"/>
  <c r="A103" i="3"/>
  <c r="B102" i="3"/>
  <c r="A102" i="3"/>
  <c r="B101" i="3"/>
  <c r="A101" i="3"/>
  <c r="B100" i="3"/>
  <c r="A100" i="3"/>
  <c r="B99" i="3"/>
  <c r="A99" i="3"/>
  <c r="B98" i="3"/>
  <c r="A98" i="3"/>
  <c r="B97" i="3"/>
  <c r="A97" i="3"/>
  <c r="B96" i="3"/>
  <c r="A96" i="3"/>
  <c r="B95" i="3"/>
  <c r="A95" i="3"/>
  <c r="B94" i="3"/>
  <c r="A94" i="3"/>
  <c r="B93" i="3"/>
  <c r="A93" i="3"/>
  <c r="B92" i="3"/>
  <c r="A92" i="3"/>
  <c r="B91" i="3"/>
  <c r="A91" i="3"/>
  <c r="B90" i="3"/>
  <c r="A90" i="3"/>
  <c r="B89" i="3"/>
  <c r="A89" i="3"/>
  <c r="B88" i="3"/>
  <c r="A88" i="3"/>
  <c r="B87" i="3"/>
  <c r="A87" i="3"/>
  <c r="B86" i="3"/>
  <c r="A86" i="3"/>
  <c r="B85" i="3"/>
  <c r="A85" i="3"/>
  <c r="B84" i="3"/>
  <c r="A84" i="3"/>
  <c r="B83" i="3"/>
  <c r="A83" i="3"/>
  <c r="B82" i="3"/>
  <c r="A82" i="3"/>
  <c r="B81" i="3"/>
  <c r="A81" i="3"/>
  <c r="B80" i="3"/>
  <c r="A80" i="3"/>
  <c r="B79" i="3"/>
  <c r="A79" i="3"/>
  <c r="B78" i="3"/>
  <c r="A78" i="3"/>
  <c r="B77" i="3"/>
  <c r="A77" i="3"/>
  <c r="B76" i="3"/>
  <c r="A76" i="3"/>
  <c r="B75" i="3"/>
  <c r="A75" i="3"/>
  <c r="B74" i="3"/>
  <c r="A74" i="3"/>
  <c r="B73" i="3"/>
  <c r="A73" i="3"/>
  <c r="B72" i="3"/>
  <c r="A72" i="3"/>
  <c r="B71" i="3"/>
  <c r="A71" i="3"/>
  <c r="B70" i="3"/>
  <c r="A70" i="3"/>
  <c r="B69" i="3"/>
  <c r="A69" i="3"/>
  <c r="B68" i="3"/>
  <c r="A68" i="3"/>
  <c r="B67" i="3"/>
  <c r="A67" i="3"/>
  <c r="B66" i="3"/>
  <c r="A66" i="3"/>
  <c r="B65" i="3"/>
  <c r="A65" i="3"/>
  <c r="B64" i="3"/>
  <c r="A64" i="3"/>
  <c r="B63" i="3"/>
  <c r="A63" i="3"/>
  <c r="B62" i="3"/>
  <c r="A62" i="3"/>
  <c r="B61" i="3"/>
  <c r="A61" i="3"/>
  <c r="B60" i="3"/>
  <c r="A60" i="3"/>
  <c r="B59" i="3"/>
  <c r="A59" i="3"/>
  <c r="B58" i="3"/>
  <c r="A58" i="3"/>
  <c r="B57" i="3"/>
  <c r="A57" i="3"/>
  <c r="B56" i="3"/>
  <c r="A56" i="3"/>
  <c r="B55" i="3"/>
  <c r="A55" i="3"/>
  <c r="B54" i="3"/>
  <c r="A54" i="3"/>
  <c r="B53" i="3"/>
  <c r="A53" i="3"/>
  <c r="B52" i="3"/>
  <c r="A52" i="3"/>
  <c r="B51" i="3"/>
  <c r="A51" i="3"/>
  <c r="B50" i="3"/>
  <c r="A50" i="3"/>
  <c r="B49" i="3"/>
  <c r="A49" i="3"/>
  <c r="B48" i="3"/>
  <c r="A48" i="3"/>
  <c r="B47" i="3"/>
  <c r="A47" i="3"/>
  <c r="B46" i="3"/>
  <c r="A46" i="3"/>
  <c r="B45" i="3"/>
  <c r="A45" i="3"/>
  <c r="B44" i="3"/>
  <c r="A44" i="3"/>
  <c r="B43" i="3"/>
  <c r="A43" i="3"/>
  <c r="B42" i="3"/>
  <c r="A42" i="3"/>
  <c r="B41" i="3"/>
  <c r="A41" i="3"/>
  <c r="B40" i="3"/>
  <c r="A40" i="3"/>
  <c r="B39" i="3"/>
  <c r="A39" i="3"/>
  <c r="B38" i="3"/>
  <c r="A38" i="3"/>
  <c r="B37" i="3"/>
  <c r="A37" i="3"/>
  <c r="B36" i="3"/>
  <c r="A36" i="3"/>
  <c r="B35" i="3"/>
  <c r="A35" i="3"/>
  <c r="B34" i="3"/>
  <c r="A34" i="3"/>
  <c r="B33" i="3"/>
  <c r="A33" i="3"/>
  <c r="B32" i="3"/>
  <c r="A32" i="3"/>
  <c r="B31" i="3"/>
  <c r="A31" i="3"/>
  <c r="B30" i="3"/>
  <c r="A30" i="3"/>
  <c r="B29" i="3"/>
  <c r="A29" i="3"/>
  <c r="B28" i="3"/>
  <c r="A28" i="3"/>
  <c r="B27" i="3"/>
  <c r="A27" i="3"/>
  <c r="B26" i="3"/>
  <c r="A26" i="3"/>
  <c r="B25" i="3"/>
  <c r="A25" i="3"/>
  <c r="B24" i="3"/>
  <c r="A24" i="3"/>
  <c r="B23" i="3"/>
  <c r="A23" i="3"/>
  <c r="B22" i="3"/>
  <c r="A22" i="3"/>
  <c r="B21" i="3"/>
  <c r="A21" i="3"/>
  <c r="B20" i="3"/>
  <c r="A20" i="3"/>
  <c r="B19" i="3"/>
  <c r="A19" i="3"/>
  <c r="B18" i="3"/>
  <c r="A18" i="3"/>
  <c r="B17" i="3"/>
  <c r="A17" i="3"/>
  <c r="B16" i="3"/>
  <c r="A16" i="3"/>
  <c r="B15" i="3"/>
  <c r="A15" i="3"/>
  <c r="B14" i="3"/>
  <c r="A14" i="3"/>
  <c r="B13" i="3"/>
  <c r="A13" i="3"/>
  <c r="B12" i="3"/>
  <c r="A12" i="3"/>
  <c r="B11" i="3"/>
  <c r="A11" i="3"/>
  <c r="B10" i="3"/>
  <c r="A10" i="3"/>
  <c r="B9" i="3"/>
  <c r="A9" i="3"/>
  <c r="B8" i="3"/>
  <c r="A8" i="3"/>
  <c r="B7" i="3"/>
  <c r="A7" i="3"/>
  <c r="B6" i="3"/>
  <c r="A6" i="3"/>
  <c r="B5" i="3"/>
  <c r="A5" i="3"/>
  <c r="B4" i="3"/>
  <c r="A4" i="3"/>
  <c r="B3" i="3"/>
  <c r="A3" i="3"/>
  <c r="E4895" i="2"/>
  <c r="D4895" i="2"/>
  <c r="C4895" i="2"/>
  <c r="A4895" i="2"/>
  <c r="E4894" i="2"/>
  <c r="D4894" i="2"/>
  <c r="C4894" i="2"/>
  <c r="A4894" i="2"/>
  <c r="E4893" i="2"/>
  <c r="D4893" i="2"/>
  <c r="C4893" i="2"/>
  <c r="A4893" i="2"/>
  <c r="E4892" i="2"/>
  <c r="D4892" i="2"/>
  <c r="C4892" i="2"/>
  <c r="A4892" i="2"/>
  <c r="E4891" i="2"/>
  <c r="D4891" i="2"/>
  <c r="C4891" i="2"/>
  <c r="A4891" i="2"/>
  <c r="E4890" i="2"/>
  <c r="D4890" i="2"/>
  <c r="C4890" i="2"/>
  <c r="A4890" i="2"/>
  <c r="E4889" i="2"/>
  <c r="D4889" i="2"/>
  <c r="C4889" i="2"/>
  <c r="A4889" i="2"/>
  <c r="E4888" i="2"/>
  <c r="D4888" i="2"/>
  <c r="C4888" i="2"/>
  <c r="A4888" i="2"/>
  <c r="E4887" i="2"/>
  <c r="D4887" i="2"/>
  <c r="C4887" i="2"/>
  <c r="A4887" i="2"/>
  <c r="E4886" i="2"/>
  <c r="D4886" i="2"/>
  <c r="C4886" i="2"/>
  <c r="A4886" i="2"/>
  <c r="E4885" i="2"/>
  <c r="D4885" i="2"/>
  <c r="C4885" i="2"/>
  <c r="A4885" i="2"/>
  <c r="E4884" i="2"/>
  <c r="D4884" i="2"/>
  <c r="C4884" i="2"/>
  <c r="A4884" i="2"/>
  <c r="E4883" i="2"/>
  <c r="D4883" i="2"/>
  <c r="C4883" i="2"/>
  <c r="A4883" i="2"/>
  <c r="E4882" i="2"/>
  <c r="D4882" i="2"/>
  <c r="C4882" i="2"/>
  <c r="A4882" i="2"/>
  <c r="E4881" i="2"/>
  <c r="D4881" i="2"/>
  <c r="C4881" i="2"/>
  <c r="A4881" i="2"/>
  <c r="E4880" i="2"/>
  <c r="D4880" i="2"/>
  <c r="C4880" i="2"/>
  <c r="A4880" i="2"/>
  <c r="E4879" i="2"/>
  <c r="D4879" i="2"/>
  <c r="C4879" i="2"/>
  <c r="A4879" i="2"/>
  <c r="E4878" i="2"/>
  <c r="D4878" i="2"/>
  <c r="C4878" i="2"/>
  <c r="A4878" i="2"/>
  <c r="E4877" i="2"/>
  <c r="D4877" i="2"/>
  <c r="C4877" i="2"/>
  <c r="A4877" i="2"/>
  <c r="E4876" i="2"/>
  <c r="D4876" i="2"/>
  <c r="C4876" i="2"/>
  <c r="A4876" i="2"/>
  <c r="E4875" i="2"/>
  <c r="D4875" i="2"/>
  <c r="C4875" i="2"/>
  <c r="A4875" i="2"/>
  <c r="E4874" i="2"/>
  <c r="D4874" i="2"/>
  <c r="C4874" i="2"/>
  <c r="A4874" i="2"/>
  <c r="E4873" i="2"/>
  <c r="D4873" i="2"/>
  <c r="C4873" i="2"/>
  <c r="A4873" i="2"/>
  <c r="E4872" i="2"/>
  <c r="D4872" i="2"/>
  <c r="C4872" i="2"/>
  <c r="A4872" i="2"/>
  <c r="E4871" i="2"/>
  <c r="D4871" i="2"/>
  <c r="C4871" i="2"/>
  <c r="A4871" i="2"/>
  <c r="E4870" i="2"/>
  <c r="D4870" i="2"/>
  <c r="C4870" i="2"/>
  <c r="A4870" i="2"/>
  <c r="E4869" i="2"/>
  <c r="D4869" i="2"/>
  <c r="C4869" i="2"/>
  <c r="A4869" i="2"/>
  <c r="E4868" i="2"/>
  <c r="D4868" i="2"/>
  <c r="C4868" i="2"/>
  <c r="A4868" i="2"/>
  <c r="E4867" i="2"/>
  <c r="D4867" i="2"/>
  <c r="C4867" i="2"/>
  <c r="A4867" i="2"/>
  <c r="E4866" i="2"/>
  <c r="D4866" i="2"/>
  <c r="C4866" i="2"/>
  <c r="A4866" i="2"/>
  <c r="E4865" i="2"/>
  <c r="D4865" i="2"/>
  <c r="C4865" i="2"/>
  <c r="A4865" i="2"/>
  <c r="E4864" i="2"/>
  <c r="D4864" i="2"/>
  <c r="C4864" i="2"/>
  <c r="A4864" i="2"/>
  <c r="E4863" i="2"/>
  <c r="D4863" i="2"/>
  <c r="C4863" i="2"/>
  <c r="A4863" i="2"/>
  <c r="E4862" i="2"/>
  <c r="D4862" i="2"/>
  <c r="C4862" i="2"/>
  <c r="A4862" i="2"/>
  <c r="E4861" i="2"/>
  <c r="D4861" i="2"/>
  <c r="C4861" i="2"/>
  <c r="A4861" i="2"/>
  <c r="E4860" i="2"/>
  <c r="D4860" i="2"/>
  <c r="C4860" i="2"/>
  <c r="A4860" i="2"/>
  <c r="E4859" i="2"/>
  <c r="D4859" i="2"/>
  <c r="C4859" i="2"/>
  <c r="A4859" i="2"/>
  <c r="E4858" i="2"/>
  <c r="D4858" i="2"/>
  <c r="C4858" i="2"/>
  <c r="A4858" i="2"/>
  <c r="E4857" i="2"/>
  <c r="D4857" i="2"/>
  <c r="C4857" i="2"/>
  <c r="A4857" i="2"/>
  <c r="E4856" i="2"/>
  <c r="D4856" i="2"/>
  <c r="C4856" i="2"/>
  <c r="A4856" i="2"/>
  <c r="E4855" i="2"/>
  <c r="D4855" i="2"/>
  <c r="C4855" i="2"/>
  <c r="A4855" i="2"/>
  <c r="E4854" i="2"/>
  <c r="D4854" i="2"/>
  <c r="C4854" i="2"/>
  <c r="A4854" i="2"/>
  <c r="E4853" i="2"/>
  <c r="D4853" i="2"/>
  <c r="C4853" i="2"/>
  <c r="A4853" i="2"/>
  <c r="E4852" i="2"/>
  <c r="D4852" i="2"/>
  <c r="C4852" i="2"/>
  <c r="A4852" i="2"/>
  <c r="E4851" i="2"/>
  <c r="D4851" i="2"/>
  <c r="C4851" i="2"/>
  <c r="A4851" i="2"/>
  <c r="E4850" i="2"/>
  <c r="D4850" i="2"/>
  <c r="C4850" i="2"/>
  <c r="A4850" i="2"/>
  <c r="E4849" i="2"/>
  <c r="D4849" i="2"/>
  <c r="C4849" i="2"/>
  <c r="A4849" i="2"/>
  <c r="E4848" i="2"/>
  <c r="D4848" i="2"/>
  <c r="C4848" i="2"/>
  <c r="A4848" i="2"/>
  <c r="E4847" i="2"/>
  <c r="D4847" i="2"/>
  <c r="C4847" i="2"/>
  <c r="A4847" i="2"/>
  <c r="E4846" i="2"/>
  <c r="D4846" i="2"/>
  <c r="C4846" i="2"/>
  <c r="A4846" i="2"/>
  <c r="E4845" i="2"/>
  <c r="D4845" i="2"/>
  <c r="C4845" i="2"/>
  <c r="A4845" i="2"/>
  <c r="E4844" i="2"/>
  <c r="D4844" i="2"/>
  <c r="C4844" i="2"/>
  <c r="A4844" i="2"/>
  <c r="E4843" i="2"/>
  <c r="D4843" i="2"/>
  <c r="C4843" i="2"/>
  <c r="A4843" i="2"/>
  <c r="E4842" i="2"/>
  <c r="D4842" i="2"/>
  <c r="C4842" i="2"/>
  <c r="A4842" i="2"/>
  <c r="E4841" i="2"/>
  <c r="D4841" i="2"/>
  <c r="C4841" i="2"/>
  <c r="A4841" i="2"/>
  <c r="E4840" i="2"/>
  <c r="D4840" i="2"/>
  <c r="C4840" i="2"/>
  <c r="A4840" i="2"/>
  <c r="E4839" i="2"/>
  <c r="D4839" i="2"/>
  <c r="C4839" i="2"/>
  <c r="A4839" i="2"/>
  <c r="E4838" i="2"/>
  <c r="D4838" i="2"/>
  <c r="C4838" i="2"/>
  <c r="A4838" i="2"/>
  <c r="E4837" i="2"/>
  <c r="D4837" i="2"/>
  <c r="C4837" i="2"/>
  <c r="A4837" i="2"/>
  <c r="E4836" i="2"/>
  <c r="D4836" i="2"/>
  <c r="C4836" i="2"/>
  <c r="A4836" i="2"/>
  <c r="E4835" i="2"/>
  <c r="D4835" i="2"/>
  <c r="C4835" i="2"/>
  <c r="A4835" i="2"/>
  <c r="E4834" i="2"/>
  <c r="D4834" i="2"/>
  <c r="C4834" i="2"/>
  <c r="A4834" i="2"/>
  <c r="E4833" i="2"/>
  <c r="D4833" i="2"/>
  <c r="C4833" i="2"/>
  <c r="A4833" i="2"/>
  <c r="E4832" i="2"/>
  <c r="D4832" i="2"/>
  <c r="C4832" i="2"/>
  <c r="A4832" i="2"/>
  <c r="E4831" i="2"/>
  <c r="D4831" i="2"/>
  <c r="C4831" i="2"/>
  <c r="A4831" i="2"/>
  <c r="E4830" i="2"/>
  <c r="D4830" i="2"/>
  <c r="C4830" i="2"/>
  <c r="A4830" i="2"/>
  <c r="E4829" i="2"/>
  <c r="D4829" i="2"/>
  <c r="C4829" i="2"/>
  <c r="A4829" i="2"/>
  <c r="E4828" i="2"/>
  <c r="D4828" i="2"/>
  <c r="C4828" i="2"/>
  <c r="A4828" i="2"/>
  <c r="E4827" i="2"/>
  <c r="D4827" i="2"/>
  <c r="C4827" i="2"/>
  <c r="A4827" i="2"/>
  <c r="E4826" i="2"/>
  <c r="D4826" i="2"/>
  <c r="C4826" i="2"/>
  <c r="A4826" i="2"/>
  <c r="E4825" i="2"/>
  <c r="D4825" i="2"/>
  <c r="C4825" i="2"/>
  <c r="A4825" i="2"/>
  <c r="E4824" i="2"/>
  <c r="D4824" i="2"/>
  <c r="C4824" i="2"/>
  <c r="A4824" i="2"/>
  <c r="E4823" i="2"/>
  <c r="D4823" i="2"/>
  <c r="C4823" i="2"/>
  <c r="A4823" i="2"/>
  <c r="E4822" i="2"/>
  <c r="D4822" i="2"/>
  <c r="C4822" i="2"/>
  <c r="A4822" i="2"/>
  <c r="E4821" i="2"/>
  <c r="D4821" i="2"/>
  <c r="C4821" i="2"/>
  <c r="A4821" i="2"/>
  <c r="E4820" i="2"/>
  <c r="D4820" i="2"/>
  <c r="C4820" i="2"/>
  <c r="A4820" i="2"/>
  <c r="E4819" i="2"/>
  <c r="D4819" i="2"/>
  <c r="C4819" i="2"/>
  <c r="A4819" i="2"/>
  <c r="E4818" i="2"/>
  <c r="D4818" i="2"/>
  <c r="C4818" i="2"/>
  <c r="A4818" i="2"/>
  <c r="E4817" i="2"/>
  <c r="D4817" i="2"/>
  <c r="C4817" i="2"/>
  <c r="A4817" i="2"/>
  <c r="E4816" i="2"/>
  <c r="D4816" i="2"/>
  <c r="C4816" i="2"/>
  <c r="A4816" i="2"/>
  <c r="E4815" i="2"/>
  <c r="D4815" i="2"/>
  <c r="C4815" i="2"/>
  <c r="A4815" i="2"/>
  <c r="E4814" i="2"/>
  <c r="D4814" i="2"/>
  <c r="C4814" i="2"/>
  <c r="A4814" i="2"/>
  <c r="E4813" i="2"/>
  <c r="D4813" i="2"/>
  <c r="C4813" i="2"/>
  <c r="A4813" i="2"/>
  <c r="E4812" i="2"/>
  <c r="D4812" i="2"/>
  <c r="C4812" i="2"/>
  <c r="A4812" i="2"/>
  <c r="E4811" i="2"/>
  <c r="D4811" i="2"/>
  <c r="C4811" i="2"/>
  <c r="A4811" i="2"/>
  <c r="E4810" i="2"/>
  <c r="D4810" i="2"/>
  <c r="C4810" i="2"/>
  <c r="A4810" i="2"/>
  <c r="E4809" i="2"/>
  <c r="D4809" i="2"/>
  <c r="C4809" i="2"/>
  <c r="A4809" i="2"/>
  <c r="E4808" i="2"/>
  <c r="D4808" i="2"/>
  <c r="C4808" i="2"/>
  <c r="A4808" i="2"/>
  <c r="E4807" i="2"/>
  <c r="D4807" i="2"/>
  <c r="C4807" i="2"/>
  <c r="A4807" i="2"/>
  <c r="E4806" i="2"/>
  <c r="D4806" i="2"/>
  <c r="C4806" i="2"/>
  <c r="A4806" i="2"/>
  <c r="E4805" i="2"/>
  <c r="D4805" i="2"/>
  <c r="C4805" i="2"/>
  <c r="A4805" i="2"/>
  <c r="E4804" i="2"/>
  <c r="D4804" i="2"/>
  <c r="C4804" i="2"/>
  <c r="A4804" i="2"/>
  <c r="E4803" i="2"/>
  <c r="D4803" i="2"/>
  <c r="C4803" i="2"/>
  <c r="A4803" i="2"/>
  <c r="E4802" i="2"/>
  <c r="D4802" i="2"/>
  <c r="C4802" i="2"/>
  <c r="A4802" i="2"/>
  <c r="E4801" i="2"/>
  <c r="D4801" i="2"/>
  <c r="C4801" i="2"/>
  <c r="A4801" i="2"/>
  <c r="E4800" i="2"/>
  <c r="D4800" i="2"/>
  <c r="C4800" i="2"/>
  <c r="A4800" i="2"/>
  <c r="E4799" i="2"/>
  <c r="D4799" i="2"/>
  <c r="C4799" i="2"/>
  <c r="A4799" i="2"/>
  <c r="E4798" i="2"/>
  <c r="D4798" i="2"/>
  <c r="C4798" i="2"/>
  <c r="A4798" i="2"/>
  <c r="E4797" i="2"/>
  <c r="D4797" i="2"/>
  <c r="C4797" i="2"/>
  <c r="A4797" i="2"/>
  <c r="E4796" i="2"/>
  <c r="D4796" i="2"/>
  <c r="C4796" i="2"/>
  <c r="A4796" i="2"/>
  <c r="E4795" i="2"/>
  <c r="D4795" i="2"/>
  <c r="C4795" i="2"/>
  <c r="A4795" i="2"/>
  <c r="E4794" i="2"/>
  <c r="D4794" i="2"/>
  <c r="C4794" i="2"/>
  <c r="A4794" i="2"/>
  <c r="E4793" i="2"/>
  <c r="D4793" i="2"/>
  <c r="C4793" i="2"/>
  <c r="A4793" i="2"/>
  <c r="E4792" i="2"/>
  <c r="D4792" i="2"/>
  <c r="C4792" i="2"/>
  <c r="A4792" i="2"/>
  <c r="E4791" i="2"/>
  <c r="D4791" i="2"/>
  <c r="C4791" i="2"/>
  <c r="A4791" i="2"/>
  <c r="E4790" i="2"/>
  <c r="D4790" i="2"/>
  <c r="C4790" i="2"/>
  <c r="A4790" i="2"/>
  <c r="E4789" i="2"/>
  <c r="D4789" i="2"/>
  <c r="C4789" i="2"/>
  <c r="A4789" i="2"/>
  <c r="E4788" i="2"/>
  <c r="D4788" i="2"/>
  <c r="C4788" i="2"/>
  <c r="A4788" i="2"/>
  <c r="E4787" i="2"/>
  <c r="D4787" i="2"/>
  <c r="C4787" i="2"/>
  <c r="A4787" i="2"/>
  <c r="E4786" i="2"/>
  <c r="D4786" i="2"/>
  <c r="C4786" i="2"/>
  <c r="A4786" i="2"/>
  <c r="E4785" i="2"/>
  <c r="D4785" i="2"/>
  <c r="C4785" i="2"/>
  <c r="A4785" i="2"/>
  <c r="E4784" i="2"/>
  <c r="D4784" i="2"/>
  <c r="C4784" i="2"/>
  <c r="A4784" i="2"/>
  <c r="E4783" i="2"/>
  <c r="D4783" i="2"/>
  <c r="C4783" i="2"/>
  <c r="A4783" i="2"/>
  <c r="E4782" i="2"/>
  <c r="D4782" i="2"/>
  <c r="C4782" i="2"/>
  <c r="A4782" i="2"/>
  <c r="E4781" i="2"/>
  <c r="D4781" i="2"/>
  <c r="C4781" i="2"/>
  <c r="A4781" i="2"/>
  <c r="E4780" i="2"/>
  <c r="D4780" i="2"/>
  <c r="C4780" i="2"/>
  <c r="A4780" i="2"/>
  <c r="E4779" i="2"/>
  <c r="D4779" i="2"/>
  <c r="C4779" i="2"/>
  <c r="A4779" i="2"/>
  <c r="E4778" i="2"/>
  <c r="D4778" i="2"/>
  <c r="C4778" i="2"/>
  <c r="A4778" i="2"/>
  <c r="E4777" i="2"/>
  <c r="D4777" i="2"/>
  <c r="C4777" i="2"/>
  <c r="A4777" i="2"/>
  <c r="E4776" i="2"/>
  <c r="D4776" i="2"/>
  <c r="C4776" i="2"/>
  <c r="A4776" i="2"/>
  <c r="E4775" i="2"/>
  <c r="D4775" i="2"/>
  <c r="C4775" i="2"/>
  <c r="A4775" i="2"/>
  <c r="E4774" i="2"/>
  <c r="D4774" i="2"/>
  <c r="C4774" i="2"/>
  <c r="A4774" i="2"/>
  <c r="E4773" i="2"/>
  <c r="D4773" i="2"/>
  <c r="C4773" i="2"/>
  <c r="A4773" i="2"/>
  <c r="E4772" i="2"/>
  <c r="D4772" i="2"/>
  <c r="C4772" i="2"/>
  <c r="A4772" i="2"/>
  <c r="E4771" i="2"/>
  <c r="D4771" i="2"/>
  <c r="C4771" i="2"/>
  <c r="A4771" i="2"/>
  <c r="E4770" i="2"/>
  <c r="D4770" i="2"/>
  <c r="C4770" i="2"/>
  <c r="A4770" i="2"/>
  <c r="E4769" i="2"/>
  <c r="D4769" i="2"/>
  <c r="C4769" i="2"/>
  <c r="A4769" i="2"/>
  <c r="E4768" i="2"/>
  <c r="D4768" i="2"/>
  <c r="C4768" i="2"/>
  <c r="A4768" i="2"/>
  <c r="E4767" i="2"/>
  <c r="D4767" i="2"/>
  <c r="C4767" i="2"/>
  <c r="A4767" i="2"/>
  <c r="E4766" i="2"/>
  <c r="D4766" i="2"/>
  <c r="C4766" i="2"/>
  <c r="A4766" i="2"/>
  <c r="E4765" i="2"/>
  <c r="D4765" i="2"/>
  <c r="C4765" i="2"/>
  <c r="A4765" i="2"/>
  <c r="E4764" i="2"/>
  <c r="D4764" i="2"/>
  <c r="C4764" i="2"/>
  <c r="A4764" i="2"/>
  <c r="E4763" i="2"/>
  <c r="D4763" i="2"/>
  <c r="C4763" i="2"/>
  <c r="A4763" i="2"/>
  <c r="E4762" i="2"/>
  <c r="D4762" i="2"/>
  <c r="C4762" i="2"/>
  <c r="A4762" i="2"/>
  <c r="E4761" i="2"/>
  <c r="D4761" i="2"/>
  <c r="C4761" i="2"/>
  <c r="A4761" i="2"/>
  <c r="E4760" i="2"/>
  <c r="D4760" i="2"/>
  <c r="C4760" i="2"/>
  <c r="A4760" i="2"/>
  <c r="E4759" i="2"/>
  <c r="D4759" i="2"/>
  <c r="C4759" i="2"/>
  <c r="A4759" i="2"/>
  <c r="E4758" i="2"/>
  <c r="D4758" i="2"/>
  <c r="C4758" i="2"/>
  <c r="A4758" i="2"/>
  <c r="E4757" i="2"/>
  <c r="D4757" i="2"/>
  <c r="C4757" i="2"/>
  <c r="A4757" i="2"/>
  <c r="E4756" i="2"/>
  <c r="D4756" i="2"/>
  <c r="C4756" i="2"/>
  <c r="A4756" i="2"/>
  <c r="E4755" i="2"/>
  <c r="D4755" i="2"/>
  <c r="C4755" i="2"/>
  <c r="A4755" i="2"/>
  <c r="E4754" i="2"/>
  <c r="D4754" i="2"/>
  <c r="C4754" i="2"/>
  <c r="A4754" i="2"/>
  <c r="E4753" i="2"/>
  <c r="D4753" i="2"/>
  <c r="C4753" i="2"/>
  <c r="A4753" i="2"/>
  <c r="E4752" i="2"/>
  <c r="D4752" i="2"/>
  <c r="C4752" i="2"/>
  <c r="A4752" i="2"/>
  <c r="E4751" i="2"/>
  <c r="D4751" i="2"/>
  <c r="C4751" i="2"/>
  <c r="A4751" i="2"/>
  <c r="E4750" i="2"/>
  <c r="D4750" i="2"/>
  <c r="C4750" i="2"/>
  <c r="A4750" i="2"/>
  <c r="E4749" i="2"/>
  <c r="D4749" i="2"/>
  <c r="C4749" i="2"/>
  <c r="A4749" i="2"/>
  <c r="E4748" i="2"/>
  <c r="D4748" i="2"/>
  <c r="C4748" i="2"/>
  <c r="A4748" i="2"/>
  <c r="E4747" i="2"/>
  <c r="D4747" i="2"/>
  <c r="C4747" i="2"/>
  <c r="A4747" i="2"/>
  <c r="E4746" i="2"/>
  <c r="D4746" i="2"/>
  <c r="C4746" i="2"/>
  <c r="A4746" i="2"/>
  <c r="E4745" i="2"/>
  <c r="D4745" i="2"/>
  <c r="C4745" i="2"/>
  <c r="A4745" i="2"/>
  <c r="E4744" i="2"/>
  <c r="D4744" i="2"/>
  <c r="C4744" i="2"/>
  <c r="A4744" i="2"/>
  <c r="E4743" i="2"/>
  <c r="D4743" i="2"/>
  <c r="C4743" i="2"/>
  <c r="A4743" i="2"/>
  <c r="E4742" i="2"/>
  <c r="D4742" i="2"/>
  <c r="C4742" i="2"/>
  <c r="A4742" i="2"/>
  <c r="E4741" i="2"/>
  <c r="D4741" i="2"/>
  <c r="C4741" i="2"/>
  <c r="A4741" i="2"/>
  <c r="E4740" i="2"/>
  <c r="D4740" i="2"/>
  <c r="C4740" i="2"/>
  <c r="A4740" i="2"/>
  <c r="E4739" i="2"/>
  <c r="D4739" i="2"/>
  <c r="C4739" i="2"/>
  <c r="A4739" i="2"/>
  <c r="E4738" i="2"/>
  <c r="D4738" i="2"/>
  <c r="C4738" i="2"/>
  <c r="A4738" i="2"/>
  <c r="E4737" i="2"/>
  <c r="D4737" i="2"/>
  <c r="C4737" i="2"/>
  <c r="A4737" i="2"/>
  <c r="E4736" i="2"/>
  <c r="D4736" i="2"/>
  <c r="C4736" i="2"/>
  <c r="A4736" i="2"/>
  <c r="E4735" i="2"/>
  <c r="D4735" i="2"/>
  <c r="C4735" i="2"/>
  <c r="A4735" i="2"/>
  <c r="E4734" i="2"/>
  <c r="D4734" i="2"/>
  <c r="C4734" i="2"/>
  <c r="A4734" i="2"/>
  <c r="E4733" i="2"/>
  <c r="D4733" i="2"/>
  <c r="C4733" i="2"/>
  <c r="A4733" i="2"/>
  <c r="E4732" i="2"/>
  <c r="D4732" i="2"/>
  <c r="C4732" i="2"/>
  <c r="A4732" i="2"/>
  <c r="E4731" i="2"/>
  <c r="D4731" i="2"/>
  <c r="C4731" i="2"/>
  <c r="A4731" i="2"/>
  <c r="E4730" i="2"/>
  <c r="D4730" i="2"/>
  <c r="C4730" i="2"/>
  <c r="A4730" i="2"/>
  <c r="E4729" i="2"/>
  <c r="D4729" i="2"/>
  <c r="C4729" i="2"/>
  <c r="A4729" i="2"/>
  <c r="E4728" i="2"/>
  <c r="D4728" i="2"/>
  <c r="C4728" i="2"/>
  <c r="A4728" i="2"/>
  <c r="E4727" i="2"/>
  <c r="D4727" i="2"/>
  <c r="C4727" i="2"/>
  <c r="A4727" i="2"/>
  <c r="E4726" i="2"/>
  <c r="D4726" i="2"/>
  <c r="C4726" i="2"/>
  <c r="A4726" i="2"/>
  <c r="E4725" i="2"/>
  <c r="D4725" i="2"/>
  <c r="C4725" i="2"/>
  <c r="A4725" i="2"/>
  <c r="E4724" i="2"/>
  <c r="D4724" i="2"/>
  <c r="C4724" i="2"/>
  <c r="A4724" i="2"/>
  <c r="E4723" i="2"/>
  <c r="D4723" i="2"/>
  <c r="C4723" i="2"/>
  <c r="A4723" i="2"/>
  <c r="E4722" i="2"/>
  <c r="D4722" i="2"/>
  <c r="C4722" i="2"/>
  <c r="A4722" i="2"/>
  <c r="E4721" i="2"/>
  <c r="D4721" i="2"/>
  <c r="C4721" i="2"/>
  <c r="A4721" i="2"/>
  <c r="E4720" i="2"/>
  <c r="D4720" i="2"/>
  <c r="C4720" i="2"/>
  <c r="A4720" i="2"/>
  <c r="E4719" i="2"/>
  <c r="D4719" i="2"/>
  <c r="C4719" i="2"/>
  <c r="A4719" i="2"/>
  <c r="E4718" i="2"/>
  <c r="D4718" i="2"/>
  <c r="C4718" i="2"/>
  <c r="A4718" i="2"/>
  <c r="E4717" i="2"/>
  <c r="D4717" i="2"/>
  <c r="C4717" i="2"/>
  <c r="A4717" i="2"/>
  <c r="E4716" i="2"/>
  <c r="D4716" i="2"/>
  <c r="C4716" i="2"/>
  <c r="A4716" i="2"/>
  <c r="E4715" i="2"/>
  <c r="D4715" i="2"/>
  <c r="C4715" i="2"/>
  <c r="A4715" i="2"/>
  <c r="E4714" i="2"/>
  <c r="D4714" i="2"/>
  <c r="C4714" i="2"/>
  <c r="A4714" i="2"/>
  <c r="E4713" i="2"/>
  <c r="D4713" i="2"/>
  <c r="C4713" i="2"/>
  <c r="A4713" i="2"/>
  <c r="E4712" i="2"/>
  <c r="D4712" i="2"/>
  <c r="C4712" i="2"/>
  <c r="A4712" i="2"/>
  <c r="E4711" i="2"/>
  <c r="D4711" i="2"/>
  <c r="C4711" i="2"/>
  <c r="A4711" i="2"/>
  <c r="E4710" i="2"/>
  <c r="D4710" i="2"/>
  <c r="C4710" i="2"/>
  <c r="A4710" i="2"/>
  <c r="E4709" i="2"/>
  <c r="D4709" i="2"/>
  <c r="C4709" i="2"/>
  <c r="A4709" i="2"/>
  <c r="E4708" i="2"/>
  <c r="D4708" i="2"/>
  <c r="C4708" i="2"/>
  <c r="A4708" i="2"/>
  <c r="E4707" i="2"/>
  <c r="D4707" i="2"/>
  <c r="C4707" i="2"/>
  <c r="A4707" i="2"/>
  <c r="E4706" i="2"/>
  <c r="D4706" i="2"/>
  <c r="C4706" i="2"/>
  <c r="A4706" i="2"/>
  <c r="E4705" i="2"/>
  <c r="D4705" i="2"/>
  <c r="C4705" i="2"/>
  <c r="A4705" i="2"/>
  <c r="E4704" i="2"/>
  <c r="D4704" i="2"/>
  <c r="C4704" i="2"/>
  <c r="A4704" i="2"/>
  <c r="E4703" i="2"/>
  <c r="D4703" i="2"/>
  <c r="C4703" i="2"/>
  <c r="A4703" i="2"/>
  <c r="E4702" i="2"/>
  <c r="D4702" i="2"/>
  <c r="C4702" i="2"/>
  <c r="A4702" i="2"/>
  <c r="E4701" i="2"/>
  <c r="D4701" i="2"/>
  <c r="C4701" i="2"/>
  <c r="A4701" i="2"/>
  <c r="E4700" i="2"/>
  <c r="D4700" i="2"/>
  <c r="C4700" i="2"/>
  <c r="A4700" i="2"/>
  <c r="E4699" i="2"/>
  <c r="D4699" i="2"/>
  <c r="C4699" i="2"/>
  <c r="A4699" i="2"/>
  <c r="E4698" i="2"/>
  <c r="D4698" i="2"/>
  <c r="C4698" i="2"/>
  <c r="A4698" i="2"/>
  <c r="E4697" i="2"/>
  <c r="D4697" i="2"/>
  <c r="C4697" i="2"/>
  <c r="A4697" i="2"/>
  <c r="E4696" i="2"/>
  <c r="D4696" i="2"/>
  <c r="C4696" i="2"/>
  <c r="A4696" i="2"/>
  <c r="E4695" i="2"/>
  <c r="D4695" i="2"/>
  <c r="C4695" i="2"/>
  <c r="A4695" i="2"/>
  <c r="E4694" i="2"/>
  <c r="D4694" i="2"/>
  <c r="C4694" i="2"/>
  <c r="A4694" i="2"/>
  <c r="E4693" i="2"/>
  <c r="D4693" i="2"/>
  <c r="C4693" i="2"/>
  <c r="A4693" i="2"/>
  <c r="E4692" i="2"/>
  <c r="D4692" i="2"/>
  <c r="C4692" i="2"/>
  <c r="A4692" i="2"/>
  <c r="E4691" i="2"/>
  <c r="D4691" i="2"/>
  <c r="C4691" i="2"/>
  <c r="A4691" i="2"/>
  <c r="E4690" i="2"/>
  <c r="D4690" i="2"/>
  <c r="C4690" i="2"/>
  <c r="A4690" i="2"/>
  <c r="E4689" i="2"/>
  <c r="D4689" i="2"/>
  <c r="C4689" i="2"/>
  <c r="A4689" i="2"/>
  <c r="E4688" i="2"/>
  <c r="D4688" i="2"/>
  <c r="C4688" i="2"/>
  <c r="A4688" i="2"/>
  <c r="E4687" i="2"/>
  <c r="D4687" i="2"/>
  <c r="C4687" i="2"/>
  <c r="A4687" i="2"/>
  <c r="E4686" i="2"/>
  <c r="D4686" i="2"/>
  <c r="C4686" i="2"/>
  <c r="A4686" i="2"/>
  <c r="E4685" i="2"/>
  <c r="D4685" i="2"/>
  <c r="C4685" i="2"/>
  <c r="A4685" i="2"/>
  <c r="E4684" i="2"/>
  <c r="D4684" i="2"/>
  <c r="C4684" i="2"/>
  <c r="A4684" i="2"/>
  <c r="E4683" i="2"/>
  <c r="D4683" i="2"/>
  <c r="C4683" i="2"/>
  <c r="A4683" i="2"/>
  <c r="E4682" i="2"/>
  <c r="D4682" i="2"/>
  <c r="C4682" i="2"/>
  <c r="A4682" i="2"/>
  <c r="E4681" i="2"/>
  <c r="D4681" i="2"/>
  <c r="C4681" i="2"/>
  <c r="A4681" i="2"/>
  <c r="E4680" i="2"/>
  <c r="D4680" i="2"/>
  <c r="C4680" i="2"/>
  <c r="A4680" i="2"/>
  <c r="E4679" i="2"/>
  <c r="D4679" i="2"/>
  <c r="C4679" i="2"/>
  <c r="A4679" i="2"/>
  <c r="E4678" i="2"/>
  <c r="D4678" i="2"/>
  <c r="C4678" i="2"/>
  <c r="A4678" i="2"/>
  <c r="E4677" i="2"/>
  <c r="D4677" i="2"/>
  <c r="C4677" i="2"/>
  <c r="A4677" i="2"/>
  <c r="E4676" i="2"/>
  <c r="D4676" i="2"/>
  <c r="C4676" i="2"/>
  <c r="A4676" i="2"/>
  <c r="E4675" i="2"/>
  <c r="D4675" i="2"/>
  <c r="C4675" i="2"/>
  <c r="A4675" i="2"/>
  <c r="E4674" i="2"/>
  <c r="D4674" i="2"/>
  <c r="C4674" i="2"/>
  <c r="A4674" i="2"/>
  <c r="E4673" i="2"/>
  <c r="D4673" i="2"/>
  <c r="C4673" i="2"/>
  <c r="A4673" i="2"/>
  <c r="E4672" i="2"/>
  <c r="D4672" i="2"/>
  <c r="C4672" i="2"/>
  <c r="A4672" i="2"/>
  <c r="E4671" i="2"/>
  <c r="D4671" i="2"/>
  <c r="C4671" i="2"/>
  <c r="A4671" i="2"/>
  <c r="E4670" i="2"/>
  <c r="D4670" i="2"/>
  <c r="C4670" i="2"/>
  <c r="A4670" i="2"/>
  <c r="E4669" i="2"/>
  <c r="D4669" i="2"/>
  <c r="C4669" i="2"/>
  <c r="A4669" i="2"/>
  <c r="E4668" i="2"/>
  <c r="D4668" i="2"/>
  <c r="C4668" i="2"/>
  <c r="A4668" i="2"/>
  <c r="E4667" i="2"/>
  <c r="D4667" i="2"/>
  <c r="C4667" i="2"/>
  <c r="A4667" i="2"/>
  <c r="E4666" i="2"/>
  <c r="D4666" i="2"/>
  <c r="C4666" i="2"/>
  <c r="A4666" i="2"/>
  <c r="E4665" i="2"/>
  <c r="D4665" i="2"/>
  <c r="C4665" i="2"/>
  <c r="A4665" i="2"/>
  <c r="E4664" i="2"/>
  <c r="D4664" i="2"/>
  <c r="C4664" i="2"/>
  <c r="A4664" i="2"/>
  <c r="E4663" i="2"/>
  <c r="D4663" i="2"/>
  <c r="C4663" i="2"/>
  <c r="A4663" i="2"/>
  <c r="E4662" i="2"/>
  <c r="D4662" i="2"/>
  <c r="C4662" i="2"/>
  <c r="A4662" i="2"/>
  <c r="E4661" i="2"/>
  <c r="D4661" i="2"/>
  <c r="C4661" i="2"/>
  <c r="A4661" i="2"/>
  <c r="E4660" i="2"/>
  <c r="D4660" i="2"/>
  <c r="C4660" i="2"/>
  <c r="A4660" i="2"/>
  <c r="E4659" i="2"/>
  <c r="D4659" i="2"/>
  <c r="C4659" i="2"/>
  <c r="A4659" i="2"/>
  <c r="E4658" i="2"/>
  <c r="D4658" i="2"/>
  <c r="C4658" i="2"/>
  <c r="A4658" i="2"/>
  <c r="E4657" i="2"/>
  <c r="D4657" i="2"/>
  <c r="C4657" i="2"/>
  <c r="A4657" i="2"/>
  <c r="E4656" i="2"/>
  <c r="D4656" i="2"/>
  <c r="C4656" i="2"/>
  <c r="A4656" i="2"/>
  <c r="E4655" i="2"/>
  <c r="D4655" i="2"/>
  <c r="C4655" i="2"/>
  <c r="A4655" i="2"/>
  <c r="E4654" i="2"/>
  <c r="D4654" i="2"/>
  <c r="C4654" i="2"/>
  <c r="A4654" i="2"/>
  <c r="E4653" i="2"/>
  <c r="D4653" i="2"/>
  <c r="C4653" i="2"/>
  <c r="A4653" i="2"/>
  <c r="E4652" i="2"/>
  <c r="D4652" i="2"/>
  <c r="C4652" i="2"/>
  <c r="A4652" i="2"/>
  <c r="E4651" i="2"/>
  <c r="D4651" i="2"/>
  <c r="C4651" i="2"/>
  <c r="A4651" i="2"/>
  <c r="E4650" i="2"/>
  <c r="D4650" i="2"/>
  <c r="C4650" i="2"/>
  <c r="A4650" i="2"/>
  <c r="E4649" i="2"/>
  <c r="D4649" i="2"/>
  <c r="C4649" i="2"/>
  <c r="A4649" i="2"/>
  <c r="E4648" i="2"/>
  <c r="D4648" i="2"/>
  <c r="C4648" i="2"/>
  <c r="A4648" i="2"/>
  <c r="E4647" i="2"/>
  <c r="D4647" i="2"/>
  <c r="C4647" i="2"/>
  <c r="A4647" i="2"/>
  <c r="E4646" i="2"/>
  <c r="D4646" i="2"/>
  <c r="C4646" i="2"/>
  <c r="A4646" i="2"/>
  <c r="E4645" i="2"/>
  <c r="D4645" i="2"/>
  <c r="C4645" i="2"/>
  <c r="A4645" i="2"/>
  <c r="E4644" i="2"/>
  <c r="D4644" i="2"/>
  <c r="C4644" i="2"/>
  <c r="A4644" i="2"/>
  <c r="E4643" i="2"/>
  <c r="D4643" i="2"/>
  <c r="C4643" i="2"/>
  <c r="A4643" i="2"/>
  <c r="E4642" i="2"/>
  <c r="D4642" i="2"/>
  <c r="C4642" i="2"/>
  <c r="A4642" i="2"/>
  <c r="E4641" i="2"/>
  <c r="D4641" i="2"/>
  <c r="C4641" i="2"/>
  <c r="A4641" i="2"/>
  <c r="E4640" i="2"/>
  <c r="D4640" i="2"/>
  <c r="C4640" i="2"/>
  <c r="A4640" i="2"/>
  <c r="E4639" i="2"/>
  <c r="D4639" i="2"/>
  <c r="C4639" i="2"/>
  <c r="A4639" i="2"/>
  <c r="E4638" i="2"/>
  <c r="D4638" i="2"/>
  <c r="C4638" i="2"/>
  <c r="A4638" i="2"/>
  <c r="E4637" i="2"/>
  <c r="D4637" i="2"/>
  <c r="C4637" i="2"/>
  <c r="A4637" i="2"/>
  <c r="E4636" i="2"/>
  <c r="D4636" i="2"/>
  <c r="C4636" i="2"/>
  <c r="A4636" i="2"/>
  <c r="E4635" i="2"/>
  <c r="D4635" i="2"/>
  <c r="C4635" i="2"/>
  <c r="A4635" i="2"/>
  <c r="E4634" i="2"/>
  <c r="D4634" i="2"/>
  <c r="C4634" i="2"/>
  <c r="A4634" i="2"/>
  <c r="E4633" i="2"/>
  <c r="D4633" i="2"/>
  <c r="C4633" i="2"/>
  <c r="A4633" i="2"/>
  <c r="E4632" i="2"/>
  <c r="D4632" i="2"/>
  <c r="C4632" i="2"/>
  <c r="A4632" i="2"/>
  <c r="E4631" i="2"/>
  <c r="D4631" i="2"/>
  <c r="C4631" i="2"/>
  <c r="A4631" i="2"/>
  <c r="E4630" i="2"/>
  <c r="D4630" i="2"/>
  <c r="C4630" i="2"/>
  <c r="A4630" i="2"/>
  <c r="E4629" i="2"/>
  <c r="D4629" i="2"/>
  <c r="C4629" i="2"/>
  <c r="A4629" i="2"/>
  <c r="E4628" i="2"/>
  <c r="D4628" i="2"/>
  <c r="C4628" i="2"/>
  <c r="A4628" i="2"/>
  <c r="E4627" i="2"/>
  <c r="D4627" i="2"/>
  <c r="C4627" i="2"/>
  <c r="A4627" i="2"/>
  <c r="E4626" i="2"/>
  <c r="D4626" i="2"/>
  <c r="C4626" i="2"/>
  <c r="A4626" i="2"/>
  <c r="E4625" i="2"/>
  <c r="D4625" i="2"/>
  <c r="C4625" i="2"/>
  <c r="A4625" i="2"/>
  <c r="E4624" i="2"/>
  <c r="D4624" i="2"/>
  <c r="C4624" i="2"/>
  <c r="A4624" i="2"/>
  <c r="E4623" i="2"/>
  <c r="D4623" i="2"/>
  <c r="C4623" i="2"/>
  <c r="A4623" i="2"/>
  <c r="E4622" i="2"/>
  <c r="D4622" i="2"/>
  <c r="C4622" i="2"/>
  <c r="A4622" i="2"/>
  <c r="E4621" i="2"/>
  <c r="D4621" i="2"/>
  <c r="C4621" i="2"/>
  <c r="A4621" i="2"/>
  <c r="E4620" i="2"/>
  <c r="D4620" i="2"/>
  <c r="C4620" i="2"/>
  <c r="A4620" i="2"/>
  <c r="E4619" i="2"/>
  <c r="D4619" i="2"/>
  <c r="C4619" i="2"/>
  <c r="A4619" i="2"/>
  <c r="E4618" i="2"/>
  <c r="D4618" i="2"/>
  <c r="C4618" i="2"/>
  <c r="A4618" i="2"/>
  <c r="E4617" i="2"/>
  <c r="D4617" i="2"/>
  <c r="C4617" i="2"/>
  <c r="A4617" i="2"/>
  <c r="E4616" i="2"/>
  <c r="D4616" i="2"/>
  <c r="C4616" i="2"/>
  <c r="A4616" i="2"/>
  <c r="E4615" i="2"/>
  <c r="D4615" i="2"/>
  <c r="C4615" i="2"/>
  <c r="A4615" i="2"/>
  <c r="E4614" i="2"/>
  <c r="D4614" i="2"/>
  <c r="C4614" i="2"/>
  <c r="A4614" i="2"/>
  <c r="E4613" i="2"/>
  <c r="D4613" i="2"/>
  <c r="C4613" i="2"/>
  <c r="A4613" i="2"/>
  <c r="E4612" i="2"/>
  <c r="D4612" i="2"/>
  <c r="C4612" i="2"/>
  <c r="A4612" i="2"/>
  <c r="E4611" i="2"/>
  <c r="D4611" i="2"/>
  <c r="C4611" i="2"/>
  <c r="A4611" i="2"/>
  <c r="E4610" i="2"/>
  <c r="D4610" i="2"/>
  <c r="C4610" i="2"/>
  <c r="A4610" i="2"/>
  <c r="E4609" i="2"/>
  <c r="D4609" i="2"/>
  <c r="C4609" i="2"/>
  <c r="A4609" i="2"/>
  <c r="E4608" i="2"/>
  <c r="D4608" i="2"/>
  <c r="C4608" i="2"/>
  <c r="A4608" i="2"/>
  <c r="E4607" i="2"/>
  <c r="D4607" i="2"/>
  <c r="C4607" i="2"/>
  <c r="A4607" i="2"/>
  <c r="E4606" i="2"/>
  <c r="D4606" i="2"/>
  <c r="C4606" i="2"/>
  <c r="A4606" i="2"/>
  <c r="E4605" i="2"/>
  <c r="D4605" i="2"/>
  <c r="C4605" i="2"/>
  <c r="A4605" i="2"/>
  <c r="E4604" i="2"/>
  <c r="D4604" i="2"/>
  <c r="C4604" i="2"/>
  <c r="A4604" i="2"/>
  <c r="E4603" i="2"/>
  <c r="D4603" i="2"/>
  <c r="C4603" i="2"/>
  <c r="A4603" i="2"/>
  <c r="E4602" i="2"/>
  <c r="D4602" i="2"/>
  <c r="C4602" i="2"/>
  <c r="A4602" i="2"/>
  <c r="E4601" i="2"/>
  <c r="D4601" i="2"/>
  <c r="C4601" i="2"/>
  <c r="A4601" i="2"/>
  <c r="E4600" i="2"/>
  <c r="D4600" i="2"/>
  <c r="C4600" i="2"/>
  <c r="A4600" i="2"/>
  <c r="E4599" i="2"/>
  <c r="D4599" i="2"/>
  <c r="C4599" i="2"/>
  <c r="A4599" i="2"/>
  <c r="E4598" i="2"/>
  <c r="D4598" i="2"/>
  <c r="C4598" i="2"/>
  <c r="A4598" i="2"/>
  <c r="E4597" i="2"/>
  <c r="D4597" i="2"/>
  <c r="C4597" i="2"/>
  <c r="A4597" i="2"/>
  <c r="E4596" i="2"/>
  <c r="D4596" i="2"/>
  <c r="C4596" i="2"/>
  <c r="A4596" i="2"/>
  <c r="E4595" i="2"/>
  <c r="D4595" i="2"/>
  <c r="C4595" i="2"/>
  <c r="A4595" i="2"/>
  <c r="E4594" i="2"/>
  <c r="D4594" i="2"/>
  <c r="C4594" i="2"/>
  <c r="A4594" i="2"/>
  <c r="E4593" i="2"/>
  <c r="D4593" i="2"/>
  <c r="C4593" i="2"/>
  <c r="A4593" i="2"/>
  <c r="E4592" i="2"/>
  <c r="D4592" i="2"/>
  <c r="C4592" i="2"/>
  <c r="A4592" i="2"/>
  <c r="E4591" i="2"/>
  <c r="D4591" i="2"/>
  <c r="C4591" i="2"/>
  <c r="A4591" i="2"/>
  <c r="E4590" i="2"/>
  <c r="D4590" i="2"/>
  <c r="C4590" i="2"/>
  <c r="A4590" i="2"/>
  <c r="E4589" i="2"/>
  <c r="D4589" i="2"/>
  <c r="C4589" i="2"/>
  <c r="A4589" i="2"/>
  <c r="E4588" i="2"/>
  <c r="D4588" i="2"/>
  <c r="C4588" i="2"/>
  <c r="A4588" i="2"/>
  <c r="E4587" i="2"/>
  <c r="D4587" i="2"/>
  <c r="C4587" i="2"/>
  <c r="A4587" i="2"/>
  <c r="E4586" i="2"/>
  <c r="D4586" i="2"/>
  <c r="C4586" i="2"/>
  <c r="A4586" i="2"/>
  <c r="E4585" i="2"/>
  <c r="D4585" i="2"/>
  <c r="C4585" i="2"/>
  <c r="A4585" i="2"/>
  <c r="E4584" i="2"/>
  <c r="D4584" i="2"/>
  <c r="C4584" i="2"/>
  <c r="A4584" i="2"/>
  <c r="E4583" i="2"/>
  <c r="D4583" i="2"/>
  <c r="C4583" i="2"/>
  <c r="A4583" i="2"/>
  <c r="E4582" i="2"/>
  <c r="D4582" i="2"/>
  <c r="C4582" i="2"/>
  <c r="A4582" i="2"/>
  <c r="E4581" i="2"/>
  <c r="D4581" i="2"/>
  <c r="C4581" i="2"/>
  <c r="A4581" i="2"/>
  <c r="E4580" i="2"/>
  <c r="D4580" i="2"/>
  <c r="C4580" i="2"/>
  <c r="A4580" i="2"/>
  <c r="E4579" i="2"/>
  <c r="D4579" i="2"/>
  <c r="C4579" i="2"/>
  <c r="A4579" i="2"/>
  <c r="E4578" i="2"/>
  <c r="D4578" i="2"/>
  <c r="C4578" i="2"/>
  <c r="A4578" i="2"/>
  <c r="E4577" i="2"/>
  <c r="D4577" i="2"/>
  <c r="C4577" i="2"/>
  <c r="A4577" i="2"/>
  <c r="E4576" i="2"/>
  <c r="D4576" i="2"/>
  <c r="C4576" i="2"/>
  <c r="A4576" i="2"/>
  <c r="E4575" i="2"/>
  <c r="D4575" i="2"/>
  <c r="C4575" i="2"/>
  <c r="A4575" i="2"/>
  <c r="E4574" i="2"/>
  <c r="D4574" i="2"/>
  <c r="C4574" i="2"/>
  <c r="A4574" i="2"/>
  <c r="E4573" i="2"/>
  <c r="D4573" i="2"/>
  <c r="C4573" i="2"/>
  <c r="A4573" i="2"/>
  <c r="E4572" i="2"/>
  <c r="D4572" i="2"/>
  <c r="C4572" i="2"/>
  <c r="A4572" i="2"/>
  <c r="E4571" i="2"/>
  <c r="D4571" i="2"/>
  <c r="C4571" i="2"/>
  <c r="A4571" i="2"/>
  <c r="E4570" i="2"/>
  <c r="D4570" i="2"/>
  <c r="C4570" i="2"/>
  <c r="A4570" i="2"/>
  <c r="E4569" i="2"/>
  <c r="D4569" i="2"/>
  <c r="C4569" i="2"/>
  <c r="A4569" i="2"/>
  <c r="E4568" i="2"/>
  <c r="D4568" i="2"/>
  <c r="C4568" i="2"/>
  <c r="A4568" i="2"/>
  <c r="E4567" i="2"/>
  <c r="D4567" i="2"/>
  <c r="C4567" i="2"/>
  <c r="A4567" i="2"/>
  <c r="E4566" i="2"/>
  <c r="D4566" i="2"/>
  <c r="C4566" i="2"/>
  <c r="A4566" i="2"/>
  <c r="E4565" i="2"/>
  <c r="D4565" i="2"/>
  <c r="C4565" i="2"/>
  <c r="A4565" i="2"/>
  <c r="E4564" i="2"/>
  <c r="D4564" i="2"/>
  <c r="C4564" i="2"/>
  <c r="A4564" i="2"/>
  <c r="E4563" i="2"/>
  <c r="D4563" i="2"/>
  <c r="C4563" i="2"/>
  <c r="A4563" i="2"/>
  <c r="E4562" i="2"/>
  <c r="D4562" i="2"/>
  <c r="C4562" i="2"/>
  <c r="A4562" i="2"/>
  <c r="E4561" i="2"/>
  <c r="D4561" i="2"/>
  <c r="C4561" i="2"/>
  <c r="A4561" i="2"/>
  <c r="E4560" i="2"/>
  <c r="D4560" i="2"/>
  <c r="C4560" i="2"/>
  <c r="A4560" i="2"/>
  <c r="E4559" i="2"/>
  <c r="D4559" i="2"/>
  <c r="C4559" i="2"/>
  <c r="A4559" i="2"/>
  <c r="E4558" i="2"/>
  <c r="D4558" i="2"/>
  <c r="C4558" i="2"/>
  <c r="A4558" i="2"/>
  <c r="E4557" i="2"/>
  <c r="D4557" i="2"/>
  <c r="C4557" i="2"/>
  <c r="A4557" i="2"/>
  <c r="E4556" i="2"/>
  <c r="D4556" i="2"/>
  <c r="C4556" i="2"/>
  <c r="A4556" i="2"/>
  <c r="E4555" i="2"/>
  <c r="D4555" i="2"/>
  <c r="C4555" i="2"/>
  <c r="A4555" i="2"/>
  <c r="E4554" i="2"/>
  <c r="D4554" i="2"/>
  <c r="C4554" i="2"/>
  <c r="A4554" i="2"/>
  <c r="E4553" i="2"/>
  <c r="D4553" i="2"/>
  <c r="C4553" i="2"/>
  <c r="A4553" i="2"/>
  <c r="E4552" i="2"/>
  <c r="D4552" i="2"/>
  <c r="C4552" i="2"/>
  <c r="A4552" i="2"/>
  <c r="E4551" i="2"/>
  <c r="D4551" i="2"/>
  <c r="C4551" i="2"/>
  <c r="A4551" i="2"/>
  <c r="E4550" i="2"/>
  <c r="D4550" i="2"/>
  <c r="C4550" i="2"/>
  <c r="A4550" i="2"/>
  <c r="E4549" i="2"/>
  <c r="D4549" i="2"/>
  <c r="C4549" i="2"/>
  <c r="A4549" i="2"/>
  <c r="E4548" i="2"/>
  <c r="D4548" i="2"/>
  <c r="C4548" i="2"/>
  <c r="A4548" i="2"/>
  <c r="E4547" i="2"/>
  <c r="D4547" i="2"/>
  <c r="C4547" i="2"/>
  <c r="A4547" i="2"/>
  <c r="E4546" i="2"/>
  <c r="D4546" i="2"/>
  <c r="C4546" i="2"/>
  <c r="A4546" i="2"/>
  <c r="E4545" i="2"/>
  <c r="D4545" i="2"/>
  <c r="C4545" i="2"/>
  <c r="A4545" i="2"/>
  <c r="E4544" i="2"/>
  <c r="D4544" i="2"/>
  <c r="C4544" i="2"/>
  <c r="A4544" i="2"/>
  <c r="E4543" i="2"/>
  <c r="D4543" i="2"/>
  <c r="C4543" i="2"/>
  <c r="A4543" i="2"/>
  <c r="E4542" i="2"/>
  <c r="D4542" i="2"/>
  <c r="C4542" i="2"/>
  <c r="A4542" i="2"/>
  <c r="E4541" i="2"/>
  <c r="D4541" i="2"/>
  <c r="C4541" i="2"/>
  <c r="A4541" i="2"/>
  <c r="E4540" i="2"/>
  <c r="D4540" i="2"/>
  <c r="C4540" i="2"/>
  <c r="A4540" i="2"/>
  <c r="E4539" i="2"/>
  <c r="D4539" i="2"/>
  <c r="C4539" i="2"/>
  <c r="A4539" i="2"/>
  <c r="E4538" i="2"/>
  <c r="D4538" i="2"/>
  <c r="C4538" i="2"/>
  <c r="A4538" i="2"/>
  <c r="E4537" i="2"/>
  <c r="D4537" i="2"/>
  <c r="C4537" i="2"/>
  <c r="A4537" i="2"/>
  <c r="E4536" i="2"/>
  <c r="D4536" i="2"/>
  <c r="C4536" i="2"/>
  <c r="A4536" i="2"/>
  <c r="E4535" i="2"/>
  <c r="D4535" i="2"/>
  <c r="C4535" i="2"/>
  <c r="A4535" i="2"/>
  <c r="E4534" i="2"/>
  <c r="D4534" i="2"/>
  <c r="C4534" i="2"/>
  <c r="A4534" i="2"/>
  <c r="E4533" i="2"/>
  <c r="D4533" i="2"/>
  <c r="C4533" i="2"/>
  <c r="A4533" i="2"/>
  <c r="E4532" i="2"/>
  <c r="D4532" i="2"/>
  <c r="C4532" i="2"/>
  <c r="A4532" i="2"/>
  <c r="E4531" i="2"/>
  <c r="D4531" i="2"/>
  <c r="C4531" i="2"/>
  <c r="A4531" i="2"/>
  <c r="E4530" i="2"/>
  <c r="D4530" i="2"/>
  <c r="C4530" i="2"/>
  <c r="A4530" i="2"/>
  <c r="E4529" i="2"/>
  <c r="D4529" i="2"/>
  <c r="C4529" i="2"/>
  <c r="A4529" i="2"/>
  <c r="E4528" i="2"/>
  <c r="D4528" i="2"/>
  <c r="C4528" i="2"/>
  <c r="A4528" i="2"/>
  <c r="E4527" i="2"/>
  <c r="D4527" i="2"/>
  <c r="C4527" i="2"/>
  <c r="A4527" i="2"/>
  <c r="E4526" i="2"/>
  <c r="D4526" i="2"/>
  <c r="C4526" i="2"/>
  <c r="A4526" i="2"/>
  <c r="E4525" i="2"/>
  <c r="D4525" i="2"/>
  <c r="C4525" i="2"/>
  <c r="A4525" i="2"/>
  <c r="E4524" i="2"/>
  <c r="D4524" i="2"/>
  <c r="C4524" i="2"/>
  <c r="A4524" i="2"/>
  <c r="E4523" i="2"/>
  <c r="D4523" i="2"/>
  <c r="C4523" i="2"/>
  <c r="A4523" i="2"/>
  <c r="E4522" i="2"/>
  <c r="D4522" i="2"/>
  <c r="C4522" i="2"/>
  <c r="A4522" i="2"/>
  <c r="E4521" i="2"/>
  <c r="D4521" i="2"/>
  <c r="C4521" i="2"/>
  <c r="A4521" i="2"/>
  <c r="E4520" i="2"/>
  <c r="D4520" i="2"/>
  <c r="C4520" i="2"/>
  <c r="A4520" i="2"/>
  <c r="E4519" i="2"/>
  <c r="D4519" i="2"/>
  <c r="C4519" i="2"/>
  <c r="A4519" i="2"/>
  <c r="E4518" i="2"/>
  <c r="D4518" i="2"/>
  <c r="C4518" i="2"/>
  <c r="A4518" i="2"/>
  <c r="E4517" i="2"/>
  <c r="D4517" i="2"/>
  <c r="C4517" i="2"/>
  <c r="A4517" i="2"/>
  <c r="E4516" i="2"/>
  <c r="D4516" i="2"/>
  <c r="C4516" i="2"/>
  <c r="A4516" i="2"/>
  <c r="E4515" i="2"/>
  <c r="D4515" i="2"/>
  <c r="C4515" i="2"/>
  <c r="A4515" i="2"/>
  <c r="E4514" i="2"/>
  <c r="D4514" i="2"/>
  <c r="C4514" i="2"/>
  <c r="A4514" i="2"/>
  <c r="E4513" i="2"/>
  <c r="D4513" i="2"/>
  <c r="C4513" i="2"/>
  <c r="A4513" i="2"/>
  <c r="E4512" i="2"/>
  <c r="D4512" i="2"/>
  <c r="C4512" i="2"/>
  <c r="A4512" i="2"/>
  <c r="E4511" i="2"/>
  <c r="D4511" i="2"/>
  <c r="C4511" i="2"/>
  <c r="A4511" i="2"/>
  <c r="E4510" i="2"/>
  <c r="D4510" i="2"/>
  <c r="C4510" i="2"/>
  <c r="A4510" i="2"/>
  <c r="E4509" i="2"/>
  <c r="D4509" i="2"/>
  <c r="C4509" i="2"/>
  <c r="A4509" i="2"/>
  <c r="E4508" i="2"/>
  <c r="D4508" i="2"/>
  <c r="C4508" i="2"/>
  <c r="A4508" i="2"/>
  <c r="E4507" i="2"/>
  <c r="D4507" i="2"/>
  <c r="C4507" i="2"/>
  <c r="A4507" i="2"/>
  <c r="E4506" i="2"/>
  <c r="D4506" i="2"/>
  <c r="C4506" i="2"/>
  <c r="A4506" i="2"/>
  <c r="E4505" i="2"/>
  <c r="D4505" i="2"/>
  <c r="C4505" i="2"/>
  <c r="A4505" i="2"/>
  <c r="E4504" i="2"/>
  <c r="D4504" i="2"/>
  <c r="C4504" i="2"/>
  <c r="A4504" i="2"/>
  <c r="E4503" i="2"/>
  <c r="D4503" i="2"/>
  <c r="C4503" i="2"/>
  <c r="A4503" i="2"/>
  <c r="E4502" i="2"/>
  <c r="D4502" i="2"/>
  <c r="C4502" i="2"/>
  <c r="A4502" i="2"/>
  <c r="E4501" i="2"/>
  <c r="D4501" i="2"/>
  <c r="C4501" i="2"/>
  <c r="A4501" i="2"/>
  <c r="E4500" i="2"/>
  <c r="D4500" i="2"/>
  <c r="C4500" i="2"/>
  <c r="A4500" i="2"/>
  <c r="E4499" i="2"/>
  <c r="D4499" i="2"/>
  <c r="C4499" i="2"/>
  <c r="A4499" i="2"/>
  <c r="E4498" i="2"/>
  <c r="D4498" i="2"/>
  <c r="C4498" i="2"/>
  <c r="A4498" i="2"/>
  <c r="E4497" i="2"/>
  <c r="D4497" i="2"/>
  <c r="C4497" i="2"/>
  <c r="A4497" i="2"/>
  <c r="E4496" i="2"/>
  <c r="D4496" i="2"/>
  <c r="C4496" i="2"/>
  <c r="A4496" i="2"/>
  <c r="E4495" i="2"/>
  <c r="D4495" i="2"/>
  <c r="C4495" i="2"/>
  <c r="A4495" i="2"/>
  <c r="E4494" i="2"/>
  <c r="D4494" i="2"/>
  <c r="C4494" i="2"/>
  <c r="A4494" i="2"/>
  <c r="E4493" i="2"/>
  <c r="D4493" i="2"/>
  <c r="C4493" i="2"/>
  <c r="A4493" i="2"/>
  <c r="E4492" i="2"/>
  <c r="D4492" i="2"/>
  <c r="C4492" i="2"/>
  <c r="A4492" i="2"/>
  <c r="E4491" i="2"/>
  <c r="D4491" i="2"/>
  <c r="C4491" i="2"/>
  <c r="A4491" i="2"/>
  <c r="E4490" i="2"/>
  <c r="D4490" i="2"/>
  <c r="C4490" i="2"/>
  <c r="A4490" i="2"/>
  <c r="E4489" i="2"/>
  <c r="D4489" i="2"/>
  <c r="C4489" i="2"/>
  <c r="A4489" i="2"/>
  <c r="E4488" i="2"/>
  <c r="D4488" i="2"/>
  <c r="C4488" i="2"/>
  <c r="A4488" i="2"/>
  <c r="E4487" i="2"/>
  <c r="D4487" i="2"/>
  <c r="C4487" i="2"/>
  <c r="A4487" i="2"/>
  <c r="E4486" i="2"/>
  <c r="D4486" i="2"/>
  <c r="C4486" i="2"/>
  <c r="A4486" i="2"/>
  <c r="E4485" i="2"/>
  <c r="D4485" i="2"/>
  <c r="C4485" i="2"/>
  <c r="A4485" i="2"/>
  <c r="E4484" i="2"/>
  <c r="D4484" i="2"/>
  <c r="C4484" i="2"/>
  <c r="A4484" i="2"/>
  <c r="E4483" i="2"/>
  <c r="D4483" i="2"/>
  <c r="C4483" i="2"/>
  <c r="A4483" i="2"/>
  <c r="E4482" i="2"/>
  <c r="D4482" i="2"/>
  <c r="C4482" i="2"/>
  <c r="A4482" i="2"/>
  <c r="E4481" i="2"/>
  <c r="D4481" i="2"/>
  <c r="C4481" i="2"/>
  <c r="A4481" i="2"/>
  <c r="E4480" i="2"/>
  <c r="D4480" i="2"/>
  <c r="C4480" i="2"/>
  <c r="A4480" i="2"/>
  <c r="E4479" i="2"/>
  <c r="D4479" i="2"/>
  <c r="C4479" i="2"/>
  <c r="A4479" i="2"/>
  <c r="E4478" i="2"/>
  <c r="D4478" i="2"/>
  <c r="C4478" i="2"/>
  <c r="A4478" i="2"/>
  <c r="E4477" i="2"/>
  <c r="D4477" i="2"/>
  <c r="C4477" i="2"/>
  <c r="A4477" i="2"/>
  <c r="E4476" i="2"/>
  <c r="D4476" i="2"/>
  <c r="C4476" i="2"/>
  <c r="A4476" i="2"/>
  <c r="E4475" i="2"/>
  <c r="D4475" i="2"/>
  <c r="C4475" i="2"/>
  <c r="A4475" i="2"/>
  <c r="E4474" i="2"/>
  <c r="D4474" i="2"/>
  <c r="C4474" i="2"/>
  <c r="A4474" i="2"/>
  <c r="E4473" i="2"/>
  <c r="D4473" i="2"/>
  <c r="C4473" i="2"/>
  <c r="A4473" i="2"/>
  <c r="E4472" i="2"/>
  <c r="D4472" i="2"/>
  <c r="C4472" i="2"/>
  <c r="A4472" i="2"/>
  <c r="E4471" i="2"/>
  <c r="D4471" i="2"/>
  <c r="C4471" i="2"/>
  <c r="A4471" i="2"/>
  <c r="E4470" i="2"/>
  <c r="D4470" i="2"/>
  <c r="C4470" i="2"/>
  <c r="A4470" i="2"/>
  <c r="E4469" i="2"/>
  <c r="D4469" i="2"/>
  <c r="C4469" i="2"/>
  <c r="A4469" i="2"/>
  <c r="E4468" i="2"/>
  <c r="D4468" i="2"/>
  <c r="C4468" i="2"/>
  <c r="A4468" i="2"/>
  <c r="E4467" i="2"/>
  <c r="D4467" i="2"/>
  <c r="C4467" i="2"/>
  <c r="A4467" i="2"/>
  <c r="E4466" i="2"/>
  <c r="D4466" i="2"/>
  <c r="C4466" i="2"/>
  <c r="A4466" i="2"/>
  <c r="E4465" i="2"/>
  <c r="D4465" i="2"/>
  <c r="C4465" i="2"/>
  <c r="A4465" i="2"/>
  <c r="E4464" i="2"/>
  <c r="D4464" i="2"/>
  <c r="C4464" i="2"/>
  <c r="A4464" i="2"/>
  <c r="E4463" i="2"/>
  <c r="D4463" i="2"/>
  <c r="C4463" i="2"/>
  <c r="A4463" i="2"/>
  <c r="E4462" i="2"/>
  <c r="D4462" i="2"/>
  <c r="C4462" i="2"/>
  <c r="A4462" i="2"/>
  <c r="E4461" i="2"/>
  <c r="D4461" i="2"/>
  <c r="C4461" i="2"/>
  <c r="A4461" i="2"/>
  <c r="E4460" i="2"/>
  <c r="D4460" i="2"/>
  <c r="C4460" i="2"/>
  <c r="A4460" i="2"/>
  <c r="E4459" i="2"/>
  <c r="D4459" i="2"/>
  <c r="C4459" i="2"/>
  <c r="A4459" i="2"/>
  <c r="E4458" i="2"/>
  <c r="D4458" i="2"/>
  <c r="C4458" i="2"/>
  <c r="A4458" i="2"/>
  <c r="E4457" i="2"/>
  <c r="D4457" i="2"/>
  <c r="C4457" i="2"/>
  <c r="A4457" i="2"/>
  <c r="E4456" i="2"/>
  <c r="D4456" i="2"/>
  <c r="C4456" i="2"/>
  <c r="A4456" i="2"/>
  <c r="E4455" i="2"/>
  <c r="D4455" i="2"/>
  <c r="C4455" i="2"/>
  <c r="A4455" i="2"/>
  <c r="E4454" i="2"/>
  <c r="D4454" i="2"/>
  <c r="C4454" i="2"/>
  <c r="A4454" i="2"/>
  <c r="E4453" i="2"/>
  <c r="D4453" i="2"/>
  <c r="C4453" i="2"/>
  <c r="A4453" i="2"/>
  <c r="E4452" i="2"/>
  <c r="D4452" i="2"/>
  <c r="C4452" i="2"/>
  <c r="A4452" i="2"/>
  <c r="E4451" i="2"/>
  <c r="D4451" i="2"/>
  <c r="C4451" i="2"/>
  <c r="A4451" i="2"/>
  <c r="E4450" i="2"/>
  <c r="D4450" i="2"/>
  <c r="C4450" i="2"/>
  <c r="A4450" i="2"/>
  <c r="E4449" i="2"/>
  <c r="D4449" i="2"/>
  <c r="C4449" i="2"/>
  <c r="A4449" i="2"/>
  <c r="E4448" i="2"/>
  <c r="D4448" i="2"/>
  <c r="C4448" i="2"/>
  <c r="A4448" i="2"/>
  <c r="E4447" i="2"/>
  <c r="D4447" i="2"/>
  <c r="C4447" i="2"/>
  <c r="A4447" i="2"/>
  <c r="E4446" i="2"/>
  <c r="D4446" i="2"/>
  <c r="C4446" i="2"/>
  <c r="A4446" i="2"/>
  <c r="E4445" i="2"/>
  <c r="D4445" i="2"/>
  <c r="C4445" i="2"/>
  <c r="A4445" i="2"/>
  <c r="E4444" i="2"/>
  <c r="D4444" i="2"/>
  <c r="C4444" i="2"/>
  <c r="A4444" i="2"/>
  <c r="E4443" i="2"/>
  <c r="D4443" i="2"/>
  <c r="C4443" i="2"/>
  <c r="A4443" i="2"/>
  <c r="E4442" i="2"/>
  <c r="D4442" i="2"/>
  <c r="C4442" i="2"/>
  <c r="A4442" i="2"/>
  <c r="E4441" i="2"/>
  <c r="D4441" i="2"/>
  <c r="C4441" i="2"/>
  <c r="A4441" i="2"/>
  <c r="E4440" i="2"/>
  <c r="D4440" i="2"/>
  <c r="C4440" i="2"/>
  <c r="A4440" i="2"/>
  <c r="E4439" i="2"/>
  <c r="D4439" i="2"/>
  <c r="C4439" i="2"/>
  <c r="A4439" i="2"/>
  <c r="E4438" i="2"/>
  <c r="D4438" i="2"/>
  <c r="C4438" i="2"/>
  <c r="A4438" i="2"/>
  <c r="E4437" i="2"/>
  <c r="D4437" i="2"/>
  <c r="C4437" i="2"/>
  <c r="A4437" i="2"/>
  <c r="E4436" i="2"/>
  <c r="D4436" i="2"/>
  <c r="C4436" i="2"/>
  <c r="A4436" i="2"/>
  <c r="E4434" i="2"/>
  <c r="D4434" i="2"/>
  <c r="C4434" i="2"/>
  <c r="A4434" i="2"/>
  <c r="E4433" i="2"/>
  <c r="D4433" i="2"/>
  <c r="C4433" i="2"/>
  <c r="A4433" i="2"/>
  <c r="E4432" i="2"/>
  <c r="D4432" i="2"/>
  <c r="C4432" i="2"/>
  <c r="A4432" i="2"/>
  <c r="E4431" i="2"/>
  <c r="D4431" i="2"/>
  <c r="C4431" i="2"/>
  <c r="A4431" i="2"/>
  <c r="E4430" i="2"/>
  <c r="D4430" i="2"/>
  <c r="C4430" i="2"/>
  <c r="A4430" i="2"/>
  <c r="E4429" i="2"/>
  <c r="D4429" i="2"/>
  <c r="C4429" i="2"/>
  <c r="A4429" i="2"/>
  <c r="E4428" i="2"/>
  <c r="D4428" i="2"/>
  <c r="C4428" i="2"/>
  <c r="A4428" i="2"/>
  <c r="E4427" i="2"/>
  <c r="D4427" i="2"/>
  <c r="C4427" i="2"/>
  <c r="A4427" i="2"/>
  <c r="E4426" i="2"/>
  <c r="D4426" i="2"/>
  <c r="C4426" i="2"/>
  <c r="A4426" i="2"/>
  <c r="E4425" i="2"/>
  <c r="D4425" i="2"/>
  <c r="C4425" i="2"/>
  <c r="A4425" i="2"/>
  <c r="E4424" i="2"/>
  <c r="D4424" i="2"/>
  <c r="C4424" i="2"/>
  <c r="A4424" i="2"/>
  <c r="E4423" i="2"/>
  <c r="D4423" i="2"/>
  <c r="C4423" i="2"/>
  <c r="A4423" i="2"/>
  <c r="E4422" i="2"/>
  <c r="D4422" i="2"/>
  <c r="C4422" i="2"/>
  <c r="A4422" i="2"/>
  <c r="E4421" i="2"/>
  <c r="D4421" i="2"/>
  <c r="C4421" i="2"/>
  <c r="A4421" i="2"/>
  <c r="E4420" i="2"/>
  <c r="D4420" i="2"/>
  <c r="C4420" i="2"/>
  <c r="A4420" i="2"/>
  <c r="E4419" i="2"/>
  <c r="D4419" i="2"/>
  <c r="C4419" i="2"/>
  <c r="A4419" i="2"/>
  <c r="E4418" i="2"/>
  <c r="D4418" i="2"/>
  <c r="C4418" i="2"/>
  <c r="A4418" i="2"/>
  <c r="E4417" i="2"/>
  <c r="D4417" i="2"/>
  <c r="C4417" i="2"/>
  <c r="A4417" i="2"/>
  <c r="E4416" i="2"/>
  <c r="D4416" i="2"/>
  <c r="C4416" i="2"/>
  <c r="A4416" i="2"/>
  <c r="E4415" i="2"/>
  <c r="D4415" i="2"/>
  <c r="C4415" i="2"/>
  <c r="A4415" i="2"/>
  <c r="E4414" i="2"/>
  <c r="D4414" i="2"/>
  <c r="C4414" i="2"/>
  <c r="A4414" i="2"/>
  <c r="E4413" i="2"/>
  <c r="D4413" i="2"/>
  <c r="C4413" i="2"/>
  <c r="A4413" i="2"/>
  <c r="E4412" i="2"/>
  <c r="D4412" i="2"/>
  <c r="C4412" i="2"/>
  <c r="A4412" i="2"/>
  <c r="E4411" i="2"/>
  <c r="D4411" i="2"/>
  <c r="C4411" i="2"/>
  <c r="A4411" i="2"/>
  <c r="E4410" i="2"/>
  <c r="D4410" i="2"/>
  <c r="C4410" i="2"/>
  <c r="A4410" i="2"/>
  <c r="E4409" i="2"/>
  <c r="D4409" i="2"/>
  <c r="C4409" i="2"/>
  <c r="A4409" i="2"/>
  <c r="E4408" i="2"/>
  <c r="D4408" i="2"/>
  <c r="C4408" i="2"/>
  <c r="A4408" i="2"/>
  <c r="E4407" i="2"/>
  <c r="D4407" i="2"/>
  <c r="C4407" i="2"/>
  <c r="A4407" i="2"/>
  <c r="E4406" i="2"/>
  <c r="D4406" i="2"/>
  <c r="C4406" i="2"/>
  <c r="A4406" i="2"/>
  <c r="E4405" i="2"/>
  <c r="D4405" i="2"/>
  <c r="C4405" i="2"/>
  <c r="A4405" i="2"/>
  <c r="E4404" i="2"/>
  <c r="D4404" i="2"/>
  <c r="C4404" i="2"/>
  <c r="A4404" i="2"/>
  <c r="E4403" i="2"/>
  <c r="D4403" i="2"/>
  <c r="C4403" i="2"/>
  <c r="A4403" i="2"/>
  <c r="E4402" i="2"/>
  <c r="D4402" i="2"/>
  <c r="C4402" i="2"/>
  <c r="A4402" i="2"/>
  <c r="E4401" i="2"/>
  <c r="D4401" i="2"/>
  <c r="C4401" i="2"/>
  <c r="A4401" i="2"/>
  <c r="E4400" i="2"/>
  <c r="D4400" i="2"/>
  <c r="C4400" i="2"/>
  <c r="A4400" i="2"/>
  <c r="E4399" i="2"/>
  <c r="D4399" i="2"/>
  <c r="C4399" i="2"/>
  <c r="A4399" i="2"/>
  <c r="E4398" i="2"/>
  <c r="D4398" i="2"/>
  <c r="C4398" i="2"/>
  <c r="A4398" i="2"/>
  <c r="E4397" i="2"/>
  <c r="D4397" i="2"/>
  <c r="C4397" i="2"/>
  <c r="A4397" i="2"/>
  <c r="E4396" i="2"/>
  <c r="D4396" i="2"/>
  <c r="C4396" i="2"/>
  <c r="A4396" i="2"/>
  <c r="E4395" i="2"/>
  <c r="D4395" i="2"/>
  <c r="C4395" i="2"/>
  <c r="A4395" i="2"/>
  <c r="E4394" i="2"/>
  <c r="D4394" i="2"/>
  <c r="C4394" i="2"/>
  <c r="A4394" i="2"/>
  <c r="E4393" i="2"/>
  <c r="D4393" i="2"/>
  <c r="C4393" i="2"/>
  <c r="A4393" i="2"/>
  <c r="E4392" i="2"/>
  <c r="D4392" i="2"/>
  <c r="C4392" i="2"/>
  <c r="A4392" i="2"/>
  <c r="E4391" i="2"/>
  <c r="D4391" i="2"/>
  <c r="C4391" i="2"/>
  <c r="A4391" i="2"/>
  <c r="E4390" i="2"/>
  <c r="D4390" i="2"/>
  <c r="C4390" i="2"/>
  <c r="A4390" i="2"/>
  <c r="E4389" i="2"/>
  <c r="D4389" i="2"/>
  <c r="C4389" i="2"/>
  <c r="A4389" i="2"/>
  <c r="E4388" i="2"/>
  <c r="D4388" i="2"/>
  <c r="C4388" i="2"/>
  <c r="A4388" i="2"/>
  <c r="E4387" i="2"/>
  <c r="D4387" i="2"/>
  <c r="C4387" i="2"/>
  <c r="A4387" i="2"/>
  <c r="E4386" i="2"/>
  <c r="D4386" i="2"/>
  <c r="C4386" i="2"/>
  <c r="A4386" i="2"/>
  <c r="E4385" i="2"/>
  <c r="D4385" i="2"/>
  <c r="C4385" i="2"/>
  <c r="A4385" i="2"/>
  <c r="E4384" i="2"/>
  <c r="D4384" i="2"/>
  <c r="C4384" i="2"/>
  <c r="A4384" i="2"/>
  <c r="E4383" i="2"/>
  <c r="D4383" i="2"/>
  <c r="C4383" i="2"/>
  <c r="A4383" i="2"/>
  <c r="E4382" i="2"/>
  <c r="D4382" i="2"/>
  <c r="C4382" i="2"/>
  <c r="A4382" i="2"/>
  <c r="E4381" i="2"/>
  <c r="D4381" i="2"/>
  <c r="C4381" i="2"/>
  <c r="A4381" i="2"/>
  <c r="E4380" i="2"/>
  <c r="D4380" i="2"/>
  <c r="C4380" i="2"/>
  <c r="A4380" i="2"/>
  <c r="E4379" i="2"/>
  <c r="D4379" i="2"/>
  <c r="C4379" i="2"/>
  <c r="A4379" i="2"/>
  <c r="E4378" i="2"/>
  <c r="D4378" i="2"/>
  <c r="C4378" i="2"/>
  <c r="A4378" i="2"/>
  <c r="E4377" i="2"/>
  <c r="D4377" i="2"/>
  <c r="C4377" i="2"/>
  <c r="A4377" i="2"/>
  <c r="E4376" i="2"/>
  <c r="D4376" i="2"/>
  <c r="C4376" i="2"/>
  <c r="A4376" i="2"/>
  <c r="E4375" i="2"/>
  <c r="D4375" i="2"/>
  <c r="C4375" i="2"/>
  <c r="A4375" i="2"/>
  <c r="E4374" i="2"/>
  <c r="D4374" i="2"/>
  <c r="C4374" i="2"/>
  <c r="A4374" i="2"/>
  <c r="E4373" i="2"/>
  <c r="D4373" i="2"/>
  <c r="C4373" i="2"/>
  <c r="A4373" i="2"/>
  <c r="E4372" i="2"/>
  <c r="D4372" i="2"/>
  <c r="C4372" i="2"/>
  <c r="A4372" i="2"/>
  <c r="E4371" i="2"/>
  <c r="D4371" i="2"/>
  <c r="C4371" i="2"/>
  <c r="A4371" i="2"/>
  <c r="E4370" i="2"/>
  <c r="D4370" i="2"/>
  <c r="C4370" i="2"/>
  <c r="A4370" i="2"/>
  <c r="E4369" i="2"/>
  <c r="D4369" i="2"/>
  <c r="C4369" i="2"/>
  <c r="A4369" i="2"/>
  <c r="E4368" i="2"/>
  <c r="D4368" i="2"/>
  <c r="C4368" i="2"/>
  <c r="A4368" i="2"/>
  <c r="E4367" i="2"/>
  <c r="D4367" i="2"/>
  <c r="C4367" i="2"/>
  <c r="A4367" i="2"/>
  <c r="E4366" i="2"/>
  <c r="D4366" i="2"/>
  <c r="C4366" i="2"/>
  <c r="A4366" i="2"/>
  <c r="E4365" i="2"/>
  <c r="D4365" i="2"/>
  <c r="C4365" i="2"/>
  <c r="A4365" i="2"/>
  <c r="E4364" i="2"/>
  <c r="D4364" i="2"/>
  <c r="C4364" i="2"/>
  <c r="A4364" i="2"/>
  <c r="E4363" i="2"/>
  <c r="D4363" i="2"/>
  <c r="C4363" i="2"/>
  <c r="A4363" i="2"/>
  <c r="E4362" i="2"/>
  <c r="D4362" i="2"/>
  <c r="C4362" i="2"/>
  <c r="A4362" i="2"/>
  <c r="E4361" i="2"/>
  <c r="D4361" i="2"/>
  <c r="C4361" i="2"/>
  <c r="A4361" i="2"/>
  <c r="E4360" i="2"/>
  <c r="D4360" i="2"/>
  <c r="C4360" i="2"/>
  <c r="A4360" i="2"/>
  <c r="E4359" i="2"/>
  <c r="D4359" i="2"/>
  <c r="C4359" i="2"/>
  <c r="A4359" i="2"/>
  <c r="E4358" i="2"/>
  <c r="D4358" i="2"/>
  <c r="C4358" i="2"/>
  <c r="A4358" i="2"/>
  <c r="E4357" i="2"/>
  <c r="D4357" i="2"/>
  <c r="C4357" i="2"/>
  <c r="A4357" i="2"/>
  <c r="E4354" i="2"/>
  <c r="D4354" i="2"/>
  <c r="C4354" i="2"/>
  <c r="A4354" i="2"/>
  <c r="E4353" i="2"/>
  <c r="D4353" i="2"/>
  <c r="C4353" i="2"/>
  <c r="A4353" i="2"/>
  <c r="E4352" i="2"/>
  <c r="D4352" i="2"/>
  <c r="C4352" i="2"/>
  <c r="A4352" i="2"/>
  <c r="E4351" i="2"/>
  <c r="D4351" i="2"/>
  <c r="C4351" i="2"/>
  <c r="A4351" i="2"/>
  <c r="E4350" i="2"/>
  <c r="D4350" i="2"/>
  <c r="C4350" i="2"/>
  <c r="A4350" i="2"/>
  <c r="E4349" i="2"/>
  <c r="D4349" i="2"/>
  <c r="C4349" i="2"/>
  <c r="A4349" i="2"/>
  <c r="E4348" i="2"/>
  <c r="D4348" i="2"/>
  <c r="C4348" i="2"/>
  <c r="A4348" i="2"/>
  <c r="E4347" i="2"/>
  <c r="D4347" i="2"/>
  <c r="C4347" i="2"/>
  <c r="A4347" i="2"/>
  <c r="E4346" i="2"/>
  <c r="D4346" i="2"/>
  <c r="C4346" i="2"/>
  <c r="A4346" i="2"/>
  <c r="E4344" i="2"/>
  <c r="D4344" i="2"/>
  <c r="C4344" i="2"/>
  <c r="A4344" i="2"/>
  <c r="E4343" i="2"/>
  <c r="D4343" i="2"/>
  <c r="C4343" i="2"/>
  <c r="A4343" i="2"/>
  <c r="E4342" i="2"/>
  <c r="D4342" i="2"/>
  <c r="C4342" i="2"/>
  <c r="A4342" i="2"/>
  <c r="E4341" i="2"/>
  <c r="D4341" i="2"/>
  <c r="C4341" i="2"/>
  <c r="A4341" i="2"/>
  <c r="E4340" i="2"/>
  <c r="D4340" i="2"/>
  <c r="C4340" i="2"/>
  <c r="A4340" i="2"/>
  <c r="E4339" i="2"/>
  <c r="D4339" i="2"/>
  <c r="C4339" i="2"/>
  <c r="A4339" i="2"/>
  <c r="E4338" i="2"/>
  <c r="D4338" i="2"/>
  <c r="C4338" i="2"/>
  <c r="A4338" i="2"/>
  <c r="E4337" i="2"/>
  <c r="D4337" i="2"/>
  <c r="C4337" i="2"/>
  <c r="A4337" i="2"/>
  <c r="E4336" i="2"/>
  <c r="D4336" i="2"/>
  <c r="C4336" i="2"/>
  <c r="A4336" i="2"/>
  <c r="E4335" i="2"/>
  <c r="D4335" i="2"/>
  <c r="C4335" i="2"/>
  <c r="A4335" i="2"/>
  <c r="E4334" i="2"/>
  <c r="D4334" i="2"/>
  <c r="C4334" i="2"/>
  <c r="A4334" i="2"/>
  <c r="E4333" i="2"/>
  <c r="D4333" i="2"/>
  <c r="C4333" i="2"/>
  <c r="A4333" i="2"/>
  <c r="E4332" i="2"/>
  <c r="D4332" i="2"/>
  <c r="C4332" i="2"/>
  <c r="A4332" i="2"/>
  <c r="E4331" i="2"/>
  <c r="D4331" i="2"/>
  <c r="C4331" i="2"/>
  <c r="A4331" i="2"/>
  <c r="E4330" i="2"/>
  <c r="D4330" i="2"/>
  <c r="C4330" i="2"/>
  <c r="A4330" i="2"/>
  <c r="E4329" i="2"/>
  <c r="D4329" i="2"/>
  <c r="C4329" i="2"/>
  <c r="A4329" i="2"/>
  <c r="E4328" i="2"/>
  <c r="D4328" i="2"/>
  <c r="C4328" i="2"/>
  <c r="A4328" i="2"/>
  <c r="E4327" i="2"/>
  <c r="D4327" i="2"/>
  <c r="C4327" i="2"/>
  <c r="A4327" i="2"/>
  <c r="E4326" i="2"/>
  <c r="D4326" i="2"/>
  <c r="C4326" i="2"/>
  <c r="A4326" i="2"/>
  <c r="E4325" i="2"/>
  <c r="D4325" i="2"/>
  <c r="C4325" i="2"/>
  <c r="A4325" i="2"/>
  <c r="E4324" i="2"/>
  <c r="D4324" i="2"/>
  <c r="C4324" i="2"/>
  <c r="A4324" i="2"/>
  <c r="E4323" i="2"/>
  <c r="D4323" i="2"/>
  <c r="C4323" i="2"/>
  <c r="A4323" i="2"/>
  <c r="E4322" i="2"/>
  <c r="D4322" i="2"/>
  <c r="C4322" i="2"/>
  <c r="A4322" i="2"/>
  <c r="E4321" i="2"/>
  <c r="D4321" i="2"/>
  <c r="C4321" i="2"/>
  <c r="A4321" i="2"/>
  <c r="E4320" i="2"/>
  <c r="D4320" i="2"/>
  <c r="C4320" i="2"/>
  <c r="A4320" i="2"/>
  <c r="E4319" i="2"/>
  <c r="D4319" i="2"/>
  <c r="C4319" i="2"/>
  <c r="A4319" i="2"/>
  <c r="E4318" i="2"/>
  <c r="D4318" i="2"/>
  <c r="C4318" i="2"/>
  <c r="A4318" i="2"/>
  <c r="E4317" i="2"/>
  <c r="D4317" i="2"/>
  <c r="C4317" i="2"/>
  <c r="A4317" i="2"/>
  <c r="E4316" i="2"/>
  <c r="D4316" i="2"/>
  <c r="C4316" i="2"/>
  <c r="A4316" i="2"/>
  <c r="E4315" i="2"/>
  <c r="D4315" i="2"/>
  <c r="C4315" i="2"/>
  <c r="A4315" i="2"/>
  <c r="E4314" i="2"/>
  <c r="D4314" i="2"/>
  <c r="C4314" i="2"/>
  <c r="A4314" i="2"/>
  <c r="E4313" i="2"/>
  <c r="D4313" i="2"/>
  <c r="C4313" i="2"/>
  <c r="A4313" i="2"/>
  <c r="E4312" i="2"/>
  <c r="D4312" i="2"/>
  <c r="C4312" i="2"/>
  <c r="A4312" i="2"/>
  <c r="E4311" i="2"/>
  <c r="D4311" i="2"/>
  <c r="C4311" i="2"/>
  <c r="A4311" i="2"/>
  <c r="E4310" i="2"/>
  <c r="D4310" i="2"/>
  <c r="C4310" i="2"/>
  <c r="A4310" i="2"/>
  <c r="E4309" i="2"/>
  <c r="D4309" i="2"/>
  <c r="C4309" i="2"/>
  <c r="A4309" i="2"/>
  <c r="E4308" i="2"/>
  <c r="D4308" i="2"/>
  <c r="C4308" i="2"/>
  <c r="A4308" i="2"/>
  <c r="E4307" i="2"/>
  <c r="D4307" i="2"/>
  <c r="C4307" i="2"/>
  <c r="A4307" i="2"/>
  <c r="E4306" i="2"/>
  <c r="D4306" i="2"/>
  <c r="C4306" i="2"/>
  <c r="A4306" i="2"/>
  <c r="E4305" i="2"/>
  <c r="D4305" i="2"/>
  <c r="C4305" i="2"/>
  <c r="A4305" i="2"/>
  <c r="E4304" i="2"/>
  <c r="D4304" i="2"/>
  <c r="C4304" i="2"/>
  <c r="A4304" i="2"/>
  <c r="E4303" i="2"/>
  <c r="D4303" i="2"/>
  <c r="C4303" i="2"/>
  <c r="A4303" i="2"/>
  <c r="E4302" i="2"/>
  <c r="D4302" i="2"/>
  <c r="C4302" i="2"/>
  <c r="A4302" i="2"/>
  <c r="E4301" i="2"/>
  <c r="D4301" i="2"/>
  <c r="C4301" i="2"/>
  <c r="A4301" i="2"/>
  <c r="E4300" i="2"/>
  <c r="D4300" i="2"/>
  <c r="C4300" i="2"/>
  <c r="A4300" i="2"/>
  <c r="E4299" i="2"/>
  <c r="D4299" i="2"/>
  <c r="C4299" i="2"/>
  <c r="A4299" i="2"/>
  <c r="E4298" i="2"/>
  <c r="D4298" i="2"/>
  <c r="C4298" i="2"/>
  <c r="A4298" i="2"/>
  <c r="E4297" i="2"/>
  <c r="D4297" i="2"/>
  <c r="C4297" i="2"/>
  <c r="A4297" i="2"/>
  <c r="E4296" i="2"/>
  <c r="D4296" i="2"/>
  <c r="C4296" i="2"/>
  <c r="A4296" i="2"/>
  <c r="E4295" i="2"/>
  <c r="D4295" i="2"/>
  <c r="C4295" i="2"/>
  <c r="A4295" i="2"/>
  <c r="E4294" i="2"/>
  <c r="D4294" i="2"/>
  <c r="C4294" i="2"/>
  <c r="A4294" i="2"/>
  <c r="E4293" i="2"/>
  <c r="D4293" i="2"/>
  <c r="C4293" i="2"/>
  <c r="A4293" i="2"/>
  <c r="E4292" i="2"/>
  <c r="D4292" i="2"/>
  <c r="C4292" i="2"/>
  <c r="A4292" i="2"/>
  <c r="E4291" i="2"/>
  <c r="D4291" i="2"/>
  <c r="C4291" i="2"/>
  <c r="A4291" i="2"/>
  <c r="E4290" i="2"/>
  <c r="D4290" i="2"/>
  <c r="C4290" i="2"/>
  <c r="A4290" i="2"/>
  <c r="E4289" i="2"/>
  <c r="D4289" i="2"/>
  <c r="C4289" i="2"/>
  <c r="A4289" i="2"/>
  <c r="E4288" i="2"/>
  <c r="D4288" i="2"/>
  <c r="C4288" i="2"/>
  <c r="A4288" i="2"/>
  <c r="E4287" i="2"/>
  <c r="D4287" i="2"/>
  <c r="C4287" i="2"/>
  <c r="A4287" i="2"/>
  <c r="E4286" i="2"/>
  <c r="D4286" i="2"/>
  <c r="C4286" i="2"/>
  <c r="A4286" i="2"/>
  <c r="E4285" i="2"/>
  <c r="D4285" i="2"/>
  <c r="C4285" i="2"/>
  <c r="A4285" i="2"/>
  <c r="E4284" i="2"/>
  <c r="D4284" i="2"/>
  <c r="C4284" i="2"/>
  <c r="A4284" i="2"/>
  <c r="E4283" i="2"/>
  <c r="D4283" i="2"/>
  <c r="C4283" i="2"/>
  <c r="A4283" i="2"/>
  <c r="E4282" i="2"/>
  <c r="D4282" i="2"/>
  <c r="C4282" i="2"/>
  <c r="A4282" i="2"/>
  <c r="E4281" i="2"/>
  <c r="D4281" i="2"/>
  <c r="C4281" i="2"/>
  <c r="A4281" i="2"/>
  <c r="E4280" i="2"/>
  <c r="D4280" i="2"/>
  <c r="C4280" i="2"/>
  <c r="A4280" i="2"/>
  <c r="E4279" i="2"/>
  <c r="D4279" i="2"/>
  <c r="C4279" i="2"/>
  <c r="A4279" i="2"/>
  <c r="E4278" i="2"/>
  <c r="D4278" i="2"/>
  <c r="C4278" i="2"/>
  <c r="A4278" i="2"/>
  <c r="E4277" i="2"/>
  <c r="D4277" i="2"/>
  <c r="C4277" i="2"/>
  <c r="A4277" i="2"/>
  <c r="E4276" i="2"/>
  <c r="D4276" i="2"/>
  <c r="C4276" i="2"/>
  <c r="A4276" i="2"/>
  <c r="E4275" i="2"/>
  <c r="D4275" i="2"/>
  <c r="C4275" i="2"/>
  <c r="A4275" i="2"/>
  <c r="E4274" i="2"/>
  <c r="D4274" i="2"/>
  <c r="C4274" i="2"/>
  <c r="A4274" i="2"/>
  <c r="E4273" i="2"/>
  <c r="D4273" i="2"/>
  <c r="C4273" i="2"/>
  <c r="A4273" i="2"/>
  <c r="E4272" i="2"/>
  <c r="D4272" i="2"/>
  <c r="C4272" i="2"/>
  <c r="A4272" i="2"/>
  <c r="E4271" i="2"/>
  <c r="D4271" i="2"/>
  <c r="C4271" i="2"/>
  <c r="A4271" i="2"/>
  <c r="E4270" i="2"/>
  <c r="D4270" i="2"/>
  <c r="C4270" i="2"/>
  <c r="A4270" i="2"/>
  <c r="E4269" i="2"/>
  <c r="D4269" i="2"/>
  <c r="C4269" i="2"/>
  <c r="A4269" i="2"/>
  <c r="E4268" i="2"/>
  <c r="D4268" i="2"/>
  <c r="C4268" i="2"/>
  <c r="A4268" i="2"/>
  <c r="E4267" i="2"/>
  <c r="D4267" i="2"/>
  <c r="C4267" i="2"/>
  <c r="A4267" i="2"/>
  <c r="E4266" i="2"/>
  <c r="D4266" i="2"/>
  <c r="C4266" i="2"/>
  <c r="A4266" i="2"/>
  <c r="E4265" i="2"/>
  <c r="D4265" i="2"/>
  <c r="C4265" i="2"/>
  <c r="A4265" i="2"/>
  <c r="E4264" i="2"/>
  <c r="D4264" i="2"/>
  <c r="C4264" i="2"/>
  <c r="A4264" i="2"/>
  <c r="E4263" i="2"/>
  <c r="D4263" i="2"/>
  <c r="C4263" i="2"/>
  <c r="A4263" i="2"/>
  <c r="E4262" i="2"/>
  <c r="D4262" i="2"/>
  <c r="C4262" i="2"/>
  <c r="A4262" i="2"/>
  <c r="E4261" i="2"/>
  <c r="D4261" i="2"/>
  <c r="C4261" i="2"/>
  <c r="A4261" i="2"/>
  <c r="E4260" i="2"/>
  <c r="D4260" i="2"/>
  <c r="C4260" i="2"/>
  <c r="A4260" i="2"/>
  <c r="E4259" i="2"/>
  <c r="D4259" i="2"/>
  <c r="C4259" i="2"/>
  <c r="A4259" i="2"/>
  <c r="E4258" i="2"/>
  <c r="D4258" i="2"/>
  <c r="C4258" i="2"/>
  <c r="A4258" i="2"/>
  <c r="E4257" i="2"/>
  <c r="D4257" i="2"/>
  <c r="C4257" i="2"/>
  <c r="A4257" i="2"/>
  <c r="E4256" i="2"/>
  <c r="D4256" i="2"/>
  <c r="C4256" i="2"/>
  <c r="A4256" i="2"/>
  <c r="E4255" i="2"/>
  <c r="D4255" i="2"/>
  <c r="C4255" i="2"/>
  <c r="A4255" i="2"/>
  <c r="E4254" i="2"/>
  <c r="D4254" i="2"/>
  <c r="C4254" i="2"/>
  <c r="A4254" i="2"/>
  <c r="E4253" i="2"/>
  <c r="D4253" i="2"/>
  <c r="C4253" i="2"/>
  <c r="A4253" i="2"/>
  <c r="E4252" i="2"/>
  <c r="D4252" i="2"/>
  <c r="C4252" i="2"/>
  <c r="A4252" i="2"/>
  <c r="E4251" i="2"/>
  <c r="D4251" i="2"/>
  <c r="C4251" i="2"/>
  <c r="A4251" i="2"/>
  <c r="E4250" i="2"/>
  <c r="D4250" i="2"/>
  <c r="C4250" i="2"/>
  <c r="A4250" i="2"/>
  <c r="E4249" i="2"/>
  <c r="D4249" i="2"/>
  <c r="C4249" i="2"/>
  <c r="A4249" i="2"/>
  <c r="E4248" i="2"/>
  <c r="D4248" i="2"/>
  <c r="C4248" i="2"/>
  <c r="A4248" i="2"/>
  <c r="E4247" i="2"/>
  <c r="D4247" i="2"/>
  <c r="C4247" i="2"/>
  <c r="A4247" i="2"/>
  <c r="E4246" i="2"/>
  <c r="D4246" i="2"/>
  <c r="C4246" i="2"/>
  <c r="A4246" i="2"/>
  <c r="E4245" i="2"/>
  <c r="D4245" i="2"/>
  <c r="C4245" i="2"/>
  <c r="A4245" i="2"/>
  <c r="E4244" i="2"/>
  <c r="D4244" i="2"/>
  <c r="C4244" i="2"/>
  <c r="A4244" i="2"/>
  <c r="E4243" i="2"/>
  <c r="D4243" i="2"/>
  <c r="C4243" i="2"/>
  <c r="A4243" i="2"/>
  <c r="E4242" i="2"/>
  <c r="D4242" i="2"/>
  <c r="C4242" i="2"/>
  <c r="A4242" i="2"/>
  <c r="E4241" i="2"/>
  <c r="D4241" i="2"/>
  <c r="C4241" i="2"/>
  <c r="A4241" i="2"/>
  <c r="E4240" i="2"/>
  <c r="D4240" i="2"/>
  <c r="C4240" i="2"/>
  <c r="A4240" i="2"/>
  <c r="E4239" i="2"/>
  <c r="D4239" i="2"/>
  <c r="C4239" i="2"/>
  <c r="A4239" i="2"/>
  <c r="E4238" i="2"/>
  <c r="D4238" i="2"/>
  <c r="C4238" i="2"/>
  <c r="A4238" i="2"/>
  <c r="E4237" i="2"/>
  <c r="D4237" i="2"/>
  <c r="C4237" i="2"/>
  <c r="A4237" i="2"/>
  <c r="E4236" i="2"/>
  <c r="D4236" i="2"/>
  <c r="C4236" i="2"/>
  <c r="A4236" i="2"/>
  <c r="E4235" i="2"/>
  <c r="D4235" i="2"/>
  <c r="C4235" i="2"/>
  <c r="A4235" i="2"/>
  <c r="E4234" i="2"/>
  <c r="D4234" i="2"/>
  <c r="C4234" i="2"/>
  <c r="A4234" i="2"/>
  <c r="E4233" i="2"/>
  <c r="D4233" i="2"/>
  <c r="C4233" i="2"/>
  <c r="A4233" i="2"/>
  <c r="E4232" i="2"/>
  <c r="D4232" i="2"/>
  <c r="C4232" i="2"/>
  <c r="A4232" i="2"/>
  <c r="E4231" i="2"/>
  <c r="D4231" i="2"/>
  <c r="C4231" i="2"/>
  <c r="A4231" i="2"/>
  <c r="E4230" i="2"/>
  <c r="D4230" i="2"/>
  <c r="C4230" i="2"/>
  <c r="A4230" i="2"/>
  <c r="E4229" i="2"/>
  <c r="D4229" i="2"/>
  <c r="C4229" i="2"/>
  <c r="A4229" i="2"/>
  <c r="E4228" i="2"/>
  <c r="D4228" i="2"/>
  <c r="C4228" i="2"/>
  <c r="A4228" i="2"/>
  <c r="E4227" i="2"/>
  <c r="D4227" i="2"/>
  <c r="C4227" i="2"/>
  <c r="A4227" i="2"/>
  <c r="E4226" i="2"/>
  <c r="D4226" i="2"/>
  <c r="C4226" i="2"/>
  <c r="A4226" i="2"/>
  <c r="E4225" i="2"/>
  <c r="D4225" i="2"/>
  <c r="C4225" i="2"/>
  <c r="A4225" i="2"/>
  <c r="E4224" i="2"/>
  <c r="D4224" i="2"/>
  <c r="C4224" i="2"/>
  <c r="A4224" i="2"/>
  <c r="E4223" i="2"/>
  <c r="D4223" i="2"/>
  <c r="C4223" i="2"/>
  <c r="A4223" i="2"/>
  <c r="E4222" i="2"/>
  <c r="D4222" i="2"/>
  <c r="C4222" i="2"/>
  <c r="A4222" i="2"/>
  <c r="E4221" i="2"/>
  <c r="D4221" i="2"/>
  <c r="C4221" i="2"/>
  <c r="A4221" i="2"/>
  <c r="E4220" i="2"/>
  <c r="D4220" i="2"/>
  <c r="C4220" i="2"/>
  <c r="A4220" i="2"/>
  <c r="E4219" i="2"/>
  <c r="D4219" i="2"/>
  <c r="C4219" i="2"/>
  <c r="A4219" i="2"/>
  <c r="E4218" i="2"/>
  <c r="D4218" i="2"/>
  <c r="C4218" i="2"/>
  <c r="A4218" i="2"/>
  <c r="E4217" i="2"/>
  <c r="D4217" i="2"/>
  <c r="C4217" i="2"/>
  <c r="A4217" i="2"/>
  <c r="E4216" i="2"/>
  <c r="D4216" i="2"/>
  <c r="C4216" i="2"/>
  <c r="A4216" i="2"/>
  <c r="E4215" i="2"/>
  <c r="D4215" i="2"/>
  <c r="C4215" i="2"/>
  <c r="A4215" i="2"/>
  <c r="E4214" i="2"/>
  <c r="D4214" i="2"/>
  <c r="C4214" i="2"/>
  <c r="A4214" i="2"/>
  <c r="E4213" i="2"/>
  <c r="D4213" i="2"/>
  <c r="C4213" i="2"/>
  <c r="A4213" i="2"/>
  <c r="E4212" i="2"/>
  <c r="D4212" i="2"/>
  <c r="C4212" i="2"/>
  <c r="A4212" i="2"/>
  <c r="E4211" i="2"/>
  <c r="D4211" i="2"/>
  <c r="C4211" i="2"/>
  <c r="A4211" i="2"/>
  <c r="E4210" i="2"/>
  <c r="D4210" i="2"/>
  <c r="C4210" i="2"/>
  <c r="A4210" i="2"/>
  <c r="E4209" i="2"/>
  <c r="D4209" i="2"/>
  <c r="C4209" i="2"/>
  <c r="A4209" i="2"/>
  <c r="E4208" i="2"/>
  <c r="D4208" i="2"/>
  <c r="C4208" i="2"/>
  <c r="A4208" i="2"/>
  <c r="E4207" i="2"/>
  <c r="D4207" i="2"/>
  <c r="C4207" i="2"/>
  <c r="A4207" i="2"/>
  <c r="E4206" i="2"/>
  <c r="D4206" i="2"/>
  <c r="C4206" i="2"/>
  <c r="A4206" i="2"/>
  <c r="E4205" i="2"/>
  <c r="D4205" i="2"/>
  <c r="C4205" i="2"/>
  <c r="A4205" i="2"/>
  <c r="E4204" i="2"/>
  <c r="D4204" i="2"/>
  <c r="C4204" i="2"/>
  <c r="A4204" i="2"/>
  <c r="E4203" i="2"/>
  <c r="D4203" i="2"/>
  <c r="C4203" i="2"/>
  <c r="A4203" i="2"/>
  <c r="E4202" i="2"/>
  <c r="D4202" i="2"/>
  <c r="C4202" i="2"/>
  <c r="A4202" i="2"/>
  <c r="E4201" i="2"/>
  <c r="D4201" i="2"/>
  <c r="C4201" i="2"/>
  <c r="A4201" i="2"/>
  <c r="E4200" i="2"/>
  <c r="D4200" i="2"/>
  <c r="C4200" i="2"/>
  <c r="A4200" i="2"/>
  <c r="E4199" i="2"/>
  <c r="D4199" i="2"/>
  <c r="C4199" i="2"/>
  <c r="A4199" i="2"/>
  <c r="E4198" i="2"/>
  <c r="D4198" i="2"/>
  <c r="C4198" i="2"/>
  <c r="A4198" i="2"/>
  <c r="E4197" i="2"/>
  <c r="D4197" i="2"/>
  <c r="C4197" i="2"/>
  <c r="A4197" i="2"/>
  <c r="E4196" i="2"/>
  <c r="D4196" i="2"/>
  <c r="C4196" i="2"/>
  <c r="A4196" i="2"/>
  <c r="E4195" i="2"/>
  <c r="D4195" i="2"/>
  <c r="C4195" i="2"/>
  <c r="A4195" i="2"/>
  <c r="E4194" i="2"/>
  <c r="D4194" i="2"/>
  <c r="C4194" i="2"/>
  <c r="A4194" i="2"/>
  <c r="E4193" i="2"/>
  <c r="D4193" i="2"/>
  <c r="C4193" i="2"/>
  <c r="A4193" i="2"/>
  <c r="E4192" i="2"/>
  <c r="D4192" i="2"/>
  <c r="C4192" i="2"/>
  <c r="A4192" i="2"/>
  <c r="E4191" i="2"/>
  <c r="D4191" i="2"/>
  <c r="C4191" i="2"/>
  <c r="A4191" i="2"/>
  <c r="E4190" i="2"/>
  <c r="D4190" i="2"/>
  <c r="C4190" i="2"/>
  <c r="A4190" i="2"/>
  <c r="E4189" i="2"/>
  <c r="D4189" i="2"/>
  <c r="C4189" i="2"/>
  <c r="A4189" i="2"/>
  <c r="E4188" i="2"/>
  <c r="D4188" i="2"/>
  <c r="C4188" i="2"/>
  <c r="A4188" i="2"/>
  <c r="E4187" i="2"/>
  <c r="D4187" i="2"/>
  <c r="C4187" i="2"/>
  <c r="A4187" i="2"/>
  <c r="E4186" i="2"/>
  <c r="D4186" i="2"/>
  <c r="C4186" i="2"/>
  <c r="A4186" i="2"/>
  <c r="E4185" i="2"/>
  <c r="D4185" i="2"/>
  <c r="C4185" i="2"/>
  <c r="A4185" i="2"/>
  <c r="E4184" i="2"/>
  <c r="D4184" i="2"/>
  <c r="C4184" i="2"/>
  <c r="A4184" i="2"/>
  <c r="E4183" i="2"/>
  <c r="D4183" i="2"/>
  <c r="C4183" i="2"/>
  <c r="A4183" i="2"/>
  <c r="E4182" i="2"/>
  <c r="D4182" i="2"/>
  <c r="C4182" i="2"/>
  <c r="A4182" i="2"/>
  <c r="E4181" i="2"/>
  <c r="D4181" i="2"/>
  <c r="C4181" i="2"/>
  <c r="A4181" i="2"/>
  <c r="E4180" i="2"/>
  <c r="D4180" i="2"/>
  <c r="C4180" i="2"/>
  <c r="A4180" i="2"/>
  <c r="E4179" i="2"/>
  <c r="D4179" i="2"/>
  <c r="C4179" i="2"/>
  <c r="A4179" i="2"/>
  <c r="E4178" i="2"/>
  <c r="D4178" i="2"/>
  <c r="C4178" i="2"/>
  <c r="A4178" i="2"/>
  <c r="E4177" i="2"/>
  <c r="D4177" i="2"/>
  <c r="C4177" i="2"/>
  <c r="A4177" i="2"/>
  <c r="E4176" i="2"/>
  <c r="D4176" i="2"/>
  <c r="C4176" i="2"/>
  <c r="A4176" i="2"/>
  <c r="E4175" i="2"/>
  <c r="D4175" i="2"/>
  <c r="C4175" i="2"/>
  <c r="A4175" i="2"/>
  <c r="E4174" i="2"/>
  <c r="D4174" i="2"/>
  <c r="C4174" i="2"/>
  <c r="A4174" i="2"/>
  <c r="E4173" i="2"/>
  <c r="D4173" i="2"/>
  <c r="C4173" i="2"/>
  <c r="A4173" i="2"/>
  <c r="E4172" i="2"/>
  <c r="D4172" i="2"/>
  <c r="C4172" i="2"/>
  <c r="A4172" i="2"/>
  <c r="E4171" i="2"/>
  <c r="D4171" i="2"/>
  <c r="C4171" i="2"/>
  <c r="A4171" i="2"/>
  <c r="E4170" i="2"/>
  <c r="D4170" i="2"/>
  <c r="C4170" i="2"/>
  <c r="A4170" i="2"/>
  <c r="E4169" i="2"/>
  <c r="D4169" i="2"/>
  <c r="C4169" i="2"/>
  <c r="A4169" i="2"/>
  <c r="E4168" i="2"/>
  <c r="D4168" i="2"/>
  <c r="C4168" i="2"/>
  <c r="A4168" i="2"/>
  <c r="E4167" i="2"/>
  <c r="D4167" i="2"/>
  <c r="C4167" i="2"/>
  <c r="A4167" i="2"/>
  <c r="E4166" i="2"/>
  <c r="D4166" i="2"/>
  <c r="C4166" i="2"/>
  <c r="A4166" i="2"/>
  <c r="E4165" i="2"/>
  <c r="D4165" i="2"/>
  <c r="C4165" i="2"/>
  <c r="A4165" i="2"/>
  <c r="E4164" i="2"/>
  <c r="D4164" i="2"/>
  <c r="C4164" i="2"/>
  <c r="A4164" i="2"/>
  <c r="E4163" i="2"/>
  <c r="D4163" i="2"/>
  <c r="C4163" i="2"/>
  <c r="A4163" i="2"/>
  <c r="E4162" i="2"/>
  <c r="D4162" i="2"/>
  <c r="C4162" i="2"/>
  <c r="A4162" i="2"/>
  <c r="E4161" i="2"/>
  <c r="D4161" i="2"/>
  <c r="C4161" i="2"/>
  <c r="A4161" i="2"/>
  <c r="E4160" i="2"/>
  <c r="D4160" i="2"/>
  <c r="C4160" i="2"/>
  <c r="A4160" i="2"/>
  <c r="E4159" i="2"/>
  <c r="D4159" i="2"/>
  <c r="C4159" i="2"/>
  <c r="A4159" i="2"/>
  <c r="E4158" i="2"/>
  <c r="D4158" i="2"/>
  <c r="C4158" i="2"/>
  <c r="A4158" i="2"/>
  <c r="E4157" i="2"/>
  <c r="D4157" i="2"/>
  <c r="C4157" i="2"/>
  <c r="A4157" i="2"/>
  <c r="E4156" i="2"/>
  <c r="D4156" i="2"/>
  <c r="C4156" i="2"/>
  <c r="A4156" i="2"/>
  <c r="E4155" i="2"/>
  <c r="D4155" i="2"/>
  <c r="C4155" i="2"/>
  <c r="A4155" i="2"/>
  <c r="E4154" i="2"/>
  <c r="D4154" i="2"/>
  <c r="C4154" i="2"/>
  <c r="A4154" i="2"/>
  <c r="E4153" i="2"/>
  <c r="D4153" i="2"/>
  <c r="C4153" i="2"/>
  <c r="A4153" i="2"/>
  <c r="E4152" i="2"/>
  <c r="D4152" i="2"/>
  <c r="C4152" i="2"/>
  <c r="A4152" i="2"/>
  <c r="E4151" i="2"/>
  <c r="D4151" i="2"/>
  <c r="C4151" i="2"/>
  <c r="A4151" i="2"/>
  <c r="E4150" i="2"/>
  <c r="D4150" i="2"/>
  <c r="C4150" i="2"/>
  <c r="A4150" i="2"/>
  <c r="E4149" i="2"/>
  <c r="D4149" i="2"/>
  <c r="C4149" i="2"/>
  <c r="A4149" i="2"/>
  <c r="E4148" i="2"/>
  <c r="D4148" i="2"/>
  <c r="C4148" i="2"/>
  <c r="A4148" i="2"/>
  <c r="E4147" i="2"/>
  <c r="D4147" i="2"/>
  <c r="C4147" i="2"/>
  <c r="A4147" i="2"/>
  <c r="E4146" i="2"/>
  <c r="D4146" i="2"/>
  <c r="C4146" i="2"/>
  <c r="A4146" i="2"/>
  <c r="E4145" i="2"/>
  <c r="D4145" i="2"/>
  <c r="C4145" i="2"/>
  <c r="A4145" i="2"/>
  <c r="E4144" i="2"/>
  <c r="D4144" i="2"/>
  <c r="C4144" i="2"/>
  <c r="A4144" i="2"/>
  <c r="E4143" i="2"/>
  <c r="D4143" i="2"/>
  <c r="C4143" i="2"/>
  <c r="A4143" i="2"/>
  <c r="E4142" i="2"/>
  <c r="D4142" i="2"/>
  <c r="C4142" i="2"/>
  <c r="A4142" i="2"/>
  <c r="E4141" i="2"/>
  <c r="D4141" i="2"/>
  <c r="C4141" i="2"/>
  <c r="A4141" i="2"/>
  <c r="E4140" i="2"/>
  <c r="D4140" i="2"/>
  <c r="C4140" i="2"/>
  <c r="A4140" i="2"/>
  <c r="E4139" i="2"/>
  <c r="D4139" i="2"/>
  <c r="C4139" i="2"/>
  <c r="A4139" i="2"/>
  <c r="E4138" i="2"/>
  <c r="D4138" i="2"/>
  <c r="C4138" i="2"/>
  <c r="A4138" i="2"/>
  <c r="E4137" i="2"/>
  <c r="D4137" i="2"/>
  <c r="C4137" i="2"/>
  <c r="A4137" i="2"/>
  <c r="E4136" i="2"/>
  <c r="D4136" i="2"/>
  <c r="C4136" i="2"/>
  <c r="A4136" i="2"/>
  <c r="E4135" i="2"/>
  <c r="D4135" i="2"/>
  <c r="C4135" i="2"/>
  <c r="A4135" i="2"/>
  <c r="E4134" i="2"/>
  <c r="D4134" i="2"/>
  <c r="C4134" i="2"/>
  <c r="A4134" i="2"/>
  <c r="E4133" i="2"/>
  <c r="D4133" i="2"/>
  <c r="C4133" i="2"/>
  <c r="A4133" i="2"/>
  <c r="E4132" i="2"/>
  <c r="D4132" i="2"/>
  <c r="C4132" i="2"/>
  <c r="A4132" i="2"/>
  <c r="E4131" i="2"/>
  <c r="D4131" i="2"/>
  <c r="C4131" i="2"/>
  <c r="A4131" i="2"/>
  <c r="E4130" i="2"/>
  <c r="D4130" i="2"/>
  <c r="C4130" i="2"/>
  <c r="A4130" i="2"/>
  <c r="E4129" i="2"/>
  <c r="D4129" i="2"/>
  <c r="C4129" i="2"/>
  <c r="A4129" i="2"/>
  <c r="E4128" i="2"/>
  <c r="D4128" i="2"/>
  <c r="C4128" i="2"/>
  <c r="A4128" i="2"/>
  <c r="E4127" i="2"/>
  <c r="D4127" i="2"/>
  <c r="C4127" i="2"/>
  <c r="A4127" i="2"/>
  <c r="E4126" i="2"/>
  <c r="D4126" i="2"/>
  <c r="C4126" i="2"/>
  <c r="A4126" i="2"/>
  <c r="E4125" i="2"/>
  <c r="D4125" i="2"/>
  <c r="C4125" i="2"/>
  <c r="A4125" i="2"/>
  <c r="E4124" i="2"/>
  <c r="D4124" i="2"/>
  <c r="C4124" i="2"/>
  <c r="A4124" i="2"/>
  <c r="E4123" i="2"/>
  <c r="D4123" i="2"/>
  <c r="C4123" i="2"/>
  <c r="A4123" i="2"/>
  <c r="E4122" i="2"/>
  <c r="D4122" i="2"/>
  <c r="C4122" i="2"/>
  <c r="A4122" i="2"/>
  <c r="E4121" i="2"/>
  <c r="D4121" i="2"/>
  <c r="C4121" i="2"/>
  <c r="A4121" i="2"/>
  <c r="E4120" i="2"/>
  <c r="D4120" i="2"/>
  <c r="C4120" i="2"/>
  <c r="A4120" i="2"/>
  <c r="E4119" i="2"/>
  <c r="D4119" i="2"/>
  <c r="C4119" i="2"/>
  <c r="A4119" i="2"/>
  <c r="E4118" i="2"/>
  <c r="D4118" i="2"/>
  <c r="C4118" i="2"/>
  <c r="A4118" i="2"/>
  <c r="E4117" i="2"/>
  <c r="D4117" i="2"/>
  <c r="C4117" i="2"/>
  <c r="A4117" i="2"/>
  <c r="E4116" i="2"/>
  <c r="D4116" i="2"/>
  <c r="C4116" i="2"/>
  <c r="A4116" i="2"/>
  <c r="E4115" i="2"/>
  <c r="D4115" i="2"/>
  <c r="C4115" i="2"/>
  <c r="A4115" i="2"/>
  <c r="E4114" i="2"/>
  <c r="D4114" i="2"/>
  <c r="C4114" i="2"/>
  <c r="A4114" i="2"/>
  <c r="E4113" i="2"/>
  <c r="D4113" i="2"/>
  <c r="C4113" i="2"/>
  <c r="A4113" i="2"/>
  <c r="E4112" i="2"/>
  <c r="D4112" i="2"/>
  <c r="C4112" i="2"/>
  <c r="A4112" i="2"/>
  <c r="E4111" i="2"/>
  <c r="D4111" i="2"/>
  <c r="C4111" i="2"/>
  <c r="A4111" i="2"/>
  <c r="E4110" i="2"/>
  <c r="D4110" i="2"/>
  <c r="C4110" i="2"/>
  <c r="A4110" i="2"/>
  <c r="E4109" i="2"/>
  <c r="D4109" i="2"/>
  <c r="C4109" i="2"/>
  <c r="A4109" i="2"/>
  <c r="E4108" i="2"/>
  <c r="D4108" i="2"/>
  <c r="C4108" i="2"/>
  <c r="A4108" i="2"/>
  <c r="E4107" i="2"/>
  <c r="D4107" i="2"/>
  <c r="C4107" i="2"/>
  <c r="A4107" i="2"/>
  <c r="E4106" i="2"/>
  <c r="D4106" i="2"/>
  <c r="C4106" i="2"/>
  <c r="A4106" i="2"/>
  <c r="E4105" i="2"/>
  <c r="D4105" i="2"/>
  <c r="C4105" i="2"/>
  <c r="A4105" i="2"/>
  <c r="E4104" i="2"/>
  <c r="D4104" i="2"/>
  <c r="C4104" i="2"/>
  <c r="A4104" i="2"/>
  <c r="E4103" i="2"/>
  <c r="D4103" i="2"/>
  <c r="C4103" i="2"/>
  <c r="A4103" i="2"/>
  <c r="E4102" i="2"/>
  <c r="D4102" i="2"/>
  <c r="C4102" i="2"/>
  <c r="A4102" i="2"/>
  <c r="E4101" i="2"/>
  <c r="D4101" i="2"/>
  <c r="C4101" i="2"/>
  <c r="A4101" i="2"/>
  <c r="E4100" i="2"/>
  <c r="D4100" i="2"/>
  <c r="C4100" i="2"/>
  <c r="A4100" i="2"/>
  <c r="E4099" i="2"/>
  <c r="D4099" i="2"/>
  <c r="C4099" i="2"/>
  <c r="A4099" i="2"/>
  <c r="E4098" i="2"/>
  <c r="D4098" i="2"/>
  <c r="C4098" i="2"/>
  <c r="A4098" i="2"/>
  <c r="E4097" i="2"/>
  <c r="D4097" i="2"/>
  <c r="C4097" i="2"/>
  <c r="A4097" i="2"/>
  <c r="E4096" i="2"/>
  <c r="D4096" i="2"/>
  <c r="C4096" i="2"/>
  <c r="A4096" i="2"/>
  <c r="E4095" i="2"/>
  <c r="D4095" i="2"/>
  <c r="C4095" i="2"/>
  <c r="A4095" i="2"/>
  <c r="E4094" i="2"/>
  <c r="D4094" i="2"/>
  <c r="C4094" i="2"/>
  <c r="A4094" i="2"/>
  <c r="E4093" i="2"/>
  <c r="D4093" i="2"/>
  <c r="C4093" i="2"/>
  <c r="A4093" i="2"/>
  <c r="E4092" i="2"/>
  <c r="D4092" i="2"/>
  <c r="C4092" i="2"/>
  <c r="A4092" i="2"/>
  <c r="E4091" i="2"/>
  <c r="D4091" i="2"/>
  <c r="C4091" i="2"/>
  <c r="A4091" i="2"/>
  <c r="E4090" i="2"/>
  <c r="D4090" i="2"/>
  <c r="C4090" i="2"/>
  <c r="A4090" i="2"/>
  <c r="E4089" i="2"/>
  <c r="D4089" i="2"/>
  <c r="C4089" i="2"/>
  <c r="A4089" i="2"/>
  <c r="E4088" i="2"/>
  <c r="D4088" i="2"/>
  <c r="C4088" i="2"/>
  <c r="A4088" i="2"/>
  <c r="E4087" i="2"/>
  <c r="D4087" i="2"/>
  <c r="C4087" i="2"/>
  <c r="A4087" i="2"/>
  <c r="E4086" i="2"/>
  <c r="D4086" i="2"/>
  <c r="C4086" i="2"/>
  <c r="A4086" i="2"/>
  <c r="E4085" i="2"/>
  <c r="D4085" i="2"/>
  <c r="C4085" i="2"/>
  <c r="A4085" i="2"/>
  <c r="E4084" i="2"/>
  <c r="D4084" i="2"/>
  <c r="C4084" i="2"/>
  <c r="A4084" i="2"/>
  <c r="E4083" i="2"/>
  <c r="D4083" i="2"/>
  <c r="C4083" i="2"/>
  <c r="A4083" i="2"/>
  <c r="E4082" i="2"/>
  <c r="D4082" i="2"/>
  <c r="C4082" i="2"/>
  <c r="A4082" i="2"/>
  <c r="E4081" i="2"/>
  <c r="D4081" i="2"/>
  <c r="C4081" i="2"/>
  <c r="A4081" i="2"/>
  <c r="E4080" i="2"/>
  <c r="D4080" i="2"/>
  <c r="C4080" i="2"/>
  <c r="A4080" i="2"/>
  <c r="E4079" i="2"/>
  <c r="D4079" i="2"/>
  <c r="C4079" i="2"/>
  <c r="A4079" i="2"/>
  <c r="E4078" i="2"/>
  <c r="D4078" i="2"/>
  <c r="C4078" i="2"/>
  <c r="A4078" i="2"/>
  <c r="E4077" i="2"/>
  <c r="D4077" i="2"/>
  <c r="C4077" i="2"/>
  <c r="A4077" i="2"/>
  <c r="E4076" i="2"/>
  <c r="D4076" i="2"/>
  <c r="C4076" i="2"/>
  <c r="A4076" i="2"/>
  <c r="E4075" i="2"/>
  <c r="D4075" i="2"/>
  <c r="C4075" i="2"/>
  <c r="A4075" i="2"/>
  <c r="E4074" i="2"/>
  <c r="D4074" i="2"/>
  <c r="C4074" i="2"/>
  <c r="A4074" i="2"/>
  <c r="E4073" i="2"/>
  <c r="D4073" i="2"/>
  <c r="C4073" i="2"/>
  <c r="A4073" i="2"/>
  <c r="E4072" i="2"/>
  <c r="D4072" i="2"/>
  <c r="C4072" i="2"/>
  <c r="A4072" i="2"/>
  <c r="E4071" i="2"/>
  <c r="D4071" i="2"/>
  <c r="C4071" i="2"/>
  <c r="A4071" i="2"/>
  <c r="E4070" i="2"/>
  <c r="D4070" i="2"/>
  <c r="C4070" i="2"/>
  <c r="A4070" i="2"/>
  <c r="E4069" i="2"/>
  <c r="D4069" i="2"/>
  <c r="C4069" i="2"/>
  <c r="A4069" i="2"/>
  <c r="E4068" i="2"/>
  <c r="D4068" i="2"/>
  <c r="C4068" i="2"/>
  <c r="A4068" i="2"/>
  <c r="E4067" i="2"/>
  <c r="D4067" i="2"/>
  <c r="C4067" i="2"/>
  <c r="A4067" i="2"/>
  <c r="E4066" i="2"/>
  <c r="D4066" i="2"/>
  <c r="C4066" i="2"/>
  <c r="A4066" i="2"/>
  <c r="E4065" i="2"/>
  <c r="D4065" i="2"/>
  <c r="C4065" i="2"/>
  <c r="A4065" i="2"/>
  <c r="E4064" i="2"/>
  <c r="D4064" i="2"/>
  <c r="C4064" i="2"/>
  <c r="E4063" i="2"/>
  <c r="D4063" i="2"/>
  <c r="C4063" i="2"/>
  <c r="A4063" i="2"/>
  <c r="E4062" i="2"/>
  <c r="D4062" i="2"/>
  <c r="C4062" i="2"/>
  <c r="A4062" i="2"/>
  <c r="E4061" i="2"/>
  <c r="D4061" i="2"/>
  <c r="C4061" i="2"/>
  <c r="A4061" i="2"/>
  <c r="E4060" i="2"/>
  <c r="D4060" i="2"/>
  <c r="C4060" i="2"/>
  <c r="A4060" i="2"/>
  <c r="E4059" i="2"/>
  <c r="D4059" i="2"/>
  <c r="C4059" i="2"/>
  <c r="A4059" i="2"/>
  <c r="E4058" i="2"/>
  <c r="D4058" i="2"/>
  <c r="C4058" i="2"/>
  <c r="A4058" i="2"/>
  <c r="E4057" i="2"/>
  <c r="D4057" i="2"/>
  <c r="C4057" i="2"/>
  <c r="A4057" i="2"/>
  <c r="E4056" i="2"/>
  <c r="D4056" i="2"/>
  <c r="C4056" i="2"/>
  <c r="A4056" i="2"/>
  <c r="E4055" i="2"/>
  <c r="D4055" i="2"/>
  <c r="C4055" i="2"/>
  <c r="A4055" i="2"/>
  <c r="E4054" i="2"/>
  <c r="D4054" i="2"/>
  <c r="C4054" i="2"/>
  <c r="A4054" i="2"/>
  <c r="E4053" i="2"/>
  <c r="D4053" i="2"/>
  <c r="C4053" i="2"/>
  <c r="A4053" i="2"/>
  <c r="E4052" i="2"/>
  <c r="D4052" i="2"/>
  <c r="C4052" i="2"/>
  <c r="A4052" i="2"/>
  <c r="E4051" i="2"/>
  <c r="D4051" i="2"/>
  <c r="C4051" i="2"/>
  <c r="A4051" i="2"/>
  <c r="E4050" i="2"/>
  <c r="D4050" i="2"/>
  <c r="C4050" i="2"/>
  <c r="A4050" i="2"/>
  <c r="E4049" i="2"/>
  <c r="D4049" i="2"/>
  <c r="C4049" i="2"/>
  <c r="A4049" i="2"/>
  <c r="E4048" i="2"/>
  <c r="D4048" i="2"/>
  <c r="C4048" i="2"/>
  <c r="A4048" i="2"/>
  <c r="E4047" i="2"/>
  <c r="D4047" i="2"/>
  <c r="C4047" i="2"/>
  <c r="A4047" i="2"/>
  <c r="E4046" i="2"/>
  <c r="D4046" i="2"/>
  <c r="C4046" i="2"/>
  <c r="A4046" i="2"/>
  <c r="E4045" i="2"/>
  <c r="D4045" i="2"/>
  <c r="C4045" i="2"/>
  <c r="A4045" i="2"/>
  <c r="E4044" i="2"/>
  <c r="D4044" i="2"/>
  <c r="C4044" i="2"/>
  <c r="A4044" i="2"/>
  <c r="E4043" i="2"/>
  <c r="D4043" i="2"/>
  <c r="C4043" i="2"/>
  <c r="A4043" i="2"/>
  <c r="E4042" i="2"/>
  <c r="D4042" i="2"/>
  <c r="C4042" i="2"/>
  <c r="A4042" i="2"/>
  <c r="E4041" i="2"/>
  <c r="D4041" i="2"/>
  <c r="C4041" i="2"/>
  <c r="A4041" i="2"/>
  <c r="E4040" i="2"/>
  <c r="D4040" i="2"/>
  <c r="C4040" i="2"/>
  <c r="A4040" i="2"/>
  <c r="E4039" i="2"/>
  <c r="D4039" i="2"/>
  <c r="C4039" i="2"/>
  <c r="A4039" i="2"/>
  <c r="E4038" i="2"/>
  <c r="D4038" i="2"/>
  <c r="C4038" i="2"/>
  <c r="A4038" i="2"/>
  <c r="E4037" i="2"/>
  <c r="D4037" i="2"/>
  <c r="C4037" i="2"/>
  <c r="A4037" i="2"/>
  <c r="E4036" i="2"/>
  <c r="D4036" i="2"/>
  <c r="C4036" i="2"/>
  <c r="A4036" i="2"/>
  <c r="E4035" i="2"/>
  <c r="D4035" i="2"/>
  <c r="C4035" i="2"/>
  <c r="A4035" i="2"/>
  <c r="E4034" i="2"/>
  <c r="D4034" i="2"/>
  <c r="C4034" i="2"/>
  <c r="A4034" i="2"/>
  <c r="E4033" i="2"/>
  <c r="D4033" i="2"/>
  <c r="C4033" i="2"/>
  <c r="A4033" i="2"/>
  <c r="E4032" i="2"/>
  <c r="D4032" i="2"/>
  <c r="C4032" i="2"/>
  <c r="A4032" i="2"/>
  <c r="E4031" i="2"/>
  <c r="D4031" i="2"/>
  <c r="C4031" i="2"/>
  <c r="A4031" i="2"/>
  <c r="E4030" i="2"/>
  <c r="D4030" i="2"/>
  <c r="C4030" i="2"/>
  <c r="A4030" i="2"/>
  <c r="E4029" i="2"/>
  <c r="D4029" i="2"/>
  <c r="C4029" i="2"/>
  <c r="A4029" i="2"/>
  <c r="E4028" i="2"/>
  <c r="D4028" i="2"/>
  <c r="C4028" i="2"/>
  <c r="A4028" i="2"/>
  <c r="E4027" i="2"/>
  <c r="D4027" i="2"/>
  <c r="C4027" i="2"/>
  <c r="A4027" i="2"/>
  <c r="E4026" i="2"/>
  <c r="D4026" i="2"/>
  <c r="C4026" i="2"/>
  <c r="A4026" i="2"/>
  <c r="E4025" i="2"/>
  <c r="D4025" i="2"/>
  <c r="C4025" i="2"/>
  <c r="A4025" i="2"/>
  <c r="E4024" i="2"/>
  <c r="D4024" i="2"/>
  <c r="C4024" i="2"/>
  <c r="A4024" i="2"/>
  <c r="E4023" i="2"/>
  <c r="D4023" i="2"/>
  <c r="C4023" i="2"/>
  <c r="A4023" i="2"/>
  <c r="E4022" i="2"/>
  <c r="D4022" i="2"/>
  <c r="C4022" i="2"/>
  <c r="A4022" i="2"/>
  <c r="E4021" i="2"/>
  <c r="D4021" i="2"/>
  <c r="C4021" i="2"/>
  <c r="A4021" i="2"/>
  <c r="E4020" i="2"/>
  <c r="D4020" i="2"/>
  <c r="C4020" i="2"/>
  <c r="A4020" i="2"/>
  <c r="E4019" i="2"/>
  <c r="D4019" i="2"/>
  <c r="C4019" i="2"/>
  <c r="A4019" i="2"/>
  <c r="E4018" i="2"/>
  <c r="D4018" i="2"/>
  <c r="C4018" i="2"/>
  <c r="A4018" i="2"/>
  <c r="E4017" i="2"/>
  <c r="D4017" i="2"/>
  <c r="C4017" i="2"/>
  <c r="A4017" i="2"/>
  <c r="E4016" i="2"/>
  <c r="D4016" i="2"/>
  <c r="C4016" i="2"/>
  <c r="A4016" i="2"/>
  <c r="E4015" i="2"/>
  <c r="D4015" i="2"/>
  <c r="C4015" i="2"/>
  <c r="A4015" i="2"/>
  <c r="E4014" i="2"/>
  <c r="D4014" i="2"/>
  <c r="C4014" i="2"/>
  <c r="A4014" i="2"/>
  <c r="E4013" i="2"/>
  <c r="D4013" i="2"/>
  <c r="C4013" i="2"/>
  <c r="E4012" i="2"/>
  <c r="D4012" i="2"/>
  <c r="C4012" i="2"/>
  <c r="A4012" i="2"/>
  <c r="E4011" i="2"/>
  <c r="D4011" i="2"/>
  <c r="C4011" i="2"/>
  <c r="A4011" i="2"/>
  <c r="E4010" i="2"/>
  <c r="D4010" i="2"/>
  <c r="C4010" i="2"/>
  <c r="A4010" i="2"/>
  <c r="E4009" i="2"/>
  <c r="D4009" i="2"/>
  <c r="C4009" i="2"/>
  <c r="A4009" i="2"/>
  <c r="E4008" i="2"/>
  <c r="D4008" i="2"/>
  <c r="C4008" i="2"/>
  <c r="A4008" i="2"/>
  <c r="E4007" i="2"/>
  <c r="D4007" i="2"/>
  <c r="C4007" i="2"/>
  <c r="A4007" i="2"/>
  <c r="E4006" i="2"/>
  <c r="D4006" i="2"/>
  <c r="C4006" i="2"/>
  <c r="A4006" i="2"/>
  <c r="E4005" i="2"/>
  <c r="D4005" i="2"/>
  <c r="C4005" i="2"/>
  <c r="A4005" i="2"/>
  <c r="E4004" i="2"/>
  <c r="D4004" i="2"/>
  <c r="C4004" i="2"/>
  <c r="A4004" i="2"/>
  <c r="E4003" i="2"/>
  <c r="D4003" i="2"/>
  <c r="C4003" i="2"/>
  <c r="A4003" i="2"/>
  <c r="E4002" i="2"/>
  <c r="D4002" i="2"/>
  <c r="C4002" i="2"/>
  <c r="A4002" i="2"/>
  <c r="E4001" i="2"/>
  <c r="D4001" i="2"/>
  <c r="C4001" i="2"/>
  <c r="A4001" i="2"/>
  <c r="E4000" i="2"/>
  <c r="D4000" i="2"/>
  <c r="C4000" i="2"/>
  <c r="A4000" i="2"/>
  <c r="E3999" i="2"/>
  <c r="D3999" i="2"/>
  <c r="C3999" i="2"/>
  <c r="A3999" i="2"/>
  <c r="E3998" i="2"/>
  <c r="D3998" i="2"/>
  <c r="C3998" i="2"/>
  <c r="A3998" i="2"/>
  <c r="E3997" i="2"/>
  <c r="D3997" i="2"/>
  <c r="C3997" i="2"/>
  <c r="A3997" i="2"/>
  <c r="E3996" i="2"/>
  <c r="D3996" i="2"/>
  <c r="C3996" i="2"/>
  <c r="A3996" i="2"/>
  <c r="E3995" i="2"/>
  <c r="D3995" i="2"/>
  <c r="C3995" i="2"/>
  <c r="A3995" i="2"/>
  <c r="E3994" i="2"/>
  <c r="D3994" i="2"/>
  <c r="C3994" i="2"/>
  <c r="A3994" i="2"/>
  <c r="E3993" i="2"/>
  <c r="D3993" i="2"/>
  <c r="C3993" i="2"/>
  <c r="A3993" i="2"/>
  <c r="E3992" i="2"/>
  <c r="D3992" i="2"/>
  <c r="C3992" i="2"/>
  <c r="A3992" i="2"/>
  <c r="E3991" i="2"/>
  <c r="D3991" i="2"/>
  <c r="C3991" i="2"/>
  <c r="A3991" i="2"/>
  <c r="E3990" i="2"/>
  <c r="D3990" i="2"/>
  <c r="C3990" i="2"/>
  <c r="A3990" i="2"/>
  <c r="E3989" i="2"/>
  <c r="D3989" i="2"/>
  <c r="C3989" i="2"/>
  <c r="A3989" i="2"/>
  <c r="E3988" i="2"/>
  <c r="D3988" i="2"/>
  <c r="C3988" i="2"/>
  <c r="A3988" i="2"/>
  <c r="E3987" i="2"/>
  <c r="D3987" i="2"/>
  <c r="C3987" i="2"/>
  <c r="A3987" i="2"/>
  <c r="E3986" i="2"/>
  <c r="D3986" i="2"/>
  <c r="C3986" i="2"/>
  <c r="A3986" i="2"/>
  <c r="E3985" i="2"/>
  <c r="D3985" i="2"/>
  <c r="C3985" i="2"/>
  <c r="A3985" i="2"/>
  <c r="E3984" i="2"/>
  <c r="D3984" i="2"/>
  <c r="C3984" i="2"/>
  <c r="A3984" i="2"/>
  <c r="E3983" i="2"/>
  <c r="D3983" i="2"/>
  <c r="C3983" i="2"/>
  <c r="A3983" i="2"/>
  <c r="E3982" i="2"/>
  <c r="D3982" i="2"/>
  <c r="C3982" i="2"/>
  <c r="A3982" i="2"/>
  <c r="E3981" i="2"/>
  <c r="D3981" i="2"/>
  <c r="C3981" i="2"/>
  <c r="A3981" i="2"/>
  <c r="E3980" i="2"/>
  <c r="D3980" i="2"/>
  <c r="C3980" i="2"/>
  <c r="A3980" i="2"/>
  <c r="E3979" i="2"/>
  <c r="D3979" i="2"/>
  <c r="C3979" i="2"/>
  <c r="A3979" i="2"/>
  <c r="E3978" i="2"/>
  <c r="D3978" i="2"/>
  <c r="C3978" i="2"/>
  <c r="A3978" i="2"/>
  <c r="E3977" i="2"/>
  <c r="D3977" i="2"/>
  <c r="C3977" i="2"/>
  <c r="A3977" i="2"/>
  <c r="E3976" i="2"/>
  <c r="D3976" i="2"/>
  <c r="C3976" i="2"/>
  <c r="A3976" i="2"/>
  <c r="E3975" i="2"/>
  <c r="D3975" i="2"/>
  <c r="C3975" i="2"/>
  <c r="A3975" i="2"/>
  <c r="E3974" i="2"/>
  <c r="D3974" i="2"/>
  <c r="C3974" i="2"/>
  <c r="A3974" i="2"/>
  <c r="E3973" i="2"/>
  <c r="D3973" i="2"/>
  <c r="C3973" i="2"/>
  <c r="A3973" i="2"/>
  <c r="E3972" i="2"/>
  <c r="D3972" i="2"/>
  <c r="C3972" i="2"/>
  <c r="A3972" i="2"/>
  <c r="E3971" i="2"/>
  <c r="D3971" i="2"/>
  <c r="C3971" i="2"/>
  <c r="A3971" i="2"/>
  <c r="E3970" i="2"/>
  <c r="D3970" i="2"/>
  <c r="C3970" i="2"/>
  <c r="A3970" i="2"/>
  <c r="E3969" i="2"/>
  <c r="D3969" i="2"/>
  <c r="C3969" i="2"/>
  <c r="A3969" i="2"/>
  <c r="E3968" i="2"/>
  <c r="D3968" i="2"/>
  <c r="C3968" i="2"/>
  <c r="A3968" i="2"/>
  <c r="E3967" i="2"/>
  <c r="D3967" i="2"/>
  <c r="C3967" i="2"/>
  <c r="A3967" i="2"/>
  <c r="E3966" i="2"/>
  <c r="D3966" i="2"/>
  <c r="C3966" i="2"/>
  <c r="A3966" i="2"/>
  <c r="E3965" i="2"/>
  <c r="D3965" i="2"/>
  <c r="C3965" i="2"/>
  <c r="A3965" i="2"/>
  <c r="E3964" i="2"/>
  <c r="D3964" i="2"/>
  <c r="C3964" i="2"/>
  <c r="A3964" i="2"/>
  <c r="E3963" i="2"/>
  <c r="D3963" i="2"/>
  <c r="C3963" i="2"/>
  <c r="A3963" i="2"/>
  <c r="E3962" i="2"/>
  <c r="D3962" i="2"/>
  <c r="C3962" i="2"/>
  <c r="A3962" i="2"/>
  <c r="E3961" i="2"/>
  <c r="D3961" i="2"/>
  <c r="C3961" i="2"/>
  <c r="A3961" i="2"/>
  <c r="E3960" i="2"/>
  <c r="D3960" i="2"/>
  <c r="C3960" i="2"/>
  <c r="A3960" i="2"/>
  <c r="E3959" i="2"/>
  <c r="D3959" i="2"/>
  <c r="C3959" i="2"/>
  <c r="A3959" i="2"/>
  <c r="E3958" i="2"/>
  <c r="D3958" i="2"/>
  <c r="C3958" i="2"/>
  <c r="A3958" i="2"/>
  <c r="E3957" i="2"/>
  <c r="D3957" i="2"/>
  <c r="C3957" i="2"/>
  <c r="A3957" i="2"/>
  <c r="E3956" i="2"/>
  <c r="D3956" i="2"/>
  <c r="C3956" i="2"/>
  <c r="A3956" i="2"/>
  <c r="E3955" i="2"/>
  <c r="D3955" i="2"/>
  <c r="C3955" i="2"/>
  <c r="A3955" i="2"/>
  <c r="E3954" i="2"/>
  <c r="D3954" i="2"/>
  <c r="C3954" i="2"/>
  <c r="A3954" i="2"/>
  <c r="E3953" i="2"/>
  <c r="D3953" i="2"/>
  <c r="C3953" i="2"/>
  <c r="A3953" i="2"/>
  <c r="E3952" i="2"/>
  <c r="D3952" i="2"/>
  <c r="C3952" i="2"/>
  <c r="A3952" i="2"/>
  <c r="E3951" i="2"/>
  <c r="D3951" i="2"/>
  <c r="C3951" i="2"/>
  <c r="A3951" i="2"/>
  <c r="E3950" i="2"/>
  <c r="D3950" i="2"/>
  <c r="C3950" i="2"/>
  <c r="A3950" i="2"/>
  <c r="E3949" i="2"/>
  <c r="D3949" i="2"/>
  <c r="C3949" i="2"/>
  <c r="A3949" i="2"/>
  <c r="E3948" i="2"/>
  <c r="D3948" i="2"/>
  <c r="C3948" i="2"/>
  <c r="A3948" i="2"/>
  <c r="E3947" i="2"/>
  <c r="D3947" i="2"/>
  <c r="C3947" i="2"/>
  <c r="A3947" i="2"/>
  <c r="E3946" i="2"/>
  <c r="D3946" i="2"/>
  <c r="C3946" i="2"/>
  <c r="A3946" i="2"/>
  <c r="E3945" i="2"/>
  <c r="D3945" i="2"/>
  <c r="C3945" i="2"/>
  <c r="A3945" i="2"/>
  <c r="E3944" i="2"/>
  <c r="D3944" i="2"/>
  <c r="C3944" i="2"/>
  <c r="A3944" i="2"/>
  <c r="E3943" i="2"/>
  <c r="D3943" i="2"/>
  <c r="C3943" i="2"/>
  <c r="A3943" i="2"/>
  <c r="E3942" i="2"/>
  <c r="D3942" i="2"/>
  <c r="C3942" i="2"/>
  <c r="A3942" i="2"/>
  <c r="E3941" i="2"/>
  <c r="D3941" i="2"/>
  <c r="C3941" i="2"/>
  <c r="A3941" i="2"/>
  <c r="E3940" i="2"/>
  <c r="D3940" i="2"/>
  <c r="C3940" i="2"/>
  <c r="A3940" i="2"/>
  <c r="E3939" i="2"/>
  <c r="D3939" i="2"/>
  <c r="C3939" i="2"/>
  <c r="A3939" i="2"/>
  <c r="E3938" i="2"/>
  <c r="D3938" i="2"/>
  <c r="C3938" i="2"/>
  <c r="A3938" i="2"/>
  <c r="E3937" i="2"/>
  <c r="D3937" i="2"/>
  <c r="C3937" i="2"/>
  <c r="A3937" i="2"/>
  <c r="E3936" i="2"/>
  <c r="D3936" i="2"/>
  <c r="C3936" i="2"/>
  <c r="A3936" i="2"/>
  <c r="E3935" i="2"/>
  <c r="D3935" i="2"/>
  <c r="C3935" i="2"/>
  <c r="A3935" i="2"/>
  <c r="E3934" i="2"/>
  <c r="D3934" i="2"/>
  <c r="C3934" i="2"/>
  <c r="A3934" i="2"/>
  <c r="E3933" i="2"/>
  <c r="D3933" i="2"/>
  <c r="C3933" i="2"/>
  <c r="A3933" i="2"/>
  <c r="E3932" i="2"/>
  <c r="D3932" i="2"/>
  <c r="C3932" i="2"/>
  <c r="A3932" i="2"/>
  <c r="E3931" i="2"/>
  <c r="D3931" i="2"/>
  <c r="C3931" i="2"/>
  <c r="A3931" i="2"/>
  <c r="E3930" i="2"/>
  <c r="D3930" i="2"/>
  <c r="C3930" i="2"/>
  <c r="A3930" i="2"/>
  <c r="E3929" i="2"/>
  <c r="D3929" i="2"/>
  <c r="C3929" i="2"/>
  <c r="A3929" i="2"/>
  <c r="E3928" i="2"/>
  <c r="D3928" i="2"/>
  <c r="C3928" i="2"/>
  <c r="A3928" i="2"/>
  <c r="E3927" i="2"/>
  <c r="D3927" i="2"/>
  <c r="C3927" i="2"/>
  <c r="A3927" i="2"/>
  <c r="E3926" i="2"/>
  <c r="D3926" i="2"/>
  <c r="C3926" i="2"/>
  <c r="A3926" i="2"/>
  <c r="E3925" i="2"/>
  <c r="D3925" i="2"/>
  <c r="C3925" i="2"/>
  <c r="A3925" i="2"/>
  <c r="E3924" i="2"/>
  <c r="D3924" i="2"/>
  <c r="C3924" i="2"/>
  <c r="A3924" i="2"/>
  <c r="E3923" i="2"/>
  <c r="D3923" i="2"/>
  <c r="C3923" i="2"/>
  <c r="A3923" i="2"/>
  <c r="E3922" i="2"/>
  <c r="D3922" i="2"/>
  <c r="C3922" i="2"/>
  <c r="A3922" i="2"/>
  <c r="E3921" i="2"/>
  <c r="D3921" i="2"/>
  <c r="C3921" i="2"/>
  <c r="A3921" i="2"/>
  <c r="E3920" i="2"/>
  <c r="D3920" i="2"/>
  <c r="C3920" i="2"/>
  <c r="A3920" i="2"/>
  <c r="E3919" i="2"/>
  <c r="D3919" i="2"/>
  <c r="C3919" i="2"/>
  <c r="A3919" i="2"/>
  <c r="E3918" i="2"/>
  <c r="D3918" i="2"/>
  <c r="C3918" i="2"/>
  <c r="A3918" i="2"/>
  <c r="E3917" i="2"/>
  <c r="D3917" i="2"/>
  <c r="C3917" i="2"/>
  <c r="A3917" i="2"/>
  <c r="E3916" i="2"/>
  <c r="D3916" i="2"/>
  <c r="C3916" i="2"/>
  <c r="A3916" i="2"/>
  <c r="E3915" i="2"/>
  <c r="D3915" i="2"/>
  <c r="C3915" i="2"/>
  <c r="A3915" i="2"/>
  <c r="E3914" i="2"/>
  <c r="D3914" i="2"/>
  <c r="C3914" i="2"/>
  <c r="A3914" i="2"/>
  <c r="E3913" i="2"/>
  <c r="D3913" i="2"/>
  <c r="C3913" i="2"/>
  <c r="A3913" i="2"/>
  <c r="E3912" i="2"/>
  <c r="D3912" i="2"/>
  <c r="C3912" i="2"/>
  <c r="A3912" i="2"/>
  <c r="E3911" i="2"/>
  <c r="D3911" i="2"/>
  <c r="C3911" i="2"/>
  <c r="A3911" i="2"/>
  <c r="E3910" i="2"/>
  <c r="D3910" i="2"/>
  <c r="C3910" i="2"/>
  <c r="A3910" i="2"/>
  <c r="E3909" i="2"/>
  <c r="D3909" i="2"/>
  <c r="C3909" i="2"/>
  <c r="A3909" i="2"/>
  <c r="E3908" i="2"/>
  <c r="D3908" i="2"/>
  <c r="C3908" i="2"/>
  <c r="A3908" i="2"/>
  <c r="E3907" i="2"/>
  <c r="D3907" i="2"/>
  <c r="C3907" i="2"/>
  <c r="A3907" i="2"/>
  <c r="E3906" i="2"/>
  <c r="D3906" i="2"/>
  <c r="C3906" i="2"/>
  <c r="A3906" i="2"/>
  <c r="E3905" i="2"/>
  <c r="D3905" i="2"/>
  <c r="C3905" i="2"/>
  <c r="A3905" i="2"/>
  <c r="E3904" i="2"/>
  <c r="D3904" i="2"/>
  <c r="C3904" i="2"/>
  <c r="A3904" i="2"/>
  <c r="E3903" i="2"/>
  <c r="D3903" i="2"/>
  <c r="C3903" i="2"/>
  <c r="A3903" i="2"/>
  <c r="E3902" i="2"/>
  <c r="D3902" i="2"/>
  <c r="C3902" i="2"/>
  <c r="A3902" i="2"/>
  <c r="E3901" i="2"/>
  <c r="D3901" i="2"/>
  <c r="C3901" i="2"/>
  <c r="A3901" i="2"/>
  <c r="E3900" i="2"/>
  <c r="D3900" i="2"/>
  <c r="C3900" i="2"/>
  <c r="A3900" i="2"/>
  <c r="E3899" i="2"/>
  <c r="D3899" i="2"/>
  <c r="C3899" i="2"/>
  <c r="A3899" i="2"/>
  <c r="E3898" i="2"/>
  <c r="D3898" i="2"/>
  <c r="C3898" i="2"/>
  <c r="A3898" i="2"/>
  <c r="E3897" i="2"/>
  <c r="D3897" i="2"/>
  <c r="C3897" i="2"/>
  <c r="A3897" i="2"/>
  <c r="E3896" i="2"/>
  <c r="D3896" i="2"/>
  <c r="C3896" i="2"/>
  <c r="A3896" i="2"/>
  <c r="E3895" i="2"/>
  <c r="D3895" i="2"/>
  <c r="C3895" i="2"/>
  <c r="A3895" i="2"/>
  <c r="E3894" i="2"/>
  <c r="D3894" i="2"/>
  <c r="C3894" i="2"/>
  <c r="A3894" i="2"/>
  <c r="E3893" i="2"/>
  <c r="D3893" i="2"/>
  <c r="C3893" i="2"/>
  <c r="A3893" i="2"/>
  <c r="E3892" i="2"/>
  <c r="D3892" i="2"/>
  <c r="C3892" i="2"/>
  <c r="A3892" i="2"/>
  <c r="E3891" i="2"/>
  <c r="D3891" i="2"/>
  <c r="C3891" i="2"/>
  <c r="A3891" i="2"/>
  <c r="E3890" i="2"/>
  <c r="D3890" i="2"/>
  <c r="C3890" i="2"/>
  <c r="A3890" i="2"/>
  <c r="E3889" i="2"/>
  <c r="D3889" i="2"/>
  <c r="C3889" i="2"/>
  <c r="A3889" i="2"/>
  <c r="E3888" i="2"/>
  <c r="D3888" i="2"/>
  <c r="C3888" i="2"/>
  <c r="A3888" i="2"/>
  <c r="E3887" i="2"/>
  <c r="D3887" i="2"/>
  <c r="C3887" i="2"/>
  <c r="A3887" i="2"/>
  <c r="E3886" i="2"/>
  <c r="D3886" i="2"/>
  <c r="C3886" i="2"/>
  <c r="A3886" i="2"/>
  <c r="E3885" i="2"/>
  <c r="D3885" i="2"/>
  <c r="C3885" i="2"/>
  <c r="A3885" i="2"/>
  <c r="E3884" i="2"/>
  <c r="D3884" i="2"/>
  <c r="C3884" i="2"/>
  <c r="A3884" i="2"/>
  <c r="E3883" i="2"/>
  <c r="D3883" i="2"/>
  <c r="C3883" i="2"/>
  <c r="A3883" i="2"/>
  <c r="E3882" i="2"/>
  <c r="D3882" i="2"/>
  <c r="C3882" i="2"/>
  <c r="A3882" i="2"/>
  <c r="E3881" i="2"/>
  <c r="D3881" i="2"/>
  <c r="C3881" i="2"/>
  <c r="A3881" i="2"/>
  <c r="E3880" i="2"/>
  <c r="D3880" i="2"/>
  <c r="C3880" i="2"/>
  <c r="A3880" i="2"/>
  <c r="E3879" i="2"/>
  <c r="D3879" i="2"/>
  <c r="C3879" i="2"/>
  <c r="A3879" i="2"/>
  <c r="E3878" i="2"/>
  <c r="D3878" i="2"/>
  <c r="C3878" i="2"/>
  <c r="A3878" i="2"/>
  <c r="E3877" i="2"/>
  <c r="D3877" i="2"/>
  <c r="C3877" i="2"/>
  <c r="A3877" i="2"/>
  <c r="E3876" i="2"/>
  <c r="D3876" i="2"/>
  <c r="C3876" i="2"/>
  <c r="A3876" i="2"/>
  <c r="E3875" i="2"/>
  <c r="D3875" i="2"/>
  <c r="C3875" i="2"/>
  <c r="A3875" i="2"/>
  <c r="E3874" i="2"/>
  <c r="D3874" i="2"/>
  <c r="C3874" i="2"/>
  <c r="A3874" i="2"/>
  <c r="E3873" i="2"/>
  <c r="D3873" i="2"/>
  <c r="C3873" i="2"/>
  <c r="A3873" i="2"/>
  <c r="E3872" i="2"/>
  <c r="D3872" i="2"/>
  <c r="C3872" i="2"/>
  <c r="A3872" i="2"/>
  <c r="E3871" i="2"/>
  <c r="D3871" i="2"/>
  <c r="C3871" i="2"/>
  <c r="A3871" i="2"/>
  <c r="E3870" i="2"/>
  <c r="D3870" i="2"/>
  <c r="C3870" i="2"/>
  <c r="A3870" i="2"/>
  <c r="E3869" i="2"/>
  <c r="D3869" i="2"/>
  <c r="C3869" i="2"/>
  <c r="A3869" i="2"/>
  <c r="E3868" i="2"/>
  <c r="D3868" i="2"/>
  <c r="C3868" i="2"/>
  <c r="A3868" i="2"/>
  <c r="E3867" i="2"/>
  <c r="D3867" i="2"/>
  <c r="C3867" i="2"/>
  <c r="A3867" i="2"/>
  <c r="E3866" i="2"/>
  <c r="D3866" i="2"/>
  <c r="C3866" i="2"/>
  <c r="A3866" i="2"/>
  <c r="E3865" i="2"/>
  <c r="D3865" i="2"/>
  <c r="C3865" i="2"/>
  <c r="A3865" i="2"/>
  <c r="E3864" i="2"/>
  <c r="D3864" i="2"/>
  <c r="C3864" i="2"/>
  <c r="A3864" i="2"/>
  <c r="E3863" i="2"/>
  <c r="D3863" i="2"/>
  <c r="C3863" i="2"/>
  <c r="A3863" i="2"/>
  <c r="E3862" i="2"/>
  <c r="D3862" i="2"/>
  <c r="C3862" i="2"/>
  <c r="A3862" i="2"/>
  <c r="E3861" i="2"/>
  <c r="D3861" i="2"/>
  <c r="C3861" i="2"/>
  <c r="A3861" i="2"/>
  <c r="E3860" i="2"/>
  <c r="D3860" i="2"/>
  <c r="C3860" i="2"/>
  <c r="A3860" i="2"/>
  <c r="E3859" i="2"/>
  <c r="D3859" i="2"/>
  <c r="C3859" i="2"/>
  <c r="A3859" i="2"/>
  <c r="E3858" i="2"/>
  <c r="D3858" i="2"/>
  <c r="C3858" i="2"/>
  <c r="A3858" i="2"/>
  <c r="E3857" i="2"/>
  <c r="D3857" i="2"/>
  <c r="C3857" i="2"/>
  <c r="A3857" i="2"/>
  <c r="E3856" i="2"/>
  <c r="D3856" i="2"/>
  <c r="C3856" i="2"/>
  <c r="A3856" i="2"/>
  <c r="E3855" i="2"/>
  <c r="D3855" i="2"/>
  <c r="C3855" i="2"/>
  <c r="A3855" i="2"/>
  <c r="E3854" i="2"/>
  <c r="D3854" i="2"/>
  <c r="C3854" i="2"/>
  <c r="A3854" i="2"/>
  <c r="E3853" i="2"/>
  <c r="D3853" i="2"/>
  <c r="C3853" i="2"/>
  <c r="A3853" i="2"/>
  <c r="E3852" i="2"/>
  <c r="D3852" i="2"/>
  <c r="C3852" i="2"/>
  <c r="A3852" i="2"/>
  <c r="E3851" i="2"/>
  <c r="D3851" i="2"/>
  <c r="C3851" i="2"/>
  <c r="A3851" i="2"/>
  <c r="E3850" i="2"/>
  <c r="D3850" i="2"/>
  <c r="C3850" i="2"/>
  <c r="A3850" i="2"/>
  <c r="E3849" i="2"/>
  <c r="D3849" i="2"/>
  <c r="C3849" i="2"/>
  <c r="A3849" i="2"/>
  <c r="E3848" i="2"/>
  <c r="D3848" i="2"/>
  <c r="C3848" i="2"/>
  <c r="A3848" i="2"/>
  <c r="E3847" i="2"/>
  <c r="D3847" i="2"/>
  <c r="C3847" i="2"/>
  <c r="A3847" i="2"/>
  <c r="E3846" i="2"/>
  <c r="D3846" i="2"/>
  <c r="C3846" i="2"/>
  <c r="A3846" i="2"/>
  <c r="E3845" i="2"/>
  <c r="D3845" i="2"/>
  <c r="C3845" i="2"/>
  <c r="A3845" i="2"/>
  <c r="E3844" i="2"/>
  <c r="D3844" i="2"/>
  <c r="C3844" i="2"/>
  <c r="A3844" i="2"/>
  <c r="E3843" i="2"/>
  <c r="D3843" i="2"/>
  <c r="C3843" i="2"/>
  <c r="A3843" i="2"/>
  <c r="E3842" i="2"/>
  <c r="D3842" i="2"/>
  <c r="C3842" i="2"/>
  <c r="A3842" i="2"/>
  <c r="E3841" i="2"/>
  <c r="D3841" i="2"/>
  <c r="C3841" i="2"/>
  <c r="A3841" i="2"/>
  <c r="E3840" i="2"/>
  <c r="D3840" i="2"/>
  <c r="C3840" i="2"/>
  <c r="A3840" i="2"/>
  <c r="E3839" i="2"/>
  <c r="D3839" i="2"/>
  <c r="C3839" i="2"/>
  <c r="A3839" i="2"/>
  <c r="E3838" i="2"/>
  <c r="D3838" i="2"/>
  <c r="C3838" i="2"/>
  <c r="A3838" i="2"/>
  <c r="E3837" i="2"/>
  <c r="D3837" i="2"/>
  <c r="C3837" i="2"/>
  <c r="A3837" i="2"/>
  <c r="E3836" i="2"/>
  <c r="D3836" i="2"/>
  <c r="C3836" i="2"/>
  <c r="A3836" i="2"/>
  <c r="E3835" i="2"/>
  <c r="D3835" i="2"/>
  <c r="C3835" i="2"/>
  <c r="A3835" i="2"/>
  <c r="E3834" i="2"/>
  <c r="D3834" i="2"/>
  <c r="C3834" i="2"/>
  <c r="A3834" i="2"/>
  <c r="E3833" i="2"/>
  <c r="D3833" i="2"/>
  <c r="C3833" i="2"/>
  <c r="A3833" i="2"/>
  <c r="E3832" i="2"/>
  <c r="D3832" i="2"/>
  <c r="C3832" i="2"/>
  <c r="A3832" i="2"/>
  <c r="E3831" i="2"/>
  <c r="D3831" i="2"/>
  <c r="C3831" i="2"/>
  <c r="A3831" i="2"/>
  <c r="E3830" i="2"/>
  <c r="D3830" i="2"/>
  <c r="C3830" i="2"/>
  <c r="A3830" i="2"/>
  <c r="E3829" i="2"/>
  <c r="D3829" i="2"/>
  <c r="C3829" i="2"/>
  <c r="A3829" i="2"/>
  <c r="E3828" i="2"/>
  <c r="D3828" i="2"/>
  <c r="C3828" i="2"/>
  <c r="A3828" i="2"/>
  <c r="E3827" i="2"/>
  <c r="D3827" i="2"/>
  <c r="C3827" i="2"/>
  <c r="A3827" i="2"/>
  <c r="E3826" i="2"/>
  <c r="D3826" i="2"/>
  <c r="C3826" i="2"/>
  <c r="A3826" i="2"/>
  <c r="E3825" i="2"/>
  <c r="D3825" i="2"/>
  <c r="C3825" i="2"/>
  <c r="A3825" i="2"/>
  <c r="E3824" i="2"/>
  <c r="D3824" i="2"/>
  <c r="C3824" i="2"/>
  <c r="A3824" i="2"/>
  <c r="E3823" i="2"/>
  <c r="D3823" i="2"/>
  <c r="C3823" i="2"/>
  <c r="A3823" i="2"/>
  <c r="E3822" i="2"/>
  <c r="D3822" i="2"/>
  <c r="C3822" i="2"/>
  <c r="A3822" i="2"/>
  <c r="E3821" i="2"/>
  <c r="D3821" i="2"/>
  <c r="C3821" i="2"/>
  <c r="A3821" i="2"/>
  <c r="E3820" i="2"/>
  <c r="D3820" i="2"/>
  <c r="C3820" i="2"/>
  <c r="A3820" i="2"/>
  <c r="E3819" i="2"/>
  <c r="D3819" i="2"/>
  <c r="C3819" i="2"/>
  <c r="A3819" i="2"/>
  <c r="E3818" i="2"/>
  <c r="D3818" i="2"/>
  <c r="C3818" i="2"/>
  <c r="A3818" i="2"/>
  <c r="E3817" i="2"/>
  <c r="D3817" i="2"/>
  <c r="C3817" i="2"/>
  <c r="A3817" i="2"/>
  <c r="E3816" i="2"/>
  <c r="D3816" i="2"/>
  <c r="C3816" i="2"/>
  <c r="A3816" i="2"/>
  <c r="E3815" i="2"/>
  <c r="D3815" i="2"/>
  <c r="C3815" i="2"/>
  <c r="A3815" i="2"/>
  <c r="E3814" i="2"/>
  <c r="D3814" i="2"/>
  <c r="C3814" i="2"/>
  <c r="A3814" i="2"/>
  <c r="E3813" i="2"/>
  <c r="D3813" i="2"/>
  <c r="C3813" i="2"/>
  <c r="A3813" i="2"/>
  <c r="E3812" i="2"/>
  <c r="D3812" i="2"/>
  <c r="C3812" i="2"/>
  <c r="A3812" i="2"/>
  <c r="E3811" i="2"/>
  <c r="D3811" i="2"/>
  <c r="C3811" i="2"/>
  <c r="A3811" i="2"/>
  <c r="E3810" i="2"/>
  <c r="D3810" i="2"/>
  <c r="C3810" i="2"/>
  <c r="A3810" i="2"/>
  <c r="E3809" i="2"/>
  <c r="D3809" i="2"/>
  <c r="C3809" i="2"/>
  <c r="A3809" i="2"/>
  <c r="E3808" i="2"/>
  <c r="D3808" i="2"/>
  <c r="C3808" i="2"/>
  <c r="A3808" i="2"/>
  <c r="E3807" i="2"/>
  <c r="D3807" i="2"/>
  <c r="C3807" i="2"/>
  <c r="A3807" i="2"/>
  <c r="E3806" i="2"/>
  <c r="D3806" i="2"/>
  <c r="C3806" i="2"/>
  <c r="A3806" i="2"/>
  <c r="E3805" i="2"/>
  <c r="D3805" i="2"/>
  <c r="C3805" i="2"/>
  <c r="A3805" i="2"/>
  <c r="E3804" i="2"/>
  <c r="D3804" i="2"/>
  <c r="C3804" i="2"/>
  <c r="A3804" i="2"/>
  <c r="E3803" i="2"/>
  <c r="D3803" i="2"/>
  <c r="C3803" i="2"/>
  <c r="A3803" i="2"/>
  <c r="E3802" i="2"/>
  <c r="D3802" i="2"/>
  <c r="C3802" i="2"/>
  <c r="A3802" i="2"/>
  <c r="E3801" i="2"/>
  <c r="D3801" i="2"/>
  <c r="C3801" i="2"/>
  <c r="A3801" i="2"/>
  <c r="E3800" i="2"/>
  <c r="D3800" i="2"/>
  <c r="C3800" i="2"/>
  <c r="A3800" i="2"/>
  <c r="E3799" i="2"/>
  <c r="D3799" i="2"/>
  <c r="C3799" i="2"/>
  <c r="A3799" i="2"/>
  <c r="E3798" i="2"/>
  <c r="D3798" i="2"/>
  <c r="C3798" i="2"/>
  <c r="A3798" i="2"/>
  <c r="E3797" i="2"/>
  <c r="D3797" i="2"/>
  <c r="C3797" i="2"/>
  <c r="A3797" i="2"/>
  <c r="E3796" i="2"/>
  <c r="D3796" i="2"/>
  <c r="C3796" i="2"/>
  <c r="A3796" i="2"/>
  <c r="E3795" i="2"/>
  <c r="D3795" i="2"/>
  <c r="C3795" i="2"/>
  <c r="A3795" i="2"/>
  <c r="E3794" i="2"/>
  <c r="D3794" i="2"/>
  <c r="C3794" i="2"/>
  <c r="A3794" i="2"/>
  <c r="E3793" i="2"/>
  <c r="D3793" i="2"/>
  <c r="C3793" i="2"/>
  <c r="A3793" i="2"/>
  <c r="E3792" i="2"/>
  <c r="D3792" i="2"/>
  <c r="C3792" i="2"/>
  <c r="A3792" i="2"/>
  <c r="E3791" i="2"/>
  <c r="D3791" i="2"/>
  <c r="C3791" i="2"/>
  <c r="A3791" i="2"/>
  <c r="E3790" i="2"/>
  <c r="D3790" i="2"/>
  <c r="C3790" i="2"/>
  <c r="A3790" i="2"/>
  <c r="E3789" i="2"/>
  <c r="D3789" i="2"/>
  <c r="C3789" i="2"/>
  <c r="A3789" i="2"/>
  <c r="E3788" i="2"/>
  <c r="D3788" i="2"/>
  <c r="C3788" i="2"/>
  <c r="A3788" i="2"/>
  <c r="E3787" i="2"/>
  <c r="D3787" i="2"/>
  <c r="C3787" i="2"/>
  <c r="A3787" i="2"/>
  <c r="E3786" i="2"/>
  <c r="D3786" i="2"/>
  <c r="C3786" i="2"/>
  <c r="A3786" i="2"/>
  <c r="E3785" i="2"/>
  <c r="D3785" i="2"/>
  <c r="C3785" i="2"/>
  <c r="A3785" i="2"/>
  <c r="E3784" i="2"/>
  <c r="D3784" i="2"/>
  <c r="C3784" i="2"/>
  <c r="A3784" i="2"/>
  <c r="E3783" i="2"/>
  <c r="D3783" i="2"/>
  <c r="C3783" i="2"/>
  <c r="A3783" i="2"/>
  <c r="E3782" i="2"/>
  <c r="D3782" i="2"/>
  <c r="C3782" i="2"/>
  <c r="A3782" i="2"/>
  <c r="E3781" i="2"/>
  <c r="D3781" i="2"/>
  <c r="C3781" i="2"/>
  <c r="A3781" i="2"/>
  <c r="E3780" i="2"/>
  <c r="D3780" i="2"/>
  <c r="C3780" i="2"/>
  <c r="A3780" i="2"/>
  <c r="E3779" i="2"/>
  <c r="D3779" i="2"/>
  <c r="C3779" i="2"/>
  <c r="A3779" i="2"/>
  <c r="E3778" i="2"/>
  <c r="D3778" i="2"/>
  <c r="C3778" i="2"/>
  <c r="A3778" i="2"/>
  <c r="E3777" i="2"/>
  <c r="D3777" i="2"/>
  <c r="C3777" i="2"/>
  <c r="A3777" i="2"/>
  <c r="E3776" i="2"/>
  <c r="D3776" i="2"/>
  <c r="C3776" i="2"/>
  <c r="A3776" i="2"/>
  <c r="E3775" i="2"/>
  <c r="D3775" i="2"/>
  <c r="C3775" i="2"/>
  <c r="A3775" i="2"/>
  <c r="E3774" i="2"/>
  <c r="D3774" i="2"/>
  <c r="C3774" i="2"/>
  <c r="A3774" i="2"/>
  <c r="E3773" i="2"/>
  <c r="D3773" i="2"/>
  <c r="C3773" i="2"/>
  <c r="A3773" i="2"/>
  <c r="E3772" i="2"/>
  <c r="D3772" i="2"/>
  <c r="C3772" i="2"/>
  <c r="A3772" i="2"/>
  <c r="E3771" i="2"/>
  <c r="D3771" i="2"/>
  <c r="C3771" i="2"/>
  <c r="A3771" i="2"/>
  <c r="E3770" i="2"/>
  <c r="D3770" i="2"/>
  <c r="C3770" i="2"/>
  <c r="A3770" i="2"/>
  <c r="E3769" i="2"/>
  <c r="D3769" i="2"/>
  <c r="C3769" i="2"/>
  <c r="A3769" i="2"/>
  <c r="E3768" i="2"/>
  <c r="D3768" i="2"/>
  <c r="C3768" i="2"/>
  <c r="A3768" i="2"/>
  <c r="E3767" i="2"/>
  <c r="D3767" i="2"/>
  <c r="C3767" i="2"/>
  <c r="A3767" i="2"/>
  <c r="E3766" i="2"/>
  <c r="D3766" i="2"/>
  <c r="C3766" i="2"/>
  <c r="A3766" i="2"/>
  <c r="E3765" i="2"/>
  <c r="D3765" i="2"/>
  <c r="C3765" i="2"/>
  <c r="A3765" i="2"/>
  <c r="E3764" i="2"/>
  <c r="D3764" i="2"/>
  <c r="C3764" i="2"/>
  <c r="A3764" i="2"/>
  <c r="E3763" i="2"/>
  <c r="D3763" i="2"/>
  <c r="C3763" i="2"/>
  <c r="A3763" i="2"/>
  <c r="E3762" i="2"/>
  <c r="D3762" i="2"/>
  <c r="C3762" i="2"/>
  <c r="A3762" i="2"/>
  <c r="E3761" i="2"/>
  <c r="D3761" i="2"/>
  <c r="C3761" i="2"/>
  <c r="A3761" i="2"/>
  <c r="E3760" i="2"/>
  <c r="D3760" i="2"/>
  <c r="C3760" i="2"/>
  <c r="A3760" i="2"/>
  <c r="E3759" i="2"/>
  <c r="D3759" i="2"/>
  <c r="C3759" i="2"/>
  <c r="A3759" i="2"/>
  <c r="E3758" i="2"/>
  <c r="D3758" i="2"/>
  <c r="C3758" i="2"/>
  <c r="A3758" i="2"/>
  <c r="E3757" i="2"/>
  <c r="D3757" i="2"/>
  <c r="C3757" i="2"/>
  <c r="A3757" i="2"/>
  <c r="E3756" i="2"/>
  <c r="D3756" i="2"/>
  <c r="C3756" i="2"/>
  <c r="A3756" i="2"/>
  <c r="E3755" i="2"/>
  <c r="D3755" i="2"/>
  <c r="C3755" i="2"/>
  <c r="A3755" i="2"/>
  <c r="E3754" i="2"/>
  <c r="D3754" i="2"/>
  <c r="C3754" i="2"/>
  <c r="A3754" i="2"/>
  <c r="E3753" i="2"/>
  <c r="D3753" i="2"/>
  <c r="C3753" i="2"/>
  <c r="A3753" i="2"/>
  <c r="E3752" i="2"/>
  <c r="D3752" i="2"/>
  <c r="C3752" i="2"/>
  <c r="A3752" i="2"/>
  <c r="E3751" i="2"/>
  <c r="D3751" i="2"/>
  <c r="C3751" i="2"/>
  <c r="A3751" i="2"/>
  <c r="E3750" i="2"/>
  <c r="D3750" i="2"/>
  <c r="C3750" i="2"/>
  <c r="A3750" i="2"/>
  <c r="E3749" i="2"/>
  <c r="D3749" i="2"/>
  <c r="C3749" i="2"/>
  <c r="A3749" i="2"/>
  <c r="E3748" i="2"/>
  <c r="D3748" i="2"/>
  <c r="C3748" i="2"/>
  <c r="A3748" i="2"/>
  <c r="E3747" i="2"/>
  <c r="D3747" i="2"/>
  <c r="C3747" i="2"/>
  <c r="A3747" i="2"/>
  <c r="E3746" i="2"/>
  <c r="D3746" i="2"/>
  <c r="C3746" i="2"/>
  <c r="A3746" i="2"/>
  <c r="E3745" i="2"/>
  <c r="D3745" i="2"/>
  <c r="C3745" i="2"/>
  <c r="A3745" i="2"/>
  <c r="E3744" i="2"/>
  <c r="D3744" i="2"/>
  <c r="C3744" i="2"/>
  <c r="A3744" i="2"/>
  <c r="E3743" i="2"/>
  <c r="D3743" i="2"/>
  <c r="C3743" i="2"/>
  <c r="A3743" i="2"/>
  <c r="E3742" i="2"/>
  <c r="D3742" i="2"/>
  <c r="C3742" i="2"/>
  <c r="A3742" i="2"/>
  <c r="E3741" i="2"/>
  <c r="D3741" i="2"/>
  <c r="C3741" i="2"/>
  <c r="A3741" i="2"/>
  <c r="E3740" i="2"/>
  <c r="D3740" i="2"/>
  <c r="C3740" i="2"/>
  <c r="A3740" i="2"/>
  <c r="E3739" i="2"/>
  <c r="D3739" i="2"/>
  <c r="C3739" i="2"/>
  <c r="A3739" i="2"/>
  <c r="E3738" i="2"/>
  <c r="D3738" i="2"/>
  <c r="C3738" i="2"/>
  <c r="A3738" i="2"/>
  <c r="E3737" i="2"/>
  <c r="D3737" i="2"/>
  <c r="C3737" i="2"/>
  <c r="A3737" i="2"/>
  <c r="E3736" i="2"/>
  <c r="D3736" i="2"/>
  <c r="C3736" i="2"/>
  <c r="A3736" i="2"/>
  <c r="E3735" i="2"/>
  <c r="D3735" i="2"/>
  <c r="C3735" i="2"/>
  <c r="A3735" i="2"/>
  <c r="E3734" i="2"/>
  <c r="D3734" i="2"/>
  <c r="C3734" i="2"/>
  <c r="A3734" i="2"/>
  <c r="E3733" i="2"/>
  <c r="D3733" i="2"/>
  <c r="C3733" i="2"/>
  <c r="A3733" i="2"/>
  <c r="E3732" i="2"/>
  <c r="D3732" i="2"/>
  <c r="C3732" i="2"/>
  <c r="A3732" i="2"/>
  <c r="E3731" i="2"/>
  <c r="D3731" i="2"/>
  <c r="C3731" i="2"/>
  <c r="A3731" i="2"/>
  <c r="E3730" i="2"/>
  <c r="D3730" i="2"/>
  <c r="C3730" i="2"/>
  <c r="A3730" i="2"/>
  <c r="E3729" i="2"/>
  <c r="D3729" i="2"/>
  <c r="C3729" i="2"/>
  <c r="A3729" i="2"/>
  <c r="E3728" i="2"/>
  <c r="D3728" i="2"/>
  <c r="C3728" i="2"/>
  <c r="A3728" i="2"/>
  <c r="E3727" i="2"/>
  <c r="D3727" i="2"/>
  <c r="C3727" i="2"/>
  <c r="A3727" i="2"/>
  <c r="E3726" i="2"/>
  <c r="D3726" i="2"/>
  <c r="C3726" i="2"/>
  <c r="A3726" i="2"/>
  <c r="E3725" i="2"/>
  <c r="D3725" i="2"/>
  <c r="C3725" i="2"/>
  <c r="A3725" i="2"/>
  <c r="E3724" i="2"/>
  <c r="D3724" i="2"/>
  <c r="C3724" i="2"/>
  <c r="A3724" i="2"/>
  <c r="E3723" i="2"/>
  <c r="D3723" i="2"/>
  <c r="C3723" i="2"/>
  <c r="A3723" i="2"/>
  <c r="E3722" i="2"/>
  <c r="D3722" i="2"/>
  <c r="C3722" i="2"/>
  <c r="A3722" i="2"/>
  <c r="E3721" i="2"/>
  <c r="D3721" i="2"/>
  <c r="C3721" i="2"/>
  <c r="A3721" i="2"/>
  <c r="E3720" i="2"/>
  <c r="D3720" i="2"/>
  <c r="C3720" i="2"/>
  <c r="A3720" i="2"/>
  <c r="E3719" i="2"/>
  <c r="D3719" i="2"/>
  <c r="C3719" i="2"/>
  <c r="A3719" i="2"/>
  <c r="E3718" i="2"/>
  <c r="D3718" i="2"/>
  <c r="C3718" i="2"/>
  <c r="A3718" i="2"/>
  <c r="E3717" i="2"/>
  <c r="D3717" i="2"/>
  <c r="C3717" i="2"/>
  <c r="A3717" i="2"/>
  <c r="E3716" i="2"/>
  <c r="D3716" i="2"/>
  <c r="C3716" i="2"/>
  <c r="A3716" i="2"/>
  <c r="E3715" i="2"/>
  <c r="D3715" i="2"/>
  <c r="C3715" i="2"/>
  <c r="A3715" i="2"/>
  <c r="E3714" i="2"/>
  <c r="D3714" i="2"/>
  <c r="C3714" i="2"/>
  <c r="A3714" i="2"/>
  <c r="E3713" i="2"/>
  <c r="D3713" i="2"/>
  <c r="C3713" i="2"/>
  <c r="A3713" i="2"/>
  <c r="E3712" i="2"/>
  <c r="D3712" i="2"/>
  <c r="C3712" i="2"/>
  <c r="A3712" i="2"/>
  <c r="E3711" i="2"/>
  <c r="D3711" i="2"/>
  <c r="C3711" i="2"/>
  <c r="A3711" i="2"/>
  <c r="E3710" i="2"/>
  <c r="D3710" i="2"/>
  <c r="C3710" i="2"/>
  <c r="A3710" i="2"/>
  <c r="E3709" i="2"/>
  <c r="D3709" i="2"/>
  <c r="C3709" i="2"/>
  <c r="A3709" i="2"/>
  <c r="E3708" i="2"/>
  <c r="D3708" i="2"/>
  <c r="C3708" i="2"/>
  <c r="A3708" i="2"/>
  <c r="E3707" i="2"/>
  <c r="D3707" i="2"/>
  <c r="C3707" i="2"/>
  <c r="A3707" i="2"/>
  <c r="E3706" i="2"/>
  <c r="D3706" i="2"/>
  <c r="C3706" i="2"/>
  <c r="A3706" i="2"/>
  <c r="E3705" i="2"/>
  <c r="D3705" i="2"/>
  <c r="C3705" i="2"/>
  <c r="A3705" i="2"/>
  <c r="E3704" i="2"/>
  <c r="D3704" i="2"/>
  <c r="C3704" i="2"/>
  <c r="A3704" i="2"/>
  <c r="E3703" i="2"/>
  <c r="D3703" i="2"/>
  <c r="C3703" i="2"/>
  <c r="A3703" i="2"/>
  <c r="E3702" i="2"/>
  <c r="D3702" i="2"/>
  <c r="C3702" i="2"/>
  <c r="A3702" i="2"/>
  <c r="E3701" i="2"/>
  <c r="D3701" i="2"/>
  <c r="C3701" i="2"/>
  <c r="A3701" i="2"/>
  <c r="E3700" i="2"/>
  <c r="D3700" i="2"/>
  <c r="C3700" i="2"/>
  <c r="A3700" i="2"/>
  <c r="E3699" i="2"/>
  <c r="D3699" i="2"/>
  <c r="C3699" i="2"/>
  <c r="A3699" i="2"/>
  <c r="E3698" i="2"/>
  <c r="D3698" i="2"/>
  <c r="C3698" i="2"/>
  <c r="A3698" i="2"/>
  <c r="E3697" i="2"/>
  <c r="D3697" i="2"/>
  <c r="C3697" i="2"/>
  <c r="A3697" i="2"/>
  <c r="E3696" i="2"/>
  <c r="D3696" i="2"/>
  <c r="C3696" i="2"/>
  <c r="A3696" i="2"/>
  <c r="E3695" i="2"/>
  <c r="D3695" i="2"/>
  <c r="C3695" i="2"/>
  <c r="A3695" i="2"/>
  <c r="E3694" i="2"/>
  <c r="D3694" i="2"/>
  <c r="C3694" i="2"/>
  <c r="A3694" i="2"/>
  <c r="E3693" i="2"/>
  <c r="D3693" i="2"/>
  <c r="C3693" i="2"/>
  <c r="A3693" i="2"/>
  <c r="E3692" i="2"/>
  <c r="D3692" i="2"/>
  <c r="C3692" i="2"/>
  <c r="A3692" i="2"/>
  <c r="E3691" i="2"/>
  <c r="D3691" i="2"/>
  <c r="C3691" i="2"/>
  <c r="A3691" i="2"/>
  <c r="E3690" i="2"/>
  <c r="D3690" i="2"/>
  <c r="C3690" i="2"/>
  <c r="A3690" i="2"/>
  <c r="E3689" i="2"/>
  <c r="D3689" i="2"/>
  <c r="C3689" i="2"/>
  <c r="A3689" i="2"/>
  <c r="E3688" i="2"/>
  <c r="D3688" i="2"/>
  <c r="C3688" i="2"/>
  <c r="A3688" i="2"/>
  <c r="E3687" i="2"/>
  <c r="D3687" i="2"/>
  <c r="C3687" i="2"/>
  <c r="A3687" i="2"/>
  <c r="E3686" i="2"/>
  <c r="D3686" i="2"/>
  <c r="C3686" i="2"/>
  <c r="A3686" i="2"/>
  <c r="E3685" i="2"/>
  <c r="D3685" i="2"/>
  <c r="C3685" i="2"/>
  <c r="A3685" i="2"/>
  <c r="E3684" i="2"/>
  <c r="D3684" i="2"/>
  <c r="C3684" i="2"/>
  <c r="A3684" i="2"/>
  <c r="E3683" i="2"/>
  <c r="D3683" i="2"/>
  <c r="C3683" i="2"/>
  <c r="A3683" i="2"/>
  <c r="E3682" i="2"/>
  <c r="D3682" i="2"/>
  <c r="C3682" i="2"/>
  <c r="A3682" i="2"/>
  <c r="E3681" i="2"/>
  <c r="D3681" i="2"/>
  <c r="C3681" i="2"/>
  <c r="A3681" i="2"/>
  <c r="E3680" i="2"/>
  <c r="D3680" i="2"/>
  <c r="C3680" i="2"/>
  <c r="A3680" i="2"/>
  <c r="E3679" i="2"/>
  <c r="D3679" i="2"/>
  <c r="C3679" i="2"/>
  <c r="A3679" i="2"/>
  <c r="E3678" i="2"/>
  <c r="D3678" i="2"/>
  <c r="C3678" i="2"/>
  <c r="A3678" i="2"/>
  <c r="E3677" i="2"/>
  <c r="D3677" i="2"/>
  <c r="C3677" i="2"/>
  <c r="A3677" i="2"/>
  <c r="E3676" i="2"/>
  <c r="D3676" i="2"/>
  <c r="C3676" i="2"/>
  <c r="A3676" i="2"/>
  <c r="E3675" i="2"/>
  <c r="D3675" i="2"/>
  <c r="C3675" i="2"/>
  <c r="A3675" i="2"/>
  <c r="E3674" i="2"/>
  <c r="D3674" i="2"/>
  <c r="C3674" i="2"/>
  <c r="A3674" i="2"/>
  <c r="E3673" i="2"/>
  <c r="D3673" i="2"/>
  <c r="C3673" i="2"/>
  <c r="A3673" i="2"/>
  <c r="E3672" i="2"/>
  <c r="D3672" i="2"/>
  <c r="C3672" i="2"/>
  <c r="A3672" i="2"/>
  <c r="E3671" i="2"/>
  <c r="D3671" i="2"/>
  <c r="C3671" i="2"/>
  <c r="A3671" i="2"/>
  <c r="E3670" i="2"/>
  <c r="D3670" i="2"/>
  <c r="C3670" i="2"/>
  <c r="A3670" i="2"/>
  <c r="E3669" i="2"/>
  <c r="D3669" i="2"/>
  <c r="C3669" i="2"/>
  <c r="A3669" i="2"/>
  <c r="E3668" i="2"/>
  <c r="D3668" i="2"/>
  <c r="C3668" i="2"/>
  <c r="A3668" i="2"/>
  <c r="E3667" i="2"/>
  <c r="D3667" i="2"/>
  <c r="C3667" i="2"/>
  <c r="A3667" i="2"/>
  <c r="E3666" i="2"/>
  <c r="D3666" i="2"/>
  <c r="C3666" i="2"/>
  <c r="A3666" i="2"/>
  <c r="E3665" i="2"/>
  <c r="D3665" i="2"/>
  <c r="C3665" i="2"/>
  <c r="A3665" i="2"/>
  <c r="E3664" i="2"/>
  <c r="D3664" i="2"/>
  <c r="C3664" i="2"/>
  <c r="A3664" i="2"/>
  <c r="E3663" i="2"/>
  <c r="D3663" i="2"/>
  <c r="C3663" i="2"/>
  <c r="A3663" i="2"/>
  <c r="E3662" i="2"/>
  <c r="D3662" i="2"/>
  <c r="C3662" i="2"/>
  <c r="A3662" i="2"/>
  <c r="E3661" i="2"/>
  <c r="D3661" i="2"/>
  <c r="C3661" i="2"/>
  <c r="A3661" i="2"/>
  <c r="E3660" i="2"/>
  <c r="D3660" i="2"/>
  <c r="C3660" i="2"/>
  <c r="A3660" i="2"/>
  <c r="E3659" i="2"/>
  <c r="D3659" i="2"/>
  <c r="C3659" i="2"/>
  <c r="A3659" i="2"/>
  <c r="E3658" i="2"/>
  <c r="D3658" i="2"/>
  <c r="C3658" i="2"/>
  <c r="A3658" i="2"/>
  <c r="E3657" i="2"/>
  <c r="D3657" i="2"/>
  <c r="C3657" i="2"/>
  <c r="A3657" i="2"/>
  <c r="E3656" i="2"/>
  <c r="D3656" i="2"/>
  <c r="C3656" i="2"/>
  <c r="A3656" i="2"/>
  <c r="E3655" i="2"/>
  <c r="D3655" i="2"/>
  <c r="C3655" i="2"/>
  <c r="A3655" i="2"/>
  <c r="E3654" i="2"/>
  <c r="D3654" i="2"/>
  <c r="C3654" i="2"/>
  <c r="A3654" i="2"/>
  <c r="E3653" i="2"/>
  <c r="D3653" i="2"/>
  <c r="C3653" i="2"/>
  <c r="A3653" i="2"/>
  <c r="E3652" i="2"/>
  <c r="D3652" i="2"/>
  <c r="C3652" i="2"/>
  <c r="A3652" i="2"/>
  <c r="E3651" i="2"/>
  <c r="D3651" i="2"/>
  <c r="C3651" i="2"/>
  <c r="A3651" i="2"/>
  <c r="E3650" i="2"/>
  <c r="D3650" i="2"/>
  <c r="C3650" i="2"/>
  <c r="A3650" i="2"/>
  <c r="E3649" i="2"/>
  <c r="D3649" i="2"/>
  <c r="C3649" i="2"/>
  <c r="A3649" i="2"/>
  <c r="E3648" i="2"/>
  <c r="D3648" i="2"/>
  <c r="C3648" i="2"/>
  <c r="A3648" i="2"/>
  <c r="E3647" i="2"/>
  <c r="D3647" i="2"/>
  <c r="C3647" i="2"/>
  <c r="A3647" i="2"/>
  <c r="E3646" i="2"/>
  <c r="D3646" i="2"/>
  <c r="C3646" i="2"/>
  <c r="A3646" i="2"/>
  <c r="E3645" i="2"/>
  <c r="D3645" i="2"/>
  <c r="C3645" i="2"/>
  <c r="A3645" i="2"/>
  <c r="E3644" i="2"/>
  <c r="D3644" i="2"/>
  <c r="C3644" i="2"/>
  <c r="A3644" i="2"/>
  <c r="E3643" i="2"/>
  <c r="D3643" i="2"/>
  <c r="C3643" i="2"/>
  <c r="A3643" i="2"/>
  <c r="E3642" i="2"/>
  <c r="D3642" i="2"/>
  <c r="C3642" i="2"/>
  <c r="A3642" i="2"/>
  <c r="E3641" i="2"/>
  <c r="D3641" i="2"/>
  <c r="C3641" i="2"/>
  <c r="A3641" i="2"/>
  <c r="E3640" i="2"/>
  <c r="D3640" i="2"/>
  <c r="C3640" i="2"/>
  <c r="A3640" i="2"/>
  <c r="E3639" i="2"/>
  <c r="D3639" i="2"/>
  <c r="C3639" i="2"/>
  <c r="A3639" i="2"/>
  <c r="E3638" i="2"/>
  <c r="D3638" i="2"/>
  <c r="C3638" i="2"/>
  <c r="A3638" i="2"/>
  <c r="E3637" i="2"/>
  <c r="D3637" i="2"/>
  <c r="C3637" i="2"/>
  <c r="A3637" i="2"/>
  <c r="E3636" i="2"/>
  <c r="D3636" i="2"/>
  <c r="C3636" i="2"/>
  <c r="A3636" i="2"/>
  <c r="E3635" i="2"/>
  <c r="D3635" i="2"/>
  <c r="C3635" i="2"/>
  <c r="A3635" i="2"/>
  <c r="E3634" i="2"/>
  <c r="D3634" i="2"/>
  <c r="C3634" i="2"/>
  <c r="A3634" i="2"/>
  <c r="E3633" i="2"/>
  <c r="D3633" i="2"/>
  <c r="C3633" i="2"/>
  <c r="A3633" i="2"/>
  <c r="E3632" i="2"/>
  <c r="D3632" i="2"/>
  <c r="C3632" i="2"/>
  <c r="A3632" i="2"/>
  <c r="E3631" i="2"/>
  <c r="D3631" i="2"/>
  <c r="C3631" i="2"/>
  <c r="A3631" i="2"/>
  <c r="E3630" i="2"/>
  <c r="D3630" i="2"/>
  <c r="C3630" i="2"/>
  <c r="A3630" i="2"/>
  <c r="E3629" i="2"/>
  <c r="D3629" i="2"/>
  <c r="C3629" i="2"/>
  <c r="A3629" i="2"/>
  <c r="E3628" i="2"/>
  <c r="D3628" i="2"/>
  <c r="C3628" i="2"/>
  <c r="A3628" i="2"/>
  <c r="E3627" i="2"/>
  <c r="D3627" i="2"/>
  <c r="C3627" i="2"/>
  <c r="A3627" i="2"/>
  <c r="E3626" i="2"/>
  <c r="D3626" i="2"/>
  <c r="C3626" i="2"/>
  <c r="A3626" i="2"/>
  <c r="E3625" i="2"/>
  <c r="D3625" i="2"/>
  <c r="C3625" i="2"/>
  <c r="A3625" i="2"/>
  <c r="E3624" i="2"/>
  <c r="D3624" i="2"/>
  <c r="C3624" i="2"/>
  <c r="A3624" i="2"/>
  <c r="E3623" i="2"/>
  <c r="D3623" i="2"/>
  <c r="C3623" i="2"/>
  <c r="A3623" i="2"/>
  <c r="E3622" i="2"/>
  <c r="D3622" i="2"/>
  <c r="C3622" i="2"/>
  <c r="A3622" i="2"/>
  <c r="E3621" i="2"/>
  <c r="D3621" i="2"/>
  <c r="C3621" i="2"/>
  <c r="A3621" i="2"/>
  <c r="E3620" i="2"/>
  <c r="D3620" i="2"/>
  <c r="C3620" i="2"/>
  <c r="A3620" i="2"/>
  <c r="E3619" i="2"/>
  <c r="D3619" i="2"/>
  <c r="C3619" i="2"/>
  <c r="A3619" i="2"/>
  <c r="E3618" i="2"/>
  <c r="D3618" i="2"/>
  <c r="C3618" i="2"/>
  <c r="A3618" i="2"/>
  <c r="E3617" i="2"/>
  <c r="D3617" i="2"/>
  <c r="C3617" i="2"/>
  <c r="A3617" i="2"/>
  <c r="E3616" i="2"/>
  <c r="D3616" i="2"/>
  <c r="C3616" i="2"/>
  <c r="A3616" i="2"/>
  <c r="E3615" i="2"/>
  <c r="D3615" i="2"/>
  <c r="C3615" i="2"/>
  <c r="A3615" i="2"/>
  <c r="E3614" i="2"/>
  <c r="D3614" i="2"/>
  <c r="C3614" i="2"/>
  <c r="A3614" i="2"/>
  <c r="E3613" i="2"/>
  <c r="D3613" i="2"/>
  <c r="C3613" i="2"/>
  <c r="A3613" i="2"/>
  <c r="E3612" i="2"/>
  <c r="D3612" i="2"/>
  <c r="C3612" i="2"/>
  <c r="A3612" i="2"/>
  <c r="E3611" i="2"/>
  <c r="D3611" i="2"/>
  <c r="C3611" i="2"/>
  <c r="A3611" i="2"/>
  <c r="E3610" i="2"/>
  <c r="D3610" i="2"/>
  <c r="C3610" i="2"/>
  <c r="A3610" i="2"/>
  <c r="E3609" i="2"/>
  <c r="D3609" i="2"/>
  <c r="C3609" i="2"/>
  <c r="A3609" i="2"/>
  <c r="E3608" i="2"/>
  <c r="D3608" i="2"/>
  <c r="C3608" i="2"/>
  <c r="A3608" i="2"/>
  <c r="E3607" i="2"/>
  <c r="D3607" i="2"/>
  <c r="C3607" i="2"/>
  <c r="A3607" i="2"/>
  <c r="E3606" i="2"/>
  <c r="D3606" i="2"/>
  <c r="C3606" i="2"/>
  <c r="A3606" i="2"/>
  <c r="E3605" i="2"/>
  <c r="D3605" i="2"/>
  <c r="C3605" i="2"/>
  <c r="A3605" i="2"/>
  <c r="E3604" i="2"/>
  <c r="D3604" i="2"/>
  <c r="C3604" i="2"/>
  <c r="A3604" i="2"/>
  <c r="E3603" i="2"/>
  <c r="D3603" i="2"/>
  <c r="C3603" i="2"/>
  <c r="A3603" i="2"/>
  <c r="E3602" i="2"/>
  <c r="D3602" i="2"/>
  <c r="C3602" i="2"/>
  <c r="A3602" i="2"/>
  <c r="E3601" i="2"/>
  <c r="D3601" i="2"/>
  <c r="C3601" i="2"/>
  <c r="A3601" i="2"/>
  <c r="E3600" i="2"/>
  <c r="D3600" i="2"/>
  <c r="C3600" i="2"/>
  <c r="A3600" i="2"/>
  <c r="E3599" i="2"/>
  <c r="D3599" i="2"/>
  <c r="C3599" i="2"/>
  <c r="A3599" i="2"/>
  <c r="E3598" i="2"/>
  <c r="D3598" i="2"/>
  <c r="C3598" i="2"/>
  <c r="A3598" i="2"/>
  <c r="E3597" i="2"/>
  <c r="D3597" i="2"/>
  <c r="C3597" i="2"/>
  <c r="A3597" i="2"/>
  <c r="E3596" i="2"/>
  <c r="D3596" i="2"/>
  <c r="C3596" i="2"/>
  <c r="A3596" i="2"/>
  <c r="E3595" i="2"/>
  <c r="D3595" i="2"/>
  <c r="C3595" i="2"/>
  <c r="A3595" i="2"/>
  <c r="E3594" i="2"/>
  <c r="D3594" i="2"/>
  <c r="C3594" i="2"/>
  <c r="A3594" i="2"/>
  <c r="E3593" i="2"/>
  <c r="D3593" i="2"/>
  <c r="C3593" i="2"/>
  <c r="A3593" i="2"/>
  <c r="E3592" i="2"/>
  <c r="D3592" i="2"/>
  <c r="C3592" i="2"/>
  <c r="A3592" i="2"/>
  <c r="E3591" i="2"/>
  <c r="D3591" i="2"/>
  <c r="C3591" i="2"/>
  <c r="A3591" i="2"/>
  <c r="E3590" i="2"/>
  <c r="D3590" i="2"/>
  <c r="C3590" i="2"/>
  <c r="A3590" i="2"/>
  <c r="E3589" i="2"/>
  <c r="D3589" i="2"/>
  <c r="C3589" i="2"/>
  <c r="A3589" i="2"/>
  <c r="E3588" i="2"/>
  <c r="D3588" i="2"/>
  <c r="C3588" i="2"/>
  <c r="A3588" i="2"/>
  <c r="E3587" i="2"/>
  <c r="D3587" i="2"/>
  <c r="C3587" i="2"/>
  <c r="A3587" i="2"/>
  <c r="E3586" i="2"/>
  <c r="D3586" i="2"/>
  <c r="C3586" i="2"/>
  <c r="A3586" i="2"/>
  <c r="E3585" i="2"/>
  <c r="D3585" i="2"/>
  <c r="C3585" i="2"/>
  <c r="A3585" i="2"/>
  <c r="E3584" i="2"/>
  <c r="D3584" i="2"/>
  <c r="C3584" i="2"/>
  <c r="A3584" i="2"/>
  <c r="E3583" i="2"/>
  <c r="D3583" i="2"/>
  <c r="C3583" i="2"/>
  <c r="A3583" i="2"/>
  <c r="E3582" i="2"/>
  <c r="D3582" i="2"/>
  <c r="C3582" i="2"/>
  <c r="A3582" i="2"/>
  <c r="E3581" i="2"/>
  <c r="D3581" i="2"/>
  <c r="C3581" i="2"/>
  <c r="A3581" i="2"/>
  <c r="E3580" i="2"/>
  <c r="D3580" i="2"/>
  <c r="C3580" i="2"/>
  <c r="A3580" i="2"/>
  <c r="E3579" i="2"/>
  <c r="D3579" i="2"/>
  <c r="C3579" i="2"/>
  <c r="A3579" i="2"/>
  <c r="E3578" i="2"/>
  <c r="D3578" i="2"/>
  <c r="C3578" i="2"/>
  <c r="A3578" i="2"/>
  <c r="E3577" i="2"/>
  <c r="D3577" i="2"/>
  <c r="C3577" i="2"/>
  <c r="A3577" i="2"/>
  <c r="E3576" i="2"/>
  <c r="D3576" i="2"/>
  <c r="C3576" i="2"/>
  <c r="A3576" i="2"/>
  <c r="E3575" i="2"/>
  <c r="D3575" i="2"/>
  <c r="C3575" i="2"/>
  <c r="A3575" i="2"/>
  <c r="E3574" i="2"/>
  <c r="D3574" i="2"/>
  <c r="C3574" i="2"/>
  <c r="A3574" i="2"/>
  <c r="E3573" i="2"/>
  <c r="D3573" i="2"/>
  <c r="C3573" i="2"/>
  <c r="A3573" i="2"/>
  <c r="E3572" i="2"/>
  <c r="D3572" i="2"/>
  <c r="C3572" i="2"/>
  <c r="A3572" i="2"/>
  <c r="E3571" i="2"/>
  <c r="D3571" i="2"/>
  <c r="C3571" i="2"/>
  <c r="A3571" i="2"/>
  <c r="E3570" i="2"/>
  <c r="D3570" i="2"/>
  <c r="C3570" i="2"/>
  <c r="A3570" i="2"/>
  <c r="E3569" i="2"/>
  <c r="D3569" i="2"/>
  <c r="C3569" i="2"/>
  <c r="A3569" i="2"/>
  <c r="E3568" i="2"/>
  <c r="D3568" i="2"/>
  <c r="C3568" i="2"/>
  <c r="A3568" i="2"/>
  <c r="E3567" i="2"/>
  <c r="D3567" i="2"/>
  <c r="C3567" i="2"/>
  <c r="A3567" i="2"/>
  <c r="E3566" i="2"/>
  <c r="D3566" i="2"/>
  <c r="C3566" i="2"/>
  <c r="A3566" i="2"/>
  <c r="E3564" i="2"/>
  <c r="D3564" i="2"/>
  <c r="C3564" i="2"/>
  <c r="A3564" i="2"/>
  <c r="E3563" i="2"/>
  <c r="D3563" i="2"/>
  <c r="C3563" i="2"/>
  <c r="A3563" i="2"/>
  <c r="E3562" i="2"/>
  <c r="D3562" i="2"/>
  <c r="C3562" i="2"/>
  <c r="A3562" i="2"/>
  <c r="E3561" i="2"/>
  <c r="D3561" i="2"/>
  <c r="C3561" i="2"/>
  <c r="A3561" i="2"/>
  <c r="E3560" i="2"/>
  <c r="D3560" i="2"/>
  <c r="C3560" i="2"/>
  <c r="A3560" i="2"/>
  <c r="E3559" i="2"/>
  <c r="D3559" i="2"/>
  <c r="C3559" i="2"/>
  <c r="A3559" i="2"/>
  <c r="E3558" i="2"/>
  <c r="D3558" i="2"/>
  <c r="C3558" i="2"/>
  <c r="A3558" i="2"/>
  <c r="E3557" i="2"/>
  <c r="D3557" i="2"/>
  <c r="C3557" i="2"/>
  <c r="A3557" i="2"/>
  <c r="E3556" i="2"/>
  <c r="D3556" i="2"/>
  <c r="C3556" i="2"/>
  <c r="A3556" i="2"/>
  <c r="E3555" i="2"/>
  <c r="D3555" i="2"/>
  <c r="C3555" i="2"/>
  <c r="A3555" i="2"/>
  <c r="E3554" i="2"/>
  <c r="D3554" i="2"/>
  <c r="C3554" i="2"/>
  <c r="A3554" i="2"/>
  <c r="E3553" i="2"/>
  <c r="D3553" i="2"/>
  <c r="C3553" i="2"/>
  <c r="A3553" i="2"/>
  <c r="E3552" i="2"/>
  <c r="D3552" i="2"/>
  <c r="C3552" i="2"/>
  <c r="A3552" i="2"/>
  <c r="E3551" i="2"/>
  <c r="D3551" i="2"/>
  <c r="C3551" i="2"/>
  <c r="A3551" i="2"/>
  <c r="E3550" i="2"/>
  <c r="D3550" i="2"/>
  <c r="C3550" i="2"/>
  <c r="A3550" i="2"/>
  <c r="E3549" i="2"/>
  <c r="D3549" i="2"/>
  <c r="C3549" i="2"/>
  <c r="A3549" i="2"/>
  <c r="E3548" i="2"/>
  <c r="D3548" i="2"/>
  <c r="C3548" i="2"/>
  <c r="A3548" i="2"/>
  <c r="E3547" i="2"/>
  <c r="D3547" i="2"/>
  <c r="C3547" i="2"/>
  <c r="A3547" i="2"/>
  <c r="E3546" i="2"/>
  <c r="D3546" i="2"/>
  <c r="C3546" i="2"/>
  <c r="A3546" i="2"/>
  <c r="E3545" i="2"/>
  <c r="D3545" i="2"/>
  <c r="C3545" i="2"/>
  <c r="A3545" i="2"/>
  <c r="E3544" i="2"/>
  <c r="D3544" i="2"/>
  <c r="C3544" i="2"/>
  <c r="A3544" i="2"/>
  <c r="E3543" i="2"/>
  <c r="D3543" i="2"/>
  <c r="C3543" i="2"/>
  <c r="A3543" i="2"/>
  <c r="E3542" i="2"/>
  <c r="D3542" i="2"/>
  <c r="C3542" i="2"/>
  <c r="A3542" i="2"/>
  <c r="E3541" i="2"/>
  <c r="D3541" i="2"/>
  <c r="C3541" i="2"/>
  <c r="A3541" i="2"/>
  <c r="E3540" i="2"/>
  <c r="D3540" i="2"/>
  <c r="C3540" i="2"/>
  <c r="A3540" i="2"/>
  <c r="E3539" i="2"/>
  <c r="D3539" i="2"/>
  <c r="C3539" i="2"/>
  <c r="A3539" i="2"/>
  <c r="E3538" i="2"/>
  <c r="D3538" i="2"/>
  <c r="C3538" i="2"/>
  <c r="A3538" i="2"/>
  <c r="E3537" i="2"/>
  <c r="D3537" i="2"/>
  <c r="C3537" i="2"/>
  <c r="A3537" i="2"/>
  <c r="E3536" i="2"/>
  <c r="D3536" i="2"/>
  <c r="C3536" i="2"/>
  <c r="A3536" i="2"/>
  <c r="E3535" i="2"/>
  <c r="D3535" i="2"/>
  <c r="C3535" i="2"/>
  <c r="A3535" i="2"/>
  <c r="E3534" i="2"/>
  <c r="D3534" i="2"/>
  <c r="C3534" i="2"/>
  <c r="A3534" i="2"/>
  <c r="E3533" i="2"/>
  <c r="D3533" i="2"/>
  <c r="C3533" i="2"/>
  <c r="A3533" i="2"/>
  <c r="E3532" i="2"/>
  <c r="D3532" i="2"/>
  <c r="C3532" i="2"/>
  <c r="A3532" i="2"/>
  <c r="E3531" i="2"/>
  <c r="D3531" i="2"/>
  <c r="C3531" i="2"/>
  <c r="A3531" i="2"/>
  <c r="E3530" i="2"/>
  <c r="D3530" i="2"/>
  <c r="C3530" i="2"/>
  <c r="A3530" i="2"/>
  <c r="E3529" i="2"/>
  <c r="D3529" i="2"/>
  <c r="C3529" i="2"/>
  <c r="A3529" i="2"/>
  <c r="E3528" i="2"/>
  <c r="D3528" i="2"/>
  <c r="C3528" i="2"/>
  <c r="A3528" i="2"/>
  <c r="E3527" i="2"/>
  <c r="D3527" i="2"/>
  <c r="C3527" i="2"/>
  <c r="A3527" i="2"/>
  <c r="E3526" i="2"/>
  <c r="D3526" i="2"/>
  <c r="C3526" i="2"/>
  <c r="A3526" i="2"/>
  <c r="E3525" i="2"/>
  <c r="D3525" i="2"/>
  <c r="C3525" i="2"/>
  <c r="A3525" i="2"/>
  <c r="E3524" i="2"/>
  <c r="D3524" i="2"/>
  <c r="C3524" i="2"/>
  <c r="A3524" i="2"/>
  <c r="E3523" i="2"/>
  <c r="D3523" i="2"/>
  <c r="C3523" i="2"/>
  <c r="A3523" i="2"/>
  <c r="E3522" i="2"/>
  <c r="D3522" i="2"/>
  <c r="C3522" i="2"/>
  <c r="A3522" i="2"/>
  <c r="E3521" i="2"/>
  <c r="D3521" i="2"/>
  <c r="C3521" i="2"/>
  <c r="A3521" i="2"/>
  <c r="E3520" i="2"/>
  <c r="D3520" i="2"/>
  <c r="C3520" i="2"/>
  <c r="A3520" i="2"/>
  <c r="E3519" i="2"/>
  <c r="D3519" i="2"/>
  <c r="C3519" i="2"/>
  <c r="A3519" i="2"/>
  <c r="E3518" i="2"/>
  <c r="D3518" i="2"/>
  <c r="C3518" i="2"/>
  <c r="A3518" i="2"/>
  <c r="E3517" i="2"/>
  <c r="D3517" i="2"/>
  <c r="C3517" i="2"/>
  <c r="A3517" i="2"/>
  <c r="E3516" i="2"/>
  <c r="D3516" i="2"/>
  <c r="C3516" i="2"/>
  <c r="A3516" i="2"/>
  <c r="E3515" i="2"/>
  <c r="D3515" i="2"/>
  <c r="C3515" i="2"/>
  <c r="A3515" i="2"/>
  <c r="E3514" i="2"/>
  <c r="D3514" i="2"/>
  <c r="C3514" i="2"/>
  <c r="A3514" i="2"/>
  <c r="E3513" i="2"/>
  <c r="D3513" i="2"/>
  <c r="C3513" i="2"/>
  <c r="A3513" i="2"/>
  <c r="E3512" i="2"/>
  <c r="D3512" i="2"/>
  <c r="C3512" i="2"/>
  <c r="A3512" i="2"/>
  <c r="E3511" i="2"/>
  <c r="D3511" i="2"/>
  <c r="C3511" i="2"/>
  <c r="A3511" i="2"/>
  <c r="E3510" i="2"/>
  <c r="D3510" i="2"/>
  <c r="C3510" i="2"/>
  <c r="A3510" i="2"/>
  <c r="E3509" i="2"/>
  <c r="D3509" i="2"/>
  <c r="C3509" i="2"/>
  <c r="A3509" i="2"/>
  <c r="E3508" i="2"/>
  <c r="D3508" i="2"/>
  <c r="C3508" i="2"/>
  <c r="A3508" i="2"/>
  <c r="E3507" i="2"/>
  <c r="D3507" i="2"/>
  <c r="C3507" i="2"/>
  <c r="A3507" i="2"/>
  <c r="E3506" i="2"/>
  <c r="D3506" i="2"/>
  <c r="C3506" i="2"/>
  <c r="A3506" i="2"/>
  <c r="E3505" i="2"/>
  <c r="D3505" i="2"/>
  <c r="C3505" i="2"/>
  <c r="A3505" i="2"/>
  <c r="E3504" i="2"/>
  <c r="D3504" i="2"/>
  <c r="C3504" i="2"/>
  <c r="A3504" i="2"/>
  <c r="E3503" i="2"/>
  <c r="D3503" i="2"/>
  <c r="C3503" i="2"/>
  <c r="A3503" i="2"/>
  <c r="E3502" i="2"/>
  <c r="D3502" i="2"/>
  <c r="C3502" i="2"/>
  <c r="A3502" i="2"/>
  <c r="E3501" i="2"/>
  <c r="D3501" i="2"/>
  <c r="C3501" i="2"/>
  <c r="A3501" i="2"/>
  <c r="E3500" i="2"/>
  <c r="D3500" i="2"/>
  <c r="C3500" i="2"/>
  <c r="A3500" i="2"/>
  <c r="E3499" i="2"/>
  <c r="D3499" i="2"/>
  <c r="C3499" i="2"/>
  <c r="A3499" i="2"/>
  <c r="E3498" i="2"/>
  <c r="D3498" i="2"/>
  <c r="C3498" i="2"/>
  <c r="A3498" i="2"/>
  <c r="E3497" i="2"/>
  <c r="D3497" i="2"/>
  <c r="C3497" i="2"/>
  <c r="A3497" i="2"/>
  <c r="E3496" i="2"/>
  <c r="D3496" i="2"/>
  <c r="C3496" i="2"/>
  <c r="A3496" i="2"/>
  <c r="E3495" i="2"/>
  <c r="D3495" i="2"/>
  <c r="C3495" i="2"/>
  <c r="A3495" i="2"/>
  <c r="E3494" i="2"/>
  <c r="D3494" i="2"/>
  <c r="C3494" i="2"/>
  <c r="A3494" i="2"/>
  <c r="E3493" i="2"/>
  <c r="D3493" i="2"/>
  <c r="C3493" i="2"/>
  <c r="A3493" i="2"/>
  <c r="E3492" i="2"/>
  <c r="D3492" i="2"/>
  <c r="C3492" i="2"/>
  <c r="A3492" i="2"/>
  <c r="E3491" i="2"/>
  <c r="D3491" i="2"/>
  <c r="C3491" i="2"/>
  <c r="A3491" i="2"/>
  <c r="E3490" i="2"/>
  <c r="D3490" i="2"/>
  <c r="C3490" i="2"/>
  <c r="A3490" i="2"/>
  <c r="E3489" i="2"/>
  <c r="D3489" i="2"/>
  <c r="C3489" i="2"/>
  <c r="A3489" i="2"/>
  <c r="E3488" i="2"/>
  <c r="D3488" i="2"/>
  <c r="C3488" i="2"/>
  <c r="A3488" i="2"/>
  <c r="E3487" i="2"/>
  <c r="D3487" i="2"/>
  <c r="C3487" i="2"/>
  <c r="A3487" i="2"/>
  <c r="E3486" i="2"/>
  <c r="D3486" i="2"/>
  <c r="C3486" i="2"/>
  <c r="A3486" i="2"/>
  <c r="E3485" i="2"/>
  <c r="D3485" i="2"/>
  <c r="C3485" i="2"/>
  <c r="A3485" i="2"/>
  <c r="E3484" i="2"/>
  <c r="D3484" i="2"/>
  <c r="C3484" i="2"/>
  <c r="A3484" i="2"/>
  <c r="E3483" i="2"/>
  <c r="D3483" i="2"/>
  <c r="C3483" i="2"/>
  <c r="A3483" i="2"/>
  <c r="E3482" i="2"/>
  <c r="D3482" i="2"/>
  <c r="C3482" i="2"/>
  <c r="A3482" i="2"/>
  <c r="E3481" i="2"/>
  <c r="D3481" i="2"/>
  <c r="C3481" i="2"/>
  <c r="A3481" i="2"/>
  <c r="E3480" i="2"/>
  <c r="D3480" i="2"/>
  <c r="C3480" i="2"/>
  <c r="A3480" i="2"/>
  <c r="E3479" i="2"/>
  <c r="D3479" i="2"/>
  <c r="C3479" i="2"/>
  <c r="A3479" i="2"/>
  <c r="E3478" i="2"/>
  <c r="D3478" i="2"/>
  <c r="C3478" i="2"/>
  <c r="A3478" i="2"/>
  <c r="E3477" i="2"/>
  <c r="D3477" i="2"/>
  <c r="C3477" i="2"/>
  <c r="A3477" i="2"/>
  <c r="E3476" i="2"/>
  <c r="D3476" i="2"/>
  <c r="C3476" i="2"/>
  <c r="A3476" i="2"/>
  <c r="E3475" i="2"/>
  <c r="D3475" i="2"/>
  <c r="C3475" i="2"/>
  <c r="A3475" i="2"/>
  <c r="E3474" i="2"/>
  <c r="D3474" i="2"/>
  <c r="C3474" i="2"/>
  <c r="A3474" i="2"/>
  <c r="E3473" i="2"/>
  <c r="D3473" i="2"/>
  <c r="C3473" i="2"/>
  <c r="A3473" i="2"/>
  <c r="E3472" i="2"/>
  <c r="D3472" i="2"/>
  <c r="C3472" i="2"/>
  <c r="A3472" i="2"/>
  <c r="E3471" i="2"/>
  <c r="D3471" i="2"/>
  <c r="C3471" i="2"/>
  <c r="A3471" i="2"/>
  <c r="E3470" i="2"/>
  <c r="D3470" i="2"/>
  <c r="C3470" i="2"/>
  <c r="A3470" i="2"/>
  <c r="E3469" i="2"/>
  <c r="D3469" i="2"/>
  <c r="C3469" i="2"/>
  <c r="A3469" i="2"/>
  <c r="E3468" i="2"/>
  <c r="D3468" i="2"/>
  <c r="C3468" i="2"/>
  <c r="A3468" i="2"/>
  <c r="E3467" i="2"/>
  <c r="D3467" i="2"/>
  <c r="C3467" i="2"/>
  <c r="A3467" i="2"/>
  <c r="E3466" i="2"/>
  <c r="D3466" i="2"/>
  <c r="C3466" i="2"/>
  <c r="A3466" i="2"/>
  <c r="E3465" i="2"/>
  <c r="D3465" i="2"/>
  <c r="C3465" i="2"/>
  <c r="A3465" i="2"/>
  <c r="E3464" i="2"/>
  <c r="D3464" i="2"/>
  <c r="C3464" i="2"/>
  <c r="A3464" i="2"/>
  <c r="E3463" i="2"/>
  <c r="D3463" i="2"/>
  <c r="C3463" i="2"/>
  <c r="A3463" i="2"/>
  <c r="E3462" i="2"/>
  <c r="D3462" i="2"/>
  <c r="C3462" i="2"/>
  <c r="A3462" i="2"/>
  <c r="E3461" i="2"/>
  <c r="D3461" i="2"/>
  <c r="C3461" i="2"/>
  <c r="A3461" i="2"/>
  <c r="E3460" i="2"/>
  <c r="D3460" i="2"/>
  <c r="C3460" i="2"/>
  <c r="A3460" i="2"/>
  <c r="E3459" i="2"/>
  <c r="D3459" i="2"/>
  <c r="C3459" i="2"/>
  <c r="A3459" i="2"/>
  <c r="E3458" i="2"/>
  <c r="D3458" i="2"/>
  <c r="C3458" i="2"/>
  <c r="A3458" i="2"/>
  <c r="E3457" i="2"/>
  <c r="D3457" i="2"/>
  <c r="C3457" i="2"/>
  <c r="A3457" i="2"/>
  <c r="E3456" i="2"/>
  <c r="D3456" i="2"/>
  <c r="C3456" i="2"/>
  <c r="A3456" i="2"/>
  <c r="E3455" i="2"/>
  <c r="D3455" i="2"/>
  <c r="C3455" i="2"/>
  <c r="A3455" i="2"/>
  <c r="E3454" i="2"/>
  <c r="D3454" i="2"/>
  <c r="C3454" i="2"/>
  <c r="A3454" i="2"/>
  <c r="E3453" i="2"/>
  <c r="D3453" i="2"/>
  <c r="C3453" i="2"/>
  <c r="A3453" i="2"/>
  <c r="E3452" i="2"/>
  <c r="D3452" i="2"/>
  <c r="C3452" i="2"/>
  <c r="A3452" i="2"/>
  <c r="E3451" i="2"/>
  <c r="D3451" i="2"/>
  <c r="C3451" i="2"/>
  <c r="A3451" i="2"/>
  <c r="E3450" i="2"/>
  <c r="D3450" i="2"/>
  <c r="C3450" i="2"/>
  <c r="A3450" i="2"/>
  <c r="E3449" i="2"/>
  <c r="D3449" i="2"/>
  <c r="C3449" i="2"/>
  <c r="A3449" i="2"/>
  <c r="E3448" i="2"/>
  <c r="D3448" i="2"/>
  <c r="C3448" i="2"/>
  <c r="A3448" i="2"/>
  <c r="E3447" i="2"/>
  <c r="D3447" i="2"/>
  <c r="C3447" i="2"/>
  <c r="A3447" i="2"/>
  <c r="E3446" i="2"/>
  <c r="D3446" i="2"/>
  <c r="C3446" i="2"/>
  <c r="A3446" i="2"/>
  <c r="E3445" i="2"/>
  <c r="D3445" i="2"/>
  <c r="C3445" i="2"/>
  <c r="A3445" i="2"/>
  <c r="E3444" i="2"/>
  <c r="D3444" i="2"/>
  <c r="C3444" i="2"/>
  <c r="A3444" i="2"/>
  <c r="E3443" i="2"/>
  <c r="D3443" i="2"/>
  <c r="C3443" i="2"/>
  <c r="A3443" i="2"/>
  <c r="E3442" i="2"/>
  <c r="D3442" i="2"/>
  <c r="C3442" i="2"/>
  <c r="A3442" i="2"/>
  <c r="E3441" i="2"/>
  <c r="D3441" i="2"/>
  <c r="C3441" i="2"/>
  <c r="A3441" i="2"/>
  <c r="E3440" i="2"/>
  <c r="D3440" i="2"/>
  <c r="C3440" i="2"/>
  <c r="A3440" i="2"/>
  <c r="E3439" i="2"/>
  <c r="D3439" i="2"/>
  <c r="C3439" i="2"/>
  <c r="A3439" i="2"/>
  <c r="E3438" i="2"/>
  <c r="D3438" i="2"/>
  <c r="C3438" i="2"/>
  <c r="A3438" i="2"/>
  <c r="E3437" i="2"/>
  <c r="D3437" i="2"/>
  <c r="C3437" i="2"/>
  <c r="A3437" i="2"/>
  <c r="E3436" i="2"/>
  <c r="D3436" i="2"/>
  <c r="C3436" i="2"/>
  <c r="A3436" i="2"/>
  <c r="E3435" i="2"/>
  <c r="D3435" i="2"/>
  <c r="C3435" i="2"/>
  <c r="A3435" i="2"/>
  <c r="E3434" i="2"/>
  <c r="D3434" i="2"/>
  <c r="C3434" i="2"/>
  <c r="A3434" i="2"/>
  <c r="E3433" i="2"/>
  <c r="D3433" i="2"/>
  <c r="C3433" i="2"/>
  <c r="A3433" i="2"/>
  <c r="E3432" i="2"/>
  <c r="D3432" i="2"/>
  <c r="C3432" i="2"/>
  <c r="A3432" i="2"/>
  <c r="E3431" i="2"/>
  <c r="D3431" i="2"/>
  <c r="C3431" i="2"/>
  <c r="A3431" i="2"/>
  <c r="E3430" i="2"/>
  <c r="D3430" i="2"/>
  <c r="C3430" i="2"/>
  <c r="A3430" i="2"/>
  <c r="E3429" i="2"/>
  <c r="D3429" i="2"/>
  <c r="C3429" i="2"/>
  <c r="A3429" i="2"/>
  <c r="E3428" i="2"/>
  <c r="D3428" i="2"/>
  <c r="C3428" i="2"/>
  <c r="A3428" i="2"/>
  <c r="E3427" i="2"/>
  <c r="D3427" i="2"/>
  <c r="C3427" i="2"/>
  <c r="A3427" i="2"/>
  <c r="E3426" i="2"/>
  <c r="D3426" i="2"/>
  <c r="C3426" i="2"/>
  <c r="A3426" i="2"/>
  <c r="E3425" i="2"/>
  <c r="D3425" i="2"/>
  <c r="C3425" i="2"/>
  <c r="A3425" i="2"/>
  <c r="E3424" i="2"/>
  <c r="D3424" i="2"/>
  <c r="C3424" i="2"/>
  <c r="A3424" i="2"/>
  <c r="E3423" i="2"/>
  <c r="D3423" i="2"/>
  <c r="C3423" i="2"/>
  <c r="A3423" i="2"/>
  <c r="E3422" i="2"/>
  <c r="D3422" i="2"/>
  <c r="C3422" i="2"/>
  <c r="A3422" i="2"/>
  <c r="E3421" i="2"/>
  <c r="D3421" i="2"/>
  <c r="C3421" i="2"/>
  <c r="A3421" i="2"/>
  <c r="E3420" i="2"/>
  <c r="D3420" i="2"/>
  <c r="C3420" i="2"/>
  <c r="A3420" i="2"/>
  <c r="E3419" i="2"/>
  <c r="D3419" i="2"/>
  <c r="C3419" i="2"/>
  <c r="A3419" i="2"/>
  <c r="E3418" i="2"/>
  <c r="D3418" i="2"/>
  <c r="C3418" i="2"/>
  <c r="A3418" i="2"/>
  <c r="E3417" i="2"/>
  <c r="D3417" i="2"/>
  <c r="C3417" i="2"/>
  <c r="A3417" i="2"/>
  <c r="E3416" i="2"/>
  <c r="D3416" i="2"/>
  <c r="C3416" i="2"/>
  <c r="A3416" i="2"/>
  <c r="E3415" i="2"/>
  <c r="D3415" i="2"/>
  <c r="C3415" i="2"/>
  <c r="A3415" i="2"/>
  <c r="E3414" i="2"/>
  <c r="D3414" i="2"/>
  <c r="C3414" i="2"/>
  <c r="A3414" i="2"/>
  <c r="E3413" i="2"/>
  <c r="D3413" i="2"/>
  <c r="C3413" i="2"/>
  <c r="A3413" i="2"/>
  <c r="E3412" i="2"/>
  <c r="D3412" i="2"/>
  <c r="C3412" i="2"/>
  <c r="A3412" i="2"/>
  <c r="E3411" i="2"/>
  <c r="D3411" i="2"/>
  <c r="C3411" i="2"/>
  <c r="A3411" i="2"/>
  <c r="E3410" i="2"/>
  <c r="D3410" i="2"/>
  <c r="C3410" i="2"/>
  <c r="A3410" i="2"/>
  <c r="E3409" i="2"/>
  <c r="D3409" i="2"/>
  <c r="C3409" i="2"/>
  <c r="A3409" i="2"/>
  <c r="E3408" i="2"/>
  <c r="D3408" i="2"/>
  <c r="C3408" i="2"/>
  <c r="A3408" i="2"/>
  <c r="E3407" i="2"/>
  <c r="D3407" i="2"/>
  <c r="C3407" i="2"/>
  <c r="A3407" i="2"/>
  <c r="E3406" i="2"/>
  <c r="D3406" i="2"/>
  <c r="C3406" i="2"/>
  <c r="A3406" i="2"/>
  <c r="E3405" i="2"/>
  <c r="D3405" i="2"/>
  <c r="C3405" i="2"/>
  <c r="A3405" i="2"/>
  <c r="E3404" i="2"/>
  <c r="D3404" i="2"/>
  <c r="C3404" i="2"/>
  <c r="A3404" i="2"/>
  <c r="E3403" i="2"/>
  <c r="D3403" i="2"/>
  <c r="C3403" i="2"/>
  <c r="A3403" i="2"/>
  <c r="E3402" i="2"/>
  <c r="D3402" i="2"/>
  <c r="C3402" i="2"/>
  <c r="A3402" i="2"/>
  <c r="E3401" i="2"/>
  <c r="D3401" i="2"/>
  <c r="C3401" i="2"/>
  <c r="A3401" i="2"/>
  <c r="E3400" i="2"/>
  <c r="D3400" i="2"/>
  <c r="C3400" i="2"/>
  <c r="A3400" i="2"/>
  <c r="E3399" i="2"/>
  <c r="D3399" i="2"/>
  <c r="C3399" i="2"/>
  <c r="A3399" i="2"/>
  <c r="E3398" i="2"/>
  <c r="D3398" i="2"/>
  <c r="C3398" i="2"/>
  <c r="A3398" i="2"/>
  <c r="E3397" i="2"/>
  <c r="D3397" i="2"/>
  <c r="C3397" i="2"/>
  <c r="A3397" i="2"/>
  <c r="E3396" i="2"/>
  <c r="D3396" i="2"/>
  <c r="C3396" i="2"/>
  <c r="A3396" i="2"/>
  <c r="E3395" i="2"/>
  <c r="D3395" i="2"/>
  <c r="C3395" i="2"/>
  <c r="A3395" i="2"/>
  <c r="E3394" i="2"/>
  <c r="D3394" i="2"/>
  <c r="C3394" i="2"/>
  <c r="A3394" i="2"/>
  <c r="E3393" i="2"/>
  <c r="D3393" i="2"/>
  <c r="C3393" i="2"/>
  <c r="A3393" i="2"/>
  <c r="E3392" i="2"/>
  <c r="D3392" i="2"/>
  <c r="C3392" i="2"/>
  <c r="A3392" i="2"/>
  <c r="E3391" i="2"/>
  <c r="D3391" i="2"/>
  <c r="C3391" i="2"/>
  <c r="A3391" i="2"/>
  <c r="E3390" i="2"/>
  <c r="D3390" i="2"/>
  <c r="C3390" i="2"/>
  <c r="A3390" i="2"/>
  <c r="E3389" i="2"/>
  <c r="D3389" i="2"/>
  <c r="C3389" i="2"/>
  <c r="A3389" i="2"/>
  <c r="E3388" i="2"/>
  <c r="D3388" i="2"/>
  <c r="C3388" i="2"/>
  <c r="A3388" i="2"/>
  <c r="E3387" i="2"/>
  <c r="D3387" i="2"/>
  <c r="C3387" i="2"/>
  <c r="A3387" i="2"/>
  <c r="E3386" i="2"/>
  <c r="D3386" i="2"/>
  <c r="C3386" i="2"/>
  <c r="A3386" i="2"/>
  <c r="E3385" i="2"/>
  <c r="D3385" i="2"/>
  <c r="C3385" i="2"/>
  <c r="A3385" i="2"/>
  <c r="E3384" i="2"/>
  <c r="D3384" i="2"/>
  <c r="C3384" i="2"/>
  <c r="A3384" i="2"/>
  <c r="E3383" i="2"/>
  <c r="D3383" i="2"/>
  <c r="C3383" i="2"/>
  <c r="A3383" i="2"/>
  <c r="E3382" i="2"/>
  <c r="D3382" i="2"/>
  <c r="C3382" i="2"/>
  <c r="A3382" i="2"/>
  <c r="E3381" i="2"/>
  <c r="D3381" i="2"/>
  <c r="C3381" i="2"/>
  <c r="A3381" i="2"/>
  <c r="E3380" i="2"/>
  <c r="D3380" i="2"/>
  <c r="C3380" i="2"/>
  <c r="A3380" i="2"/>
  <c r="E3379" i="2"/>
  <c r="D3379" i="2"/>
  <c r="C3379" i="2"/>
  <c r="A3379" i="2"/>
  <c r="E3377" i="2"/>
  <c r="D3377" i="2"/>
  <c r="C3377" i="2"/>
  <c r="A3377" i="2"/>
  <c r="E3376" i="2"/>
  <c r="D3376" i="2"/>
  <c r="C3376" i="2"/>
  <c r="A3376" i="2"/>
  <c r="E3375" i="2"/>
  <c r="D3375" i="2"/>
  <c r="C3375" i="2"/>
  <c r="A3375" i="2"/>
  <c r="E3374" i="2"/>
  <c r="D3374" i="2"/>
  <c r="C3374" i="2"/>
  <c r="A3374" i="2"/>
  <c r="E3373" i="2"/>
  <c r="D3373" i="2"/>
  <c r="C3373" i="2"/>
  <c r="A3373" i="2"/>
  <c r="E3372" i="2"/>
  <c r="D3372" i="2"/>
  <c r="C3372" i="2"/>
  <c r="A3372" i="2"/>
  <c r="E3371" i="2"/>
  <c r="D3371" i="2"/>
  <c r="C3371" i="2"/>
  <c r="A3371" i="2"/>
  <c r="E3370" i="2"/>
  <c r="D3370" i="2"/>
  <c r="C3370" i="2"/>
  <c r="A3370" i="2"/>
  <c r="E3369" i="2"/>
  <c r="D3369" i="2"/>
  <c r="C3369" i="2"/>
  <c r="A3369" i="2"/>
  <c r="E3368" i="2"/>
  <c r="D3368" i="2"/>
  <c r="C3368" i="2"/>
  <c r="A3368" i="2"/>
  <c r="E3367" i="2"/>
  <c r="D3367" i="2"/>
  <c r="C3367" i="2"/>
  <c r="A3367" i="2"/>
  <c r="E3366" i="2"/>
  <c r="D3366" i="2"/>
  <c r="C3366" i="2"/>
  <c r="A3366" i="2"/>
  <c r="E3365" i="2"/>
  <c r="D3365" i="2"/>
  <c r="C3365" i="2"/>
  <c r="A3365" i="2"/>
  <c r="E3364" i="2"/>
  <c r="D3364" i="2"/>
  <c r="C3364" i="2"/>
  <c r="A3364" i="2"/>
  <c r="E3363" i="2"/>
  <c r="D3363" i="2"/>
  <c r="C3363" i="2"/>
  <c r="A3363" i="2"/>
  <c r="E3362" i="2"/>
  <c r="D3362" i="2"/>
  <c r="C3362" i="2"/>
  <c r="A3362" i="2"/>
  <c r="E3361" i="2"/>
  <c r="D3361" i="2"/>
  <c r="C3361" i="2"/>
  <c r="A3361" i="2"/>
  <c r="E3360" i="2"/>
  <c r="D3360" i="2"/>
  <c r="C3360" i="2"/>
  <c r="A3360" i="2"/>
  <c r="E3359" i="2"/>
  <c r="D3359" i="2"/>
  <c r="C3359" i="2"/>
  <c r="A3359" i="2"/>
  <c r="E3358" i="2"/>
  <c r="D3358" i="2"/>
  <c r="C3358" i="2"/>
  <c r="A3358" i="2"/>
  <c r="E3357" i="2"/>
  <c r="D3357" i="2"/>
  <c r="C3357" i="2"/>
  <c r="A3357" i="2"/>
  <c r="E3356" i="2"/>
  <c r="D3356" i="2"/>
  <c r="C3356" i="2"/>
  <c r="A3356" i="2"/>
  <c r="E3355" i="2"/>
  <c r="D3355" i="2"/>
  <c r="C3355" i="2"/>
  <c r="A3355" i="2"/>
  <c r="E3354" i="2"/>
  <c r="D3354" i="2"/>
  <c r="C3354" i="2"/>
  <c r="A3354" i="2"/>
  <c r="E3353" i="2"/>
  <c r="D3353" i="2"/>
  <c r="C3353" i="2"/>
  <c r="A3353" i="2"/>
  <c r="E3352" i="2"/>
  <c r="D3352" i="2"/>
  <c r="C3352" i="2"/>
  <c r="A3352" i="2"/>
  <c r="E3351" i="2"/>
  <c r="D3351" i="2"/>
  <c r="C3351" i="2"/>
  <c r="A3351" i="2"/>
  <c r="E3350" i="2"/>
  <c r="D3350" i="2"/>
  <c r="C3350" i="2"/>
  <c r="A3350" i="2"/>
  <c r="E3349" i="2"/>
  <c r="D3349" i="2"/>
  <c r="C3349" i="2"/>
  <c r="A3349" i="2"/>
  <c r="E3348" i="2"/>
  <c r="D3348" i="2"/>
  <c r="C3348" i="2"/>
  <c r="A3348" i="2"/>
  <c r="E3347" i="2"/>
  <c r="D3347" i="2"/>
  <c r="C3347" i="2"/>
  <c r="A3347" i="2"/>
  <c r="E3346" i="2"/>
  <c r="D3346" i="2"/>
  <c r="C3346" i="2"/>
  <c r="A3346" i="2"/>
  <c r="E3345" i="2"/>
  <c r="D3345" i="2"/>
  <c r="C3345" i="2"/>
  <c r="A3345" i="2"/>
  <c r="E3344" i="2"/>
  <c r="D3344" i="2"/>
  <c r="C3344" i="2"/>
  <c r="A3344" i="2"/>
  <c r="E3343" i="2"/>
  <c r="D3343" i="2"/>
  <c r="C3343" i="2"/>
  <c r="A3343" i="2"/>
  <c r="E3342" i="2"/>
  <c r="D3342" i="2"/>
  <c r="C3342" i="2"/>
  <c r="A3342" i="2"/>
  <c r="E3341" i="2"/>
  <c r="D3341" i="2"/>
  <c r="C3341" i="2"/>
  <c r="A3341" i="2"/>
  <c r="E3340" i="2"/>
  <c r="D3340" i="2"/>
  <c r="C3340" i="2"/>
  <c r="A3340" i="2"/>
  <c r="E3338" i="2"/>
  <c r="D3338" i="2"/>
  <c r="C3338" i="2"/>
  <c r="A3338" i="2"/>
  <c r="E3337" i="2"/>
  <c r="D3337" i="2"/>
  <c r="C3337" i="2"/>
  <c r="A3337" i="2"/>
  <c r="E3336" i="2"/>
  <c r="D3336" i="2"/>
  <c r="C3336" i="2"/>
  <c r="A3336" i="2"/>
  <c r="E3335" i="2"/>
  <c r="D3335" i="2"/>
  <c r="C3335" i="2"/>
  <c r="A3335" i="2"/>
  <c r="E3334" i="2"/>
  <c r="D3334" i="2"/>
  <c r="C3334" i="2"/>
  <c r="A3334" i="2"/>
  <c r="E3333" i="2"/>
  <c r="D3333" i="2"/>
  <c r="C3333" i="2"/>
  <c r="A3333" i="2"/>
  <c r="E3332" i="2"/>
  <c r="D3332" i="2"/>
  <c r="C3332" i="2"/>
  <c r="A3332" i="2"/>
  <c r="E3331" i="2"/>
  <c r="D3331" i="2"/>
  <c r="C3331" i="2"/>
  <c r="A3331" i="2"/>
  <c r="E3330" i="2"/>
  <c r="D3330" i="2"/>
  <c r="C3330" i="2"/>
  <c r="A3330" i="2"/>
  <c r="E3329" i="2"/>
  <c r="D3329" i="2"/>
  <c r="C3329" i="2"/>
  <c r="A3329" i="2"/>
  <c r="E3328" i="2"/>
  <c r="D3328" i="2"/>
  <c r="C3328" i="2"/>
  <c r="A3328" i="2"/>
  <c r="E3327" i="2"/>
  <c r="D3327" i="2"/>
  <c r="C3327" i="2"/>
  <c r="A3327" i="2"/>
  <c r="E3326" i="2"/>
  <c r="D3326" i="2"/>
  <c r="C3326" i="2"/>
  <c r="A3326" i="2"/>
  <c r="E3325" i="2"/>
  <c r="D3325" i="2"/>
  <c r="C3325" i="2"/>
  <c r="A3325" i="2"/>
  <c r="E3324" i="2"/>
  <c r="D3324" i="2"/>
  <c r="C3324" i="2"/>
  <c r="A3324" i="2"/>
  <c r="E3323" i="2"/>
  <c r="D3323" i="2"/>
  <c r="C3323" i="2"/>
  <c r="A3323" i="2"/>
  <c r="E3322" i="2"/>
  <c r="D3322" i="2"/>
  <c r="C3322" i="2"/>
  <c r="A3322" i="2"/>
  <c r="E3321" i="2"/>
  <c r="D3321" i="2"/>
  <c r="C3321" i="2"/>
  <c r="A3321" i="2"/>
  <c r="E3320" i="2"/>
  <c r="D3320" i="2"/>
  <c r="C3320" i="2"/>
  <c r="A3320" i="2"/>
  <c r="E3319" i="2"/>
  <c r="D3319" i="2"/>
  <c r="C3319" i="2"/>
  <c r="A3319" i="2"/>
  <c r="E3318" i="2"/>
  <c r="D3318" i="2"/>
  <c r="C3318" i="2"/>
  <c r="A3318" i="2"/>
  <c r="E3317" i="2"/>
  <c r="D3317" i="2"/>
  <c r="C3317" i="2"/>
  <c r="A3317" i="2"/>
  <c r="E3316" i="2"/>
  <c r="D3316" i="2"/>
  <c r="C3316" i="2"/>
  <c r="A3316" i="2"/>
  <c r="E3315" i="2"/>
  <c r="D3315" i="2"/>
  <c r="C3315" i="2"/>
  <c r="A3315" i="2"/>
  <c r="E3314" i="2"/>
  <c r="D3314" i="2"/>
  <c r="C3314" i="2"/>
  <c r="A3314" i="2"/>
  <c r="E3313" i="2"/>
  <c r="D3313" i="2"/>
  <c r="C3313" i="2"/>
  <c r="A3313" i="2"/>
  <c r="E3312" i="2"/>
  <c r="D3312" i="2"/>
  <c r="C3312" i="2"/>
  <c r="A3312" i="2"/>
  <c r="E3311" i="2"/>
  <c r="D3311" i="2"/>
  <c r="C3311" i="2"/>
  <c r="A3311" i="2"/>
  <c r="E3310" i="2"/>
  <c r="D3310" i="2"/>
  <c r="C3310" i="2"/>
  <c r="A3310" i="2"/>
  <c r="E3309" i="2"/>
  <c r="D3309" i="2"/>
  <c r="C3309" i="2"/>
  <c r="A3309" i="2"/>
  <c r="E3308" i="2"/>
  <c r="D3308" i="2"/>
  <c r="C3308" i="2"/>
  <c r="A3308" i="2"/>
  <c r="E3307" i="2"/>
  <c r="D3307" i="2"/>
  <c r="C3307" i="2"/>
  <c r="A3307" i="2"/>
  <c r="E3306" i="2"/>
  <c r="D3306" i="2"/>
  <c r="C3306" i="2"/>
  <c r="A3306" i="2"/>
  <c r="E3305" i="2"/>
  <c r="D3305" i="2"/>
  <c r="C3305" i="2"/>
  <c r="A3305" i="2"/>
  <c r="E3304" i="2"/>
  <c r="D3304" i="2"/>
  <c r="C3304" i="2"/>
  <c r="A3304" i="2"/>
  <c r="E3303" i="2"/>
  <c r="D3303" i="2"/>
  <c r="C3303" i="2"/>
  <c r="A3303" i="2"/>
  <c r="E3302" i="2"/>
  <c r="D3302" i="2"/>
  <c r="C3302" i="2"/>
  <c r="A3302" i="2"/>
  <c r="E3301" i="2"/>
  <c r="D3301" i="2"/>
  <c r="C3301" i="2"/>
  <c r="A3301" i="2"/>
  <c r="E3300" i="2"/>
  <c r="D3300" i="2"/>
  <c r="C3300" i="2"/>
  <c r="A3300" i="2"/>
  <c r="E3299" i="2"/>
  <c r="D3299" i="2"/>
  <c r="C3299" i="2"/>
  <c r="A3299" i="2"/>
  <c r="E3298" i="2"/>
  <c r="D3298" i="2"/>
  <c r="C3298" i="2"/>
  <c r="A3298" i="2"/>
  <c r="E3297" i="2"/>
  <c r="D3297" i="2"/>
  <c r="C3297" i="2"/>
  <c r="A3297" i="2"/>
  <c r="E3296" i="2"/>
  <c r="D3296" i="2"/>
  <c r="C3296" i="2"/>
  <c r="A3296" i="2"/>
  <c r="E3295" i="2"/>
  <c r="D3295" i="2"/>
  <c r="C3295" i="2"/>
  <c r="A3295" i="2"/>
  <c r="E3294" i="2"/>
  <c r="D3294" i="2"/>
  <c r="C3294" i="2"/>
  <c r="A3294" i="2"/>
  <c r="E3293" i="2"/>
  <c r="D3293" i="2"/>
  <c r="C3293" i="2"/>
  <c r="A3293" i="2"/>
  <c r="E3292" i="2"/>
  <c r="D3292" i="2"/>
  <c r="C3292" i="2"/>
  <c r="A3292" i="2"/>
  <c r="E3291" i="2"/>
  <c r="D3291" i="2"/>
  <c r="C3291" i="2"/>
  <c r="A3291" i="2"/>
  <c r="E3290" i="2"/>
  <c r="D3290" i="2"/>
  <c r="C3290" i="2"/>
  <c r="A3290" i="2"/>
  <c r="E3289" i="2"/>
  <c r="D3289" i="2"/>
  <c r="C3289" i="2"/>
  <c r="A3289" i="2"/>
  <c r="E3288" i="2"/>
  <c r="D3288" i="2"/>
  <c r="C3288" i="2"/>
  <c r="A3288" i="2"/>
  <c r="E3287" i="2"/>
  <c r="D3287" i="2"/>
  <c r="C3287" i="2"/>
  <c r="A3287" i="2"/>
  <c r="E3286" i="2"/>
  <c r="D3286" i="2"/>
  <c r="C3286" i="2"/>
  <c r="A3286" i="2"/>
  <c r="E3285" i="2"/>
  <c r="D3285" i="2"/>
  <c r="C3285" i="2"/>
  <c r="A3285" i="2"/>
  <c r="E3284" i="2"/>
  <c r="D3284" i="2"/>
  <c r="C3284" i="2"/>
  <c r="A3284" i="2"/>
  <c r="E3283" i="2"/>
  <c r="D3283" i="2"/>
  <c r="C3283" i="2"/>
  <c r="A3283" i="2"/>
  <c r="E3282" i="2"/>
  <c r="D3282" i="2"/>
  <c r="C3282" i="2"/>
  <c r="A3282" i="2"/>
  <c r="E3281" i="2"/>
  <c r="D3281" i="2"/>
  <c r="C3281" i="2"/>
  <c r="A3281" i="2"/>
  <c r="E3280" i="2"/>
  <c r="D3280" i="2"/>
  <c r="C3280" i="2"/>
  <c r="A3280" i="2"/>
  <c r="E3279" i="2"/>
  <c r="D3279" i="2"/>
  <c r="C3279" i="2"/>
  <c r="A3279" i="2"/>
  <c r="E3278" i="2"/>
  <c r="D3278" i="2"/>
  <c r="C3278" i="2"/>
  <c r="A3278" i="2"/>
  <c r="E3277" i="2"/>
  <c r="D3277" i="2"/>
  <c r="C3277" i="2"/>
  <c r="A3277" i="2"/>
  <c r="E3276" i="2"/>
  <c r="D3276" i="2"/>
  <c r="C3276" i="2"/>
  <c r="A3276" i="2"/>
  <c r="E3275" i="2"/>
  <c r="D3275" i="2"/>
  <c r="C3275" i="2"/>
  <c r="A3275" i="2"/>
  <c r="E3274" i="2"/>
  <c r="D3274" i="2"/>
  <c r="C3274" i="2"/>
  <c r="A3274" i="2"/>
  <c r="E3273" i="2"/>
  <c r="D3273" i="2"/>
  <c r="C3273" i="2"/>
  <c r="A3273" i="2"/>
  <c r="E3272" i="2"/>
  <c r="D3272" i="2"/>
  <c r="C3272" i="2"/>
  <c r="A3272" i="2"/>
  <c r="E3271" i="2"/>
  <c r="D3271" i="2"/>
  <c r="C3271" i="2"/>
  <c r="A3271" i="2"/>
  <c r="E3270" i="2"/>
  <c r="D3270" i="2"/>
  <c r="C3270" i="2"/>
  <c r="A3270" i="2"/>
  <c r="E3269" i="2"/>
  <c r="D3269" i="2"/>
  <c r="C3269" i="2"/>
  <c r="A3269" i="2"/>
  <c r="E3268" i="2"/>
  <c r="D3268" i="2"/>
  <c r="C3268" i="2"/>
  <c r="A3268" i="2"/>
  <c r="E3267" i="2"/>
  <c r="D3267" i="2"/>
  <c r="C3267" i="2"/>
  <c r="A3267" i="2"/>
  <c r="E3266" i="2"/>
  <c r="D3266" i="2"/>
  <c r="C3266" i="2"/>
  <c r="A3266" i="2"/>
  <c r="E3265" i="2"/>
  <c r="D3265" i="2"/>
  <c r="C3265" i="2"/>
  <c r="A3265" i="2"/>
  <c r="E3264" i="2"/>
  <c r="D3264" i="2"/>
  <c r="C3264" i="2"/>
  <c r="A3264" i="2"/>
  <c r="E3263" i="2"/>
  <c r="D3263" i="2"/>
  <c r="C3263" i="2"/>
  <c r="A3263" i="2"/>
  <c r="E3262" i="2"/>
  <c r="D3262" i="2"/>
  <c r="C3262" i="2"/>
  <c r="A3262" i="2"/>
  <c r="E3261" i="2"/>
  <c r="D3261" i="2"/>
  <c r="C3261" i="2"/>
  <c r="A3261" i="2"/>
  <c r="E3260" i="2"/>
  <c r="D3260" i="2"/>
  <c r="C3260" i="2"/>
  <c r="A3260" i="2"/>
  <c r="E3259" i="2"/>
  <c r="D3259" i="2"/>
  <c r="C3259" i="2"/>
  <c r="A3259" i="2"/>
  <c r="E3258" i="2"/>
  <c r="D3258" i="2"/>
  <c r="C3258" i="2"/>
  <c r="A3258" i="2"/>
  <c r="E3257" i="2"/>
  <c r="D3257" i="2"/>
  <c r="C3257" i="2"/>
  <c r="A3257" i="2"/>
  <c r="E3256" i="2"/>
  <c r="D3256" i="2"/>
  <c r="C3256" i="2"/>
  <c r="A3256" i="2"/>
  <c r="E3255" i="2"/>
  <c r="D3255" i="2"/>
  <c r="C3255" i="2"/>
  <c r="A3255" i="2"/>
  <c r="E3254" i="2"/>
  <c r="D3254" i="2"/>
  <c r="C3254" i="2"/>
  <c r="A3254" i="2"/>
  <c r="E3253" i="2"/>
  <c r="D3253" i="2"/>
  <c r="C3253" i="2"/>
  <c r="A3253" i="2"/>
  <c r="E3252" i="2"/>
  <c r="D3252" i="2"/>
  <c r="C3252" i="2"/>
  <c r="A3252" i="2"/>
  <c r="E3251" i="2"/>
  <c r="D3251" i="2"/>
  <c r="C3251" i="2"/>
  <c r="A3251" i="2"/>
  <c r="E3250" i="2"/>
  <c r="D3250" i="2"/>
  <c r="C3250" i="2"/>
  <c r="A3250" i="2"/>
  <c r="E3249" i="2"/>
  <c r="D3249" i="2"/>
  <c r="C3249" i="2"/>
  <c r="A3249" i="2"/>
  <c r="E3248" i="2"/>
  <c r="D3248" i="2"/>
  <c r="C3248" i="2"/>
  <c r="A3248" i="2"/>
  <c r="E3247" i="2"/>
  <c r="D3247" i="2"/>
  <c r="C3247" i="2"/>
  <c r="A3247" i="2"/>
  <c r="E3246" i="2"/>
  <c r="D3246" i="2"/>
  <c r="C3246" i="2"/>
  <c r="A3246" i="2"/>
  <c r="E3245" i="2"/>
  <c r="D3245" i="2"/>
  <c r="C3245" i="2"/>
  <c r="A3245" i="2"/>
  <c r="E3244" i="2"/>
  <c r="D3244" i="2"/>
  <c r="C3244" i="2"/>
  <c r="A3244" i="2"/>
  <c r="E3243" i="2"/>
  <c r="D3243" i="2"/>
  <c r="C3243" i="2"/>
  <c r="A3243" i="2"/>
  <c r="E3242" i="2"/>
  <c r="D3242" i="2"/>
  <c r="C3242" i="2"/>
  <c r="A3242" i="2"/>
  <c r="E3241" i="2"/>
  <c r="D3241" i="2"/>
  <c r="C3241" i="2"/>
  <c r="A3241" i="2"/>
  <c r="E3240" i="2"/>
  <c r="D3240" i="2"/>
  <c r="C3240" i="2"/>
  <c r="A3240" i="2"/>
  <c r="E3239" i="2"/>
  <c r="D3239" i="2"/>
  <c r="C3239" i="2"/>
  <c r="A3239" i="2"/>
  <c r="E3238" i="2"/>
  <c r="D3238" i="2"/>
  <c r="C3238" i="2"/>
  <c r="A3238" i="2"/>
  <c r="E3237" i="2"/>
  <c r="D3237" i="2"/>
  <c r="C3237" i="2"/>
  <c r="A3237" i="2"/>
  <c r="E3236" i="2"/>
  <c r="D3236" i="2"/>
  <c r="C3236" i="2"/>
  <c r="A3236" i="2"/>
  <c r="E3235" i="2"/>
  <c r="D3235" i="2"/>
  <c r="C3235" i="2"/>
  <c r="A3235" i="2"/>
  <c r="E3234" i="2"/>
  <c r="D3234" i="2"/>
  <c r="C3234" i="2"/>
  <c r="A3234" i="2"/>
  <c r="E3233" i="2"/>
  <c r="D3233" i="2"/>
  <c r="C3233" i="2"/>
  <c r="A3233" i="2"/>
  <c r="E3232" i="2"/>
  <c r="D3232" i="2"/>
  <c r="C3232" i="2"/>
  <c r="A3232" i="2"/>
  <c r="E3231" i="2"/>
  <c r="D3231" i="2"/>
  <c r="C3231" i="2"/>
  <c r="A3231" i="2"/>
  <c r="E3230" i="2"/>
  <c r="D3230" i="2"/>
  <c r="C3230" i="2"/>
  <c r="A3230" i="2"/>
  <c r="E3229" i="2"/>
  <c r="D3229" i="2"/>
  <c r="C3229" i="2"/>
  <c r="A3229" i="2"/>
  <c r="E3228" i="2"/>
  <c r="D3228" i="2"/>
  <c r="C3228" i="2"/>
  <c r="A3228" i="2"/>
  <c r="E3227" i="2"/>
  <c r="D3227" i="2"/>
  <c r="C3227" i="2"/>
  <c r="A3227" i="2"/>
  <c r="E3226" i="2"/>
  <c r="D3226" i="2"/>
  <c r="C3226" i="2"/>
  <c r="A3226" i="2"/>
  <c r="E3225" i="2"/>
  <c r="D3225" i="2"/>
  <c r="C3225" i="2"/>
  <c r="A3225" i="2"/>
  <c r="E3224" i="2"/>
  <c r="D3224" i="2"/>
  <c r="C3224" i="2"/>
  <c r="A3224" i="2"/>
  <c r="E3223" i="2"/>
  <c r="D3223" i="2"/>
  <c r="C3223" i="2"/>
  <c r="A3223" i="2"/>
  <c r="E3222" i="2"/>
  <c r="D3222" i="2"/>
  <c r="C3222" i="2"/>
  <c r="A3222" i="2"/>
  <c r="E3221" i="2"/>
  <c r="D3221" i="2"/>
  <c r="C3221" i="2"/>
  <c r="A3221" i="2"/>
  <c r="E3220" i="2"/>
  <c r="D3220" i="2"/>
  <c r="C3220" i="2"/>
  <c r="A3220" i="2"/>
  <c r="E3219" i="2"/>
  <c r="D3219" i="2"/>
  <c r="C3219" i="2"/>
  <c r="A3219" i="2"/>
  <c r="E3218" i="2"/>
  <c r="D3218" i="2"/>
  <c r="C3218" i="2"/>
  <c r="A3218" i="2"/>
  <c r="E3217" i="2"/>
  <c r="D3217" i="2"/>
  <c r="C3217" i="2"/>
  <c r="A3217" i="2"/>
  <c r="E3216" i="2"/>
  <c r="D3216" i="2"/>
  <c r="C3216" i="2"/>
  <c r="A3216" i="2"/>
  <c r="E3215" i="2"/>
  <c r="D3215" i="2"/>
  <c r="C3215" i="2"/>
  <c r="A3215" i="2"/>
  <c r="E3214" i="2"/>
  <c r="D3214" i="2"/>
  <c r="C3214" i="2"/>
  <c r="A3214" i="2"/>
  <c r="E3213" i="2"/>
  <c r="D3213" i="2"/>
  <c r="C3213" i="2"/>
  <c r="A3213" i="2"/>
  <c r="E3212" i="2"/>
  <c r="D3212" i="2"/>
  <c r="C3212" i="2"/>
  <c r="A3212" i="2"/>
  <c r="E3211" i="2"/>
  <c r="D3211" i="2"/>
  <c r="C3211" i="2"/>
  <c r="A3211" i="2"/>
  <c r="E3210" i="2"/>
  <c r="D3210" i="2"/>
  <c r="C3210" i="2"/>
  <c r="A3210" i="2"/>
  <c r="E3209" i="2"/>
  <c r="D3209" i="2"/>
  <c r="C3209" i="2"/>
  <c r="A3209" i="2"/>
  <c r="E3208" i="2"/>
  <c r="D3208" i="2"/>
  <c r="C3208" i="2"/>
  <c r="A3208" i="2"/>
  <c r="E3207" i="2"/>
  <c r="D3207" i="2"/>
  <c r="C3207" i="2"/>
  <c r="A3207" i="2"/>
  <c r="E3206" i="2"/>
  <c r="D3206" i="2"/>
  <c r="C3206" i="2"/>
  <c r="A3206" i="2"/>
  <c r="E3205" i="2"/>
  <c r="D3205" i="2"/>
  <c r="C3205" i="2"/>
  <c r="A3205" i="2"/>
  <c r="E3204" i="2"/>
  <c r="D3204" i="2"/>
  <c r="C3204" i="2"/>
  <c r="A3204" i="2"/>
  <c r="E3203" i="2"/>
  <c r="D3203" i="2"/>
  <c r="C3203" i="2"/>
  <c r="A3203" i="2"/>
  <c r="E3202" i="2"/>
  <c r="D3202" i="2"/>
  <c r="C3202" i="2"/>
  <c r="A3202" i="2"/>
  <c r="E3201" i="2"/>
  <c r="D3201" i="2"/>
  <c r="C3201" i="2"/>
  <c r="A3201" i="2"/>
  <c r="E3200" i="2"/>
  <c r="D3200" i="2"/>
  <c r="C3200" i="2"/>
  <c r="A3200" i="2"/>
  <c r="E3199" i="2"/>
  <c r="D3199" i="2"/>
  <c r="C3199" i="2"/>
  <c r="A3199" i="2"/>
  <c r="E3198" i="2"/>
  <c r="D3198" i="2"/>
  <c r="C3198" i="2"/>
  <c r="A3198" i="2"/>
  <c r="E3197" i="2"/>
  <c r="D3197" i="2"/>
  <c r="C3197" i="2"/>
  <c r="A3197" i="2"/>
  <c r="E3196" i="2"/>
  <c r="D3196" i="2"/>
  <c r="C3196" i="2"/>
  <c r="A3196" i="2"/>
  <c r="E3195" i="2"/>
  <c r="D3195" i="2"/>
  <c r="C3195" i="2"/>
  <c r="A3195" i="2"/>
  <c r="E3194" i="2"/>
  <c r="D3194" i="2"/>
  <c r="C3194" i="2"/>
  <c r="A3194" i="2"/>
  <c r="E3193" i="2"/>
  <c r="D3193" i="2"/>
  <c r="C3193" i="2"/>
  <c r="A3193" i="2"/>
  <c r="E3192" i="2"/>
  <c r="D3192" i="2"/>
  <c r="C3192" i="2"/>
  <c r="A3192" i="2"/>
  <c r="E3191" i="2"/>
  <c r="D3191" i="2"/>
  <c r="C3191" i="2"/>
  <c r="A3191" i="2"/>
  <c r="E3189" i="2"/>
  <c r="D3189" i="2"/>
  <c r="C3189" i="2"/>
  <c r="A3189" i="2"/>
  <c r="E3188" i="2"/>
  <c r="D3188" i="2"/>
  <c r="C3188" i="2"/>
  <c r="A3188" i="2"/>
  <c r="E3187" i="2"/>
  <c r="D3187" i="2"/>
  <c r="C3187" i="2"/>
  <c r="A3187" i="2"/>
  <c r="E3186" i="2"/>
  <c r="D3186" i="2"/>
  <c r="C3186" i="2"/>
  <c r="A3186" i="2"/>
  <c r="E3185" i="2"/>
  <c r="D3185" i="2"/>
  <c r="C3185" i="2"/>
  <c r="A3185" i="2"/>
  <c r="E3183" i="2"/>
  <c r="D3183" i="2"/>
  <c r="C3183" i="2"/>
  <c r="A3183" i="2"/>
  <c r="E3182" i="2"/>
  <c r="D3182" i="2"/>
  <c r="C3182" i="2"/>
  <c r="A3182" i="2"/>
  <c r="E3181" i="2"/>
  <c r="D3181" i="2"/>
  <c r="C3181" i="2"/>
  <c r="A3181" i="2"/>
  <c r="E3180" i="2"/>
  <c r="D3180" i="2"/>
  <c r="C3180" i="2"/>
  <c r="A3180" i="2"/>
  <c r="E3179" i="2"/>
  <c r="D3179" i="2"/>
  <c r="C3179" i="2"/>
  <c r="A3179" i="2"/>
  <c r="E3178" i="2"/>
  <c r="D3178" i="2"/>
  <c r="C3178" i="2"/>
  <c r="A3178" i="2"/>
  <c r="E3177" i="2"/>
  <c r="D3177" i="2"/>
  <c r="C3177" i="2"/>
  <c r="A3177" i="2"/>
  <c r="E3176" i="2"/>
  <c r="D3176" i="2"/>
  <c r="C3176" i="2"/>
  <c r="A3176" i="2"/>
  <c r="E3175" i="2"/>
  <c r="D3175" i="2"/>
  <c r="C3175" i="2"/>
  <c r="A3175" i="2"/>
  <c r="E3174" i="2"/>
  <c r="D3174" i="2"/>
  <c r="C3174" i="2"/>
  <c r="A3174" i="2"/>
  <c r="E3173" i="2"/>
  <c r="D3173" i="2"/>
  <c r="C3173" i="2"/>
  <c r="A3173" i="2"/>
  <c r="E3172" i="2"/>
  <c r="D3172" i="2"/>
  <c r="C3172" i="2"/>
  <c r="A3172" i="2"/>
  <c r="E3171" i="2"/>
  <c r="D3171" i="2"/>
  <c r="C3171" i="2"/>
  <c r="A3171" i="2"/>
  <c r="E3170" i="2"/>
  <c r="D3170" i="2"/>
  <c r="C3170" i="2"/>
  <c r="A3170" i="2"/>
  <c r="E3169" i="2"/>
  <c r="D3169" i="2"/>
  <c r="C3169" i="2"/>
  <c r="A3169" i="2"/>
  <c r="E3168" i="2"/>
  <c r="D3168" i="2"/>
  <c r="C3168" i="2"/>
  <c r="A3168" i="2"/>
  <c r="E3167" i="2"/>
  <c r="D3167" i="2"/>
  <c r="C3167" i="2"/>
  <c r="A3167" i="2"/>
  <c r="E3166" i="2"/>
  <c r="D3166" i="2"/>
  <c r="C3166" i="2"/>
  <c r="A3166" i="2"/>
  <c r="E3165" i="2"/>
  <c r="D3165" i="2"/>
  <c r="C3165" i="2"/>
  <c r="A3165" i="2"/>
  <c r="E3164" i="2"/>
  <c r="D3164" i="2"/>
  <c r="C3164" i="2"/>
  <c r="A3164" i="2"/>
  <c r="E3163" i="2"/>
  <c r="D3163" i="2"/>
  <c r="C3163" i="2"/>
  <c r="A3163" i="2"/>
  <c r="E3162" i="2"/>
  <c r="D3162" i="2"/>
  <c r="C3162" i="2"/>
  <c r="A3162" i="2"/>
  <c r="E3161" i="2"/>
  <c r="D3161" i="2"/>
  <c r="C3161" i="2"/>
  <c r="A3161" i="2"/>
  <c r="E3160" i="2"/>
  <c r="D3160" i="2"/>
  <c r="C3160" i="2"/>
  <c r="A3160" i="2"/>
  <c r="E3159" i="2"/>
  <c r="D3159" i="2"/>
  <c r="C3159" i="2"/>
  <c r="A3159" i="2"/>
  <c r="E3158" i="2"/>
  <c r="D3158" i="2"/>
  <c r="C3158" i="2"/>
  <c r="A3158" i="2"/>
  <c r="E3157" i="2"/>
  <c r="D3157" i="2"/>
  <c r="C3157" i="2"/>
  <c r="A3157" i="2"/>
  <c r="E3156" i="2"/>
  <c r="D3156" i="2"/>
  <c r="C3156" i="2"/>
  <c r="A3156" i="2"/>
  <c r="E3155" i="2"/>
  <c r="D3155" i="2"/>
  <c r="C3155" i="2"/>
  <c r="A3155" i="2"/>
  <c r="E3154" i="2"/>
  <c r="D3154" i="2"/>
  <c r="C3154" i="2"/>
  <c r="A3154" i="2"/>
  <c r="E3153" i="2"/>
  <c r="D3153" i="2"/>
  <c r="C3153" i="2"/>
  <c r="A3153" i="2"/>
  <c r="E3152" i="2"/>
  <c r="D3152" i="2"/>
  <c r="C3152" i="2"/>
  <c r="A3152" i="2"/>
  <c r="E3151" i="2"/>
  <c r="D3151" i="2"/>
  <c r="C3151" i="2"/>
  <c r="A3151" i="2"/>
  <c r="E3150" i="2"/>
  <c r="D3150" i="2"/>
  <c r="C3150" i="2"/>
  <c r="A3150" i="2"/>
  <c r="E3149" i="2"/>
  <c r="D3149" i="2"/>
  <c r="C3149" i="2"/>
  <c r="A3149" i="2"/>
  <c r="E3148" i="2"/>
  <c r="D3148" i="2"/>
  <c r="C3148" i="2"/>
  <c r="A3148" i="2"/>
  <c r="E3147" i="2"/>
  <c r="D3147" i="2"/>
  <c r="C3147" i="2"/>
  <c r="A3147" i="2"/>
  <c r="E3146" i="2"/>
  <c r="D3146" i="2"/>
  <c r="C3146" i="2"/>
  <c r="A3146" i="2"/>
  <c r="E3145" i="2"/>
  <c r="D3145" i="2"/>
  <c r="C3145" i="2"/>
  <c r="A3145" i="2"/>
  <c r="E3144" i="2"/>
  <c r="D3144" i="2"/>
  <c r="C3144" i="2"/>
  <c r="A3144" i="2"/>
  <c r="E3143" i="2"/>
  <c r="D3143" i="2"/>
  <c r="C3143" i="2"/>
  <c r="A3143" i="2"/>
  <c r="E3142" i="2"/>
  <c r="D3142" i="2"/>
  <c r="C3142" i="2"/>
  <c r="A3142" i="2"/>
  <c r="E3141" i="2"/>
  <c r="D3141" i="2"/>
  <c r="C3141" i="2"/>
  <c r="A3141" i="2"/>
  <c r="E3140" i="2"/>
  <c r="D3140" i="2"/>
  <c r="C3140" i="2"/>
  <c r="A3140" i="2"/>
  <c r="E3139" i="2"/>
  <c r="D3139" i="2"/>
  <c r="C3139" i="2"/>
  <c r="A3139" i="2"/>
  <c r="E3138" i="2"/>
  <c r="D3138" i="2"/>
  <c r="C3138" i="2"/>
  <c r="A3138" i="2"/>
  <c r="E3137" i="2"/>
  <c r="D3137" i="2"/>
  <c r="C3137" i="2"/>
  <c r="A3137" i="2"/>
  <c r="E3136" i="2"/>
  <c r="D3136" i="2"/>
  <c r="C3136" i="2"/>
  <c r="A3136" i="2"/>
  <c r="E3135" i="2"/>
  <c r="D3135" i="2"/>
  <c r="C3135" i="2"/>
  <c r="A3135" i="2"/>
  <c r="E3134" i="2"/>
  <c r="D3134" i="2"/>
  <c r="C3134" i="2"/>
  <c r="A3134" i="2"/>
  <c r="E3133" i="2"/>
  <c r="D3133" i="2"/>
  <c r="C3133" i="2"/>
  <c r="A3133" i="2"/>
  <c r="E3132" i="2"/>
  <c r="D3132" i="2"/>
  <c r="C3132" i="2"/>
  <c r="A3132" i="2"/>
  <c r="E3131" i="2"/>
  <c r="D3131" i="2"/>
  <c r="C3131" i="2"/>
  <c r="A3131" i="2"/>
  <c r="E3130" i="2"/>
  <c r="D3130" i="2"/>
  <c r="C3130" i="2"/>
  <c r="A3130" i="2"/>
  <c r="E3129" i="2"/>
  <c r="D3129" i="2"/>
  <c r="C3129" i="2"/>
  <c r="A3129" i="2"/>
  <c r="E3128" i="2"/>
  <c r="D3128" i="2"/>
  <c r="C3128" i="2"/>
  <c r="A3128" i="2"/>
  <c r="E3127" i="2"/>
  <c r="D3127" i="2"/>
  <c r="C3127" i="2"/>
  <c r="A3127" i="2"/>
  <c r="E3126" i="2"/>
  <c r="D3126" i="2"/>
  <c r="C3126" i="2"/>
  <c r="A3126" i="2"/>
  <c r="E3125" i="2"/>
  <c r="D3125" i="2"/>
  <c r="C3125" i="2"/>
  <c r="A3125" i="2"/>
  <c r="E3124" i="2"/>
  <c r="D3124" i="2"/>
  <c r="C3124" i="2"/>
  <c r="A3124" i="2"/>
  <c r="E3123" i="2"/>
  <c r="D3123" i="2"/>
  <c r="C3123" i="2"/>
  <c r="A3123" i="2"/>
  <c r="E3122" i="2"/>
  <c r="D3122" i="2"/>
  <c r="C3122" i="2"/>
  <c r="A3122" i="2"/>
  <c r="E3121" i="2"/>
  <c r="D3121" i="2"/>
  <c r="C3121" i="2"/>
  <c r="A3121" i="2"/>
  <c r="E3120" i="2"/>
  <c r="D3120" i="2"/>
  <c r="C3120" i="2"/>
  <c r="A3120" i="2"/>
  <c r="E3119" i="2"/>
  <c r="D3119" i="2"/>
  <c r="C3119" i="2"/>
  <c r="A3119" i="2"/>
  <c r="E3118" i="2"/>
  <c r="D3118" i="2"/>
  <c r="C3118" i="2"/>
  <c r="A3118" i="2"/>
  <c r="E3117" i="2"/>
  <c r="D3117" i="2"/>
  <c r="C3117" i="2"/>
  <c r="A3117" i="2"/>
  <c r="E3116" i="2"/>
  <c r="D3116" i="2"/>
  <c r="C3116" i="2"/>
  <c r="A3116" i="2"/>
  <c r="E3115" i="2"/>
  <c r="D3115" i="2"/>
  <c r="C3115" i="2"/>
  <c r="A3115" i="2"/>
  <c r="E3114" i="2"/>
  <c r="D3114" i="2"/>
  <c r="C3114" i="2"/>
  <c r="A3114" i="2"/>
  <c r="E3113" i="2"/>
  <c r="D3113" i="2"/>
  <c r="C3113" i="2"/>
  <c r="A3113" i="2"/>
  <c r="E3112" i="2"/>
  <c r="D3112" i="2"/>
  <c r="C3112" i="2"/>
  <c r="A3112" i="2"/>
  <c r="E3111" i="2"/>
  <c r="D3111" i="2"/>
  <c r="C3111" i="2"/>
  <c r="A3111" i="2"/>
  <c r="E3110" i="2"/>
  <c r="D3110" i="2"/>
  <c r="C3110" i="2"/>
  <c r="A3110" i="2"/>
  <c r="E3109" i="2"/>
  <c r="D3109" i="2"/>
  <c r="C3109" i="2"/>
  <c r="A3109" i="2"/>
  <c r="E3108" i="2"/>
  <c r="D3108" i="2"/>
  <c r="C3108" i="2"/>
  <c r="A3108" i="2"/>
  <c r="E3107" i="2"/>
  <c r="D3107" i="2"/>
  <c r="C3107" i="2"/>
  <c r="A3107" i="2"/>
  <c r="E3106" i="2"/>
  <c r="D3106" i="2"/>
  <c r="C3106" i="2"/>
  <c r="A3106" i="2"/>
  <c r="E3105" i="2"/>
  <c r="D3105" i="2"/>
  <c r="C3105" i="2"/>
  <c r="A3105" i="2"/>
  <c r="E3104" i="2"/>
  <c r="D3104" i="2"/>
  <c r="C3104" i="2"/>
  <c r="A3104" i="2"/>
  <c r="E3103" i="2"/>
  <c r="D3103" i="2"/>
  <c r="C3103" i="2"/>
  <c r="A3103" i="2"/>
  <c r="E3102" i="2"/>
  <c r="D3102" i="2"/>
  <c r="C3102" i="2"/>
  <c r="A3102" i="2"/>
  <c r="E3101" i="2"/>
  <c r="D3101" i="2"/>
  <c r="C3101" i="2"/>
  <c r="A3101" i="2"/>
  <c r="E3100" i="2"/>
  <c r="D3100" i="2"/>
  <c r="C3100" i="2"/>
  <c r="A3100" i="2"/>
  <c r="E3099" i="2"/>
  <c r="D3099" i="2"/>
  <c r="C3099" i="2"/>
  <c r="A3099" i="2"/>
  <c r="E3098" i="2"/>
  <c r="D3098" i="2"/>
  <c r="C3098" i="2"/>
  <c r="A3098" i="2"/>
  <c r="E3097" i="2"/>
  <c r="D3097" i="2"/>
  <c r="C3097" i="2"/>
  <c r="A3097" i="2"/>
  <c r="E3096" i="2"/>
  <c r="D3096" i="2"/>
  <c r="C3096" i="2"/>
  <c r="A3096" i="2"/>
  <c r="E3095" i="2"/>
  <c r="D3095" i="2"/>
  <c r="C3095" i="2"/>
  <c r="A3095" i="2"/>
  <c r="E3094" i="2"/>
  <c r="D3094" i="2"/>
  <c r="C3094" i="2"/>
  <c r="A3094" i="2"/>
  <c r="E3092" i="2"/>
  <c r="D3092" i="2"/>
  <c r="C3092" i="2"/>
  <c r="A3092" i="2"/>
  <c r="E3091" i="2"/>
  <c r="D3091" i="2"/>
  <c r="C3091" i="2"/>
  <c r="A3091" i="2"/>
  <c r="E3090" i="2"/>
  <c r="D3090" i="2"/>
  <c r="C3090" i="2"/>
  <c r="A3090" i="2"/>
  <c r="E3089" i="2"/>
  <c r="D3089" i="2"/>
  <c r="C3089" i="2"/>
  <c r="A3089" i="2"/>
  <c r="E3088" i="2"/>
  <c r="D3088" i="2"/>
  <c r="C3088" i="2"/>
  <c r="A3088" i="2"/>
  <c r="E3087" i="2"/>
  <c r="D3087" i="2"/>
  <c r="C3087" i="2"/>
  <c r="A3087" i="2"/>
  <c r="E3086" i="2"/>
  <c r="D3086" i="2"/>
  <c r="C3086" i="2"/>
  <c r="A3086" i="2"/>
  <c r="E3085" i="2"/>
  <c r="D3085" i="2"/>
  <c r="C3085" i="2"/>
  <c r="A3085" i="2"/>
  <c r="E3084" i="2"/>
  <c r="D3084" i="2"/>
  <c r="C3084" i="2"/>
  <c r="A3084" i="2"/>
  <c r="E3083" i="2"/>
  <c r="D3083" i="2"/>
  <c r="C3083" i="2"/>
  <c r="A3083" i="2"/>
  <c r="E3082" i="2"/>
  <c r="D3082" i="2"/>
  <c r="C3082" i="2"/>
  <c r="A3082" i="2"/>
  <c r="E3081" i="2"/>
  <c r="D3081" i="2"/>
  <c r="C3081" i="2"/>
  <c r="A3081" i="2"/>
  <c r="E3080" i="2"/>
  <c r="D3080" i="2"/>
  <c r="C3080" i="2"/>
  <c r="A3080" i="2"/>
  <c r="E3079" i="2"/>
  <c r="D3079" i="2"/>
  <c r="C3079" i="2"/>
  <c r="A3079" i="2"/>
  <c r="E3078" i="2"/>
  <c r="D3078" i="2"/>
  <c r="C3078" i="2"/>
  <c r="A3078" i="2"/>
  <c r="E3077" i="2"/>
  <c r="D3077" i="2"/>
  <c r="C3077" i="2"/>
  <c r="A3077" i="2"/>
  <c r="E3076" i="2"/>
  <c r="D3076" i="2"/>
  <c r="C3076" i="2"/>
  <c r="A3076" i="2"/>
  <c r="E3075" i="2"/>
  <c r="D3075" i="2"/>
  <c r="C3075" i="2"/>
  <c r="A3075" i="2"/>
  <c r="E3074" i="2"/>
  <c r="D3074" i="2"/>
  <c r="C3074" i="2"/>
  <c r="A3074" i="2"/>
  <c r="E3073" i="2"/>
  <c r="D3073" i="2"/>
  <c r="C3073" i="2"/>
  <c r="A3073" i="2"/>
  <c r="E3072" i="2"/>
  <c r="D3072" i="2"/>
  <c r="C3072" i="2"/>
  <c r="A3072" i="2"/>
  <c r="E3071" i="2"/>
  <c r="D3071" i="2"/>
  <c r="C3071" i="2"/>
  <c r="A3071" i="2"/>
  <c r="E3070" i="2"/>
  <c r="D3070" i="2"/>
  <c r="C3070" i="2"/>
  <c r="A3070" i="2"/>
  <c r="E3069" i="2"/>
  <c r="D3069" i="2"/>
  <c r="C3069" i="2"/>
  <c r="A3069" i="2"/>
  <c r="E3067" i="2"/>
  <c r="D3067" i="2"/>
  <c r="C3067" i="2"/>
  <c r="A3067" i="2"/>
  <c r="E3066" i="2"/>
  <c r="D3066" i="2"/>
  <c r="C3066" i="2"/>
  <c r="A3066" i="2"/>
  <c r="E3065" i="2"/>
  <c r="D3065" i="2"/>
  <c r="C3065" i="2"/>
  <c r="A3065" i="2"/>
  <c r="E3064" i="2"/>
  <c r="D3064" i="2"/>
  <c r="C3064" i="2"/>
  <c r="A3064" i="2"/>
  <c r="E3063" i="2"/>
  <c r="D3063" i="2"/>
  <c r="C3063" i="2"/>
  <c r="A3063" i="2"/>
  <c r="E3062" i="2"/>
  <c r="D3062" i="2"/>
  <c r="C3062" i="2"/>
  <c r="A3062" i="2"/>
  <c r="E3061" i="2"/>
  <c r="D3061" i="2"/>
  <c r="C3061" i="2"/>
  <c r="A3061" i="2"/>
  <c r="E3060" i="2"/>
  <c r="D3060" i="2"/>
  <c r="C3060" i="2"/>
  <c r="A3060" i="2"/>
  <c r="E3059" i="2"/>
  <c r="D3059" i="2"/>
  <c r="C3059" i="2"/>
  <c r="A3059" i="2"/>
  <c r="E3058" i="2"/>
  <c r="D3058" i="2"/>
  <c r="C3058" i="2"/>
  <c r="A3058" i="2"/>
  <c r="E3057" i="2"/>
  <c r="D3057" i="2"/>
  <c r="C3057" i="2"/>
  <c r="A3057" i="2"/>
  <c r="E3056" i="2"/>
  <c r="D3056" i="2"/>
  <c r="C3056" i="2"/>
  <c r="A3056" i="2"/>
  <c r="E3055" i="2"/>
  <c r="D3055" i="2"/>
  <c r="C3055" i="2"/>
  <c r="A3055" i="2"/>
  <c r="E3054" i="2"/>
  <c r="D3054" i="2"/>
  <c r="C3054" i="2"/>
  <c r="A3054" i="2"/>
  <c r="E3053" i="2"/>
  <c r="D3053" i="2"/>
  <c r="C3053" i="2"/>
  <c r="A3053" i="2"/>
  <c r="E3052" i="2"/>
  <c r="D3052" i="2"/>
  <c r="C3052" i="2"/>
  <c r="A3052" i="2"/>
  <c r="E3051" i="2"/>
  <c r="D3051" i="2"/>
  <c r="C3051" i="2"/>
  <c r="A3051" i="2"/>
  <c r="E3050" i="2"/>
  <c r="D3050" i="2"/>
  <c r="C3050" i="2"/>
  <c r="A3050" i="2"/>
  <c r="E3049" i="2"/>
  <c r="D3049" i="2"/>
  <c r="C3049" i="2"/>
  <c r="A3049" i="2"/>
  <c r="E3048" i="2"/>
  <c r="D3048" i="2"/>
  <c r="C3048" i="2"/>
  <c r="A3048" i="2"/>
  <c r="E3047" i="2"/>
  <c r="D3047" i="2"/>
  <c r="C3047" i="2"/>
  <c r="A3047" i="2"/>
  <c r="E3046" i="2"/>
  <c r="D3046" i="2"/>
  <c r="C3046" i="2"/>
  <c r="A3046" i="2"/>
  <c r="E3045" i="2"/>
  <c r="D3045" i="2"/>
  <c r="C3045" i="2"/>
  <c r="A3045" i="2"/>
  <c r="E3044" i="2"/>
  <c r="D3044" i="2"/>
  <c r="C3044" i="2"/>
  <c r="A3044" i="2"/>
  <c r="E3043" i="2"/>
  <c r="D3043" i="2"/>
  <c r="C3043" i="2"/>
  <c r="A3043" i="2"/>
  <c r="E3042" i="2"/>
  <c r="D3042" i="2"/>
  <c r="C3042" i="2"/>
  <c r="A3042" i="2"/>
  <c r="E3041" i="2"/>
  <c r="D3041" i="2"/>
  <c r="C3041" i="2"/>
  <c r="A3041" i="2"/>
  <c r="E3040" i="2"/>
  <c r="D3040" i="2"/>
  <c r="C3040" i="2"/>
  <c r="A3040" i="2"/>
  <c r="E3039" i="2"/>
  <c r="D3039" i="2"/>
  <c r="C3039" i="2"/>
  <c r="A3039" i="2"/>
  <c r="E3038" i="2"/>
  <c r="D3038" i="2"/>
  <c r="C3038" i="2"/>
  <c r="A3038" i="2"/>
  <c r="E3037" i="2"/>
  <c r="D3037" i="2"/>
  <c r="C3037" i="2"/>
  <c r="A3037" i="2"/>
  <c r="E3036" i="2"/>
  <c r="D3036" i="2"/>
  <c r="C3036" i="2"/>
  <c r="A3036" i="2"/>
  <c r="E3035" i="2"/>
  <c r="D3035" i="2"/>
  <c r="C3035" i="2"/>
  <c r="A3035" i="2"/>
  <c r="E3034" i="2"/>
  <c r="D3034" i="2"/>
  <c r="C3034" i="2"/>
  <c r="A3034" i="2"/>
  <c r="E3033" i="2"/>
  <c r="D3033" i="2"/>
  <c r="C3033" i="2"/>
  <c r="A3033" i="2"/>
  <c r="E3032" i="2"/>
  <c r="D3032" i="2"/>
  <c r="C3032" i="2"/>
  <c r="A3032" i="2"/>
  <c r="E3031" i="2"/>
  <c r="D3031" i="2"/>
  <c r="C3031" i="2"/>
  <c r="A3031" i="2"/>
  <c r="E3030" i="2"/>
  <c r="D3030" i="2"/>
  <c r="C3030" i="2"/>
  <c r="A3030" i="2"/>
  <c r="E3029" i="2"/>
  <c r="D3029" i="2"/>
  <c r="C3029" i="2"/>
  <c r="A3029" i="2"/>
  <c r="E3028" i="2"/>
  <c r="D3028" i="2"/>
  <c r="C3028" i="2"/>
  <c r="A3028" i="2"/>
  <c r="E3027" i="2"/>
  <c r="D3027" i="2"/>
  <c r="C3027" i="2"/>
  <c r="A3027" i="2"/>
  <c r="E3026" i="2"/>
  <c r="D3026" i="2"/>
  <c r="C3026" i="2"/>
  <c r="A3026" i="2"/>
  <c r="E3025" i="2"/>
  <c r="D3025" i="2"/>
  <c r="C3025" i="2"/>
  <c r="A3025" i="2"/>
  <c r="E3024" i="2"/>
  <c r="D3024" i="2"/>
  <c r="C3024" i="2"/>
  <c r="A3024" i="2"/>
  <c r="E3023" i="2"/>
  <c r="D3023" i="2"/>
  <c r="C3023" i="2"/>
  <c r="A3023" i="2"/>
  <c r="E3022" i="2"/>
  <c r="D3022" i="2"/>
  <c r="C3022" i="2"/>
  <c r="A3022" i="2"/>
  <c r="E3021" i="2"/>
  <c r="D3021" i="2"/>
  <c r="C3021" i="2"/>
  <c r="A3021" i="2"/>
  <c r="E3020" i="2"/>
  <c r="D3020" i="2"/>
  <c r="C3020" i="2"/>
  <c r="A3020" i="2"/>
  <c r="E3019" i="2"/>
  <c r="D3019" i="2"/>
  <c r="C3019" i="2"/>
  <c r="A3019" i="2"/>
  <c r="E3018" i="2"/>
  <c r="D3018" i="2"/>
  <c r="C3018" i="2"/>
  <c r="A3018" i="2"/>
  <c r="E3017" i="2"/>
  <c r="D3017" i="2"/>
  <c r="C3017" i="2"/>
  <c r="A3017" i="2"/>
  <c r="E3016" i="2"/>
  <c r="D3016" i="2"/>
  <c r="C3016" i="2"/>
  <c r="A3016" i="2"/>
  <c r="E3015" i="2"/>
  <c r="D3015" i="2"/>
  <c r="C3015" i="2"/>
  <c r="A3015" i="2"/>
  <c r="E3014" i="2"/>
  <c r="D3014" i="2"/>
  <c r="C3014" i="2"/>
  <c r="A3014" i="2"/>
  <c r="E3013" i="2"/>
  <c r="D3013" i="2"/>
  <c r="C3013" i="2"/>
  <c r="A3013" i="2"/>
  <c r="E3012" i="2"/>
  <c r="D3012" i="2"/>
  <c r="C3012" i="2"/>
  <c r="A3012" i="2"/>
  <c r="E3011" i="2"/>
  <c r="D3011" i="2"/>
  <c r="C3011" i="2"/>
  <c r="A3011" i="2"/>
  <c r="E3010" i="2"/>
  <c r="D3010" i="2"/>
  <c r="C3010" i="2"/>
  <c r="A3010" i="2"/>
  <c r="E3009" i="2"/>
  <c r="D3009" i="2"/>
  <c r="C3009" i="2"/>
  <c r="A3009" i="2"/>
  <c r="E3008" i="2"/>
  <c r="D3008" i="2"/>
  <c r="C3008" i="2"/>
  <c r="A3008" i="2"/>
  <c r="E3007" i="2"/>
  <c r="D3007" i="2"/>
  <c r="C3007" i="2"/>
  <c r="A3007" i="2"/>
  <c r="E3006" i="2"/>
  <c r="D3006" i="2"/>
  <c r="C3006" i="2"/>
  <c r="A3006" i="2"/>
  <c r="E3005" i="2"/>
  <c r="D3005" i="2"/>
  <c r="C3005" i="2"/>
  <c r="A3005" i="2"/>
  <c r="E3004" i="2"/>
  <c r="D3004" i="2"/>
  <c r="C3004" i="2"/>
  <c r="A3004" i="2"/>
  <c r="E3003" i="2"/>
  <c r="D3003" i="2"/>
  <c r="C3003" i="2"/>
  <c r="A3003" i="2"/>
  <c r="E3002" i="2"/>
  <c r="D3002" i="2"/>
  <c r="C3002" i="2"/>
  <c r="A3002" i="2"/>
  <c r="E3001" i="2"/>
  <c r="D3001" i="2"/>
  <c r="C3001" i="2"/>
  <c r="A3001" i="2"/>
  <c r="E3000" i="2"/>
  <c r="D3000" i="2"/>
  <c r="C3000" i="2"/>
  <c r="A3000" i="2"/>
  <c r="E2999" i="2"/>
  <c r="D2999" i="2"/>
  <c r="C2999" i="2"/>
  <c r="A2999" i="2"/>
  <c r="E2998" i="2"/>
  <c r="D2998" i="2"/>
  <c r="C2998" i="2"/>
  <c r="A2998" i="2"/>
  <c r="E2997" i="2"/>
  <c r="D2997" i="2"/>
  <c r="C2997" i="2"/>
  <c r="A2997" i="2"/>
  <c r="E2996" i="2"/>
  <c r="D2996" i="2"/>
  <c r="C2996" i="2"/>
  <c r="A2996" i="2"/>
  <c r="E2995" i="2"/>
  <c r="D2995" i="2"/>
  <c r="C2995" i="2"/>
  <c r="A2995" i="2"/>
  <c r="E2994" i="2"/>
  <c r="D2994" i="2"/>
  <c r="C2994" i="2"/>
  <c r="A2994" i="2"/>
  <c r="E2993" i="2"/>
  <c r="D2993" i="2"/>
  <c r="C2993" i="2"/>
  <c r="A2993" i="2"/>
  <c r="E2992" i="2"/>
  <c r="D2992" i="2"/>
  <c r="C2992" i="2"/>
  <c r="A2992" i="2"/>
  <c r="E2991" i="2"/>
  <c r="D2991" i="2"/>
  <c r="C2991" i="2"/>
  <c r="A2991" i="2"/>
  <c r="E2990" i="2"/>
  <c r="D2990" i="2"/>
  <c r="C2990" i="2"/>
  <c r="A2990" i="2"/>
  <c r="E2989" i="2"/>
  <c r="D2989" i="2"/>
  <c r="C2989" i="2"/>
  <c r="A2989" i="2"/>
  <c r="E2988" i="2"/>
  <c r="D2988" i="2"/>
  <c r="C2988" i="2"/>
  <c r="A2988" i="2"/>
  <c r="E2987" i="2"/>
  <c r="D2987" i="2"/>
  <c r="C2987" i="2"/>
  <c r="A2987" i="2"/>
  <c r="E2986" i="2"/>
  <c r="D2986" i="2"/>
  <c r="C2986" i="2"/>
  <c r="A2986" i="2"/>
  <c r="E2985" i="2"/>
  <c r="D2985" i="2"/>
  <c r="C2985" i="2"/>
  <c r="A2985" i="2"/>
  <c r="E2984" i="2"/>
  <c r="D2984" i="2"/>
  <c r="C2984" i="2"/>
  <c r="A2984" i="2"/>
  <c r="E2983" i="2"/>
  <c r="D2983" i="2"/>
  <c r="C2983" i="2"/>
  <c r="A2983" i="2"/>
  <c r="E2982" i="2"/>
  <c r="D2982" i="2"/>
  <c r="C2982" i="2"/>
  <c r="A2982" i="2"/>
  <c r="E2981" i="2"/>
  <c r="D2981" i="2"/>
  <c r="C2981" i="2"/>
  <c r="A2981" i="2"/>
  <c r="E2980" i="2"/>
  <c r="D2980" i="2"/>
  <c r="C2980" i="2"/>
  <c r="A2980" i="2"/>
  <c r="E2979" i="2"/>
  <c r="D2979" i="2"/>
  <c r="C2979" i="2"/>
  <c r="A2979" i="2"/>
  <c r="E2978" i="2"/>
  <c r="D2978" i="2"/>
  <c r="C2978" i="2"/>
  <c r="A2978" i="2"/>
  <c r="E2977" i="2"/>
  <c r="D2977" i="2"/>
  <c r="C2977" i="2"/>
  <c r="A2977" i="2"/>
  <c r="E2976" i="2"/>
  <c r="D2976" i="2"/>
  <c r="C2976" i="2"/>
  <c r="A2976" i="2"/>
  <c r="E2975" i="2"/>
  <c r="D2975" i="2"/>
  <c r="C2975" i="2"/>
  <c r="A2975" i="2"/>
  <c r="E2974" i="2"/>
  <c r="D2974" i="2"/>
  <c r="C2974" i="2"/>
  <c r="A2974" i="2"/>
  <c r="E2973" i="2"/>
  <c r="D2973" i="2"/>
  <c r="C2973" i="2"/>
  <c r="A2973" i="2"/>
  <c r="E2972" i="2"/>
  <c r="D2972" i="2"/>
  <c r="C2972" i="2"/>
  <c r="A2972" i="2"/>
  <c r="E2971" i="2"/>
  <c r="D2971" i="2"/>
  <c r="C2971" i="2"/>
  <c r="A2971" i="2"/>
  <c r="E2970" i="2"/>
  <c r="D2970" i="2"/>
  <c r="C2970" i="2"/>
  <c r="A2970" i="2"/>
  <c r="E2969" i="2"/>
  <c r="D2969" i="2"/>
  <c r="C2969" i="2"/>
  <c r="A2969" i="2"/>
  <c r="E2968" i="2"/>
  <c r="D2968" i="2"/>
  <c r="C2968" i="2"/>
  <c r="A2968" i="2"/>
  <c r="E2967" i="2"/>
  <c r="D2967" i="2"/>
  <c r="C2967" i="2"/>
  <c r="A2967" i="2"/>
  <c r="E2966" i="2"/>
  <c r="D2966" i="2"/>
  <c r="C2966" i="2"/>
  <c r="A2966" i="2"/>
  <c r="E2965" i="2"/>
  <c r="D2965" i="2"/>
  <c r="C2965" i="2"/>
  <c r="A2965" i="2"/>
  <c r="E2964" i="2"/>
  <c r="D2964" i="2"/>
  <c r="C2964" i="2"/>
  <c r="A2964" i="2"/>
  <c r="E2963" i="2"/>
  <c r="D2963" i="2"/>
  <c r="C2963" i="2"/>
  <c r="A2963" i="2"/>
  <c r="E2962" i="2"/>
  <c r="D2962" i="2"/>
  <c r="C2962" i="2"/>
  <c r="A2962" i="2"/>
  <c r="E2961" i="2"/>
  <c r="D2961" i="2"/>
  <c r="C2961" i="2"/>
  <c r="A2961" i="2"/>
  <c r="E2960" i="2"/>
  <c r="D2960" i="2"/>
  <c r="C2960" i="2"/>
  <c r="A2960" i="2"/>
  <c r="E2959" i="2"/>
  <c r="D2959" i="2"/>
  <c r="C2959" i="2"/>
  <c r="A2959" i="2"/>
  <c r="E2958" i="2"/>
  <c r="D2958" i="2"/>
  <c r="C2958" i="2"/>
  <c r="A2958" i="2"/>
  <c r="E2957" i="2"/>
  <c r="D2957" i="2"/>
  <c r="C2957" i="2"/>
  <c r="A2957" i="2"/>
  <c r="E2955" i="2"/>
  <c r="D2955" i="2"/>
  <c r="C2955" i="2"/>
  <c r="A2955" i="2"/>
  <c r="E2954" i="2"/>
  <c r="D2954" i="2"/>
  <c r="C2954" i="2"/>
  <c r="A2954" i="2"/>
  <c r="E2953" i="2"/>
  <c r="D2953" i="2"/>
  <c r="C2953" i="2"/>
  <c r="A2953" i="2"/>
  <c r="E2952" i="2"/>
  <c r="D2952" i="2"/>
  <c r="C2952" i="2"/>
  <c r="A2952" i="2"/>
  <c r="E2951" i="2"/>
  <c r="D2951" i="2"/>
  <c r="C2951" i="2"/>
  <c r="A2951" i="2"/>
  <c r="E2950" i="2"/>
  <c r="D2950" i="2"/>
  <c r="C2950" i="2"/>
  <c r="A2950" i="2"/>
  <c r="E2949" i="2"/>
  <c r="D2949" i="2"/>
  <c r="C2949" i="2"/>
  <c r="A2949" i="2"/>
  <c r="E2948" i="2"/>
  <c r="D2948" i="2"/>
  <c r="C2948" i="2"/>
  <c r="A2948" i="2"/>
  <c r="E2947" i="2"/>
  <c r="D2947" i="2"/>
  <c r="C2947" i="2"/>
  <c r="A2947" i="2"/>
  <c r="E2946" i="2"/>
  <c r="D2946" i="2"/>
  <c r="C2946" i="2"/>
  <c r="A2946" i="2"/>
  <c r="E2945" i="2"/>
  <c r="D2945" i="2"/>
  <c r="C2945" i="2"/>
  <c r="A2945" i="2"/>
  <c r="E2944" i="2"/>
  <c r="D2944" i="2"/>
  <c r="C2944" i="2"/>
  <c r="A2944" i="2"/>
  <c r="E2943" i="2"/>
  <c r="D2943" i="2"/>
  <c r="C2943" i="2"/>
  <c r="A2943" i="2"/>
  <c r="E2942" i="2"/>
  <c r="D2942" i="2"/>
  <c r="C2942" i="2"/>
  <c r="A2942" i="2"/>
  <c r="E2941" i="2"/>
  <c r="D2941" i="2"/>
  <c r="C2941" i="2"/>
  <c r="A2941" i="2"/>
  <c r="E2940" i="2"/>
  <c r="D2940" i="2"/>
  <c r="C2940" i="2"/>
  <c r="A2940" i="2"/>
  <c r="E2939" i="2"/>
  <c r="D2939" i="2"/>
  <c r="C2939" i="2"/>
  <c r="A2939" i="2"/>
  <c r="E2938" i="2"/>
  <c r="D2938" i="2"/>
  <c r="C2938" i="2"/>
  <c r="A2938" i="2"/>
  <c r="E2937" i="2"/>
  <c r="D2937" i="2"/>
  <c r="C2937" i="2"/>
  <c r="A2937" i="2"/>
  <c r="E2936" i="2"/>
  <c r="D2936" i="2"/>
  <c r="C2936" i="2"/>
  <c r="A2936" i="2"/>
  <c r="E2935" i="2"/>
  <c r="D2935" i="2"/>
  <c r="C2935" i="2"/>
  <c r="A2935" i="2"/>
  <c r="E2934" i="2"/>
  <c r="D2934" i="2"/>
  <c r="C2934" i="2"/>
  <c r="A2934" i="2"/>
  <c r="E2933" i="2"/>
  <c r="D2933" i="2"/>
  <c r="C2933" i="2"/>
  <c r="A2933" i="2"/>
  <c r="E2932" i="2"/>
  <c r="D2932" i="2"/>
  <c r="C2932" i="2"/>
  <c r="A2932" i="2"/>
  <c r="E2931" i="2"/>
  <c r="D2931" i="2"/>
  <c r="C2931" i="2"/>
  <c r="A2931" i="2"/>
  <c r="E2930" i="2"/>
  <c r="D2930" i="2"/>
  <c r="C2930" i="2"/>
  <c r="A2930" i="2"/>
  <c r="E2929" i="2"/>
  <c r="D2929" i="2"/>
  <c r="C2929" i="2"/>
  <c r="A2929" i="2"/>
  <c r="E2928" i="2"/>
  <c r="D2928" i="2"/>
  <c r="C2928" i="2"/>
  <c r="A2928" i="2"/>
  <c r="E2927" i="2"/>
  <c r="D2927" i="2"/>
  <c r="C2927" i="2"/>
  <c r="A2927" i="2"/>
  <c r="E2926" i="2"/>
  <c r="D2926" i="2"/>
  <c r="C2926" i="2"/>
  <c r="A2926" i="2"/>
  <c r="E2925" i="2"/>
  <c r="D2925" i="2"/>
  <c r="C2925" i="2"/>
  <c r="A2925" i="2"/>
  <c r="E2924" i="2"/>
  <c r="D2924" i="2"/>
  <c r="C2924" i="2"/>
  <c r="A2924" i="2"/>
  <c r="E2923" i="2"/>
  <c r="D2923" i="2"/>
  <c r="C2923" i="2"/>
  <c r="A2923" i="2"/>
  <c r="E2922" i="2"/>
  <c r="D2922" i="2"/>
  <c r="C2922" i="2"/>
  <c r="A2922" i="2"/>
  <c r="E2921" i="2"/>
  <c r="D2921" i="2"/>
  <c r="C2921" i="2"/>
  <c r="A2921" i="2"/>
  <c r="E2920" i="2"/>
  <c r="D2920" i="2"/>
  <c r="C2920" i="2"/>
  <c r="A2920" i="2"/>
  <c r="E2919" i="2"/>
  <c r="D2919" i="2"/>
  <c r="C2919" i="2"/>
  <c r="A2919" i="2"/>
  <c r="E2918" i="2"/>
  <c r="D2918" i="2"/>
  <c r="C2918" i="2"/>
  <c r="A2918" i="2"/>
  <c r="E2917" i="2"/>
  <c r="D2917" i="2"/>
  <c r="C2917" i="2"/>
  <c r="A2917" i="2"/>
  <c r="E2916" i="2"/>
  <c r="D2916" i="2"/>
  <c r="C2916" i="2"/>
  <c r="A2916" i="2"/>
  <c r="E2915" i="2"/>
  <c r="D2915" i="2"/>
  <c r="C2915" i="2"/>
  <c r="A2915" i="2"/>
  <c r="E2914" i="2"/>
  <c r="D2914" i="2"/>
  <c r="C2914" i="2"/>
  <c r="A2914" i="2"/>
  <c r="E2913" i="2"/>
  <c r="D2913" i="2"/>
  <c r="C2913" i="2"/>
  <c r="A2913" i="2"/>
  <c r="E2912" i="2"/>
  <c r="D2912" i="2"/>
  <c r="C2912" i="2"/>
  <c r="A2912" i="2"/>
  <c r="E2911" i="2"/>
  <c r="D2911" i="2"/>
  <c r="C2911" i="2"/>
  <c r="A2911" i="2"/>
  <c r="E2910" i="2"/>
  <c r="D2910" i="2"/>
  <c r="C2910" i="2"/>
  <c r="A2910" i="2"/>
  <c r="E2909" i="2"/>
  <c r="D2909" i="2"/>
  <c r="C2909" i="2"/>
  <c r="A2909" i="2"/>
  <c r="E2908" i="2"/>
  <c r="D2908" i="2"/>
  <c r="C2908" i="2"/>
  <c r="A2908" i="2"/>
  <c r="E2907" i="2"/>
  <c r="D2907" i="2"/>
  <c r="C2907" i="2"/>
  <c r="A2907" i="2"/>
  <c r="E2906" i="2"/>
  <c r="D2906" i="2"/>
  <c r="C2906" i="2"/>
  <c r="A2906" i="2"/>
  <c r="E2905" i="2"/>
  <c r="D2905" i="2"/>
  <c r="C2905" i="2"/>
  <c r="A2905" i="2"/>
  <c r="E2904" i="2"/>
  <c r="D2904" i="2"/>
  <c r="C2904" i="2"/>
  <c r="A2904" i="2"/>
  <c r="E2903" i="2"/>
  <c r="D2903" i="2"/>
  <c r="C2903" i="2"/>
  <c r="A2903" i="2"/>
  <c r="E2902" i="2"/>
  <c r="D2902" i="2"/>
  <c r="C2902" i="2"/>
  <c r="A2902" i="2"/>
  <c r="E2901" i="2"/>
  <c r="D2901" i="2"/>
  <c r="C2901" i="2"/>
  <c r="A2901" i="2"/>
  <c r="E2900" i="2"/>
  <c r="D2900" i="2"/>
  <c r="C2900" i="2"/>
  <c r="A2900" i="2"/>
  <c r="E2899" i="2"/>
  <c r="D2899" i="2"/>
  <c r="C2899" i="2"/>
  <c r="A2899" i="2"/>
  <c r="E2898" i="2"/>
  <c r="D2898" i="2"/>
  <c r="C2898" i="2"/>
  <c r="A2898" i="2"/>
  <c r="E2897" i="2"/>
  <c r="D2897" i="2"/>
  <c r="C2897" i="2"/>
  <c r="A2897" i="2"/>
  <c r="E2896" i="2"/>
  <c r="D2896" i="2"/>
  <c r="C2896" i="2"/>
  <c r="A2896" i="2"/>
  <c r="E2895" i="2"/>
  <c r="D2895" i="2"/>
  <c r="C2895" i="2"/>
  <c r="A2895" i="2"/>
  <c r="E2894" i="2"/>
  <c r="D2894" i="2"/>
  <c r="C2894" i="2"/>
  <c r="A2894" i="2"/>
  <c r="E2893" i="2"/>
  <c r="D2893" i="2"/>
  <c r="C2893" i="2"/>
  <c r="A2893" i="2"/>
  <c r="E2891" i="2"/>
  <c r="D2891" i="2"/>
  <c r="C2891" i="2"/>
  <c r="A2891" i="2"/>
  <c r="E2890" i="2"/>
  <c r="D2890" i="2"/>
  <c r="C2890" i="2"/>
  <c r="A2890" i="2"/>
  <c r="E2889" i="2"/>
  <c r="D2889" i="2"/>
  <c r="C2889" i="2"/>
  <c r="A2889" i="2"/>
  <c r="E2888" i="2"/>
  <c r="D2888" i="2"/>
  <c r="C2888" i="2"/>
  <c r="A2888" i="2"/>
  <c r="E2887" i="2"/>
  <c r="D2887" i="2"/>
  <c r="C2887" i="2"/>
  <c r="A2887" i="2"/>
  <c r="E2886" i="2"/>
  <c r="D2886" i="2"/>
  <c r="C2886" i="2"/>
  <c r="A2886" i="2"/>
  <c r="E2885" i="2"/>
  <c r="D2885" i="2"/>
  <c r="C2885" i="2"/>
  <c r="A2885" i="2"/>
  <c r="E2884" i="2"/>
  <c r="D2884" i="2"/>
  <c r="C2884" i="2"/>
  <c r="A2884" i="2"/>
  <c r="E2883" i="2"/>
  <c r="D2883" i="2"/>
  <c r="C2883" i="2"/>
  <c r="A2883" i="2"/>
  <c r="E2882" i="2"/>
  <c r="D2882" i="2"/>
  <c r="C2882" i="2"/>
  <c r="A2882" i="2"/>
  <c r="E2881" i="2"/>
  <c r="D2881" i="2"/>
  <c r="C2881" i="2"/>
  <c r="A2881" i="2"/>
  <c r="E2880" i="2"/>
  <c r="D2880" i="2"/>
  <c r="C2880" i="2"/>
  <c r="A2880" i="2"/>
  <c r="E2879" i="2"/>
  <c r="D2879" i="2"/>
  <c r="C2879" i="2"/>
  <c r="A2879" i="2"/>
  <c r="E2878" i="2"/>
  <c r="D2878" i="2"/>
  <c r="C2878" i="2"/>
  <c r="A2878" i="2"/>
  <c r="E2877" i="2"/>
  <c r="D2877" i="2"/>
  <c r="C2877" i="2"/>
  <c r="A2877" i="2"/>
  <c r="E2876" i="2"/>
  <c r="D2876" i="2"/>
  <c r="C2876" i="2"/>
  <c r="A2876" i="2"/>
  <c r="E2875" i="2"/>
  <c r="D2875" i="2"/>
  <c r="C2875" i="2"/>
  <c r="A2875" i="2"/>
  <c r="E2874" i="2"/>
  <c r="D2874" i="2"/>
  <c r="C2874" i="2"/>
  <c r="A2874" i="2"/>
  <c r="E2873" i="2"/>
  <c r="D2873" i="2"/>
  <c r="C2873" i="2"/>
  <c r="A2873" i="2"/>
  <c r="E2872" i="2"/>
  <c r="D2872" i="2"/>
  <c r="C2872" i="2"/>
  <c r="A2872" i="2"/>
  <c r="E2871" i="2"/>
  <c r="D2871" i="2"/>
  <c r="C2871" i="2"/>
  <c r="A2871" i="2"/>
  <c r="E2870" i="2"/>
  <c r="D2870" i="2"/>
  <c r="C2870" i="2"/>
  <c r="A2870" i="2"/>
  <c r="E2869" i="2"/>
  <c r="D2869" i="2"/>
  <c r="C2869" i="2"/>
  <c r="A2869" i="2"/>
  <c r="E2868" i="2"/>
  <c r="D2868" i="2"/>
  <c r="C2868" i="2"/>
  <c r="A2868" i="2"/>
  <c r="E2867" i="2"/>
  <c r="D2867" i="2"/>
  <c r="C2867" i="2"/>
  <c r="A2867" i="2"/>
  <c r="E2866" i="2"/>
  <c r="D2866" i="2"/>
  <c r="C2866" i="2"/>
  <c r="A2866" i="2"/>
  <c r="E2865" i="2"/>
  <c r="D2865" i="2"/>
  <c r="C2865" i="2"/>
  <c r="A2865" i="2"/>
  <c r="E2864" i="2"/>
  <c r="D2864" i="2"/>
  <c r="C2864" i="2"/>
  <c r="A2864" i="2"/>
  <c r="E2863" i="2"/>
  <c r="D2863" i="2"/>
  <c r="C2863" i="2"/>
  <c r="A2863" i="2"/>
  <c r="E2862" i="2"/>
  <c r="D2862" i="2"/>
  <c r="C2862" i="2"/>
  <c r="A2862" i="2"/>
  <c r="E2861" i="2"/>
  <c r="D2861" i="2"/>
  <c r="C2861" i="2"/>
  <c r="A2861" i="2"/>
  <c r="E2860" i="2"/>
  <c r="D2860" i="2"/>
  <c r="C2860" i="2"/>
  <c r="A2860" i="2"/>
  <c r="E2859" i="2"/>
  <c r="D2859" i="2"/>
  <c r="C2859" i="2"/>
  <c r="A2859" i="2"/>
  <c r="E2858" i="2"/>
  <c r="D2858" i="2"/>
  <c r="C2858" i="2"/>
  <c r="A2858" i="2"/>
  <c r="E2857" i="2"/>
  <c r="D2857" i="2"/>
  <c r="C2857" i="2"/>
  <c r="A2857" i="2"/>
  <c r="E2856" i="2"/>
  <c r="D2856" i="2"/>
  <c r="C2856" i="2"/>
  <c r="A2856" i="2"/>
  <c r="E2855" i="2"/>
  <c r="D2855" i="2"/>
  <c r="C2855" i="2"/>
  <c r="A2855" i="2"/>
  <c r="E2854" i="2"/>
  <c r="D2854" i="2"/>
  <c r="C2854" i="2"/>
  <c r="A2854" i="2"/>
  <c r="E2853" i="2"/>
  <c r="D2853" i="2"/>
  <c r="C2853" i="2"/>
  <c r="A2853" i="2"/>
  <c r="E2852" i="2"/>
  <c r="D2852" i="2"/>
  <c r="C2852" i="2"/>
  <c r="A2852" i="2"/>
  <c r="E2851" i="2"/>
  <c r="D2851" i="2"/>
  <c r="C2851" i="2"/>
  <c r="A2851" i="2"/>
  <c r="E2850" i="2"/>
  <c r="D2850" i="2"/>
  <c r="C2850" i="2"/>
  <c r="A2850" i="2"/>
  <c r="E2849" i="2"/>
  <c r="D2849" i="2"/>
  <c r="C2849" i="2"/>
  <c r="A2849" i="2"/>
  <c r="E2848" i="2"/>
  <c r="D2848" i="2"/>
  <c r="C2848" i="2"/>
  <c r="A2848" i="2"/>
  <c r="E2847" i="2"/>
  <c r="D2847" i="2"/>
  <c r="C2847" i="2"/>
  <c r="A2847" i="2"/>
  <c r="E2846" i="2"/>
  <c r="D2846" i="2"/>
  <c r="C2846" i="2"/>
  <c r="A2846" i="2"/>
  <c r="E2845" i="2"/>
  <c r="D2845" i="2"/>
  <c r="C2845" i="2"/>
  <c r="A2845" i="2"/>
  <c r="E2844" i="2"/>
  <c r="D2844" i="2"/>
  <c r="C2844" i="2"/>
  <c r="A2844" i="2"/>
  <c r="E2843" i="2"/>
  <c r="D2843" i="2"/>
  <c r="C2843" i="2"/>
  <c r="A2843" i="2"/>
  <c r="E2842" i="2"/>
  <c r="D2842" i="2"/>
  <c r="C2842" i="2"/>
  <c r="A2842" i="2"/>
  <c r="E2841" i="2"/>
  <c r="D2841" i="2"/>
  <c r="C2841" i="2"/>
  <c r="A2841" i="2"/>
  <c r="E2840" i="2"/>
  <c r="D2840" i="2"/>
  <c r="C2840" i="2"/>
  <c r="A2840" i="2"/>
  <c r="E2839" i="2"/>
  <c r="D2839" i="2"/>
  <c r="C2839" i="2"/>
  <c r="A2839" i="2"/>
  <c r="E2838" i="2"/>
  <c r="D2838" i="2"/>
  <c r="C2838" i="2"/>
  <c r="A2838" i="2"/>
  <c r="E2837" i="2"/>
  <c r="D2837" i="2"/>
  <c r="C2837" i="2"/>
  <c r="A2837" i="2"/>
  <c r="E2836" i="2"/>
  <c r="D2836" i="2"/>
  <c r="C2836" i="2"/>
  <c r="A2836" i="2"/>
  <c r="E2835" i="2"/>
  <c r="D2835" i="2"/>
  <c r="C2835" i="2"/>
  <c r="A2835" i="2"/>
  <c r="E2834" i="2"/>
  <c r="D2834" i="2"/>
  <c r="C2834" i="2"/>
  <c r="A2834" i="2"/>
  <c r="E2833" i="2"/>
  <c r="D2833" i="2"/>
  <c r="C2833" i="2"/>
  <c r="A2833" i="2"/>
  <c r="E2832" i="2"/>
  <c r="D2832" i="2"/>
  <c r="C2832" i="2"/>
  <c r="A2832" i="2"/>
  <c r="E2831" i="2"/>
  <c r="D2831" i="2"/>
  <c r="C2831" i="2"/>
  <c r="A2831" i="2"/>
  <c r="E2830" i="2"/>
  <c r="D2830" i="2"/>
  <c r="C2830" i="2"/>
  <c r="A2830" i="2"/>
  <c r="E2829" i="2"/>
  <c r="D2829" i="2"/>
  <c r="C2829" i="2"/>
  <c r="A2829" i="2"/>
  <c r="E2828" i="2"/>
  <c r="D2828" i="2"/>
  <c r="C2828" i="2"/>
  <c r="A2828" i="2"/>
  <c r="E2827" i="2"/>
  <c r="D2827" i="2"/>
  <c r="C2827" i="2"/>
  <c r="A2827" i="2"/>
  <c r="E2826" i="2"/>
  <c r="D2826" i="2"/>
  <c r="C2826" i="2"/>
  <c r="A2826" i="2"/>
  <c r="E2825" i="2"/>
  <c r="D2825" i="2"/>
  <c r="C2825" i="2"/>
  <c r="A2825" i="2"/>
  <c r="E2824" i="2"/>
  <c r="D2824" i="2"/>
  <c r="C2824" i="2"/>
  <c r="A2824" i="2"/>
  <c r="E2823" i="2"/>
  <c r="D2823" i="2"/>
  <c r="C2823" i="2"/>
  <c r="A2823" i="2"/>
  <c r="E2822" i="2"/>
  <c r="D2822" i="2"/>
  <c r="C2822" i="2"/>
  <c r="A2822" i="2"/>
  <c r="E2821" i="2"/>
  <c r="D2821" i="2"/>
  <c r="C2821" i="2"/>
  <c r="A2821" i="2"/>
  <c r="E2820" i="2"/>
  <c r="D2820" i="2"/>
  <c r="C2820" i="2"/>
  <c r="A2820" i="2"/>
  <c r="E2819" i="2"/>
  <c r="D2819" i="2"/>
  <c r="C2819" i="2"/>
  <c r="A2819" i="2"/>
  <c r="E2818" i="2"/>
  <c r="D2818" i="2"/>
  <c r="C2818" i="2"/>
  <c r="A2818" i="2"/>
  <c r="E2817" i="2"/>
  <c r="D2817" i="2"/>
  <c r="C2817" i="2"/>
  <c r="A2817" i="2"/>
  <c r="E2816" i="2"/>
  <c r="D2816" i="2"/>
  <c r="C2816" i="2"/>
  <c r="A2816" i="2"/>
  <c r="E2815" i="2"/>
  <c r="D2815" i="2"/>
  <c r="C2815" i="2"/>
  <c r="A2815" i="2"/>
  <c r="E2814" i="2"/>
  <c r="D2814" i="2"/>
  <c r="C2814" i="2"/>
  <c r="A2814" i="2"/>
  <c r="E2813" i="2"/>
  <c r="D2813" i="2"/>
  <c r="C2813" i="2"/>
  <c r="A2813" i="2"/>
  <c r="E2812" i="2"/>
  <c r="D2812" i="2"/>
  <c r="C2812" i="2"/>
  <c r="A2812" i="2"/>
  <c r="E2811" i="2"/>
  <c r="D2811" i="2"/>
  <c r="C2811" i="2"/>
  <c r="A2811" i="2"/>
  <c r="E2810" i="2"/>
  <c r="D2810" i="2"/>
  <c r="C2810" i="2"/>
  <c r="A2810" i="2"/>
  <c r="E2809" i="2"/>
  <c r="D2809" i="2"/>
  <c r="C2809" i="2"/>
  <c r="A2809" i="2"/>
  <c r="E2808" i="2"/>
  <c r="D2808" i="2"/>
  <c r="C2808" i="2"/>
  <c r="A2808" i="2"/>
  <c r="E2807" i="2"/>
  <c r="D2807" i="2"/>
  <c r="C2807" i="2"/>
  <c r="A2807" i="2"/>
  <c r="E2806" i="2"/>
  <c r="D2806" i="2"/>
  <c r="C2806" i="2"/>
  <c r="A2806" i="2"/>
  <c r="E2805" i="2"/>
  <c r="D2805" i="2"/>
  <c r="C2805" i="2"/>
  <c r="A2805" i="2"/>
  <c r="E2804" i="2"/>
  <c r="D2804" i="2"/>
  <c r="C2804" i="2"/>
  <c r="A2804" i="2"/>
  <c r="E2803" i="2"/>
  <c r="D2803" i="2"/>
  <c r="C2803" i="2"/>
  <c r="A2803" i="2"/>
  <c r="E2802" i="2"/>
  <c r="D2802" i="2"/>
  <c r="C2802" i="2"/>
  <c r="A2802" i="2"/>
  <c r="E2801" i="2"/>
  <c r="D2801" i="2"/>
  <c r="C2801" i="2"/>
  <c r="A2801" i="2"/>
  <c r="E2800" i="2"/>
  <c r="D2800" i="2"/>
  <c r="C2800" i="2"/>
  <c r="A2800" i="2"/>
  <c r="E2799" i="2"/>
  <c r="D2799" i="2"/>
  <c r="C2799" i="2"/>
  <c r="A2799" i="2"/>
  <c r="E2798" i="2"/>
  <c r="D2798" i="2"/>
  <c r="C2798" i="2"/>
  <c r="A2798" i="2"/>
  <c r="E2797" i="2"/>
  <c r="D2797" i="2"/>
  <c r="C2797" i="2"/>
  <c r="A2797" i="2"/>
  <c r="E2796" i="2"/>
  <c r="D2796" i="2"/>
  <c r="C2796" i="2"/>
  <c r="A2796" i="2"/>
  <c r="E2795" i="2"/>
  <c r="D2795" i="2"/>
  <c r="C2795" i="2"/>
  <c r="A2795" i="2"/>
  <c r="E2794" i="2"/>
  <c r="D2794" i="2"/>
  <c r="C2794" i="2"/>
  <c r="A2794" i="2"/>
  <c r="E2793" i="2"/>
  <c r="D2793" i="2"/>
  <c r="C2793" i="2"/>
  <c r="A2793" i="2"/>
  <c r="E2792" i="2"/>
  <c r="D2792" i="2"/>
  <c r="C2792" i="2"/>
  <c r="A2792" i="2"/>
  <c r="E2791" i="2"/>
  <c r="D2791" i="2"/>
  <c r="C2791" i="2"/>
  <c r="A2791" i="2"/>
  <c r="E2790" i="2"/>
  <c r="D2790" i="2"/>
  <c r="C2790" i="2"/>
  <c r="A2790" i="2"/>
  <c r="E2789" i="2"/>
  <c r="D2789" i="2"/>
  <c r="C2789" i="2"/>
  <c r="A2789" i="2"/>
  <c r="E2788" i="2"/>
  <c r="D2788" i="2"/>
  <c r="C2788" i="2"/>
  <c r="A2788" i="2"/>
  <c r="E2787" i="2"/>
  <c r="D2787" i="2"/>
  <c r="C2787" i="2"/>
  <c r="A2787" i="2"/>
  <c r="E2786" i="2"/>
  <c r="D2786" i="2"/>
  <c r="C2786" i="2"/>
  <c r="A2786" i="2"/>
  <c r="E2785" i="2"/>
  <c r="D2785" i="2"/>
  <c r="C2785" i="2"/>
  <c r="A2785" i="2"/>
  <c r="E2784" i="2"/>
  <c r="D2784" i="2"/>
  <c r="C2784" i="2"/>
  <c r="A2784" i="2"/>
  <c r="E2783" i="2"/>
  <c r="D2783" i="2"/>
  <c r="C2783" i="2"/>
  <c r="A2783" i="2"/>
  <c r="E2782" i="2"/>
  <c r="D2782" i="2"/>
  <c r="C2782" i="2"/>
  <c r="A2782" i="2"/>
  <c r="E2781" i="2"/>
  <c r="D2781" i="2"/>
  <c r="C2781" i="2"/>
  <c r="A2781" i="2"/>
  <c r="E2780" i="2"/>
  <c r="D2780" i="2"/>
  <c r="C2780" i="2"/>
  <c r="A2780" i="2"/>
  <c r="E2779" i="2"/>
  <c r="D2779" i="2"/>
  <c r="C2779" i="2"/>
  <c r="A2779" i="2"/>
  <c r="E2778" i="2"/>
  <c r="D2778" i="2"/>
  <c r="C2778" i="2"/>
  <c r="A2778" i="2"/>
  <c r="E2777" i="2"/>
  <c r="D2777" i="2"/>
  <c r="C2777" i="2"/>
  <c r="A2777" i="2"/>
  <c r="E2776" i="2"/>
  <c r="D2776" i="2"/>
  <c r="C2776" i="2"/>
  <c r="A2776" i="2"/>
  <c r="E2775" i="2"/>
  <c r="D2775" i="2"/>
  <c r="C2775" i="2"/>
  <c r="A2775" i="2"/>
  <c r="E2774" i="2"/>
  <c r="D2774" i="2"/>
  <c r="C2774" i="2"/>
  <c r="A2774" i="2"/>
  <c r="E2773" i="2"/>
  <c r="D2773" i="2"/>
  <c r="C2773" i="2"/>
  <c r="A2773" i="2"/>
  <c r="E2772" i="2"/>
  <c r="D2772" i="2"/>
  <c r="C2772" i="2"/>
  <c r="A2772" i="2"/>
  <c r="E2771" i="2"/>
  <c r="D2771" i="2"/>
  <c r="C2771" i="2"/>
  <c r="A2771" i="2"/>
  <c r="E2770" i="2"/>
  <c r="D2770" i="2"/>
  <c r="C2770" i="2"/>
  <c r="A2770" i="2"/>
  <c r="E2769" i="2"/>
  <c r="D2769" i="2"/>
  <c r="C2769" i="2"/>
  <c r="A2769" i="2"/>
  <c r="E2768" i="2"/>
  <c r="D2768" i="2"/>
  <c r="C2768" i="2"/>
  <c r="A2768" i="2"/>
  <c r="E2767" i="2"/>
  <c r="D2767" i="2"/>
  <c r="C2767" i="2"/>
  <c r="A2767" i="2"/>
  <c r="E2766" i="2"/>
  <c r="D2766" i="2"/>
  <c r="C2766" i="2"/>
  <c r="A2766" i="2"/>
  <c r="E2765" i="2"/>
  <c r="D2765" i="2"/>
  <c r="C2765" i="2"/>
  <c r="A2765" i="2"/>
  <c r="E2764" i="2"/>
  <c r="D2764" i="2"/>
  <c r="C2764" i="2"/>
  <c r="A2764" i="2"/>
  <c r="E2763" i="2"/>
  <c r="D2763" i="2"/>
  <c r="C2763" i="2"/>
  <c r="A2763" i="2"/>
  <c r="E2762" i="2"/>
  <c r="D2762" i="2"/>
  <c r="C2762" i="2"/>
  <c r="A2762" i="2"/>
  <c r="E2761" i="2"/>
  <c r="D2761" i="2"/>
  <c r="C2761" i="2"/>
  <c r="A2761" i="2"/>
  <c r="E2760" i="2"/>
  <c r="D2760" i="2"/>
  <c r="C2760" i="2"/>
  <c r="A2760" i="2"/>
  <c r="E2759" i="2"/>
  <c r="D2759" i="2"/>
  <c r="C2759" i="2"/>
  <c r="A2759" i="2"/>
  <c r="E2758" i="2"/>
  <c r="D2758" i="2"/>
  <c r="C2758" i="2"/>
  <c r="A2758" i="2"/>
  <c r="E2757" i="2"/>
  <c r="D2757" i="2"/>
  <c r="C2757" i="2"/>
  <c r="A2757" i="2"/>
  <c r="E2756" i="2"/>
  <c r="D2756" i="2"/>
  <c r="C2756" i="2"/>
  <c r="A2756" i="2"/>
  <c r="E2755" i="2"/>
  <c r="D2755" i="2"/>
  <c r="C2755" i="2"/>
  <c r="A2755" i="2"/>
  <c r="E2754" i="2"/>
  <c r="D2754" i="2"/>
  <c r="C2754" i="2"/>
  <c r="A2754" i="2"/>
  <c r="E2753" i="2"/>
  <c r="D2753" i="2"/>
  <c r="C2753" i="2"/>
  <c r="A2753" i="2"/>
  <c r="E2752" i="2"/>
  <c r="D2752" i="2"/>
  <c r="C2752" i="2"/>
  <c r="A2752" i="2"/>
  <c r="E2751" i="2"/>
  <c r="D2751" i="2"/>
  <c r="C2751" i="2"/>
  <c r="A2751" i="2"/>
  <c r="E2750" i="2"/>
  <c r="D2750" i="2"/>
  <c r="C2750" i="2"/>
  <c r="A2750" i="2"/>
  <c r="E2749" i="2"/>
  <c r="D2749" i="2"/>
  <c r="C2749" i="2"/>
  <c r="A2749" i="2"/>
  <c r="E2748" i="2"/>
  <c r="D2748" i="2"/>
  <c r="C2748" i="2"/>
  <c r="A2748" i="2"/>
  <c r="E2747" i="2"/>
  <c r="D2747" i="2"/>
  <c r="C2747" i="2"/>
  <c r="A2747" i="2"/>
  <c r="E2746" i="2"/>
  <c r="D2746" i="2"/>
  <c r="C2746" i="2"/>
  <c r="A2746" i="2"/>
  <c r="E2745" i="2"/>
  <c r="D2745" i="2"/>
  <c r="C2745" i="2"/>
  <c r="A2745" i="2"/>
  <c r="E2744" i="2"/>
  <c r="D2744" i="2"/>
  <c r="C2744" i="2"/>
  <c r="A2744" i="2"/>
  <c r="E2743" i="2"/>
  <c r="D2743" i="2"/>
  <c r="C2743" i="2"/>
  <c r="A2743" i="2"/>
  <c r="E2742" i="2"/>
  <c r="D2742" i="2"/>
  <c r="C2742" i="2"/>
  <c r="A2742" i="2"/>
  <c r="E2741" i="2"/>
  <c r="D2741" i="2"/>
  <c r="C2741" i="2"/>
  <c r="A2741" i="2"/>
  <c r="E2740" i="2"/>
  <c r="D2740" i="2"/>
  <c r="C2740" i="2"/>
  <c r="A2740" i="2"/>
  <c r="E2739" i="2"/>
  <c r="D2739" i="2"/>
  <c r="C2739" i="2"/>
  <c r="A2739" i="2"/>
  <c r="E2738" i="2"/>
  <c r="D2738" i="2"/>
  <c r="C2738" i="2"/>
  <c r="A2738" i="2"/>
  <c r="E2737" i="2"/>
  <c r="D2737" i="2"/>
  <c r="C2737" i="2"/>
  <c r="A2737" i="2"/>
  <c r="E2736" i="2"/>
  <c r="D2736" i="2"/>
  <c r="C2736" i="2"/>
  <c r="A2736" i="2"/>
  <c r="E2735" i="2"/>
  <c r="D2735" i="2"/>
  <c r="C2735" i="2"/>
  <c r="A2735" i="2"/>
  <c r="E2734" i="2"/>
  <c r="D2734" i="2"/>
  <c r="C2734" i="2"/>
  <c r="A2734" i="2"/>
  <c r="E2733" i="2"/>
  <c r="D2733" i="2"/>
  <c r="C2733" i="2"/>
  <c r="A2733" i="2"/>
  <c r="E2732" i="2"/>
  <c r="D2732" i="2"/>
  <c r="C2732" i="2"/>
  <c r="A2732" i="2"/>
  <c r="E2731" i="2"/>
  <c r="D2731" i="2"/>
  <c r="C2731" i="2"/>
  <c r="A2731" i="2"/>
  <c r="E2730" i="2"/>
  <c r="D2730" i="2"/>
  <c r="C2730" i="2"/>
  <c r="A2730" i="2"/>
  <c r="E2729" i="2"/>
  <c r="D2729" i="2"/>
  <c r="C2729" i="2"/>
  <c r="A2729" i="2"/>
  <c r="E2728" i="2"/>
  <c r="D2728" i="2"/>
  <c r="C2728" i="2"/>
  <c r="A2728" i="2"/>
  <c r="E2727" i="2"/>
  <c r="D2727" i="2"/>
  <c r="C2727" i="2"/>
  <c r="A2727" i="2"/>
  <c r="E2726" i="2"/>
  <c r="D2726" i="2"/>
  <c r="C2726" i="2"/>
  <c r="A2726" i="2"/>
  <c r="E2725" i="2"/>
  <c r="D2725" i="2"/>
  <c r="C2725" i="2"/>
  <c r="A2725" i="2"/>
  <c r="E2724" i="2"/>
  <c r="D2724" i="2"/>
  <c r="C2724" i="2"/>
  <c r="A2724" i="2"/>
  <c r="E2722" i="2"/>
  <c r="D2722" i="2"/>
  <c r="C2722" i="2"/>
  <c r="A2722" i="2"/>
  <c r="E2721" i="2"/>
  <c r="D2721" i="2"/>
  <c r="C2721" i="2"/>
  <c r="A2721" i="2"/>
  <c r="E2720" i="2"/>
  <c r="D2720" i="2"/>
  <c r="C2720" i="2"/>
  <c r="A2720" i="2"/>
  <c r="E2719" i="2"/>
  <c r="D2719" i="2"/>
  <c r="C2719" i="2"/>
  <c r="A2719" i="2"/>
  <c r="E2718" i="2"/>
  <c r="D2718" i="2"/>
  <c r="C2718" i="2"/>
  <c r="A2718" i="2"/>
  <c r="E2716" i="2"/>
  <c r="D2716" i="2"/>
  <c r="C2716" i="2"/>
  <c r="A2716" i="2"/>
  <c r="E2715" i="2"/>
  <c r="D2715" i="2"/>
  <c r="C2715" i="2"/>
  <c r="A2715" i="2"/>
  <c r="E2714" i="2"/>
  <c r="D2714" i="2"/>
  <c r="C2714" i="2"/>
  <c r="A2714" i="2"/>
  <c r="E2713" i="2"/>
  <c r="D2713" i="2"/>
  <c r="C2713" i="2"/>
  <c r="A2713" i="2"/>
  <c r="E2712" i="2"/>
  <c r="D2712" i="2"/>
  <c r="C2712" i="2"/>
  <c r="A2712" i="2"/>
  <c r="E2711" i="2"/>
  <c r="D2711" i="2"/>
  <c r="C2711" i="2"/>
  <c r="A2711" i="2"/>
  <c r="E2710" i="2"/>
  <c r="D2710" i="2"/>
  <c r="C2710" i="2"/>
  <c r="A2710" i="2"/>
  <c r="E2709" i="2"/>
  <c r="D2709" i="2"/>
  <c r="C2709" i="2"/>
  <c r="A2709" i="2"/>
  <c r="E2708" i="2"/>
  <c r="D2708" i="2"/>
  <c r="C2708" i="2"/>
  <c r="A2708" i="2"/>
  <c r="E2707" i="2"/>
  <c r="D2707" i="2"/>
  <c r="C2707" i="2"/>
  <c r="A2707" i="2"/>
  <c r="E2706" i="2"/>
  <c r="D2706" i="2"/>
  <c r="C2706" i="2"/>
  <c r="A2706" i="2"/>
  <c r="E2705" i="2"/>
  <c r="D2705" i="2"/>
  <c r="C2705" i="2"/>
  <c r="A2705" i="2"/>
  <c r="E2704" i="2"/>
  <c r="D2704" i="2"/>
  <c r="C2704" i="2"/>
  <c r="A2704" i="2"/>
  <c r="E2703" i="2"/>
  <c r="D2703" i="2"/>
  <c r="C2703" i="2"/>
  <c r="A2703" i="2"/>
  <c r="E2702" i="2"/>
  <c r="D2702" i="2"/>
  <c r="C2702" i="2"/>
  <c r="A2702" i="2"/>
  <c r="E2701" i="2"/>
  <c r="D2701" i="2"/>
  <c r="C2701" i="2"/>
  <c r="A2701" i="2"/>
  <c r="E2700" i="2"/>
  <c r="D2700" i="2"/>
  <c r="C2700" i="2"/>
  <c r="A2700" i="2"/>
  <c r="E2699" i="2"/>
  <c r="D2699" i="2"/>
  <c r="C2699" i="2"/>
  <c r="A2699" i="2"/>
  <c r="E2698" i="2"/>
  <c r="D2698" i="2"/>
  <c r="C2698" i="2"/>
  <c r="A2698" i="2"/>
  <c r="E2697" i="2"/>
  <c r="D2697" i="2"/>
  <c r="C2697" i="2"/>
  <c r="A2697" i="2"/>
  <c r="E2696" i="2"/>
  <c r="D2696" i="2"/>
  <c r="C2696" i="2"/>
  <c r="A2696" i="2"/>
  <c r="E2695" i="2"/>
  <c r="D2695" i="2"/>
  <c r="C2695" i="2"/>
  <c r="A2695" i="2"/>
  <c r="E2694" i="2"/>
  <c r="D2694" i="2"/>
  <c r="C2694" i="2"/>
  <c r="A2694" i="2"/>
  <c r="E2693" i="2"/>
  <c r="C2693" i="2"/>
  <c r="A2693" i="2"/>
  <c r="E2692" i="2"/>
  <c r="D2692" i="2"/>
  <c r="C2692" i="2"/>
  <c r="A2692" i="2"/>
  <c r="E2691" i="2"/>
  <c r="D2691" i="2"/>
  <c r="C2691" i="2"/>
  <c r="A2691" i="2"/>
  <c r="E2690" i="2"/>
  <c r="D2690" i="2"/>
  <c r="C2690" i="2"/>
  <c r="A2690" i="2"/>
  <c r="E2689" i="2"/>
  <c r="D2689" i="2"/>
  <c r="C2689" i="2"/>
  <c r="A2689" i="2"/>
  <c r="E2688" i="2"/>
  <c r="D2688" i="2"/>
  <c r="C2688" i="2"/>
  <c r="A2688" i="2"/>
  <c r="E2687" i="2"/>
  <c r="D2687" i="2"/>
  <c r="C2687" i="2"/>
  <c r="A2687" i="2"/>
  <c r="E2686" i="2"/>
  <c r="D2686" i="2"/>
  <c r="C2686" i="2"/>
  <c r="A2686" i="2"/>
  <c r="E2685" i="2"/>
  <c r="D2685" i="2"/>
  <c r="C2685" i="2"/>
  <c r="A2685" i="2"/>
  <c r="E2684" i="2"/>
  <c r="D2684" i="2"/>
  <c r="C2684" i="2"/>
  <c r="A2684" i="2"/>
  <c r="E2683" i="2"/>
  <c r="D2683" i="2"/>
  <c r="C2683" i="2"/>
  <c r="A2683" i="2"/>
  <c r="E2682" i="2"/>
  <c r="D2682" i="2"/>
  <c r="C2682" i="2"/>
  <c r="A2682" i="2"/>
  <c r="E2681" i="2"/>
  <c r="D2681" i="2"/>
  <c r="C2681" i="2"/>
  <c r="A2681" i="2"/>
  <c r="E2680" i="2"/>
  <c r="D2680" i="2"/>
  <c r="C2680" i="2"/>
  <c r="A2680" i="2"/>
  <c r="E2679" i="2"/>
  <c r="D2679" i="2"/>
  <c r="C2679" i="2"/>
  <c r="A2679" i="2"/>
  <c r="E2678" i="2"/>
  <c r="D2678" i="2"/>
  <c r="C2678" i="2"/>
  <c r="A2678" i="2"/>
  <c r="E2677" i="2"/>
  <c r="D2677" i="2"/>
  <c r="C2677" i="2"/>
  <c r="A2677" i="2"/>
  <c r="E2676" i="2"/>
  <c r="D2676" i="2"/>
  <c r="C2676" i="2"/>
  <c r="A2676" i="2"/>
  <c r="E2675" i="2"/>
  <c r="D2675" i="2"/>
  <c r="C2675" i="2"/>
  <c r="A2675" i="2"/>
  <c r="E2674" i="2"/>
  <c r="D2674" i="2"/>
  <c r="C2674" i="2"/>
  <c r="A2674" i="2"/>
  <c r="E2673" i="2"/>
  <c r="D2673" i="2"/>
  <c r="C2673" i="2"/>
  <c r="A2673" i="2"/>
  <c r="E2672" i="2"/>
  <c r="D2672" i="2"/>
  <c r="C2672" i="2"/>
  <c r="A2672" i="2"/>
  <c r="E2671" i="2"/>
  <c r="D2671" i="2"/>
  <c r="C2671" i="2"/>
  <c r="A2671" i="2"/>
  <c r="E2670" i="2"/>
  <c r="D2670" i="2"/>
  <c r="C2670" i="2"/>
  <c r="A2670" i="2"/>
  <c r="E2669" i="2"/>
  <c r="D2669" i="2"/>
  <c r="C2669" i="2"/>
  <c r="A2669" i="2"/>
  <c r="E2668" i="2"/>
  <c r="D2668" i="2"/>
  <c r="C2668" i="2"/>
  <c r="A2668" i="2"/>
  <c r="E2667" i="2"/>
  <c r="D2667" i="2"/>
  <c r="C2667" i="2"/>
  <c r="A2667" i="2"/>
  <c r="E2666" i="2"/>
  <c r="D2666" i="2"/>
  <c r="C2666" i="2"/>
  <c r="A2666" i="2"/>
  <c r="E2665" i="2"/>
  <c r="D2665" i="2"/>
  <c r="C2665" i="2"/>
  <c r="A2665" i="2"/>
  <c r="E2664" i="2"/>
  <c r="D2664" i="2"/>
  <c r="C2664" i="2"/>
  <c r="A2664" i="2"/>
  <c r="E2663" i="2"/>
  <c r="D2663" i="2"/>
  <c r="C2663" i="2"/>
  <c r="A2663" i="2"/>
  <c r="E2662" i="2"/>
  <c r="D2662" i="2"/>
  <c r="C2662" i="2"/>
  <c r="A2662" i="2"/>
  <c r="E2661" i="2"/>
  <c r="D2661" i="2"/>
  <c r="C2661" i="2"/>
  <c r="A2661" i="2"/>
  <c r="E2660" i="2"/>
  <c r="D2660" i="2"/>
  <c r="C2660" i="2"/>
  <c r="A2660" i="2"/>
  <c r="E2659" i="2"/>
  <c r="D2659" i="2"/>
  <c r="C2659" i="2"/>
  <c r="A2659" i="2"/>
  <c r="E2658" i="2"/>
  <c r="D2658" i="2"/>
  <c r="C2658" i="2"/>
  <c r="A2658" i="2"/>
  <c r="E2657" i="2"/>
  <c r="D2657" i="2"/>
  <c r="C2657" i="2"/>
  <c r="A2657" i="2"/>
  <c r="E2656" i="2"/>
  <c r="D2656" i="2"/>
  <c r="C2656" i="2"/>
  <c r="A2656" i="2"/>
  <c r="E2655" i="2"/>
  <c r="D2655" i="2"/>
  <c r="C2655" i="2"/>
  <c r="A2655" i="2"/>
  <c r="E2654" i="2"/>
  <c r="D2654" i="2"/>
  <c r="C2654" i="2"/>
  <c r="A2654" i="2"/>
  <c r="E2653" i="2"/>
  <c r="D2653" i="2"/>
  <c r="C2653" i="2"/>
  <c r="A2653" i="2"/>
  <c r="E2652" i="2"/>
  <c r="D2652" i="2"/>
  <c r="C2652" i="2"/>
  <c r="A2652" i="2"/>
  <c r="E2651" i="2"/>
  <c r="D2651" i="2"/>
  <c r="C2651" i="2"/>
  <c r="A2651" i="2"/>
  <c r="E2650" i="2"/>
  <c r="D2650" i="2"/>
  <c r="C2650" i="2"/>
  <c r="A2650" i="2"/>
  <c r="E2649" i="2"/>
  <c r="D2649" i="2"/>
  <c r="C2649" i="2"/>
  <c r="A2649" i="2"/>
  <c r="E2648" i="2"/>
  <c r="D2648" i="2"/>
  <c r="C2648" i="2"/>
  <c r="A2648" i="2"/>
  <c r="E2647" i="2"/>
  <c r="D2647" i="2"/>
  <c r="C2647" i="2"/>
  <c r="A2647" i="2"/>
  <c r="E2646" i="2"/>
  <c r="D2646" i="2"/>
  <c r="C2646" i="2"/>
  <c r="A2646" i="2"/>
  <c r="E2645" i="2"/>
  <c r="D2645" i="2"/>
  <c r="C2645" i="2"/>
  <c r="A2645" i="2"/>
  <c r="E2644" i="2"/>
  <c r="D2644" i="2"/>
  <c r="C2644" i="2"/>
  <c r="A2644" i="2"/>
  <c r="E2643" i="2"/>
  <c r="D2643" i="2"/>
  <c r="C2643" i="2"/>
  <c r="A2643" i="2"/>
  <c r="E2642" i="2"/>
  <c r="D2642" i="2"/>
  <c r="C2642" i="2"/>
  <c r="A2642" i="2"/>
  <c r="E2641" i="2"/>
  <c r="D2641" i="2"/>
  <c r="C2641" i="2"/>
  <c r="A2641" i="2"/>
  <c r="E2640" i="2"/>
  <c r="D2640" i="2"/>
  <c r="C2640" i="2"/>
  <c r="A2640" i="2"/>
  <c r="E2639" i="2"/>
  <c r="D2639" i="2"/>
  <c r="C2639" i="2"/>
  <c r="A2639" i="2"/>
  <c r="E2638" i="2"/>
  <c r="D2638" i="2"/>
  <c r="C2638" i="2"/>
  <c r="A2638" i="2"/>
  <c r="E2637" i="2"/>
  <c r="D2637" i="2"/>
  <c r="C2637" i="2"/>
  <c r="A2637" i="2"/>
  <c r="E2636" i="2"/>
  <c r="D2636" i="2"/>
  <c r="C2636" i="2"/>
  <c r="A2636" i="2"/>
  <c r="E2635" i="2"/>
  <c r="D2635" i="2"/>
  <c r="C2635" i="2"/>
  <c r="A2635" i="2"/>
  <c r="E2634" i="2"/>
  <c r="D2634" i="2"/>
  <c r="C2634" i="2"/>
  <c r="A2634" i="2"/>
  <c r="E2633" i="2"/>
  <c r="D2633" i="2"/>
  <c r="C2633" i="2"/>
  <c r="A2633" i="2"/>
  <c r="E2632" i="2"/>
  <c r="D2632" i="2"/>
  <c r="C2632" i="2"/>
  <c r="A2632" i="2"/>
  <c r="E2631" i="2"/>
  <c r="D2631" i="2"/>
  <c r="C2631" i="2"/>
  <c r="A2631" i="2"/>
  <c r="E2630" i="2"/>
  <c r="D2630" i="2"/>
  <c r="C2630" i="2"/>
  <c r="A2630" i="2"/>
  <c r="E2629" i="2"/>
  <c r="D2629" i="2"/>
  <c r="C2629" i="2"/>
  <c r="A2629" i="2"/>
  <c r="E2628" i="2"/>
  <c r="D2628" i="2"/>
  <c r="C2628" i="2"/>
  <c r="A2628" i="2"/>
  <c r="E2627" i="2"/>
  <c r="D2627" i="2"/>
  <c r="C2627" i="2"/>
  <c r="A2627" i="2"/>
  <c r="E2626" i="2"/>
  <c r="D2626" i="2"/>
  <c r="C2626" i="2"/>
  <c r="A2626" i="2"/>
  <c r="E2625" i="2"/>
  <c r="D2625" i="2"/>
  <c r="C2625" i="2"/>
  <c r="A2625" i="2"/>
  <c r="E2624" i="2"/>
  <c r="D2624" i="2"/>
  <c r="C2624" i="2"/>
  <c r="A2624" i="2"/>
  <c r="E2623" i="2"/>
  <c r="D2623" i="2"/>
  <c r="C2623" i="2"/>
  <c r="A2623" i="2"/>
  <c r="E2622" i="2"/>
  <c r="D2622" i="2"/>
  <c r="C2622" i="2"/>
  <c r="A2622" i="2"/>
  <c r="E2621" i="2"/>
  <c r="D2621" i="2"/>
  <c r="C2621" i="2"/>
  <c r="A2621" i="2"/>
  <c r="E2620" i="2"/>
  <c r="D2620" i="2"/>
  <c r="C2620" i="2"/>
  <c r="A2620" i="2"/>
  <c r="E2619" i="2"/>
  <c r="D2619" i="2"/>
  <c r="C2619" i="2"/>
  <c r="A2619" i="2"/>
  <c r="E2618" i="2"/>
  <c r="D2618" i="2"/>
  <c r="C2618" i="2"/>
  <c r="A2618" i="2"/>
  <c r="E2617" i="2"/>
  <c r="D2617" i="2"/>
  <c r="C2617" i="2"/>
  <c r="A2617" i="2"/>
  <c r="E2616" i="2"/>
  <c r="D2616" i="2"/>
  <c r="C2616" i="2"/>
  <c r="A2616" i="2"/>
  <c r="E2615" i="2"/>
  <c r="D2615" i="2"/>
  <c r="C2615" i="2"/>
  <c r="A2615" i="2"/>
  <c r="E2614" i="2"/>
  <c r="D2614" i="2"/>
  <c r="C2614" i="2"/>
  <c r="A2614" i="2"/>
  <c r="E2613" i="2"/>
  <c r="D2613" i="2"/>
  <c r="C2613" i="2"/>
  <c r="A2613" i="2"/>
  <c r="E2612" i="2"/>
  <c r="D2612" i="2"/>
  <c r="C2612" i="2"/>
  <c r="A2612" i="2"/>
  <c r="E2611" i="2"/>
  <c r="D2611" i="2"/>
  <c r="C2611" i="2"/>
  <c r="A2611" i="2"/>
  <c r="E2610" i="2"/>
  <c r="D2610" i="2"/>
  <c r="C2610" i="2"/>
  <c r="A2610" i="2"/>
  <c r="E2609" i="2"/>
  <c r="D2609" i="2"/>
  <c r="C2609" i="2"/>
  <c r="A2609" i="2"/>
  <c r="E2608" i="2"/>
  <c r="D2608" i="2"/>
  <c r="C2608" i="2"/>
  <c r="A2608" i="2"/>
  <c r="E2607" i="2"/>
  <c r="D2607" i="2"/>
  <c r="C2607" i="2"/>
  <c r="A2607" i="2"/>
  <c r="E2606" i="2"/>
  <c r="D2606" i="2"/>
  <c r="C2606" i="2"/>
  <c r="A2606" i="2"/>
  <c r="E2605" i="2"/>
  <c r="D2605" i="2"/>
  <c r="C2605" i="2"/>
  <c r="A2605" i="2"/>
  <c r="E2604" i="2"/>
  <c r="D2604" i="2"/>
  <c r="C2604" i="2"/>
  <c r="A2604" i="2"/>
  <c r="E2603" i="2"/>
  <c r="D2603" i="2"/>
  <c r="C2603" i="2"/>
  <c r="A2603" i="2"/>
  <c r="E2602" i="2"/>
  <c r="D2602" i="2"/>
  <c r="C2602" i="2"/>
  <c r="A2602" i="2"/>
  <c r="E2601" i="2"/>
  <c r="D2601" i="2"/>
  <c r="C2601" i="2"/>
  <c r="A2601" i="2"/>
  <c r="E2600" i="2"/>
  <c r="D2600" i="2"/>
  <c r="C2600" i="2"/>
  <c r="A2600" i="2"/>
  <c r="E2599" i="2"/>
  <c r="D2599" i="2"/>
  <c r="C2599" i="2"/>
  <c r="A2599" i="2"/>
  <c r="E2598" i="2"/>
  <c r="D2598" i="2"/>
  <c r="C2598" i="2"/>
  <c r="A2598" i="2"/>
  <c r="E2597" i="2"/>
  <c r="D2597" i="2"/>
  <c r="C2597" i="2"/>
  <c r="A2597" i="2"/>
  <c r="E2596" i="2"/>
  <c r="D2596" i="2"/>
  <c r="C2596" i="2"/>
  <c r="A2596" i="2"/>
  <c r="E2595" i="2"/>
  <c r="D2595" i="2"/>
  <c r="C2595" i="2"/>
  <c r="A2595" i="2"/>
  <c r="E2594" i="2"/>
  <c r="D2594" i="2"/>
  <c r="C2594" i="2"/>
  <c r="A2594" i="2"/>
  <c r="E2593" i="2"/>
  <c r="D2593" i="2"/>
  <c r="C2593" i="2"/>
  <c r="A2593" i="2"/>
  <c r="E2592" i="2"/>
  <c r="D2592" i="2"/>
  <c r="C2592" i="2"/>
  <c r="A2592" i="2"/>
  <c r="E2591" i="2"/>
  <c r="D2591" i="2"/>
  <c r="C2591" i="2"/>
  <c r="A2591" i="2"/>
  <c r="E2590" i="2"/>
  <c r="D2590" i="2"/>
  <c r="C2590" i="2"/>
  <c r="A2590" i="2"/>
  <c r="E2589" i="2"/>
  <c r="D2589" i="2"/>
  <c r="C2589" i="2"/>
  <c r="A2589" i="2"/>
  <c r="E2588" i="2"/>
  <c r="D2588" i="2"/>
  <c r="C2588" i="2"/>
  <c r="A2588" i="2"/>
  <c r="E2587" i="2"/>
  <c r="D2587" i="2"/>
  <c r="C2587" i="2"/>
  <c r="A2587" i="2"/>
  <c r="E2586" i="2"/>
  <c r="D2586" i="2"/>
  <c r="C2586" i="2"/>
  <c r="A2586" i="2"/>
  <c r="E2585" i="2"/>
  <c r="D2585" i="2"/>
  <c r="C2585" i="2"/>
  <c r="A2585" i="2"/>
  <c r="E2584" i="2"/>
  <c r="D2584" i="2"/>
  <c r="C2584" i="2"/>
  <c r="A2584" i="2"/>
  <c r="E2583" i="2"/>
  <c r="D2583" i="2"/>
  <c r="C2583" i="2"/>
  <c r="A2583" i="2"/>
  <c r="E2582" i="2"/>
  <c r="D2582" i="2"/>
  <c r="C2582" i="2"/>
  <c r="A2582" i="2"/>
  <c r="E2581" i="2"/>
  <c r="D2581" i="2"/>
  <c r="C2581" i="2"/>
  <c r="A2581" i="2"/>
  <c r="E2580" i="2"/>
  <c r="D2580" i="2"/>
  <c r="C2580" i="2"/>
  <c r="A2580" i="2"/>
  <c r="E2579" i="2"/>
  <c r="D2579" i="2"/>
  <c r="C2579" i="2"/>
  <c r="A2579" i="2"/>
  <c r="E2578" i="2"/>
  <c r="D2578" i="2"/>
  <c r="C2578" i="2"/>
  <c r="A2578" i="2"/>
  <c r="E2577" i="2"/>
  <c r="D2577" i="2"/>
  <c r="C2577" i="2"/>
  <c r="A2577" i="2"/>
  <c r="E2576" i="2"/>
  <c r="D2576" i="2"/>
  <c r="C2576" i="2"/>
  <c r="A2576" i="2"/>
  <c r="E2575" i="2"/>
  <c r="D2575" i="2"/>
  <c r="C2575" i="2"/>
  <c r="A2575" i="2"/>
  <c r="E2574" i="2"/>
  <c r="D2574" i="2"/>
  <c r="C2574" i="2"/>
  <c r="A2574" i="2"/>
  <c r="E2573" i="2"/>
  <c r="D2573" i="2"/>
  <c r="C2573" i="2"/>
  <c r="A2573" i="2"/>
  <c r="E2572" i="2"/>
  <c r="D2572" i="2"/>
  <c r="C2572" i="2"/>
  <c r="A2572" i="2"/>
  <c r="E2571" i="2"/>
  <c r="D2571" i="2"/>
  <c r="C2571" i="2"/>
  <c r="A2571" i="2"/>
  <c r="E2570" i="2"/>
  <c r="D2570" i="2"/>
  <c r="C2570" i="2"/>
  <c r="A2570" i="2"/>
  <c r="E2569" i="2"/>
  <c r="D2569" i="2"/>
  <c r="C2569" i="2"/>
  <c r="A2569" i="2"/>
  <c r="E2568" i="2"/>
  <c r="D2568" i="2"/>
  <c r="C2568" i="2"/>
  <c r="A2568" i="2"/>
  <c r="E2567" i="2"/>
  <c r="D2567" i="2"/>
  <c r="C2567" i="2"/>
  <c r="A2567" i="2"/>
  <c r="E2566" i="2"/>
  <c r="D2566" i="2"/>
  <c r="C2566" i="2"/>
  <c r="A2566" i="2"/>
  <c r="E2565" i="2"/>
  <c r="D2565" i="2"/>
  <c r="C2565" i="2"/>
  <c r="A2565" i="2"/>
  <c r="E2564" i="2"/>
  <c r="D2564" i="2"/>
  <c r="C2564" i="2"/>
  <c r="A2564" i="2"/>
  <c r="E2563" i="2"/>
  <c r="D2563" i="2"/>
  <c r="C2563" i="2"/>
  <c r="A2563" i="2"/>
  <c r="E2562" i="2"/>
  <c r="D2562" i="2"/>
  <c r="C2562" i="2"/>
  <c r="A2562" i="2"/>
  <c r="E2561" i="2"/>
  <c r="D2561" i="2"/>
  <c r="C2561" i="2"/>
  <c r="A2561" i="2"/>
  <c r="E2560" i="2"/>
  <c r="D2560" i="2"/>
  <c r="C2560" i="2"/>
  <c r="A2560" i="2"/>
  <c r="E2559" i="2"/>
  <c r="D2559" i="2"/>
  <c r="C2559" i="2"/>
  <c r="A2559" i="2"/>
  <c r="E2558" i="2"/>
  <c r="D2558" i="2"/>
  <c r="C2558" i="2"/>
  <c r="A2558" i="2"/>
  <c r="E2557" i="2"/>
  <c r="D2557" i="2"/>
  <c r="C2557" i="2"/>
  <c r="A2557" i="2"/>
  <c r="E2556" i="2"/>
  <c r="D2556" i="2"/>
  <c r="C2556" i="2"/>
  <c r="A2556" i="2"/>
  <c r="E2555" i="2"/>
  <c r="D2555" i="2"/>
  <c r="C2555" i="2"/>
  <c r="A2555" i="2"/>
  <c r="E2554" i="2"/>
  <c r="D2554" i="2"/>
  <c r="C2554" i="2"/>
  <c r="A2554" i="2"/>
  <c r="E2553" i="2"/>
  <c r="D2553" i="2"/>
  <c r="C2553" i="2"/>
  <c r="A2553" i="2"/>
  <c r="E2552" i="2"/>
  <c r="D2552" i="2"/>
  <c r="C2552" i="2"/>
  <c r="A2552" i="2"/>
  <c r="E2551" i="2"/>
  <c r="D2551" i="2"/>
  <c r="C2551" i="2"/>
  <c r="A2551" i="2"/>
  <c r="E2550" i="2"/>
  <c r="D2550" i="2"/>
  <c r="C2550" i="2"/>
  <c r="A2550" i="2"/>
  <c r="E2549" i="2"/>
  <c r="D2549" i="2"/>
  <c r="C2549" i="2"/>
  <c r="A2549" i="2"/>
  <c r="E2548" i="2"/>
  <c r="D2548" i="2"/>
  <c r="C2548" i="2"/>
  <c r="A2548" i="2"/>
  <c r="E2547" i="2"/>
  <c r="D2547" i="2"/>
  <c r="C2547" i="2"/>
  <c r="A2547" i="2"/>
  <c r="E2546" i="2"/>
  <c r="D2546" i="2"/>
  <c r="C2546" i="2"/>
  <c r="A2546" i="2"/>
  <c r="E2545" i="2"/>
  <c r="D2545" i="2"/>
  <c r="C2545" i="2"/>
  <c r="A2545" i="2"/>
  <c r="E2544" i="2"/>
  <c r="D2544" i="2"/>
  <c r="C2544" i="2"/>
  <c r="A2544" i="2"/>
  <c r="E2543" i="2"/>
  <c r="D2543" i="2"/>
  <c r="C2543" i="2"/>
  <c r="A2543" i="2"/>
  <c r="E2542" i="2"/>
  <c r="D2542" i="2"/>
  <c r="C2542" i="2"/>
  <c r="A2542" i="2"/>
  <c r="E2541" i="2"/>
  <c r="D2541" i="2"/>
  <c r="C2541" i="2"/>
  <c r="A2541" i="2"/>
  <c r="E2540" i="2"/>
  <c r="D2540" i="2"/>
  <c r="C2540" i="2"/>
  <c r="A2540" i="2"/>
  <c r="E2539" i="2"/>
  <c r="D2539" i="2"/>
  <c r="C2539" i="2"/>
  <c r="A2539" i="2"/>
  <c r="E2538" i="2"/>
  <c r="D2538" i="2"/>
  <c r="C2538" i="2"/>
  <c r="A2538" i="2"/>
  <c r="E2537" i="2"/>
  <c r="D2537" i="2"/>
  <c r="C2537" i="2"/>
  <c r="A2537" i="2"/>
  <c r="E2536" i="2"/>
  <c r="D2536" i="2"/>
  <c r="C2536" i="2"/>
  <c r="A2536" i="2"/>
  <c r="E2535" i="2"/>
  <c r="D2535" i="2"/>
  <c r="C2535" i="2"/>
  <c r="A2535" i="2"/>
  <c r="E2534" i="2"/>
  <c r="D2534" i="2"/>
  <c r="C2534" i="2"/>
  <c r="A2534" i="2"/>
  <c r="E2533" i="2"/>
  <c r="D2533" i="2"/>
  <c r="C2533" i="2"/>
  <c r="A2533" i="2"/>
  <c r="E2532" i="2"/>
  <c r="D2532" i="2"/>
  <c r="C2532" i="2"/>
  <c r="A2532" i="2"/>
  <c r="E2531" i="2"/>
  <c r="D2531" i="2"/>
  <c r="C2531" i="2"/>
  <c r="A2531" i="2"/>
  <c r="E2530" i="2"/>
  <c r="D2530" i="2"/>
  <c r="C2530" i="2"/>
  <c r="A2530" i="2"/>
  <c r="E2529" i="2"/>
  <c r="D2529" i="2"/>
  <c r="C2529" i="2"/>
  <c r="A2529" i="2"/>
  <c r="E2528" i="2"/>
  <c r="D2528" i="2"/>
  <c r="C2528" i="2"/>
  <c r="A2528" i="2"/>
  <c r="E2527" i="2"/>
  <c r="D2527" i="2"/>
  <c r="C2527" i="2"/>
  <c r="A2527" i="2"/>
  <c r="E2526" i="2"/>
  <c r="D2526" i="2"/>
  <c r="C2526" i="2"/>
  <c r="A2526" i="2"/>
  <c r="E2525" i="2"/>
  <c r="D2525" i="2"/>
  <c r="C2525" i="2"/>
  <c r="A2525" i="2"/>
  <c r="E2524" i="2"/>
  <c r="D2524" i="2"/>
  <c r="C2524" i="2"/>
  <c r="A2524" i="2"/>
  <c r="E2523" i="2"/>
  <c r="D2523" i="2"/>
  <c r="C2523" i="2"/>
  <c r="A2523" i="2"/>
  <c r="E2522" i="2"/>
  <c r="D2522" i="2"/>
  <c r="C2522" i="2"/>
  <c r="A2522" i="2"/>
  <c r="E2521" i="2"/>
  <c r="D2521" i="2"/>
  <c r="C2521" i="2"/>
  <c r="A2521" i="2"/>
  <c r="E2520" i="2"/>
  <c r="D2520" i="2"/>
  <c r="C2520" i="2"/>
  <c r="A2520" i="2"/>
  <c r="E2519" i="2"/>
  <c r="D2519" i="2"/>
  <c r="C2519" i="2"/>
  <c r="A2519" i="2"/>
  <c r="E2518" i="2"/>
  <c r="D2518" i="2"/>
  <c r="C2518" i="2"/>
  <c r="A2518" i="2"/>
  <c r="E2517" i="2"/>
  <c r="D2517" i="2"/>
  <c r="C2517" i="2"/>
  <c r="A2517" i="2"/>
  <c r="E2516" i="2"/>
  <c r="D2516" i="2"/>
  <c r="C2516" i="2"/>
  <c r="A2516" i="2"/>
  <c r="E2515" i="2"/>
  <c r="D2515" i="2"/>
  <c r="C2515" i="2"/>
  <c r="A2515" i="2"/>
  <c r="E2513" i="2"/>
  <c r="D2513" i="2"/>
  <c r="C2513" i="2"/>
  <c r="A2513" i="2"/>
  <c r="E2512" i="2"/>
  <c r="D2512" i="2"/>
  <c r="C2512" i="2"/>
  <c r="A2512" i="2"/>
  <c r="E2511" i="2"/>
  <c r="D2511" i="2"/>
  <c r="C2511" i="2"/>
  <c r="A2511" i="2"/>
  <c r="E2510" i="2"/>
  <c r="D2510" i="2"/>
  <c r="C2510" i="2"/>
  <c r="A2510" i="2"/>
  <c r="E2509" i="2"/>
  <c r="D2509" i="2"/>
  <c r="C2509" i="2"/>
  <c r="A2509" i="2"/>
  <c r="E2508" i="2"/>
  <c r="D2508" i="2"/>
  <c r="C2508" i="2"/>
  <c r="A2508" i="2"/>
  <c r="E2507" i="2"/>
  <c r="D2507" i="2"/>
  <c r="C2507" i="2"/>
  <c r="A2507" i="2"/>
  <c r="E2506" i="2"/>
  <c r="D2506" i="2"/>
  <c r="C2506" i="2"/>
  <c r="A2506" i="2"/>
  <c r="E2505" i="2"/>
  <c r="D2505" i="2"/>
  <c r="C2505" i="2"/>
  <c r="A2505" i="2"/>
  <c r="E2504" i="2"/>
  <c r="D2504" i="2"/>
  <c r="C2504" i="2"/>
  <c r="A2504" i="2"/>
  <c r="E2503" i="2"/>
  <c r="D2503" i="2"/>
  <c r="C2503" i="2"/>
  <c r="A2503" i="2"/>
  <c r="E2502" i="2"/>
  <c r="D2502" i="2"/>
  <c r="C2502" i="2"/>
  <c r="A2502" i="2"/>
  <c r="E2501" i="2"/>
  <c r="D2501" i="2"/>
  <c r="C2501" i="2"/>
  <c r="A2501" i="2"/>
  <c r="E2500" i="2"/>
  <c r="D2500" i="2"/>
  <c r="C2500" i="2"/>
  <c r="A2500" i="2"/>
  <c r="E2499" i="2"/>
  <c r="D2499" i="2"/>
  <c r="C2499" i="2"/>
  <c r="A2499" i="2"/>
  <c r="E2498" i="2"/>
  <c r="D2498" i="2"/>
  <c r="C2498" i="2"/>
  <c r="A2498" i="2"/>
  <c r="E2497" i="2"/>
  <c r="D2497" i="2"/>
  <c r="C2497" i="2"/>
  <c r="A2497" i="2"/>
  <c r="E2496" i="2"/>
  <c r="D2496" i="2"/>
  <c r="C2496" i="2"/>
  <c r="A2496" i="2"/>
  <c r="E2495" i="2"/>
  <c r="D2495" i="2"/>
  <c r="C2495" i="2"/>
  <c r="A2495" i="2"/>
  <c r="E2494" i="2"/>
  <c r="D2494" i="2"/>
  <c r="C2494" i="2"/>
  <c r="A2494" i="2"/>
  <c r="E2493" i="2"/>
  <c r="D2493" i="2"/>
  <c r="C2493" i="2"/>
  <c r="A2493" i="2"/>
  <c r="E2492" i="2"/>
  <c r="D2492" i="2"/>
  <c r="C2492" i="2"/>
  <c r="A2492" i="2"/>
  <c r="E2491" i="2"/>
  <c r="D2491" i="2"/>
  <c r="C2491" i="2"/>
  <c r="A2491" i="2"/>
  <c r="E2490" i="2"/>
  <c r="D2490" i="2"/>
  <c r="C2490" i="2"/>
  <c r="A2490" i="2"/>
  <c r="E2489" i="2"/>
  <c r="D2489" i="2"/>
  <c r="C2489" i="2"/>
  <c r="A2489" i="2"/>
  <c r="E2488" i="2"/>
  <c r="D2488" i="2"/>
  <c r="C2488" i="2"/>
  <c r="A2488" i="2"/>
  <c r="E2487" i="2"/>
  <c r="D2487" i="2"/>
  <c r="C2487" i="2"/>
  <c r="A2487" i="2"/>
  <c r="E2486" i="2"/>
  <c r="D2486" i="2"/>
  <c r="C2486" i="2"/>
  <c r="A2486" i="2"/>
  <c r="E2485" i="2"/>
  <c r="D2485" i="2"/>
  <c r="C2485" i="2"/>
  <c r="A2485" i="2"/>
  <c r="E2484" i="2"/>
  <c r="D2484" i="2"/>
  <c r="C2484" i="2"/>
  <c r="A2484" i="2"/>
  <c r="E2483" i="2"/>
  <c r="D2483" i="2"/>
  <c r="C2483" i="2"/>
  <c r="A2483" i="2"/>
  <c r="E2482" i="2"/>
  <c r="D2482" i="2"/>
  <c r="C2482" i="2"/>
  <c r="A2482" i="2"/>
  <c r="E2481" i="2"/>
  <c r="D2481" i="2"/>
  <c r="C2481" i="2"/>
  <c r="A2481" i="2"/>
  <c r="E2480" i="2"/>
  <c r="D2480" i="2"/>
  <c r="C2480" i="2"/>
  <c r="A2480" i="2"/>
  <c r="E2479" i="2"/>
  <c r="D2479" i="2"/>
  <c r="C2479" i="2"/>
  <c r="A2479" i="2"/>
  <c r="E2478" i="2"/>
  <c r="D2478" i="2"/>
  <c r="C2478" i="2"/>
  <c r="A2478" i="2"/>
  <c r="E2477" i="2"/>
  <c r="D2477" i="2"/>
  <c r="C2477" i="2"/>
  <c r="A2477" i="2"/>
  <c r="E2476" i="2"/>
  <c r="D2476" i="2"/>
  <c r="C2476" i="2"/>
  <c r="A2476" i="2"/>
  <c r="E2475" i="2"/>
  <c r="D2475" i="2"/>
  <c r="C2475" i="2"/>
  <c r="A2475" i="2"/>
  <c r="E2474" i="2"/>
  <c r="D2474" i="2"/>
  <c r="C2474" i="2"/>
  <c r="A2474" i="2"/>
  <c r="E2473" i="2"/>
  <c r="D2473" i="2"/>
  <c r="C2473" i="2"/>
  <c r="A2473" i="2"/>
  <c r="E2472" i="2"/>
  <c r="D2472" i="2"/>
  <c r="C2472" i="2"/>
  <c r="A2472" i="2"/>
  <c r="E2471" i="2"/>
  <c r="D2471" i="2"/>
  <c r="C2471" i="2"/>
  <c r="A2471" i="2"/>
  <c r="E2470" i="2"/>
  <c r="D2470" i="2"/>
  <c r="C2470" i="2"/>
  <c r="A2470" i="2"/>
  <c r="E2469" i="2"/>
  <c r="D2469" i="2"/>
  <c r="C2469" i="2"/>
  <c r="A2469" i="2"/>
  <c r="E2468" i="2"/>
  <c r="D2468" i="2"/>
  <c r="C2468" i="2"/>
  <c r="A2468" i="2"/>
  <c r="E2466" i="2"/>
  <c r="D2466" i="2"/>
  <c r="C2466" i="2"/>
  <c r="A2466" i="2"/>
  <c r="E2465" i="2"/>
  <c r="D2465" i="2"/>
  <c r="C2465" i="2"/>
  <c r="A2465" i="2"/>
  <c r="E2464" i="2"/>
  <c r="D2464" i="2"/>
  <c r="C2464" i="2"/>
  <c r="A2464" i="2"/>
  <c r="E2463" i="2"/>
  <c r="D2463" i="2"/>
  <c r="C2463" i="2"/>
  <c r="A2463" i="2"/>
  <c r="E2462" i="2"/>
  <c r="D2462" i="2"/>
  <c r="C2462" i="2"/>
  <c r="A2462" i="2"/>
  <c r="E2461" i="2"/>
  <c r="D2461" i="2"/>
  <c r="C2461" i="2"/>
  <c r="A2461" i="2"/>
  <c r="E2460" i="2"/>
  <c r="D2460" i="2"/>
  <c r="C2460" i="2"/>
  <c r="A2460" i="2"/>
  <c r="E2459" i="2"/>
  <c r="D2459" i="2"/>
  <c r="C2459" i="2"/>
  <c r="A2459" i="2"/>
  <c r="E2458" i="2"/>
  <c r="D2458" i="2"/>
  <c r="C2458" i="2"/>
  <c r="A2458" i="2"/>
  <c r="E2457" i="2"/>
  <c r="D2457" i="2"/>
  <c r="C2457" i="2"/>
  <c r="A2457" i="2"/>
  <c r="E2456" i="2"/>
  <c r="D2456" i="2"/>
  <c r="C2456" i="2"/>
  <c r="A2456" i="2"/>
  <c r="E2455" i="2"/>
  <c r="D2455" i="2"/>
  <c r="C2455" i="2"/>
  <c r="A2455" i="2"/>
  <c r="E2454" i="2"/>
  <c r="D2454" i="2"/>
  <c r="C2454" i="2"/>
  <c r="A2454" i="2"/>
  <c r="E2453" i="2"/>
  <c r="D2453" i="2"/>
  <c r="C2453" i="2"/>
  <c r="A2453" i="2"/>
  <c r="E2452" i="2"/>
  <c r="D2452" i="2"/>
  <c r="C2452" i="2"/>
  <c r="A2452" i="2"/>
  <c r="E2451" i="2"/>
  <c r="D2451" i="2"/>
  <c r="C2451" i="2"/>
  <c r="A2451" i="2"/>
  <c r="E2450" i="2"/>
  <c r="D2450" i="2"/>
  <c r="C2450" i="2"/>
  <c r="A2450" i="2"/>
  <c r="E2449" i="2"/>
  <c r="D2449" i="2"/>
  <c r="C2449" i="2"/>
  <c r="A2449" i="2"/>
  <c r="E2448" i="2"/>
  <c r="D2448" i="2"/>
  <c r="C2448" i="2"/>
  <c r="A2448" i="2"/>
  <c r="E2447" i="2"/>
  <c r="D2447" i="2"/>
  <c r="C2447" i="2"/>
  <c r="A2447" i="2"/>
  <c r="E2446" i="2"/>
  <c r="D2446" i="2"/>
  <c r="C2446" i="2"/>
  <c r="A2446" i="2"/>
  <c r="E2445" i="2"/>
  <c r="D2445" i="2"/>
  <c r="C2445" i="2"/>
  <c r="A2445" i="2"/>
  <c r="E2444" i="2"/>
  <c r="D2444" i="2"/>
  <c r="C2444" i="2"/>
  <c r="A2444" i="2"/>
  <c r="E2443" i="2"/>
  <c r="D2443" i="2"/>
  <c r="C2443" i="2"/>
  <c r="A2443" i="2"/>
  <c r="E2442" i="2"/>
  <c r="D2442" i="2"/>
  <c r="C2442" i="2"/>
  <c r="A2442" i="2"/>
  <c r="E2441" i="2"/>
  <c r="D2441" i="2"/>
  <c r="C2441" i="2"/>
  <c r="A2441" i="2"/>
  <c r="E2440" i="2"/>
  <c r="D2440" i="2"/>
  <c r="C2440" i="2"/>
  <c r="A2440" i="2"/>
  <c r="E2439" i="2"/>
  <c r="D2439" i="2"/>
  <c r="C2439" i="2"/>
  <c r="A2439" i="2"/>
  <c r="E2438" i="2"/>
  <c r="D2438" i="2"/>
  <c r="C2438" i="2"/>
  <c r="A2438" i="2"/>
  <c r="E2437" i="2"/>
  <c r="D2437" i="2"/>
  <c r="C2437" i="2"/>
  <c r="A2437" i="2"/>
  <c r="E2436" i="2"/>
  <c r="D2436" i="2"/>
  <c r="C2436" i="2"/>
  <c r="A2436" i="2"/>
  <c r="E2435" i="2"/>
  <c r="D2435" i="2"/>
  <c r="C2435" i="2"/>
  <c r="A2435" i="2"/>
  <c r="E2434" i="2"/>
  <c r="D2434" i="2"/>
  <c r="C2434" i="2"/>
  <c r="A2434" i="2"/>
  <c r="E2433" i="2"/>
  <c r="D2433" i="2"/>
  <c r="C2433" i="2"/>
  <c r="A2433" i="2"/>
  <c r="E2432" i="2"/>
  <c r="D2432" i="2"/>
  <c r="C2432" i="2"/>
  <c r="A2432" i="2"/>
  <c r="E2431" i="2"/>
  <c r="D2431" i="2"/>
  <c r="C2431" i="2"/>
  <c r="A2431" i="2"/>
  <c r="E2430" i="2"/>
  <c r="D2430" i="2"/>
  <c r="C2430" i="2"/>
  <c r="A2430" i="2"/>
  <c r="E2429" i="2"/>
  <c r="D2429" i="2"/>
  <c r="C2429" i="2"/>
  <c r="A2429" i="2"/>
  <c r="E2428" i="2"/>
  <c r="D2428" i="2"/>
  <c r="C2428" i="2"/>
  <c r="A2428" i="2"/>
  <c r="E2427" i="2"/>
  <c r="D2427" i="2"/>
  <c r="C2427" i="2"/>
  <c r="A2427" i="2"/>
  <c r="E2426" i="2"/>
  <c r="D2426" i="2"/>
  <c r="C2426" i="2"/>
  <c r="A2426" i="2"/>
  <c r="E2425" i="2"/>
  <c r="D2425" i="2"/>
  <c r="C2425" i="2"/>
  <c r="A2425" i="2"/>
  <c r="E2424" i="2"/>
  <c r="D2424" i="2"/>
  <c r="C2424" i="2"/>
  <c r="A2424" i="2"/>
  <c r="E2423" i="2"/>
  <c r="D2423" i="2"/>
  <c r="C2423" i="2"/>
  <c r="A2423" i="2"/>
  <c r="E2422" i="2"/>
  <c r="D2422" i="2"/>
  <c r="C2422" i="2"/>
  <c r="A2422" i="2"/>
  <c r="E2421" i="2"/>
  <c r="D2421" i="2"/>
  <c r="C2421" i="2"/>
  <c r="A2421" i="2"/>
  <c r="E2420" i="2"/>
  <c r="D2420" i="2"/>
  <c r="C2420" i="2"/>
  <c r="A2420" i="2"/>
  <c r="E2419" i="2"/>
  <c r="D2419" i="2"/>
  <c r="C2419" i="2"/>
  <c r="A2419" i="2"/>
  <c r="E2418" i="2"/>
  <c r="D2418" i="2"/>
  <c r="C2418" i="2"/>
  <c r="A2418" i="2"/>
  <c r="E2417" i="2"/>
  <c r="D2417" i="2"/>
  <c r="C2417" i="2"/>
  <c r="A2417" i="2"/>
  <c r="E2416" i="2"/>
  <c r="D2416" i="2"/>
  <c r="C2416" i="2"/>
  <c r="A2416" i="2"/>
  <c r="E2415" i="2"/>
  <c r="D2415" i="2"/>
  <c r="C2415" i="2"/>
  <c r="A2415" i="2"/>
  <c r="E2414" i="2"/>
  <c r="D2414" i="2"/>
  <c r="C2414" i="2"/>
  <c r="A2414" i="2"/>
  <c r="E2412" i="2"/>
  <c r="D2412" i="2"/>
  <c r="C2412" i="2"/>
  <c r="A2412" i="2"/>
  <c r="E2411" i="2"/>
  <c r="D2411" i="2"/>
  <c r="C2411" i="2"/>
  <c r="A2411" i="2"/>
  <c r="E2410" i="2"/>
  <c r="D2410" i="2"/>
  <c r="C2410" i="2"/>
  <c r="A2410" i="2"/>
  <c r="E2409" i="2"/>
  <c r="D2409" i="2"/>
  <c r="C2409" i="2"/>
  <c r="A2409" i="2"/>
  <c r="E2408" i="2"/>
  <c r="D2408" i="2"/>
  <c r="C2408" i="2"/>
  <c r="A2408" i="2"/>
  <c r="E2407" i="2"/>
  <c r="D2407" i="2"/>
  <c r="C2407" i="2"/>
  <c r="A2407" i="2"/>
  <c r="E2406" i="2"/>
  <c r="D2406" i="2"/>
  <c r="C2406" i="2"/>
  <c r="A2406" i="2"/>
  <c r="E2405" i="2"/>
  <c r="D2405" i="2"/>
  <c r="C2405" i="2"/>
  <c r="A2405" i="2"/>
  <c r="E2404" i="2"/>
  <c r="D2404" i="2"/>
  <c r="C2404" i="2"/>
  <c r="A2404" i="2"/>
  <c r="E2403" i="2"/>
  <c r="D2403" i="2"/>
  <c r="C2403" i="2"/>
  <c r="A2403" i="2"/>
  <c r="E2402" i="2"/>
  <c r="D2402" i="2"/>
  <c r="C2402" i="2"/>
  <c r="A2402" i="2"/>
  <c r="E2401" i="2"/>
  <c r="D2401" i="2"/>
  <c r="C2401" i="2"/>
  <c r="A2401" i="2"/>
  <c r="E2400" i="2"/>
  <c r="D2400" i="2"/>
  <c r="C2400" i="2"/>
  <c r="A2400" i="2"/>
  <c r="E2399" i="2"/>
  <c r="D2399" i="2"/>
  <c r="C2399" i="2"/>
  <c r="A2399" i="2"/>
  <c r="E2398" i="2"/>
  <c r="D2398" i="2"/>
  <c r="C2398" i="2"/>
  <c r="A2398" i="2"/>
  <c r="E2397" i="2"/>
  <c r="D2397" i="2"/>
  <c r="C2397" i="2"/>
  <c r="A2397" i="2"/>
  <c r="E2396" i="2"/>
  <c r="D2396" i="2"/>
  <c r="C2396" i="2"/>
  <c r="A2396" i="2"/>
  <c r="E2395" i="2"/>
  <c r="D2395" i="2"/>
  <c r="C2395" i="2"/>
  <c r="A2395" i="2"/>
  <c r="E2394" i="2"/>
  <c r="D2394" i="2"/>
  <c r="C2394" i="2"/>
  <c r="A2394" i="2"/>
  <c r="E2393" i="2"/>
  <c r="D2393" i="2"/>
  <c r="C2393" i="2"/>
  <c r="A2393" i="2"/>
  <c r="E2392" i="2"/>
  <c r="D2392" i="2"/>
  <c r="C2392" i="2"/>
  <c r="A2392" i="2"/>
  <c r="E2391" i="2"/>
  <c r="D2391" i="2"/>
  <c r="C2391" i="2"/>
  <c r="A2391" i="2"/>
  <c r="E2390" i="2"/>
  <c r="D2390" i="2"/>
  <c r="C2390" i="2"/>
  <c r="A2390" i="2"/>
  <c r="E2388" i="2"/>
  <c r="D2388" i="2"/>
  <c r="C2388" i="2"/>
  <c r="A2388" i="2"/>
  <c r="E2387" i="2"/>
  <c r="D2387" i="2"/>
  <c r="C2387" i="2"/>
  <c r="A2387" i="2"/>
  <c r="E2386" i="2"/>
  <c r="D2386" i="2"/>
  <c r="C2386" i="2"/>
  <c r="A2386" i="2"/>
  <c r="E2385" i="2"/>
  <c r="D2385" i="2"/>
  <c r="C2385" i="2"/>
  <c r="A2385" i="2"/>
  <c r="E2384" i="2"/>
  <c r="D2384" i="2"/>
  <c r="C2384" i="2"/>
  <c r="A2384" i="2"/>
  <c r="E2383" i="2"/>
  <c r="D2383" i="2"/>
  <c r="C2383" i="2"/>
  <c r="A2383" i="2"/>
  <c r="E2382" i="2"/>
  <c r="D2382" i="2"/>
  <c r="C2382" i="2"/>
  <c r="A2382" i="2"/>
  <c r="E2381" i="2"/>
  <c r="D2381" i="2"/>
  <c r="C2381" i="2"/>
  <c r="A2381" i="2"/>
  <c r="E2380" i="2"/>
  <c r="D2380" i="2"/>
  <c r="C2380" i="2"/>
  <c r="A2380" i="2"/>
  <c r="E2379" i="2"/>
  <c r="D2379" i="2"/>
  <c r="C2379" i="2"/>
  <c r="A2379" i="2"/>
  <c r="E2378" i="2"/>
  <c r="D2378" i="2"/>
  <c r="C2378" i="2"/>
  <c r="A2378" i="2"/>
  <c r="E2377" i="2"/>
  <c r="D2377" i="2"/>
  <c r="C2377" i="2"/>
  <c r="A2377" i="2"/>
  <c r="E2376" i="2"/>
  <c r="D2376" i="2"/>
  <c r="C2376" i="2"/>
  <c r="A2376" i="2"/>
  <c r="E2375" i="2"/>
  <c r="D2375" i="2"/>
  <c r="C2375" i="2"/>
  <c r="A2375" i="2"/>
  <c r="E2374" i="2"/>
  <c r="D2374" i="2"/>
  <c r="C2374" i="2"/>
  <c r="A2374" i="2"/>
  <c r="E2373" i="2"/>
  <c r="D2373" i="2"/>
  <c r="C2373" i="2"/>
  <c r="A2373" i="2"/>
  <c r="E2372" i="2"/>
  <c r="D2372" i="2"/>
  <c r="C2372" i="2"/>
  <c r="A2372" i="2"/>
  <c r="E2371" i="2"/>
  <c r="D2371" i="2"/>
  <c r="C2371" i="2"/>
  <c r="A2371" i="2"/>
  <c r="E2370" i="2"/>
  <c r="D2370" i="2"/>
  <c r="C2370" i="2"/>
  <c r="A2370" i="2"/>
  <c r="E2369" i="2"/>
  <c r="D2369" i="2"/>
  <c r="C2369" i="2"/>
  <c r="A2369" i="2"/>
  <c r="E2368" i="2"/>
  <c r="D2368" i="2"/>
  <c r="C2368" i="2"/>
  <c r="A2368" i="2"/>
  <c r="E2367" i="2"/>
  <c r="D2367" i="2"/>
  <c r="C2367" i="2"/>
  <c r="A2367" i="2"/>
  <c r="E2366" i="2"/>
  <c r="D2366" i="2"/>
  <c r="C2366" i="2"/>
  <c r="A2366" i="2"/>
  <c r="E2365" i="2"/>
  <c r="D2365" i="2"/>
  <c r="C2365" i="2"/>
  <c r="A2365" i="2"/>
  <c r="E2364" i="2"/>
  <c r="D2364" i="2"/>
  <c r="C2364" i="2"/>
  <c r="A2364" i="2"/>
  <c r="E2363" i="2"/>
  <c r="D2363" i="2"/>
  <c r="C2363" i="2"/>
  <c r="A2363" i="2"/>
  <c r="E2362" i="2"/>
  <c r="D2362" i="2"/>
  <c r="C2362" i="2"/>
  <c r="A2362" i="2"/>
  <c r="E2361" i="2"/>
  <c r="D2361" i="2"/>
  <c r="C2361" i="2"/>
  <c r="A2361" i="2"/>
  <c r="E2360" i="2"/>
  <c r="D2360" i="2"/>
  <c r="C2360" i="2"/>
  <c r="A2360" i="2"/>
  <c r="E2359" i="2"/>
  <c r="D2359" i="2"/>
  <c r="C2359" i="2"/>
  <c r="A2359" i="2"/>
  <c r="E2358" i="2"/>
  <c r="D2358" i="2"/>
  <c r="C2358" i="2"/>
  <c r="A2358" i="2"/>
  <c r="E2357" i="2"/>
  <c r="D2357" i="2"/>
  <c r="C2357" i="2"/>
  <c r="A2357" i="2"/>
  <c r="E2356" i="2"/>
  <c r="D2356" i="2"/>
  <c r="C2356" i="2"/>
  <c r="A2356" i="2"/>
  <c r="E2355" i="2"/>
  <c r="D2355" i="2"/>
  <c r="C2355" i="2"/>
  <c r="A2355" i="2"/>
  <c r="E2354" i="2"/>
  <c r="D2354" i="2"/>
  <c r="C2354" i="2"/>
  <c r="A2354" i="2"/>
  <c r="E2353" i="2"/>
  <c r="D2353" i="2"/>
  <c r="C2353" i="2"/>
  <c r="A2353" i="2"/>
  <c r="E2352" i="2"/>
  <c r="D2352" i="2"/>
  <c r="C2352" i="2"/>
  <c r="A2352" i="2"/>
  <c r="E2351" i="2"/>
  <c r="D2351" i="2"/>
  <c r="C2351" i="2"/>
  <c r="A2351" i="2"/>
  <c r="E2350" i="2"/>
  <c r="D2350" i="2"/>
  <c r="C2350" i="2"/>
  <c r="A2350" i="2"/>
  <c r="E2349" i="2"/>
  <c r="D2349" i="2"/>
  <c r="C2349" i="2"/>
  <c r="A2349" i="2"/>
  <c r="E2348" i="2"/>
  <c r="D2348" i="2"/>
  <c r="C2348" i="2"/>
  <c r="A2348" i="2"/>
  <c r="E2347" i="2"/>
  <c r="D2347" i="2"/>
  <c r="C2347" i="2"/>
  <c r="A2347" i="2"/>
  <c r="E2346" i="2"/>
  <c r="D2346" i="2"/>
  <c r="C2346" i="2"/>
  <c r="A2346" i="2"/>
  <c r="E2345" i="2"/>
  <c r="D2345" i="2"/>
  <c r="C2345" i="2"/>
  <c r="A2345" i="2"/>
  <c r="E2344" i="2"/>
  <c r="D2344" i="2"/>
  <c r="C2344" i="2"/>
  <c r="A2344" i="2"/>
  <c r="E2343" i="2"/>
  <c r="D2343" i="2"/>
  <c r="C2343" i="2"/>
  <c r="A2343" i="2"/>
  <c r="E2342" i="2"/>
  <c r="D2342" i="2"/>
  <c r="C2342" i="2"/>
  <c r="A2342" i="2"/>
  <c r="E2341" i="2"/>
  <c r="D2341" i="2"/>
  <c r="C2341" i="2"/>
  <c r="A2341" i="2"/>
  <c r="E2340" i="2"/>
  <c r="D2340" i="2"/>
  <c r="C2340" i="2"/>
  <c r="A2340" i="2"/>
  <c r="E2339" i="2"/>
  <c r="D2339" i="2"/>
  <c r="C2339" i="2"/>
  <c r="A2339" i="2"/>
  <c r="E2338" i="2"/>
  <c r="D2338" i="2"/>
  <c r="C2338" i="2"/>
  <c r="A2338" i="2"/>
  <c r="E2337" i="2"/>
  <c r="D2337" i="2"/>
  <c r="C2337" i="2"/>
  <c r="A2337" i="2"/>
  <c r="E2336" i="2"/>
  <c r="D2336" i="2"/>
  <c r="C2336" i="2"/>
  <c r="A2336" i="2"/>
  <c r="E2335" i="2"/>
  <c r="D2335" i="2"/>
  <c r="C2335" i="2"/>
  <c r="A2335" i="2"/>
  <c r="E2334" i="2"/>
  <c r="D2334" i="2"/>
  <c r="C2334" i="2"/>
  <c r="A2334" i="2"/>
  <c r="E2333" i="2"/>
  <c r="D2333" i="2"/>
  <c r="C2333" i="2"/>
  <c r="A2333" i="2"/>
  <c r="E2332" i="2"/>
  <c r="D2332" i="2"/>
  <c r="C2332" i="2"/>
  <c r="A2332" i="2"/>
  <c r="E2331" i="2"/>
  <c r="D2331" i="2"/>
  <c r="C2331" i="2"/>
  <c r="A2331" i="2"/>
  <c r="E2330" i="2"/>
  <c r="D2330" i="2"/>
  <c r="C2330" i="2"/>
  <c r="A2330" i="2"/>
  <c r="E2329" i="2"/>
  <c r="D2329" i="2"/>
  <c r="C2329" i="2"/>
  <c r="A2329" i="2"/>
  <c r="E2328" i="2"/>
  <c r="D2328" i="2"/>
  <c r="C2328" i="2"/>
  <c r="A2328" i="2"/>
  <c r="E2327" i="2"/>
  <c r="D2327" i="2"/>
  <c r="C2327" i="2"/>
  <c r="A2327" i="2"/>
  <c r="E2326" i="2"/>
  <c r="D2326" i="2"/>
  <c r="C2326" i="2"/>
  <c r="A2326" i="2"/>
  <c r="E2325" i="2"/>
  <c r="D2325" i="2"/>
  <c r="C2325" i="2"/>
  <c r="A2325" i="2"/>
  <c r="E2324" i="2"/>
  <c r="D2324" i="2"/>
  <c r="C2324" i="2"/>
  <c r="A2324" i="2"/>
  <c r="E2323" i="2"/>
  <c r="D2323" i="2"/>
  <c r="C2323" i="2"/>
  <c r="A2323" i="2"/>
  <c r="E2322" i="2"/>
  <c r="D2322" i="2"/>
  <c r="C2322" i="2"/>
  <c r="A2322" i="2"/>
  <c r="E2321" i="2"/>
  <c r="D2321" i="2"/>
  <c r="C2321" i="2"/>
  <c r="A2321" i="2"/>
  <c r="E2320" i="2"/>
  <c r="D2320" i="2"/>
  <c r="C2320" i="2"/>
  <c r="A2320" i="2"/>
  <c r="E2319" i="2"/>
  <c r="D2319" i="2"/>
  <c r="C2319" i="2"/>
  <c r="A2319" i="2"/>
  <c r="E2318" i="2"/>
  <c r="D2318" i="2"/>
  <c r="C2318" i="2"/>
  <c r="A2318" i="2"/>
  <c r="E2317" i="2"/>
  <c r="D2317" i="2"/>
  <c r="C2317" i="2"/>
  <c r="A2317" i="2"/>
  <c r="E2316" i="2"/>
  <c r="D2316" i="2"/>
  <c r="C2316" i="2"/>
  <c r="A2316" i="2"/>
  <c r="E2315" i="2"/>
  <c r="D2315" i="2"/>
  <c r="C2315" i="2"/>
  <c r="A2315" i="2"/>
  <c r="E2314" i="2"/>
  <c r="D2314" i="2"/>
  <c r="C2314" i="2"/>
  <c r="A2314" i="2"/>
  <c r="E2313" i="2"/>
  <c r="D2313" i="2"/>
  <c r="C2313" i="2"/>
  <c r="A2313" i="2"/>
  <c r="E2312" i="2"/>
  <c r="D2312" i="2"/>
  <c r="C2312" i="2"/>
  <c r="A2312" i="2"/>
  <c r="E2311" i="2"/>
  <c r="D2311" i="2"/>
  <c r="C2311" i="2"/>
  <c r="A2311" i="2"/>
  <c r="E2310" i="2"/>
  <c r="D2310" i="2"/>
  <c r="C2310" i="2"/>
  <c r="A2310" i="2"/>
  <c r="E2309" i="2"/>
  <c r="D2309" i="2"/>
  <c r="C2309" i="2"/>
  <c r="A2309" i="2"/>
  <c r="E2308" i="2"/>
  <c r="D2308" i="2"/>
  <c r="C2308" i="2"/>
  <c r="A2308" i="2"/>
  <c r="E2307" i="2"/>
  <c r="D2307" i="2"/>
  <c r="C2307" i="2"/>
  <c r="A2307" i="2"/>
  <c r="E2306" i="2"/>
  <c r="D2306" i="2"/>
  <c r="C2306" i="2"/>
  <c r="A2306" i="2"/>
  <c r="E2305" i="2"/>
  <c r="D2305" i="2"/>
  <c r="C2305" i="2"/>
  <c r="A2305" i="2"/>
  <c r="E2304" i="2"/>
  <c r="D2304" i="2"/>
  <c r="C2304" i="2"/>
  <c r="A2304" i="2"/>
  <c r="E2303" i="2"/>
  <c r="D2303" i="2"/>
  <c r="C2303" i="2"/>
  <c r="A2303" i="2"/>
  <c r="E2302" i="2"/>
  <c r="D2302" i="2"/>
  <c r="C2302" i="2"/>
  <c r="A2302" i="2"/>
  <c r="E2301" i="2"/>
  <c r="D2301" i="2"/>
  <c r="C2301" i="2"/>
  <c r="A2301" i="2"/>
  <c r="E2300" i="2"/>
  <c r="D2300" i="2"/>
  <c r="C2300" i="2"/>
  <c r="A2300" i="2"/>
  <c r="E2299" i="2"/>
  <c r="D2299" i="2"/>
  <c r="C2299" i="2"/>
  <c r="A2299" i="2"/>
  <c r="E2298" i="2"/>
  <c r="D2298" i="2"/>
  <c r="C2298" i="2"/>
  <c r="A2298" i="2"/>
  <c r="E2297" i="2"/>
  <c r="D2297" i="2"/>
  <c r="C2297" i="2"/>
  <c r="A2297" i="2"/>
  <c r="E2296" i="2"/>
  <c r="D2296" i="2"/>
  <c r="C2296" i="2"/>
  <c r="A2296" i="2"/>
  <c r="E2295" i="2"/>
  <c r="D2295" i="2"/>
  <c r="C2295" i="2"/>
  <c r="A2295" i="2"/>
  <c r="E2294" i="2"/>
  <c r="D2294" i="2"/>
  <c r="C2294" i="2"/>
  <c r="A2294" i="2"/>
  <c r="E2293" i="2"/>
  <c r="D2293" i="2"/>
  <c r="C2293" i="2"/>
  <c r="A2293" i="2"/>
  <c r="E2292" i="2"/>
  <c r="D2292" i="2"/>
  <c r="C2292" i="2"/>
  <c r="A2292" i="2"/>
  <c r="E2291" i="2"/>
  <c r="D2291" i="2"/>
  <c r="C2291" i="2"/>
  <c r="A2291" i="2"/>
  <c r="E2290" i="2"/>
  <c r="D2290" i="2"/>
  <c r="C2290" i="2"/>
  <c r="A2290" i="2"/>
  <c r="E2289" i="2"/>
  <c r="D2289" i="2"/>
  <c r="C2289" i="2"/>
  <c r="A2289" i="2"/>
  <c r="E2288" i="2"/>
  <c r="D2288" i="2"/>
  <c r="C2288" i="2"/>
  <c r="A2288" i="2"/>
  <c r="E2287" i="2"/>
  <c r="D2287" i="2"/>
  <c r="C2287" i="2"/>
  <c r="A2287" i="2"/>
  <c r="E2286" i="2"/>
  <c r="D2286" i="2"/>
  <c r="C2286" i="2"/>
  <c r="A2286" i="2"/>
  <c r="E2285" i="2"/>
  <c r="D2285" i="2"/>
  <c r="C2285" i="2"/>
  <c r="A2285" i="2"/>
  <c r="E2284" i="2"/>
  <c r="D2284" i="2"/>
  <c r="C2284" i="2"/>
  <c r="A2284" i="2"/>
  <c r="E2283" i="2"/>
  <c r="D2283" i="2"/>
  <c r="C2283" i="2"/>
  <c r="A2283" i="2"/>
  <c r="E2282" i="2"/>
  <c r="D2282" i="2"/>
  <c r="C2282" i="2"/>
  <c r="A2282" i="2"/>
  <c r="E2281" i="2"/>
  <c r="D2281" i="2"/>
  <c r="C2281" i="2"/>
  <c r="A2281" i="2"/>
  <c r="E2280" i="2"/>
  <c r="D2280" i="2"/>
  <c r="C2280" i="2"/>
  <c r="A2280" i="2"/>
  <c r="E2279" i="2"/>
  <c r="D2279" i="2"/>
  <c r="C2279" i="2"/>
  <c r="A2279" i="2"/>
  <c r="E2278" i="2"/>
  <c r="D2278" i="2"/>
  <c r="C2278" i="2"/>
  <c r="A2278" i="2"/>
  <c r="E2277" i="2"/>
  <c r="D2277" i="2"/>
  <c r="C2277" i="2"/>
  <c r="A2277" i="2"/>
  <c r="E2276" i="2"/>
  <c r="D2276" i="2"/>
  <c r="C2276" i="2"/>
  <c r="A2276" i="2"/>
  <c r="E2275" i="2"/>
  <c r="D2275" i="2"/>
  <c r="C2275" i="2"/>
  <c r="A2275" i="2"/>
  <c r="E2274" i="2"/>
  <c r="D2274" i="2"/>
  <c r="C2274" i="2"/>
  <c r="A2274" i="2"/>
  <c r="E2273" i="2"/>
  <c r="D2273" i="2"/>
  <c r="C2273" i="2"/>
  <c r="A2273" i="2"/>
  <c r="E2272" i="2"/>
  <c r="D2272" i="2"/>
  <c r="C2272" i="2"/>
  <c r="A2272" i="2"/>
  <c r="E2271" i="2"/>
  <c r="D2271" i="2"/>
  <c r="C2271" i="2"/>
  <c r="A2271" i="2"/>
  <c r="E2270" i="2"/>
  <c r="D2270" i="2"/>
  <c r="C2270" i="2"/>
  <c r="A2270" i="2"/>
  <c r="E2269" i="2"/>
  <c r="D2269" i="2"/>
  <c r="C2269" i="2"/>
  <c r="A2269" i="2"/>
  <c r="E2268" i="2"/>
  <c r="D2268" i="2"/>
  <c r="C2268" i="2"/>
  <c r="A2268" i="2"/>
  <c r="E2267" i="2"/>
  <c r="D2267" i="2"/>
  <c r="C2267" i="2"/>
  <c r="A2267" i="2"/>
  <c r="E2266" i="2"/>
  <c r="D2266" i="2"/>
  <c r="C2266" i="2"/>
  <c r="A2266" i="2"/>
  <c r="E2265" i="2"/>
  <c r="D2265" i="2"/>
  <c r="C2265" i="2"/>
  <c r="A2265" i="2"/>
  <c r="E2264" i="2"/>
  <c r="D2264" i="2"/>
  <c r="C2264" i="2"/>
  <c r="A2264" i="2"/>
  <c r="E2263" i="2"/>
  <c r="D2263" i="2"/>
  <c r="C2263" i="2"/>
  <c r="A2263" i="2"/>
  <c r="E2262" i="2"/>
  <c r="D2262" i="2"/>
  <c r="C2262" i="2"/>
  <c r="A2262" i="2"/>
  <c r="E2261" i="2"/>
  <c r="D2261" i="2"/>
  <c r="C2261" i="2"/>
  <c r="A2261" i="2"/>
  <c r="E2260" i="2"/>
  <c r="D2260" i="2"/>
  <c r="C2260" i="2"/>
  <c r="A2260" i="2"/>
  <c r="E2259" i="2"/>
  <c r="D2259" i="2"/>
  <c r="C2259" i="2"/>
  <c r="A2259" i="2"/>
  <c r="E2258" i="2"/>
  <c r="D2258" i="2"/>
  <c r="C2258" i="2"/>
  <c r="A2258" i="2"/>
  <c r="E2257" i="2"/>
  <c r="D2257" i="2"/>
  <c r="C2257" i="2"/>
  <c r="A2257" i="2"/>
  <c r="E2256" i="2"/>
  <c r="D2256" i="2"/>
  <c r="C2256" i="2"/>
  <c r="A2256" i="2"/>
  <c r="E2255" i="2"/>
  <c r="D2255" i="2"/>
  <c r="C2255" i="2"/>
  <c r="A2255" i="2"/>
  <c r="E2254" i="2"/>
  <c r="D2254" i="2"/>
  <c r="C2254" i="2"/>
  <c r="A2254" i="2"/>
  <c r="E2253" i="2"/>
  <c r="D2253" i="2"/>
  <c r="C2253" i="2"/>
  <c r="A2253" i="2"/>
  <c r="E2252" i="2"/>
  <c r="D2252" i="2"/>
  <c r="C2252" i="2"/>
  <c r="A2252" i="2"/>
  <c r="E2251" i="2"/>
  <c r="D2251" i="2"/>
  <c r="C2251" i="2"/>
  <c r="A2251" i="2"/>
  <c r="E2250" i="2"/>
  <c r="D2250" i="2"/>
  <c r="C2250" i="2"/>
  <c r="A2250" i="2"/>
  <c r="E2249" i="2"/>
  <c r="D2249" i="2"/>
  <c r="C2249" i="2"/>
  <c r="A2249" i="2"/>
  <c r="E2248" i="2"/>
  <c r="D2248" i="2"/>
  <c r="C2248" i="2"/>
  <c r="A2248" i="2"/>
  <c r="E2247" i="2"/>
  <c r="D2247" i="2"/>
  <c r="C2247" i="2"/>
  <c r="A2247" i="2"/>
  <c r="E2246" i="2"/>
  <c r="D2246" i="2"/>
  <c r="C2246" i="2"/>
  <c r="A2246" i="2"/>
  <c r="E2245" i="2"/>
  <c r="D2245" i="2"/>
  <c r="C2245" i="2"/>
  <c r="A2245" i="2"/>
  <c r="E2244" i="2"/>
  <c r="D2244" i="2"/>
  <c r="C2244" i="2"/>
  <c r="A2244" i="2"/>
  <c r="E2243" i="2"/>
  <c r="D2243" i="2"/>
  <c r="C2243" i="2"/>
  <c r="A2243" i="2"/>
  <c r="E2242" i="2"/>
  <c r="D2242" i="2"/>
  <c r="C2242" i="2"/>
  <c r="A2242" i="2"/>
  <c r="E2241" i="2"/>
  <c r="D2241" i="2"/>
  <c r="C2241" i="2"/>
  <c r="A2241" i="2"/>
  <c r="E2240" i="2"/>
  <c r="D2240" i="2"/>
  <c r="C2240" i="2"/>
  <c r="A2240" i="2"/>
  <c r="E2239" i="2"/>
  <c r="D2239" i="2"/>
  <c r="C2239" i="2"/>
  <c r="A2239" i="2"/>
  <c r="E2238" i="2"/>
  <c r="D2238" i="2"/>
  <c r="C2238" i="2"/>
  <c r="A2238" i="2"/>
  <c r="E2237" i="2"/>
  <c r="D2237" i="2"/>
  <c r="C2237" i="2"/>
  <c r="A2237" i="2"/>
  <c r="E2236" i="2"/>
  <c r="D2236" i="2"/>
  <c r="C2236" i="2"/>
  <c r="A2236" i="2"/>
  <c r="E2235" i="2"/>
  <c r="D2235" i="2"/>
  <c r="C2235" i="2"/>
  <c r="A2235" i="2"/>
  <c r="E2234" i="2"/>
  <c r="D2234" i="2"/>
  <c r="C2234" i="2"/>
  <c r="A2234" i="2"/>
  <c r="E2233" i="2"/>
  <c r="D2233" i="2"/>
  <c r="C2233" i="2"/>
  <c r="A2233" i="2"/>
  <c r="E2232" i="2"/>
  <c r="D2232" i="2"/>
  <c r="C2232" i="2"/>
  <c r="A2232" i="2"/>
  <c r="E2231" i="2"/>
  <c r="D2231" i="2"/>
  <c r="C2231" i="2"/>
  <c r="A2231" i="2"/>
  <c r="E2230" i="2"/>
  <c r="D2230" i="2"/>
  <c r="C2230" i="2"/>
  <c r="A2230" i="2"/>
  <c r="E2229" i="2"/>
  <c r="D2229" i="2"/>
  <c r="C2229" i="2"/>
  <c r="A2229" i="2"/>
  <c r="E2228" i="2"/>
  <c r="D2228" i="2"/>
  <c r="C2228" i="2"/>
  <c r="A2228" i="2"/>
  <c r="E2227" i="2"/>
  <c r="D2227" i="2"/>
  <c r="C2227" i="2"/>
  <c r="A2227" i="2"/>
  <c r="E2226" i="2"/>
  <c r="D2226" i="2"/>
  <c r="C2226" i="2"/>
  <c r="A2226" i="2"/>
  <c r="E2225" i="2"/>
  <c r="D2225" i="2"/>
  <c r="C2225" i="2"/>
  <c r="A2225" i="2"/>
  <c r="E2224" i="2"/>
  <c r="D2224" i="2"/>
  <c r="C2224" i="2"/>
  <c r="A2224" i="2"/>
  <c r="E2223" i="2"/>
  <c r="D2223" i="2"/>
  <c r="C2223" i="2"/>
  <c r="A2223" i="2"/>
  <c r="E2222" i="2"/>
  <c r="D2222" i="2"/>
  <c r="C2222" i="2"/>
  <c r="A2222" i="2"/>
  <c r="E2221" i="2"/>
  <c r="D2221" i="2"/>
  <c r="C2221" i="2"/>
  <c r="A2221" i="2"/>
  <c r="E2220" i="2"/>
  <c r="D2220" i="2"/>
  <c r="C2220" i="2"/>
  <c r="A2220" i="2"/>
  <c r="E2219" i="2"/>
  <c r="D2219" i="2"/>
  <c r="C2219" i="2"/>
  <c r="A2219" i="2"/>
  <c r="E2218" i="2"/>
  <c r="D2218" i="2"/>
  <c r="C2218" i="2"/>
  <c r="A2218" i="2"/>
  <c r="E2217" i="2"/>
  <c r="D2217" i="2"/>
  <c r="C2217" i="2"/>
  <c r="A2217" i="2"/>
  <c r="E2216" i="2"/>
  <c r="D2216" i="2"/>
  <c r="C2216" i="2"/>
  <c r="A2216" i="2"/>
  <c r="E2215" i="2"/>
  <c r="D2215" i="2"/>
  <c r="C2215" i="2"/>
  <c r="A2215" i="2"/>
  <c r="E2214" i="2"/>
  <c r="D2214" i="2"/>
  <c r="C2214" i="2"/>
  <c r="A2214" i="2"/>
  <c r="E2213" i="2"/>
  <c r="D2213" i="2"/>
  <c r="C2213" i="2"/>
  <c r="A2213" i="2"/>
  <c r="E2212" i="2"/>
  <c r="D2212" i="2"/>
  <c r="C2212" i="2"/>
  <c r="A2212" i="2"/>
  <c r="E2211" i="2"/>
  <c r="D2211" i="2"/>
  <c r="C2211" i="2"/>
  <c r="A2211" i="2"/>
  <c r="E2210" i="2"/>
  <c r="D2210" i="2"/>
  <c r="C2210" i="2"/>
  <c r="A2210" i="2"/>
  <c r="E2209" i="2"/>
  <c r="D2209" i="2"/>
  <c r="C2209" i="2"/>
  <c r="A2209" i="2"/>
  <c r="E2208" i="2"/>
  <c r="D2208" i="2"/>
  <c r="C2208" i="2"/>
  <c r="A2208" i="2"/>
  <c r="E2207" i="2"/>
  <c r="D2207" i="2"/>
  <c r="C2207" i="2"/>
  <c r="A2207" i="2"/>
  <c r="E2206" i="2"/>
  <c r="D2206" i="2"/>
  <c r="C2206" i="2"/>
  <c r="A2206" i="2"/>
  <c r="E2205" i="2"/>
  <c r="D2205" i="2"/>
  <c r="C2205" i="2"/>
  <c r="A2205" i="2"/>
  <c r="E2204" i="2"/>
  <c r="D2204" i="2"/>
  <c r="C2204" i="2"/>
  <c r="A2204" i="2"/>
  <c r="E2203" i="2"/>
  <c r="D2203" i="2"/>
  <c r="C2203" i="2"/>
  <c r="A2203" i="2"/>
  <c r="E2202" i="2"/>
  <c r="D2202" i="2"/>
  <c r="C2202" i="2"/>
  <c r="A2202" i="2"/>
  <c r="E2201" i="2"/>
  <c r="D2201" i="2"/>
  <c r="C2201" i="2"/>
  <c r="A2201" i="2"/>
  <c r="E2200" i="2"/>
  <c r="D2200" i="2"/>
  <c r="C2200" i="2"/>
  <c r="A2200" i="2"/>
  <c r="E2199" i="2"/>
  <c r="D2199" i="2"/>
  <c r="C2199" i="2"/>
  <c r="A2199" i="2"/>
  <c r="E2198" i="2"/>
  <c r="D2198" i="2"/>
  <c r="C2198" i="2"/>
  <c r="A2198" i="2"/>
  <c r="E2197" i="2"/>
  <c r="D2197" i="2"/>
  <c r="C2197" i="2"/>
  <c r="A2197" i="2"/>
  <c r="E2196" i="2"/>
  <c r="D2196" i="2"/>
  <c r="C2196" i="2"/>
  <c r="A2196" i="2"/>
  <c r="E2195" i="2"/>
  <c r="D2195" i="2"/>
  <c r="C2195" i="2"/>
  <c r="A2195" i="2"/>
  <c r="E2194" i="2"/>
  <c r="D2194" i="2"/>
  <c r="C2194" i="2"/>
  <c r="A2194" i="2"/>
  <c r="E2193" i="2"/>
  <c r="D2193" i="2"/>
  <c r="C2193" i="2"/>
  <c r="A2193" i="2"/>
  <c r="E2192" i="2"/>
  <c r="D2192" i="2"/>
  <c r="C2192" i="2"/>
  <c r="A2192" i="2"/>
  <c r="E2191" i="2"/>
  <c r="D2191" i="2"/>
  <c r="C2191" i="2"/>
  <c r="A2191" i="2"/>
  <c r="E2190" i="2"/>
  <c r="D2190" i="2"/>
  <c r="C2190" i="2"/>
  <c r="A2190" i="2"/>
  <c r="E2189" i="2"/>
  <c r="D2189" i="2"/>
  <c r="C2189" i="2"/>
  <c r="A2189" i="2"/>
  <c r="E2188" i="2"/>
  <c r="D2188" i="2"/>
  <c r="C2188" i="2"/>
  <c r="A2188" i="2"/>
  <c r="E2187" i="2"/>
  <c r="D2187" i="2"/>
  <c r="C2187" i="2"/>
  <c r="A2187" i="2"/>
  <c r="E2186" i="2"/>
  <c r="D2186" i="2"/>
  <c r="C2186" i="2"/>
  <c r="A2186" i="2"/>
  <c r="E2185" i="2"/>
  <c r="D2185" i="2"/>
  <c r="C2185" i="2"/>
  <c r="A2185" i="2"/>
  <c r="E2184" i="2"/>
  <c r="D2184" i="2"/>
  <c r="C2184" i="2"/>
  <c r="A2184" i="2"/>
  <c r="E2183" i="2"/>
  <c r="D2183" i="2"/>
  <c r="C2183" i="2"/>
  <c r="A2183" i="2"/>
  <c r="E2182" i="2"/>
  <c r="D2182" i="2"/>
  <c r="C2182" i="2"/>
  <c r="A2182" i="2"/>
  <c r="E2181" i="2"/>
  <c r="D2181" i="2"/>
  <c r="C2181" i="2"/>
  <c r="A2181" i="2"/>
  <c r="E2180" i="2"/>
  <c r="D2180" i="2"/>
  <c r="C2180" i="2"/>
  <c r="A2180" i="2"/>
  <c r="E2179" i="2"/>
  <c r="D2179" i="2"/>
  <c r="C2179" i="2"/>
  <c r="A2179" i="2"/>
  <c r="E2178" i="2"/>
  <c r="D2178" i="2"/>
  <c r="C2178" i="2"/>
  <c r="A2178" i="2"/>
  <c r="E2177" i="2"/>
  <c r="D2177" i="2"/>
  <c r="C2177" i="2"/>
  <c r="A2177" i="2"/>
  <c r="E2176" i="2"/>
  <c r="D2176" i="2"/>
  <c r="C2176" i="2"/>
  <c r="A2176" i="2"/>
  <c r="E2175" i="2"/>
  <c r="D2175" i="2"/>
  <c r="C2175" i="2"/>
  <c r="A2175" i="2"/>
  <c r="E2174" i="2"/>
  <c r="D2174" i="2"/>
  <c r="C2174" i="2"/>
  <c r="A2174" i="2"/>
  <c r="E2173" i="2"/>
  <c r="D2173" i="2"/>
  <c r="C2173" i="2"/>
  <c r="A2173" i="2"/>
  <c r="E2172" i="2"/>
  <c r="D2172" i="2"/>
  <c r="C2172" i="2"/>
  <c r="A2172" i="2"/>
  <c r="E2171" i="2"/>
  <c r="D2171" i="2"/>
  <c r="C2171" i="2"/>
  <c r="A2171" i="2"/>
  <c r="E2170" i="2"/>
  <c r="D2170" i="2"/>
  <c r="C2170" i="2"/>
  <c r="A2170" i="2"/>
  <c r="E2169" i="2"/>
  <c r="D2169" i="2"/>
  <c r="C2169" i="2"/>
  <c r="A2169" i="2"/>
  <c r="E2168" i="2"/>
  <c r="D2168" i="2"/>
  <c r="C2168" i="2"/>
  <c r="A2168" i="2"/>
  <c r="E2167" i="2"/>
  <c r="D2167" i="2"/>
  <c r="C2167" i="2"/>
  <c r="A2167" i="2"/>
  <c r="E2166" i="2"/>
  <c r="D2166" i="2"/>
  <c r="C2166" i="2"/>
  <c r="A2166" i="2"/>
  <c r="E2165" i="2"/>
  <c r="D2165" i="2"/>
  <c r="C2165" i="2"/>
  <c r="A2165" i="2"/>
  <c r="E2164" i="2"/>
  <c r="D2164" i="2"/>
  <c r="C2164" i="2"/>
  <c r="A2164" i="2"/>
  <c r="E2163" i="2"/>
  <c r="D2163" i="2"/>
  <c r="C2163" i="2"/>
  <c r="A2163" i="2"/>
  <c r="E2162" i="2"/>
  <c r="D2162" i="2"/>
  <c r="C2162" i="2"/>
  <c r="A2162" i="2"/>
  <c r="E2161" i="2"/>
  <c r="D2161" i="2"/>
  <c r="C2161" i="2"/>
  <c r="A2161" i="2"/>
  <c r="E2160" i="2"/>
  <c r="D2160" i="2"/>
  <c r="C2160" i="2"/>
  <c r="A2160" i="2"/>
  <c r="E2159" i="2"/>
  <c r="D2159" i="2"/>
  <c r="C2159" i="2"/>
  <c r="A2159" i="2"/>
  <c r="E2158" i="2"/>
  <c r="D2158" i="2"/>
  <c r="C2158" i="2"/>
  <c r="A2158" i="2"/>
  <c r="E2157" i="2"/>
  <c r="D2157" i="2"/>
  <c r="C2157" i="2"/>
  <c r="A2157" i="2"/>
  <c r="E2156" i="2"/>
  <c r="D2156" i="2"/>
  <c r="C2156" i="2"/>
  <c r="A2156" i="2"/>
  <c r="E2155" i="2"/>
  <c r="D2155" i="2"/>
  <c r="C2155" i="2"/>
  <c r="A2155" i="2"/>
  <c r="E2154" i="2"/>
  <c r="D2154" i="2"/>
  <c r="C2154" i="2"/>
  <c r="A2154" i="2"/>
  <c r="E2153" i="2"/>
  <c r="D2153" i="2"/>
  <c r="C2153" i="2"/>
  <c r="A2153" i="2"/>
  <c r="E2152" i="2"/>
  <c r="D2152" i="2"/>
  <c r="C2152" i="2"/>
  <c r="A2152" i="2"/>
  <c r="E2151" i="2"/>
  <c r="D2151" i="2"/>
  <c r="C2151" i="2"/>
  <c r="A2151" i="2"/>
  <c r="E2150" i="2"/>
  <c r="D2150" i="2"/>
  <c r="C2150" i="2"/>
  <c r="A2150" i="2"/>
  <c r="E2149" i="2"/>
  <c r="D2149" i="2"/>
  <c r="C2149" i="2"/>
  <c r="A2149" i="2"/>
  <c r="E2148" i="2"/>
  <c r="D2148" i="2"/>
  <c r="C2148" i="2"/>
  <c r="A2148" i="2"/>
  <c r="E2147" i="2"/>
  <c r="D2147" i="2"/>
  <c r="C2147" i="2"/>
  <c r="A2147" i="2"/>
  <c r="E2146" i="2"/>
  <c r="D2146" i="2"/>
  <c r="C2146" i="2"/>
  <c r="A2146" i="2"/>
  <c r="E2145" i="2"/>
  <c r="D2145" i="2"/>
  <c r="C2145" i="2"/>
  <c r="A2145" i="2"/>
  <c r="E2144" i="2"/>
  <c r="D2144" i="2"/>
  <c r="C2144" i="2"/>
  <c r="A2144" i="2"/>
  <c r="E2143" i="2"/>
  <c r="D2143" i="2"/>
  <c r="C2143" i="2"/>
  <c r="A2143" i="2"/>
  <c r="E2142" i="2"/>
  <c r="D2142" i="2"/>
  <c r="C2142" i="2"/>
  <c r="A2142" i="2"/>
  <c r="E2141" i="2"/>
  <c r="D2141" i="2"/>
  <c r="C2141" i="2"/>
  <c r="A2141" i="2"/>
  <c r="E2140" i="2"/>
  <c r="D2140" i="2"/>
  <c r="C2140" i="2"/>
  <c r="A2140" i="2"/>
  <c r="E2139" i="2"/>
  <c r="D2139" i="2"/>
  <c r="C2139" i="2"/>
  <c r="A2139" i="2"/>
  <c r="E2138" i="2"/>
  <c r="D2138" i="2"/>
  <c r="C2138" i="2"/>
  <c r="A2138" i="2"/>
  <c r="E2137" i="2"/>
  <c r="D2137" i="2"/>
  <c r="C2137" i="2"/>
  <c r="A2137" i="2"/>
  <c r="E2136" i="2"/>
  <c r="D2136" i="2"/>
  <c r="C2136" i="2"/>
  <c r="A2136" i="2"/>
  <c r="E2135" i="2"/>
  <c r="D2135" i="2"/>
  <c r="C2135" i="2"/>
  <c r="A2135" i="2"/>
  <c r="E2134" i="2"/>
  <c r="D2134" i="2"/>
  <c r="C2134" i="2"/>
  <c r="A2134" i="2"/>
  <c r="E2133" i="2"/>
  <c r="D2133" i="2"/>
  <c r="C2133" i="2"/>
  <c r="A2133" i="2"/>
  <c r="E2132" i="2"/>
  <c r="D2132" i="2"/>
  <c r="C2132" i="2"/>
  <c r="A2132" i="2"/>
  <c r="E2131" i="2"/>
  <c r="D2131" i="2"/>
  <c r="C2131" i="2"/>
  <c r="A2131" i="2"/>
  <c r="E2130" i="2"/>
  <c r="D2130" i="2"/>
  <c r="C2130" i="2"/>
  <c r="A2130" i="2"/>
  <c r="E2129" i="2"/>
  <c r="D2129" i="2"/>
  <c r="C2129" i="2"/>
  <c r="A2129" i="2"/>
  <c r="E2128" i="2"/>
  <c r="D2128" i="2"/>
  <c r="C2128" i="2"/>
  <c r="A2128" i="2"/>
  <c r="E2127" i="2"/>
  <c r="D2127" i="2"/>
  <c r="C2127" i="2"/>
  <c r="A2127" i="2"/>
  <c r="E2126" i="2"/>
  <c r="D2126" i="2"/>
  <c r="C2126" i="2"/>
  <c r="A2126" i="2"/>
  <c r="E2125" i="2"/>
  <c r="D2125" i="2"/>
  <c r="C2125" i="2"/>
  <c r="A2125" i="2"/>
  <c r="E2124" i="2"/>
  <c r="D2124" i="2"/>
  <c r="C2124" i="2"/>
  <c r="A2124" i="2"/>
  <c r="E2123" i="2"/>
  <c r="D2123" i="2"/>
  <c r="C2123" i="2"/>
  <c r="A2123" i="2"/>
  <c r="E2122" i="2"/>
  <c r="D2122" i="2"/>
  <c r="C2122" i="2"/>
  <c r="A2122" i="2"/>
  <c r="E2121" i="2"/>
  <c r="D2121" i="2"/>
  <c r="C2121" i="2"/>
  <c r="A2121" i="2"/>
  <c r="E2120" i="2"/>
  <c r="D2120" i="2"/>
  <c r="C2120" i="2"/>
  <c r="A2120" i="2"/>
  <c r="E2119" i="2"/>
  <c r="D2119" i="2"/>
  <c r="C2119" i="2"/>
  <c r="A2119" i="2"/>
  <c r="E2118" i="2"/>
  <c r="D2118" i="2"/>
  <c r="C2118" i="2"/>
  <c r="A2118" i="2"/>
  <c r="E2117" i="2"/>
  <c r="D2117" i="2"/>
  <c r="C2117" i="2"/>
  <c r="A2117" i="2"/>
  <c r="E2116" i="2"/>
  <c r="D2116" i="2"/>
  <c r="C2116" i="2"/>
  <c r="A2116" i="2"/>
  <c r="E2115" i="2"/>
  <c r="D2115" i="2"/>
  <c r="C2115" i="2"/>
  <c r="A2115" i="2"/>
  <c r="E2114" i="2"/>
  <c r="D2114" i="2"/>
  <c r="C2114" i="2"/>
  <c r="A2114" i="2"/>
  <c r="E2113" i="2"/>
  <c r="D2113" i="2"/>
  <c r="C2113" i="2"/>
  <c r="A2113" i="2"/>
  <c r="E2112" i="2"/>
  <c r="D2112" i="2"/>
  <c r="C2112" i="2"/>
  <c r="A2112" i="2"/>
  <c r="E2111" i="2"/>
  <c r="D2111" i="2"/>
  <c r="C2111" i="2"/>
  <c r="A2111" i="2"/>
  <c r="E2110" i="2"/>
  <c r="D2110" i="2"/>
  <c r="C2110" i="2"/>
  <c r="A2110" i="2"/>
  <c r="E2109" i="2"/>
  <c r="D2109" i="2"/>
  <c r="C2109" i="2"/>
  <c r="A2109" i="2"/>
  <c r="E2108" i="2"/>
  <c r="D2108" i="2"/>
  <c r="C2108" i="2"/>
  <c r="A2108" i="2"/>
  <c r="E2107" i="2"/>
  <c r="D2107" i="2"/>
  <c r="C2107" i="2"/>
  <c r="A2107" i="2"/>
  <c r="E2106" i="2"/>
  <c r="D2106" i="2"/>
  <c r="C2106" i="2"/>
  <c r="A2106" i="2"/>
  <c r="E2105" i="2"/>
  <c r="D2105" i="2"/>
  <c r="C2105" i="2"/>
  <c r="A2105" i="2"/>
  <c r="E2104" i="2"/>
  <c r="D2104" i="2"/>
  <c r="C2104" i="2"/>
  <c r="A2104" i="2"/>
  <c r="E2103" i="2"/>
  <c r="D2103" i="2"/>
  <c r="C2103" i="2"/>
  <c r="A2103" i="2"/>
  <c r="E2102" i="2"/>
  <c r="D2102" i="2"/>
  <c r="C2102" i="2"/>
  <c r="A2102" i="2"/>
  <c r="E2101" i="2"/>
  <c r="D2101" i="2"/>
  <c r="C2101" i="2"/>
  <c r="A2101" i="2"/>
  <c r="E2100" i="2"/>
  <c r="D2100" i="2"/>
  <c r="C2100" i="2"/>
  <c r="A2100" i="2"/>
  <c r="E2099" i="2"/>
  <c r="D2099" i="2"/>
  <c r="C2099" i="2"/>
  <c r="A2099" i="2"/>
  <c r="E2098" i="2"/>
  <c r="D2098" i="2"/>
  <c r="C2098" i="2"/>
  <c r="A2098" i="2"/>
  <c r="E2097" i="2"/>
  <c r="D2097" i="2"/>
  <c r="C2097" i="2"/>
  <c r="A2097" i="2"/>
  <c r="E2096" i="2"/>
  <c r="D2096" i="2"/>
  <c r="C2096" i="2"/>
  <c r="A2096" i="2"/>
  <c r="E2095" i="2"/>
  <c r="D2095" i="2"/>
  <c r="C2095" i="2"/>
  <c r="A2095" i="2"/>
  <c r="E2094" i="2"/>
  <c r="D2094" i="2"/>
  <c r="C2094" i="2"/>
  <c r="A2094" i="2"/>
  <c r="E2093" i="2"/>
  <c r="D2093" i="2"/>
  <c r="C2093" i="2"/>
  <c r="A2093" i="2"/>
  <c r="E2092" i="2"/>
  <c r="D2092" i="2"/>
  <c r="C2092" i="2"/>
  <c r="A2092" i="2"/>
  <c r="E2091" i="2"/>
  <c r="D2091" i="2"/>
  <c r="C2091" i="2"/>
  <c r="A2091" i="2"/>
  <c r="E2090" i="2"/>
  <c r="D2090" i="2"/>
  <c r="C2090" i="2"/>
  <c r="A2090" i="2"/>
  <c r="E2089" i="2"/>
  <c r="D2089" i="2"/>
  <c r="C2089" i="2"/>
  <c r="A2089" i="2"/>
  <c r="E2088" i="2"/>
  <c r="D2088" i="2"/>
  <c r="C2088" i="2"/>
  <c r="A2088" i="2"/>
  <c r="E2087" i="2"/>
  <c r="D2087" i="2"/>
  <c r="C2087" i="2"/>
  <c r="A2087" i="2"/>
  <c r="E2086" i="2"/>
  <c r="D2086" i="2"/>
  <c r="C2086" i="2"/>
  <c r="A2086" i="2"/>
  <c r="E2085" i="2"/>
  <c r="D2085" i="2"/>
  <c r="C2085" i="2"/>
  <c r="A2085" i="2"/>
  <c r="E2084" i="2"/>
  <c r="D2084" i="2"/>
  <c r="C2084" i="2"/>
  <c r="A2084" i="2"/>
  <c r="E2083" i="2"/>
  <c r="D2083" i="2"/>
  <c r="C2083" i="2"/>
  <c r="A2083" i="2"/>
  <c r="E2082" i="2"/>
  <c r="D2082" i="2"/>
  <c r="C2082" i="2"/>
  <c r="A2082" i="2"/>
  <c r="E2081" i="2"/>
  <c r="D2081" i="2"/>
  <c r="C2081" i="2"/>
  <c r="A2081" i="2"/>
  <c r="E2080" i="2"/>
  <c r="D2080" i="2"/>
  <c r="C2080" i="2"/>
  <c r="A2080" i="2"/>
  <c r="E2079" i="2"/>
  <c r="D2079" i="2"/>
  <c r="C2079" i="2"/>
  <c r="A2079" i="2"/>
  <c r="E2078" i="2"/>
  <c r="D2078" i="2"/>
  <c r="C2078" i="2"/>
  <c r="A2078" i="2"/>
  <c r="E2077" i="2"/>
  <c r="D2077" i="2"/>
  <c r="C2077" i="2"/>
  <c r="A2077" i="2"/>
  <c r="E2076" i="2"/>
  <c r="D2076" i="2"/>
  <c r="C2076" i="2"/>
  <c r="A2076" i="2"/>
  <c r="E2075" i="2"/>
  <c r="D2075" i="2"/>
  <c r="C2075" i="2"/>
  <c r="A2075" i="2"/>
  <c r="E2074" i="2"/>
  <c r="D2074" i="2"/>
  <c r="C2074" i="2"/>
  <c r="A2074" i="2"/>
  <c r="E2073" i="2"/>
  <c r="D2073" i="2"/>
  <c r="C2073" i="2"/>
  <c r="A2073" i="2"/>
  <c r="E2072" i="2"/>
  <c r="D2072" i="2"/>
  <c r="C2072" i="2"/>
  <c r="A2072" i="2"/>
  <c r="E2071" i="2"/>
  <c r="D2071" i="2"/>
  <c r="C2071" i="2"/>
  <c r="A2071" i="2"/>
  <c r="E2070" i="2"/>
  <c r="D2070" i="2"/>
  <c r="C2070" i="2"/>
  <c r="A2070" i="2"/>
  <c r="E2069" i="2"/>
  <c r="D2069" i="2"/>
  <c r="C2069" i="2"/>
  <c r="A2069" i="2"/>
  <c r="E2068" i="2"/>
  <c r="D2068" i="2"/>
  <c r="C2068" i="2"/>
  <c r="A2068" i="2"/>
  <c r="E2067" i="2"/>
  <c r="D2067" i="2"/>
  <c r="C2067" i="2"/>
  <c r="A2067" i="2"/>
  <c r="E2066" i="2"/>
  <c r="D2066" i="2"/>
  <c r="C2066" i="2"/>
  <c r="A2066" i="2"/>
  <c r="E2065" i="2"/>
  <c r="D2065" i="2"/>
  <c r="C2065" i="2"/>
  <c r="A2065" i="2"/>
  <c r="E2064" i="2"/>
  <c r="D2064" i="2"/>
  <c r="C2064" i="2"/>
  <c r="A2064" i="2"/>
  <c r="E2063" i="2"/>
  <c r="D2063" i="2"/>
  <c r="C2063" i="2"/>
  <c r="A2063" i="2"/>
  <c r="E2062" i="2"/>
  <c r="D2062" i="2"/>
  <c r="C2062" i="2"/>
  <c r="A2062" i="2"/>
  <c r="E2061" i="2"/>
  <c r="D2061" i="2"/>
  <c r="C2061" i="2"/>
  <c r="A2061" i="2"/>
  <c r="E2060" i="2"/>
  <c r="D2060" i="2"/>
  <c r="C2060" i="2"/>
  <c r="A2060" i="2"/>
  <c r="E2059" i="2"/>
  <c r="D2059" i="2"/>
  <c r="C2059" i="2"/>
  <c r="A2059" i="2"/>
  <c r="E2058" i="2"/>
  <c r="D2058" i="2"/>
  <c r="C2058" i="2"/>
  <c r="A2058" i="2"/>
  <c r="E2057" i="2"/>
  <c r="D2057" i="2"/>
  <c r="C2057" i="2"/>
  <c r="A2057" i="2"/>
  <c r="E2056" i="2"/>
  <c r="D2056" i="2"/>
  <c r="C2056" i="2"/>
  <c r="A2056" i="2"/>
  <c r="E2055" i="2"/>
  <c r="D2055" i="2"/>
  <c r="C2055" i="2"/>
  <c r="A2055" i="2"/>
  <c r="E2054" i="2"/>
  <c r="D2054" i="2"/>
  <c r="C2054" i="2"/>
  <c r="A2054" i="2"/>
  <c r="E2053" i="2"/>
  <c r="D2053" i="2"/>
  <c r="C2053" i="2"/>
  <c r="A2053" i="2"/>
  <c r="E2052" i="2"/>
  <c r="D2052" i="2"/>
  <c r="C2052" i="2"/>
  <c r="A2052" i="2"/>
  <c r="E2051" i="2"/>
  <c r="D2051" i="2"/>
  <c r="C2051" i="2"/>
  <c r="A2051" i="2"/>
  <c r="E2050" i="2"/>
  <c r="D2050" i="2"/>
  <c r="C2050" i="2"/>
  <c r="A2050" i="2"/>
  <c r="E2049" i="2"/>
  <c r="D2049" i="2"/>
  <c r="C2049" i="2"/>
  <c r="A2049" i="2"/>
  <c r="E2048" i="2"/>
  <c r="D2048" i="2"/>
  <c r="C2048" i="2"/>
  <c r="A2048" i="2"/>
  <c r="E2047" i="2"/>
  <c r="D2047" i="2"/>
  <c r="C2047" i="2"/>
  <c r="A2047" i="2"/>
  <c r="E2046" i="2"/>
  <c r="D2046" i="2"/>
  <c r="C2046" i="2"/>
  <c r="A2046" i="2"/>
  <c r="E2045" i="2"/>
  <c r="D2045" i="2"/>
  <c r="C2045" i="2"/>
  <c r="A2045" i="2"/>
  <c r="E2044" i="2"/>
  <c r="D2044" i="2"/>
  <c r="C2044" i="2"/>
  <c r="A2044" i="2"/>
  <c r="E2043" i="2"/>
  <c r="D2043" i="2"/>
  <c r="C2043" i="2"/>
  <c r="A2043" i="2"/>
  <c r="E2042" i="2"/>
  <c r="D2042" i="2"/>
  <c r="C2042" i="2"/>
  <c r="A2042" i="2"/>
  <c r="E2041" i="2"/>
  <c r="D2041" i="2"/>
  <c r="C2041" i="2"/>
  <c r="A2041" i="2"/>
  <c r="E2040" i="2"/>
  <c r="D2040" i="2"/>
  <c r="C2040" i="2"/>
  <c r="A2040" i="2"/>
  <c r="E2039" i="2"/>
  <c r="D2039" i="2"/>
  <c r="C2039" i="2"/>
  <c r="A2039" i="2"/>
  <c r="E2038" i="2"/>
  <c r="D2038" i="2"/>
  <c r="C2038" i="2"/>
  <c r="A2038" i="2"/>
  <c r="E2037" i="2"/>
  <c r="D2037" i="2"/>
  <c r="C2037" i="2"/>
  <c r="A2037" i="2"/>
  <c r="E2036" i="2"/>
  <c r="D2036" i="2"/>
  <c r="C2036" i="2"/>
  <c r="A2036" i="2"/>
  <c r="E2035" i="2"/>
  <c r="D2035" i="2"/>
  <c r="C2035" i="2"/>
  <c r="A2035" i="2"/>
  <c r="E2034" i="2"/>
  <c r="D2034" i="2"/>
  <c r="C2034" i="2"/>
  <c r="A2034" i="2"/>
  <c r="E2033" i="2"/>
  <c r="D2033" i="2"/>
  <c r="C2033" i="2"/>
  <c r="A2033" i="2"/>
  <c r="E2032" i="2"/>
  <c r="D2032" i="2"/>
  <c r="C2032" i="2"/>
  <c r="A2032" i="2"/>
  <c r="E2031" i="2"/>
  <c r="D2031" i="2"/>
  <c r="C2031" i="2"/>
  <c r="A2031" i="2"/>
  <c r="E2030" i="2"/>
  <c r="D2030" i="2"/>
  <c r="C2030" i="2"/>
  <c r="A2030" i="2"/>
  <c r="E2029" i="2"/>
  <c r="D2029" i="2"/>
  <c r="C2029" i="2"/>
  <c r="A2029" i="2"/>
  <c r="E2028" i="2"/>
  <c r="D2028" i="2"/>
  <c r="C2028" i="2"/>
  <c r="A2028" i="2"/>
  <c r="E2027" i="2"/>
  <c r="D2027" i="2"/>
  <c r="C2027" i="2"/>
  <c r="A2027" i="2"/>
  <c r="E2026" i="2"/>
  <c r="D2026" i="2"/>
  <c r="C2026" i="2"/>
  <c r="A2026" i="2"/>
  <c r="E2025" i="2"/>
  <c r="D2025" i="2"/>
  <c r="C2025" i="2"/>
  <c r="A2025" i="2"/>
  <c r="E2024" i="2"/>
  <c r="D2024" i="2"/>
  <c r="C2024" i="2"/>
  <c r="A2024" i="2"/>
  <c r="E2023" i="2"/>
  <c r="D2023" i="2"/>
  <c r="C2023" i="2"/>
  <c r="A2023" i="2"/>
  <c r="E2022" i="2"/>
  <c r="D2022" i="2"/>
  <c r="C2022" i="2"/>
  <c r="A2022" i="2"/>
  <c r="E2021" i="2"/>
  <c r="D2021" i="2"/>
  <c r="C2021" i="2"/>
  <c r="A2021" i="2"/>
  <c r="E2020" i="2"/>
  <c r="D2020" i="2"/>
  <c r="C2020" i="2"/>
  <c r="A2020" i="2"/>
  <c r="E2019" i="2"/>
  <c r="D2019" i="2"/>
  <c r="C2019" i="2"/>
  <c r="A2019" i="2"/>
  <c r="E2018" i="2"/>
  <c r="D2018" i="2"/>
  <c r="C2018" i="2"/>
  <c r="A2018" i="2"/>
  <c r="E2017" i="2"/>
  <c r="D2017" i="2"/>
  <c r="C2017" i="2"/>
  <c r="A2017" i="2"/>
  <c r="E2016" i="2"/>
  <c r="D2016" i="2"/>
  <c r="C2016" i="2"/>
  <c r="A2016" i="2"/>
  <c r="E2015" i="2"/>
  <c r="D2015" i="2"/>
  <c r="C2015" i="2"/>
  <c r="A2015" i="2"/>
  <c r="E2014" i="2"/>
  <c r="D2014" i="2"/>
  <c r="C2014" i="2"/>
  <c r="A2014" i="2"/>
  <c r="E2013" i="2"/>
  <c r="D2013" i="2"/>
  <c r="C2013" i="2"/>
  <c r="A2013" i="2"/>
  <c r="E2012" i="2"/>
  <c r="D2012" i="2"/>
  <c r="C2012" i="2"/>
  <c r="A2012" i="2"/>
  <c r="E2011" i="2"/>
  <c r="D2011" i="2"/>
  <c r="C2011" i="2"/>
  <c r="A2011" i="2"/>
  <c r="E2010" i="2"/>
  <c r="D2010" i="2"/>
  <c r="C2010" i="2"/>
  <c r="A2010" i="2"/>
  <c r="E2009" i="2"/>
  <c r="D2009" i="2"/>
  <c r="C2009" i="2"/>
  <c r="A2009" i="2"/>
  <c r="E2008" i="2"/>
  <c r="D2008" i="2"/>
  <c r="C2008" i="2"/>
  <c r="A2008" i="2"/>
  <c r="E2007" i="2"/>
  <c r="D2007" i="2"/>
  <c r="C2007" i="2"/>
  <c r="A2007" i="2"/>
  <c r="E2006" i="2"/>
  <c r="D2006" i="2"/>
  <c r="C2006" i="2"/>
  <c r="A2006" i="2"/>
  <c r="E2005" i="2"/>
  <c r="D2005" i="2"/>
  <c r="C2005" i="2"/>
  <c r="A2005" i="2"/>
  <c r="E2004" i="2"/>
  <c r="D2004" i="2"/>
  <c r="C2004" i="2"/>
  <c r="A2004" i="2"/>
  <c r="E2003" i="2"/>
  <c r="D2003" i="2"/>
  <c r="C2003" i="2"/>
  <c r="A2003" i="2"/>
  <c r="E2002" i="2"/>
  <c r="D2002" i="2"/>
  <c r="C2002" i="2"/>
  <c r="A2002" i="2"/>
  <c r="E2001" i="2"/>
  <c r="D2001" i="2"/>
  <c r="C2001" i="2"/>
  <c r="A2001" i="2"/>
  <c r="E2000" i="2"/>
  <c r="D2000" i="2"/>
  <c r="C2000" i="2"/>
  <c r="A2000" i="2"/>
  <c r="E1999" i="2"/>
  <c r="D1999" i="2"/>
  <c r="C1999" i="2"/>
  <c r="A1999" i="2"/>
  <c r="E1998" i="2"/>
  <c r="D1998" i="2"/>
  <c r="C1998" i="2"/>
  <c r="A1998" i="2"/>
  <c r="E1997" i="2"/>
  <c r="D1997" i="2"/>
  <c r="C1997" i="2"/>
  <c r="A1997" i="2"/>
  <c r="E1996" i="2"/>
  <c r="D1996" i="2"/>
  <c r="C1996" i="2"/>
  <c r="A1996" i="2"/>
  <c r="E1995" i="2"/>
  <c r="D1995" i="2"/>
  <c r="C1995" i="2"/>
  <c r="A1995" i="2"/>
  <c r="E1994" i="2"/>
  <c r="D1994" i="2"/>
  <c r="C1994" i="2"/>
  <c r="A1994" i="2"/>
  <c r="E1993" i="2"/>
  <c r="D1993" i="2"/>
  <c r="C1993" i="2"/>
  <c r="A1993" i="2"/>
  <c r="E1992" i="2"/>
  <c r="D1992" i="2"/>
  <c r="C1992" i="2"/>
  <c r="A1992" i="2"/>
  <c r="E1991" i="2"/>
  <c r="D1991" i="2"/>
  <c r="C1991" i="2"/>
  <c r="A1991" i="2"/>
  <c r="E1990" i="2"/>
  <c r="D1990" i="2"/>
  <c r="C1990" i="2"/>
  <c r="A1990" i="2"/>
  <c r="E1989" i="2"/>
  <c r="D1989" i="2"/>
  <c r="C1989" i="2"/>
  <c r="A1989" i="2"/>
  <c r="E1988" i="2"/>
  <c r="D1988" i="2"/>
  <c r="C1988" i="2"/>
  <c r="A1988" i="2"/>
  <c r="E1987" i="2"/>
  <c r="D1987" i="2"/>
  <c r="C1987" i="2"/>
  <c r="A1987" i="2"/>
  <c r="E1986" i="2"/>
  <c r="D1986" i="2"/>
  <c r="C1986" i="2"/>
  <c r="A1986" i="2"/>
  <c r="E1985" i="2"/>
  <c r="D1985" i="2"/>
  <c r="C1985" i="2"/>
  <c r="A1985" i="2"/>
  <c r="E1984" i="2"/>
  <c r="D1984" i="2"/>
  <c r="C1984" i="2"/>
  <c r="A1984" i="2"/>
  <c r="E1983" i="2"/>
  <c r="D1983" i="2"/>
  <c r="C1983" i="2"/>
  <c r="A1983" i="2"/>
  <c r="E1982" i="2"/>
  <c r="D1982" i="2"/>
  <c r="C1982" i="2"/>
  <c r="A1982" i="2"/>
  <c r="E1981" i="2"/>
  <c r="D1981" i="2"/>
  <c r="C1981" i="2"/>
  <c r="A1981" i="2"/>
  <c r="E1980" i="2"/>
  <c r="D1980" i="2"/>
  <c r="C1980" i="2"/>
  <c r="A1980" i="2"/>
  <c r="E1979" i="2"/>
  <c r="D1979" i="2"/>
  <c r="C1979" i="2"/>
  <c r="A1979" i="2"/>
  <c r="E1978" i="2"/>
  <c r="D1978" i="2"/>
  <c r="C1978" i="2"/>
  <c r="A1978" i="2"/>
  <c r="E1977" i="2"/>
  <c r="D1977" i="2"/>
  <c r="C1977" i="2"/>
  <c r="A1977" i="2"/>
  <c r="E1976" i="2"/>
  <c r="D1976" i="2"/>
  <c r="C1976" i="2"/>
  <c r="A1976" i="2"/>
  <c r="E1975" i="2"/>
  <c r="D1975" i="2"/>
  <c r="C1975" i="2"/>
  <c r="A1975" i="2"/>
  <c r="E1974" i="2"/>
  <c r="D1974" i="2"/>
  <c r="C1974" i="2"/>
  <c r="A1974" i="2"/>
  <c r="E1973" i="2"/>
  <c r="D1973" i="2"/>
  <c r="C1973" i="2"/>
  <c r="A1973" i="2"/>
  <c r="E1972" i="2"/>
  <c r="D1972" i="2"/>
  <c r="C1972" i="2"/>
  <c r="A1972" i="2"/>
  <c r="E1971" i="2"/>
  <c r="D1971" i="2"/>
  <c r="C1971" i="2"/>
  <c r="A1971" i="2"/>
  <c r="E1970" i="2"/>
  <c r="D1970" i="2"/>
  <c r="C1970" i="2"/>
  <c r="A1970" i="2"/>
  <c r="E1969" i="2"/>
  <c r="D1969" i="2"/>
  <c r="C1969" i="2"/>
  <c r="A1969" i="2"/>
  <c r="E1968" i="2"/>
  <c r="D1968" i="2"/>
  <c r="C1968" i="2"/>
  <c r="A1968" i="2"/>
  <c r="E1967" i="2"/>
  <c r="D1967" i="2"/>
  <c r="C1967" i="2"/>
  <c r="A1967" i="2"/>
  <c r="E1966" i="2"/>
  <c r="D1966" i="2"/>
  <c r="C1966" i="2"/>
  <c r="A1966" i="2"/>
  <c r="E1965" i="2"/>
  <c r="D1965" i="2"/>
  <c r="C1965" i="2"/>
  <c r="A1965" i="2"/>
  <c r="E1964" i="2"/>
  <c r="D1964" i="2"/>
  <c r="C1964" i="2"/>
  <c r="A1964" i="2"/>
  <c r="E1963" i="2"/>
  <c r="D1963" i="2"/>
  <c r="C1963" i="2"/>
  <c r="A1963" i="2"/>
  <c r="E1962" i="2"/>
  <c r="D1962" i="2"/>
  <c r="C1962" i="2"/>
  <c r="A1962" i="2"/>
  <c r="E1961" i="2"/>
  <c r="D1961" i="2"/>
  <c r="C1961" i="2"/>
  <c r="A1961" i="2"/>
  <c r="E1960" i="2"/>
  <c r="D1960" i="2"/>
  <c r="C1960" i="2"/>
  <c r="A1960" i="2"/>
  <c r="E1959" i="2"/>
  <c r="D1959" i="2"/>
  <c r="C1959" i="2"/>
  <c r="A1959" i="2"/>
  <c r="E1958" i="2"/>
  <c r="D1958" i="2"/>
  <c r="C1958" i="2"/>
  <c r="A1958" i="2"/>
  <c r="E1957" i="2"/>
  <c r="D1957" i="2"/>
  <c r="C1957" i="2"/>
  <c r="A1957" i="2"/>
  <c r="E1956" i="2"/>
  <c r="D1956" i="2"/>
  <c r="C1956" i="2"/>
  <c r="A1956" i="2"/>
  <c r="E1955" i="2"/>
  <c r="D1955" i="2"/>
  <c r="C1955" i="2"/>
  <c r="A1955" i="2"/>
  <c r="E1954" i="2"/>
  <c r="D1954" i="2"/>
  <c r="C1954" i="2"/>
  <c r="A1954" i="2"/>
  <c r="E1953" i="2"/>
  <c r="D1953" i="2"/>
  <c r="C1953" i="2"/>
  <c r="A1953" i="2"/>
  <c r="E1952" i="2"/>
  <c r="D1952" i="2"/>
  <c r="C1952" i="2"/>
  <c r="A1952" i="2"/>
  <c r="E1951" i="2"/>
  <c r="D1951" i="2"/>
  <c r="C1951" i="2"/>
  <c r="A1951" i="2"/>
  <c r="E1950" i="2"/>
  <c r="D1950" i="2"/>
  <c r="C1950" i="2"/>
  <c r="A1950" i="2"/>
  <c r="E1949" i="2"/>
  <c r="D1949" i="2"/>
  <c r="C1949" i="2"/>
  <c r="A1949" i="2"/>
  <c r="E1948" i="2"/>
  <c r="D1948" i="2"/>
  <c r="C1948" i="2"/>
  <c r="A1948" i="2"/>
  <c r="E1947" i="2"/>
  <c r="D1947" i="2"/>
  <c r="C1947" i="2"/>
  <c r="A1947" i="2"/>
  <c r="E1946" i="2"/>
  <c r="D1946" i="2"/>
  <c r="C1946" i="2"/>
  <c r="A1946" i="2"/>
  <c r="E1945" i="2"/>
  <c r="D1945" i="2"/>
  <c r="C1945" i="2"/>
  <c r="A1945" i="2"/>
  <c r="E1944" i="2"/>
  <c r="D1944" i="2"/>
  <c r="C1944" i="2"/>
  <c r="A1944" i="2"/>
  <c r="E1943" i="2"/>
  <c r="D1943" i="2"/>
  <c r="C1943" i="2"/>
  <c r="A1943" i="2"/>
  <c r="E1942" i="2"/>
  <c r="D1942" i="2"/>
  <c r="C1942" i="2"/>
  <c r="A1942" i="2"/>
  <c r="E1941" i="2"/>
  <c r="D1941" i="2"/>
  <c r="C1941" i="2"/>
  <c r="A1941" i="2"/>
  <c r="E1940" i="2"/>
  <c r="D1940" i="2"/>
  <c r="C1940" i="2"/>
  <c r="A1940" i="2"/>
  <c r="E1939" i="2"/>
  <c r="D1939" i="2"/>
  <c r="C1939" i="2"/>
  <c r="A1939" i="2"/>
  <c r="E1938" i="2"/>
  <c r="D1938" i="2"/>
  <c r="C1938" i="2"/>
  <c r="A1938" i="2"/>
  <c r="E1937" i="2"/>
  <c r="D1937" i="2"/>
  <c r="C1937" i="2"/>
  <c r="A1937" i="2"/>
  <c r="E1936" i="2"/>
  <c r="D1936" i="2"/>
  <c r="C1936" i="2"/>
  <c r="A1936" i="2"/>
  <c r="E1935" i="2"/>
  <c r="D1935" i="2"/>
  <c r="C1935" i="2"/>
  <c r="A1935" i="2"/>
  <c r="E1934" i="2"/>
  <c r="D1934" i="2"/>
  <c r="C1934" i="2"/>
  <c r="A1934" i="2"/>
  <c r="E1933" i="2"/>
  <c r="D1933" i="2"/>
  <c r="C1933" i="2"/>
  <c r="A1933" i="2"/>
  <c r="E1932" i="2"/>
  <c r="D1932" i="2"/>
  <c r="C1932" i="2"/>
  <c r="A1932" i="2"/>
  <c r="E1931" i="2"/>
  <c r="D1931" i="2"/>
  <c r="C1931" i="2"/>
  <c r="A1931" i="2"/>
  <c r="E1930" i="2"/>
  <c r="D1930" i="2"/>
  <c r="C1930" i="2"/>
  <c r="A1930" i="2"/>
  <c r="E1929" i="2"/>
  <c r="D1929" i="2"/>
  <c r="C1929" i="2"/>
  <c r="A1929" i="2"/>
  <c r="E1928" i="2"/>
  <c r="D1928" i="2"/>
  <c r="C1928" i="2"/>
  <c r="A1928" i="2"/>
  <c r="E1927" i="2"/>
  <c r="D1927" i="2"/>
  <c r="C1927" i="2"/>
  <c r="A1927" i="2"/>
  <c r="E1926" i="2"/>
  <c r="D1926" i="2"/>
  <c r="C1926" i="2"/>
  <c r="A1926" i="2"/>
  <c r="E1925" i="2"/>
  <c r="D1925" i="2"/>
  <c r="C1925" i="2"/>
  <c r="A1925" i="2"/>
  <c r="E1924" i="2"/>
  <c r="D1924" i="2"/>
  <c r="C1924" i="2"/>
  <c r="A1924" i="2"/>
  <c r="E1923" i="2"/>
  <c r="D1923" i="2"/>
  <c r="C1923" i="2"/>
  <c r="A1923" i="2"/>
  <c r="E1922" i="2"/>
  <c r="D1922" i="2"/>
  <c r="C1922" i="2"/>
  <c r="A1922" i="2"/>
  <c r="E1921" i="2"/>
  <c r="D1921" i="2"/>
  <c r="C1921" i="2"/>
  <c r="A1921" i="2"/>
  <c r="E1920" i="2"/>
  <c r="D1920" i="2"/>
  <c r="C1920" i="2"/>
  <c r="A1920" i="2"/>
  <c r="E1919" i="2"/>
  <c r="D1919" i="2"/>
  <c r="C1919" i="2"/>
  <c r="A1919" i="2"/>
  <c r="E1918" i="2"/>
  <c r="D1918" i="2"/>
  <c r="C1918" i="2"/>
  <c r="A1918" i="2"/>
  <c r="E1917" i="2"/>
  <c r="D1917" i="2"/>
  <c r="C1917" i="2"/>
  <c r="A1917" i="2"/>
  <c r="E1916" i="2"/>
  <c r="D1916" i="2"/>
  <c r="C1916" i="2"/>
  <c r="A1916" i="2"/>
  <c r="E1915" i="2"/>
  <c r="D1915" i="2"/>
  <c r="C1915" i="2"/>
  <c r="A1915" i="2"/>
  <c r="E1914" i="2"/>
  <c r="D1914" i="2"/>
  <c r="C1914" i="2"/>
  <c r="A1914" i="2"/>
  <c r="E1913" i="2"/>
  <c r="D1913" i="2"/>
  <c r="C1913" i="2"/>
  <c r="A1913" i="2"/>
  <c r="E1912" i="2"/>
  <c r="D1912" i="2"/>
  <c r="C1912" i="2"/>
  <c r="A1912" i="2"/>
  <c r="E1911" i="2"/>
  <c r="D1911" i="2"/>
  <c r="C1911" i="2"/>
  <c r="A1911" i="2"/>
  <c r="E1910" i="2"/>
  <c r="D1910" i="2"/>
  <c r="C1910" i="2"/>
  <c r="A1910" i="2"/>
  <c r="E1909" i="2"/>
  <c r="D1909" i="2"/>
  <c r="C1909" i="2"/>
  <c r="A1909" i="2"/>
  <c r="E1908" i="2"/>
  <c r="D1908" i="2"/>
  <c r="C1908" i="2"/>
  <c r="A1908" i="2"/>
  <c r="E1907" i="2"/>
  <c r="D1907" i="2"/>
  <c r="C1907" i="2"/>
  <c r="A1907" i="2"/>
  <c r="E1906" i="2"/>
  <c r="D1906" i="2"/>
  <c r="C1906" i="2"/>
  <c r="A1906" i="2"/>
  <c r="E1905" i="2"/>
  <c r="D1905" i="2"/>
  <c r="C1905" i="2"/>
  <c r="A1905" i="2"/>
  <c r="E1904" i="2"/>
  <c r="D1904" i="2"/>
  <c r="C1904" i="2"/>
  <c r="A1904" i="2"/>
  <c r="E1903" i="2"/>
  <c r="D1903" i="2"/>
  <c r="C1903" i="2"/>
  <c r="A1903" i="2"/>
  <c r="E1902" i="2"/>
  <c r="D1902" i="2"/>
  <c r="C1902" i="2"/>
  <c r="A1902" i="2"/>
  <c r="E1901" i="2"/>
  <c r="D1901" i="2"/>
  <c r="C1901" i="2"/>
  <c r="A1901" i="2"/>
  <c r="E1900" i="2"/>
  <c r="D1900" i="2"/>
  <c r="C1900" i="2"/>
  <c r="A1900" i="2"/>
  <c r="E1899" i="2"/>
  <c r="D1899" i="2"/>
  <c r="C1899" i="2"/>
  <c r="A1899" i="2"/>
  <c r="E1898" i="2"/>
  <c r="D1898" i="2"/>
  <c r="C1898" i="2"/>
  <c r="A1898" i="2"/>
  <c r="E1897" i="2"/>
  <c r="D1897" i="2"/>
  <c r="C1897" i="2"/>
  <c r="A1897" i="2"/>
  <c r="E1896" i="2"/>
  <c r="D1896" i="2"/>
  <c r="C1896" i="2"/>
  <c r="A1896" i="2"/>
  <c r="E1895" i="2"/>
  <c r="D1895" i="2"/>
  <c r="C1895" i="2"/>
  <c r="A1895" i="2"/>
  <c r="E1894" i="2"/>
  <c r="D1894" i="2"/>
  <c r="C1894" i="2"/>
  <c r="A1894" i="2"/>
  <c r="E1893" i="2"/>
  <c r="D1893" i="2"/>
  <c r="C1893" i="2"/>
  <c r="A1893" i="2"/>
  <c r="E1892" i="2"/>
  <c r="D1892" i="2"/>
  <c r="C1892" i="2"/>
  <c r="A1892" i="2"/>
  <c r="E1891" i="2"/>
  <c r="D1891" i="2"/>
  <c r="C1891" i="2"/>
  <c r="A1891" i="2"/>
  <c r="E1890" i="2"/>
  <c r="D1890" i="2"/>
  <c r="C1890" i="2"/>
  <c r="A1890" i="2"/>
  <c r="E1889" i="2"/>
  <c r="D1889" i="2"/>
  <c r="C1889" i="2"/>
  <c r="A1889" i="2"/>
  <c r="E1888" i="2"/>
  <c r="D1888" i="2"/>
  <c r="C1888" i="2"/>
  <c r="A1888" i="2"/>
  <c r="E1887" i="2"/>
  <c r="D1887" i="2"/>
  <c r="C1887" i="2"/>
  <c r="A1887" i="2"/>
  <c r="E1886" i="2"/>
  <c r="D1886" i="2"/>
  <c r="C1886" i="2"/>
  <c r="A1886" i="2"/>
  <c r="E1885" i="2"/>
  <c r="D1885" i="2"/>
  <c r="C1885" i="2"/>
  <c r="A1885" i="2"/>
  <c r="E1884" i="2"/>
  <c r="D1884" i="2"/>
  <c r="C1884" i="2"/>
  <c r="A1884" i="2"/>
  <c r="E1883" i="2"/>
  <c r="D1883" i="2"/>
  <c r="C1883" i="2"/>
  <c r="A1883" i="2"/>
  <c r="E1882" i="2"/>
  <c r="D1882" i="2"/>
  <c r="C1882" i="2"/>
  <c r="A1882" i="2"/>
  <c r="E1881" i="2"/>
  <c r="D1881" i="2"/>
  <c r="C1881" i="2"/>
  <c r="A1881" i="2"/>
  <c r="E1880" i="2"/>
  <c r="D1880" i="2"/>
  <c r="C1880" i="2"/>
  <c r="A1880" i="2"/>
  <c r="E1879" i="2"/>
  <c r="D1879" i="2"/>
  <c r="C1879" i="2"/>
  <c r="A1879" i="2"/>
  <c r="E1878" i="2"/>
  <c r="D1878" i="2"/>
  <c r="C1878" i="2"/>
  <c r="A1878" i="2"/>
  <c r="E1877" i="2"/>
  <c r="D1877" i="2"/>
  <c r="C1877" i="2"/>
  <c r="A1877" i="2"/>
  <c r="E1876" i="2"/>
  <c r="D1876" i="2"/>
  <c r="C1876" i="2"/>
  <c r="A1876" i="2"/>
  <c r="E1875" i="2"/>
  <c r="D1875" i="2"/>
  <c r="C1875" i="2"/>
  <c r="A1875" i="2"/>
  <c r="E1874" i="2"/>
  <c r="D1874" i="2"/>
  <c r="C1874" i="2"/>
  <c r="A1874" i="2"/>
  <c r="E1873" i="2"/>
  <c r="D1873" i="2"/>
  <c r="C1873" i="2"/>
  <c r="A1873" i="2"/>
  <c r="E1872" i="2"/>
  <c r="D1872" i="2"/>
  <c r="C1872" i="2"/>
  <c r="A1872" i="2"/>
  <c r="E1871" i="2"/>
  <c r="D1871" i="2"/>
  <c r="C1871" i="2"/>
  <c r="A1871" i="2"/>
  <c r="E1870" i="2"/>
  <c r="D1870" i="2"/>
  <c r="C1870" i="2"/>
  <c r="A1870" i="2"/>
  <c r="E1869" i="2"/>
  <c r="D1869" i="2"/>
  <c r="C1869" i="2"/>
  <c r="A1869" i="2"/>
  <c r="E1868" i="2"/>
  <c r="D1868" i="2"/>
  <c r="C1868" i="2"/>
  <c r="A1868" i="2"/>
  <c r="E1867" i="2"/>
  <c r="D1867" i="2"/>
  <c r="C1867" i="2"/>
  <c r="A1867" i="2"/>
  <c r="E1866" i="2"/>
  <c r="D1866" i="2"/>
  <c r="C1866" i="2"/>
  <c r="A1866" i="2"/>
  <c r="E1865" i="2"/>
  <c r="D1865" i="2"/>
  <c r="C1865" i="2"/>
  <c r="A1865" i="2"/>
  <c r="E1864" i="2"/>
  <c r="D1864" i="2"/>
  <c r="C1864" i="2"/>
  <c r="A1864" i="2"/>
  <c r="E1863" i="2"/>
  <c r="D1863" i="2"/>
  <c r="C1863" i="2"/>
  <c r="A1863" i="2"/>
  <c r="E1862" i="2"/>
  <c r="D1862" i="2"/>
  <c r="C1862" i="2"/>
  <c r="A1862" i="2"/>
  <c r="E1861" i="2"/>
  <c r="D1861" i="2"/>
  <c r="C1861" i="2"/>
  <c r="A1861" i="2"/>
  <c r="E1860" i="2"/>
  <c r="D1860" i="2"/>
  <c r="C1860" i="2"/>
  <c r="A1860" i="2"/>
  <c r="E1859" i="2"/>
  <c r="D1859" i="2"/>
  <c r="C1859" i="2"/>
  <c r="A1859" i="2"/>
  <c r="E1858" i="2"/>
  <c r="D1858" i="2"/>
  <c r="C1858" i="2"/>
  <c r="A1858" i="2"/>
  <c r="E1857" i="2"/>
  <c r="D1857" i="2"/>
  <c r="C1857" i="2"/>
  <c r="A1857" i="2"/>
  <c r="E1856" i="2"/>
  <c r="D1856" i="2"/>
  <c r="C1856" i="2"/>
  <c r="A1856" i="2"/>
  <c r="E1855" i="2"/>
  <c r="D1855" i="2"/>
  <c r="C1855" i="2"/>
  <c r="A1855" i="2"/>
  <c r="E1854" i="2"/>
  <c r="D1854" i="2"/>
  <c r="C1854" i="2"/>
  <c r="A1854" i="2"/>
  <c r="E1853" i="2"/>
  <c r="D1853" i="2"/>
  <c r="C1853" i="2"/>
  <c r="A1853" i="2"/>
  <c r="E1852" i="2"/>
  <c r="D1852" i="2"/>
  <c r="C1852" i="2"/>
  <c r="A1852" i="2"/>
  <c r="E1851" i="2"/>
  <c r="D1851" i="2"/>
  <c r="C1851" i="2"/>
  <c r="A1851" i="2"/>
  <c r="E1850" i="2"/>
  <c r="D1850" i="2"/>
  <c r="C1850" i="2"/>
  <c r="A1850" i="2"/>
  <c r="E1849" i="2"/>
  <c r="D1849" i="2"/>
  <c r="C1849" i="2"/>
  <c r="A1849" i="2"/>
  <c r="E1848" i="2"/>
  <c r="D1848" i="2"/>
  <c r="C1848" i="2"/>
  <c r="A1848" i="2"/>
  <c r="E1847" i="2"/>
  <c r="D1847" i="2"/>
  <c r="C1847" i="2"/>
  <c r="A1847" i="2"/>
  <c r="E1846" i="2"/>
  <c r="D1846" i="2"/>
  <c r="C1846" i="2"/>
  <c r="A1846" i="2"/>
  <c r="E1845" i="2"/>
  <c r="D1845" i="2"/>
  <c r="C1845" i="2"/>
  <c r="A1845" i="2"/>
  <c r="E1844" i="2"/>
  <c r="D1844" i="2"/>
  <c r="C1844" i="2"/>
  <c r="A1844" i="2"/>
  <c r="E1843" i="2"/>
  <c r="D1843" i="2"/>
  <c r="C1843" i="2"/>
  <c r="A1843" i="2"/>
  <c r="E1842" i="2"/>
  <c r="D1842" i="2"/>
  <c r="C1842" i="2"/>
  <c r="A1842" i="2"/>
  <c r="E1841" i="2"/>
  <c r="D1841" i="2"/>
  <c r="C1841" i="2"/>
  <c r="A1841" i="2"/>
  <c r="E1840" i="2"/>
  <c r="D1840" i="2"/>
  <c r="C1840" i="2"/>
  <c r="A1840" i="2"/>
  <c r="E1839" i="2"/>
  <c r="D1839" i="2"/>
  <c r="C1839" i="2"/>
  <c r="A1839" i="2"/>
  <c r="E1838" i="2"/>
  <c r="D1838" i="2"/>
  <c r="C1838" i="2"/>
  <c r="A1838" i="2"/>
  <c r="E1837" i="2"/>
  <c r="D1837" i="2"/>
  <c r="C1837" i="2"/>
  <c r="A1837" i="2"/>
  <c r="E1836" i="2"/>
  <c r="D1836" i="2"/>
  <c r="C1836" i="2"/>
  <c r="A1836" i="2"/>
  <c r="E1835" i="2"/>
  <c r="D1835" i="2"/>
  <c r="C1835" i="2"/>
  <c r="A1835" i="2"/>
  <c r="E1834" i="2"/>
  <c r="D1834" i="2"/>
  <c r="C1834" i="2"/>
  <c r="A1834" i="2"/>
  <c r="E1833" i="2"/>
  <c r="D1833" i="2"/>
  <c r="C1833" i="2"/>
  <c r="A1833" i="2"/>
  <c r="E1832" i="2"/>
  <c r="D1832" i="2"/>
  <c r="C1832" i="2"/>
  <c r="A1832" i="2"/>
  <c r="E1831" i="2"/>
  <c r="D1831" i="2"/>
  <c r="C1831" i="2"/>
  <c r="A1831" i="2"/>
  <c r="E1830" i="2"/>
  <c r="D1830" i="2"/>
  <c r="C1830" i="2"/>
  <c r="A1830" i="2"/>
  <c r="E1829" i="2"/>
  <c r="D1829" i="2"/>
  <c r="C1829" i="2"/>
  <c r="A1829" i="2"/>
  <c r="E1828" i="2"/>
  <c r="D1828" i="2"/>
  <c r="C1828" i="2"/>
  <c r="A1828" i="2"/>
  <c r="E1827" i="2"/>
  <c r="D1827" i="2"/>
  <c r="C1827" i="2"/>
  <c r="A1827" i="2"/>
  <c r="E1826" i="2"/>
  <c r="D1826" i="2"/>
  <c r="C1826" i="2"/>
  <c r="A1826" i="2"/>
  <c r="E1825" i="2"/>
  <c r="D1825" i="2"/>
  <c r="C1825" i="2"/>
  <c r="A1825" i="2"/>
  <c r="E1824" i="2"/>
  <c r="D1824" i="2"/>
  <c r="C1824" i="2"/>
  <c r="A1824" i="2"/>
  <c r="E1823" i="2"/>
  <c r="D1823" i="2"/>
  <c r="C1823" i="2"/>
  <c r="A1823" i="2"/>
  <c r="E1822" i="2"/>
  <c r="D1822" i="2"/>
  <c r="C1822" i="2"/>
  <c r="A1822" i="2"/>
  <c r="E1821" i="2"/>
  <c r="D1821" i="2"/>
  <c r="C1821" i="2"/>
  <c r="A1821" i="2"/>
  <c r="E1820" i="2"/>
  <c r="D1820" i="2"/>
  <c r="C1820" i="2"/>
  <c r="A1820" i="2"/>
  <c r="E1819" i="2"/>
  <c r="D1819" i="2"/>
  <c r="C1819" i="2"/>
  <c r="A1819" i="2"/>
  <c r="E1818" i="2"/>
  <c r="D1818" i="2"/>
  <c r="C1818" i="2"/>
  <c r="A1818" i="2"/>
  <c r="E1817" i="2"/>
  <c r="D1817" i="2"/>
  <c r="C1817" i="2"/>
  <c r="A1817" i="2"/>
  <c r="E1816" i="2"/>
  <c r="D1816" i="2"/>
  <c r="C1816" i="2"/>
  <c r="A1816" i="2"/>
  <c r="E1815" i="2"/>
  <c r="D1815" i="2"/>
  <c r="C1815" i="2"/>
  <c r="A1815" i="2"/>
  <c r="E1814" i="2"/>
  <c r="D1814" i="2"/>
  <c r="C1814" i="2"/>
  <c r="A1814" i="2"/>
  <c r="E1813" i="2"/>
  <c r="D1813" i="2"/>
  <c r="C1813" i="2"/>
  <c r="A1813" i="2"/>
  <c r="E1812" i="2"/>
  <c r="D1812" i="2"/>
  <c r="C1812" i="2"/>
  <c r="A1812" i="2"/>
  <c r="E1811" i="2"/>
  <c r="D1811" i="2"/>
  <c r="C1811" i="2"/>
  <c r="A1811" i="2"/>
  <c r="E1810" i="2"/>
  <c r="D1810" i="2"/>
  <c r="C1810" i="2"/>
  <c r="A1810" i="2"/>
  <c r="E1809" i="2"/>
  <c r="D1809" i="2"/>
  <c r="C1809" i="2"/>
  <c r="A1809" i="2"/>
  <c r="E1808" i="2"/>
  <c r="D1808" i="2"/>
  <c r="C1808" i="2"/>
  <c r="A1808" i="2"/>
  <c r="E1807" i="2"/>
  <c r="D1807" i="2"/>
  <c r="C1807" i="2"/>
  <c r="A1807" i="2"/>
  <c r="E1806" i="2"/>
  <c r="D1806" i="2"/>
  <c r="C1806" i="2"/>
  <c r="A1806" i="2"/>
  <c r="E1805" i="2"/>
  <c r="D1805" i="2"/>
  <c r="C1805" i="2"/>
  <c r="A1805" i="2"/>
  <c r="E1804" i="2"/>
  <c r="D1804" i="2"/>
  <c r="C1804" i="2"/>
  <c r="A1804" i="2"/>
  <c r="E1803" i="2"/>
  <c r="D1803" i="2"/>
  <c r="C1803" i="2"/>
  <c r="A1803" i="2"/>
  <c r="E1802" i="2"/>
  <c r="D1802" i="2"/>
  <c r="C1802" i="2"/>
  <c r="A1802" i="2"/>
  <c r="E1801" i="2"/>
  <c r="D1801" i="2"/>
  <c r="C1801" i="2"/>
  <c r="A1801" i="2"/>
  <c r="E1800" i="2"/>
  <c r="D1800" i="2"/>
  <c r="C1800" i="2"/>
  <c r="A1800" i="2"/>
  <c r="E1799" i="2"/>
  <c r="D1799" i="2"/>
  <c r="C1799" i="2"/>
  <c r="A1799" i="2"/>
  <c r="E1798" i="2"/>
  <c r="D1798" i="2"/>
  <c r="C1798" i="2"/>
  <c r="A1798" i="2"/>
  <c r="E1797" i="2"/>
  <c r="D1797" i="2"/>
  <c r="C1797" i="2"/>
  <c r="A1797" i="2"/>
  <c r="E1796" i="2"/>
  <c r="D1796" i="2"/>
  <c r="C1796" i="2"/>
  <c r="A1796" i="2"/>
  <c r="E1795" i="2"/>
  <c r="D1795" i="2"/>
  <c r="C1795" i="2"/>
  <c r="A1795" i="2"/>
  <c r="E1794" i="2"/>
  <c r="D1794" i="2"/>
  <c r="C1794" i="2"/>
  <c r="A1794" i="2"/>
  <c r="E1793" i="2"/>
  <c r="D1793" i="2"/>
  <c r="C1793" i="2"/>
  <c r="A1793" i="2"/>
  <c r="E1792" i="2"/>
  <c r="D1792" i="2"/>
  <c r="C1792" i="2"/>
  <c r="A1792" i="2"/>
  <c r="E1791" i="2"/>
  <c r="D1791" i="2"/>
  <c r="C1791" i="2"/>
  <c r="A1791" i="2"/>
  <c r="E1790" i="2"/>
  <c r="D1790" i="2"/>
  <c r="C1790" i="2"/>
  <c r="A1790" i="2"/>
  <c r="E1789" i="2"/>
  <c r="D1789" i="2"/>
  <c r="C1789" i="2"/>
  <c r="A1789" i="2"/>
  <c r="E1788" i="2"/>
  <c r="D1788" i="2"/>
  <c r="C1788" i="2"/>
  <c r="A1788" i="2"/>
  <c r="E1787" i="2"/>
  <c r="D1787" i="2"/>
  <c r="C1787" i="2"/>
  <c r="A1787" i="2"/>
  <c r="E1786" i="2"/>
  <c r="D1786" i="2"/>
  <c r="C1786" i="2"/>
  <c r="A1786" i="2"/>
  <c r="E1785" i="2"/>
  <c r="D1785" i="2"/>
  <c r="C1785" i="2"/>
  <c r="A1785" i="2"/>
  <c r="E1784" i="2"/>
  <c r="D1784" i="2"/>
  <c r="C1784" i="2"/>
  <c r="A1784" i="2"/>
  <c r="E1783" i="2"/>
  <c r="D1783" i="2"/>
  <c r="C1783" i="2"/>
  <c r="A1783" i="2"/>
  <c r="E1782" i="2"/>
  <c r="D1782" i="2"/>
  <c r="C1782" i="2"/>
  <c r="A1782" i="2"/>
  <c r="E1781" i="2"/>
  <c r="D1781" i="2"/>
  <c r="C1781" i="2"/>
  <c r="A1781" i="2"/>
  <c r="E1780" i="2"/>
  <c r="D1780" i="2"/>
  <c r="C1780" i="2"/>
  <c r="A1780" i="2"/>
  <c r="E1779" i="2"/>
  <c r="D1779" i="2"/>
  <c r="C1779" i="2"/>
  <c r="A1779" i="2"/>
  <c r="E1778" i="2"/>
  <c r="D1778" i="2"/>
  <c r="C1778" i="2"/>
  <c r="A1778" i="2"/>
  <c r="E1777" i="2"/>
  <c r="D1777" i="2"/>
  <c r="C1777" i="2"/>
  <c r="A1777" i="2"/>
  <c r="E1776" i="2"/>
  <c r="D1776" i="2"/>
  <c r="C1776" i="2"/>
  <c r="A1776" i="2"/>
  <c r="E1775" i="2"/>
  <c r="D1775" i="2"/>
  <c r="C1775" i="2"/>
  <c r="A1775" i="2"/>
  <c r="E1774" i="2"/>
  <c r="D1774" i="2"/>
  <c r="C1774" i="2"/>
  <c r="A1774" i="2"/>
  <c r="E1773" i="2"/>
  <c r="D1773" i="2"/>
  <c r="C1773" i="2"/>
  <c r="A1773" i="2"/>
  <c r="E1772" i="2"/>
  <c r="D1772" i="2"/>
  <c r="C1772" i="2"/>
  <c r="A1772" i="2"/>
  <c r="E1771" i="2"/>
  <c r="D1771" i="2"/>
  <c r="C1771" i="2"/>
  <c r="A1771" i="2"/>
  <c r="E1770" i="2"/>
  <c r="D1770" i="2"/>
  <c r="C1770" i="2"/>
  <c r="A1770" i="2"/>
  <c r="E1769" i="2"/>
  <c r="D1769" i="2"/>
  <c r="C1769" i="2"/>
  <c r="A1769" i="2"/>
  <c r="E1768" i="2"/>
  <c r="D1768" i="2"/>
  <c r="C1768" i="2"/>
  <c r="A1768" i="2"/>
  <c r="E1767" i="2"/>
  <c r="D1767" i="2"/>
  <c r="C1767" i="2"/>
  <c r="A1767" i="2"/>
  <c r="E1766" i="2"/>
  <c r="D1766" i="2"/>
  <c r="C1766" i="2"/>
  <c r="A1766" i="2"/>
  <c r="E1765" i="2"/>
  <c r="D1765" i="2"/>
  <c r="C1765" i="2"/>
  <c r="A1765" i="2"/>
  <c r="E1764" i="2"/>
  <c r="D1764" i="2"/>
  <c r="C1764" i="2"/>
  <c r="A1764" i="2"/>
  <c r="E1763" i="2"/>
  <c r="D1763" i="2"/>
  <c r="C1763" i="2"/>
  <c r="A1763" i="2"/>
  <c r="E1762" i="2"/>
  <c r="D1762" i="2"/>
  <c r="C1762" i="2"/>
  <c r="A1762" i="2"/>
  <c r="E1761" i="2"/>
  <c r="D1761" i="2"/>
  <c r="C1761" i="2"/>
  <c r="A1761" i="2"/>
  <c r="E1760" i="2"/>
  <c r="D1760" i="2"/>
  <c r="C1760" i="2"/>
  <c r="A1760" i="2"/>
  <c r="E1759" i="2"/>
  <c r="D1759" i="2"/>
  <c r="C1759" i="2"/>
  <c r="A1759" i="2"/>
  <c r="E1758" i="2"/>
  <c r="D1758" i="2"/>
  <c r="C1758" i="2"/>
  <c r="A1758" i="2"/>
  <c r="E1757" i="2"/>
  <c r="D1757" i="2"/>
  <c r="C1757" i="2"/>
  <c r="A1757" i="2"/>
  <c r="E1756" i="2"/>
  <c r="D1756" i="2"/>
  <c r="C1756" i="2"/>
  <c r="A1756" i="2"/>
  <c r="E1755" i="2"/>
  <c r="D1755" i="2"/>
  <c r="C1755" i="2"/>
  <c r="A1755" i="2"/>
  <c r="E1754" i="2"/>
  <c r="D1754" i="2"/>
  <c r="C1754" i="2"/>
  <c r="A1754" i="2"/>
  <c r="E1753" i="2"/>
  <c r="D1753" i="2"/>
  <c r="C1753" i="2"/>
  <c r="A1753" i="2"/>
  <c r="E1752" i="2"/>
  <c r="D1752" i="2"/>
  <c r="C1752" i="2"/>
  <c r="A1752" i="2"/>
  <c r="E1751" i="2"/>
  <c r="D1751" i="2"/>
  <c r="C1751" i="2"/>
  <c r="A1751" i="2"/>
  <c r="E1750" i="2"/>
  <c r="D1750" i="2"/>
  <c r="C1750" i="2"/>
  <c r="A1750" i="2"/>
  <c r="E1749" i="2"/>
  <c r="D1749" i="2"/>
  <c r="C1749" i="2"/>
  <c r="A1749" i="2"/>
  <c r="E1748" i="2"/>
  <c r="D1748" i="2"/>
  <c r="C1748" i="2"/>
  <c r="A1748" i="2"/>
  <c r="E1747" i="2"/>
  <c r="D1747" i="2"/>
  <c r="C1747" i="2"/>
  <c r="A1747" i="2"/>
  <c r="E1746" i="2"/>
  <c r="D1746" i="2"/>
  <c r="C1746" i="2"/>
  <c r="A1746" i="2"/>
  <c r="E1745" i="2"/>
  <c r="D1745" i="2"/>
  <c r="C1745" i="2"/>
  <c r="A1745" i="2"/>
  <c r="E1744" i="2"/>
  <c r="D1744" i="2"/>
  <c r="C1744" i="2"/>
  <c r="A1744" i="2"/>
  <c r="E1743" i="2"/>
  <c r="D1743" i="2"/>
  <c r="C1743" i="2"/>
  <c r="A1743" i="2"/>
  <c r="E1742" i="2"/>
  <c r="D1742" i="2"/>
  <c r="C1742" i="2"/>
  <c r="A1742" i="2"/>
  <c r="E1741" i="2"/>
  <c r="D1741" i="2"/>
  <c r="C1741" i="2"/>
  <c r="A1741" i="2"/>
  <c r="E1740" i="2"/>
  <c r="D1740" i="2"/>
  <c r="C1740" i="2"/>
  <c r="A1740" i="2"/>
  <c r="E1739" i="2"/>
  <c r="D1739" i="2"/>
  <c r="C1739" i="2"/>
  <c r="A1739" i="2"/>
  <c r="E1738" i="2"/>
  <c r="D1738" i="2"/>
  <c r="C1738" i="2"/>
  <c r="A1738" i="2"/>
  <c r="E1737" i="2"/>
  <c r="D1737" i="2"/>
  <c r="C1737" i="2"/>
  <c r="A1737" i="2"/>
  <c r="E1736" i="2"/>
  <c r="D1736" i="2"/>
  <c r="C1736" i="2"/>
  <c r="A1736" i="2"/>
  <c r="E1735" i="2"/>
  <c r="D1735" i="2"/>
  <c r="C1735" i="2"/>
  <c r="A1735" i="2"/>
  <c r="E1734" i="2"/>
  <c r="D1734" i="2"/>
  <c r="C1734" i="2"/>
  <c r="A1734" i="2"/>
  <c r="E1733" i="2"/>
  <c r="D1733" i="2"/>
  <c r="C1733" i="2"/>
  <c r="A1733" i="2"/>
  <c r="E1732" i="2"/>
  <c r="D1732" i="2"/>
  <c r="C1732" i="2"/>
  <c r="A1732" i="2"/>
  <c r="E1731" i="2"/>
  <c r="D1731" i="2"/>
  <c r="C1731" i="2"/>
  <c r="A1731" i="2"/>
  <c r="E1730" i="2"/>
  <c r="D1730" i="2"/>
  <c r="C1730" i="2"/>
  <c r="A1730" i="2"/>
  <c r="E1729" i="2"/>
  <c r="D1729" i="2"/>
  <c r="C1729" i="2"/>
  <c r="A1729" i="2"/>
  <c r="E1728" i="2"/>
  <c r="D1728" i="2"/>
  <c r="C1728" i="2"/>
  <c r="A1728" i="2"/>
  <c r="E1727" i="2"/>
  <c r="D1727" i="2"/>
  <c r="C1727" i="2"/>
  <c r="A1727" i="2"/>
  <c r="E1726" i="2"/>
  <c r="D1726" i="2"/>
  <c r="C1726" i="2"/>
  <c r="A1726" i="2"/>
  <c r="E1725" i="2"/>
  <c r="D1725" i="2"/>
  <c r="C1725" i="2"/>
  <c r="A1725" i="2"/>
  <c r="E1724" i="2"/>
  <c r="D1724" i="2"/>
  <c r="C1724" i="2"/>
  <c r="A1724" i="2"/>
  <c r="E1723" i="2"/>
  <c r="D1723" i="2"/>
  <c r="C1723" i="2"/>
  <c r="A1723" i="2"/>
  <c r="E1722" i="2"/>
  <c r="D1722" i="2"/>
  <c r="C1722" i="2"/>
  <c r="A1722" i="2"/>
  <c r="E1721" i="2"/>
  <c r="D1721" i="2"/>
  <c r="C1721" i="2"/>
  <c r="A1721" i="2"/>
  <c r="E1720" i="2"/>
  <c r="D1720" i="2"/>
  <c r="C1720" i="2"/>
  <c r="A1720" i="2"/>
  <c r="E1719" i="2"/>
  <c r="D1719" i="2"/>
  <c r="C1719" i="2"/>
  <c r="A1719" i="2"/>
  <c r="E1718" i="2"/>
  <c r="D1718" i="2"/>
  <c r="C1718" i="2"/>
  <c r="A1718" i="2"/>
  <c r="E1717" i="2"/>
  <c r="D1717" i="2"/>
  <c r="C1717" i="2"/>
  <c r="A1717" i="2"/>
  <c r="E1716" i="2"/>
  <c r="D1716" i="2"/>
  <c r="C1716" i="2"/>
  <c r="A1716" i="2"/>
  <c r="E1715" i="2"/>
  <c r="D1715" i="2"/>
  <c r="C1715" i="2"/>
  <c r="A1715" i="2"/>
  <c r="E1714" i="2"/>
  <c r="D1714" i="2"/>
  <c r="C1714" i="2"/>
  <c r="A1714" i="2"/>
  <c r="E1713" i="2"/>
  <c r="D1713" i="2"/>
  <c r="C1713" i="2"/>
  <c r="A1713" i="2"/>
  <c r="E1712" i="2"/>
  <c r="D1712" i="2"/>
  <c r="C1712" i="2"/>
  <c r="A1712" i="2"/>
  <c r="E1711" i="2"/>
  <c r="D1711" i="2"/>
  <c r="C1711" i="2"/>
  <c r="A1711" i="2"/>
  <c r="E1710" i="2"/>
  <c r="D1710" i="2"/>
  <c r="C1710" i="2"/>
  <c r="A1710" i="2"/>
  <c r="E1709" i="2"/>
  <c r="D1709" i="2"/>
  <c r="C1709" i="2"/>
  <c r="A1709" i="2"/>
  <c r="E1708" i="2"/>
  <c r="D1708" i="2"/>
  <c r="C1708" i="2"/>
  <c r="A1708" i="2"/>
  <c r="E1707" i="2"/>
  <c r="D1707" i="2"/>
  <c r="C1707" i="2"/>
  <c r="A1707" i="2"/>
  <c r="E1706" i="2"/>
  <c r="D1706" i="2"/>
  <c r="C1706" i="2"/>
  <c r="A1706" i="2"/>
  <c r="E1705" i="2"/>
  <c r="D1705" i="2"/>
  <c r="C1705" i="2"/>
  <c r="A1705" i="2"/>
  <c r="E1704" i="2"/>
  <c r="D1704" i="2"/>
  <c r="C1704" i="2"/>
  <c r="A1704" i="2"/>
  <c r="E1703" i="2"/>
  <c r="D1703" i="2"/>
  <c r="C1703" i="2"/>
  <c r="A1703" i="2"/>
  <c r="E1702" i="2"/>
  <c r="D1702" i="2"/>
  <c r="C1702" i="2"/>
  <c r="A1702" i="2"/>
  <c r="E1701" i="2"/>
  <c r="D1701" i="2"/>
  <c r="C1701" i="2"/>
  <c r="A1701" i="2"/>
  <c r="E1700" i="2"/>
  <c r="D1700" i="2"/>
  <c r="C1700" i="2"/>
  <c r="A1700" i="2"/>
  <c r="E1699" i="2"/>
  <c r="D1699" i="2"/>
  <c r="C1699" i="2"/>
  <c r="A1699" i="2"/>
  <c r="E1698" i="2"/>
  <c r="D1698" i="2"/>
  <c r="C1698" i="2"/>
  <c r="A1698" i="2"/>
  <c r="E1697" i="2"/>
  <c r="D1697" i="2"/>
  <c r="C1697" i="2"/>
  <c r="A1697" i="2"/>
  <c r="E1696" i="2"/>
  <c r="D1696" i="2"/>
  <c r="C1696" i="2"/>
  <c r="A1696" i="2"/>
  <c r="E1695" i="2"/>
  <c r="D1695" i="2"/>
  <c r="C1695" i="2"/>
  <c r="A1695" i="2"/>
  <c r="E1694" i="2"/>
  <c r="D1694" i="2"/>
  <c r="C1694" i="2"/>
  <c r="A1694" i="2"/>
  <c r="E1693" i="2"/>
  <c r="D1693" i="2"/>
  <c r="C1693" i="2"/>
  <c r="A1693" i="2"/>
  <c r="E1692" i="2"/>
  <c r="D1692" i="2"/>
  <c r="C1692" i="2"/>
  <c r="A1692" i="2"/>
  <c r="E1691" i="2"/>
  <c r="D1691" i="2"/>
  <c r="C1691" i="2"/>
  <c r="A1691" i="2"/>
  <c r="E1690" i="2"/>
  <c r="D1690" i="2"/>
  <c r="C1690" i="2"/>
  <c r="A1690" i="2"/>
  <c r="E1689" i="2"/>
  <c r="D1689" i="2"/>
  <c r="C1689" i="2"/>
  <c r="A1689" i="2"/>
  <c r="E1688" i="2"/>
  <c r="D1688" i="2"/>
  <c r="C1688" i="2"/>
  <c r="A1688" i="2"/>
  <c r="E1687" i="2"/>
  <c r="D1687" i="2"/>
  <c r="C1687" i="2"/>
  <c r="A1687" i="2"/>
  <c r="E1686" i="2"/>
  <c r="D1686" i="2"/>
  <c r="C1686" i="2"/>
  <c r="A1686" i="2"/>
  <c r="E1685" i="2"/>
  <c r="D1685" i="2"/>
  <c r="C1685" i="2"/>
  <c r="A1685" i="2"/>
  <c r="E1684" i="2"/>
  <c r="D1684" i="2"/>
  <c r="C1684" i="2"/>
  <c r="A1684" i="2"/>
  <c r="E1683" i="2"/>
  <c r="D1683" i="2"/>
  <c r="C1683" i="2"/>
  <c r="A1683" i="2"/>
  <c r="E1682" i="2"/>
  <c r="D1682" i="2"/>
  <c r="C1682" i="2"/>
  <c r="A1682" i="2"/>
  <c r="E1681" i="2"/>
  <c r="D1681" i="2"/>
  <c r="C1681" i="2"/>
  <c r="A1681" i="2"/>
  <c r="E1680" i="2"/>
  <c r="D1680" i="2"/>
  <c r="C1680" i="2"/>
  <c r="A1680" i="2"/>
  <c r="E1679" i="2"/>
  <c r="D1679" i="2"/>
  <c r="C1679" i="2"/>
  <c r="A1679" i="2"/>
  <c r="E1678" i="2"/>
  <c r="D1678" i="2"/>
  <c r="C1678" i="2"/>
  <c r="A1678" i="2"/>
  <c r="E1677" i="2"/>
  <c r="D1677" i="2"/>
  <c r="C1677" i="2"/>
  <c r="A1677" i="2"/>
  <c r="E1676" i="2"/>
  <c r="D1676" i="2"/>
  <c r="C1676" i="2"/>
  <c r="A1676" i="2"/>
  <c r="E1675" i="2"/>
  <c r="D1675" i="2"/>
  <c r="C1675" i="2"/>
  <c r="A1675" i="2"/>
  <c r="E1674" i="2"/>
  <c r="D1674" i="2"/>
  <c r="C1674" i="2"/>
  <c r="A1674" i="2"/>
  <c r="E1673" i="2"/>
  <c r="D1673" i="2"/>
  <c r="C1673" i="2"/>
  <c r="A1673" i="2"/>
  <c r="E1672" i="2"/>
  <c r="D1672" i="2"/>
  <c r="C1672" i="2"/>
  <c r="A1672" i="2"/>
  <c r="E1671" i="2"/>
  <c r="D1671" i="2"/>
  <c r="C1671" i="2"/>
  <c r="A1671" i="2"/>
  <c r="E1670" i="2"/>
  <c r="D1670" i="2"/>
  <c r="C1670" i="2"/>
  <c r="A1670" i="2"/>
  <c r="E1669" i="2"/>
  <c r="D1669" i="2"/>
  <c r="C1669" i="2"/>
  <c r="A1669" i="2"/>
  <c r="E1668" i="2"/>
  <c r="D1668" i="2"/>
  <c r="C1668" i="2"/>
  <c r="A1668" i="2"/>
  <c r="E1667" i="2"/>
  <c r="D1667" i="2"/>
  <c r="C1667" i="2"/>
  <c r="A1667" i="2"/>
  <c r="E1666" i="2"/>
  <c r="D1666" i="2"/>
  <c r="C1666" i="2"/>
  <c r="A1666" i="2"/>
  <c r="E1665" i="2"/>
  <c r="D1665" i="2"/>
  <c r="C1665" i="2"/>
  <c r="A1665" i="2"/>
  <c r="E1664" i="2"/>
  <c r="D1664" i="2"/>
  <c r="C1664" i="2"/>
  <c r="A1664" i="2"/>
  <c r="E1663" i="2"/>
  <c r="D1663" i="2"/>
  <c r="C1663" i="2"/>
  <c r="A1663" i="2"/>
  <c r="E1662" i="2"/>
  <c r="D1662" i="2"/>
  <c r="C1662" i="2"/>
  <c r="A1662" i="2"/>
  <c r="E1661" i="2"/>
  <c r="D1661" i="2"/>
  <c r="C1661" i="2"/>
  <c r="A1661" i="2"/>
  <c r="E1660" i="2"/>
  <c r="D1660" i="2"/>
  <c r="C1660" i="2"/>
  <c r="A1660" i="2"/>
  <c r="E1659" i="2"/>
  <c r="D1659" i="2"/>
  <c r="C1659" i="2"/>
  <c r="A1659" i="2"/>
  <c r="E1658" i="2"/>
  <c r="D1658" i="2"/>
  <c r="C1658" i="2"/>
  <c r="A1658" i="2"/>
  <c r="E1657" i="2"/>
  <c r="D1657" i="2"/>
  <c r="C1657" i="2"/>
  <c r="A1657" i="2"/>
  <c r="E1656" i="2"/>
  <c r="D1656" i="2"/>
  <c r="C1656" i="2"/>
  <c r="A1656" i="2"/>
  <c r="E1655" i="2"/>
  <c r="D1655" i="2"/>
  <c r="C1655" i="2"/>
  <c r="A1655" i="2"/>
  <c r="E1654" i="2"/>
  <c r="D1654" i="2"/>
  <c r="C1654" i="2"/>
  <c r="A1654" i="2"/>
  <c r="E1653" i="2"/>
  <c r="D1653" i="2"/>
  <c r="C1653" i="2"/>
  <c r="A1653" i="2"/>
  <c r="E1652" i="2"/>
  <c r="D1652" i="2"/>
  <c r="C1652" i="2"/>
  <c r="A1652" i="2"/>
  <c r="E1651" i="2"/>
  <c r="D1651" i="2"/>
  <c r="C1651" i="2"/>
  <c r="A1651" i="2"/>
  <c r="E1650" i="2"/>
  <c r="D1650" i="2"/>
  <c r="C1650" i="2"/>
  <c r="A1650" i="2"/>
  <c r="E1649" i="2"/>
  <c r="D1649" i="2"/>
  <c r="C1649" i="2"/>
  <c r="A1649" i="2"/>
  <c r="E1648" i="2"/>
  <c r="D1648" i="2"/>
  <c r="C1648" i="2"/>
  <c r="A1648" i="2"/>
  <c r="E1647" i="2"/>
  <c r="D1647" i="2"/>
  <c r="C1647" i="2"/>
  <c r="A1647" i="2"/>
  <c r="E1646" i="2"/>
  <c r="D1646" i="2"/>
  <c r="C1646" i="2"/>
  <c r="A1646" i="2"/>
  <c r="E1645" i="2"/>
  <c r="D1645" i="2"/>
  <c r="C1645" i="2"/>
  <c r="A1645" i="2"/>
  <c r="E1644" i="2"/>
  <c r="D1644" i="2"/>
  <c r="C1644" i="2"/>
  <c r="A1644" i="2"/>
  <c r="E1643" i="2"/>
  <c r="D1643" i="2"/>
  <c r="C1643" i="2"/>
  <c r="A1643" i="2"/>
  <c r="E1642" i="2"/>
  <c r="D1642" i="2"/>
  <c r="C1642" i="2"/>
  <c r="A1642" i="2"/>
  <c r="E1641" i="2"/>
  <c r="D1641" i="2"/>
  <c r="C1641" i="2"/>
  <c r="A1641" i="2"/>
  <c r="E1640" i="2"/>
  <c r="D1640" i="2"/>
  <c r="C1640" i="2"/>
  <c r="A1640" i="2"/>
  <c r="E1639" i="2"/>
  <c r="D1639" i="2"/>
  <c r="C1639" i="2"/>
  <c r="A1639" i="2"/>
  <c r="E1638" i="2"/>
  <c r="D1638" i="2"/>
  <c r="C1638" i="2"/>
  <c r="A1638" i="2"/>
  <c r="E1637" i="2"/>
  <c r="D1637" i="2"/>
  <c r="C1637" i="2"/>
  <c r="A1637" i="2"/>
  <c r="E1636" i="2"/>
  <c r="D1636" i="2"/>
  <c r="C1636" i="2"/>
  <c r="A1636" i="2"/>
  <c r="E1635" i="2"/>
  <c r="D1635" i="2"/>
  <c r="C1635" i="2"/>
  <c r="A1635" i="2"/>
  <c r="E1634" i="2"/>
  <c r="D1634" i="2"/>
  <c r="C1634" i="2"/>
  <c r="A1634" i="2"/>
  <c r="E1633" i="2"/>
  <c r="D1633" i="2"/>
  <c r="C1633" i="2"/>
  <c r="A1633" i="2"/>
  <c r="E1632" i="2"/>
  <c r="D1632" i="2"/>
  <c r="C1632" i="2"/>
  <c r="A1632" i="2"/>
  <c r="E1631" i="2"/>
  <c r="D1631" i="2"/>
  <c r="C1631" i="2"/>
  <c r="A1631" i="2"/>
  <c r="E1630" i="2"/>
  <c r="D1630" i="2"/>
  <c r="C1630" i="2"/>
  <c r="A1630" i="2"/>
  <c r="E1629" i="2"/>
  <c r="D1629" i="2"/>
  <c r="C1629" i="2"/>
  <c r="A1629" i="2"/>
  <c r="E1628" i="2"/>
  <c r="D1628" i="2"/>
  <c r="C1628" i="2"/>
  <c r="A1628" i="2"/>
  <c r="E1627" i="2"/>
  <c r="D1627" i="2"/>
  <c r="C1627" i="2"/>
  <c r="A1627" i="2"/>
  <c r="E1626" i="2"/>
  <c r="D1626" i="2"/>
  <c r="C1626" i="2"/>
  <c r="A1626" i="2"/>
  <c r="E1625" i="2"/>
  <c r="D1625" i="2"/>
  <c r="C1625" i="2"/>
  <c r="A1625" i="2"/>
  <c r="E1624" i="2"/>
  <c r="D1624" i="2"/>
  <c r="C1624" i="2"/>
  <c r="A1624" i="2"/>
  <c r="E1623" i="2"/>
  <c r="D1623" i="2"/>
  <c r="C1623" i="2"/>
  <c r="A1623" i="2"/>
  <c r="E1622" i="2"/>
  <c r="D1622" i="2"/>
  <c r="C1622" i="2"/>
  <c r="A1622" i="2"/>
  <c r="E1621" i="2"/>
  <c r="D1621" i="2"/>
  <c r="C1621" i="2"/>
  <c r="A1621" i="2"/>
  <c r="E1620" i="2"/>
  <c r="D1620" i="2"/>
  <c r="C1620" i="2"/>
  <c r="A1620" i="2"/>
  <c r="E1619" i="2"/>
  <c r="D1619" i="2"/>
  <c r="C1619" i="2"/>
  <c r="A1619" i="2"/>
  <c r="E1618" i="2"/>
  <c r="D1618" i="2"/>
  <c r="C1618" i="2"/>
  <c r="A1618" i="2"/>
  <c r="E1617" i="2"/>
  <c r="D1617" i="2"/>
  <c r="C1617" i="2"/>
  <c r="A1617" i="2"/>
  <c r="E1616" i="2"/>
  <c r="D1616" i="2"/>
  <c r="C1616" i="2"/>
  <c r="A1616" i="2"/>
  <c r="E1615" i="2"/>
  <c r="D1615" i="2"/>
  <c r="C1615" i="2"/>
  <c r="A1615" i="2"/>
  <c r="E1614" i="2"/>
  <c r="D1614" i="2"/>
  <c r="C1614" i="2"/>
  <c r="A1614" i="2"/>
  <c r="E1613" i="2"/>
  <c r="D1613" i="2"/>
  <c r="C1613" i="2"/>
  <c r="A1613" i="2"/>
  <c r="E1612" i="2"/>
  <c r="D1612" i="2"/>
  <c r="C1612" i="2"/>
  <c r="A1612" i="2"/>
  <c r="E1611" i="2"/>
  <c r="D1611" i="2"/>
  <c r="C1611" i="2"/>
  <c r="A1611" i="2"/>
  <c r="E1610" i="2"/>
  <c r="D1610" i="2"/>
  <c r="C1610" i="2"/>
  <c r="A1610" i="2"/>
  <c r="E1609" i="2"/>
  <c r="D1609" i="2"/>
  <c r="C1609" i="2"/>
  <c r="A1609" i="2"/>
  <c r="E1608" i="2"/>
  <c r="D1608" i="2"/>
  <c r="C1608" i="2"/>
  <c r="A1608" i="2"/>
  <c r="E1607" i="2"/>
  <c r="D1607" i="2"/>
  <c r="C1607" i="2"/>
  <c r="A1607" i="2"/>
  <c r="E1606" i="2"/>
  <c r="D1606" i="2"/>
  <c r="C1606" i="2"/>
  <c r="A1606" i="2"/>
  <c r="E1605" i="2"/>
  <c r="D1605" i="2"/>
  <c r="C1605" i="2"/>
  <c r="A1605" i="2"/>
  <c r="E1604" i="2"/>
  <c r="D1604" i="2"/>
  <c r="C1604" i="2"/>
  <c r="A1604" i="2"/>
  <c r="E1603" i="2"/>
  <c r="D1603" i="2"/>
  <c r="C1603" i="2"/>
  <c r="A1603" i="2"/>
  <c r="E1602" i="2"/>
  <c r="D1602" i="2"/>
  <c r="C1602" i="2"/>
  <c r="A1602" i="2"/>
  <c r="E1601" i="2"/>
  <c r="D1601" i="2"/>
  <c r="C1601" i="2"/>
  <c r="A1601" i="2"/>
  <c r="E1600" i="2"/>
  <c r="D1600" i="2"/>
  <c r="C1600" i="2"/>
  <c r="A1600" i="2"/>
  <c r="E1599" i="2"/>
  <c r="D1599" i="2"/>
  <c r="C1599" i="2"/>
  <c r="A1599" i="2"/>
  <c r="E1598" i="2"/>
  <c r="D1598" i="2"/>
  <c r="C1598" i="2"/>
  <c r="A1598" i="2"/>
  <c r="E1597" i="2"/>
  <c r="D1597" i="2"/>
  <c r="C1597" i="2"/>
  <c r="A1597" i="2"/>
  <c r="E1596" i="2"/>
  <c r="D1596" i="2"/>
  <c r="C1596" i="2"/>
  <c r="A1596" i="2"/>
  <c r="E1595" i="2"/>
  <c r="D1595" i="2"/>
  <c r="C1595" i="2"/>
  <c r="A1595" i="2"/>
  <c r="E1594" i="2"/>
  <c r="D1594" i="2"/>
  <c r="C1594" i="2"/>
  <c r="A1594" i="2"/>
  <c r="E1593" i="2"/>
  <c r="D1593" i="2"/>
  <c r="C1593" i="2"/>
  <c r="A1593" i="2"/>
  <c r="E1592" i="2"/>
  <c r="D1592" i="2"/>
  <c r="C1592" i="2"/>
  <c r="A1592" i="2"/>
  <c r="E1591" i="2"/>
  <c r="D1591" i="2"/>
  <c r="C1591" i="2"/>
  <c r="A1591" i="2"/>
  <c r="E1590" i="2"/>
  <c r="D1590" i="2"/>
  <c r="C1590" i="2"/>
  <c r="A1590" i="2"/>
  <c r="E1589" i="2"/>
  <c r="D1589" i="2"/>
  <c r="C1589" i="2"/>
  <c r="A1589" i="2"/>
  <c r="E1588" i="2"/>
  <c r="D1588" i="2"/>
  <c r="C1588" i="2"/>
  <c r="A1588" i="2"/>
  <c r="E1587" i="2"/>
  <c r="D1587" i="2"/>
  <c r="C1587" i="2"/>
  <c r="A1587" i="2"/>
  <c r="E1586" i="2"/>
  <c r="D1586" i="2"/>
  <c r="C1586" i="2"/>
  <c r="A1586" i="2"/>
  <c r="E1585" i="2"/>
  <c r="D1585" i="2"/>
  <c r="C1585" i="2"/>
  <c r="A1585" i="2"/>
  <c r="E1584" i="2"/>
  <c r="D1584" i="2"/>
  <c r="C1584" i="2"/>
  <c r="A1584" i="2"/>
  <c r="E1583" i="2"/>
  <c r="D1583" i="2"/>
  <c r="C1583" i="2"/>
  <c r="A1583" i="2"/>
  <c r="E1582" i="2"/>
  <c r="D1582" i="2"/>
  <c r="C1582" i="2"/>
  <c r="A1582" i="2"/>
  <c r="E1581" i="2"/>
  <c r="D1581" i="2"/>
  <c r="C1581" i="2"/>
  <c r="A1581" i="2"/>
  <c r="E1580" i="2"/>
  <c r="D1580" i="2"/>
  <c r="C1580" i="2"/>
  <c r="A1580" i="2"/>
  <c r="E1579" i="2"/>
  <c r="D1579" i="2"/>
  <c r="C1579" i="2"/>
  <c r="A1579" i="2"/>
  <c r="E1578" i="2"/>
  <c r="D1578" i="2"/>
  <c r="C1578" i="2"/>
  <c r="A1578" i="2"/>
  <c r="E1577" i="2"/>
  <c r="D1577" i="2"/>
  <c r="C1577" i="2"/>
  <c r="A1577" i="2"/>
  <c r="E1576" i="2"/>
  <c r="D1576" i="2"/>
  <c r="C1576" i="2"/>
  <c r="A1576" i="2"/>
  <c r="E1575" i="2"/>
  <c r="D1575" i="2"/>
  <c r="C1575" i="2"/>
  <c r="A1575" i="2"/>
  <c r="E1574" i="2"/>
  <c r="D1574" i="2"/>
  <c r="C1574" i="2"/>
  <c r="A1574" i="2"/>
  <c r="E1573" i="2"/>
  <c r="D1573" i="2"/>
  <c r="C1573" i="2"/>
  <c r="A1573" i="2"/>
  <c r="E1572" i="2"/>
  <c r="D1572" i="2"/>
  <c r="C1572" i="2"/>
  <c r="A1572" i="2"/>
  <c r="E1571" i="2"/>
  <c r="D1571" i="2"/>
  <c r="C1571" i="2"/>
  <c r="A1571" i="2"/>
  <c r="E1570" i="2"/>
  <c r="D1570" i="2"/>
  <c r="C1570" i="2"/>
  <c r="A1570" i="2"/>
  <c r="E1569" i="2"/>
  <c r="D1569" i="2"/>
  <c r="C1569" i="2"/>
  <c r="A1569" i="2"/>
  <c r="E1568" i="2"/>
  <c r="D1568" i="2"/>
  <c r="C1568" i="2"/>
  <c r="A1568" i="2"/>
  <c r="E1567" i="2"/>
  <c r="D1567" i="2"/>
  <c r="C1567" i="2"/>
  <c r="A1567" i="2"/>
  <c r="E1566" i="2"/>
  <c r="D1566" i="2"/>
  <c r="C1566" i="2"/>
  <c r="A1566" i="2"/>
  <c r="E1565" i="2"/>
  <c r="D1565" i="2"/>
  <c r="C1565" i="2"/>
  <c r="A1565" i="2"/>
  <c r="E1563" i="2"/>
  <c r="D1563" i="2"/>
  <c r="C1563" i="2"/>
  <c r="A1563" i="2"/>
  <c r="E1562" i="2"/>
  <c r="D1562" i="2"/>
  <c r="C1562" i="2"/>
  <c r="A1562" i="2"/>
  <c r="E1561" i="2"/>
  <c r="D1561" i="2"/>
  <c r="C1561" i="2"/>
  <c r="A1561" i="2"/>
  <c r="E1560" i="2"/>
  <c r="D1560" i="2"/>
  <c r="C1560" i="2"/>
  <c r="A1560" i="2"/>
  <c r="E1559" i="2"/>
  <c r="D1559" i="2"/>
  <c r="C1559" i="2"/>
  <c r="A1559" i="2"/>
  <c r="E1558" i="2"/>
  <c r="D1558" i="2"/>
  <c r="C1558" i="2"/>
  <c r="A1558" i="2"/>
  <c r="E1557" i="2"/>
  <c r="D1557" i="2"/>
  <c r="C1557" i="2"/>
  <c r="A1557" i="2"/>
  <c r="E1555" i="2"/>
  <c r="D1555" i="2"/>
  <c r="C1555" i="2"/>
  <c r="A1555" i="2"/>
  <c r="E1554" i="2"/>
  <c r="D1554" i="2"/>
  <c r="C1554" i="2"/>
  <c r="A1554" i="2"/>
  <c r="E1553" i="2"/>
  <c r="D1553" i="2"/>
  <c r="C1553" i="2"/>
  <c r="A1553" i="2"/>
  <c r="E1552" i="2"/>
  <c r="D1552" i="2"/>
  <c r="C1552" i="2"/>
  <c r="A1552" i="2"/>
  <c r="E1551" i="2"/>
  <c r="D1551" i="2"/>
  <c r="C1551" i="2"/>
  <c r="A1551" i="2"/>
  <c r="E1550" i="2"/>
  <c r="D1550" i="2"/>
  <c r="C1550" i="2"/>
  <c r="A1550" i="2"/>
  <c r="E1549" i="2"/>
  <c r="D1549" i="2"/>
  <c r="C1549" i="2"/>
  <c r="A1549" i="2"/>
  <c r="E1548" i="2"/>
  <c r="D1548" i="2"/>
  <c r="C1548" i="2"/>
  <c r="A1548" i="2"/>
  <c r="E1547" i="2"/>
  <c r="D1547" i="2"/>
  <c r="C1547" i="2"/>
  <c r="A1547" i="2"/>
  <c r="E1546" i="2"/>
  <c r="D1546" i="2"/>
  <c r="C1546" i="2"/>
  <c r="A1546" i="2"/>
  <c r="E1545" i="2"/>
  <c r="D1545" i="2"/>
  <c r="C1545" i="2"/>
  <c r="A1545" i="2"/>
  <c r="E1544" i="2"/>
  <c r="D1544" i="2"/>
  <c r="C1544" i="2"/>
  <c r="A1544" i="2"/>
  <c r="E1543" i="2"/>
  <c r="D1543" i="2"/>
  <c r="C1543" i="2"/>
  <c r="A1543" i="2"/>
  <c r="E1542" i="2"/>
  <c r="D1542" i="2"/>
  <c r="C1542" i="2"/>
  <c r="A1542" i="2"/>
  <c r="E1540" i="2"/>
  <c r="D1540" i="2"/>
  <c r="C1540" i="2"/>
  <c r="A1540" i="2"/>
  <c r="E1539" i="2"/>
  <c r="D1539" i="2"/>
  <c r="C1539" i="2"/>
  <c r="A1539" i="2"/>
  <c r="E1538" i="2"/>
  <c r="D1538" i="2"/>
  <c r="C1538" i="2"/>
  <c r="A1538" i="2"/>
  <c r="E1537" i="2"/>
  <c r="D1537" i="2"/>
  <c r="C1537" i="2"/>
  <c r="A1537" i="2"/>
  <c r="E1536" i="2"/>
  <c r="D1536" i="2"/>
  <c r="C1536" i="2"/>
  <c r="A1536" i="2"/>
  <c r="E1535" i="2"/>
  <c r="D1535" i="2"/>
  <c r="C1535" i="2"/>
  <c r="A1535" i="2"/>
  <c r="E1533" i="2"/>
  <c r="D1533" i="2"/>
  <c r="C1533" i="2"/>
  <c r="A1533" i="2"/>
  <c r="E1532" i="2"/>
  <c r="D1532" i="2"/>
  <c r="C1532" i="2"/>
  <c r="A1532" i="2"/>
  <c r="E1531" i="2"/>
  <c r="D1531" i="2"/>
  <c r="C1531" i="2"/>
  <c r="A1531" i="2"/>
  <c r="E1530" i="2"/>
  <c r="D1530" i="2"/>
  <c r="C1530" i="2"/>
  <c r="A1530" i="2"/>
  <c r="E1528" i="2"/>
  <c r="D1528" i="2"/>
  <c r="C1528" i="2"/>
  <c r="A1528" i="2"/>
  <c r="E1527" i="2"/>
  <c r="D1527" i="2"/>
  <c r="C1527" i="2"/>
  <c r="A1527" i="2"/>
  <c r="E1526" i="2"/>
  <c r="D1526" i="2"/>
  <c r="C1526" i="2"/>
  <c r="A1526" i="2"/>
  <c r="E1525" i="2"/>
  <c r="D1525" i="2"/>
  <c r="C1525" i="2"/>
  <c r="A1525" i="2"/>
  <c r="E1524" i="2"/>
  <c r="D1524" i="2"/>
  <c r="C1524" i="2"/>
  <c r="A1524" i="2"/>
  <c r="E1523" i="2"/>
  <c r="D1523" i="2"/>
  <c r="C1523" i="2"/>
  <c r="A1523" i="2"/>
  <c r="E1522" i="2"/>
  <c r="D1522" i="2"/>
  <c r="C1522" i="2"/>
  <c r="A1522" i="2"/>
  <c r="E1521" i="2"/>
  <c r="D1521" i="2"/>
  <c r="C1521" i="2"/>
  <c r="A1521" i="2"/>
  <c r="E1520" i="2"/>
  <c r="D1520" i="2"/>
  <c r="C1520" i="2"/>
  <c r="A1520" i="2"/>
  <c r="E1519" i="2"/>
  <c r="D1519" i="2"/>
  <c r="C1519" i="2"/>
  <c r="A1519" i="2"/>
  <c r="E1518" i="2"/>
  <c r="D1518" i="2"/>
  <c r="C1518" i="2"/>
  <c r="A1518" i="2"/>
  <c r="E1517" i="2"/>
  <c r="D1517" i="2"/>
  <c r="C1517" i="2"/>
  <c r="A1517" i="2"/>
  <c r="E1516" i="2"/>
  <c r="D1516" i="2"/>
  <c r="C1516" i="2"/>
  <c r="A1516" i="2"/>
  <c r="E1515" i="2"/>
  <c r="D1515" i="2"/>
  <c r="C1515" i="2"/>
  <c r="A1515" i="2"/>
  <c r="E1514" i="2"/>
  <c r="D1514" i="2"/>
  <c r="C1514" i="2"/>
  <c r="A1514" i="2"/>
  <c r="E1513" i="2"/>
  <c r="D1513" i="2"/>
  <c r="C1513" i="2"/>
  <c r="A1513" i="2"/>
  <c r="E1512" i="2"/>
  <c r="D1512" i="2"/>
  <c r="C1512" i="2"/>
  <c r="A1512" i="2"/>
  <c r="E1511" i="2"/>
  <c r="D1511" i="2"/>
  <c r="C1511" i="2"/>
  <c r="A1511" i="2"/>
  <c r="E1510" i="2"/>
  <c r="D1510" i="2"/>
  <c r="C1510" i="2"/>
  <c r="A1510" i="2"/>
  <c r="E1509" i="2"/>
  <c r="D1509" i="2"/>
  <c r="C1509" i="2"/>
  <c r="A1509" i="2"/>
  <c r="E1508" i="2"/>
  <c r="D1508" i="2"/>
  <c r="C1508" i="2"/>
  <c r="A1508" i="2"/>
  <c r="E1507" i="2"/>
  <c r="D1507" i="2"/>
  <c r="C1507" i="2"/>
  <c r="A1507" i="2"/>
  <c r="E1506" i="2"/>
  <c r="D1506" i="2"/>
  <c r="C1506" i="2"/>
  <c r="A1506" i="2"/>
  <c r="E1505" i="2"/>
  <c r="D1505" i="2"/>
  <c r="C1505" i="2"/>
  <c r="A1505" i="2"/>
  <c r="E1504" i="2"/>
  <c r="D1504" i="2"/>
  <c r="C1504" i="2"/>
  <c r="A1504" i="2"/>
  <c r="E1503" i="2"/>
  <c r="D1503" i="2"/>
  <c r="C1503" i="2"/>
  <c r="A1503" i="2"/>
  <c r="E1502" i="2"/>
  <c r="D1502" i="2"/>
  <c r="C1502" i="2"/>
  <c r="A1502" i="2"/>
  <c r="E1501" i="2"/>
  <c r="D1501" i="2"/>
  <c r="C1501" i="2"/>
  <c r="A1501" i="2"/>
  <c r="E1500" i="2"/>
  <c r="D1500" i="2"/>
  <c r="C1500" i="2"/>
  <c r="A1500" i="2"/>
  <c r="E1499" i="2"/>
  <c r="D1499" i="2"/>
  <c r="C1499" i="2"/>
  <c r="A1499" i="2"/>
  <c r="E1498" i="2"/>
  <c r="D1498" i="2"/>
  <c r="C1498" i="2"/>
  <c r="A1498" i="2"/>
  <c r="E1497" i="2"/>
  <c r="D1497" i="2"/>
  <c r="C1497" i="2"/>
  <c r="A1497" i="2"/>
  <c r="E1496" i="2"/>
  <c r="D1496" i="2"/>
  <c r="C1496" i="2"/>
  <c r="A1496" i="2"/>
  <c r="E1495" i="2"/>
  <c r="D1495" i="2"/>
  <c r="C1495" i="2"/>
  <c r="A1495" i="2"/>
  <c r="E1494" i="2"/>
  <c r="D1494" i="2"/>
  <c r="C1494" i="2"/>
  <c r="A1494" i="2"/>
  <c r="E1493" i="2"/>
  <c r="D1493" i="2"/>
  <c r="C1493" i="2"/>
  <c r="A1493" i="2"/>
  <c r="E1492" i="2"/>
  <c r="D1492" i="2"/>
  <c r="C1492" i="2"/>
  <c r="A1492" i="2"/>
  <c r="E1491" i="2"/>
  <c r="D1491" i="2"/>
  <c r="C1491" i="2"/>
  <c r="A1491" i="2"/>
  <c r="E1490" i="2"/>
  <c r="D1490" i="2"/>
  <c r="C1490" i="2"/>
  <c r="A1490" i="2"/>
  <c r="E1489" i="2"/>
  <c r="D1489" i="2"/>
  <c r="C1489" i="2"/>
  <c r="A1489" i="2"/>
  <c r="E1488" i="2"/>
  <c r="D1488" i="2"/>
  <c r="C1488" i="2"/>
  <c r="A1488" i="2"/>
  <c r="E1487" i="2"/>
  <c r="D1487" i="2"/>
  <c r="C1487" i="2"/>
  <c r="A1487" i="2"/>
  <c r="E1486" i="2"/>
  <c r="D1486" i="2"/>
  <c r="C1486" i="2"/>
  <c r="A1486" i="2"/>
  <c r="E1485" i="2"/>
  <c r="D1485" i="2"/>
  <c r="C1485" i="2"/>
  <c r="A1485" i="2"/>
  <c r="E1484" i="2"/>
  <c r="D1484" i="2"/>
  <c r="C1484" i="2"/>
  <c r="A1484" i="2"/>
  <c r="E1483" i="2"/>
  <c r="D1483" i="2"/>
  <c r="C1483" i="2"/>
  <c r="A1483" i="2"/>
  <c r="E1482" i="2"/>
  <c r="D1482" i="2"/>
  <c r="C1482" i="2"/>
  <c r="A1482" i="2"/>
  <c r="E1481" i="2"/>
  <c r="D1481" i="2"/>
  <c r="C1481" i="2"/>
  <c r="A1481" i="2"/>
  <c r="E1480" i="2"/>
  <c r="D1480" i="2"/>
  <c r="C1480" i="2"/>
  <c r="A1480" i="2"/>
  <c r="E1479" i="2"/>
  <c r="D1479" i="2"/>
  <c r="C1479" i="2"/>
  <c r="A1479" i="2"/>
  <c r="E1478" i="2"/>
  <c r="D1478" i="2"/>
  <c r="C1478" i="2"/>
  <c r="A1478" i="2"/>
  <c r="E1477" i="2"/>
  <c r="D1477" i="2"/>
  <c r="C1477" i="2"/>
  <c r="A1477" i="2"/>
  <c r="E1476" i="2"/>
  <c r="D1476" i="2"/>
  <c r="C1476" i="2"/>
  <c r="A1476" i="2"/>
  <c r="E1475" i="2"/>
  <c r="D1475" i="2"/>
  <c r="C1475" i="2"/>
  <c r="A1475" i="2"/>
  <c r="E1474" i="2"/>
  <c r="D1474" i="2"/>
  <c r="C1474" i="2"/>
  <c r="A1474" i="2"/>
  <c r="E1473" i="2"/>
  <c r="D1473" i="2"/>
  <c r="C1473" i="2"/>
  <c r="A1473" i="2"/>
  <c r="E1472" i="2"/>
  <c r="D1472" i="2"/>
  <c r="C1472" i="2"/>
  <c r="A1472" i="2"/>
  <c r="E1471" i="2"/>
  <c r="D1471" i="2"/>
  <c r="C1471" i="2"/>
  <c r="A1471" i="2"/>
  <c r="E1470" i="2"/>
  <c r="D1470" i="2"/>
  <c r="C1470" i="2"/>
  <c r="A1470" i="2"/>
  <c r="E1469" i="2"/>
  <c r="D1469" i="2"/>
  <c r="C1469" i="2"/>
  <c r="A1469" i="2"/>
  <c r="E1468" i="2"/>
  <c r="D1468" i="2"/>
  <c r="C1468" i="2"/>
  <c r="A1468" i="2"/>
  <c r="E1467" i="2"/>
  <c r="D1467" i="2"/>
  <c r="C1467" i="2"/>
  <c r="A1467" i="2"/>
  <c r="E1466" i="2"/>
  <c r="D1466" i="2"/>
  <c r="C1466" i="2"/>
  <c r="A1466" i="2"/>
  <c r="E1465" i="2"/>
  <c r="D1465" i="2"/>
  <c r="C1465" i="2"/>
  <c r="A1465" i="2"/>
  <c r="E1464" i="2"/>
  <c r="D1464" i="2"/>
  <c r="C1464" i="2"/>
  <c r="A1464" i="2"/>
  <c r="E1463" i="2"/>
  <c r="D1463" i="2"/>
  <c r="C1463" i="2"/>
  <c r="A1463" i="2"/>
  <c r="E1462" i="2"/>
  <c r="D1462" i="2"/>
  <c r="C1462" i="2"/>
  <c r="A1462" i="2"/>
  <c r="E1461" i="2"/>
  <c r="D1461" i="2"/>
  <c r="C1461" i="2"/>
  <c r="A1461" i="2"/>
  <c r="E1460" i="2"/>
  <c r="D1460" i="2"/>
  <c r="C1460" i="2"/>
  <c r="A1460" i="2"/>
  <c r="E1459" i="2"/>
  <c r="D1459" i="2"/>
  <c r="C1459" i="2"/>
  <c r="A1459" i="2"/>
  <c r="E1458" i="2"/>
  <c r="D1458" i="2"/>
  <c r="C1458" i="2"/>
  <c r="A1458" i="2"/>
  <c r="E1457" i="2"/>
  <c r="D1457" i="2"/>
  <c r="C1457" i="2"/>
  <c r="A1457" i="2"/>
  <c r="E1456" i="2"/>
  <c r="D1456" i="2"/>
  <c r="C1456" i="2"/>
  <c r="A1456" i="2"/>
  <c r="E1455" i="2"/>
  <c r="D1455" i="2"/>
  <c r="C1455" i="2"/>
  <c r="A1455" i="2"/>
  <c r="E1454" i="2"/>
  <c r="D1454" i="2"/>
  <c r="C1454" i="2"/>
  <c r="A1454" i="2"/>
  <c r="E1453" i="2"/>
  <c r="D1453" i="2"/>
  <c r="C1453" i="2"/>
  <c r="A1453" i="2"/>
  <c r="E1452" i="2"/>
  <c r="D1452" i="2"/>
  <c r="C1452" i="2"/>
  <c r="A1452" i="2"/>
  <c r="E1451" i="2"/>
  <c r="D1451" i="2"/>
  <c r="C1451" i="2"/>
  <c r="A1451" i="2"/>
  <c r="E1450" i="2"/>
  <c r="D1450" i="2"/>
  <c r="C1450" i="2"/>
  <c r="A1450" i="2"/>
  <c r="E1449" i="2"/>
  <c r="D1449" i="2"/>
  <c r="C1449" i="2"/>
  <c r="A1449" i="2"/>
  <c r="E1448" i="2"/>
  <c r="D1448" i="2"/>
  <c r="C1448" i="2"/>
  <c r="A1448" i="2"/>
  <c r="E1447" i="2"/>
  <c r="D1447" i="2"/>
  <c r="C1447" i="2"/>
  <c r="A1447" i="2"/>
  <c r="E1446" i="2"/>
  <c r="D1446" i="2"/>
  <c r="C1446" i="2"/>
  <c r="A1446" i="2"/>
  <c r="E1445" i="2"/>
  <c r="D1445" i="2"/>
  <c r="C1445" i="2"/>
  <c r="A1445" i="2"/>
  <c r="E1444" i="2"/>
  <c r="D1444" i="2"/>
  <c r="C1444" i="2"/>
  <c r="A1444" i="2"/>
  <c r="E1443" i="2"/>
  <c r="D1443" i="2"/>
  <c r="C1443" i="2"/>
  <c r="A1443" i="2"/>
  <c r="E1442" i="2"/>
  <c r="D1442" i="2"/>
  <c r="C1442" i="2"/>
  <c r="A1442" i="2"/>
  <c r="E1441" i="2"/>
  <c r="D1441" i="2"/>
  <c r="C1441" i="2"/>
  <c r="A1441" i="2"/>
  <c r="E1440" i="2"/>
  <c r="D1440" i="2"/>
  <c r="C1440" i="2"/>
  <c r="A1440" i="2"/>
  <c r="E1439" i="2"/>
  <c r="D1439" i="2"/>
  <c r="C1439" i="2"/>
  <c r="A1439" i="2"/>
  <c r="E1438" i="2"/>
  <c r="D1438" i="2"/>
  <c r="C1438" i="2"/>
  <c r="A1438" i="2"/>
  <c r="E1437" i="2"/>
  <c r="D1437" i="2"/>
  <c r="C1437" i="2"/>
  <c r="A1437" i="2"/>
  <c r="E1436" i="2"/>
  <c r="D1436" i="2"/>
  <c r="C1436" i="2"/>
  <c r="A1436" i="2"/>
  <c r="E1435" i="2"/>
  <c r="D1435" i="2"/>
  <c r="C1435" i="2"/>
  <c r="A1435" i="2"/>
  <c r="E1434" i="2"/>
  <c r="D1434" i="2"/>
  <c r="C1434" i="2"/>
  <c r="A1434" i="2"/>
  <c r="E1433" i="2"/>
  <c r="D1433" i="2"/>
  <c r="C1433" i="2"/>
  <c r="A1433" i="2"/>
  <c r="E1432" i="2"/>
  <c r="D1432" i="2"/>
  <c r="C1432" i="2"/>
  <c r="A1432" i="2"/>
  <c r="E1431" i="2"/>
  <c r="D1431" i="2"/>
  <c r="C1431" i="2"/>
  <c r="A1431" i="2"/>
  <c r="E1430" i="2"/>
  <c r="D1430" i="2"/>
  <c r="C1430" i="2"/>
  <c r="A1430" i="2"/>
  <c r="E1429" i="2"/>
  <c r="D1429" i="2"/>
  <c r="C1429" i="2"/>
  <c r="A1429" i="2"/>
  <c r="E1428" i="2"/>
  <c r="D1428" i="2"/>
  <c r="C1428" i="2"/>
  <c r="A1428" i="2"/>
  <c r="E1427" i="2"/>
  <c r="D1427" i="2"/>
  <c r="C1427" i="2"/>
  <c r="A1427" i="2"/>
  <c r="E1426" i="2"/>
  <c r="D1426" i="2"/>
  <c r="C1426" i="2"/>
  <c r="A1426" i="2"/>
  <c r="E1425" i="2"/>
  <c r="D1425" i="2"/>
  <c r="C1425" i="2"/>
  <c r="A1425" i="2"/>
  <c r="E1424" i="2"/>
  <c r="D1424" i="2"/>
  <c r="C1424" i="2"/>
  <c r="A1424" i="2"/>
  <c r="E1423" i="2"/>
  <c r="D1423" i="2"/>
  <c r="C1423" i="2"/>
  <c r="A1423" i="2"/>
  <c r="E1422" i="2"/>
  <c r="D1422" i="2"/>
  <c r="C1422" i="2"/>
  <c r="A1422" i="2"/>
  <c r="E1421" i="2"/>
  <c r="D1421" i="2"/>
  <c r="C1421" i="2"/>
  <c r="A1421" i="2"/>
  <c r="E1420" i="2"/>
  <c r="D1420" i="2"/>
  <c r="C1420" i="2"/>
  <c r="A1420" i="2"/>
  <c r="E1419" i="2"/>
  <c r="D1419" i="2"/>
  <c r="C1419" i="2"/>
  <c r="A1419" i="2"/>
  <c r="E1418" i="2"/>
  <c r="D1418" i="2"/>
  <c r="C1418" i="2"/>
  <c r="A1418" i="2"/>
  <c r="E1417" i="2"/>
  <c r="D1417" i="2"/>
  <c r="C1417" i="2"/>
  <c r="A1417" i="2"/>
  <c r="E1416" i="2"/>
  <c r="D1416" i="2"/>
  <c r="C1416" i="2"/>
  <c r="A1416" i="2"/>
  <c r="E1415" i="2"/>
  <c r="D1415" i="2"/>
  <c r="C1415" i="2"/>
  <c r="A1415" i="2"/>
  <c r="E1414" i="2"/>
  <c r="D1414" i="2"/>
  <c r="C1414" i="2"/>
  <c r="A1414" i="2"/>
  <c r="E1413" i="2"/>
  <c r="D1413" i="2"/>
  <c r="C1413" i="2"/>
  <c r="A1413" i="2"/>
  <c r="E1412" i="2"/>
  <c r="D1412" i="2"/>
  <c r="C1412" i="2"/>
  <c r="A1412" i="2"/>
  <c r="E1411" i="2"/>
  <c r="D1411" i="2"/>
  <c r="C1411" i="2"/>
  <c r="A1411" i="2"/>
  <c r="E1410" i="2"/>
  <c r="D1410" i="2"/>
  <c r="C1410" i="2"/>
  <c r="A1410" i="2"/>
  <c r="E1409" i="2"/>
  <c r="D1409" i="2"/>
  <c r="C1409" i="2"/>
  <c r="A1409" i="2"/>
  <c r="E1408" i="2"/>
  <c r="D1408" i="2"/>
  <c r="C1408" i="2"/>
  <c r="A1408" i="2"/>
  <c r="E1407" i="2"/>
  <c r="D1407" i="2"/>
  <c r="C1407" i="2"/>
  <c r="A1407" i="2"/>
  <c r="E1406" i="2"/>
  <c r="D1406" i="2"/>
  <c r="C1406" i="2"/>
  <c r="A1406" i="2"/>
  <c r="E1405" i="2"/>
  <c r="D1405" i="2"/>
  <c r="C1405" i="2"/>
  <c r="A1405" i="2"/>
  <c r="E1404" i="2"/>
  <c r="D1404" i="2"/>
  <c r="C1404" i="2"/>
  <c r="A1404" i="2"/>
  <c r="E1403" i="2"/>
  <c r="D1403" i="2"/>
  <c r="C1403" i="2"/>
  <c r="A1403" i="2"/>
  <c r="E1402" i="2"/>
  <c r="D1402" i="2"/>
  <c r="C1402" i="2"/>
  <c r="A1402" i="2"/>
  <c r="E1401" i="2"/>
  <c r="D1401" i="2"/>
  <c r="C1401" i="2"/>
  <c r="A1401" i="2"/>
  <c r="E1400" i="2"/>
  <c r="D1400" i="2"/>
  <c r="C1400" i="2"/>
  <c r="A1400" i="2"/>
  <c r="E1399" i="2"/>
  <c r="D1399" i="2"/>
  <c r="C1399" i="2"/>
  <c r="A1399" i="2"/>
  <c r="E1398" i="2"/>
  <c r="D1398" i="2"/>
  <c r="C1398" i="2"/>
  <c r="A1398" i="2"/>
  <c r="E1397" i="2"/>
  <c r="D1397" i="2"/>
  <c r="C1397" i="2"/>
  <c r="A1397" i="2"/>
  <c r="E1396" i="2"/>
  <c r="D1396" i="2"/>
  <c r="C1396" i="2"/>
  <c r="A1396" i="2"/>
  <c r="E1395" i="2"/>
  <c r="D1395" i="2"/>
  <c r="C1395" i="2"/>
  <c r="A1395" i="2"/>
  <c r="E1394" i="2"/>
  <c r="D1394" i="2"/>
  <c r="C1394" i="2"/>
  <c r="A1394" i="2"/>
  <c r="E1393" i="2"/>
  <c r="D1393" i="2"/>
  <c r="C1393" i="2"/>
  <c r="A1393" i="2"/>
  <c r="E1392" i="2"/>
  <c r="D1392" i="2"/>
  <c r="C1392" i="2"/>
  <c r="A1392" i="2"/>
  <c r="E1391" i="2"/>
  <c r="D1391" i="2"/>
  <c r="C1391" i="2"/>
  <c r="A1391" i="2"/>
  <c r="E1390" i="2"/>
  <c r="D1390" i="2"/>
  <c r="C1390" i="2"/>
  <c r="A1390" i="2"/>
  <c r="E1389" i="2"/>
  <c r="D1389" i="2"/>
  <c r="C1389" i="2"/>
  <c r="A1389" i="2"/>
  <c r="E1388" i="2"/>
  <c r="D1388" i="2"/>
  <c r="C1388" i="2"/>
  <c r="A1388" i="2"/>
  <c r="E1387" i="2"/>
  <c r="D1387" i="2"/>
  <c r="C1387" i="2"/>
  <c r="A1387" i="2"/>
  <c r="E1386" i="2"/>
  <c r="D1386" i="2"/>
  <c r="C1386" i="2"/>
  <c r="A1386" i="2"/>
  <c r="E1385" i="2"/>
  <c r="D1385" i="2"/>
  <c r="C1385" i="2"/>
  <c r="A1385" i="2"/>
  <c r="E1384" i="2"/>
  <c r="D1384" i="2"/>
  <c r="C1384" i="2"/>
  <c r="A1384" i="2"/>
  <c r="E1383" i="2"/>
  <c r="D1383" i="2"/>
  <c r="C1383" i="2"/>
  <c r="A1383" i="2"/>
  <c r="E1382" i="2"/>
  <c r="D1382" i="2"/>
  <c r="C1382" i="2"/>
  <c r="A1382" i="2"/>
  <c r="E1381" i="2"/>
  <c r="D1381" i="2"/>
  <c r="C1381" i="2"/>
  <c r="A1381" i="2"/>
  <c r="E1380" i="2"/>
  <c r="D1380" i="2"/>
  <c r="C1380" i="2"/>
  <c r="A1380" i="2"/>
  <c r="E1379" i="2"/>
  <c r="D1379" i="2"/>
  <c r="C1379" i="2"/>
  <c r="A1379" i="2"/>
  <c r="E1378" i="2"/>
  <c r="D1378" i="2"/>
  <c r="C1378" i="2"/>
  <c r="A1378" i="2"/>
  <c r="E1377" i="2"/>
  <c r="D1377" i="2"/>
  <c r="C1377" i="2"/>
  <c r="A1377" i="2"/>
  <c r="E1376" i="2"/>
  <c r="D1376" i="2"/>
  <c r="C1376" i="2"/>
  <c r="A1376" i="2"/>
  <c r="E1375" i="2"/>
  <c r="D1375" i="2"/>
  <c r="C1375" i="2"/>
  <c r="A1375" i="2"/>
  <c r="E1374" i="2"/>
  <c r="D1374" i="2"/>
  <c r="C1374" i="2"/>
  <c r="A1374" i="2"/>
  <c r="E1373" i="2"/>
  <c r="D1373" i="2"/>
  <c r="C1373" i="2"/>
  <c r="A1373" i="2"/>
  <c r="E1371" i="2"/>
  <c r="D1371" i="2"/>
  <c r="C1371" i="2"/>
  <c r="A1371" i="2"/>
  <c r="E1370" i="2"/>
  <c r="D1370" i="2"/>
  <c r="C1370" i="2"/>
  <c r="A1370" i="2"/>
  <c r="E1369" i="2"/>
  <c r="D1369" i="2"/>
  <c r="C1369" i="2"/>
  <c r="A1369" i="2"/>
  <c r="E1368" i="2"/>
  <c r="D1368" i="2"/>
  <c r="C1368" i="2"/>
  <c r="A1368" i="2"/>
  <c r="E1367" i="2"/>
  <c r="D1367" i="2"/>
  <c r="C1367" i="2"/>
  <c r="A1367" i="2"/>
  <c r="E1366" i="2"/>
  <c r="D1366" i="2"/>
  <c r="C1366" i="2"/>
  <c r="A1366" i="2"/>
  <c r="E1365" i="2"/>
  <c r="D1365" i="2"/>
  <c r="C1365" i="2"/>
  <c r="A1365" i="2"/>
  <c r="E1364" i="2"/>
  <c r="D1364" i="2"/>
  <c r="C1364" i="2"/>
  <c r="A1364" i="2"/>
  <c r="E1363" i="2"/>
  <c r="D1363" i="2"/>
  <c r="C1363" i="2"/>
  <c r="A1363" i="2"/>
  <c r="E1362" i="2"/>
  <c r="D1362" i="2"/>
  <c r="C1362" i="2"/>
  <c r="A1362" i="2"/>
  <c r="E1361" i="2"/>
  <c r="D1361" i="2"/>
  <c r="C1361" i="2"/>
  <c r="A1361" i="2"/>
  <c r="E1360" i="2"/>
  <c r="D1360" i="2"/>
  <c r="C1360" i="2"/>
  <c r="A1360" i="2"/>
  <c r="E1359" i="2"/>
  <c r="D1359" i="2"/>
  <c r="C1359" i="2"/>
  <c r="A1359" i="2"/>
  <c r="E1358" i="2"/>
  <c r="D1358" i="2"/>
  <c r="C1358" i="2"/>
  <c r="A1358" i="2"/>
  <c r="E1357" i="2"/>
  <c r="D1357" i="2"/>
  <c r="C1357" i="2"/>
  <c r="A1357" i="2"/>
  <c r="E1356" i="2"/>
  <c r="D1356" i="2"/>
  <c r="C1356" i="2"/>
  <c r="A1356" i="2"/>
  <c r="E1355" i="2"/>
  <c r="D1355" i="2"/>
  <c r="C1355" i="2"/>
  <c r="A1355" i="2"/>
  <c r="E1354" i="2"/>
  <c r="D1354" i="2"/>
  <c r="C1354" i="2"/>
  <c r="A1354" i="2"/>
  <c r="E1353" i="2"/>
  <c r="D1353" i="2"/>
  <c r="C1353" i="2"/>
  <c r="A1353" i="2"/>
  <c r="E1352" i="2"/>
  <c r="D1352" i="2"/>
  <c r="C1352" i="2"/>
  <c r="A1352" i="2"/>
  <c r="E1351" i="2"/>
  <c r="D1351" i="2"/>
  <c r="C1351" i="2"/>
  <c r="A1351" i="2"/>
  <c r="E1350" i="2"/>
  <c r="D1350" i="2"/>
  <c r="C1350" i="2"/>
  <c r="A1350" i="2"/>
  <c r="E1349" i="2"/>
  <c r="D1349" i="2"/>
  <c r="C1349" i="2"/>
  <c r="A1349" i="2"/>
  <c r="E1347" i="2"/>
  <c r="D1347" i="2"/>
  <c r="C1347" i="2"/>
  <c r="A1347" i="2"/>
  <c r="E1346" i="2"/>
  <c r="D1346" i="2"/>
  <c r="C1346" i="2"/>
  <c r="A1346" i="2"/>
  <c r="E1345" i="2"/>
  <c r="D1345" i="2"/>
  <c r="C1345" i="2"/>
  <c r="A1345" i="2"/>
  <c r="E1344" i="2"/>
  <c r="D1344" i="2"/>
  <c r="C1344" i="2"/>
  <c r="A1344" i="2"/>
  <c r="E1343" i="2"/>
  <c r="D1343" i="2"/>
  <c r="C1343" i="2"/>
  <c r="A1343" i="2"/>
  <c r="E1342" i="2"/>
  <c r="D1342" i="2"/>
  <c r="C1342" i="2"/>
  <c r="A1342" i="2"/>
  <c r="E1341" i="2"/>
  <c r="D1341" i="2"/>
  <c r="C1341" i="2"/>
  <c r="A1341" i="2"/>
  <c r="E1340" i="2"/>
  <c r="D1340" i="2"/>
  <c r="C1340" i="2"/>
  <c r="A1340" i="2"/>
  <c r="E1339" i="2"/>
  <c r="D1339" i="2"/>
  <c r="C1339" i="2"/>
  <c r="A1339" i="2"/>
  <c r="E1338" i="2"/>
  <c r="D1338" i="2"/>
  <c r="C1338" i="2"/>
  <c r="A1338" i="2"/>
  <c r="E1337" i="2"/>
  <c r="D1337" i="2"/>
  <c r="C1337" i="2"/>
  <c r="A1337" i="2"/>
  <c r="E1336" i="2"/>
  <c r="D1336" i="2"/>
  <c r="C1336" i="2"/>
  <c r="A1336" i="2"/>
  <c r="E1335" i="2"/>
  <c r="D1335" i="2"/>
  <c r="C1335" i="2"/>
  <c r="A1335" i="2"/>
  <c r="E1334" i="2"/>
  <c r="D1334" i="2"/>
  <c r="C1334" i="2"/>
  <c r="A1334" i="2"/>
  <c r="E1333" i="2"/>
  <c r="D1333" i="2"/>
  <c r="C1333" i="2"/>
  <c r="A1333" i="2"/>
  <c r="E1332" i="2"/>
  <c r="D1332" i="2"/>
  <c r="C1332" i="2"/>
  <c r="A1332" i="2"/>
  <c r="E1331" i="2"/>
  <c r="D1331" i="2"/>
  <c r="C1331" i="2"/>
  <c r="A1331" i="2"/>
  <c r="E1330" i="2"/>
  <c r="D1330" i="2"/>
  <c r="C1330" i="2"/>
  <c r="A1330" i="2"/>
  <c r="E1329" i="2"/>
  <c r="D1329" i="2"/>
  <c r="C1329" i="2"/>
  <c r="A1329" i="2"/>
  <c r="E1328" i="2"/>
  <c r="D1328" i="2"/>
  <c r="C1328" i="2"/>
  <c r="A1328" i="2"/>
  <c r="E1327" i="2"/>
  <c r="D1327" i="2"/>
  <c r="C1327" i="2"/>
  <c r="A1327" i="2"/>
  <c r="E1326" i="2"/>
  <c r="D1326" i="2"/>
  <c r="C1326" i="2"/>
  <c r="A1326" i="2"/>
  <c r="E1325" i="2"/>
  <c r="D1325" i="2"/>
  <c r="C1325" i="2"/>
  <c r="A1325" i="2"/>
  <c r="E1324" i="2"/>
  <c r="D1324" i="2"/>
  <c r="C1324" i="2"/>
  <c r="A1324" i="2"/>
  <c r="E1323" i="2"/>
  <c r="D1323" i="2"/>
  <c r="C1323" i="2"/>
  <c r="A1323" i="2"/>
  <c r="E1322" i="2"/>
  <c r="D1322" i="2"/>
  <c r="C1322" i="2"/>
  <c r="A1322" i="2"/>
  <c r="E1321" i="2"/>
  <c r="D1321" i="2"/>
  <c r="C1321" i="2"/>
  <c r="A1321" i="2"/>
  <c r="E1320" i="2"/>
  <c r="D1320" i="2"/>
  <c r="C1320" i="2"/>
  <c r="A1320" i="2"/>
  <c r="E1319" i="2"/>
  <c r="D1319" i="2"/>
  <c r="C1319" i="2"/>
  <c r="A1319" i="2"/>
  <c r="E1318" i="2"/>
  <c r="D1318" i="2"/>
  <c r="C1318" i="2"/>
  <c r="A1318" i="2"/>
  <c r="E1317" i="2"/>
  <c r="D1317" i="2"/>
  <c r="C1317" i="2"/>
  <c r="A1317" i="2"/>
  <c r="E1316" i="2"/>
  <c r="D1316" i="2"/>
  <c r="C1316" i="2"/>
  <c r="A1316" i="2"/>
  <c r="E1315" i="2"/>
  <c r="D1315" i="2"/>
  <c r="C1315" i="2"/>
  <c r="A1315" i="2"/>
  <c r="E1314" i="2"/>
  <c r="D1314" i="2"/>
  <c r="C1314" i="2"/>
  <c r="A1314" i="2"/>
  <c r="E1313" i="2"/>
  <c r="D1313" i="2"/>
  <c r="C1313" i="2"/>
  <c r="A1313" i="2"/>
  <c r="E1312" i="2"/>
  <c r="D1312" i="2"/>
  <c r="C1312" i="2"/>
  <c r="A1312" i="2"/>
  <c r="E1311" i="2"/>
  <c r="D1311" i="2"/>
  <c r="C1311" i="2"/>
  <c r="A1311" i="2"/>
  <c r="E1310" i="2"/>
  <c r="D1310" i="2"/>
  <c r="C1310" i="2"/>
  <c r="A1310" i="2"/>
  <c r="E1309" i="2"/>
  <c r="D1309" i="2"/>
  <c r="C1309" i="2"/>
  <c r="A1309" i="2"/>
  <c r="E1308" i="2"/>
  <c r="D1308" i="2"/>
  <c r="C1308" i="2"/>
  <c r="A1308" i="2"/>
  <c r="E1307" i="2"/>
  <c r="D1307" i="2"/>
  <c r="C1307" i="2"/>
  <c r="A1307" i="2"/>
  <c r="E1306" i="2"/>
  <c r="D1306" i="2"/>
  <c r="C1306" i="2"/>
  <c r="A1306" i="2"/>
  <c r="E1305" i="2"/>
  <c r="D1305" i="2"/>
  <c r="C1305" i="2"/>
  <c r="A1305" i="2"/>
  <c r="E1304" i="2"/>
  <c r="D1304" i="2"/>
  <c r="C1304" i="2"/>
  <c r="A1304" i="2"/>
  <c r="E1303" i="2"/>
  <c r="D1303" i="2"/>
  <c r="C1303" i="2"/>
  <c r="A1303" i="2"/>
  <c r="E1302" i="2"/>
  <c r="D1302" i="2"/>
  <c r="C1302" i="2"/>
  <c r="A1302" i="2"/>
  <c r="E1301" i="2"/>
  <c r="D1301" i="2"/>
  <c r="C1301" i="2"/>
  <c r="A1301" i="2"/>
  <c r="E1300" i="2"/>
  <c r="D1300" i="2"/>
  <c r="C1300" i="2"/>
  <c r="A1300" i="2"/>
  <c r="E1299" i="2"/>
  <c r="D1299" i="2"/>
  <c r="C1299" i="2"/>
  <c r="A1299" i="2"/>
  <c r="E1298" i="2"/>
  <c r="D1298" i="2"/>
  <c r="C1298" i="2"/>
  <c r="A1298" i="2"/>
  <c r="E1297" i="2"/>
  <c r="D1297" i="2"/>
  <c r="C1297" i="2"/>
  <c r="A1297" i="2"/>
  <c r="E1296" i="2"/>
  <c r="D1296" i="2"/>
  <c r="C1296" i="2"/>
  <c r="A1296" i="2"/>
  <c r="E1295" i="2"/>
  <c r="D1295" i="2"/>
  <c r="C1295" i="2"/>
  <c r="A1295" i="2"/>
  <c r="E1294" i="2"/>
  <c r="D1294" i="2"/>
  <c r="C1294" i="2"/>
  <c r="A1294" i="2"/>
  <c r="E1293" i="2"/>
  <c r="D1293" i="2"/>
  <c r="C1293" i="2"/>
  <c r="A1293" i="2"/>
  <c r="E1292" i="2"/>
  <c r="D1292" i="2"/>
  <c r="C1292" i="2"/>
  <c r="A1292" i="2"/>
  <c r="E1291" i="2"/>
  <c r="D1291" i="2"/>
  <c r="C1291" i="2"/>
  <c r="A1291" i="2"/>
  <c r="E1290" i="2"/>
  <c r="D1290" i="2"/>
  <c r="C1290" i="2"/>
  <c r="A1290" i="2"/>
  <c r="E1289" i="2"/>
  <c r="D1289" i="2"/>
  <c r="C1289" i="2"/>
  <c r="A1289" i="2"/>
  <c r="E1288" i="2"/>
  <c r="D1288" i="2"/>
  <c r="C1288" i="2"/>
  <c r="A1288" i="2"/>
  <c r="E1287" i="2"/>
  <c r="D1287" i="2"/>
  <c r="C1287" i="2"/>
  <c r="A1287" i="2"/>
  <c r="E1286" i="2"/>
  <c r="D1286" i="2"/>
  <c r="C1286" i="2"/>
  <c r="A1286" i="2"/>
  <c r="E1285" i="2"/>
  <c r="D1285" i="2"/>
  <c r="C1285" i="2"/>
  <c r="A1285" i="2"/>
  <c r="E1284" i="2"/>
  <c r="D1284" i="2"/>
  <c r="C1284" i="2"/>
  <c r="A1284" i="2"/>
  <c r="E1283" i="2"/>
  <c r="D1283" i="2"/>
  <c r="C1283" i="2"/>
  <c r="A1283" i="2"/>
  <c r="E1282" i="2"/>
  <c r="D1282" i="2"/>
  <c r="C1282" i="2"/>
  <c r="A1282" i="2"/>
  <c r="E1281" i="2"/>
  <c r="D1281" i="2"/>
  <c r="C1281" i="2"/>
  <c r="A1281" i="2"/>
  <c r="E1280" i="2"/>
  <c r="D1280" i="2"/>
  <c r="C1280" i="2"/>
  <c r="A1280" i="2"/>
  <c r="E1279" i="2"/>
  <c r="D1279" i="2"/>
  <c r="C1279" i="2"/>
  <c r="A1279" i="2"/>
  <c r="E1278" i="2"/>
  <c r="D1278" i="2"/>
  <c r="C1278" i="2"/>
  <c r="A1278" i="2"/>
  <c r="E1277" i="2"/>
  <c r="D1277" i="2"/>
  <c r="C1277" i="2"/>
  <c r="A1277" i="2"/>
  <c r="E1276" i="2"/>
  <c r="D1276" i="2"/>
  <c r="C1276" i="2"/>
  <c r="A1276" i="2"/>
  <c r="E1275" i="2"/>
  <c r="D1275" i="2"/>
  <c r="C1275" i="2"/>
  <c r="A1275" i="2"/>
  <c r="E1274" i="2"/>
  <c r="D1274" i="2"/>
  <c r="C1274" i="2"/>
  <c r="A1274" i="2"/>
  <c r="E1273" i="2"/>
  <c r="D1273" i="2"/>
  <c r="C1273" i="2"/>
  <c r="A1273" i="2"/>
  <c r="E1272" i="2"/>
  <c r="D1272" i="2"/>
  <c r="C1272" i="2"/>
  <c r="A1272" i="2"/>
  <c r="E1271" i="2"/>
  <c r="D1271" i="2"/>
  <c r="C1271" i="2"/>
  <c r="A1271" i="2"/>
  <c r="E1270" i="2"/>
  <c r="D1270" i="2"/>
  <c r="C1270" i="2"/>
  <c r="A1270" i="2"/>
  <c r="E1269" i="2"/>
  <c r="D1269" i="2"/>
  <c r="C1269" i="2"/>
  <c r="A1269" i="2"/>
  <c r="E1268" i="2"/>
  <c r="D1268" i="2"/>
  <c r="C1268" i="2"/>
  <c r="A1268" i="2"/>
  <c r="E1267" i="2"/>
  <c r="D1267" i="2"/>
  <c r="C1267" i="2"/>
  <c r="A1267" i="2"/>
  <c r="E1266" i="2"/>
  <c r="D1266" i="2"/>
  <c r="C1266" i="2"/>
  <c r="A1266" i="2"/>
  <c r="E1265" i="2"/>
  <c r="D1265" i="2"/>
  <c r="C1265" i="2"/>
  <c r="A1265" i="2"/>
  <c r="E1264" i="2"/>
  <c r="D1264" i="2"/>
  <c r="C1264" i="2"/>
  <c r="A1264" i="2"/>
  <c r="E1263" i="2"/>
  <c r="D1263" i="2"/>
  <c r="C1263" i="2"/>
  <c r="A1263" i="2"/>
  <c r="E1262" i="2"/>
  <c r="D1262" i="2"/>
  <c r="C1262" i="2"/>
  <c r="A1262" i="2"/>
  <c r="E1261" i="2"/>
  <c r="D1261" i="2"/>
  <c r="C1261" i="2"/>
  <c r="A1261" i="2"/>
  <c r="E1260" i="2"/>
  <c r="D1260" i="2"/>
  <c r="C1260" i="2"/>
  <c r="A1260" i="2"/>
  <c r="E1259" i="2"/>
  <c r="D1259" i="2"/>
  <c r="C1259" i="2"/>
  <c r="A1259" i="2"/>
  <c r="E1258" i="2"/>
  <c r="D1258" i="2"/>
  <c r="C1258" i="2"/>
  <c r="A1258" i="2"/>
  <c r="E1257" i="2"/>
  <c r="D1257" i="2"/>
  <c r="C1257" i="2"/>
  <c r="A1257" i="2"/>
  <c r="E1256" i="2"/>
  <c r="D1256" i="2"/>
  <c r="C1256" i="2"/>
  <c r="A1256" i="2"/>
  <c r="E1255" i="2"/>
  <c r="D1255" i="2"/>
  <c r="C1255" i="2"/>
  <c r="A1255" i="2"/>
  <c r="E1254" i="2"/>
  <c r="D1254" i="2"/>
  <c r="C1254" i="2"/>
  <c r="A1254" i="2"/>
  <c r="E1253" i="2"/>
  <c r="D1253" i="2"/>
  <c r="C1253" i="2"/>
  <c r="A1253" i="2"/>
  <c r="E1252" i="2"/>
  <c r="D1252" i="2"/>
  <c r="C1252" i="2"/>
  <c r="A1252" i="2"/>
  <c r="E1251" i="2"/>
  <c r="D1251" i="2"/>
  <c r="C1251" i="2"/>
  <c r="A1251" i="2"/>
  <c r="E1250" i="2"/>
  <c r="D1250" i="2"/>
  <c r="C1250" i="2"/>
  <c r="A1250" i="2"/>
  <c r="E1249" i="2"/>
  <c r="D1249" i="2"/>
  <c r="C1249" i="2"/>
  <c r="A1249" i="2"/>
  <c r="E1248" i="2"/>
  <c r="D1248" i="2"/>
  <c r="C1248" i="2"/>
  <c r="A1248" i="2"/>
  <c r="E1247" i="2"/>
  <c r="D1247" i="2"/>
  <c r="C1247" i="2"/>
  <c r="A1247" i="2"/>
  <c r="E1246" i="2"/>
  <c r="D1246" i="2"/>
  <c r="C1246" i="2"/>
  <c r="A1246" i="2"/>
  <c r="E1245" i="2"/>
  <c r="D1245" i="2"/>
  <c r="C1245" i="2"/>
  <c r="A1245" i="2"/>
  <c r="E1242" i="2"/>
  <c r="D1242" i="2"/>
  <c r="C1242" i="2"/>
  <c r="A1242" i="2"/>
  <c r="E1240" i="2"/>
  <c r="D1240" i="2"/>
  <c r="C1240" i="2"/>
  <c r="A1240" i="2"/>
  <c r="E1238" i="2"/>
  <c r="D1238" i="2"/>
  <c r="C1238" i="2"/>
  <c r="A1238" i="2"/>
  <c r="E1237" i="2"/>
  <c r="D1237" i="2"/>
  <c r="C1237" i="2"/>
  <c r="A1237" i="2"/>
  <c r="E1236" i="2"/>
  <c r="D1236" i="2"/>
  <c r="C1236" i="2"/>
  <c r="A1236" i="2"/>
  <c r="E1235" i="2"/>
  <c r="D1235" i="2"/>
  <c r="C1235" i="2"/>
  <c r="A1235" i="2"/>
  <c r="E1234" i="2"/>
  <c r="D1234" i="2"/>
  <c r="C1234" i="2"/>
  <c r="A1234" i="2"/>
  <c r="E1233" i="2"/>
  <c r="D1233" i="2"/>
  <c r="C1233" i="2"/>
  <c r="A1233" i="2"/>
  <c r="E1232" i="2"/>
  <c r="D1232" i="2"/>
  <c r="C1232" i="2"/>
  <c r="A1232" i="2"/>
  <c r="E1231" i="2"/>
  <c r="D1231" i="2"/>
  <c r="C1231" i="2"/>
  <c r="A1231" i="2"/>
  <c r="E1230" i="2"/>
  <c r="D1230" i="2"/>
  <c r="C1230" i="2"/>
  <c r="A1230" i="2"/>
  <c r="E1229" i="2"/>
  <c r="D1229" i="2"/>
  <c r="C1229" i="2"/>
  <c r="A1229" i="2"/>
  <c r="E1228" i="2"/>
  <c r="D1228" i="2"/>
  <c r="C1228" i="2"/>
  <c r="A1228" i="2"/>
  <c r="E1227" i="2"/>
  <c r="D1227" i="2"/>
  <c r="C1227" i="2"/>
  <c r="A1227" i="2"/>
  <c r="E1226" i="2"/>
  <c r="D1226" i="2"/>
  <c r="C1226" i="2"/>
  <c r="A1226" i="2"/>
  <c r="E1225" i="2"/>
  <c r="D1225" i="2"/>
  <c r="C1225" i="2"/>
  <c r="A1225" i="2"/>
  <c r="E1224" i="2"/>
  <c r="D1224" i="2"/>
  <c r="C1224" i="2"/>
  <c r="A1224" i="2"/>
  <c r="E1223" i="2"/>
  <c r="D1223" i="2"/>
  <c r="C1223" i="2"/>
  <c r="A1223" i="2"/>
  <c r="E1222" i="2"/>
  <c r="D1222" i="2"/>
  <c r="C1222" i="2"/>
  <c r="A1222" i="2"/>
  <c r="E1221" i="2"/>
  <c r="D1221" i="2"/>
  <c r="C1221" i="2"/>
  <c r="A1221" i="2"/>
  <c r="E1220" i="2"/>
  <c r="D1220" i="2"/>
  <c r="C1220" i="2"/>
  <c r="A1220" i="2"/>
  <c r="E1219" i="2"/>
  <c r="D1219" i="2"/>
  <c r="C1219" i="2"/>
  <c r="A1219" i="2"/>
  <c r="E1218" i="2"/>
  <c r="D1218" i="2"/>
  <c r="C1218" i="2"/>
  <c r="A1218" i="2"/>
  <c r="E1217" i="2"/>
  <c r="D1217" i="2"/>
  <c r="C1217" i="2"/>
  <c r="A1217" i="2"/>
  <c r="E1216" i="2"/>
  <c r="D1216" i="2"/>
  <c r="C1216" i="2"/>
  <c r="A1216" i="2"/>
  <c r="E1215" i="2"/>
  <c r="D1215" i="2"/>
  <c r="C1215" i="2"/>
  <c r="A1215" i="2"/>
  <c r="E1214" i="2"/>
  <c r="D1214" i="2"/>
  <c r="C1214" i="2"/>
  <c r="A1214" i="2"/>
  <c r="E1213" i="2"/>
  <c r="D1213" i="2"/>
  <c r="C1213" i="2"/>
  <c r="A1213" i="2"/>
  <c r="E1212" i="2"/>
  <c r="D1212" i="2"/>
  <c r="C1212" i="2"/>
  <c r="A1212" i="2"/>
  <c r="E1211" i="2"/>
  <c r="D1211" i="2"/>
  <c r="C1211" i="2"/>
  <c r="A1211" i="2"/>
  <c r="E1210" i="2"/>
  <c r="D1210" i="2"/>
  <c r="C1210" i="2"/>
  <c r="A1210" i="2"/>
  <c r="E1209" i="2"/>
  <c r="D1209" i="2"/>
  <c r="C1209" i="2"/>
  <c r="A1209" i="2"/>
  <c r="E1208" i="2"/>
  <c r="D1208" i="2"/>
  <c r="C1208" i="2"/>
  <c r="A1208" i="2"/>
  <c r="E1207" i="2"/>
  <c r="D1207" i="2"/>
  <c r="C1207" i="2"/>
  <c r="A1207" i="2"/>
  <c r="E1206" i="2"/>
  <c r="D1206" i="2"/>
  <c r="C1206" i="2"/>
  <c r="A1206" i="2"/>
  <c r="E1205" i="2"/>
  <c r="D1205" i="2"/>
  <c r="C1205" i="2"/>
  <c r="A1205" i="2"/>
  <c r="E1204" i="2"/>
  <c r="D1204" i="2"/>
  <c r="C1204" i="2"/>
  <c r="A1204" i="2"/>
  <c r="E1203" i="2"/>
  <c r="D1203" i="2"/>
  <c r="C1203" i="2"/>
  <c r="A1203" i="2"/>
  <c r="E1202" i="2"/>
  <c r="D1202" i="2"/>
  <c r="C1202" i="2"/>
  <c r="A1202" i="2"/>
  <c r="E1201" i="2"/>
  <c r="D1201" i="2"/>
  <c r="C1201" i="2"/>
  <c r="A1201" i="2"/>
  <c r="E1200" i="2"/>
  <c r="D1200" i="2"/>
  <c r="C1200" i="2"/>
  <c r="A1200" i="2"/>
  <c r="E1199" i="2"/>
  <c r="D1199" i="2"/>
  <c r="C1199" i="2"/>
  <c r="A1199" i="2"/>
  <c r="E1198" i="2"/>
  <c r="D1198" i="2"/>
  <c r="C1198" i="2"/>
  <c r="A1198" i="2"/>
  <c r="E1197" i="2"/>
  <c r="D1197" i="2"/>
  <c r="C1197" i="2"/>
  <c r="A1197" i="2"/>
  <c r="E1196" i="2"/>
  <c r="D1196" i="2"/>
  <c r="C1196" i="2"/>
  <c r="A1196" i="2"/>
  <c r="E1194" i="2"/>
  <c r="D1194" i="2"/>
  <c r="C1194" i="2"/>
  <c r="A1194" i="2"/>
  <c r="E1193" i="2"/>
  <c r="D1193" i="2"/>
  <c r="C1193" i="2"/>
  <c r="A1193" i="2"/>
  <c r="E1192" i="2"/>
  <c r="D1192" i="2"/>
  <c r="C1192" i="2"/>
  <c r="A1192" i="2"/>
  <c r="E1191" i="2"/>
  <c r="D1191" i="2"/>
  <c r="C1191" i="2"/>
  <c r="A1191" i="2"/>
  <c r="E1190" i="2"/>
  <c r="D1190" i="2"/>
  <c r="C1190" i="2"/>
  <c r="A1190" i="2"/>
  <c r="E1189" i="2"/>
  <c r="D1189" i="2"/>
  <c r="C1189" i="2"/>
  <c r="A1189" i="2"/>
  <c r="E1188" i="2"/>
  <c r="D1188" i="2"/>
  <c r="C1188" i="2"/>
  <c r="A1188" i="2"/>
  <c r="E1187" i="2"/>
  <c r="D1187" i="2"/>
  <c r="C1187" i="2"/>
  <c r="A1187" i="2"/>
  <c r="E1186" i="2"/>
  <c r="D1186" i="2"/>
  <c r="C1186" i="2"/>
  <c r="A1186" i="2"/>
  <c r="E1185" i="2"/>
  <c r="D1185" i="2"/>
  <c r="C1185" i="2"/>
  <c r="A1185" i="2"/>
  <c r="E1184" i="2"/>
  <c r="D1184" i="2"/>
  <c r="C1184" i="2"/>
  <c r="A1184" i="2"/>
  <c r="E1183" i="2"/>
  <c r="D1183" i="2"/>
  <c r="C1183" i="2"/>
  <c r="A1183" i="2"/>
  <c r="E1182" i="2"/>
  <c r="D1182" i="2"/>
  <c r="C1182" i="2"/>
  <c r="A1182" i="2"/>
  <c r="E1181" i="2"/>
  <c r="D1181" i="2"/>
  <c r="C1181" i="2"/>
  <c r="A1181" i="2"/>
  <c r="E1180" i="2"/>
  <c r="D1180" i="2"/>
  <c r="C1180" i="2"/>
  <c r="A1180" i="2"/>
  <c r="E1179" i="2"/>
  <c r="D1179" i="2"/>
  <c r="C1179" i="2"/>
  <c r="A1179" i="2"/>
  <c r="E1178" i="2"/>
  <c r="D1178" i="2"/>
  <c r="C1178" i="2"/>
  <c r="A1178" i="2"/>
  <c r="E1177" i="2"/>
  <c r="D1177" i="2"/>
  <c r="C1177" i="2"/>
  <c r="A1177" i="2"/>
  <c r="E1176" i="2"/>
  <c r="D1176" i="2"/>
  <c r="C1176" i="2"/>
  <c r="A1176" i="2"/>
  <c r="E1175" i="2"/>
  <c r="D1175" i="2"/>
  <c r="C1175" i="2"/>
  <c r="A1175" i="2"/>
  <c r="E1174" i="2"/>
  <c r="D1174" i="2"/>
  <c r="C1174" i="2"/>
  <c r="A1174" i="2"/>
  <c r="E1173" i="2"/>
  <c r="D1173" i="2"/>
  <c r="C1173" i="2"/>
  <c r="A1173" i="2"/>
  <c r="E1172" i="2"/>
  <c r="D1172" i="2"/>
  <c r="C1172" i="2"/>
  <c r="A1172" i="2"/>
  <c r="E1171" i="2"/>
  <c r="D1171" i="2"/>
  <c r="C1171" i="2"/>
  <c r="A1171" i="2"/>
  <c r="E1170" i="2"/>
  <c r="D1170" i="2"/>
  <c r="C1170" i="2"/>
  <c r="A1170" i="2"/>
  <c r="E1169" i="2"/>
  <c r="D1169" i="2"/>
  <c r="C1169" i="2"/>
  <c r="A1169" i="2"/>
  <c r="E1168" i="2"/>
  <c r="D1168" i="2"/>
  <c r="C1168" i="2"/>
  <c r="A1168" i="2"/>
  <c r="E1167" i="2"/>
  <c r="D1167" i="2"/>
  <c r="C1167" i="2"/>
  <c r="A1167" i="2"/>
  <c r="E1166" i="2"/>
  <c r="D1166" i="2"/>
  <c r="C1166" i="2"/>
  <c r="A1166" i="2"/>
  <c r="E1165" i="2"/>
  <c r="D1165" i="2"/>
  <c r="C1165" i="2"/>
  <c r="A1165" i="2"/>
  <c r="E1164" i="2"/>
  <c r="D1164" i="2"/>
  <c r="C1164" i="2"/>
  <c r="A1164" i="2"/>
  <c r="E1163" i="2"/>
  <c r="D1163" i="2"/>
  <c r="C1163" i="2"/>
  <c r="A1163" i="2"/>
  <c r="E1162" i="2"/>
  <c r="D1162" i="2"/>
  <c r="C1162" i="2"/>
  <c r="A1162" i="2"/>
  <c r="E1161" i="2"/>
  <c r="D1161" i="2"/>
  <c r="C1161" i="2"/>
  <c r="A1161" i="2"/>
  <c r="E1160" i="2"/>
  <c r="D1160" i="2"/>
  <c r="C1160" i="2"/>
  <c r="A1160" i="2"/>
  <c r="E1159" i="2"/>
  <c r="D1159" i="2"/>
  <c r="C1159" i="2"/>
  <c r="A1159" i="2"/>
  <c r="E1157" i="2"/>
  <c r="D1157" i="2"/>
  <c r="C1157" i="2"/>
  <c r="A1157" i="2"/>
  <c r="E1156" i="2"/>
  <c r="D1156" i="2"/>
  <c r="C1156" i="2"/>
  <c r="A1156" i="2"/>
  <c r="E1155" i="2"/>
  <c r="D1155" i="2"/>
  <c r="C1155" i="2"/>
  <c r="A1155" i="2"/>
  <c r="E1154" i="2"/>
  <c r="D1154" i="2"/>
  <c r="C1154" i="2"/>
  <c r="A1154" i="2"/>
  <c r="E1153" i="2"/>
  <c r="D1153" i="2"/>
  <c r="C1153" i="2"/>
  <c r="A1153" i="2"/>
  <c r="E1152" i="2"/>
  <c r="D1152" i="2"/>
  <c r="C1152" i="2"/>
  <c r="A1152" i="2"/>
  <c r="E1151" i="2"/>
  <c r="D1151" i="2"/>
  <c r="C1151" i="2"/>
  <c r="A1151" i="2"/>
  <c r="E1150" i="2"/>
  <c r="D1150" i="2"/>
  <c r="C1150" i="2"/>
  <c r="A1150" i="2"/>
  <c r="E1149" i="2"/>
  <c r="D1149" i="2"/>
  <c r="C1149" i="2"/>
  <c r="A1149" i="2"/>
  <c r="E1148" i="2"/>
  <c r="D1148" i="2"/>
  <c r="C1148" i="2"/>
  <c r="A1148" i="2"/>
  <c r="E1147" i="2"/>
  <c r="D1147" i="2"/>
  <c r="C1147" i="2"/>
  <c r="A1147" i="2"/>
  <c r="E1146" i="2"/>
  <c r="D1146" i="2"/>
  <c r="C1146" i="2"/>
  <c r="A1146" i="2"/>
  <c r="E1145" i="2"/>
  <c r="D1145" i="2"/>
  <c r="C1145" i="2"/>
  <c r="A1145" i="2"/>
  <c r="E1144" i="2"/>
  <c r="D1144" i="2"/>
  <c r="C1144" i="2"/>
  <c r="A1144" i="2"/>
  <c r="E1143" i="2"/>
  <c r="D1143" i="2"/>
  <c r="C1143" i="2"/>
  <c r="A1143" i="2"/>
  <c r="E1142" i="2"/>
  <c r="D1142" i="2"/>
  <c r="C1142" i="2"/>
  <c r="A1142" i="2"/>
  <c r="E1141" i="2"/>
  <c r="D1141" i="2"/>
  <c r="C1141" i="2"/>
  <c r="A1141" i="2"/>
  <c r="E1140" i="2"/>
  <c r="D1140" i="2"/>
  <c r="C1140" i="2"/>
  <c r="A1140" i="2"/>
  <c r="E1139" i="2"/>
  <c r="D1139" i="2"/>
  <c r="C1139" i="2"/>
  <c r="A1139" i="2"/>
  <c r="E1138" i="2"/>
  <c r="D1138" i="2"/>
  <c r="C1138" i="2"/>
  <c r="A1138" i="2"/>
  <c r="E1137" i="2"/>
  <c r="D1137" i="2"/>
  <c r="C1137" i="2"/>
  <c r="A1137" i="2"/>
  <c r="E1136" i="2"/>
  <c r="D1136" i="2"/>
  <c r="C1136" i="2"/>
  <c r="A1136" i="2"/>
  <c r="E1135" i="2"/>
  <c r="D1135" i="2"/>
  <c r="C1135" i="2"/>
  <c r="A1135" i="2"/>
  <c r="E1134" i="2"/>
  <c r="D1134" i="2"/>
  <c r="C1134" i="2"/>
  <c r="A1134" i="2"/>
  <c r="E1133" i="2"/>
  <c r="D1133" i="2"/>
  <c r="C1133" i="2"/>
  <c r="A1133" i="2"/>
  <c r="E1132" i="2"/>
  <c r="D1132" i="2"/>
  <c r="C1132" i="2"/>
  <c r="A1132" i="2"/>
  <c r="E1131" i="2"/>
  <c r="D1131" i="2"/>
  <c r="C1131" i="2"/>
  <c r="A1131" i="2"/>
  <c r="E1130" i="2"/>
  <c r="D1130" i="2"/>
  <c r="C1130" i="2"/>
  <c r="A1130" i="2"/>
  <c r="E1129" i="2"/>
  <c r="D1129" i="2"/>
  <c r="C1129" i="2"/>
  <c r="A1129" i="2"/>
  <c r="E1128" i="2"/>
  <c r="D1128" i="2"/>
  <c r="C1128" i="2"/>
  <c r="A1128" i="2"/>
  <c r="E1127" i="2"/>
  <c r="D1127" i="2"/>
  <c r="C1127" i="2"/>
  <c r="A1127" i="2"/>
  <c r="E1126" i="2"/>
  <c r="D1126" i="2"/>
  <c r="C1126" i="2"/>
  <c r="A1126" i="2"/>
  <c r="E1125" i="2"/>
  <c r="D1125" i="2"/>
  <c r="C1125" i="2"/>
  <c r="A1125" i="2"/>
  <c r="E1124" i="2"/>
  <c r="D1124" i="2"/>
  <c r="C1124" i="2"/>
  <c r="A1124" i="2"/>
  <c r="E1123" i="2"/>
  <c r="D1123" i="2"/>
  <c r="C1123" i="2"/>
  <c r="A1123" i="2"/>
  <c r="E1122" i="2"/>
  <c r="D1122" i="2"/>
  <c r="C1122" i="2"/>
  <c r="A1122" i="2"/>
  <c r="E1121" i="2"/>
  <c r="D1121" i="2"/>
  <c r="C1121" i="2"/>
  <c r="A1121" i="2"/>
  <c r="E1120" i="2"/>
  <c r="D1120" i="2"/>
  <c r="C1120" i="2"/>
  <c r="A1120" i="2"/>
  <c r="E1119" i="2"/>
  <c r="D1119" i="2"/>
  <c r="C1119" i="2"/>
  <c r="A1119" i="2"/>
  <c r="E1118" i="2"/>
  <c r="D1118" i="2"/>
  <c r="C1118" i="2"/>
  <c r="A1118" i="2"/>
  <c r="E1117" i="2"/>
  <c r="D1117" i="2"/>
  <c r="C1117" i="2"/>
  <c r="A1117" i="2"/>
  <c r="E1116" i="2"/>
  <c r="D1116" i="2"/>
  <c r="C1116" i="2"/>
  <c r="A1116" i="2"/>
  <c r="E1115" i="2"/>
  <c r="D1115" i="2"/>
  <c r="C1115" i="2"/>
  <c r="A1115" i="2"/>
  <c r="E1114" i="2"/>
  <c r="D1114" i="2"/>
  <c r="C1114" i="2"/>
  <c r="A1114" i="2"/>
  <c r="E1113" i="2"/>
  <c r="D1113" i="2"/>
  <c r="C1113" i="2"/>
  <c r="A1113" i="2"/>
  <c r="E1112" i="2"/>
  <c r="D1112" i="2"/>
  <c r="C1112" i="2"/>
  <c r="A1112" i="2"/>
  <c r="E1111" i="2"/>
  <c r="D1111" i="2"/>
  <c r="C1111" i="2"/>
  <c r="A1111" i="2"/>
  <c r="E1110" i="2"/>
  <c r="D1110" i="2"/>
  <c r="C1110" i="2"/>
  <c r="A1110" i="2"/>
  <c r="E1109" i="2"/>
  <c r="D1109" i="2"/>
  <c r="C1109" i="2"/>
  <c r="A1109" i="2"/>
  <c r="E1108" i="2"/>
  <c r="D1108" i="2"/>
  <c r="C1108" i="2"/>
  <c r="A1108" i="2"/>
  <c r="E1107" i="2"/>
  <c r="D1107" i="2"/>
  <c r="C1107" i="2"/>
  <c r="A1107" i="2"/>
  <c r="E1106" i="2"/>
  <c r="D1106" i="2"/>
  <c r="C1106" i="2"/>
  <c r="A1106" i="2"/>
  <c r="E1105" i="2"/>
  <c r="D1105" i="2"/>
  <c r="C1105" i="2"/>
  <c r="A1105" i="2"/>
  <c r="E1104" i="2"/>
  <c r="D1104" i="2"/>
  <c r="C1104" i="2"/>
  <c r="A1104" i="2"/>
  <c r="E1103" i="2"/>
  <c r="D1103" i="2"/>
  <c r="C1103" i="2"/>
  <c r="A1103" i="2"/>
  <c r="E1102" i="2"/>
  <c r="D1102" i="2"/>
  <c r="C1102" i="2"/>
  <c r="A1102" i="2"/>
  <c r="E1101" i="2"/>
  <c r="D1101" i="2"/>
  <c r="C1101" i="2"/>
  <c r="A1101" i="2"/>
  <c r="E1100" i="2"/>
  <c r="D1100" i="2"/>
  <c r="C1100" i="2"/>
  <c r="A1100" i="2"/>
  <c r="E1099" i="2"/>
  <c r="D1099" i="2"/>
  <c r="C1099" i="2"/>
  <c r="A1099" i="2"/>
  <c r="E1098" i="2"/>
  <c r="D1098" i="2"/>
  <c r="C1098" i="2"/>
  <c r="A1098" i="2"/>
  <c r="E1097" i="2"/>
  <c r="D1097" i="2"/>
  <c r="C1097" i="2"/>
  <c r="A1097" i="2"/>
  <c r="E1096" i="2"/>
  <c r="D1096" i="2"/>
  <c r="C1096" i="2"/>
  <c r="A1096" i="2"/>
  <c r="E1095" i="2"/>
  <c r="D1095" i="2"/>
  <c r="C1095" i="2"/>
  <c r="A1095" i="2"/>
  <c r="E1094" i="2"/>
  <c r="D1094" i="2"/>
  <c r="C1094" i="2"/>
  <c r="A1094" i="2"/>
  <c r="E1093" i="2"/>
  <c r="D1093" i="2"/>
  <c r="C1093" i="2"/>
  <c r="A1093" i="2"/>
  <c r="E1092" i="2"/>
  <c r="D1092" i="2"/>
  <c r="C1092" i="2"/>
  <c r="A1092" i="2"/>
  <c r="E1091" i="2"/>
  <c r="D1091" i="2"/>
  <c r="C1091" i="2"/>
  <c r="A1091" i="2"/>
  <c r="E1090" i="2"/>
  <c r="D1090" i="2"/>
  <c r="C1090" i="2"/>
  <c r="A1090" i="2"/>
  <c r="E1089" i="2"/>
  <c r="D1089" i="2"/>
  <c r="C1089" i="2"/>
  <c r="A1089" i="2"/>
  <c r="E1088" i="2"/>
  <c r="D1088" i="2"/>
  <c r="C1088" i="2"/>
  <c r="A1088" i="2"/>
  <c r="E1087" i="2"/>
  <c r="D1087" i="2"/>
  <c r="C1087" i="2"/>
  <c r="A1087" i="2"/>
  <c r="E1086" i="2"/>
  <c r="D1086" i="2"/>
  <c r="C1086" i="2"/>
  <c r="A1086" i="2"/>
  <c r="E1085" i="2"/>
  <c r="D1085" i="2"/>
  <c r="C1085" i="2"/>
  <c r="A1085" i="2"/>
  <c r="E1084" i="2"/>
  <c r="D1084" i="2"/>
  <c r="C1084" i="2"/>
  <c r="A1084" i="2"/>
  <c r="E1083" i="2"/>
  <c r="D1083" i="2"/>
  <c r="C1083" i="2"/>
  <c r="A1083" i="2"/>
  <c r="E1082" i="2"/>
  <c r="D1082" i="2"/>
  <c r="C1082" i="2"/>
  <c r="A1082" i="2"/>
  <c r="E1081" i="2"/>
  <c r="D1081" i="2"/>
  <c r="C1081" i="2"/>
  <c r="A1081" i="2"/>
  <c r="E1080" i="2"/>
  <c r="D1080" i="2"/>
  <c r="C1080" i="2"/>
  <c r="A1080" i="2"/>
  <c r="E1079" i="2"/>
  <c r="D1079" i="2"/>
  <c r="C1079" i="2"/>
  <c r="A1079" i="2"/>
  <c r="E1078" i="2"/>
  <c r="D1078" i="2"/>
  <c r="C1078" i="2"/>
  <c r="A1078" i="2"/>
  <c r="E1077" i="2"/>
  <c r="D1077" i="2"/>
  <c r="C1077" i="2"/>
  <c r="A1077" i="2"/>
  <c r="E1076" i="2"/>
  <c r="D1076" i="2"/>
  <c r="C1076" i="2"/>
  <c r="A1076" i="2"/>
  <c r="E1075" i="2"/>
  <c r="D1075" i="2"/>
  <c r="C1075" i="2"/>
  <c r="A1075" i="2"/>
  <c r="E1074" i="2"/>
  <c r="D1074" i="2"/>
  <c r="C1074" i="2"/>
  <c r="A1074" i="2"/>
  <c r="E1073" i="2"/>
  <c r="D1073" i="2"/>
  <c r="C1073" i="2"/>
  <c r="A1073" i="2"/>
  <c r="E1072" i="2"/>
  <c r="D1072" i="2"/>
  <c r="C1072" i="2"/>
  <c r="A1072" i="2"/>
  <c r="E1071" i="2"/>
  <c r="D1071" i="2"/>
  <c r="C1071" i="2"/>
  <c r="A1071" i="2"/>
  <c r="E1070" i="2"/>
  <c r="D1070" i="2"/>
  <c r="C1070" i="2"/>
  <c r="A1070" i="2"/>
  <c r="E1069" i="2"/>
  <c r="D1069" i="2"/>
  <c r="C1069" i="2"/>
  <c r="A1069" i="2"/>
  <c r="E1068" i="2"/>
  <c r="D1068" i="2"/>
  <c r="C1068" i="2"/>
  <c r="A1068" i="2"/>
  <c r="E1067" i="2"/>
  <c r="D1067" i="2"/>
  <c r="C1067" i="2"/>
  <c r="A1067" i="2"/>
  <c r="E1066" i="2"/>
  <c r="D1066" i="2"/>
  <c r="C1066" i="2"/>
  <c r="A1066" i="2"/>
  <c r="E1065" i="2"/>
  <c r="D1065" i="2"/>
  <c r="C1065" i="2"/>
  <c r="A1065" i="2"/>
  <c r="E1064" i="2"/>
  <c r="D1064" i="2"/>
  <c r="C1064" i="2"/>
  <c r="A1064" i="2"/>
  <c r="E1063" i="2"/>
  <c r="D1063" i="2"/>
  <c r="C1063" i="2"/>
  <c r="A1063" i="2"/>
  <c r="E1062" i="2"/>
  <c r="D1062" i="2"/>
  <c r="C1062" i="2"/>
  <c r="A1062" i="2"/>
  <c r="E1061" i="2"/>
  <c r="D1061" i="2"/>
  <c r="C1061" i="2"/>
  <c r="A1061" i="2"/>
  <c r="E1060" i="2"/>
  <c r="D1060" i="2"/>
  <c r="C1060" i="2"/>
  <c r="A1060" i="2"/>
  <c r="E1059" i="2"/>
  <c r="D1059" i="2"/>
  <c r="C1059" i="2"/>
  <c r="A1059" i="2"/>
  <c r="E1058" i="2"/>
  <c r="D1058" i="2"/>
  <c r="C1058" i="2"/>
  <c r="A1058" i="2"/>
  <c r="E1057" i="2"/>
  <c r="D1057" i="2"/>
  <c r="C1057" i="2"/>
  <c r="A1057" i="2"/>
  <c r="E1056" i="2"/>
  <c r="D1056" i="2"/>
  <c r="C1056" i="2"/>
  <c r="A1056" i="2"/>
  <c r="E1055" i="2"/>
  <c r="D1055" i="2"/>
  <c r="C1055" i="2"/>
  <c r="A1055" i="2"/>
  <c r="E1054" i="2"/>
  <c r="D1054" i="2"/>
  <c r="C1054" i="2"/>
  <c r="A1054" i="2"/>
  <c r="E1053" i="2"/>
  <c r="D1053" i="2"/>
  <c r="C1053" i="2"/>
  <c r="A1053" i="2"/>
  <c r="E1052" i="2"/>
  <c r="D1052" i="2"/>
  <c r="C1052" i="2"/>
  <c r="A1052" i="2"/>
  <c r="E1051" i="2"/>
  <c r="D1051" i="2"/>
  <c r="C1051" i="2"/>
  <c r="A1051" i="2"/>
  <c r="E1050" i="2"/>
  <c r="D1050" i="2"/>
  <c r="C1050" i="2"/>
  <c r="A1050" i="2"/>
  <c r="E1049" i="2"/>
  <c r="D1049" i="2"/>
  <c r="C1049" i="2"/>
  <c r="A1049" i="2"/>
  <c r="E1048" i="2"/>
  <c r="D1048" i="2"/>
  <c r="C1048" i="2"/>
  <c r="A1048" i="2"/>
  <c r="E1047" i="2"/>
  <c r="D1047" i="2"/>
  <c r="C1047" i="2"/>
  <c r="A1047" i="2"/>
  <c r="E1046" i="2"/>
  <c r="D1046" i="2"/>
  <c r="C1046" i="2"/>
  <c r="A1046" i="2"/>
  <c r="E1045" i="2"/>
  <c r="D1045" i="2"/>
  <c r="C1045" i="2"/>
  <c r="A1045" i="2"/>
  <c r="E1044" i="2"/>
  <c r="D1044" i="2"/>
  <c r="C1044" i="2"/>
  <c r="A1044" i="2"/>
  <c r="E1043" i="2"/>
  <c r="D1043" i="2"/>
  <c r="C1043" i="2"/>
  <c r="A1043" i="2"/>
  <c r="E1042" i="2"/>
  <c r="D1042" i="2"/>
  <c r="C1042" i="2"/>
  <c r="A1042" i="2"/>
  <c r="E1041" i="2"/>
  <c r="D1041" i="2"/>
  <c r="C1041" i="2"/>
  <c r="A1041" i="2"/>
  <c r="E1040" i="2"/>
  <c r="D1040" i="2"/>
  <c r="C1040" i="2"/>
  <c r="A1040" i="2"/>
  <c r="E1039" i="2"/>
  <c r="D1039" i="2"/>
  <c r="C1039" i="2"/>
  <c r="A1039" i="2"/>
  <c r="E1038" i="2"/>
  <c r="D1038" i="2"/>
  <c r="C1038" i="2"/>
  <c r="A1038" i="2"/>
  <c r="E1037" i="2"/>
  <c r="D1037" i="2"/>
  <c r="C1037" i="2"/>
  <c r="A1037" i="2"/>
  <c r="E1036" i="2"/>
  <c r="D1036" i="2"/>
  <c r="C1036" i="2"/>
  <c r="A1036" i="2"/>
  <c r="E1035" i="2"/>
  <c r="D1035" i="2"/>
  <c r="C1035" i="2"/>
  <c r="A1035" i="2"/>
  <c r="E1034" i="2"/>
  <c r="D1034" i="2"/>
  <c r="C1034" i="2"/>
  <c r="A1034" i="2"/>
  <c r="E1033" i="2"/>
  <c r="D1033" i="2"/>
  <c r="C1033" i="2"/>
  <c r="A1033" i="2"/>
  <c r="E1032" i="2"/>
  <c r="D1032" i="2"/>
  <c r="C1032" i="2"/>
  <c r="A1032" i="2"/>
  <c r="E1031" i="2"/>
  <c r="D1031" i="2"/>
  <c r="C1031" i="2"/>
  <c r="A1031" i="2"/>
  <c r="E1030" i="2"/>
  <c r="D1030" i="2"/>
  <c r="C1030" i="2"/>
  <c r="A1030" i="2"/>
  <c r="E1029" i="2"/>
  <c r="D1029" i="2"/>
  <c r="C1029" i="2"/>
  <c r="A1029" i="2"/>
  <c r="E1028" i="2"/>
  <c r="D1028" i="2"/>
  <c r="C1028" i="2"/>
  <c r="A1028" i="2"/>
  <c r="E1027" i="2"/>
  <c r="D1027" i="2"/>
  <c r="C1027" i="2"/>
  <c r="A1027" i="2"/>
  <c r="E1026" i="2"/>
  <c r="D1026" i="2"/>
  <c r="C1026" i="2"/>
  <c r="A1026" i="2"/>
  <c r="E1025" i="2"/>
  <c r="D1025" i="2"/>
  <c r="C1025" i="2"/>
  <c r="A1025" i="2"/>
  <c r="E1024" i="2"/>
  <c r="D1024" i="2"/>
  <c r="C1024" i="2"/>
  <c r="A1024" i="2"/>
  <c r="E1023" i="2"/>
  <c r="D1023" i="2"/>
  <c r="C1023" i="2"/>
  <c r="A1023" i="2"/>
  <c r="E1022" i="2"/>
  <c r="D1022" i="2"/>
  <c r="C1022" i="2"/>
  <c r="A1022" i="2"/>
  <c r="E1021" i="2"/>
  <c r="D1021" i="2"/>
  <c r="C1021" i="2"/>
  <c r="A1021" i="2"/>
  <c r="E1020" i="2"/>
  <c r="D1020" i="2"/>
  <c r="C1020" i="2"/>
  <c r="A1020" i="2"/>
  <c r="E1019" i="2"/>
  <c r="D1019" i="2"/>
  <c r="C1019" i="2"/>
  <c r="A1019" i="2"/>
  <c r="E1018" i="2"/>
  <c r="D1018" i="2"/>
  <c r="C1018" i="2"/>
  <c r="A1018" i="2"/>
  <c r="E1017" i="2"/>
  <c r="D1017" i="2"/>
  <c r="C1017" i="2"/>
  <c r="A1017" i="2"/>
  <c r="E1016" i="2"/>
  <c r="D1016" i="2"/>
  <c r="C1016" i="2"/>
  <c r="A1016" i="2"/>
  <c r="E1015" i="2"/>
  <c r="D1015" i="2"/>
  <c r="C1015" i="2"/>
  <c r="A1015" i="2"/>
  <c r="E1014" i="2"/>
  <c r="D1014" i="2"/>
  <c r="C1014" i="2"/>
  <c r="A1014" i="2"/>
  <c r="E1013" i="2"/>
  <c r="D1013" i="2"/>
  <c r="C1013" i="2"/>
  <c r="A1013" i="2"/>
  <c r="E1012" i="2"/>
  <c r="D1012" i="2"/>
  <c r="C1012" i="2"/>
  <c r="A1012" i="2"/>
  <c r="E1011" i="2"/>
  <c r="D1011" i="2"/>
  <c r="C1011" i="2"/>
  <c r="A1011" i="2"/>
  <c r="E1010" i="2"/>
  <c r="D1010" i="2"/>
  <c r="C1010" i="2"/>
  <c r="A1010" i="2"/>
  <c r="E1009" i="2"/>
  <c r="D1009" i="2"/>
  <c r="C1009" i="2"/>
  <c r="A1009" i="2"/>
  <c r="E1008" i="2"/>
  <c r="D1008" i="2"/>
  <c r="C1008" i="2"/>
  <c r="A1008" i="2"/>
  <c r="E1007" i="2"/>
  <c r="D1007" i="2"/>
  <c r="C1007" i="2"/>
  <c r="A1007" i="2"/>
  <c r="E1006" i="2"/>
  <c r="D1006" i="2"/>
  <c r="C1006" i="2"/>
  <c r="A1006" i="2"/>
  <c r="E1005" i="2"/>
  <c r="D1005" i="2"/>
  <c r="C1005" i="2"/>
  <c r="A1005" i="2"/>
  <c r="E1004" i="2"/>
  <c r="D1004" i="2"/>
  <c r="C1004" i="2"/>
  <c r="A1004" i="2"/>
  <c r="E1003" i="2"/>
  <c r="D1003" i="2"/>
  <c r="C1003" i="2"/>
  <c r="A1003" i="2"/>
  <c r="E1002" i="2"/>
  <c r="D1002" i="2"/>
  <c r="C1002" i="2"/>
  <c r="A1002" i="2"/>
  <c r="E1001" i="2"/>
  <c r="D1001" i="2"/>
  <c r="C1001" i="2"/>
  <c r="A1001" i="2"/>
  <c r="E1000" i="2"/>
  <c r="D1000" i="2"/>
  <c r="C1000" i="2"/>
  <c r="A1000" i="2"/>
  <c r="E999" i="2"/>
  <c r="D999" i="2"/>
  <c r="C999" i="2"/>
  <c r="A999" i="2"/>
  <c r="E998" i="2"/>
  <c r="D998" i="2"/>
  <c r="C998" i="2"/>
  <c r="A998" i="2"/>
  <c r="E997" i="2"/>
  <c r="D997" i="2"/>
  <c r="C997" i="2"/>
  <c r="A997" i="2"/>
  <c r="E996" i="2"/>
  <c r="D996" i="2"/>
  <c r="C996" i="2"/>
  <c r="A996" i="2"/>
  <c r="E995" i="2"/>
  <c r="D995" i="2"/>
  <c r="C995" i="2"/>
  <c r="A995" i="2"/>
  <c r="E994" i="2"/>
  <c r="D994" i="2"/>
  <c r="C994" i="2"/>
  <c r="A994" i="2"/>
  <c r="E993" i="2"/>
  <c r="D993" i="2"/>
  <c r="C993" i="2"/>
  <c r="A993" i="2"/>
  <c r="E992" i="2"/>
  <c r="D992" i="2"/>
  <c r="C992" i="2"/>
  <c r="A992" i="2"/>
  <c r="E991" i="2"/>
  <c r="D991" i="2"/>
  <c r="C991" i="2"/>
  <c r="A991" i="2"/>
  <c r="E990" i="2"/>
  <c r="D990" i="2"/>
  <c r="C990" i="2"/>
  <c r="A990" i="2"/>
  <c r="E989" i="2"/>
  <c r="D989" i="2"/>
  <c r="C989" i="2"/>
  <c r="A989" i="2"/>
  <c r="E988" i="2"/>
  <c r="D988" i="2"/>
  <c r="C988" i="2"/>
  <c r="A988" i="2"/>
  <c r="E987" i="2"/>
  <c r="D987" i="2"/>
  <c r="C987" i="2"/>
  <c r="A987" i="2"/>
  <c r="E986" i="2"/>
  <c r="D986" i="2"/>
  <c r="C986" i="2"/>
  <c r="A986" i="2"/>
  <c r="E985" i="2"/>
  <c r="D985" i="2"/>
  <c r="C985" i="2"/>
  <c r="A985" i="2"/>
  <c r="E984" i="2"/>
  <c r="D984" i="2"/>
  <c r="C984" i="2"/>
  <c r="A984" i="2"/>
  <c r="E983" i="2"/>
  <c r="D983" i="2"/>
  <c r="C983" i="2"/>
  <c r="A983" i="2"/>
  <c r="E982" i="2"/>
  <c r="D982" i="2"/>
  <c r="C982" i="2"/>
  <c r="A982" i="2"/>
  <c r="E981" i="2"/>
  <c r="D981" i="2"/>
  <c r="C981" i="2"/>
  <c r="A981" i="2"/>
  <c r="E980" i="2"/>
  <c r="D980" i="2"/>
  <c r="C980" i="2"/>
  <c r="A980" i="2"/>
  <c r="E979" i="2"/>
  <c r="D979" i="2"/>
  <c r="C979" i="2"/>
  <c r="A979" i="2"/>
  <c r="E978" i="2"/>
  <c r="D978" i="2"/>
  <c r="C978" i="2"/>
  <c r="A978" i="2"/>
  <c r="E977" i="2"/>
  <c r="D977" i="2"/>
  <c r="C977" i="2"/>
  <c r="A977" i="2"/>
  <c r="E976" i="2"/>
  <c r="D976" i="2"/>
  <c r="C976" i="2"/>
  <c r="A976" i="2"/>
  <c r="E975" i="2"/>
  <c r="D975" i="2"/>
  <c r="C975" i="2"/>
  <c r="A975" i="2"/>
  <c r="E974" i="2"/>
  <c r="D974" i="2"/>
  <c r="C974" i="2"/>
  <c r="A974" i="2"/>
  <c r="E973" i="2"/>
  <c r="D973" i="2"/>
  <c r="C973" i="2"/>
  <c r="A973" i="2"/>
  <c r="E972" i="2"/>
  <c r="D972" i="2"/>
  <c r="C972" i="2"/>
  <c r="A972" i="2"/>
  <c r="E971" i="2"/>
  <c r="D971" i="2"/>
  <c r="C971" i="2"/>
  <c r="A971" i="2"/>
  <c r="E970" i="2"/>
  <c r="D970" i="2"/>
  <c r="C970" i="2"/>
  <c r="A970" i="2"/>
  <c r="E969" i="2"/>
  <c r="D969" i="2"/>
  <c r="C969" i="2"/>
  <c r="A969" i="2"/>
  <c r="E968" i="2"/>
  <c r="D968" i="2"/>
  <c r="C968" i="2"/>
  <c r="A968" i="2"/>
  <c r="E967" i="2"/>
  <c r="D967" i="2"/>
  <c r="C967" i="2"/>
  <c r="A967" i="2"/>
  <c r="E966" i="2"/>
  <c r="D966" i="2"/>
  <c r="C966" i="2"/>
  <c r="A966" i="2"/>
  <c r="E965" i="2"/>
  <c r="D965" i="2"/>
  <c r="C965" i="2"/>
  <c r="A965" i="2"/>
  <c r="E964" i="2"/>
  <c r="D964" i="2"/>
  <c r="C964" i="2"/>
  <c r="A964" i="2"/>
  <c r="E963" i="2"/>
  <c r="D963" i="2"/>
  <c r="C963" i="2"/>
  <c r="A963" i="2"/>
  <c r="E962" i="2"/>
  <c r="D962" i="2"/>
  <c r="C962" i="2"/>
  <c r="A962" i="2"/>
  <c r="E961" i="2"/>
  <c r="D961" i="2"/>
  <c r="C961" i="2"/>
  <c r="A961" i="2"/>
  <c r="E960" i="2"/>
  <c r="D960" i="2"/>
  <c r="C960" i="2"/>
  <c r="A960" i="2"/>
  <c r="E959" i="2"/>
  <c r="D959" i="2"/>
  <c r="C959" i="2"/>
  <c r="A959" i="2"/>
  <c r="E958" i="2"/>
  <c r="D958" i="2"/>
  <c r="C958" i="2"/>
  <c r="A958" i="2"/>
  <c r="E957" i="2"/>
  <c r="D957" i="2"/>
  <c r="C957" i="2"/>
  <c r="A957" i="2"/>
  <c r="E956" i="2"/>
  <c r="D956" i="2"/>
  <c r="C956" i="2"/>
  <c r="A956" i="2"/>
  <c r="E955" i="2"/>
  <c r="D955" i="2"/>
  <c r="C955" i="2"/>
  <c r="A955" i="2"/>
  <c r="E954" i="2"/>
  <c r="D954" i="2"/>
  <c r="C954" i="2"/>
  <c r="A954" i="2"/>
  <c r="E953" i="2"/>
  <c r="D953" i="2"/>
  <c r="C953" i="2"/>
  <c r="A953" i="2"/>
  <c r="E952" i="2"/>
  <c r="D952" i="2"/>
  <c r="C952" i="2"/>
  <c r="A952" i="2"/>
  <c r="E951" i="2"/>
  <c r="D951" i="2"/>
  <c r="C951" i="2"/>
  <c r="A951" i="2"/>
  <c r="E950" i="2"/>
  <c r="D950" i="2"/>
  <c r="C950" i="2"/>
  <c r="A950" i="2"/>
  <c r="E949" i="2"/>
  <c r="D949" i="2"/>
  <c r="C949" i="2"/>
  <c r="A949" i="2"/>
  <c r="E948" i="2"/>
  <c r="D948" i="2"/>
  <c r="C948" i="2"/>
  <c r="A948" i="2"/>
  <c r="E947" i="2"/>
  <c r="D947" i="2"/>
  <c r="C947" i="2"/>
  <c r="A947" i="2"/>
  <c r="E946" i="2"/>
  <c r="D946" i="2"/>
  <c r="C946" i="2"/>
  <c r="A946" i="2"/>
  <c r="E945" i="2"/>
  <c r="D945" i="2"/>
  <c r="C945" i="2"/>
  <c r="A945" i="2"/>
  <c r="E944" i="2"/>
  <c r="D944" i="2"/>
  <c r="C944" i="2"/>
  <c r="A944" i="2"/>
  <c r="E943" i="2"/>
  <c r="D943" i="2"/>
  <c r="C943" i="2"/>
  <c r="A943" i="2"/>
  <c r="E942" i="2"/>
  <c r="D942" i="2"/>
  <c r="C942" i="2"/>
  <c r="A942" i="2"/>
  <c r="E941" i="2"/>
  <c r="D941" i="2"/>
  <c r="C941" i="2"/>
  <c r="A941" i="2"/>
  <c r="E940" i="2"/>
  <c r="D940" i="2"/>
  <c r="C940" i="2"/>
  <c r="A940" i="2"/>
  <c r="E939" i="2"/>
  <c r="D939" i="2"/>
  <c r="C939" i="2"/>
  <c r="A939" i="2"/>
  <c r="E938" i="2"/>
  <c r="D938" i="2"/>
  <c r="C938" i="2"/>
  <c r="A938" i="2"/>
  <c r="E937" i="2"/>
  <c r="D937" i="2"/>
  <c r="C937" i="2"/>
  <c r="A937" i="2"/>
  <c r="E936" i="2"/>
  <c r="D936" i="2"/>
  <c r="C936" i="2"/>
  <c r="A936" i="2"/>
  <c r="E935" i="2"/>
  <c r="D935" i="2"/>
  <c r="C935" i="2"/>
  <c r="A935" i="2"/>
  <c r="E934" i="2"/>
  <c r="D934" i="2"/>
  <c r="C934" i="2"/>
  <c r="A934" i="2"/>
  <c r="E933" i="2"/>
  <c r="D933" i="2"/>
  <c r="C933" i="2"/>
  <c r="A933" i="2"/>
  <c r="E932" i="2"/>
  <c r="D932" i="2"/>
  <c r="C932" i="2"/>
  <c r="A932" i="2"/>
  <c r="E931" i="2"/>
  <c r="D931" i="2"/>
  <c r="C931" i="2"/>
  <c r="A931" i="2"/>
  <c r="E930" i="2"/>
  <c r="D930" i="2"/>
  <c r="C930" i="2"/>
  <c r="A930" i="2"/>
  <c r="E929" i="2"/>
  <c r="D929" i="2"/>
  <c r="C929" i="2"/>
  <c r="A929" i="2"/>
  <c r="E928" i="2"/>
  <c r="D928" i="2"/>
  <c r="C928" i="2"/>
  <c r="A928" i="2"/>
  <c r="E927" i="2"/>
  <c r="D927" i="2"/>
  <c r="C927" i="2"/>
  <c r="A927" i="2"/>
  <c r="E926" i="2"/>
  <c r="D926" i="2"/>
  <c r="C926" i="2"/>
  <c r="A926" i="2"/>
  <c r="E925" i="2"/>
  <c r="D925" i="2"/>
  <c r="C925" i="2"/>
  <c r="A925" i="2"/>
  <c r="E924" i="2"/>
  <c r="D924" i="2"/>
  <c r="C924" i="2"/>
  <c r="A924" i="2"/>
  <c r="E923" i="2"/>
  <c r="D923" i="2"/>
  <c r="C923" i="2"/>
  <c r="A923" i="2"/>
  <c r="E922" i="2"/>
  <c r="D922" i="2"/>
  <c r="C922" i="2"/>
  <c r="A922" i="2"/>
  <c r="E921" i="2"/>
  <c r="D921" i="2"/>
  <c r="C921" i="2"/>
  <c r="A921" i="2"/>
  <c r="E920" i="2"/>
  <c r="D920" i="2"/>
  <c r="C920" i="2"/>
  <c r="A920" i="2"/>
  <c r="E919" i="2"/>
  <c r="D919" i="2"/>
  <c r="C919" i="2"/>
  <c r="A919" i="2"/>
  <c r="E918" i="2"/>
  <c r="D918" i="2"/>
  <c r="C918" i="2"/>
  <c r="A918" i="2"/>
  <c r="E917" i="2"/>
  <c r="D917" i="2"/>
  <c r="C917" i="2"/>
  <c r="A917" i="2"/>
  <c r="E916" i="2"/>
  <c r="D916" i="2"/>
  <c r="C916" i="2"/>
  <c r="A916" i="2"/>
  <c r="E915" i="2"/>
  <c r="D915" i="2"/>
  <c r="C915" i="2"/>
  <c r="A915" i="2"/>
  <c r="E914" i="2"/>
  <c r="D914" i="2"/>
  <c r="C914" i="2"/>
  <c r="A914" i="2"/>
  <c r="E913" i="2"/>
  <c r="D913" i="2"/>
  <c r="C913" i="2"/>
  <c r="A913" i="2"/>
  <c r="E912" i="2"/>
  <c r="D912" i="2"/>
  <c r="C912" i="2"/>
  <c r="A912" i="2"/>
  <c r="E911" i="2"/>
  <c r="D911" i="2"/>
  <c r="C911" i="2"/>
  <c r="A911" i="2"/>
  <c r="E910" i="2"/>
  <c r="D910" i="2"/>
  <c r="C910" i="2"/>
  <c r="A910" i="2"/>
  <c r="E909" i="2"/>
  <c r="D909" i="2"/>
  <c r="C909" i="2"/>
  <c r="A909" i="2"/>
  <c r="E908" i="2"/>
  <c r="D908" i="2"/>
  <c r="C908" i="2"/>
  <c r="A908" i="2"/>
  <c r="E907" i="2"/>
  <c r="D907" i="2"/>
  <c r="C907" i="2"/>
  <c r="A907" i="2"/>
  <c r="E906" i="2"/>
  <c r="D906" i="2"/>
  <c r="C906" i="2"/>
  <c r="A906" i="2"/>
  <c r="E905" i="2"/>
  <c r="D905" i="2"/>
  <c r="C905" i="2"/>
  <c r="A905" i="2"/>
  <c r="E904" i="2"/>
  <c r="D904" i="2"/>
  <c r="C904" i="2"/>
  <c r="A904" i="2"/>
  <c r="E903" i="2"/>
  <c r="D903" i="2"/>
  <c r="C903" i="2"/>
  <c r="A903" i="2"/>
  <c r="E902" i="2"/>
  <c r="D902" i="2"/>
  <c r="C902" i="2"/>
  <c r="A902" i="2"/>
  <c r="E901" i="2"/>
  <c r="D901" i="2"/>
  <c r="C901" i="2"/>
  <c r="A901" i="2"/>
  <c r="E900" i="2"/>
  <c r="D900" i="2"/>
  <c r="C900" i="2"/>
  <c r="A900" i="2"/>
  <c r="E899" i="2"/>
  <c r="D899" i="2"/>
  <c r="C899" i="2"/>
  <c r="A899" i="2"/>
  <c r="E898" i="2"/>
  <c r="D898" i="2"/>
  <c r="C898" i="2"/>
  <c r="A898" i="2"/>
  <c r="E897" i="2"/>
  <c r="D897" i="2"/>
  <c r="C897" i="2"/>
  <c r="A897" i="2"/>
  <c r="E896" i="2"/>
  <c r="D896" i="2"/>
  <c r="C896" i="2"/>
  <c r="A896" i="2"/>
  <c r="E895" i="2"/>
  <c r="D895" i="2"/>
  <c r="C895" i="2"/>
  <c r="A895" i="2"/>
  <c r="E894" i="2"/>
  <c r="D894" i="2"/>
  <c r="C894" i="2"/>
  <c r="A894" i="2"/>
  <c r="E893" i="2"/>
  <c r="D893" i="2"/>
  <c r="C893" i="2"/>
  <c r="A893" i="2"/>
  <c r="E892" i="2"/>
  <c r="D892" i="2"/>
  <c r="C892" i="2"/>
  <c r="A892" i="2"/>
  <c r="E891" i="2"/>
  <c r="D891" i="2"/>
  <c r="C891" i="2"/>
  <c r="A891" i="2"/>
  <c r="E890" i="2"/>
  <c r="D890" i="2"/>
  <c r="C890" i="2"/>
  <c r="A890" i="2"/>
  <c r="E889" i="2"/>
  <c r="D889" i="2"/>
  <c r="C889" i="2"/>
  <c r="A889" i="2"/>
  <c r="E888" i="2"/>
  <c r="D888" i="2"/>
  <c r="C888" i="2"/>
  <c r="A888" i="2"/>
  <c r="E887" i="2"/>
  <c r="D887" i="2"/>
  <c r="C887" i="2"/>
  <c r="A887" i="2"/>
  <c r="E886" i="2"/>
  <c r="D886" i="2"/>
  <c r="C886" i="2"/>
  <c r="A886" i="2"/>
  <c r="E885" i="2"/>
  <c r="D885" i="2"/>
  <c r="C885" i="2"/>
  <c r="A885" i="2"/>
  <c r="E884" i="2"/>
  <c r="D884" i="2"/>
  <c r="C884" i="2"/>
  <c r="A884" i="2"/>
  <c r="E883" i="2"/>
  <c r="D883" i="2"/>
  <c r="C883" i="2"/>
  <c r="A883" i="2"/>
  <c r="E882" i="2"/>
  <c r="D882" i="2"/>
  <c r="C882" i="2"/>
  <c r="A882" i="2"/>
  <c r="E880" i="2"/>
  <c r="D880" i="2"/>
  <c r="C880" i="2"/>
  <c r="A880" i="2"/>
  <c r="E879" i="2"/>
  <c r="D879" i="2"/>
  <c r="C879" i="2"/>
  <c r="A879" i="2"/>
  <c r="E878" i="2"/>
  <c r="D878" i="2"/>
  <c r="C878" i="2"/>
  <c r="A878" i="2"/>
  <c r="E877" i="2"/>
  <c r="D877" i="2"/>
  <c r="C877" i="2"/>
  <c r="A877" i="2"/>
  <c r="E876" i="2"/>
  <c r="D876" i="2"/>
  <c r="C876" i="2"/>
  <c r="A876" i="2"/>
  <c r="E875" i="2"/>
  <c r="D875" i="2"/>
  <c r="C875" i="2"/>
  <c r="A875" i="2"/>
  <c r="E874" i="2"/>
  <c r="D874" i="2"/>
  <c r="C874" i="2"/>
  <c r="A874" i="2"/>
  <c r="E873" i="2"/>
  <c r="D873" i="2"/>
  <c r="C873" i="2"/>
  <c r="A873" i="2"/>
  <c r="E872" i="2"/>
  <c r="D872" i="2"/>
  <c r="C872" i="2"/>
  <c r="A872" i="2"/>
  <c r="E871" i="2"/>
  <c r="D871" i="2"/>
  <c r="C871" i="2"/>
  <c r="A871" i="2"/>
  <c r="E870" i="2"/>
  <c r="D870" i="2"/>
  <c r="C870" i="2"/>
  <c r="A870" i="2"/>
  <c r="E869" i="2"/>
  <c r="D869" i="2"/>
  <c r="C869" i="2"/>
  <c r="A869" i="2"/>
  <c r="E868" i="2"/>
  <c r="D868" i="2"/>
  <c r="C868" i="2"/>
  <c r="A868" i="2"/>
  <c r="E867" i="2"/>
  <c r="D867" i="2"/>
  <c r="C867" i="2"/>
  <c r="A867" i="2"/>
  <c r="E866" i="2"/>
  <c r="D866" i="2"/>
  <c r="C866" i="2"/>
  <c r="A866" i="2"/>
  <c r="E865" i="2"/>
  <c r="D865" i="2"/>
  <c r="C865" i="2"/>
  <c r="A865" i="2"/>
  <c r="E864" i="2"/>
  <c r="D864" i="2"/>
  <c r="C864" i="2"/>
  <c r="A864" i="2"/>
  <c r="E863" i="2"/>
  <c r="D863" i="2"/>
  <c r="C863" i="2"/>
  <c r="A863" i="2"/>
  <c r="E862" i="2"/>
  <c r="D862" i="2"/>
  <c r="C862" i="2"/>
  <c r="A862" i="2"/>
  <c r="E861" i="2"/>
  <c r="D861" i="2"/>
  <c r="C861" i="2"/>
  <c r="A861" i="2"/>
  <c r="E860" i="2"/>
  <c r="D860" i="2"/>
  <c r="C860" i="2"/>
  <c r="A860" i="2"/>
  <c r="E859" i="2"/>
  <c r="D859" i="2"/>
  <c r="C859" i="2"/>
  <c r="A859" i="2"/>
  <c r="E858" i="2"/>
  <c r="D858" i="2"/>
  <c r="C858" i="2"/>
  <c r="A858" i="2"/>
  <c r="E857" i="2"/>
  <c r="D857" i="2"/>
  <c r="C857" i="2"/>
  <c r="A857" i="2"/>
  <c r="E856" i="2"/>
  <c r="D856" i="2"/>
  <c r="C856" i="2"/>
  <c r="A856" i="2"/>
  <c r="E855" i="2"/>
  <c r="D855" i="2"/>
  <c r="C855" i="2"/>
  <c r="A855" i="2"/>
  <c r="E854" i="2"/>
  <c r="D854" i="2"/>
  <c r="C854" i="2"/>
  <c r="A854" i="2"/>
  <c r="E853" i="2"/>
  <c r="D853" i="2"/>
  <c r="C853" i="2"/>
  <c r="A853" i="2"/>
  <c r="E852" i="2"/>
  <c r="D852" i="2"/>
  <c r="C852" i="2"/>
  <c r="A852" i="2"/>
  <c r="E851" i="2"/>
  <c r="D851" i="2"/>
  <c r="C851" i="2"/>
  <c r="A851" i="2"/>
  <c r="E850" i="2"/>
  <c r="D850" i="2"/>
  <c r="C850" i="2"/>
  <c r="A850" i="2"/>
  <c r="E849" i="2"/>
  <c r="D849" i="2"/>
  <c r="C849" i="2"/>
  <c r="A849" i="2"/>
  <c r="E848" i="2"/>
  <c r="D848" i="2"/>
  <c r="C848" i="2"/>
  <c r="A848" i="2"/>
  <c r="E847" i="2"/>
  <c r="D847" i="2"/>
  <c r="C847" i="2"/>
  <c r="A847" i="2"/>
  <c r="E846" i="2"/>
  <c r="D846" i="2"/>
  <c r="C846" i="2"/>
  <c r="A846" i="2"/>
  <c r="E845" i="2"/>
  <c r="D845" i="2"/>
  <c r="C845" i="2"/>
  <c r="A845" i="2"/>
  <c r="E844" i="2"/>
  <c r="D844" i="2"/>
  <c r="C844" i="2"/>
  <c r="A844" i="2"/>
  <c r="E843" i="2"/>
  <c r="D843" i="2"/>
  <c r="C843" i="2"/>
  <c r="A843" i="2"/>
  <c r="E842" i="2"/>
  <c r="D842" i="2"/>
  <c r="C842" i="2"/>
  <c r="A842" i="2"/>
  <c r="E841" i="2"/>
  <c r="D841" i="2"/>
  <c r="C841" i="2"/>
  <c r="A841" i="2"/>
  <c r="E840" i="2"/>
  <c r="D840" i="2"/>
  <c r="C840" i="2"/>
  <c r="A840" i="2"/>
  <c r="E839" i="2"/>
  <c r="D839" i="2"/>
  <c r="C839" i="2"/>
  <c r="A839" i="2"/>
  <c r="E838" i="2"/>
  <c r="D838" i="2"/>
  <c r="C838" i="2"/>
  <c r="A838" i="2"/>
  <c r="E837" i="2"/>
  <c r="D837" i="2"/>
  <c r="C837" i="2"/>
  <c r="A837" i="2"/>
  <c r="E836" i="2"/>
  <c r="D836" i="2"/>
  <c r="C836" i="2"/>
  <c r="A836" i="2"/>
  <c r="E835" i="2"/>
  <c r="D835" i="2"/>
  <c r="C835" i="2"/>
  <c r="A835" i="2"/>
  <c r="E834" i="2"/>
  <c r="D834" i="2"/>
  <c r="C834" i="2"/>
  <c r="A834" i="2"/>
  <c r="E833" i="2"/>
  <c r="D833" i="2"/>
  <c r="C833" i="2"/>
  <c r="A833" i="2"/>
  <c r="E832" i="2"/>
  <c r="D832" i="2"/>
  <c r="C832" i="2"/>
  <c r="A832" i="2"/>
  <c r="E831" i="2"/>
  <c r="D831" i="2"/>
  <c r="C831" i="2"/>
  <c r="A831" i="2"/>
  <c r="E830" i="2"/>
  <c r="D830" i="2"/>
  <c r="C830" i="2"/>
  <c r="A830" i="2"/>
  <c r="E829" i="2"/>
  <c r="D829" i="2"/>
  <c r="C829" i="2"/>
  <c r="A829" i="2"/>
  <c r="E828" i="2"/>
  <c r="D828" i="2"/>
  <c r="C828" i="2"/>
  <c r="A828" i="2"/>
  <c r="E827" i="2"/>
  <c r="D827" i="2"/>
  <c r="C827" i="2"/>
  <c r="A827" i="2"/>
  <c r="E826" i="2"/>
  <c r="D826" i="2"/>
  <c r="C826" i="2"/>
  <c r="A826" i="2"/>
  <c r="E825" i="2"/>
  <c r="D825" i="2"/>
  <c r="C825" i="2"/>
  <c r="A825" i="2"/>
  <c r="E824" i="2"/>
  <c r="D824" i="2"/>
  <c r="C824" i="2"/>
  <c r="A824" i="2"/>
  <c r="E823" i="2"/>
  <c r="D823" i="2"/>
  <c r="C823" i="2"/>
  <c r="A823" i="2"/>
  <c r="E822" i="2"/>
  <c r="D822" i="2"/>
  <c r="C822" i="2"/>
  <c r="A822" i="2"/>
  <c r="E821" i="2"/>
  <c r="D821" i="2"/>
  <c r="C821" i="2"/>
  <c r="A821" i="2"/>
  <c r="E820" i="2"/>
  <c r="D820" i="2"/>
  <c r="C820" i="2"/>
  <c r="A820" i="2"/>
  <c r="E819" i="2"/>
  <c r="D819" i="2"/>
  <c r="C819" i="2"/>
  <c r="A819" i="2"/>
  <c r="E818" i="2"/>
  <c r="D818" i="2"/>
  <c r="C818" i="2"/>
  <c r="A818" i="2"/>
  <c r="E817" i="2"/>
  <c r="D817" i="2"/>
  <c r="C817" i="2"/>
  <c r="A817" i="2"/>
  <c r="E816" i="2"/>
  <c r="D816" i="2"/>
  <c r="C816" i="2"/>
  <c r="A816" i="2"/>
  <c r="E815" i="2"/>
  <c r="D815" i="2"/>
  <c r="C815" i="2"/>
  <c r="A815" i="2"/>
  <c r="E814" i="2"/>
  <c r="D814" i="2"/>
  <c r="C814" i="2"/>
  <c r="A814" i="2"/>
  <c r="E813" i="2"/>
  <c r="D813" i="2"/>
  <c r="C813" i="2"/>
  <c r="A813" i="2"/>
  <c r="E812" i="2"/>
  <c r="D812" i="2"/>
  <c r="C812" i="2"/>
  <c r="A812" i="2"/>
  <c r="E811" i="2"/>
  <c r="D811" i="2"/>
  <c r="C811" i="2"/>
  <c r="A811" i="2"/>
  <c r="E810" i="2"/>
  <c r="D810" i="2"/>
  <c r="C810" i="2"/>
  <c r="A810" i="2"/>
  <c r="E809" i="2"/>
  <c r="D809" i="2"/>
  <c r="C809" i="2"/>
  <c r="A809" i="2"/>
  <c r="E808" i="2"/>
  <c r="D808" i="2"/>
  <c r="C808" i="2"/>
  <c r="A808" i="2"/>
  <c r="E807" i="2"/>
  <c r="D807" i="2"/>
  <c r="C807" i="2"/>
  <c r="A807" i="2"/>
  <c r="E806" i="2"/>
  <c r="D806" i="2"/>
  <c r="C806" i="2"/>
  <c r="A806" i="2"/>
  <c r="E805" i="2"/>
  <c r="D805" i="2"/>
  <c r="C805" i="2"/>
  <c r="A805" i="2"/>
  <c r="E804" i="2"/>
  <c r="D804" i="2"/>
  <c r="C804" i="2"/>
  <c r="A804" i="2"/>
  <c r="E803" i="2"/>
  <c r="D803" i="2"/>
  <c r="C803" i="2"/>
  <c r="A803" i="2"/>
  <c r="E802" i="2"/>
  <c r="D802" i="2"/>
  <c r="C802" i="2"/>
  <c r="A802" i="2"/>
  <c r="E801" i="2"/>
  <c r="D801" i="2"/>
  <c r="C801" i="2"/>
  <c r="A801" i="2"/>
  <c r="E800" i="2"/>
  <c r="D800" i="2"/>
  <c r="C800" i="2"/>
  <c r="A800" i="2"/>
  <c r="E799" i="2"/>
  <c r="D799" i="2"/>
  <c r="C799" i="2"/>
  <c r="A799" i="2"/>
  <c r="E798" i="2"/>
  <c r="D798" i="2"/>
  <c r="C798" i="2"/>
  <c r="A798" i="2"/>
  <c r="E797" i="2"/>
  <c r="D797" i="2"/>
  <c r="C797" i="2"/>
  <c r="A797" i="2"/>
  <c r="E796" i="2"/>
  <c r="D796" i="2"/>
  <c r="C796" i="2"/>
  <c r="A796" i="2"/>
  <c r="E795" i="2"/>
  <c r="D795" i="2"/>
  <c r="C795" i="2"/>
  <c r="A795" i="2"/>
  <c r="E794" i="2"/>
  <c r="D794" i="2"/>
  <c r="C794" i="2"/>
  <c r="A794" i="2"/>
  <c r="E793" i="2"/>
  <c r="D793" i="2"/>
  <c r="C793" i="2"/>
  <c r="A793" i="2"/>
  <c r="E792" i="2"/>
  <c r="D792" i="2"/>
  <c r="C792" i="2"/>
  <c r="A792" i="2"/>
  <c r="E791" i="2"/>
  <c r="D791" i="2"/>
  <c r="C791" i="2"/>
  <c r="A791" i="2"/>
  <c r="E790" i="2"/>
  <c r="D790" i="2"/>
  <c r="C790" i="2"/>
  <c r="A790" i="2"/>
  <c r="E789" i="2"/>
  <c r="D789" i="2"/>
  <c r="C789" i="2"/>
  <c r="A789" i="2"/>
  <c r="E788" i="2"/>
  <c r="D788" i="2"/>
  <c r="C788" i="2"/>
  <c r="A788" i="2"/>
  <c r="E787" i="2"/>
  <c r="D787" i="2"/>
  <c r="C787" i="2"/>
  <c r="A787" i="2"/>
  <c r="E786" i="2"/>
  <c r="D786" i="2"/>
  <c r="C786" i="2"/>
  <c r="A786" i="2"/>
  <c r="E785" i="2"/>
  <c r="D785" i="2"/>
  <c r="C785" i="2"/>
  <c r="A785" i="2"/>
  <c r="E784" i="2"/>
  <c r="D784" i="2"/>
  <c r="C784" i="2"/>
  <c r="A784" i="2"/>
  <c r="E783" i="2"/>
  <c r="D783" i="2"/>
  <c r="C783" i="2"/>
  <c r="A783" i="2"/>
  <c r="E782" i="2"/>
  <c r="D782" i="2"/>
  <c r="C782" i="2"/>
  <c r="A782" i="2"/>
  <c r="E781" i="2"/>
  <c r="D781" i="2"/>
  <c r="C781" i="2"/>
  <c r="A781" i="2"/>
  <c r="E780" i="2"/>
  <c r="D780" i="2"/>
  <c r="C780" i="2"/>
  <c r="A780" i="2"/>
  <c r="E779" i="2"/>
  <c r="D779" i="2"/>
  <c r="C779" i="2"/>
  <c r="A779" i="2"/>
  <c r="E778" i="2"/>
  <c r="D778" i="2"/>
  <c r="C778" i="2"/>
  <c r="A778" i="2"/>
  <c r="E777" i="2"/>
  <c r="D777" i="2"/>
  <c r="C777" i="2"/>
  <c r="A777" i="2"/>
  <c r="E776" i="2"/>
  <c r="D776" i="2"/>
  <c r="C776" i="2"/>
  <c r="A776" i="2"/>
  <c r="E775" i="2"/>
  <c r="D775" i="2"/>
  <c r="C775" i="2"/>
  <c r="A775" i="2"/>
  <c r="E774" i="2"/>
  <c r="D774" i="2"/>
  <c r="C774" i="2"/>
  <c r="A774" i="2"/>
  <c r="E773" i="2"/>
  <c r="D773" i="2"/>
  <c r="C773" i="2"/>
  <c r="A773" i="2"/>
  <c r="E772" i="2"/>
  <c r="D772" i="2"/>
  <c r="C772" i="2"/>
  <c r="A772" i="2"/>
  <c r="E771" i="2"/>
  <c r="D771" i="2"/>
  <c r="C771" i="2"/>
  <c r="A771" i="2"/>
  <c r="E770" i="2"/>
  <c r="D770" i="2"/>
  <c r="C770" i="2"/>
  <c r="A770" i="2"/>
  <c r="E769" i="2"/>
  <c r="D769" i="2"/>
  <c r="C769" i="2"/>
  <c r="A769" i="2"/>
  <c r="E768" i="2"/>
  <c r="D768" i="2"/>
  <c r="C768" i="2"/>
  <c r="A768" i="2"/>
  <c r="E767" i="2"/>
  <c r="D767" i="2"/>
  <c r="C767" i="2"/>
  <c r="A767" i="2"/>
  <c r="E766" i="2"/>
  <c r="D766" i="2"/>
  <c r="C766" i="2"/>
  <c r="A766" i="2"/>
  <c r="E765" i="2"/>
  <c r="D765" i="2"/>
  <c r="C765" i="2"/>
  <c r="A765" i="2"/>
  <c r="E764" i="2"/>
  <c r="D764" i="2"/>
  <c r="C764" i="2"/>
  <c r="A764" i="2"/>
  <c r="E763" i="2"/>
  <c r="D763" i="2"/>
  <c r="C763" i="2"/>
  <c r="A763" i="2"/>
  <c r="E762" i="2"/>
  <c r="D762" i="2"/>
  <c r="C762" i="2"/>
  <c r="A762" i="2"/>
  <c r="E761" i="2"/>
  <c r="D761" i="2"/>
  <c r="C761" i="2"/>
  <c r="A761" i="2"/>
  <c r="E760" i="2"/>
  <c r="D760" i="2"/>
  <c r="C760" i="2"/>
  <c r="A760" i="2"/>
  <c r="E759" i="2"/>
  <c r="D759" i="2"/>
  <c r="C759" i="2"/>
  <c r="A759" i="2"/>
  <c r="E758" i="2"/>
  <c r="D758" i="2"/>
  <c r="C758" i="2"/>
  <c r="A758" i="2"/>
  <c r="E757" i="2"/>
  <c r="D757" i="2"/>
  <c r="C757" i="2"/>
  <c r="A757" i="2"/>
  <c r="E756" i="2"/>
  <c r="D756" i="2"/>
  <c r="C756" i="2"/>
  <c r="A756" i="2"/>
  <c r="E755" i="2"/>
  <c r="D755" i="2"/>
  <c r="C755" i="2"/>
  <c r="A755" i="2"/>
  <c r="E754" i="2"/>
  <c r="D754" i="2"/>
  <c r="C754" i="2"/>
  <c r="A754" i="2"/>
  <c r="E753" i="2"/>
  <c r="D753" i="2"/>
  <c r="C753" i="2"/>
  <c r="A753" i="2"/>
  <c r="E752" i="2"/>
  <c r="D752" i="2"/>
  <c r="C752" i="2"/>
  <c r="A752" i="2"/>
  <c r="E751" i="2"/>
  <c r="D751" i="2"/>
  <c r="C751" i="2"/>
  <c r="A751" i="2"/>
  <c r="E750" i="2"/>
  <c r="D750" i="2"/>
  <c r="C750" i="2"/>
  <c r="A750" i="2"/>
  <c r="E749" i="2"/>
  <c r="D749" i="2"/>
  <c r="C749" i="2"/>
  <c r="A749" i="2"/>
  <c r="E748" i="2"/>
  <c r="D748" i="2"/>
  <c r="C748" i="2"/>
  <c r="A748" i="2"/>
  <c r="E747" i="2"/>
  <c r="D747" i="2"/>
  <c r="C747" i="2"/>
  <c r="A747" i="2"/>
  <c r="E746" i="2"/>
  <c r="D746" i="2"/>
  <c r="C746" i="2"/>
  <c r="A746" i="2"/>
  <c r="E745" i="2"/>
  <c r="D745" i="2"/>
  <c r="C745" i="2"/>
  <c r="A745" i="2"/>
  <c r="E744" i="2"/>
  <c r="D744" i="2"/>
  <c r="C744" i="2"/>
  <c r="A744" i="2"/>
  <c r="E743" i="2"/>
  <c r="D743" i="2"/>
  <c r="C743" i="2"/>
  <c r="A743" i="2"/>
  <c r="E742" i="2"/>
  <c r="D742" i="2"/>
  <c r="C742" i="2"/>
  <c r="A742" i="2"/>
  <c r="E741" i="2"/>
  <c r="D741" i="2"/>
  <c r="C741" i="2"/>
  <c r="A741" i="2"/>
  <c r="E740" i="2"/>
  <c r="D740" i="2"/>
  <c r="C740" i="2"/>
  <c r="A740" i="2"/>
  <c r="E739" i="2"/>
  <c r="D739" i="2"/>
  <c r="C739" i="2"/>
  <c r="A739" i="2"/>
  <c r="E738" i="2"/>
  <c r="D738" i="2"/>
  <c r="C738" i="2"/>
  <c r="A738" i="2"/>
  <c r="E737" i="2"/>
  <c r="D737" i="2"/>
  <c r="C737" i="2"/>
  <c r="A737" i="2"/>
  <c r="E736" i="2"/>
  <c r="D736" i="2"/>
  <c r="C736" i="2"/>
  <c r="A736" i="2"/>
  <c r="E735" i="2"/>
  <c r="D735" i="2"/>
  <c r="C735" i="2"/>
  <c r="A735" i="2"/>
  <c r="E734" i="2"/>
  <c r="D734" i="2"/>
  <c r="C734" i="2"/>
  <c r="A734" i="2"/>
  <c r="E733" i="2"/>
  <c r="D733" i="2"/>
  <c r="C733" i="2"/>
  <c r="A733" i="2"/>
  <c r="E732" i="2"/>
  <c r="D732" i="2"/>
  <c r="C732" i="2"/>
  <c r="A732" i="2"/>
  <c r="E731" i="2"/>
  <c r="D731" i="2"/>
  <c r="C731" i="2"/>
  <c r="A731" i="2"/>
  <c r="E730" i="2"/>
  <c r="D730" i="2"/>
  <c r="C730" i="2"/>
  <c r="A730" i="2"/>
  <c r="E729" i="2"/>
  <c r="D729" i="2"/>
  <c r="C729" i="2"/>
  <c r="A729" i="2"/>
  <c r="E728" i="2"/>
  <c r="D728" i="2"/>
  <c r="C728" i="2"/>
  <c r="A728" i="2"/>
  <c r="E727" i="2"/>
  <c r="D727" i="2"/>
  <c r="C727" i="2"/>
  <c r="A727" i="2"/>
  <c r="E726" i="2"/>
  <c r="D726" i="2"/>
  <c r="C726" i="2"/>
  <c r="A726" i="2"/>
  <c r="E725" i="2"/>
  <c r="D725" i="2"/>
  <c r="C725" i="2"/>
  <c r="A725" i="2"/>
  <c r="E724" i="2"/>
  <c r="D724" i="2"/>
  <c r="C724" i="2"/>
  <c r="A724" i="2"/>
  <c r="E723" i="2"/>
  <c r="D723" i="2"/>
  <c r="C723" i="2"/>
  <c r="A723" i="2"/>
  <c r="E722" i="2"/>
  <c r="D722" i="2"/>
  <c r="C722" i="2"/>
  <c r="A722" i="2"/>
  <c r="E721" i="2"/>
  <c r="D721" i="2"/>
  <c r="C721" i="2"/>
  <c r="A721" i="2"/>
  <c r="E720" i="2"/>
  <c r="D720" i="2"/>
  <c r="C720" i="2"/>
  <c r="A720" i="2"/>
  <c r="E719" i="2"/>
  <c r="D719" i="2"/>
  <c r="C719" i="2"/>
  <c r="A719" i="2"/>
  <c r="E718" i="2"/>
  <c r="D718" i="2"/>
  <c r="C718" i="2"/>
  <c r="A718" i="2"/>
  <c r="E717" i="2"/>
  <c r="D717" i="2"/>
  <c r="C717" i="2"/>
  <c r="A717" i="2"/>
  <c r="E716" i="2"/>
  <c r="D716" i="2"/>
  <c r="C716" i="2"/>
  <c r="A716" i="2"/>
  <c r="E715" i="2"/>
  <c r="D715" i="2"/>
  <c r="C715" i="2"/>
  <c r="A715" i="2"/>
  <c r="E714" i="2"/>
  <c r="D714" i="2"/>
  <c r="C714" i="2"/>
  <c r="A714" i="2"/>
  <c r="E713" i="2"/>
  <c r="D713" i="2"/>
  <c r="C713" i="2"/>
  <c r="A713" i="2"/>
  <c r="E712" i="2"/>
  <c r="D712" i="2"/>
  <c r="C712" i="2"/>
  <c r="A712" i="2"/>
  <c r="E711" i="2"/>
  <c r="D711" i="2"/>
  <c r="C711" i="2"/>
  <c r="A711" i="2"/>
  <c r="E710" i="2"/>
  <c r="D710" i="2"/>
  <c r="C710" i="2"/>
  <c r="A710" i="2"/>
  <c r="E709" i="2"/>
  <c r="D709" i="2"/>
  <c r="C709" i="2"/>
  <c r="A709" i="2"/>
  <c r="E708" i="2"/>
  <c r="D708" i="2"/>
  <c r="C708" i="2"/>
  <c r="A708" i="2"/>
  <c r="E707" i="2"/>
  <c r="D707" i="2"/>
  <c r="C707" i="2"/>
  <c r="A707" i="2"/>
  <c r="E706" i="2"/>
  <c r="D706" i="2"/>
  <c r="C706" i="2"/>
  <c r="A706" i="2"/>
  <c r="E705" i="2"/>
  <c r="D705" i="2"/>
  <c r="C705" i="2"/>
  <c r="A705" i="2"/>
  <c r="E704" i="2"/>
  <c r="D704" i="2"/>
  <c r="C704" i="2"/>
  <c r="A704" i="2"/>
  <c r="E703" i="2"/>
  <c r="D703" i="2"/>
  <c r="C703" i="2"/>
  <c r="A703" i="2"/>
  <c r="E702" i="2"/>
  <c r="D702" i="2"/>
  <c r="C702" i="2"/>
  <c r="A702" i="2"/>
  <c r="E701" i="2"/>
  <c r="D701" i="2"/>
  <c r="C701" i="2"/>
  <c r="A701" i="2"/>
  <c r="E700" i="2"/>
  <c r="D700" i="2"/>
  <c r="C700" i="2"/>
  <c r="A700" i="2"/>
  <c r="E699" i="2"/>
  <c r="D699" i="2"/>
  <c r="C699" i="2"/>
  <c r="A699" i="2"/>
  <c r="E698" i="2"/>
  <c r="D698" i="2"/>
  <c r="C698" i="2"/>
  <c r="A698" i="2"/>
  <c r="E697" i="2"/>
  <c r="D697" i="2"/>
  <c r="C697" i="2"/>
  <c r="A697" i="2"/>
  <c r="E696" i="2"/>
  <c r="D696" i="2"/>
  <c r="C696" i="2"/>
  <c r="A696" i="2"/>
  <c r="E695" i="2"/>
  <c r="D695" i="2"/>
  <c r="C695" i="2"/>
  <c r="A695" i="2"/>
  <c r="E694" i="2"/>
  <c r="D694" i="2"/>
  <c r="C694" i="2"/>
  <c r="A694" i="2"/>
  <c r="E693" i="2"/>
  <c r="D693" i="2"/>
  <c r="C693" i="2"/>
  <c r="A693" i="2"/>
  <c r="E692" i="2"/>
  <c r="D692" i="2"/>
  <c r="C692" i="2"/>
  <c r="A692" i="2"/>
  <c r="E691" i="2"/>
  <c r="D691" i="2"/>
  <c r="C691" i="2"/>
  <c r="A691" i="2"/>
  <c r="E690" i="2"/>
  <c r="D690" i="2"/>
  <c r="C690" i="2"/>
  <c r="A690" i="2"/>
  <c r="E689" i="2"/>
  <c r="D689" i="2"/>
  <c r="C689" i="2"/>
  <c r="A689" i="2"/>
  <c r="E688" i="2"/>
  <c r="D688" i="2"/>
  <c r="C688" i="2"/>
  <c r="A688" i="2"/>
  <c r="E687" i="2"/>
  <c r="D687" i="2"/>
  <c r="C687" i="2"/>
  <c r="A687" i="2"/>
  <c r="E686" i="2"/>
  <c r="D686" i="2"/>
  <c r="C686" i="2"/>
  <c r="A686" i="2"/>
  <c r="E685" i="2"/>
  <c r="D685" i="2"/>
  <c r="C685" i="2"/>
  <c r="A685" i="2"/>
  <c r="E684" i="2"/>
  <c r="D684" i="2"/>
  <c r="C684" i="2"/>
  <c r="A684" i="2"/>
  <c r="E683" i="2"/>
  <c r="D683" i="2"/>
  <c r="C683" i="2"/>
  <c r="A683" i="2"/>
  <c r="E682" i="2"/>
  <c r="D682" i="2"/>
  <c r="C682" i="2"/>
  <c r="A682" i="2"/>
  <c r="E681" i="2"/>
  <c r="D681" i="2"/>
  <c r="C681" i="2"/>
  <c r="A681" i="2"/>
  <c r="E680" i="2"/>
  <c r="D680" i="2"/>
  <c r="C680" i="2"/>
  <c r="A680" i="2"/>
  <c r="E679" i="2"/>
  <c r="D679" i="2"/>
  <c r="C679" i="2"/>
  <c r="A679" i="2"/>
  <c r="E678" i="2"/>
  <c r="D678" i="2"/>
  <c r="C678" i="2"/>
  <c r="A678" i="2"/>
  <c r="E677" i="2"/>
  <c r="D677" i="2"/>
  <c r="C677" i="2"/>
  <c r="A677" i="2"/>
  <c r="E676" i="2"/>
  <c r="D676" i="2"/>
  <c r="C676" i="2"/>
  <c r="A676" i="2"/>
  <c r="E675" i="2"/>
  <c r="D675" i="2"/>
  <c r="C675" i="2"/>
  <c r="A675" i="2"/>
  <c r="E674" i="2"/>
  <c r="D674" i="2"/>
  <c r="C674" i="2"/>
  <c r="A674" i="2"/>
  <c r="E673" i="2"/>
  <c r="D673" i="2"/>
  <c r="C673" i="2"/>
  <c r="A673" i="2"/>
  <c r="E672" i="2"/>
  <c r="D672" i="2"/>
  <c r="C672" i="2"/>
  <c r="A672" i="2"/>
  <c r="E671" i="2"/>
  <c r="D671" i="2"/>
  <c r="C671" i="2"/>
  <c r="A671" i="2"/>
  <c r="E670" i="2"/>
  <c r="D670" i="2"/>
  <c r="C670" i="2"/>
  <c r="A670" i="2"/>
  <c r="E669" i="2"/>
  <c r="D669" i="2"/>
  <c r="C669" i="2"/>
  <c r="A669" i="2"/>
  <c r="E668" i="2"/>
  <c r="D668" i="2"/>
  <c r="C668" i="2"/>
  <c r="A668" i="2"/>
  <c r="E667" i="2"/>
  <c r="D667" i="2"/>
  <c r="C667" i="2"/>
  <c r="A667" i="2"/>
  <c r="E666" i="2"/>
  <c r="D666" i="2"/>
  <c r="C666" i="2"/>
  <c r="A666" i="2"/>
  <c r="E665" i="2"/>
  <c r="D665" i="2"/>
  <c r="C665" i="2"/>
  <c r="A665" i="2"/>
  <c r="E664" i="2"/>
  <c r="D664" i="2"/>
  <c r="C664" i="2"/>
  <c r="A664" i="2"/>
  <c r="E663" i="2"/>
  <c r="D663" i="2"/>
  <c r="C663" i="2"/>
  <c r="A663" i="2"/>
  <c r="E662" i="2"/>
  <c r="D662" i="2"/>
  <c r="C662" i="2"/>
  <c r="A662" i="2"/>
  <c r="E661" i="2"/>
  <c r="D661" i="2"/>
  <c r="C661" i="2"/>
  <c r="A661" i="2"/>
  <c r="E660" i="2"/>
  <c r="D660" i="2"/>
  <c r="C660" i="2"/>
  <c r="A660" i="2"/>
  <c r="E659" i="2"/>
  <c r="D659" i="2"/>
  <c r="C659" i="2"/>
  <c r="A659" i="2"/>
  <c r="E658" i="2"/>
  <c r="D658" i="2"/>
  <c r="C658" i="2"/>
  <c r="A658" i="2"/>
  <c r="E657" i="2"/>
  <c r="D657" i="2"/>
  <c r="C657" i="2"/>
  <c r="A657" i="2"/>
  <c r="E656" i="2"/>
  <c r="D656" i="2"/>
  <c r="C656" i="2"/>
  <c r="A656" i="2"/>
  <c r="E655" i="2"/>
  <c r="D655" i="2"/>
  <c r="C655" i="2"/>
  <c r="A655" i="2"/>
  <c r="E654" i="2"/>
  <c r="D654" i="2"/>
  <c r="C654" i="2"/>
  <c r="A654" i="2"/>
  <c r="E653" i="2"/>
  <c r="D653" i="2"/>
  <c r="C653" i="2"/>
  <c r="A653" i="2"/>
  <c r="E652" i="2"/>
  <c r="D652" i="2"/>
  <c r="C652" i="2"/>
  <c r="A652" i="2"/>
  <c r="E651" i="2"/>
  <c r="D651" i="2"/>
  <c r="C651" i="2"/>
  <c r="A651" i="2"/>
  <c r="E650" i="2"/>
  <c r="D650" i="2"/>
  <c r="C650" i="2"/>
  <c r="A650" i="2"/>
  <c r="E648" i="2"/>
  <c r="D648" i="2"/>
  <c r="C648" i="2"/>
  <c r="A648" i="2"/>
  <c r="E647" i="2"/>
  <c r="D647" i="2"/>
  <c r="C647" i="2"/>
  <c r="A647" i="2"/>
  <c r="E646" i="2"/>
  <c r="D646" i="2"/>
  <c r="C646" i="2"/>
  <c r="A646" i="2"/>
  <c r="E645" i="2"/>
  <c r="D645" i="2"/>
  <c r="C645" i="2"/>
  <c r="A645" i="2"/>
  <c r="E644" i="2"/>
  <c r="D644" i="2"/>
  <c r="C644" i="2"/>
  <c r="A644" i="2"/>
  <c r="E643" i="2"/>
  <c r="D643" i="2"/>
  <c r="C643" i="2"/>
  <c r="A643" i="2"/>
  <c r="E642" i="2"/>
  <c r="D642" i="2"/>
  <c r="C642" i="2"/>
  <c r="A642" i="2"/>
  <c r="E641" i="2"/>
  <c r="D641" i="2"/>
  <c r="C641" i="2"/>
  <c r="A641" i="2"/>
  <c r="E640" i="2"/>
  <c r="D640" i="2"/>
  <c r="C640" i="2"/>
  <c r="A640" i="2"/>
  <c r="E638" i="2"/>
  <c r="D638" i="2"/>
  <c r="C638" i="2"/>
  <c r="A638" i="2"/>
  <c r="E637" i="2"/>
  <c r="D637" i="2"/>
  <c r="C637" i="2"/>
  <c r="A637" i="2"/>
  <c r="E636" i="2"/>
  <c r="D636" i="2"/>
  <c r="C636" i="2"/>
  <c r="A636" i="2"/>
  <c r="E635" i="2"/>
  <c r="D635" i="2"/>
  <c r="C635" i="2"/>
  <c r="A635" i="2"/>
  <c r="E634" i="2"/>
  <c r="D634" i="2"/>
  <c r="C634" i="2"/>
  <c r="A634" i="2"/>
  <c r="E633" i="2"/>
  <c r="D633" i="2"/>
  <c r="C633" i="2"/>
  <c r="A633" i="2"/>
  <c r="E632" i="2"/>
  <c r="D632" i="2"/>
  <c r="C632" i="2"/>
  <c r="A632" i="2"/>
  <c r="E631" i="2"/>
  <c r="D631" i="2"/>
  <c r="C631" i="2"/>
  <c r="A631" i="2"/>
  <c r="E630" i="2"/>
  <c r="D630" i="2"/>
  <c r="C630" i="2"/>
  <c r="A630" i="2"/>
  <c r="E629" i="2"/>
  <c r="D629" i="2"/>
  <c r="C629" i="2"/>
  <c r="A629" i="2"/>
  <c r="E628" i="2"/>
  <c r="D628" i="2"/>
  <c r="C628" i="2"/>
  <c r="A628" i="2"/>
  <c r="E627" i="2"/>
  <c r="D627" i="2"/>
  <c r="C627" i="2"/>
  <c r="A627" i="2"/>
  <c r="E626" i="2"/>
  <c r="D626" i="2"/>
  <c r="C626" i="2"/>
  <c r="A626" i="2"/>
  <c r="E625" i="2"/>
  <c r="D625" i="2"/>
  <c r="C625" i="2"/>
  <c r="A625" i="2"/>
  <c r="E624" i="2"/>
  <c r="D624" i="2"/>
  <c r="C624" i="2"/>
  <c r="A624" i="2"/>
  <c r="E622" i="2"/>
  <c r="D622" i="2"/>
  <c r="C622" i="2"/>
  <c r="A622" i="2"/>
  <c r="E621" i="2"/>
  <c r="D621" i="2"/>
  <c r="C621" i="2"/>
  <c r="A621" i="2"/>
  <c r="E620" i="2"/>
  <c r="D620" i="2"/>
  <c r="C620" i="2"/>
  <c r="A620" i="2"/>
  <c r="E619" i="2"/>
  <c r="D619" i="2"/>
  <c r="C619" i="2"/>
  <c r="A619" i="2"/>
  <c r="E618" i="2"/>
  <c r="D618" i="2"/>
  <c r="C618" i="2"/>
  <c r="A618" i="2"/>
  <c r="E617" i="2"/>
  <c r="D617" i="2"/>
  <c r="C617" i="2"/>
  <c r="A617" i="2"/>
  <c r="E616" i="2"/>
  <c r="D616" i="2"/>
  <c r="C616" i="2"/>
  <c r="A616" i="2"/>
  <c r="E615" i="2"/>
  <c r="D615" i="2"/>
  <c r="C615" i="2"/>
  <c r="A615" i="2"/>
  <c r="E614" i="2"/>
  <c r="D614" i="2"/>
  <c r="C614" i="2"/>
  <c r="A614" i="2"/>
  <c r="E613" i="2"/>
  <c r="D613" i="2"/>
  <c r="C613" i="2"/>
  <c r="A613" i="2"/>
  <c r="E612" i="2"/>
  <c r="D612" i="2"/>
  <c r="C612" i="2"/>
  <c r="A612" i="2"/>
  <c r="E611" i="2"/>
  <c r="D611" i="2"/>
  <c r="C611" i="2"/>
  <c r="A611" i="2"/>
  <c r="E610" i="2"/>
  <c r="D610" i="2"/>
  <c r="C610" i="2"/>
  <c r="A610" i="2"/>
  <c r="E609" i="2"/>
  <c r="D609" i="2"/>
  <c r="C609" i="2"/>
  <c r="A609" i="2"/>
  <c r="E608" i="2"/>
  <c r="D608" i="2"/>
  <c r="C608" i="2"/>
  <c r="A608" i="2"/>
  <c r="E607" i="2"/>
  <c r="D607" i="2"/>
  <c r="C607" i="2"/>
  <c r="A607" i="2"/>
  <c r="E606" i="2"/>
  <c r="D606" i="2"/>
  <c r="C606" i="2"/>
  <c r="A606" i="2"/>
  <c r="E605" i="2"/>
  <c r="D605" i="2"/>
  <c r="C605" i="2"/>
  <c r="A605" i="2"/>
  <c r="E604" i="2"/>
  <c r="D604" i="2"/>
  <c r="C604" i="2"/>
  <c r="A604" i="2"/>
  <c r="E603" i="2"/>
  <c r="D603" i="2"/>
  <c r="C603" i="2"/>
  <c r="A603" i="2"/>
  <c r="E602" i="2"/>
  <c r="D602" i="2"/>
  <c r="C602" i="2"/>
  <c r="A602" i="2"/>
  <c r="E601" i="2"/>
  <c r="D601" i="2"/>
  <c r="C601" i="2"/>
  <c r="A601" i="2"/>
  <c r="E600" i="2"/>
  <c r="D600" i="2"/>
  <c r="C600" i="2"/>
  <c r="A600" i="2"/>
  <c r="E599" i="2"/>
  <c r="D599" i="2"/>
  <c r="C599" i="2"/>
  <c r="A599" i="2"/>
  <c r="E598" i="2"/>
  <c r="D598" i="2"/>
  <c r="C598" i="2"/>
  <c r="A598" i="2"/>
  <c r="E597" i="2"/>
  <c r="D597" i="2"/>
  <c r="C597" i="2"/>
  <c r="A597" i="2"/>
  <c r="E596" i="2"/>
  <c r="D596" i="2"/>
  <c r="C596" i="2"/>
  <c r="A596" i="2"/>
  <c r="E595" i="2"/>
  <c r="D595" i="2"/>
  <c r="C595" i="2"/>
  <c r="A595" i="2"/>
  <c r="E594" i="2"/>
  <c r="D594" i="2"/>
  <c r="C594" i="2"/>
  <c r="A594" i="2"/>
  <c r="E593" i="2"/>
  <c r="D593" i="2"/>
  <c r="C593" i="2"/>
  <c r="A593" i="2"/>
  <c r="E592" i="2"/>
  <c r="D592" i="2"/>
  <c r="C592" i="2"/>
  <c r="A592" i="2"/>
  <c r="E591" i="2"/>
  <c r="D591" i="2"/>
  <c r="C591" i="2"/>
  <c r="A591" i="2"/>
  <c r="E590" i="2"/>
  <c r="D590" i="2"/>
  <c r="C590" i="2"/>
  <c r="A590" i="2"/>
  <c r="E589" i="2"/>
  <c r="D589" i="2"/>
  <c r="C589" i="2"/>
  <c r="A589" i="2"/>
  <c r="E588" i="2"/>
  <c r="D588" i="2"/>
  <c r="C588" i="2"/>
  <c r="A588" i="2"/>
  <c r="E587" i="2"/>
  <c r="D587" i="2"/>
  <c r="C587" i="2"/>
  <c r="A587" i="2"/>
  <c r="E586" i="2"/>
  <c r="D586" i="2"/>
  <c r="C586" i="2"/>
  <c r="A586" i="2"/>
  <c r="E585" i="2"/>
  <c r="D585" i="2"/>
  <c r="C585" i="2"/>
  <c r="A585" i="2"/>
  <c r="E584" i="2"/>
  <c r="D584" i="2"/>
  <c r="C584" i="2"/>
  <c r="A584" i="2"/>
  <c r="E583" i="2"/>
  <c r="D583" i="2"/>
  <c r="C583" i="2"/>
  <c r="A583" i="2"/>
  <c r="E582" i="2"/>
  <c r="D582" i="2"/>
  <c r="C582" i="2"/>
  <c r="A582" i="2"/>
  <c r="E581" i="2"/>
  <c r="D581" i="2"/>
  <c r="C581" i="2"/>
  <c r="A581" i="2"/>
  <c r="E580" i="2"/>
  <c r="D580" i="2"/>
  <c r="C580" i="2"/>
  <c r="A580" i="2"/>
  <c r="E579" i="2"/>
  <c r="D579" i="2"/>
  <c r="C579" i="2"/>
  <c r="A579" i="2"/>
  <c r="E578" i="2"/>
  <c r="D578" i="2"/>
  <c r="C578" i="2"/>
  <c r="A578" i="2"/>
  <c r="E577" i="2"/>
  <c r="D577" i="2"/>
  <c r="C577" i="2"/>
  <c r="A577" i="2"/>
  <c r="E576" i="2"/>
  <c r="D576" i="2"/>
  <c r="C576" i="2"/>
  <c r="A576" i="2"/>
  <c r="E575" i="2"/>
  <c r="D575" i="2"/>
  <c r="C575" i="2"/>
  <c r="A575" i="2"/>
  <c r="E574" i="2"/>
  <c r="D574" i="2"/>
  <c r="C574" i="2"/>
  <c r="A574" i="2"/>
  <c r="E573" i="2"/>
  <c r="D573" i="2"/>
  <c r="C573" i="2"/>
  <c r="A573" i="2"/>
  <c r="E572" i="2"/>
  <c r="D572" i="2"/>
  <c r="C572" i="2"/>
  <c r="A572" i="2"/>
  <c r="E571" i="2"/>
  <c r="D571" i="2"/>
  <c r="C571" i="2"/>
  <c r="A571" i="2"/>
  <c r="E570" i="2"/>
  <c r="D570" i="2"/>
  <c r="C570" i="2"/>
  <c r="A570" i="2"/>
  <c r="E569" i="2"/>
  <c r="D569" i="2"/>
  <c r="C569" i="2"/>
  <c r="A569" i="2"/>
  <c r="E568" i="2"/>
  <c r="D568" i="2"/>
  <c r="C568" i="2"/>
  <c r="A568" i="2"/>
  <c r="E567" i="2"/>
  <c r="D567" i="2"/>
  <c r="C567" i="2"/>
  <c r="A567" i="2"/>
  <c r="E566" i="2"/>
  <c r="D566" i="2"/>
  <c r="C566" i="2"/>
  <c r="A566" i="2"/>
  <c r="E565" i="2"/>
  <c r="D565" i="2"/>
  <c r="C565" i="2"/>
  <c r="A565" i="2"/>
  <c r="E564" i="2"/>
  <c r="D564" i="2"/>
  <c r="C564" i="2"/>
  <c r="A564" i="2"/>
  <c r="E563" i="2"/>
  <c r="D563" i="2"/>
  <c r="C563" i="2"/>
  <c r="A563" i="2"/>
  <c r="E562" i="2"/>
  <c r="D562" i="2"/>
  <c r="C562" i="2"/>
  <c r="A562" i="2"/>
  <c r="E561" i="2"/>
  <c r="D561" i="2"/>
  <c r="C561" i="2"/>
  <c r="A561" i="2"/>
  <c r="E560" i="2"/>
  <c r="D560" i="2"/>
  <c r="C560" i="2"/>
  <c r="A560" i="2"/>
  <c r="E559" i="2"/>
  <c r="D559" i="2"/>
  <c r="C559" i="2"/>
  <c r="A559" i="2"/>
  <c r="E558" i="2"/>
  <c r="D558" i="2"/>
  <c r="C558" i="2"/>
  <c r="A558" i="2"/>
  <c r="E557" i="2"/>
  <c r="D557" i="2"/>
  <c r="C557" i="2"/>
  <c r="A557" i="2"/>
  <c r="E556" i="2"/>
  <c r="D556" i="2"/>
  <c r="C556" i="2"/>
  <c r="A556" i="2"/>
  <c r="E555" i="2"/>
  <c r="D555" i="2"/>
  <c r="C555" i="2"/>
  <c r="A555" i="2"/>
  <c r="E554" i="2"/>
  <c r="D554" i="2"/>
  <c r="C554" i="2"/>
  <c r="A554" i="2"/>
  <c r="E553" i="2"/>
  <c r="D553" i="2"/>
  <c r="C553" i="2"/>
  <c r="A553" i="2"/>
  <c r="E552" i="2"/>
  <c r="D552" i="2"/>
  <c r="C552" i="2"/>
  <c r="A552" i="2"/>
  <c r="E551" i="2"/>
  <c r="D551" i="2"/>
  <c r="C551" i="2"/>
  <c r="A551" i="2"/>
  <c r="E550" i="2"/>
  <c r="D550" i="2"/>
  <c r="C550" i="2"/>
  <c r="A550" i="2"/>
  <c r="E549" i="2"/>
  <c r="D549" i="2"/>
  <c r="C549" i="2"/>
  <c r="A549" i="2"/>
  <c r="E548" i="2"/>
  <c r="D548" i="2"/>
  <c r="C548" i="2"/>
  <c r="A548" i="2"/>
  <c r="E547" i="2"/>
  <c r="D547" i="2"/>
  <c r="C547" i="2"/>
  <c r="A547" i="2"/>
  <c r="E546" i="2"/>
  <c r="D546" i="2"/>
  <c r="C546" i="2"/>
  <c r="A546" i="2"/>
  <c r="E545" i="2"/>
  <c r="D545" i="2"/>
  <c r="C545" i="2"/>
  <c r="A545" i="2"/>
  <c r="E544" i="2"/>
  <c r="D544" i="2"/>
  <c r="C544" i="2"/>
  <c r="A544" i="2"/>
  <c r="E543" i="2"/>
  <c r="D543" i="2"/>
  <c r="C543" i="2"/>
  <c r="A543" i="2"/>
  <c r="E542" i="2"/>
  <c r="D542" i="2"/>
  <c r="C542" i="2"/>
  <c r="A542" i="2"/>
  <c r="E541" i="2"/>
  <c r="D541" i="2"/>
  <c r="C541" i="2"/>
  <c r="A541" i="2"/>
  <c r="E540" i="2"/>
  <c r="D540" i="2"/>
  <c r="C540" i="2"/>
  <c r="A540" i="2"/>
  <c r="E539" i="2"/>
  <c r="D539" i="2"/>
  <c r="C539" i="2"/>
  <c r="A539" i="2"/>
  <c r="E538" i="2"/>
  <c r="D538" i="2"/>
  <c r="C538" i="2"/>
  <c r="A538" i="2"/>
  <c r="E537" i="2"/>
  <c r="D537" i="2"/>
  <c r="C537" i="2"/>
  <c r="A537" i="2"/>
  <c r="E536" i="2"/>
  <c r="D536" i="2"/>
  <c r="C536" i="2"/>
  <c r="A536" i="2"/>
  <c r="E535" i="2"/>
  <c r="D535" i="2"/>
  <c r="C535" i="2"/>
  <c r="A535" i="2"/>
  <c r="E534" i="2"/>
  <c r="D534" i="2"/>
  <c r="C534" i="2"/>
  <c r="A534" i="2"/>
  <c r="E533" i="2"/>
  <c r="D533" i="2"/>
  <c r="C533" i="2"/>
  <c r="A533" i="2"/>
  <c r="E532" i="2"/>
  <c r="D532" i="2"/>
  <c r="C532" i="2"/>
  <c r="A532" i="2"/>
  <c r="E531" i="2"/>
  <c r="D531" i="2"/>
  <c r="C531" i="2"/>
  <c r="A531" i="2"/>
  <c r="E530" i="2"/>
  <c r="D530" i="2"/>
  <c r="C530" i="2"/>
  <c r="A530" i="2"/>
  <c r="E529" i="2"/>
  <c r="D529" i="2"/>
  <c r="C529" i="2"/>
  <c r="A529" i="2"/>
  <c r="E528" i="2"/>
  <c r="D528" i="2"/>
  <c r="C528" i="2"/>
  <c r="A528" i="2"/>
  <c r="E527" i="2"/>
  <c r="D527" i="2"/>
  <c r="C527" i="2"/>
  <c r="A527" i="2"/>
  <c r="E526" i="2"/>
  <c r="D526" i="2"/>
  <c r="C526" i="2"/>
  <c r="A526" i="2"/>
  <c r="E525" i="2"/>
  <c r="D525" i="2"/>
  <c r="C525" i="2"/>
  <c r="A525" i="2"/>
  <c r="E524" i="2"/>
  <c r="D524" i="2"/>
  <c r="C524" i="2"/>
  <c r="A524" i="2"/>
  <c r="E523" i="2"/>
  <c r="D523" i="2"/>
  <c r="C523" i="2"/>
  <c r="A523" i="2"/>
  <c r="E522" i="2"/>
  <c r="D522" i="2"/>
  <c r="C522" i="2"/>
  <c r="A522" i="2"/>
  <c r="E520" i="2"/>
  <c r="D520" i="2"/>
  <c r="C520" i="2"/>
  <c r="A520" i="2"/>
  <c r="E519" i="2"/>
  <c r="D519" i="2"/>
  <c r="C519" i="2"/>
  <c r="A519" i="2"/>
  <c r="E518" i="2"/>
  <c r="D518" i="2"/>
  <c r="C518" i="2"/>
  <c r="A518" i="2"/>
  <c r="E517" i="2"/>
  <c r="D517" i="2"/>
  <c r="C517" i="2"/>
  <c r="A517" i="2"/>
  <c r="E516" i="2"/>
  <c r="D516" i="2"/>
  <c r="C516" i="2"/>
  <c r="A516" i="2"/>
  <c r="E515" i="2"/>
  <c r="D515" i="2"/>
  <c r="C515" i="2"/>
  <c r="A515" i="2"/>
  <c r="E514" i="2"/>
  <c r="D514" i="2"/>
  <c r="C514" i="2"/>
  <c r="A514" i="2"/>
  <c r="E513" i="2"/>
  <c r="D513" i="2"/>
  <c r="C513" i="2"/>
  <c r="A513" i="2"/>
  <c r="E512" i="2"/>
  <c r="D512" i="2"/>
  <c r="C512" i="2"/>
  <c r="A512" i="2"/>
  <c r="E510" i="2"/>
  <c r="D510" i="2"/>
  <c r="C510" i="2"/>
  <c r="A510" i="2"/>
  <c r="E509" i="2"/>
  <c r="D509" i="2"/>
  <c r="C509" i="2"/>
  <c r="A509" i="2"/>
  <c r="E508" i="2"/>
  <c r="D508" i="2"/>
  <c r="C508" i="2"/>
  <c r="A508" i="2"/>
  <c r="E507" i="2"/>
  <c r="D507" i="2"/>
  <c r="C507" i="2"/>
  <c r="A507" i="2"/>
  <c r="E506" i="2"/>
  <c r="D506" i="2"/>
  <c r="C506" i="2"/>
  <c r="A506" i="2"/>
  <c r="E505" i="2"/>
  <c r="D505" i="2"/>
  <c r="C505" i="2"/>
  <c r="A505" i="2"/>
  <c r="E504" i="2"/>
  <c r="D504" i="2"/>
  <c r="C504" i="2"/>
  <c r="A504" i="2"/>
  <c r="E503" i="2"/>
  <c r="D503" i="2"/>
  <c r="C503" i="2"/>
  <c r="A503" i="2"/>
  <c r="E502" i="2"/>
  <c r="D502" i="2"/>
  <c r="C502" i="2"/>
  <c r="A502" i="2"/>
  <c r="E501" i="2"/>
  <c r="D501" i="2"/>
  <c r="C501" i="2"/>
  <c r="A501" i="2"/>
  <c r="E500" i="2"/>
  <c r="D500" i="2"/>
  <c r="C500" i="2"/>
  <c r="A500" i="2"/>
  <c r="E499" i="2"/>
  <c r="D499" i="2"/>
  <c r="C499" i="2"/>
  <c r="A499" i="2"/>
  <c r="E498" i="2"/>
  <c r="D498" i="2"/>
  <c r="C498" i="2"/>
  <c r="A498" i="2"/>
  <c r="E497" i="2"/>
  <c r="D497" i="2"/>
  <c r="C497" i="2"/>
  <c r="A497" i="2"/>
  <c r="E496" i="2"/>
  <c r="D496" i="2"/>
  <c r="C496" i="2"/>
  <c r="A496" i="2"/>
  <c r="E495" i="2"/>
  <c r="D495" i="2"/>
  <c r="C495" i="2"/>
  <c r="A495" i="2"/>
  <c r="E494" i="2"/>
  <c r="D494" i="2"/>
  <c r="C494" i="2"/>
  <c r="A494" i="2"/>
  <c r="E493" i="2"/>
  <c r="D493" i="2"/>
  <c r="C493" i="2"/>
  <c r="A493" i="2"/>
  <c r="E492" i="2"/>
  <c r="D492" i="2"/>
  <c r="C492" i="2"/>
  <c r="A492" i="2"/>
  <c r="E491" i="2"/>
  <c r="D491" i="2"/>
  <c r="C491" i="2"/>
  <c r="A491" i="2"/>
  <c r="E490" i="2"/>
  <c r="D490" i="2"/>
  <c r="C490" i="2"/>
  <c r="A490" i="2"/>
  <c r="E489" i="2"/>
  <c r="D489" i="2"/>
  <c r="C489" i="2"/>
  <c r="A489" i="2"/>
  <c r="E488" i="2"/>
  <c r="D488" i="2"/>
  <c r="C488" i="2"/>
  <c r="A488" i="2"/>
  <c r="E487" i="2"/>
  <c r="D487" i="2"/>
  <c r="C487" i="2"/>
  <c r="A487" i="2"/>
  <c r="E486" i="2"/>
  <c r="D486" i="2"/>
  <c r="C486" i="2"/>
  <c r="A486" i="2"/>
  <c r="E485" i="2"/>
  <c r="D485" i="2"/>
  <c r="C485" i="2"/>
  <c r="A485" i="2"/>
  <c r="E484" i="2"/>
  <c r="D484" i="2"/>
  <c r="C484" i="2"/>
  <c r="A484" i="2"/>
  <c r="E483" i="2"/>
  <c r="D483" i="2"/>
  <c r="C483" i="2"/>
  <c r="A483" i="2"/>
  <c r="E482" i="2"/>
  <c r="D482" i="2"/>
  <c r="C482" i="2"/>
  <c r="A482" i="2"/>
  <c r="E481" i="2"/>
  <c r="D481" i="2"/>
  <c r="C481" i="2"/>
  <c r="A481" i="2"/>
  <c r="E480" i="2"/>
  <c r="D480" i="2"/>
  <c r="C480" i="2"/>
  <c r="A480" i="2"/>
  <c r="E479" i="2"/>
  <c r="D479" i="2"/>
  <c r="C479" i="2"/>
  <c r="A479" i="2"/>
  <c r="E478" i="2"/>
  <c r="D478" i="2"/>
  <c r="C478" i="2"/>
  <c r="A478" i="2"/>
  <c r="E477" i="2"/>
  <c r="D477" i="2"/>
  <c r="C477" i="2"/>
  <c r="A477" i="2"/>
  <c r="E476" i="2"/>
  <c r="D476" i="2"/>
  <c r="C476" i="2"/>
  <c r="A476" i="2"/>
  <c r="E475" i="2"/>
  <c r="D475" i="2"/>
  <c r="C475" i="2"/>
  <c r="A475" i="2"/>
  <c r="E474" i="2"/>
  <c r="D474" i="2"/>
  <c r="C474" i="2"/>
  <c r="A474" i="2"/>
  <c r="E473" i="2"/>
  <c r="D473" i="2"/>
  <c r="C473" i="2"/>
  <c r="A473" i="2"/>
  <c r="E472" i="2"/>
  <c r="D472" i="2"/>
  <c r="C472" i="2"/>
  <c r="A472" i="2"/>
  <c r="E471" i="2"/>
  <c r="D471" i="2"/>
  <c r="C471" i="2"/>
  <c r="A471" i="2"/>
  <c r="E470" i="2"/>
  <c r="D470" i="2"/>
  <c r="C470" i="2"/>
  <c r="A470" i="2"/>
  <c r="E469" i="2"/>
  <c r="D469" i="2"/>
  <c r="C469" i="2"/>
  <c r="A469" i="2"/>
  <c r="E468" i="2"/>
  <c r="D468" i="2"/>
  <c r="C468" i="2"/>
  <c r="A468" i="2"/>
  <c r="E467" i="2"/>
  <c r="D467" i="2"/>
  <c r="C467" i="2"/>
  <c r="A467" i="2"/>
  <c r="E466" i="2"/>
  <c r="D466" i="2"/>
  <c r="C466" i="2"/>
  <c r="A466" i="2"/>
  <c r="E465" i="2"/>
  <c r="D465" i="2"/>
  <c r="C465" i="2"/>
  <c r="A465" i="2"/>
  <c r="E464" i="2"/>
  <c r="D464" i="2"/>
  <c r="C464" i="2"/>
  <c r="A464" i="2"/>
  <c r="E463" i="2"/>
  <c r="D463" i="2"/>
  <c r="C463" i="2"/>
  <c r="A463" i="2"/>
  <c r="E462" i="2"/>
  <c r="D462" i="2"/>
  <c r="C462" i="2"/>
  <c r="A462" i="2"/>
  <c r="E461" i="2"/>
  <c r="D461" i="2"/>
  <c r="C461" i="2"/>
  <c r="A461" i="2"/>
  <c r="E460" i="2"/>
  <c r="D460" i="2"/>
  <c r="C460" i="2"/>
  <c r="A460" i="2"/>
  <c r="E459" i="2"/>
  <c r="D459" i="2"/>
  <c r="C459" i="2"/>
  <c r="A459" i="2"/>
  <c r="E458" i="2"/>
  <c r="D458" i="2"/>
  <c r="C458" i="2"/>
  <c r="A458" i="2"/>
  <c r="E457" i="2"/>
  <c r="D457" i="2"/>
  <c r="C457" i="2"/>
  <c r="A457" i="2"/>
  <c r="E456" i="2"/>
  <c r="D456" i="2"/>
  <c r="C456" i="2"/>
  <c r="A456" i="2"/>
  <c r="E455" i="2"/>
  <c r="D455" i="2"/>
  <c r="C455" i="2"/>
  <c r="A455" i="2"/>
  <c r="E454" i="2"/>
  <c r="D454" i="2"/>
  <c r="C454" i="2"/>
  <c r="A454" i="2"/>
  <c r="E453" i="2"/>
  <c r="D453" i="2"/>
  <c r="C453" i="2"/>
  <c r="A453" i="2"/>
  <c r="E452" i="2"/>
  <c r="D452" i="2"/>
  <c r="C452" i="2"/>
  <c r="A452" i="2"/>
  <c r="E451" i="2"/>
  <c r="D451" i="2"/>
  <c r="C451" i="2"/>
  <c r="A451" i="2"/>
  <c r="E450" i="2"/>
  <c r="D450" i="2"/>
  <c r="C450" i="2"/>
  <c r="A450" i="2"/>
  <c r="E449" i="2"/>
  <c r="D449" i="2"/>
  <c r="C449" i="2"/>
  <c r="A449" i="2"/>
  <c r="E448" i="2"/>
  <c r="D448" i="2"/>
  <c r="C448" i="2"/>
  <c r="A448" i="2"/>
  <c r="E447" i="2"/>
  <c r="D447" i="2"/>
  <c r="C447" i="2"/>
  <c r="A447" i="2"/>
  <c r="E446" i="2"/>
  <c r="D446" i="2"/>
  <c r="C446" i="2"/>
  <c r="A446" i="2"/>
  <c r="E445" i="2"/>
  <c r="D445" i="2"/>
  <c r="C445" i="2"/>
  <c r="A445" i="2"/>
  <c r="E444" i="2"/>
  <c r="D444" i="2"/>
  <c r="C444" i="2"/>
  <c r="A444" i="2"/>
  <c r="E443" i="2"/>
  <c r="D443" i="2"/>
  <c r="C443" i="2"/>
  <c r="A443" i="2"/>
  <c r="E442" i="2"/>
  <c r="D442" i="2"/>
  <c r="C442" i="2"/>
  <c r="A442" i="2"/>
  <c r="E441" i="2"/>
  <c r="D441" i="2"/>
  <c r="C441" i="2"/>
  <c r="A441" i="2"/>
  <c r="E440" i="2"/>
  <c r="D440" i="2"/>
  <c r="C440" i="2"/>
  <c r="A440" i="2"/>
  <c r="E439" i="2"/>
  <c r="D439" i="2"/>
  <c r="C439" i="2"/>
  <c r="A439" i="2"/>
  <c r="E438" i="2"/>
  <c r="D438" i="2"/>
  <c r="C438" i="2"/>
  <c r="A438" i="2"/>
  <c r="E437" i="2"/>
  <c r="D437" i="2"/>
  <c r="C437" i="2"/>
  <c r="A437" i="2"/>
  <c r="E436" i="2"/>
  <c r="D436" i="2"/>
  <c r="C436" i="2"/>
  <c r="A436" i="2"/>
  <c r="E435" i="2"/>
  <c r="D435" i="2"/>
  <c r="C435" i="2"/>
  <c r="A435" i="2"/>
  <c r="E434" i="2"/>
  <c r="D434" i="2"/>
  <c r="C434" i="2"/>
  <c r="A434" i="2"/>
  <c r="E433" i="2"/>
  <c r="D433" i="2"/>
  <c r="C433" i="2"/>
  <c r="A433" i="2"/>
  <c r="E432" i="2"/>
  <c r="D432" i="2"/>
  <c r="C432" i="2"/>
  <c r="A432" i="2"/>
  <c r="E431" i="2"/>
  <c r="D431" i="2"/>
  <c r="C431" i="2"/>
  <c r="A431" i="2"/>
  <c r="E430" i="2"/>
  <c r="D430" i="2"/>
  <c r="C430" i="2"/>
  <c r="A430" i="2"/>
  <c r="E429" i="2"/>
  <c r="D429" i="2"/>
  <c r="C429" i="2"/>
  <c r="A429" i="2"/>
  <c r="E428" i="2"/>
  <c r="D428" i="2"/>
  <c r="C428" i="2"/>
  <c r="A428" i="2"/>
  <c r="E427" i="2"/>
  <c r="D427" i="2"/>
  <c r="C427" i="2"/>
  <c r="A427" i="2"/>
  <c r="E426" i="2"/>
  <c r="D426" i="2"/>
  <c r="C426" i="2"/>
  <c r="A426" i="2"/>
  <c r="E425" i="2"/>
  <c r="D425" i="2"/>
  <c r="C425" i="2"/>
  <c r="A425" i="2"/>
  <c r="E424" i="2"/>
  <c r="D424" i="2"/>
  <c r="C424" i="2"/>
  <c r="A424" i="2"/>
  <c r="E423" i="2"/>
  <c r="D423" i="2"/>
  <c r="C423" i="2"/>
  <c r="A423" i="2"/>
  <c r="E422" i="2"/>
  <c r="D422" i="2"/>
  <c r="C422" i="2"/>
  <c r="A422" i="2"/>
  <c r="E421" i="2"/>
  <c r="D421" i="2"/>
  <c r="C421" i="2"/>
  <c r="A421" i="2"/>
  <c r="E420" i="2"/>
  <c r="D420" i="2"/>
  <c r="C420" i="2"/>
  <c r="A420" i="2"/>
  <c r="E419" i="2"/>
  <c r="D419" i="2"/>
  <c r="C419" i="2"/>
  <c r="A419" i="2"/>
  <c r="E418" i="2"/>
  <c r="D418" i="2"/>
  <c r="C418" i="2"/>
  <c r="A418" i="2"/>
  <c r="E417" i="2"/>
  <c r="D417" i="2"/>
  <c r="C417" i="2"/>
  <c r="A417" i="2"/>
  <c r="E416" i="2"/>
  <c r="D416" i="2"/>
  <c r="C416" i="2"/>
  <c r="A416" i="2"/>
  <c r="E415" i="2"/>
  <c r="D415" i="2"/>
  <c r="C415" i="2"/>
  <c r="A415" i="2"/>
  <c r="E414" i="2"/>
  <c r="D414" i="2"/>
  <c r="C414" i="2"/>
  <c r="A414" i="2"/>
  <c r="E413" i="2"/>
  <c r="D413" i="2"/>
  <c r="C413" i="2"/>
  <c r="A413" i="2"/>
  <c r="E412" i="2"/>
  <c r="D412" i="2"/>
  <c r="C412" i="2"/>
  <c r="A412" i="2"/>
  <c r="E411" i="2"/>
  <c r="D411" i="2"/>
  <c r="C411" i="2"/>
  <c r="A411" i="2"/>
  <c r="E410" i="2"/>
  <c r="D410" i="2"/>
  <c r="C410" i="2"/>
  <c r="A410" i="2"/>
  <c r="E409" i="2"/>
  <c r="D409" i="2"/>
  <c r="C409" i="2"/>
  <c r="A409" i="2"/>
  <c r="E408" i="2"/>
  <c r="D408" i="2"/>
  <c r="C408" i="2"/>
  <c r="A408" i="2"/>
  <c r="E407" i="2"/>
  <c r="D407" i="2"/>
  <c r="C407" i="2"/>
  <c r="A407" i="2"/>
  <c r="E406" i="2"/>
  <c r="D406" i="2"/>
  <c r="C406" i="2"/>
  <c r="A406" i="2"/>
  <c r="E405" i="2"/>
  <c r="D405" i="2"/>
  <c r="C405" i="2"/>
  <c r="A405" i="2"/>
  <c r="E404" i="2"/>
  <c r="D404" i="2"/>
  <c r="C404" i="2"/>
  <c r="A404" i="2"/>
  <c r="E403" i="2"/>
  <c r="D403" i="2"/>
  <c r="C403" i="2"/>
  <c r="A403" i="2"/>
  <c r="E402" i="2"/>
  <c r="D402" i="2"/>
  <c r="C402" i="2"/>
  <c r="A402" i="2"/>
  <c r="E401" i="2"/>
  <c r="D401" i="2"/>
  <c r="C401" i="2"/>
  <c r="A401" i="2"/>
  <c r="E400" i="2"/>
  <c r="D400" i="2"/>
  <c r="C400" i="2"/>
  <c r="A400" i="2"/>
  <c r="E399" i="2"/>
  <c r="D399" i="2"/>
  <c r="C399" i="2"/>
  <c r="A399" i="2"/>
  <c r="E398" i="2"/>
  <c r="D398" i="2"/>
  <c r="C398" i="2"/>
  <c r="A398" i="2"/>
  <c r="E397" i="2"/>
  <c r="D397" i="2"/>
  <c r="C397" i="2"/>
  <c r="A397" i="2"/>
  <c r="E396" i="2"/>
  <c r="D396" i="2"/>
  <c r="C396" i="2"/>
  <c r="A396" i="2"/>
  <c r="E395" i="2"/>
  <c r="D395" i="2"/>
  <c r="C395" i="2"/>
  <c r="A395" i="2"/>
  <c r="E394" i="2"/>
  <c r="D394" i="2"/>
  <c r="C394" i="2"/>
  <c r="A394" i="2"/>
  <c r="E393" i="2"/>
  <c r="D393" i="2"/>
  <c r="C393" i="2"/>
  <c r="A393" i="2"/>
  <c r="E392" i="2"/>
  <c r="D392" i="2"/>
  <c r="C392" i="2"/>
  <c r="A392" i="2"/>
  <c r="E391" i="2"/>
  <c r="D391" i="2"/>
  <c r="C391" i="2"/>
  <c r="A391" i="2"/>
  <c r="E390" i="2"/>
  <c r="D390" i="2"/>
  <c r="C390" i="2"/>
  <c r="A390" i="2"/>
  <c r="E389" i="2"/>
  <c r="D389" i="2"/>
  <c r="C389" i="2"/>
  <c r="A389" i="2"/>
  <c r="E388" i="2"/>
  <c r="D388" i="2"/>
  <c r="C388" i="2"/>
  <c r="A388" i="2"/>
  <c r="E387" i="2"/>
  <c r="D387" i="2"/>
  <c r="C387" i="2"/>
  <c r="A387" i="2"/>
  <c r="E386" i="2"/>
  <c r="D386" i="2"/>
  <c r="C386" i="2"/>
  <c r="A386" i="2"/>
  <c r="E385" i="2"/>
  <c r="D385" i="2"/>
  <c r="C385" i="2"/>
  <c r="A385" i="2"/>
  <c r="E384" i="2"/>
  <c r="D384" i="2"/>
  <c r="C384" i="2"/>
  <c r="A384" i="2"/>
  <c r="E383" i="2"/>
  <c r="D383" i="2"/>
  <c r="C383" i="2"/>
  <c r="A383" i="2"/>
  <c r="E382" i="2"/>
  <c r="D382" i="2"/>
  <c r="C382" i="2"/>
  <c r="A382" i="2"/>
  <c r="E381" i="2"/>
  <c r="D381" i="2"/>
  <c r="C381" i="2"/>
  <c r="A381" i="2"/>
  <c r="E380" i="2"/>
  <c r="D380" i="2"/>
  <c r="C380" i="2"/>
  <c r="A380" i="2"/>
  <c r="E379" i="2"/>
  <c r="D379" i="2"/>
  <c r="C379" i="2"/>
  <c r="A379" i="2"/>
  <c r="E378" i="2"/>
  <c r="D378" i="2"/>
  <c r="C378" i="2"/>
  <c r="A378" i="2"/>
  <c r="E377" i="2"/>
  <c r="D377" i="2"/>
  <c r="C377" i="2"/>
  <c r="A377" i="2"/>
  <c r="E376" i="2"/>
  <c r="D376" i="2"/>
  <c r="C376" i="2"/>
  <c r="A376" i="2"/>
  <c r="E375" i="2"/>
  <c r="D375" i="2"/>
  <c r="C375" i="2"/>
  <c r="A375" i="2"/>
  <c r="E374" i="2"/>
  <c r="D374" i="2"/>
  <c r="C374" i="2"/>
  <c r="A374" i="2"/>
  <c r="E373" i="2"/>
  <c r="D373" i="2"/>
  <c r="C373" i="2"/>
  <c r="A373" i="2"/>
  <c r="E372" i="2"/>
  <c r="D372" i="2"/>
  <c r="C372" i="2"/>
  <c r="A372" i="2"/>
  <c r="E371" i="2"/>
  <c r="D371" i="2"/>
  <c r="C371" i="2"/>
  <c r="A371" i="2"/>
  <c r="E370" i="2"/>
  <c r="D370" i="2"/>
  <c r="C370" i="2"/>
  <c r="A370" i="2"/>
  <c r="E369" i="2"/>
  <c r="D369" i="2"/>
  <c r="C369" i="2"/>
  <c r="A369" i="2"/>
  <c r="E368" i="2"/>
  <c r="D368" i="2"/>
  <c r="C368" i="2"/>
  <c r="A368" i="2"/>
  <c r="E367" i="2"/>
  <c r="D367" i="2"/>
  <c r="C367" i="2"/>
  <c r="A367" i="2"/>
  <c r="E366" i="2"/>
  <c r="D366" i="2"/>
  <c r="C366" i="2"/>
  <c r="A366" i="2"/>
  <c r="E365" i="2"/>
  <c r="D365" i="2"/>
  <c r="C365" i="2"/>
  <c r="A365" i="2"/>
  <c r="E364" i="2"/>
  <c r="D364" i="2"/>
  <c r="C364" i="2"/>
  <c r="A364" i="2"/>
  <c r="E363" i="2"/>
  <c r="D363" i="2"/>
  <c r="C363" i="2"/>
  <c r="A363" i="2"/>
  <c r="E362" i="2"/>
  <c r="D362" i="2"/>
  <c r="C362" i="2"/>
  <c r="A362" i="2"/>
  <c r="E361" i="2"/>
  <c r="D361" i="2"/>
  <c r="C361" i="2"/>
  <c r="A361" i="2"/>
  <c r="E360" i="2"/>
  <c r="D360" i="2"/>
  <c r="C360" i="2"/>
  <c r="A360" i="2"/>
  <c r="E359" i="2"/>
  <c r="D359" i="2"/>
  <c r="C359" i="2"/>
  <c r="A359" i="2"/>
  <c r="E358" i="2"/>
  <c r="D358" i="2"/>
  <c r="C358" i="2"/>
  <c r="A358" i="2"/>
  <c r="E357" i="2"/>
  <c r="D357" i="2"/>
  <c r="C357" i="2"/>
  <c r="A357" i="2"/>
  <c r="E356" i="2"/>
  <c r="D356" i="2"/>
  <c r="C356" i="2"/>
  <c r="A356" i="2"/>
  <c r="E355" i="2"/>
  <c r="D355" i="2"/>
  <c r="C355" i="2"/>
  <c r="A355" i="2"/>
  <c r="E354" i="2"/>
  <c r="D354" i="2"/>
  <c r="C354" i="2"/>
  <c r="A354" i="2"/>
  <c r="E353" i="2"/>
  <c r="D353" i="2"/>
  <c r="C353" i="2"/>
  <c r="A353" i="2"/>
  <c r="E352" i="2"/>
  <c r="D352" i="2"/>
  <c r="C352" i="2"/>
  <c r="A352" i="2"/>
  <c r="E351" i="2"/>
  <c r="D351" i="2"/>
  <c r="C351" i="2"/>
  <c r="A351" i="2"/>
  <c r="E350" i="2"/>
  <c r="D350" i="2"/>
  <c r="C350" i="2"/>
  <c r="A350" i="2"/>
  <c r="E349" i="2"/>
  <c r="D349" i="2"/>
  <c r="C349" i="2"/>
  <c r="A349" i="2"/>
  <c r="E348" i="2"/>
  <c r="D348" i="2"/>
  <c r="C348" i="2"/>
  <c r="A348" i="2"/>
  <c r="E347" i="2"/>
  <c r="D347" i="2"/>
  <c r="C347" i="2"/>
  <c r="A347" i="2"/>
  <c r="E346" i="2"/>
  <c r="D346" i="2"/>
  <c r="C346" i="2"/>
  <c r="A346" i="2"/>
  <c r="E345" i="2"/>
  <c r="D345" i="2"/>
  <c r="C345" i="2"/>
  <c r="A345" i="2"/>
  <c r="E344" i="2"/>
  <c r="D344" i="2"/>
  <c r="C344" i="2"/>
  <c r="A344" i="2"/>
  <c r="E343" i="2"/>
  <c r="D343" i="2"/>
  <c r="C343" i="2"/>
  <c r="A343" i="2"/>
  <c r="E342" i="2"/>
  <c r="D342" i="2"/>
  <c r="C342" i="2"/>
  <c r="A342" i="2"/>
  <c r="E341" i="2"/>
  <c r="D341" i="2"/>
  <c r="C341" i="2"/>
  <c r="A341" i="2"/>
  <c r="E340" i="2"/>
  <c r="D340" i="2"/>
  <c r="C340" i="2"/>
  <c r="A340" i="2"/>
  <c r="E339" i="2"/>
  <c r="D339" i="2"/>
  <c r="C339" i="2"/>
  <c r="A339" i="2"/>
  <c r="E338" i="2"/>
  <c r="D338" i="2"/>
  <c r="C338" i="2"/>
  <c r="A338" i="2"/>
  <c r="E337" i="2"/>
  <c r="D337" i="2"/>
  <c r="C337" i="2"/>
  <c r="A337" i="2"/>
  <c r="E336" i="2"/>
  <c r="D336" i="2"/>
  <c r="C336" i="2"/>
  <c r="A336" i="2"/>
  <c r="E335" i="2"/>
  <c r="D335" i="2"/>
  <c r="C335" i="2"/>
  <c r="A335" i="2"/>
  <c r="E334" i="2"/>
  <c r="D334" i="2"/>
  <c r="C334" i="2"/>
  <c r="A334" i="2"/>
  <c r="E333" i="2"/>
  <c r="D333" i="2"/>
  <c r="C333" i="2"/>
  <c r="A333" i="2"/>
  <c r="E332" i="2"/>
  <c r="D332" i="2"/>
  <c r="C332" i="2"/>
  <c r="A332" i="2"/>
  <c r="E331" i="2"/>
  <c r="D331" i="2"/>
  <c r="C331" i="2"/>
  <c r="A331" i="2"/>
  <c r="E330" i="2"/>
  <c r="D330" i="2"/>
  <c r="C330" i="2"/>
  <c r="A330" i="2"/>
  <c r="E329" i="2"/>
  <c r="D329" i="2"/>
  <c r="C329" i="2"/>
  <c r="A329" i="2"/>
  <c r="E328" i="2"/>
  <c r="D328" i="2"/>
  <c r="C328" i="2"/>
  <c r="A328" i="2"/>
  <c r="E327" i="2"/>
  <c r="D327" i="2"/>
  <c r="C327" i="2"/>
  <c r="A327" i="2"/>
  <c r="E326" i="2"/>
  <c r="D326" i="2"/>
  <c r="C326" i="2"/>
  <c r="A326" i="2"/>
  <c r="E325" i="2"/>
  <c r="D325" i="2"/>
  <c r="C325" i="2"/>
  <c r="A325" i="2"/>
  <c r="E324" i="2"/>
  <c r="D324" i="2"/>
  <c r="C324" i="2"/>
  <c r="A324" i="2"/>
  <c r="E323" i="2"/>
  <c r="D323" i="2"/>
  <c r="C323" i="2"/>
  <c r="A323" i="2"/>
  <c r="E322" i="2"/>
  <c r="D322" i="2"/>
  <c r="C322" i="2"/>
  <c r="A322" i="2"/>
  <c r="E321" i="2"/>
  <c r="D321" i="2"/>
  <c r="C321" i="2"/>
  <c r="A321" i="2"/>
  <c r="E320" i="2"/>
  <c r="D320" i="2"/>
  <c r="C320" i="2"/>
  <c r="A320" i="2"/>
  <c r="E319" i="2"/>
  <c r="D319" i="2"/>
  <c r="C319" i="2"/>
  <c r="A319" i="2"/>
  <c r="E318" i="2"/>
  <c r="D318" i="2"/>
  <c r="C318" i="2"/>
  <c r="A318" i="2"/>
  <c r="E317" i="2"/>
  <c r="D317" i="2"/>
  <c r="C317" i="2"/>
  <c r="A317" i="2"/>
  <c r="E316" i="2"/>
  <c r="D316" i="2"/>
  <c r="C316" i="2"/>
  <c r="A316" i="2"/>
  <c r="E315" i="2"/>
  <c r="D315" i="2"/>
  <c r="C315" i="2"/>
  <c r="A315" i="2"/>
  <c r="E314" i="2"/>
  <c r="D314" i="2"/>
  <c r="C314" i="2"/>
  <c r="A314" i="2"/>
  <c r="E313" i="2"/>
  <c r="D313" i="2"/>
  <c r="C313" i="2"/>
  <c r="A313" i="2"/>
  <c r="E312" i="2"/>
  <c r="D312" i="2"/>
  <c r="C312" i="2"/>
  <c r="A312" i="2"/>
  <c r="E311" i="2"/>
  <c r="D311" i="2"/>
  <c r="C311" i="2"/>
  <c r="A311" i="2"/>
  <c r="E310" i="2"/>
  <c r="D310" i="2"/>
  <c r="C310" i="2"/>
  <c r="A310" i="2"/>
  <c r="E309" i="2"/>
  <c r="D309" i="2"/>
  <c r="C309" i="2"/>
  <c r="A309" i="2"/>
  <c r="E308" i="2"/>
  <c r="D308" i="2"/>
  <c r="C308" i="2"/>
  <c r="A308" i="2"/>
  <c r="E307" i="2"/>
  <c r="D307" i="2"/>
  <c r="C307" i="2"/>
  <c r="A307" i="2"/>
  <c r="E306" i="2"/>
  <c r="D306" i="2"/>
  <c r="C306" i="2"/>
  <c r="A306" i="2"/>
  <c r="E305" i="2"/>
  <c r="D305" i="2"/>
  <c r="C305" i="2"/>
  <c r="A305" i="2"/>
  <c r="E304" i="2"/>
  <c r="D304" i="2"/>
  <c r="C304" i="2"/>
  <c r="A304" i="2"/>
  <c r="E303" i="2"/>
  <c r="D303" i="2"/>
  <c r="C303" i="2"/>
  <c r="A303" i="2"/>
  <c r="E302" i="2"/>
  <c r="D302" i="2"/>
  <c r="C302" i="2"/>
  <c r="A302" i="2"/>
  <c r="E301" i="2"/>
  <c r="D301" i="2"/>
  <c r="C301" i="2"/>
  <c r="A301" i="2"/>
  <c r="E300" i="2"/>
  <c r="D300" i="2"/>
  <c r="C300" i="2"/>
  <c r="A300" i="2"/>
  <c r="E299" i="2"/>
  <c r="D299" i="2"/>
  <c r="C299" i="2"/>
  <c r="A299" i="2"/>
  <c r="E298" i="2"/>
  <c r="D298" i="2"/>
  <c r="C298" i="2"/>
  <c r="A298" i="2"/>
  <c r="E297" i="2"/>
  <c r="D297" i="2"/>
  <c r="C297" i="2"/>
  <c r="A297" i="2"/>
  <c r="E296" i="2"/>
  <c r="D296" i="2"/>
  <c r="C296" i="2"/>
  <c r="A296" i="2"/>
  <c r="E295" i="2"/>
  <c r="D295" i="2"/>
  <c r="C295" i="2"/>
  <c r="A295" i="2"/>
  <c r="E294" i="2"/>
  <c r="D294" i="2"/>
  <c r="C294" i="2"/>
  <c r="A294" i="2"/>
  <c r="E293" i="2"/>
  <c r="D293" i="2"/>
  <c r="C293" i="2"/>
  <c r="A293" i="2"/>
  <c r="E292" i="2"/>
  <c r="D292" i="2"/>
  <c r="C292" i="2"/>
  <c r="A292" i="2"/>
  <c r="E291" i="2"/>
  <c r="D291" i="2"/>
  <c r="C291" i="2"/>
  <c r="A291" i="2"/>
  <c r="E290" i="2"/>
  <c r="D290" i="2"/>
  <c r="C290" i="2"/>
  <c r="A290" i="2"/>
  <c r="E289" i="2"/>
  <c r="D289" i="2"/>
  <c r="C289" i="2"/>
  <c r="A289" i="2"/>
  <c r="E288" i="2"/>
  <c r="D288" i="2"/>
  <c r="C288" i="2"/>
  <c r="A288" i="2"/>
  <c r="E287" i="2"/>
  <c r="D287" i="2"/>
  <c r="C287" i="2"/>
  <c r="A287" i="2"/>
  <c r="E286" i="2"/>
  <c r="D286" i="2"/>
  <c r="C286" i="2"/>
  <c r="A286" i="2"/>
  <c r="E285" i="2"/>
  <c r="D285" i="2"/>
  <c r="C285" i="2"/>
  <c r="A285" i="2"/>
  <c r="E284" i="2"/>
  <c r="D284" i="2"/>
  <c r="C284" i="2"/>
  <c r="A284" i="2"/>
  <c r="E283" i="2"/>
  <c r="D283" i="2"/>
  <c r="C283" i="2"/>
  <c r="A283" i="2"/>
  <c r="E282" i="2"/>
  <c r="D282" i="2"/>
  <c r="C282" i="2"/>
  <c r="A282" i="2"/>
  <c r="E281" i="2"/>
  <c r="D281" i="2"/>
  <c r="C281" i="2"/>
  <c r="A281" i="2"/>
  <c r="E280" i="2"/>
  <c r="D280" i="2"/>
  <c r="C280" i="2"/>
  <c r="A280" i="2"/>
  <c r="E279" i="2"/>
  <c r="D279" i="2"/>
  <c r="C279" i="2"/>
  <c r="A279" i="2"/>
  <c r="E278" i="2"/>
  <c r="D278" i="2"/>
  <c r="C278" i="2"/>
  <c r="A278" i="2"/>
  <c r="E277" i="2"/>
  <c r="D277" i="2"/>
  <c r="C277" i="2"/>
  <c r="A277" i="2"/>
  <c r="E276" i="2"/>
  <c r="D276" i="2"/>
  <c r="C276" i="2"/>
  <c r="A276" i="2"/>
  <c r="E275" i="2"/>
  <c r="D275" i="2"/>
  <c r="C275" i="2"/>
  <c r="A275" i="2"/>
  <c r="E274" i="2"/>
  <c r="D274" i="2"/>
  <c r="C274" i="2"/>
  <c r="A274" i="2"/>
  <c r="E273" i="2"/>
  <c r="D273" i="2"/>
  <c r="C273" i="2"/>
  <c r="A273" i="2"/>
  <c r="E272" i="2"/>
  <c r="D272" i="2"/>
  <c r="C272" i="2"/>
  <c r="A272" i="2"/>
  <c r="E271" i="2"/>
  <c r="D271" i="2"/>
  <c r="C271" i="2"/>
  <c r="A271" i="2"/>
  <c r="E270" i="2"/>
  <c r="D270" i="2"/>
  <c r="C270" i="2"/>
  <c r="A270" i="2"/>
  <c r="E269" i="2"/>
  <c r="D269" i="2"/>
  <c r="C269" i="2"/>
  <c r="A269" i="2"/>
  <c r="E268" i="2"/>
  <c r="D268" i="2"/>
  <c r="C268" i="2"/>
  <c r="A268" i="2"/>
  <c r="E267" i="2"/>
  <c r="D267" i="2"/>
  <c r="C267" i="2"/>
  <c r="A267" i="2"/>
  <c r="E266" i="2"/>
  <c r="D266" i="2"/>
  <c r="C266" i="2"/>
  <c r="A266" i="2"/>
  <c r="E265" i="2"/>
  <c r="D265" i="2"/>
  <c r="C265" i="2"/>
  <c r="A265" i="2"/>
  <c r="E264" i="2"/>
  <c r="D264" i="2"/>
  <c r="C264" i="2"/>
  <c r="A264" i="2"/>
  <c r="E263" i="2"/>
  <c r="D263" i="2"/>
  <c r="C263" i="2"/>
  <c r="A263" i="2"/>
  <c r="E262" i="2"/>
  <c r="D262" i="2"/>
  <c r="C262" i="2"/>
  <c r="A262" i="2"/>
  <c r="E261" i="2"/>
  <c r="D261" i="2"/>
  <c r="C261" i="2"/>
  <c r="A261" i="2"/>
  <c r="E260" i="2"/>
  <c r="D260" i="2"/>
  <c r="C260" i="2"/>
  <c r="A260" i="2"/>
  <c r="E259" i="2"/>
  <c r="D259" i="2"/>
  <c r="C259" i="2"/>
  <c r="A259" i="2"/>
  <c r="E258" i="2"/>
  <c r="D258" i="2"/>
  <c r="C258" i="2"/>
  <c r="A258" i="2"/>
  <c r="E257" i="2"/>
  <c r="D257" i="2"/>
  <c r="C257" i="2"/>
  <c r="A257" i="2"/>
  <c r="E256" i="2"/>
  <c r="D256" i="2"/>
  <c r="C256" i="2"/>
  <c r="A256" i="2"/>
  <c r="E255" i="2"/>
  <c r="D255" i="2"/>
  <c r="C255" i="2"/>
  <c r="A255" i="2"/>
  <c r="E254" i="2"/>
  <c r="D254" i="2"/>
  <c r="C254" i="2"/>
  <c r="A254" i="2"/>
  <c r="E253" i="2"/>
  <c r="D253" i="2"/>
  <c r="C253" i="2"/>
  <c r="A253" i="2"/>
  <c r="E252" i="2"/>
  <c r="D252" i="2"/>
  <c r="C252" i="2"/>
  <c r="A252" i="2"/>
  <c r="E251" i="2"/>
  <c r="D251" i="2"/>
  <c r="C251" i="2"/>
  <c r="A251" i="2"/>
  <c r="E250" i="2"/>
  <c r="D250" i="2"/>
  <c r="C250" i="2"/>
  <c r="A250" i="2"/>
  <c r="E249" i="2"/>
  <c r="D249" i="2"/>
  <c r="C249" i="2"/>
  <c r="A249" i="2"/>
  <c r="E248" i="2"/>
  <c r="D248" i="2"/>
  <c r="C248" i="2"/>
  <c r="A248" i="2"/>
  <c r="E247" i="2"/>
  <c r="D247" i="2"/>
  <c r="C247" i="2"/>
  <c r="A247" i="2"/>
  <c r="E246" i="2"/>
  <c r="D246" i="2"/>
  <c r="C246" i="2"/>
  <c r="A246" i="2"/>
  <c r="E245" i="2"/>
  <c r="D245" i="2"/>
  <c r="C245" i="2"/>
  <c r="A245" i="2"/>
  <c r="E244" i="2"/>
  <c r="D244" i="2"/>
  <c r="C244" i="2"/>
  <c r="A244" i="2"/>
  <c r="E243" i="2"/>
  <c r="D243" i="2"/>
  <c r="C243" i="2"/>
  <c r="A243" i="2"/>
  <c r="E242" i="2"/>
  <c r="D242" i="2"/>
  <c r="C242" i="2"/>
  <c r="A242" i="2"/>
  <c r="E241" i="2"/>
  <c r="D241" i="2"/>
  <c r="C241" i="2"/>
  <c r="A241" i="2"/>
  <c r="E240" i="2"/>
  <c r="D240" i="2"/>
  <c r="C240" i="2"/>
  <c r="A240" i="2"/>
  <c r="E239" i="2"/>
  <c r="D239" i="2"/>
  <c r="C239" i="2"/>
  <c r="A239" i="2"/>
  <c r="E238" i="2"/>
  <c r="D238" i="2"/>
  <c r="C238" i="2"/>
  <c r="A238" i="2"/>
  <c r="E237" i="2"/>
  <c r="D237" i="2"/>
  <c r="C237" i="2"/>
  <c r="A237" i="2"/>
  <c r="E236" i="2"/>
  <c r="D236" i="2"/>
  <c r="C236" i="2"/>
  <c r="A236" i="2"/>
  <c r="E235" i="2"/>
  <c r="D235" i="2"/>
  <c r="C235" i="2"/>
  <c r="A235" i="2"/>
  <c r="E234" i="2"/>
  <c r="D234" i="2"/>
  <c r="C234" i="2"/>
  <c r="A234" i="2"/>
  <c r="E233" i="2"/>
  <c r="D233" i="2"/>
  <c r="C233" i="2"/>
  <c r="A233" i="2"/>
  <c r="E232" i="2"/>
  <c r="D232" i="2"/>
  <c r="C232" i="2"/>
  <c r="A232" i="2"/>
  <c r="E231" i="2"/>
  <c r="D231" i="2"/>
  <c r="C231" i="2"/>
  <c r="A231" i="2"/>
  <c r="E230" i="2"/>
  <c r="D230" i="2"/>
  <c r="C230" i="2"/>
  <c r="A230" i="2"/>
  <c r="E229" i="2"/>
  <c r="D229" i="2"/>
  <c r="C229" i="2"/>
  <c r="A229" i="2"/>
  <c r="E228" i="2"/>
  <c r="D228" i="2"/>
  <c r="C228" i="2"/>
  <c r="A228" i="2"/>
  <c r="E227" i="2"/>
  <c r="D227" i="2"/>
  <c r="C227" i="2"/>
  <c r="A227" i="2"/>
  <c r="E226" i="2"/>
  <c r="D226" i="2"/>
  <c r="C226" i="2"/>
  <c r="A226" i="2"/>
  <c r="E225" i="2"/>
  <c r="D225" i="2"/>
  <c r="C225" i="2"/>
  <c r="A225" i="2"/>
  <c r="E224" i="2"/>
  <c r="D224" i="2"/>
  <c r="C224" i="2"/>
  <c r="A224" i="2"/>
  <c r="E223" i="2"/>
  <c r="D223" i="2"/>
  <c r="C223" i="2"/>
  <c r="A223" i="2"/>
  <c r="E222" i="2"/>
  <c r="D222" i="2"/>
  <c r="C222" i="2"/>
  <c r="A222" i="2"/>
  <c r="E221" i="2"/>
  <c r="D221" i="2"/>
  <c r="C221" i="2"/>
  <c r="A221" i="2"/>
  <c r="E220" i="2"/>
  <c r="D220" i="2"/>
  <c r="C220" i="2"/>
  <c r="A220" i="2"/>
  <c r="E219" i="2"/>
  <c r="D219" i="2"/>
  <c r="C219" i="2"/>
  <c r="A219" i="2"/>
  <c r="E218" i="2"/>
  <c r="D218" i="2"/>
  <c r="C218" i="2"/>
  <c r="A218" i="2"/>
  <c r="E217" i="2"/>
  <c r="D217" i="2"/>
  <c r="C217" i="2"/>
  <c r="A217" i="2"/>
  <c r="E216" i="2"/>
  <c r="D216" i="2"/>
  <c r="C216" i="2"/>
  <c r="A216" i="2"/>
  <c r="E215" i="2"/>
  <c r="D215" i="2"/>
  <c r="C215" i="2"/>
  <c r="A215" i="2"/>
  <c r="E214" i="2"/>
  <c r="D214" i="2"/>
  <c r="C214" i="2"/>
  <c r="A214" i="2"/>
  <c r="E213" i="2"/>
  <c r="D213" i="2"/>
  <c r="C213" i="2"/>
  <c r="A213" i="2"/>
  <c r="E212" i="2"/>
  <c r="D212" i="2"/>
  <c r="C212" i="2"/>
  <c r="A212" i="2"/>
  <c r="E211" i="2"/>
  <c r="D211" i="2"/>
  <c r="C211" i="2"/>
  <c r="A211" i="2"/>
  <c r="E210" i="2"/>
  <c r="D210" i="2"/>
  <c r="C210" i="2"/>
  <c r="A210" i="2"/>
  <c r="E209" i="2"/>
  <c r="D209" i="2"/>
  <c r="C209" i="2"/>
  <c r="A209" i="2"/>
  <c r="E208" i="2"/>
  <c r="D208" i="2"/>
  <c r="C208" i="2"/>
  <c r="A208" i="2"/>
  <c r="E207" i="2"/>
  <c r="D207" i="2"/>
  <c r="C207" i="2"/>
  <c r="A207" i="2"/>
  <c r="E206" i="2"/>
  <c r="D206" i="2"/>
  <c r="C206" i="2"/>
  <c r="A206" i="2"/>
  <c r="E205" i="2"/>
  <c r="D205" i="2"/>
  <c r="C205" i="2"/>
  <c r="A205" i="2"/>
  <c r="E204" i="2"/>
  <c r="D204" i="2"/>
  <c r="C204" i="2"/>
  <c r="A204" i="2"/>
  <c r="E203" i="2"/>
  <c r="D203" i="2"/>
  <c r="C203" i="2"/>
  <c r="A203" i="2"/>
  <c r="E202" i="2"/>
  <c r="D202" i="2"/>
  <c r="C202" i="2"/>
  <c r="A202" i="2"/>
  <c r="E201" i="2"/>
  <c r="D201" i="2"/>
  <c r="C201" i="2"/>
  <c r="A201" i="2"/>
  <c r="E200" i="2"/>
  <c r="D200" i="2"/>
  <c r="C200" i="2"/>
  <c r="A200" i="2"/>
  <c r="E199" i="2"/>
  <c r="D199" i="2"/>
  <c r="C199" i="2"/>
  <c r="A199" i="2"/>
  <c r="E198" i="2"/>
  <c r="D198" i="2"/>
  <c r="C198" i="2"/>
  <c r="A198" i="2"/>
  <c r="E197" i="2"/>
  <c r="D197" i="2"/>
  <c r="C197" i="2"/>
  <c r="A197" i="2"/>
  <c r="E196" i="2"/>
  <c r="D196" i="2"/>
  <c r="C196" i="2"/>
  <c r="A196" i="2"/>
  <c r="E195" i="2"/>
  <c r="D195" i="2"/>
  <c r="C195" i="2"/>
  <c r="A195" i="2"/>
  <c r="E194" i="2"/>
  <c r="D194" i="2"/>
  <c r="C194" i="2"/>
  <c r="A194" i="2"/>
  <c r="E193" i="2"/>
  <c r="D193" i="2"/>
  <c r="C193" i="2"/>
  <c r="A193" i="2"/>
  <c r="E192" i="2"/>
  <c r="D192" i="2"/>
  <c r="C192" i="2"/>
  <c r="A192" i="2"/>
  <c r="E191" i="2"/>
  <c r="D191" i="2"/>
  <c r="C191" i="2"/>
  <c r="A191" i="2"/>
  <c r="E190" i="2"/>
  <c r="D190" i="2"/>
  <c r="C190" i="2"/>
  <c r="A190" i="2"/>
  <c r="E189" i="2"/>
  <c r="D189" i="2"/>
  <c r="C189" i="2"/>
  <c r="A189" i="2"/>
  <c r="E188" i="2"/>
  <c r="D188" i="2"/>
  <c r="C188" i="2"/>
  <c r="A188" i="2"/>
  <c r="E187" i="2"/>
  <c r="D187" i="2"/>
  <c r="C187" i="2"/>
  <c r="A187" i="2"/>
  <c r="E186" i="2"/>
  <c r="D186" i="2"/>
  <c r="C186" i="2"/>
  <c r="A186" i="2"/>
  <c r="E185" i="2"/>
  <c r="D185" i="2"/>
  <c r="C185" i="2"/>
  <c r="A185" i="2"/>
  <c r="E184" i="2"/>
  <c r="D184" i="2"/>
  <c r="C184" i="2"/>
  <c r="A184" i="2"/>
  <c r="E183" i="2"/>
  <c r="D183" i="2"/>
  <c r="C183" i="2"/>
  <c r="A183" i="2"/>
  <c r="E182" i="2"/>
  <c r="D182" i="2"/>
  <c r="C182" i="2"/>
  <c r="A182" i="2"/>
  <c r="E181" i="2"/>
  <c r="D181" i="2"/>
  <c r="C181" i="2"/>
  <c r="A181" i="2"/>
  <c r="E180" i="2"/>
  <c r="D180" i="2"/>
  <c r="C180" i="2"/>
  <c r="A180" i="2"/>
  <c r="E179" i="2"/>
  <c r="D179" i="2"/>
  <c r="C179" i="2"/>
  <c r="A179" i="2"/>
  <c r="E178" i="2"/>
  <c r="D178" i="2"/>
  <c r="C178" i="2"/>
  <c r="A178" i="2"/>
  <c r="E177" i="2"/>
  <c r="D177" i="2"/>
  <c r="C177" i="2"/>
  <c r="A177" i="2"/>
  <c r="E176" i="2"/>
  <c r="D176" i="2"/>
  <c r="C176" i="2"/>
  <c r="A176" i="2"/>
  <c r="E175" i="2"/>
  <c r="D175" i="2"/>
  <c r="C175" i="2"/>
  <c r="A175" i="2"/>
  <c r="E174" i="2"/>
  <c r="D174" i="2"/>
  <c r="C174" i="2"/>
  <c r="A174" i="2"/>
  <c r="E173" i="2"/>
  <c r="D173" i="2"/>
  <c r="C173" i="2"/>
  <c r="A173" i="2"/>
  <c r="E172" i="2"/>
  <c r="D172" i="2"/>
  <c r="C172" i="2"/>
  <c r="A172" i="2"/>
  <c r="E171" i="2"/>
  <c r="D171" i="2"/>
  <c r="C171" i="2"/>
  <c r="A171" i="2"/>
  <c r="E170" i="2"/>
  <c r="D170" i="2"/>
  <c r="C170" i="2"/>
  <c r="A170" i="2"/>
  <c r="E169" i="2"/>
  <c r="D169" i="2"/>
  <c r="C169" i="2"/>
  <c r="A169" i="2"/>
  <c r="E168" i="2"/>
  <c r="D168" i="2"/>
  <c r="C168" i="2"/>
  <c r="A168" i="2"/>
  <c r="E167" i="2"/>
  <c r="D167" i="2"/>
  <c r="C167" i="2"/>
  <c r="A167" i="2"/>
  <c r="E166" i="2"/>
  <c r="D166" i="2"/>
  <c r="C166" i="2"/>
  <c r="A166" i="2"/>
  <c r="E165" i="2"/>
  <c r="D165" i="2"/>
  <c r="C165" i="2"/>
  <c r="A165" i="2"/>
  <c r="E164" i="2"/>
  <c r="D164" i="2"/>
  <c r="C164" i="2"/>
  <c r="A164" i="2"/>
  <c r="E163" i="2"/>
  <c r="D163" i="2"/>
  <c r="C163" i="2"/>
  <c r="A163" i="2"/>
  <c r="E162" i="2"/>
  <c r="D162" i="2"/>
  <c r="C162" i="2"/>
  <c r="A162" i="2"/>
  <c r="E161" i="2"/>
  <c r="D161" i="2"/>
  <c r="C161" i="2"/>
  <c r="A161" i="2"/>
  <c r="E160" i="2"/>
  <c r="D160" i="2"/>
  <c r="C160" i="2"/>
  <c r="A160" i="2"/>
  <c r="E159" i="2"/>
  <c r="D159" i="2"/>
  <c r="C159" i="2"/>
  <c r="A159" i="2"/>
  <c r="E158" i="2"/>
  <c r="D158" i="2"/>
  <c r="C158" i="2"/>
  <c r="A158" i="2"/>
  <c r="E157" i="2"/>
  <c r="D157" i="2"/>
  <c r="C157" i="2"/>
  <c r="A157" i="2"/>
  <c r="E156" i="2"/>
  <c r="D156" i="2"/>
  <c r="C156" i="2"/>
  <c r="A156" i="2"/>
  <c r="E155" i="2"/>
  <c r="D155" i="2"/>
  <c r="C155" i="2"/>
  <c r="A155" i="2"/>
  <c r="E154" i="2"/>
  <c r="D154" i="2"/>
  <c r="C154" i="2"/>
  <c r="A154" i="2"/>
  <c r="E153" i="2"/>
  <c r="D153" i="2"/>
  <c r="C153" i="2"/>
  <c r="A153" i="2"/>
  <c r="E152" i="2"/>
  <c r="D152" i="2"/>
  <c r="C152" i="2"/>
  <c r="A152" i="2"/>
  <c r="E151" i="2"/>
  <c r="D151" i="2"/>
  <c r="C151" i="2"/>
  <c r="A151" i="2"/>
  <c r="E150" i="2"/>
  <c r="D150" i="2"/>
  <c r="C150" i="2"/>
  <c r="A150" i="2"/>
  <c r="E149" i="2"/>
  <c r="D149" i="2"/>
  <c r="C149" i="2"/>
  <c r="A149" i="2"/>
  <c r="E148" i="2"/>
  <c r="D148" i="2"/>
  <c r="C148" i="2"/>
  <c r="A148" i="2"/>
  <c r="E147" i="2"/>
  <c r="D147" i="2"/>
  <c r="C147" i="2"/>
  <c r="A147" i="2"/>
  <c r="E146" i="2"/>
  <c r="D146" i="2"/>
  <c r="C146" i="2"/>
  <c r="A146" i="2"/>
  <c r="E145" i="2"/>
  <c r="D145" i="2"/>
  <c r="C145" i="2"/>
  <c r="A145" i="2"/>
  <c r="E144" i="2"/>
  <c r="D144" i="2"/>
  <c r="C144" i="2"/>
  <c r="A144" i="2"/>
  <c r="E143" i="2"/>
  <c r="D143" i="2"/>
  <c r="C143" i="2"/>
  <c r="A143" i="2"/>
  <c r="E142" i="2"/>
  <c r="D142" i="2"/>
  <c r="C142" i="2"/>
  <c r="A142" i="2"/>
  <c r="E141" i="2"/>
  <c r="D141" i="2"/>
  <c r="C141" i="2"/>
  <c r="A141" i="2"/>
  <c r="E140" i="2"/>
  <c r="D140" i="2"/>
  <c r="C140" i="2"/>
  <c r="A140" i="2"/>
  <c r="E139" i="2"/>
  <c r="D139" i="2"/>
  <c r="C139" i="2"/>
  <c r="A139" i="2"/>
  <c r="E138" i="2"/>
  <c r="D138" i="2"/>
  <c r="C138" i="2"/>
  <c r="A138" i="2"/>
  <c r="E137" i="2"/>
  <c r="D137" i="2"/>
  <c r="C137" i="2"/>
  <c r="A137" i="2"/>
  <c r="E136" i="2"/>
  <c r="D136" i="2"/>
  <c r="C136" i="2"/>
  <c r="A136" i="2"/>
  <c r="E135" i="2"/>
  <c r="D135" i="2"/>
  <c r="C135" i="2"/>
  <c r="A135" i="2"/>
  <c r="E134" i="2"/>
  <c r="D134" i="2"/>
  <c r="C134" i="2"/>
  <c r="A134" i="2"/>
  <c r="E133" i="2"/>
  <c r="D133" i="2"/>
  <c r="C133" i="2"/>
  <c r="A133" i="2"/>
  <c r="E132" i="2"/>
  <c r="D132" i="2"/>
  <c r="C132" i="2"/>
  <c r="A132" i="2"/>
  <c r="E131" i="2"/>
  <c r="D131" i="2"/>
  <c r="C131" i="2"/>
  <c r="A131" i="2"/>
  <c r="E130" i="2"/>
  <c r="D130" i="2"/>
  <c r="C130" i="2"/>
  <c r="A130" i="2"/>
  <c r="E129" i="2"/>
  <c r="D129" i="2"/>
  <c r="C129" i="2"/>
  <c r="A129" i="2"/>
  <c r="E128" i="2"/>
  <c r="D128" i="2"/>
  <c r="C128" i="2"/>
  <c r="A128" i="2"/>
  <c r="E127" i="2"/>
  <c r="D127" i="2"/>
  <c r="C127" i="2"/>
  <c r="A127" i="2"/>
  <c r="E126" i="2"/>
  <c r="D126" i="2"/>
  <c r="C126" i="2"/>
  <c r="A126" i="2"/>
  <c r="E125" i="2"/>
  <c r="D125" i="2"/>
  <c r="C125" i="2"/>
  <c r="A125" i="2"/>
  <c r="E124" i="2"/>
  <c r="D124" i="2"/>
  <c r="C124" i="2"/>
  <c r="A124" i="2"/>
  <c r="E123" i="2"/>
  <c r="D123" i="2"/>
  <c r="C123" i="2"/>
  <c r="A123" i="2"/>
  <c r="E122" i="2"/>
  <c r="D122" i="2"/>
  <c r="C122" i="2"/>
  <c r="A122" i="2"/>
  <c r="E121" i="2"/>
  <c r="D121" i="2"/>
  <c r="C121" i="2"/>
  <c r="A121" i="2"/>
  <c r="E120" i="2"/>
  <c r="D120" i="2"/>
  <c r="C120" i="2"/>
  <c r="A120" i="2"/>
  <c r="E119" i="2"/>
  <c r="D119" i="2"/>
  <c r="C119" i="2"/>
  <c r="A119" i="2"/>
  <c r="E118" i="2"/>
  <c r="D118" i="2"/>
  <c r="C118" i="2"/>
  <c r="A118" i="2"/>
  <c r="E117" i="2"/>
  <c r="D117" i="2"/>
  <c r="C117" i="2"/>
  <c r="A117" i="2"/>
  <c r="E116" i="2"/>
  <c r="D116" i="2"/>
  <c r="C116" i="2"/>
  <c r="A116" i="2"/>
  <c r="E115" i="2"/>
  <c r="D115" i="2"/>
  <c r="C115" i="2"/>
  <c r="A115" i="2"/>
  <c r="E114" i="2"/>
  <c r="D114" i="2"/>
  <c r="C114" i="2"/>
  <c r="A114" i="2"/>
  <c r="E113" i="2"/>
  <c r="D113" i="2"/>
  <c r="C113" i="2"/>
  <c r="A113" i="2"/>
  <c r="E112" i="2"/>
  <c r="D112" i="2"/>
  <c r="C112" i="2"/>
  <c r="A112" i="2"/>
  <c r="E111" i="2"/>
  <c r="D111" i="2"/>
  <c r="C111" i="2"/>
  <c r="A111" i="2"/>
  <c r="E110" i="2"/>
  <c r="D110" i="2"/>
  <c r="C110" i="2"/>
  <c r="A110" i="2"/>
  <c r="E109" i="2"/>
  <c r="D109" i="2"/>
  <c r="C109" i="2"/>
  <c r="A109" i="2"/>
  <c r="E108" i="2"/>
  <c r="D108" i="2"/>
  <c r="C108" i="2"/>
  <c r="A108" i="2"/>
  <c r="E107" i="2"/>
  <c r="D107" i="2"/>
  <c r="C107" i="2"/>
  <c r="A107" i="2"/>
  <c r="E106" i="2"/>
  <c r="D106" i="2"/>
  <c r="C106" i="2"/>
  <c r="A106" i="2"/>
  <c r="E105" i="2"/>
  <c r="D105" i="2"/>
  <c r="C105" i="2"/>
  <c r="A105" i="2"/>
  <c r="E104" i="2"/>
  <c r="D104" i="2"/>
  <c r="C104" i="2"/>
  <c r="A104" i="2"/>
  <c r="E103" i="2"/>
  <c r="D103" i="2"/>
  <c r="C103" i="2"/>
  <c r="A103" i="2"/>
  <c r="E102" i="2"/>
  <c r="D102" i="2"/>
  <c r="C102" i="2"/>
  <c r="A102" i="2"/>
  <c r="E101" i="2"/>
  <c r="D101" i="2"/>
  <c r="C101" i="2"/>
  <c r="A101" i="2"/>
  <c r="E100" i="2"/>
  <c r="D100" i="2"/>
  <c r="C100" i="2"/>
  <c r="A100" i="2"/>
  <c r="E99" i="2"/>
  <c r="D99" i="2"/>
  <c r="C99" i="2"/>
  <c r="A99" i="2"/>
  <c r="E98" i="2"/>
  <c r="D98" i="2"/>
  <c r="C98" i="2"/>
  <c r="A98" i="2"/>
  <c r="E97" i="2"/>
  <c r="D97" i="2"/>
  <c r="C97" i="2"/>
  <c r="A97" i="2"/>
  <c r="E96" i="2"/>
  <c r="D96" i="2"/>
  <c r="C96" i="2"/>
  <c r="A96" i="2"/>
  <c r="E95" i="2"/>
  <c r="D95" i="2"/>
  <c r="C95" i="2"/>
  <c r="A95" i="2"/>
  <c r="E94" i="2"/>
  <c r="D94" i="2"/>
  <c r="C94" i="2"/>
  <c r="A94" i="2"/>
  <c r="E93" i="2"/>
  <c r="D93" i="2"/>
  <c r="C93" i="2"/>
  <c r="A93" i="2"/>
  <c r="E92" i="2"/>
  <c r="D92" i="2"/>
  <c r="C92" i="2"/>
  <c r="A92" i="2"/>
  <c r="E91" i="2"/>
  <c r="D91" i="2"/>
  <c r="C91" i="2"/>
  <c r="A91" i="2"/>
  <c r="E89" i="2"/>
  <c r="D89" i="2"/>
  <c r="C89" i="2"/>
  <c r="A89" i="2"/>
  <c r="E88" i="2"/>
  <c r="D88" i="2"/>
  <c r="C88" i="2"/>
  <c r="A88" i="2"/>
  <c r="E87" i="2"/>
  <c r="D87" i="2"/>
  <c r="C87" i="2"/>
  <c r="A87" i="2"/>
  <c r="E86" i="2"/>
  <c r="D86" i="2"/>
  <c r="C86" i="2"/>
  <c r="A86" i="2"/>
  <c r="E85" i="2"/>
  <c r="D85" i="2"/>
  <c r="C85" i="2"/>
  <c r="A85" i="2"/>
  <c r="E84" i="2"/>
  <c r="D84" i="2"/>
  <c r="C84" i="2"/>
  <c r="A84" i="2"/>
  <c r="E83" i="2"/>
  <c r="D83" i="2"/>
  <c r="C83" i="2"/>
  <c r="A83" i="2"/>
  <c r="E80" i="2"/>
  <c r="D80" i="2"/>
  <c r="C80" i="2"/>
  <c r="A80" i="2"/>
  <c r="E79" i="2"/>
  <c r="D79" i="2"/>
  <c r="C79" i="2"/>
  <c r="A79" i="2"/>
  <c r="E78" i="2"/>
  <c r="D78" i="2"/>
  <c r="C78" i="2"/>
  <c r="A78" i="2"/>
  <c r="E77" i="2"/>
  <c r="D77" i="2"/>
  <c r="C77" i="2"/>
  <c r="A77" i="2"/>
  <c r="E76" i="2"/>
  <c r="D76" i="2"/>
  <c r="C76" i="2"/>
  <c r="A76" i="2"/>
  <c r="E75" i="2"/>
  <c r="D75" i="2"/>
  <c r="C75" i="2"/>
  <c r="A75" i="2"/>
  <c r="E74" i="2"/>
  <c r="D74" i="2"/>
  <c r="C74" i="2"/>
  <c r="A74" i="2"/>
  <c r="E73" i="2"/>
  <c r="D73" i="2"/>
  <c r="C73" i="2"/>
  <c r="A73" i="2"/>
  <c r="E72" i="2"/>
  <c r="D72" i="2"/>
  <c r="C72" i="2"/>
  <c r="A72" i="2"/>
  <c r="E71" i="2"/>
  <c r="D71" i="2"/>
  <c r="C71" i="2"/>
  <c r="A71" i="2"/>
  <c r="E70" i="2"/>
  <c r="D70" i="2"/>
  <c r="C70" i="2"/>
  <c r="A70" i="2"/>
  <c r="E69" i="2"/>
  <c r="D69" i="2"/>
  <c r="C69" i="2"/>
  <c r="A69" i="2"/>
  <c r="E68" i="2"/>
  <c r="D68" i="2"/>
  <c r="C68" i="2"/>
  <c r="A68" i="2"/>
  <c r="E67" i="2"/>
  <c r="D67" i="2"/>
  <c r="C67" i="2"/>
  <c r="A67" i="2"/>
  <c r="E66" i="2"/>
  <c r="D66" i="2"/>
  <c r="C66" i="2"/>
  <c r="A66" i="2"/>
  <c r="E65" i="2"/>
  <c r="D65" i="2"/>
  <c r="C65" i="2"/>
  <c r="A65" i="2"/>
  <c r="E64" i="2"/>
  <c r="D64" i="2"/>
  <c r="C64" i="2"/>
  <c r="A64" i="2"/>
  <c r="E63" i="2"/>
  <c r="D63" i="2"/>
  <c r="C63" i="2"/>
  <c r="A63" i="2"/>
  <c r="E62" i="2"/>
  <c r="D62" i="2"/>
  <c r="C62" i="2"/>
  <c r="A62" i="2"/>
  <c r="E61" i="2"/>
  <c r="D61" i="2"/>
  <c r="C61" i="2"/>
  <c r="A61" i="2"/>
  <c r="E60" i="2"/>
  <c r="D60" i="2"/>
  <c r="C60" i="2"/>
  <c r="A60" i="2"/>
  <c r="E59" i="2"/>
  <c r="D59" i="2"/>
  <c r="C59" i="2"/>
  <c r="A59" i="2"/>
  <c r="E58" i="2"/>
  <c r="D58" i="2"/>
  <c r="C58" i="2"/>
  <c r="A58" i="2"/>
  <c r="E57" i="2"/>
  <c r="D57" i="2"/>
  <c r="C57" i="2"/>
  <c r="A57" i="2"/>
  <c r="E56" i="2"/>
  <c r="D56" i="2"/>
  <c r="C56" i="2"/>
  <c r="A56" i="2"/>
  <c r="E55" i="2"/>
  <c r="D55" i="2"/>
  <c r="C55" i="2"/>
  <c r="A55" i="2"/>
  <c r="E54" i="2"/>
  <c r="D54" i="2"/>
  <c r="C54" i="2"/>
  <c r="A54" i="2"/>
  <c r="E53" i="2"/>
  <c r="D53" i="2"/>
  <c r="C53" i="2"/>
  <c r="A53" i="2"/>
  <c r="E52" i="2"/>
  <c r="D52" i="2"/>
  <c r="C52" i="2"/>
  <c r="A52" i="2"/>
  <c r="E51" i="2"/>
  <c r="D51" i="2"/>
  <c r="C51" i="2"/>
  <c r="A51" i="2"/>
  <c r="E50" i="2"/>
  <c r="D50" i="2"/>
  <c r="C50" i="2"/>
  <c r="A50" i="2"/>
  <c r="E49" i="2"/>
  <c r="D49" i="2"/>
  <c r="C49" i="2"/>
  <c r="A49" i="2"/>
  <c r="E48" i="2"/>
  <c r="D48" i="2"/>
  <c r="C48" i="2"/>
  <c r="A48" i="2"/>
  <c r="E47" i="2"/>
  <c r="D47" i="2"/>
  <c r="C47" i="2"/>
  <c r="A47" i="2"/>
  <c r="E46" i="2"/>
  <c r="D46" i="2"/>
  <c r="C46" i="2"/>
  <c r="A46" i="2"/>
  <c r="E45" i="2"/>
  <c r="D45" i="2"/>
  <c r="C45" i="2"/>
  <c r="A45" i="2"/>
  <c r="E44" i="2"/>
  <c r="D44" i="2"/>
  <c r="C44" i="2"/>
  <c r="A44" i="2"/>
  <c r="E43" i="2"/>
  <c r="D43" i="2"/>
  <c r="C43" i="2"/>
  <c r="A43" i="2"/>
  <c r="E42" i="2"/>
  <c r="D42" i="2"/>
  <c r="C42" i="2"/>
  <c r="A42" i="2"/>
  <c r="E41" i="2"/>
  <c r="D41" i="2"/>
  <c r="C41" i="2"/>
  <c r="A41" i="2"/>
  <c r="E40" i="2"/>
  <c r="D40" i="2"/>
  <c r="C40" i="2"/>
  <c r="A40" i="2"/>
  <c r="E39" i="2"/>
  <c r="D39" i="2"/>
  <c r="C39" i="2"/>
  <c r="A39" i="2"/>
  <c r="E38" i="2"/>
  <c r="D38" i="2"/>
  <c r="C38" i="2"/>
  <c r="A38" i="2"/>
  <c r="E37" i="2"/>
  <c r="D37" i="2"/>
  <c r="C37" i="2"/>
  <c r="A37" i="2"/>
  <c r="E36" i="2"/>
  <c r="D36" i="2"/>
  <c r="C36" i="2"/>
  <c r="A36" i="2"/>
  <c r="E35" i="2"/>
  <c r="D35" i="2"/>
  <c r="C35" i="2"/>
  <c r="A35" i="2"/>
  <c r="E34" i="2"/>
  <c r="D34" i="2"/>
  <c r="C34" i="2"/>
  <c r="A34" i="2"/>
  <c r="E33" i="2"/>
  <c r="D33" i="2"/>
  <c r="C33" i="2"/>
  <c r="A33" i="2"/>
  <c r="E32" i="2"/>
  <c r="D32" i="2"/>
  <c r="C32" i="2"/>
  <c r="A32" i="2"/>
  <c r="E31" i="2"/>
  <c r="D31" i="2"/>
  <c r="C31" i="2"/>
  <c r="A31" i="2"/>
  <c r="E30" i="2"/>
  <c r="D30" i="2"/>
  <c r="C30" i="2"/>
  <c r="A30" i="2"/>
  <c r="E29" i="2"/>
  <c r="D29" i="2"/>
  <c r="C29" i="2"/>
  <c r="A29" i="2"/>
  <c r="E28" i="2"/>
  <c r="D28" i="2"/>
  <c r="C28" i="2"/>
  <c r="A28" i="2"/>
  <c r="E27" i="2"/>
  <c r="D27" i="2"/>
  <c r="C27" i="2"/>
  <c r="A27" i="2"/>
  <c r="E26" i="2"/>
  <c r="D26" i="2"/>
  <c r="C26" i="2"/>
  <c r="A26" i="2"/>
  <c r="E25" i="2"/>
  <c r="D25" i="2"/>
  <c r="C25" i="2"/>
  <c r="A25" i="2"/>
  <c r="E24" i="2"/>
  <c r="D24" i="2"/>
  <c r="C24" i="2"/>
  <c r="A24" i="2"/>
  <c r="E23" i="2"/>
  <c r="D23" i="2"/>
  <c r="C23" i="2"/>
  <c r="A23" i="2"/>
  <c r="E22" i="2"/>
  <c r="D22" i="2"/>
  <c r="C22" i="2"/>
  <c r="A22" i="2"/>
  <c r="E21" i="2"/>
  <c r="D21" i="2"/>
  <c r="C21" i="2"/>
  <c r="A21" i="2"/>
  <c r="E20" i="2"/>
  <c r="D20" i="2"/>
  <c r="C20" i="2"/>
  <c r="A20" i="2"/>
  <c r="E19" i="2"/>
  <c r="D19" i="2"/>
  <c r="C19" i="2"/>
  <c r="A19" i="2"/>
  <c r="E18" i="2"/>
  <c r="D18" i="2"/>
  <c r="C18" i="2"/>
  <c r="A18" i="2"/>
  <c r="E17" i="2"/>
  <c r="D17" i="2"/>
  <c r="C17" i="2"/>
  <c r="A17" i="2"/>
  <c r="E16" i="2"/>
  <c r="D16" i="2"/>
  <c r="C16" i="2"/>
  <c r="A16" i="2"/>
  <c r="E15" i="2"/>
  <c r="D15" i="2"/>
  <c r="C15" i="2"/>
  <c r="A15" i="2"/>
  <c r="E14" i="2"/>
  <c r="D14" i="2"/>
  <c r="C14" i="2"/>
  <c r="A14" i="2"/>
  <c r="E13" i="2"/>
  <c r="D13" i="2"/>
  <c r="C13" i="2"/>
  <c r="A13" i="2"/>
  <c r="E12" i="2"/>
  <c r="D12" i="2"/>
  <c r="C12" i="2"/>
  <c r="A12" i="2"/>
  <c r="E11" i="2"/>
  <c r="D11" i="2"/>
  <c r="C11" i="2"/>
  <c r="A11" i="2"/>
  <c r="E10" i="2"/>
  <c r="D10" i="2"/>
  <c r="C10" i="2"/>
  <c r="A10" i="2"/>
  <c r="E9" i="2"/>
  <c r="D9" i="2"/>
  <c r="C9" i="2"/>
  <c r="A9" i="2"/>
  <c r="E8" i="2"/>
  <c r="D8" i="2"/>
  <c r="C8" i="2"/>
  <c r="A8" i="2"/>
  <c r="E7" i="2"/>
  <c r="D7" i="2"/>
  <c r="C7" i="2"/>
  <c r="A7" i="2"/>
  <c r="E6" i="2"/>
  <c r="D6" i="2"/>
  <c r="C6" i="2"/>
  <c r="A6" i="2"/>
  <c r="E5" i="2"/>
  <c r="D5" i="2"/>
  <c r="C5" i="2"/>
  <c r="A5" i="2"/>
  <c r="E4" i="2"/>
  <c r="D4" i="2"/>
  <c r="C4" i="2"/>
  <c r="A4" i="2"/>
  <c r="E3" i="2"/>
  <c r="D3" i="2"/>
  <c r="C3" i="2"/>
  <c r="A3" i="2"/>
</calcChain>
</file>

<file path=xl/connections.xml><?xml version="1.0" encoding="utf-8"?>
<connections xmlns="http://schemas.openxmlformats.org/spreadsheetml/2006/main">
  <connection id="1" name="cpxjrnl20160104" type="6" refreshedVersion="4" background="1" saveData="1">
    <textPr codePage="437" sourceFile="C:\000\20160104\cpxjrnl20160104.csv" tab="0" delimiter="#">
      <textFields count="32">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name="cpxjrnl201601041" type="6" refreshedVersion="4" background="1" saveData="1">
    <textPr codePage="437" sourceFile="C:\000\20160104\cpxjrnl20160104.csv" tab="0" delimiter="#">
      <textFields count="32">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<sst xmlns="http://schemas.openxmlformats.org/spreadsheetml/2006/main" count="30176" uniqueCount="2448">
  <si>
    <t>COMPENDEX SOURCE LIST: UPDATED February 11, 2016</t>
  </si>
  <si>
    <t>Source Title</t>
  </si>
  <si>
    <t>ISBN13</t>
  </si>
  <si>
    <t>ISSN</t>
  </si>
  <si>
    <t>EISSN</t>
  </si>
  <si>
    <t>Publisher</t>
  </si>
  <si>
    <t>journal</t>
  </si>
  <si>
    <t>3D Display Research Center</t>
  </si>
  <si>
    <t>proceeding</t>
  </si>
  <si>
    <t>IEEE Computer Society</t>
  </si>
  <si>
    <t>Air and Waste Management Association</t>
  </si>
  <si>
    <t>AI Access Foundation</t>
  </si>
  <si>
    <t>Taylor and Francis Ltd</t>
  </si>
  <si>
    <t>Association for the Advancement of Cost Engineering</t>
  </si>
  <si>
    <t>American Association of Petroleum Geologists</t>
  </si>
  <si>
    <t>ABB Corporate Management Services AG</t>
  </si>
  <si>
    <t>Springer International Publishing</t>
  </si>
  <si>
    <t>Asia Pacific Broadcasting Union</t>
  </si>
  <si>
    <t>Academic Association for Manufacturing Engineering</t>
  </si>
  <si>
    <t>Elsevier Ltd</t>
  </si>
  <si>
    <t>American Concrete Institute</t>
  </si>
  <si>
    <t>Association for Computing Machinery</t>
  </si>
  <si>
    <t>trade journal</t>
  </si>
  <si>
    <t>Eurographics Association</t>
  </si>
  <si>
    <t>Maik Nauka-Interperiodica Publishing</t>
  </si>
  <si>
    <t>Acoustical Society of Japan</t>
  </si>
  <si>
    <t>Springer Singapore</t>
  </si>
  <si>
    <t>Institute of Acoustics</t>
  </si>
  <si>
    <t>American Chemical Society</t>
  </si>
  <si>
    <t>book-series</t>
  </si>
  <si>
    <t>S. Hirzel Verlag GmbH</t>
  </si>
  <si>
    <t>Springer Netherlands</t>
  </si>
  <si>
    <t>Blackwell Munksgaard</t>
  </si>
  <si>
    <t>International Union of Crystallography</t>
  </si>
  <si>
    <t>University of Szeged</t>
  </si>
  <si>
    <t>Acta Geographica Sinica</t>
  </si>
  <si>
    <t>03755444</t>
  </si>
  <si>
    <t>Science Press</t>
  </si>
  <si>
    <t>Acta Geologica Sinica</t>
  </si>
  <si>
    <t>00015717</t>
  </si>
  <si>
    <t>Geological Society of China</t>
  </si>
  <si>
    <t>De Gruyter Open Ltd</t>
  </si>
  <si>
    <t>Springer Verlag</t>
  </si>
  <si>
    <t>Springer-Verlag Wien</t>
  </si>
  <si>
    <t>Huazhong University of Science and Technology</t>
  </si>
  <si>
    <t>Chinese Society for Metals</t>
  </si>
  <si>
    <t>Acta Petrologica Sinica</t>
  </si>
  <si>
    <t>10000569</t>
  </si>
  <si>
    <t>Polish Academy of Sciences</t>
  </si>
  <si>
    <t>Jagellonian University</t>
  </si>
  <si>
    <t>SAGE Publications Inc.</t>
  </si>
  <si>
    <t>Wydawnictwo Uniwersytetu Przyrodniczego w Poznaniu</t>
  </si>
  <si>
    <t>Academy of Sciences of the Czech Republic</t>
  </si>
  <si>
    <t>Lucian Blaga, University of Sibiu</t>
  </si>
  <si>
    <t>Hindawi Publishing Corporation</t>
  </si>
  <si>
    <t>Elsevier</t>
  </si>
  <si>
    <t>Ada-Europe</t>
  </si>
  <si>
    <t>Springer New York LLC</t>
  </si>
  <si>
    <t>Multi-Science Publishing Co. Ltd</t>
  </si>
  <si>
    <t>Environmental and Engineering Geophysical Society (EEGS)</t>
  </si>
  <si>
    <t>Taylor and Francis Ltd.</t>
  </si>
  <si>
    <t>Adcotec Ltd.</t>
  </si>
  <si>
    <t>Springer-Verlag London Ltd</t>
  </si>
  <si>
    <t>Wiley-VCH Verlag</t>
  </si>
  <si>
    <t>Seven Mountains Scientific, Inc.</t>
  </si>
  <si>
    <t>ASM International</t>
  </si>
  <si>
    <t>Materials Research Society</t>
  </si>
  <si>
    <t>Robotics Society of Japan</t>
  </si>
  <si>
    <t>Hong Kong Institute of Steel Construction</t>
  </si>
  <si>
    <t>Begell House Inc.</t>
  </si>
  <si>
    <t>Maney Publishing</t>
  </si>
  <si>
    <t>Academic Press Inc.</t>
  </si>
  <si>
    <t>Applied Probability Trust</t>
  </si>
  <si>
    <t>American Society of Mechanical Engineers (ASME)</t>
  </si>
  <si>
    <t>Thomas Telford Services Ltd</t>
  </si>
  <si>
    <t>ASTM International</t>
  </si>
  <si>
    <t>American Society for Information Science and Technology</t>
  </si>
  <si>
    <t>Computational Mechanics Publications</t>
  </si>
  <si>
    <t>American Society for Engineering Education</t>
  </si>
  <si>
    <t>springer berlin</t>
  </si>
  <si>
    <t>WITPress</t>
  </si>
  <si>
    <t>International Society for Knowledge Organization</t>
  </si>
  <si>
    <t>Chinese Academy of Mechanics</t>
  </si>
  <si>
    <t>College Publications</t>
  </si>
  <si>
    <t>AMSE Press</t>
  </si>
  <si>
    <t>Neural information processing systems foundation</t>
  </si>
  <si>
    <t>OSA - The Optical Society</t>
  </si>
  <si>
    <t>John Wiley and Sons Inc.</t>
  </si>
  <si>
    <t>Metal Powder Industries Federation</t>
  </si>
  <si>
    <t>Copernicus GmbH</t>
  </si>
  <si>
    <t>Univelt Inc.</t>
  </si>
  <si>
    <t>IOS Press BV</t>
  </si>
  <si>
    <t>Aracne Editrice</t>
  </si>
  <si>
    <t>IMAPS-International Microelectronics and Packaging Society</t>
  </si>
  <si>
    <t>Royal Aeronautical Society</t>
  </si>
  <si>
    <t>AAGR Aerosol and Air Quality Research</t>
  </si>
  <si>
    <t>Taylor and Francis Inc.</t>
  </si>
  <si>
    <t>Elsevier Masson SAS</t>
  </si>
  <si>
    <t>Audio Engineering Society</t>
  </si>
  <si>
    <t>Advanced Engineering Solutions</t>
  </si>
  <si>
    <t>Elsevier GmbH</t>
  </si>
  <si>
    <t>Springer India</t>
  </si>
  <si>
    <t>TeknoScienze</t>
  </si>
  <si>
    <t>IOS Press</t>
  </si>
  <si>
    <t>American Institute of Aeronautics and Astronautics Inc.</t>
  </si>
  <si>
    <t>Institute of Electrical and Electronics Engineers Inc.</t>
  </si>
  <si>
    <t>American Institute of Chemical Engineers</t>
  </si>
  <si>
    <t>Architectural Institute of Japan</t>
  </si>
  <si>
    <t>American Institute of Physics Inc.</t>
  </si>
  <si>
    <t>Air Force Association</t>
  </si>
  <si>
    <t>Emerald Group Publishing Ltd.</t>
  </si>
  <si>
    <t>American Society of Civil Engineers (ASCE)</t>
  </si>
  <si>
    <t>Nat. Inst. of Adv. Industrial Science and Technology (AIST)</t>
  </si>
  <si>
    <t>Association for Iron and Steel Technology, AISTECH</t>
  </si>
  <si>
    <t>MDPI AG</t>
  </si>
  <si>
    <t>Farm Machinery Industrial Research Corp.</t>
  </si>
  <si>
    <t>Polymer Preprints ACS</t>
  </si>
  <si>
    <t>Premedia</t>
  </si>
  <si>
    <t>Science Publications</t>
  </si>
  <si>
    <t>International Scientific Communications Inc.</t>
  </si>
  <si>
    <t>Amirkabir University of Technology</t>
  </si>
  <si>
    <t>Royal Society of Chemistry</t>
  </si>
  <si>
    <t>Lavoisier</t>
  </si>
  <si>
    <t>Springer-Verlag France</t>
  </si>
  <si>
    <t>Association for the Advancement of Automotive Medicine</t>
  </si>
  <si>
    <t>Danube Adria Association for Automation and Manufacturing, DAAAM</t>
  </si>
  <si>
    <t>Oxford University Press</t>
  </si>
  <si>
    <t>Springer-Verlag Tokyo</t>
  </si>
  <si>
    <t>Galati University Press</t>
  </si>
  <si>
    <t>American Helicopter Society</t>
  </si>
  <si>
    <t>Council of Logistics Management</t>
  </si>
  <si>
    <t>Pulp and Paper Technical Association of Canada</t>
  </si>
  <si>
    <t>Society of Plastics Engineers</t>
  </si>
  <si>
    <t>Kyoto University</t>
  </si>
  <si>
    <t>Annual Reviews Inc.</t>
  </si>
  <si>
    <t>Applied Computational Electromagnetics Society (ACES)</t>
  </si>
  <si>
    <t>Appita Inc.</t>
  </si>
  <si>
    <t>Springer Heidelberg</t>
  </si>
  <si>
    <t>American Society for Microbiology</t>
  </si>
  <si>
    <t>Humana Press Inc.</t>
  </si>
  <si>
    <t>American Society of Agricultural and Biological Engineers</t>
  </si>
  <si>
    <t>Elsevier Inc.</t>
  </si>
  <si>
    <t>John Wiley and Sons Ltd</t>
  </si>
  <si>
    <t>Federal Informational-Analytical Center of the Defense Industry</t>
  </si>
  <si>
    <t>Japan Society of Applied Physics</t>
  </si>
  <si>
    <t>Allerton Press Incorporation</t>
  </si>
  <si>
    <t>University Koblenz</t>
  </si>
  <si>
    <t>Societe de Physique et d'Histoire Naturelle de Geneve</t>
  </si>
  <si>
    <t>Institute of Fundamental Technological Research</t>
  </si>
  <si>
    <t>Versita</t>
  </si>
  <si>
    <t>Institute of Automatic Control - Silesian University of Technology</t>
  </si>
  <si>
    <t>Committee of Metallurgy</t>
  </si>
  <si>
    <t>Cambridge University Press</t>
  </si>
  <si>
    <t>MIT Press Journals</t>
  </si>
  <si>
    <t>Lippincott Williams and Wilkins</t>
  </si>
  <si>
    <t>Amer. Soc. Heating, Ref. Air-Conditoning Eng. Inc.</t>
  </si>
  <si>
    <t>Wiley-Blackwell</t>
  </si>
  <si>
    <t>World Scientific Publishing Co. Pte Ltd</t>
  </si>
  <si>
    <t>Association of Asphalt Paving Technologist</t>
  </si>
  <si>
    <t>American Society for Quality</t>
  </si>
  <si>
    <t>Assembly Headquarters</t>
  </si>
  <si>
    <t>EDP Sciences</t>
  </si>
  <si>
    <t>Kluwer Academic Publishers</t>
  </si>
  <si>
    <t>Association Technique de l'Industrie Papetiere</t>
  </si>
  <si>
    <t>European Mathematical Society Publishing House</t>
  </si>
  <si>
    <t>Bauverlag GmbH</t>
  </si>
  <si>
    <t>Australasian Robotics and Automation Association</t>
  </si>
  <si>
    <t>Australasian Institute of Mining and Metallurgy</t>
  </si>
  <si>
    <t>Engineers Media</t>
  </si>
  <si>
    <t>Australian Geomechanics Society</t>
  </si>
  <si>
    <t>CSIRO</t>
  </si>
  <si>
    <t>Maik Nauka Publishing / Springer SBM</t>
  </si>
  <si>
    <t>Mulberry Tecnologies, Inc.</t>
  </si>
  <si>
    <t>Explosion and Shock Waves</t>
  </si>
  <si>
    <t>Beijing University of Aeronautics and Astronautics (BUAA)</t>
  </si>
  <si>
    <t>Beijing Institute of Technology</t>
  </si>
  <si>
    <t>Beijing University of Posts and Telecommunications</t>
  </si>
  <si>
    <t>Beilstein-Institut Zur Forderung der Chemischen Wissenschaften</t>
  </si>
  <si>
    <t>University of Groningen</t>
  </si>
  <si>
    <t>Wilhelm Ernst and Sohn</t>
  </si>
  <si>
    <t>China Ordnance Society</t>
  </si>
  <si>
    <t>National Research Council of Canada</t>
  </si>
  <si>
    <t>SpringerOpen</t>
  </si>
  <si>
    <t>Society for Antibacterial and Antifungal Agents Japan</t>
  </si>
  <si>
    <t>Institute of Physics Publishing</t>
  </si>
  <si>
    <t>ICE Publishing</t>
  </si>
  <si>
    <t>BioMed Central Ltd.</t>
  </si>
  <si>
    <t>Association for the Advancement of Medical Instrumentation</t>
  </si>
  <si>
    <t>ISA - Instrumentation, Systems, and Automation Society</t>
  </si>
  <si>
    <t>Walter de Gruyter GmbH</t>
  </si>
  <si>
    <t>Laurin Publishing Co. Inc.</t>
  </si>
  <si>
    <t>North Carolina State University</t>
  </si>
  <si>
    <t>Japan Society for Bioscience Biotechnology and Agrochemistry</t>
  </si>
  <si>
    <t>Academic Press</t>
  </si>
  <si>
    <t>Asian Network for Scientific Information</t>
  </si>
  <si>
    <t>Wiley-Blackwell Publishing Ltd</t>
  </si>
  <si>
    <t>Korean Society for Biotechnology and Bioengineering</t>
  </si>
  <si>
    <t>Diagnosis Press Limited.</t>
  </si>
  <si>
    <t>DMFA zaloznistvo</t>
  </si>
  <si>
    <t>Petroleo Brasileiro S.A.</t>
  </si>
  <si>
    <t>Sociedad Espanola de Ceramica y Vidrio</t>
  </si>
  <si>
    <t>Universidad Central de Venezuela</t>
  </si>
  <si>
    <t>Pira International Ltd</t>
  </si>
  <si>
    <t>Assoc. Brasiliera de Eng. Quimica / Braz. Soc. Chem. Eng.</t>
  </si>
  <si>
    <t>Fachverlag Hans Carl</t>
  </si>
  <si>
    <t>Bridge</t>
  </si>
  <si>
    <t>07376278</t>
  </si>
  <si>
    <t>National Academy of Engineering</t>
  </si>
  <si>
    <t>Wuhan Bridge Research Institute</t>
  </si>
  <si>
    <t>Blackwell Publishing Ltd</t>
  </si>
  <si>
    <t>The Association of Building Engineers</t>
  </si>
  <si>
    <t>Routledge</t>
  </si>
  <si>
    <t>SAGE Publications Ltd</t>
  </si>
  <si>
    <t>Building Simulation</t>
  </si>
  <si>
    <t>19963599</t>
  </si>
  <si>
    <t xml:space="preserve">19968744 </t>
  </si>
  <si>
    <t>Tsinghua University Press</t>
  </si>
  <si>
    <t>Vogel Verlag und Druck GmbH and Co. KG</t>
  </si>
  <si>
    <t>Societe Royale des Sciences de Liege</t>
  </si>
  <si>
    <t>Laboratoire Central des Ponts et Chaussees</t>
  </si>
  <si>
    <t>Ver. Schweizerischer Petroleum Geol. und Ing.</t>
  </si>
  <si>
    <t>Canadian Society of Petroleum Geologists</t>
  </si>
  <si>
    <t>Diponegoro University</t>
  </si>
  <si>
    <t>Japan Association for Fire Science and Engineering</t>
  </si>
  <si>
    <t>Indian Academy of Sciences</t>
  </si>
  <si>
    <t>American Meteorological Society</t>
  </si>
  <si>
    <t>Chemical Society of Japan</t>
  </si>
  <si>
    <t>European Association for Theoretical Computer Science</t>
  </si>
  <si>
    <t>Geological Society of America</t>
  </si>
  <si>
    <t>International Dairy Federation (I.N.P.A.)</t>
  </si>
  <si>
    <t>Korean Chemical Society</t>
  </si>
  <si>
    <t>Kyushu Institute of Technology</t>
  </si>
  <si>
    <t>New Zealand Society for Earthquake Engineering</t>
  </si>
  <si>
    <t>Seismological Society of America</t>
  </si>
  <si>
    <t>Techna Group S.r.l.</t>
  </si>
  <si>
    <t>China University of Mining and Technology</t>
  </si>
  <si>
    <t>Beijing Institute of Aeronautical Materials (BIAM)</t>
  </si>
  <si>
    <t>Chinese Journal of Materials Research</t>
  </si>
  <si>
    <t>Canadian Acoustical Association</t>
  </si>
  <si>
    <t>Canadian Aeronautics and Space Institute</t>
  </si>
  <si>
    <t>Canadian Biosystems Engineering</t>
  </si>
  <si>
    <t>Wiley-Liss Inc.</t>
  </si>
  <si>
    <t>IEEE Canada</t>
  </si>
  <si>
    <t>Mineralogical Association of Canada</t>
  </si>
  <si>
    <t>Business Information Group</t>
  </si>
  <si>
    <t>Rogers Media Publishing</t>
  </si>
  <si>
    <t>North University of Baia Mare</t>
  </si>
  <si>
    <t>Asociacion Espanola de la Carretera</t>
  </si>
  <si>
    <t>Editions Technorama</t>
  </si>
  <si>
    <t>Society for Industrial and Applied Mathematics Publications</t>
  </si>
  <si>
    <t>SinoMaps Press</t>
  </si>
  <si>
    <t>Rapra Technology Ltd.</t>
  </si>
  <si>
    <t>Editura Academiei Romane</t>
  </si>
  <si>
    <t>ATCP</t>
  </si>
  <si>
    <t>Verlag Bau und Technik GmbH</t>
  </si>
  <si>
    <t>Institute of Industrial Organic Chemistry</t>
  </si>
  <si>
    <t>American Ceramic Society</t>
  </si>
  <si>
    <t>Institute of Chemical Technology</t>
  </si>
  <si>
    <t>American Association of Cereal Chemists</t>
  </si>
  <si>
    <t>CERN</t>
  </si>
  <si>
    <t>CEUR-WS</t>
  </si>
  <si>
    <t>Wiley Blackwell</t>
  </si>
  <si>
    <t>Assoc. of Chemists and Chemical Engineers of Croatia</t>
  </si>
  <si>
    <t>Combustion Institute</t>
  </si>
  <si>
    <t>Institution of Chemical Engineers</t>
  </si>
  <si>
    <t>Italian Association of Chemical Engineering - AIDIC</t>
  </si>
  <si>
    <t>Deutscher Fachverlag GmbH</t>
  </si>
  <si>
    <t>Chemical Industry and Engineering Progress</t>
  </si>
  <si>
    <t>10006613</t>
  </si>
  <si>
    <t>Chemical Industry Press</t>
  </si>
  <si>
    <t>Chem Press</t>
  </si>
  <si>
    <t>China Surface Engineering</t>
  </si>
  <si>
    <t>10079289</t>
  </si>
  <si>
    <t>Chinese Mechanical Engineering Society</t>
  </si>
  <si>
    <t>Chinese Journal of Aeronautics</t>
  </si>
  <si>
    <t>Chinese Science Bulletin</t>
  </si>
  <si>
    <t>0023074X</t>
  </si>
  <si>
    <t>China Ship Scientific Research Center</t>
  </si>
  <si>
    <t>Chung Cheng Institute of Technology</t>
  </si>
  <si>
    <t>University Federal de Uberlandia</t>
  </si>
  <si>
    <t>Birkhauser Boston</t>
  </si>
  <si>
    <t>Elsevier USA</t>
  </si>
  <si>
    <t>Czech Technical University</t>
  </si>
  <si>
    <t>Civil-Comp Press</t>
  </si>
  <si>
    <t>Mineralogical Society</t>
  </si>
  <si>
    <t>Clay Minerals Society</t>
  </si>
  <si>
    <t>HPCi Media LTD</t>
  </si>
  <si>
    <t>Tech Science Press</t>
  </si>
  <si>
    <t>Rek and Thomas Medien AG</t>
  </si>
  <si>
    <t>Association for Information Systems</t>
  </si>
  <si>
    <t>Complex Systems Publications, Inc</t>
  </si>
  <si>
    <t>Blackwell Publishing Inc.</t>
  </si>
  <si>
    <t>Computational Linguistics in the Netherlands</t>
  </si>
  <si>
    <t>Elsevier Ireland Ltd</t>
  </si>
  <si>
    <t>Institution of Russian Academy of Sciences</t>
  </si>
  <si>
    <t>Japan Society for Software Science and Technology</t>
  </si>
  <si>
    <t>CRL Publishing</t>
  </si>
  <si>
    <t>Techno Press</t>
  </si>
  <si>
    <t>International Society of the Learning Sciences (ISLS)</t>
  </si>
  <si>
    <t>Slovak Academy of Sciences</t>
  </si>
  <si>
    <t>Concawe</t>
  </si>
  <si>
    <t>Institute of Marine Engineering, Science and Technology</t>
  </si>
  <si>
    <t>Australian Computer Society</t>
  </si>
  <si>
    <t>University of California</t>
  </si>
  <si>
    <t>Putman Publishing Company</t>
  </si>
  <si>
    <t>Acta Press</t>
  </si>
  <si>
    <t>Technical Assoc. of the Pulp and Paper Industry Press</t>
  </si>
  <si>
    <t>South China University of Technology</t>
  </si>
  <si>
    <t>Faversham House Group Ltd</t>
  </si>
  <si>
    <t>National Assoc. of Corrosion Engineers International</t>
  </si>
  <si>
    <t>Australasian Corrosion Association</t>
  </si>
  <si>
    <t>University of Zagreb</t>
  </si>
  <si>
    <t>U.S. Department of Defense</t>
  </si>
  <si>
    <t>Council on Tall Buildings and Urban Habitat</t>
  </si>
  <si>
    <t>Centre for Telematics and Information Technology</t>
  </si>
  <si>
    <t>Ecopetrol S.A.</t>
  </si>
  <si>
    <t>Bentham Science Publishers B.V.</t>
  </si>
  <si>
    <t>Bulgarska Akademiya na Naukite 1</t>
  </si>
  <si>
    <t>Czech Academy of Agricultural Sciences</t>
  </si>
  <si>
    <t>Committee on Data for Science and Technology</t>
  </si>
  <si>
    <t>Trans Tech Publications Ltd</t>
  </si>
  <si>
    <t>Defense Scientific Information and Documentation Centre</t>
  </si>
  <si>
    <t>Japanese Society for Dental Materials and Devices</t>
  </si>
  <si>
    <t>Design Issues</t>
  </si>
  <si>
    <t>-</t>
  </si>
  <si>
    <t>07479360</t>
  </si>
  <si>
    <t>15314790</t>
  </si>
  <si>
    <t>MIT Press</t>
  </si>
  <si>
    <t>Deutsche Gesellschaft fur Medizinische Informatik, Biometrie und Epidemiologie e.V.</t>
  </si>
  <si>
    <t>Polish Society of Technical Diagnostics</t>
  </si>
  <si>
    <t>Chinese Machine Press</t>
  </si>
  <si>
    <t>Editorial Department of Electric Machines and Control</t>
  </si>
  <si>
    <t>Automation of Electric Power Systems Press</t>
  </si>
  <si>
    <t>Electric Power Automation Equipment Press</t>
  </si>
  <si>
    <t>Power System Technology Press</t>
  </si>
  <si>
    <t>Univ. of Electronic Science and Technology of China</t>
  </si>
  <si>
    <t>China University of Geosciences</t>
  </si>
  <si>
    <t>Discrete Mathematics and Theoretical Computer Science</t>
  </si>
  <si>
    <t>State Seismology Administration</t>
  </si>
  <si>
    <t>Deutschen Forschungsanstalt fur Luft-und Raumfahrt</t>
  </si>
  <si>
    <t>National Academy of Sciences</t>
  </si>
  <si>
    <t>Chalmers Tekniska Hogskolo</t>
  </si>
  <si>
    <t>Northeastern University</t>
  </si>
  <si>
    <t>Southeast University</t>
  </si>
  <si>
    <t>Journal Drvna Industrija</t>
  </si>
  <si>
    <t>Science Frontiers editorial department</t>
  </si>
  <si>
    <t>Institute of Engineering Mechanics (IEM)</t>
  </si>
  <si>
    <t>Earthquake Engineering Research Institute</t>
  </si>
  <si>
    <t>Vulkan Verlag GmbH</t>
  </si>
  <si>
    <t>European Broadcasting Union</t>
  </si>
  <si>
    <t>Omeda</t>
  </si>
  <si>
    <t>Ecology and Civil Engineering Society</t>
  </si>
  <si>
    <t>Society of Economic Geologists, Inc</t>
  </si>
  <si>
    <t>Information Today</t>
  </si>
  <si>
    <t>Electrochemical Society Inc.</t>
  </si>
  <si>
    <t>UBM Medica Healthcare Publications</t>
  </si>
  <si>
    <t>Nelson Publishing Inc.</t>
  </si>
  <si>
    <t>ICPE Electra Publishing House</t>
  </si>
  <si>
    <t>European Forest Institute</t>
  </si>
  <si>
    <t>Politechnika Wroclawska</t>
  </si>
  <si>
    <t>Surface Science Society of Japan</t>
  </si>
  <si>
    <t>ESD Association</t>
  </si>
  <si>
    <t>Electrochemical Society of Japan</t>
  </si>
  <si>
    <t>Electronic Journal of Biotechnology</t>
  </si>
  <si>
    <t>E-Journal of Geotechnical Engineering</t>
  </si>
  <si>
    <t>Department of Civil and Environmental Engineering</t>
  </si>
  <si>
    <t>Open Publishing Association</t>
  </si>
  <si>
    <t>Hearst Business Communications</t>
  </si>
  <si>
    <t>Kent State University</t>
  </si>
  <si>
    <t>University of Banja Luka, Faculty of Electrical Engineering</t>
  </si>
  <si>
    <t>Institution of Engineering and Technology</t>
  </si>
  <si>
    <t>Nexus Media Communications Ltd.</t>
  </si>
  <si>
    <t>Electrotechnical Society of Slovenia</t>
  </si>
  <si>
    <t>International Academy, Research and Industry Association, IARIA</t>
  </si>
  <si>
    <t>Centaur Publishing Ltd.</t>
  </si>
  <si>
    <t>Business News Publishing Co.</t>
  </si>
  <si>
    <t>Gillard Welch Ltd</t>
  </si>
  <si>
    <t>Higher Education Academy Engineering Subject Centre</t>
  </si>
  <si>
    <t>Latvia University of Agriculture</t>
  </si>
  <si>
    <t>American Institute of Steel Construction Inc.</t>
  </si>
  <si>
    <t>Newswood Ltd.</t>
  </si>
  <si>
    <t>University of Rijeka</t>
  </si>
  <si>
    <t>McGraw-Hill Companies</t>
  </si>
  <si>
    <t>Technical University of Wroclaw</t>
  </si>
  <si>
    <t>Korean Society of Environmental Engineers</t>
  </si>
  <si>
    <t>Mary Ann Liebert Inc.</t>
  </si>
  <si>
    <t>World Health Organization</t>
  </si>
  <si>
    <t>EPE Association</t>
  </si>
  <si>
    <t>European Polymer Federation</t>
  </si>
  <si>
    <t>Telefonaktiebolaget L.M. Ericsson</t>
  </si>
  <si>
    <t>Estonian Academy Publishers</t>
  </si>
  <si>
    <t>ETRI</t>
  </si>
  <si>
    <t>Verlags und Wirtschaftsges. der Elektrizitatswerke</t>
  </si>
  <si>
    <t>Vincentz Verlag</t>
  </si>
  <si>
    <t>Curran Associates Inc.</t>
  </si>
  <si>
    <t>European Control Association</t>
  </si>
  <si>
    <t>Inderscience Enterprises Ltd.</t>
  </si>
  <si>
    <t>Palgrave Macmillan Ltd.</t>
  </si>
  <si>
    <t>Associazione Italiana di Telerilevamento</t>
  </si>
  <si>
    <t>Editorial Board EJTIR</t>
  </si>
  <si>
    <t>European Signal Processing Conference, EUSIPCO</t>
  </si>
  <si>
    <t>Editions Frontieres</t>
  </si>
  <si>
    <t>European Space Agency</t>
  </si>
  <si>
    <t>Institute for Transport Studies in the European Economic Integration</t>
  </si>
  <si>
    <t>European Water Association e.V. (EWA)</t>
  </si>
  <si>
    <t>Canadian Institute of Mining, Metallurgy and Petroleum</t>
  </si>
  <si>
    <t>Japan Explosives Society</t>
  </si>
  <si>
    <t>BME-PT and GTE</t>
  </si>
  <si>
    <t>Stiftung "Hilfsfonds" comedia</t>
  </si>
  <si>
    <t>Chines Academy of Sciences</t>
  </si>
  <si>
    <t>Fenxi Huaxue/ Chinese Journal of Analytical Chemistry</t>
  </si>
  <si>
    <t>02533820</t>
  </si>
  <si>
    <t>Chinese Academy of Sciences</t>
  </si>
  <si>
    <t>Korean Fiber Society</t>
  </si>
  <si>
    <t>Institute of Biopolymers and Chemical Fibres</t>
  </si>
  <si>
    <t>Society for Imaging Science and Technology</t>
  </si>
  <si>
    <t>International Association for Fire Safety Science</t>
  </si>
  <si>
    <t>Institute for Low Temperature Physics and Engineering</t>
  </si>
  <si>
    <t>Australian Institute of Food Science and Technology</t>
  </si>
  <si>
    <t>Food Science</t>
  </si>
  <si>
    <t>10026630</t>
  </si>
  <si>
    <t>Chinese Chamber of Commerce/ Beijing Institute of Food Science</t>
  </si>
  <si>
    <t>Institute of Food Science and Technology (IFST)</t>
  </si>
  <si>
    <t>Japanese Society for Food Science and Technology</t>
  </si>
  <si>
    <t>Kriedt Enterprises Ltd</t>
  </si>
  <si>
    <t>Forest Products Society</t>
  </si>
  <si>
    <t>Society of American Foresters</t>
  </si>
  <si>
    <t>Canadian Institute of Forestry</t>
  </si>
  <si>
    <t>Institute of Forestry and Rural Engineering</t>
  </si>
  <si>
    <t>Now Publishers Inc</t>
  </si>
  <si>
    <t>Istituto Nazionale di Fisica Nucleare</t>
  </si>
  <si>
    <t>Gruppo Italiano Frattura</t>
  </si>
  <si>
    <t>Frontiers Research Foundation</t>
  </si>
  <si>
    <t>Global Digital Central</t>
  </si>
  <si>
    <t>Frontiers of Chemical Science and Engineering</t>
  </si>
  <si>
    <t>20950179</t>
  </si>
  <si>
    <t>20950187</t>
  </si>
  <si>
    <t>Higher Education Press</t>
  </si>
  <si>
    <t xml:space="preserve">Frontiers of Environmental Science and Engineering </t>
  </si>
  <si>
    <t>20952201</t>
  </si>
  <si>
    <t>2095221X</t>
  </si>
  <si>
    <t>Zhejiang University</t>
  </si>
  <si>
    <t>Frontiers of Optoelectronics</t>
  </si>
  <si>
    <t>20952759</t>
  </si>
  <si>
    <t>20952767</t>
  </si>
  <si>
    <t>Frontiers of Structural and Civil Engineering</t>
  </si>
  <si>
    <t>20952430</t>
  </si>
  <si>
    <t>20952449</t>
  </si>
  <si>
    <t>Universal Academy Press Inc.</t>
  </si>
  <si>
    <t>Fujitsu Ltd</t>
  </si>
  <si>
    <t>Scientific and Technological Corporation</t>
  </si>
  <si>
    <t>Journal of the Japan Society of Powder and Powder Metallurgy</t>
  </si>
  <si>
    <t>Furukawa Electric Company Ltd.</t>
  </si>
  <si>
    <t>American Nuclear Society</t>
  </si>
  <si>
    <t>Eugen G. Leuze Verlag</t>
  </si>
  <si>
    <t>Chengdu University of Science and Technology</t>
  </si>
  <si>
    <t>Gazi University Eti Mahallesi</t>
  </si>
  <si>
    <t>Canadian Institute of Geomatics</t>
  </si>
  <si>
    <t>Society of Exploration Geophysicists</t>
  </si>
  <si>
    <t>Geological Association of Canada</t>
  </si>
  <si>
    <t>Southeast Asian Geotechnical Society</t>
  </si>
  <si>
    <t>BiTech Publishers Ltd.</t>
  </si>
  <si>
    <t>DMG World Media (UK) Ltd.</t>
  </si>
  <si>
    <t>Society of Glass Technology</t>
  </si>
  <si>
    <t>TextRelease</t>
  </si>
  <si>
    <t>Tsinghua University</t>
  </si>
  <si>
    <t>Instituto de la Grasa</t>
  </si>
  <si>
    <t>Chinese Optical Society</t>
  </si>
  <si>
    <t>Dr. Gupta Verlag</t>
  </si>
  <si>
    <t>National University of Defense Technology</t>
  </si>
  <si>
    <t>BUAA Press</t>
  </si>
  <si>
    <t>The Aeronautical and Astronautical Society of the Republic of China</t>
  </si>
  <si>
    <t>AAAS Press of Chinese Society of Aeronautics and Astronautics</t>
  </si>
  <si>
    <t>Harbin Research Institute of Welding</t>
  </si>
  <si>
    <t>Institute of Chemical Materials, China Academy of Engineering Physics</t>
  </si>
  <si>
    <t>Editorial Board of Journal of Harbin Engineering</t>
  </si>
  <si>
    <t>Harbin Institute of Technology</t>
  </si>
  <si>
    <t>Technomic Publishing Co. Inc.</t>
  </si>
  <si>
    <t>Aspen Publishers Inc.</t>
  </si>
  <si>
    <t>Healthcare Technology Letters</t>
  </si>
  <si>
    <t>20533713</t>
  </si>
  <si>
    <t>Yuan Zi Neng Chuban She</t>
  </si>
  <si>
    <t>Delft University of Technology</t>
  </si>
  <si>
    <t>Inst. of Scientific and Technical Information of China</t>
  </si>
  <si>
    <t>Walter de Gruyter GmbH and Co. KG</t>
  </si>
  <si>
    <t>Old City Publishing</t>
  </si>
  <si>
    <t>Hong Kong Institution of Engineers</t>
  </si>
  <si>
    <t>Chinese Society of Astronautics</t>
  </si>
  <si>
    <t>Hewlett Packard Laboratories</t>
  </si>
  <si>
    <t>Xi'an Jiaotong University</t>
  </si>
  <si>
    <t>Carl Hanser Verlag</t>
  </si>
  <si>
    <t>Huanjing Kexue/Environmental Science</t>
  </si>
  <si>
    <t>02503301</t>
  </si>
  <si>
    <t>Hunan University</t>
  </si>
  <si>
    <t>Palladian Publications</t>
  </si>
  <si>
    <t>Nordic Association for Hydrology</t>
  </si>
  <si>
    <t>CMP Asia Ltd.- New York Office</t>
  </si>
  <si>
    <t>IBM Corporation</t>
  </si>
  <si>
    <t>International Committee on Composite Materials</t>
  </si>
  <si>
    <t>Tilburg Centre for Cogination and Communication</t>
  </si>
  <si>
    <t>ICIC Express Letters Office</t>
  </si>
  <si>
    <t>Institute of Paper Conservation</t>
  </si>
  <si>
    <t>Institute of Electrical and Electronics Engineers</t>
  </si>
  <si>
    <t>IEEE Electron Devices Society</t>
  </si>
  <si>
    <t>IEEE Journal on Exploratory Solid-State Computational Devices and Circuits</t>
  </si>
  <si>
    <t>23299231</t>
  </si>
  <si>
    <t>IEEE Solid-State Circuits Society</t>
  </si>
  <si>
    <t>IEEE Life Sciences Letters</t>
  </si>
  <si>
    <t>23327685</t>
  </si>
  <si>
    <t>IEEE Life Sciences Technical Community</t>
  </si>
  <si>
    <t>IEEE Nanotechnology Express</t>
  </si>
  <si>
    <t>23327715</t>
  </si>
  <si>
    <t>IEEE Nanotechnology Council</t>
  </si>
  <si>
    <t>IEEE Power and Energy Technology Systems Journal</t>
  </si>
  <si>
    <t>23327707</t>
  </si>
  <si>
    <t>IEEE Power and Energy Society</t>
  </si>
  <si>
    <t>IEEE Robotics and Automation Letters</t>
  </si>
  <si>
    <t>23773766</t>
  </si>
  <si>
    <t>IEEE Robotics and Automation Society</t>
  </si>
  <si>
    <t>IEEE Microwave Theory and Techniques Society</t>
  </si>
  <si>
    <t>Institute of Electrical Engineers of Japan</t>
  </si>
  <si>
    <t>Institute of Electronics Information Communication Engineers</t>
  </si>
  <si>
    <t>Maruzen Co., Ltd.</t>
  </si>
  <si>
    <t>Medknow Publications</t>
  </si>
  <si>
    <t>IFAC Secretariat</t>
  </si>
  <si>
    <t>IFRF Combustion Journal</t>
  </si>
  <si>
    <t>International Joint Conferences on Artificial Intelligence</t>
  </si>
  <si>
    <t>Associated Cement Companies Ltd.</t>
  </si>
  <si>
    <t>National Institute of Science Communication and Information Resources (NISCAIR)</t>
  </si>
  <si>
    <t>De Beers International Diamond Division Ltd.</t>
  </si>
  <si>
    <t>Institute of Industrial Engineers</t>
  </si>
  <si>
    <t>Scientific Association for Infocommunications</t>
  </si>
  <si>
    <t>University of Toronto Press Inc.</t>
  </si>
  <si>
    <t>Centro de Informacion Tecnologica</t>
  </si>
  <si>
    <t>Slovene Society Informatika</t>
  </si>
  <si>
    <t>Society for Information Display</t>
  </si>
  <si>
    <t>Editions Cepadues</t>
  </si>
  <si>
    <t>IGI Global</t>
  </si>
  <si>
    <t>INFORMS Inst.for Operations Res.and the Management Sciences</t>
  </si>
  <si>
    <t>CIFI Collegio Ingegneri Ferroviari Italiani</t>
  </si>
  <si>
    <t>Patron Editore S.r.l.</t>
  </si>
  <si>
    <t>Pontificia Universidad Javeriana</t>
  </si>
  <si>
    <t>INMA Bucharest</t>
  </si>
  <si>
    <t>British Institute of Non-Destructive Testing</t>
  </si>
  <si>
    <t>Asociacion Espanola de Inteligencia Artificial</t>
  </si>
  <si>
    <t>Expert Fachmedien GmbH</t>
  </si>
  <si>
    <t>Informing Science Institute</t>
  </si>
  <si>
    <t>Asian Association for Agricultural Engineering</t>
  </si>
  <si>
    <t>Flight Safety Foundation Inc.</t>
  </si>
  <si>
    <t>International Society for Photogrammetry and Remote Sensing</t>
  </si>
  <si>
    <t>Civil-Comp Limited</t>
  </si>
  <si>
    <t>NATO CCD COE Publications</t>
  </si>
  <si>
    <t>Lead-Acid Batteries Department (LABD)</t>
  </si>
  <si>
    <t>World Scientific and Engineering Academy and Society</t>
  </si>
  <si>
    <t>Association for Computational Linguistics (ACL)</t>
  </si>
  <si>
    <t>Regional Energy Resources Information Center (RERIC)</t>
  </si>
  <si>
    <t>Institute of Biophysics and Biomedical Engineering</t>
  </si>
  <si>
    <t>University of Split</t>
  </si>
  <si>
    <t>International Association for Housing Science</t>
  </si>
  <si>
    <t>International Institute of Acoustics and Vibrations</t>
  </si>
  <si>
    <t>Inderscience Publishers</t>
  </si>
  <si>
    <t>InTech Europe</t>
  </si>
  <si>
    <t>Korean Society for Aeronautical and Space Sciences</t>
  </si>
  <si>
    <t>Lean Institute</t>
  </si>
  <si>
    <t>Federal Aviation Administration Academy</t>
  </si>
  <si>
    <t>Fuji Technology Press</t>
  </si>
  <si>
    <t>Korean Society of Automotive Engineers</t>
  </si>
  <si>
    <t>North Atlantic University Union</t>
  </si>
  <si>
    <t>COMADEM International</t>
  </si>
  <si>
    <t>World Scientific Publishing Co.</t>
  </si>
  <si>
    <t>Technomathematics Research Foundation</t>
  </si>
  <si>
    <t>Korea Concrete Institute</t>
  </si>
  <si>
    <t>Science and Engineering Research Support Society</t>
  </si>
  <si>
    <t>Institute of Control, Robotics and Systems</t>
  </si>
  <si>
    <t>CAFET INNOVA Technical Society</t>
  </si>
  <si>
    <t>Chinese Institute of Electrical Engineering</t>
  </si>
  <si>
    <t>Kassel University Press GmbH</t>
  </si>
  <si>
    <t>Tempus Publications</t>
  </si>
  <si>
    <t>Materials and Energy Research Center</t>
  </si>
  <si>
    <t>Center for Environmental and Energy Research and Studies</t>
  </si>
  <si>
    <t>Turbomachinery Society of Japan</t>
  </si>
  <si>
    <t>TuTech Innovation GmbH</t>
  </si>
  <si>
    <t>Springer Berlin Heidelberg</t>
  </si>
  <si>
    <t>Gas Turbine Society of Japan</t>
  </si>
  <si>
    <t>Edizioni ETS</t>
  </si>
  <si>
    <t>R.T. Edwards, Inc.</t>
  </si>
  <si>
    <t>University of Cincinnati</t>
  </si>
  <si>
    <t>Tamkang University</t>
  </si>
  <si>
    <t>IJICIC Editorial Office</t>
  </si>
  <si>
    <t>American Foundry Society</t>
  </si>
  <si>
    <t>University of Science and Technology Beijing</t>
  </si>
  <si>
    <t>Society of Naval Architects of Korea</t>
  </si>
  <si>
    <t>Femto Technique Co., Ltd.</t>
  </si>
  <si>
    <t>A B Academic Publishers</t>
  </si>
  <si>
    <t>International Society of Offshore and Polar Engineers</t>
  </si>
  <si>
    <t>Chinese Society of Pavement Engineering</t>
  </si>
  <si>
    <t>RAMS Consultants</t>
  </si>
  <si>
    <t>American Powder Metallurgy Institute</t>
  </si>
  <si>
    <t>UK Simulation Society</t>
  </si>
  <si>
    <t>Korean Society of Steel Construction</t>
  </si>
  <si>
    <t>Society of Materials Engineering for Resources of Japan</t>
  </si>
  <si>
    <t>International Journal of Thermodynamics</t>
  </si>
  <si>
    <t>MechAero Found. for Techn. Res. and Educ. Excellence</t>
  </si>
  <si>
    <t>VEETECH Ltd.</t>
  </si>
  <si>
    <t>Aqua-Media International Ltd.</t>
  </si>
  <si>
    <t>Massey University</t>
  </si>
  <si>
    <t>International Multidisciplinary Scientific Geoconference</t>
  </si>
  <si>
    <t>Brunton Business Publishing</t>
  </si>
  <si>
    <t>DPW-Verlagsgesellschaft GmbH</t>
  </si>
  <si>
    <t>International Plant Propagators' Society Inc.</t>
  </si>
  <si>
    <t>Soc. for the Advancement of Material and Process Engineering</t>
  </si>
  <si>
    <t>International Ambient Media Association (iAMEA)</t>
  </si>
  <si>
    <t>Informa Agra</t>
  </si>
  <si>
    <t>International Water and Irrigation Review</t>
  </si>
  <si>
    <t>Progressive Media Group</t>
  </si>
  <si>
    <t>RISI</t>
  </si>
  <si>
    <t>Institute for Ionics</t>
  </si>
  <si>
    <t>Indian Pulp and Paper Technical Association</t>
  </si>
  <si>
    <t>Information Processing Society of Japan</t>
  </si>
  <si>
    <t>Iranian Research Institute for Electrical Engineering</t>
  </si>
  <si>
    <t>Mashhad University of Medical Sciences</t>
  </si>
  <si>
    <t>Iron and Steel Society</t>
  </si>
  <si>
    <t>Information Systems Audit and Control Association (ISACA)</t>
  </si>
  <si>
    <t>Indian Society of Earthquake Technology</t>
  </si>
  <si>
    <t>Turkish Society for Thermal Science and Technology</t>
  </si>
  <si>
    <t>Iron and Steel Institute of Japan</t>
  </si>
  <si>
    <t>University of Texas at Dallas</t>
  </si>
  <si>
    <t>Istanbul University</t>
  </si>
  <si>
    <t>Sapienza Universita Editrice</t>
  </si>
  <si>
    <t>Forum-Editrice Universitaria Udinese SRL</t>
  </si>
  <si>
    <t>Higher Education Academy</t>
  </si>
  <si>
    <t>Institute of Transportation Engineers</t>
  </si>
  <si>
    <t>International Water Management Institute</t>
  </si>
  <si>
    <t>Japan Society for Food Engineering</t>
  </si>
  <si>
    <t>Japan Railway Engineers' Association</t>
  </si>
  <si>
    <t>British Interplanetary Society</t>
  </si>
  <si>
    <t>Kawasaki Steel Corporation</t>
  </si>
  <si>
    <t>Tongji University</t>
  </si>
  <si>
    <t>Chang'an University</t>
  </si>
  <si>
    <t>Editorial Board of Jilin University</t>
  </si>
  <si>
    <t>Jingxi Huagong/Fine Chemicals</t>
  </si>
  <si>
    <t>10035214</t>
  </si>
  <si>
    <t>Chemical Industry and Engineering Society of China</t>
  </si>
  <si>
    <t>Institute of Computing Technology</t>
  </si>
  <si>
    <t>CIMS</t>
  </si>
  <si>
    <t>Editorial Office of Chinese Journal of Mechanical Engineering</t>
  </si>
  <si>
    <t>John Hopkins University</t>
  </si>
  <si>
    <t>Johnson Matthey Public Limited Company</t>
  </si>
  <si>
    <t>Minerals, Metals and Materials Society</t>
  </si>
  <si>
    <t>Jordan University of Science and Technology</t>
  </si>
  <si>
    <t>Hashemite University</t>
  </si>
  <si>
    <t>American Water Works Association</t>
  </si>
  <si>
    <t>Japan Concrete Institute</t>
  </si>
  <si>
    <t>Japan Society of Mechanical Engineers</t>
  </si>
  <si>
    <t>American Scientific Publishers</t>
  </si>
  <si>
    <t>Journal of Advances in Information Fusion</t>
  </si>
  <si>
    <t>15576418</t>
  </si>
  <si>
    <t>International Society of Information Fusion</t>
  </si>
  <si>
    <t>Journal of Aerospace Technology and Management</t>
  </si>
  <si>
    <t>AOAC International</t>
  </si>
  <si>
    <t>Human Kinetics Publishers Inc.</t>
  </si>
  <si>
    <t>Baywood Publishing Co. Inc.</t>
  </si>
  <si>
    <t>JAM Press</t>
  </si>
  <si>
    <t>SPIE</t>
  </si>
  <si>
    <t>Journal of Applied Science and Engineering</t>
  </si>
  <si>
    <t>American Society for Biochemistry and Molecular Biology Inc.</t>
  </si>
  <si>
    <t>Journal of Biomedical Engineering</t>
  </si>
  <si>
    <t>10015515</t>
  </si>
  <si>
    <t xml:space="preserve">West China Hospital, Sichuan Institute of Biomedical Engineering </t>
  </si>
  <si>
    <t>Japanese Society of Biorheology</t>
  </si>
  <si>
    <t>Bio Tech System</t>
  </si>
  <si>
    <t>Society of Petroleum Engineers</t>
  </si>
  <si>
    <t>Central South University of Technology</t>
  </si>
  <si>
    <t>Goller Verlag</t>
  </si>
  <si>
    <t>Society of Chemical Engineers, Japan</t>
  </si>
  <si>
    <t>Editorial Department</t>
  </si>
  <si>
    <t>Corrosion Engineering Assocoation of the Republic of China</t>
  </si>
  <si>
    <t>Chinese Institute of Food Science and Technology</t>
  </si>
  <si>
    <t>Chinese Society for Mass Spectrometry</t>
  </si>
  <si>
    <t>Journal of Cognitive Neuroscience</t>
  </si>
  <si>
    <t>15308898</t>
  </si>
  <si>
    <t>Charles Babbage Research Centre</t>
  </si>
  <si>
    <t>ThinkBiotech LLC</t>
  </si>
  <si>
    <t>Engineering and Technology Publishing</t>
  </si>
  <si>
    <t>Korean Institute of Communication Sciences</t>
  </si>
  <si>
    <t>International Association for Computer Information Systems</t>
  </si>
  <si>
    <t>Computer Society of the Republic of China</t>
  </si>
  <si>
    <t>Korean Institute of Information Scientists and Engineers</t>
  </si>
  <si>
    <t>University of Manchester</t>
  </si>
  <si>
    <t>Cotton Foundation</t>
  </si>
  <si>
    <t>Association of State Dam Safety Officials</t>
  </si>
  <si>
    <t>Digital Information Research Foundation</t>
  </si>
  <si>
    <t>Taru Publications</t>
  </si>
  <si>
    <t>Korean Institute of Electrical Engineers</t>
  </si>
  <si>
    <t>Engineering and Scientific Research Groups</t>
  </si>
  <si>
    <t>Association Nonwoven Fabrics Industry</t>
  </si>
  <si>
    <t>Cairo University</t>
  </si>
  <si>
    <t>Institute for Research and Community Services, Institut Teknologi Bandung</t>
  </si>
  <si>
    <t>Technological Education Institute of Kavala</t>
  </si>
  <si>
    <t>Taylor and Francis</t>
  </si>
  <si>
    <t>ASA/CSSA/SSSA</t>
  </si>
  <si>
    <t>International Society of Explosives Engineers</t>
  </si>
  <si>
    <t>Taiwan Geotechnical Society</t>
  </si>
  <si>
    <t>International Association of Great Lakes Research</t>
  </si>
  <si>
    <t>Instytut Warzywnictwa</t>
  </si>
  <si>
    <t>China Ocean Press</t>
  </si>
  <si>
    <t>Korean Society of Industrial Engineering Chemistry</t>
  </si>
  <si>
    <t>Blackwell Publishing</t>
  </si>
  <si>
    <t>Ubiquitous International</t>
  </si>
  <si>
    <t>Korea Information Processing Society</t>
  </si>
  <si>
    <t>Institute of Information Science</t>
  </si>
  <si>
    <t>Journal of Information Systems Education</t>
  </si>
  <si>
    <t>Department of Computer Science</t>
  </si>
  <si>
    <t>Japanese Society of Sericultural Sciences</t>
  </si>
  <si>
    <t>Taiwan Academic Network Management Committee</t>
  </si>
  <si>
    <t>Journal of Iron and Steel Research International</t>
  </si>
  <si>
    <t>1006706X</t>
  </si>
  <si>
    <t>Gangtie Yanjiu Xuebao</t>
  </si>
  <si>
    <t>Japan Industrial Management Association</t>
  </si>
  <si>
    <t>Japan Institute of Electronics Packaging</t>
  </si>
  <si>
    <t>Korean Institute of Metals and Materials</t>
  </si>
  <si>
    <t>Journal of Lake Sciences</t>
  </si>
  <si>
    <t>10035427</t>
  </si>
  <si>
    <t>Laser Institute of America</t>
  </si>
  <si>
    <t>Japan Laser Processing Society</t>
  </si>
  <si>
    <t>The Illuminating Engineering Institute of Japan</t>
  </si>
  <si>
    <t>Microtome Publishing</t>
  </si>
  <si>
    <t>National Taiwan Ocean University</t>
  </si>
  <si>
    <t>Elsevier Editora Ltda</t>
  </si>
  <si>
    <t>Chinese Society of Metals</t>
  </si>
  <si>
    <t>Birkhauser Verlag AG</t>
  </si>
  <si>
    <t>Bangladesh University of Engineering and Technology</t>
  </si>
  <si>
    <t>Korean Society of Mechanical Engineers</t>
  </si>
  <si>
    <t>Mathematical Sciences Publishers</t>
  </si>
  <si>
    <t>International Microwave Power Institute</t>
  </si>
  <si>
    <t>Sociedade Brasileira de Microondas e Optoeletronica (SBMO)</t>
  </si>
  <si>
    <t>Rinton Press Inc.</t>
  </si>
  <si>
    <t>Nanofun-Poly</t>
  </si>
  <si>
    <t>New England Water Environment Association</t>
  </si>
  <si>
    <t>Ecole Polytechnique de Montreal</t>
  </si>
  <si>
    <t>Institute of Nuclear Materials Management</t>
  </si>
  <si>
    <t>Japan Oil Chemists Society</t>
  </si>
  <si>
    <t>Optical Society of India</t>
  </si>
  <si>
    <t>Society of Packaging Science and Technology</t>
  </si>
  <si>
    <t>Universiti Sains Malaysia</t>
  </si>
  <si>
    <t>Journal of Pipeline Engineering</t>
  </si>
  <si>
    <t>Akademiai Kiado Rt.</t>
  </si>
  <si>
    <t>Korean Institute of Power Electronics</t>
  </si>
  <si>
    <t>Warsaw University of Technology</t>
  </si>
  <si>
    <t>Technology Publishing Co.</t>
  </si>
  <si>
    <t>Chinese Society for Quality</t>
  </si>
  <si>
    <t>Editorial Department of Journal of Railway Engineering Society</t>
  </si>
  <si>
    <t>Chinese Rare Earth Society</t>
  </si>
  <si>
    <t>Rehabilitation Research and Development Service</t>
  </si>
  <si>
    <t>Journal of Remote Sensing</t>
  </si>
  <si>
    <t>10074619</t>
  </si>
  <si>
    <t>National Institute of Standards and Technology</t>
  </si>
  <si>
    <t>DEStech Publications Inc.</t>
  </si>
  <si>
    <t>Society of Rheology</t>
  </si>
  <si>
    <t>Society of Scientific Exploration</t>
  </si>
  <si>
    <t>Institute of Electronics Engineers of Korea</t>
  </si>
  <si>
    <t>Shanghai Jiao Tong University</t>
  </si>
  <si>
    <t>Society of Naval Architects and Marine Engineers</t>
  </si>
  <si>
    <t>Academic Journals Inc.</t>
  </si>
  <si>
    <t>Widener University School of Civil Engineering</t>
  </si>
  <si>
    <t>ISRO Satellite Centre</t>
  </si>
  <si>
    <t>Structural Engineering Research Centre</t>
  </si>
  <si>
    <t>Beijing Institute of Aerospace Information</t>
  </si>
  <si>
    <t>Taiwan Agricultural Engineers Society</t>
  </si>
  <si>
    <t>Taiwan Society of Naval Architects and Marine Engineers</t>
  </si>
  <si>
    <t>National Taiwan University of Science and Technology</t>
  </si>
  <si>
    <t>National Association of Industrial Technology</t>
  </si>
  <si>
    <t>Textile Machinery Society of Japan</t>
  </si>
  <si>
    <t>Journal of Textile Research</t>
  </si>
  <si>
    <t>02539721</t>
  </si>
  <si>
    <t>China Textile Engineering Society</t>
  </si>
  <si>
    <t>Acoustical Society of America</t>
  </si>
  <si>
    <t>American Leather Chemists Association</t>
  </si>
  <si>
    <t>American Astronautical Society</t>
  </si>
  <si>
    <t>Australasian Ceramic Society</t>
  </si>
  <si>
    <t>Chinese Institute of Civil and Hydraulic Engineering</t>
  </si>
  <si>
    <t>European Optical Society (EOS)</t>
  </si>
  <si>
    <t>Gazi Universitesi Muhendislik-Mimarlik</t>
  </si>
  <si>
    <t>Geological Society of London</t>
  </si>
  <si>
    <t>Institute of Environmental Sciences and Technology</t>
  </si>
  <si>
    <t>Indian Institute of Science</t>
  </si>
  <si>
    <t>Institute of Image Electronics Engineers of Japan</t>
  </si>
  <si>
    <t>Institute of Telecommunications Professionals</t>
  </si>
  <si>
    <t>Institution of Engineers (India)</t>
  </si>
  <si>
    <t>Int. Association for Shell and Spatial Structures</t>
  </si>
  <si>
    <t>Japan Petroleum Institute</t>
  </si>
  <si>
    <t>Japan Research Association for Textile End-Uses</t>
  </si>
  <si>
    <t>Korean Ceramic Society</t>
  </si>
  <si>
    <t>Korean Society of Wood Science Technology</t>
  </si>
  <si>
    <t>Mine Ventilation Society of South Africa</t>
  </si>
  <si>
    <t>National Institute of Information and Communications Technology</t>
  </si>
  <si>
    <t>New England Water Works Association</t>
  </si>
  <si>
    <t>Optical Society of Korea</t>
  </si>
  <si>
    <t>Royal Society of London</t>
  </si>
  <si>
    <t>Society of Leather Technologists and Chemists</t>
  </si>
  <si>
    <t>South African Institute of Civil Engineers</t>
  </si>
  <si>
    <t>South African Institute of Mining and Metallurgy</t>
  </si>
  <si>
    <t>Taiwan Institute of Chemical Engineers</t>
  </si>
  <si>
    <t>Vacuum Society of Japan</t>
  </si>
  <si>
    <t>Polish Society of Theoretical and Allied Mechanics</t>
  </si>
  <si>
    <t>Forest Research Institute Malaysia</t>
  </si>
  <si>
    <t>American Institute of Ultrasound in Medicine</t>
  </si>
  <si>
    <t>AVS Science and Technology Society</t>
  </si>
  <si>
    <t>Institute of Validation Technology</t>
  </si>
  <si>
    <t>Vibromechanika</t>
  </si>
  <si>
    <t>IWA Publishing</t>
  </si>
  <si>
    <t>Japan Association for Wind Engineering</t>
  </si>
  <si>
    <t>Journal on Data Semantics</t>
  </si>
  <si>
    <t>Wuhan Ligong Daxue</t>
  </si>
  <si>
    <t>Japan Light Metal Welding and Construction Assoc.</t>
  </si>
  <si>
    <t>Japan Institute of Light Metals</t>
  </si>
  <si>
    <t>Croatian Society of Chemical Engineers</t>
  </si>
  <si>
    <t>DVS Verlag</t>
  </si>
  <si>
    <t>Huthig GmbH</t>
  </si>
  <si>
    <t>Society of Polymer Science</t>
  </si>
  <si>
    <t>Hosokawa Powder Technology Foundation</t>
  </si>
  <si>
    <t>Northeast University</t>
  </si>
  <si>
    <t>Springer-VDI Verlag GmbH and Co. KG</t>
  </si>
  <si>
    <t>Korea Federation of Science and Technology</t>
  </si>
  <si>
    <t>Korean Society for Internet Information</t>
  </si>
  <si>
    <t>Chinese Ceramic Society</t>
  </si>
  <si>
    <t>Kung Cheng Je Wu Li Hsueh Pao/Journal of Engineering Thermophysics</t>
  </si>
  <si>
    <t>0253231X</t>
  </si>
  <si>
    <t>Inst. of Image Information and Television Engineers</t>
  </si>
  <si>
    <t>Kuyushi Tokai University</t>
  </si>
  <si>
    <t>PennWell Publishing Co.</t>
  </si>
  <si>
    <t>INCDTP: Division Leather Footwear Research Institute</t>
  </si>
  <si>
    <t>Newswood Limited</t>
  </si>
  <si>
    <t>Gesellschaft fur Informatik (GI)</t>
  </si>
  <si>
    <t>Springer Science and Business Media, LLC</t>
  </si>
  <si>
    <t>Schloss Dagstuhl- Leibniz-Zentrum fur Informatik GmbH, Dagstuhl Publishing</t>
  </si>
  <si>
    <t>LLC Editorial of Journal "Light Technik"</t>
  </si>
  <si>
    <t>Nature Publishing Group</t>
  </si>
  <si>
    <t>Chinese Journal of Theoretical and Applied</t>
  </si>
  <si>
    <t>Logical Methods in Computer Science</t>
  </si>
  <si>
    <t>International Association of Lowland Technology</t>
  </si>
  <si>
    <t>Polska Akademia Nauk</t>
  </si>
  <si>
    <t>Polymer Society of Korea</t>
  </si>
  <si>
    <t>Union of Chambers of Engineers and Architects of Turkey</t>
  </si>
  <si>
    <t>St-Petersburg State Polytechnical University</t>
  </si>
  <si>
    <t>Society of Manufacturing Engineers</t>
  </si>
  <si>
    <t>Univerzita J. E. Purkyne</t>
  </si>
  <si>
    <t>Latin Press Inc.</t>
  </si>
  <si>
    <t>Marine Technology Society Inc.</t>
  </si>
  <si>
    <t>Inst. de Ciencias de la Construccion Eduardo Torroja</t>
  </si>
  <si>
    <t>Institute of Metals and Materials Australasia</t>
  </si>
  <si>
    <t>Materials Performance and Characterization</t>
  </si>
  <si>
    <t>21653992</t>
  </si>
  <si>
    <t>Institute of Problems of Mechanical Engineering</t>
  </si>
  <si>
    <t>Universidade Federal de Sao Carlos</t>
  </si>
  <si>
    <t>Materials Review</t>
  </si>
  <si>
    <t>1005023X</t>
  </si>
  <si>
    <t>Cailiao Daobaoshe/ Materials Review</t>
  </si>
  <si>
    <t>Japan Institute of Metals (JIM)</t>
  </si>
  <si>
    <t>IOM Communications Ltd.</t>
  </si>
  <si>
    <t>Association for Scientific Research</t>
  </si>
  <si>
    <t>Contemporary Journal Concept Press</t>
  </si>
  <si>
    <t>Slovak Academy of Sciences - Inst. Measurement Science</t>
  </si>
  <si>
    <t>Kauno Technologijos Universitetas</t>
  </si>
  <si>
    <t>Informationsgesellschaft Technik mbH</t>
  </si>
  <si>
    <t>Dove Medical Press Ltd</t>
  </si>
  <si>
    <t>Softmotor Ltd.</t>
  </si>
  <si>
    <t>China Coal Society</t>
  </si>
  <si>
    <t>Kyushu University</t>
  </si>
  <si>
    <t>Societa Astronomica Italiana</t>
  </si>
  <si>
    <t>Associazione Italiana di Metallurgia</t>
  </si>
  <si>
    <t>Springer Boston</t>
  </si>
  <si>
    <t>Associacao Brasileira de Metalurgia e Materiais</t>
  </si>
  <si>
    <t>Faculty of Metallurgy</t>
  </si>
  <si>
    <t>Polish ACAD Sciences Committee Metrology and Res Equipment</t>
  </si>
  <si>
    <t>Horizon House</t>
  </si>
  <si>
    <t>Military Operations Research Society</t>
  </si>
  <si>
    <t>Society for Mining, Metallurgy and Exploration</t>
  </si>
  <si>
    <t>University of Minnesota</t>
  </si>
  <si>
    <t>Research Council of Norway</t>
  </si>
  <si>
    <t>Decker Publishing</t>
  </si>
  <si>
    <t>Associazione Italiana per l'Informatica e il Calcolo Automatico</t>
  </si>
  <si>
    <t>Verlag Stahleisen GmbH</t>
  </si>
  <si>
    <t>Brill Academic Publishers</t>
  </si>
  <si>
    <t>National Institute of Informatics</t>
  </si>
  <si>
    <t>Nano Research</t>
  </si>
  <si>
    <t xml:space="preserve">19980124 </t>
  </si>
  <si>
    <t>19980000</t>
  </si>
  <si>
    <t>Nanotechnology Law and Business</t>
  </si>
  <si>
    <t>Reed Exhibition Companies</t>
  </si>
  <si>
    <t>Natural Gas Industry Journal Agency</t>
  </si>
  <si>
    <t>Technoscience Publications</t>
  </si>
  <si>
    <t>Natsional'nyi Hirnychyi Universytet</t>
  </si>
  <si>
    <t>American Society of Naval Engineers</t>
  </si>
  <si>
    <t>Nat. Council of the Paper Ind. for Air and Stream Improv.</t>
  </si>
  <si>
    <t>NEC Mediaproducts</t>
  </si>
  <si>
    <t>Chinese Society for Internal Combustion Engines</t>
  </si>
  <si>
    <t>American Institute of Mathematical Sciences</t>
  </si>
  <si>
    <t>Neural Computation</t>
  </si>
  <si>
    <t>1530888X</t>
  </si>
  <si>
    <t>Institute of Computer Science</t>
  </si>
  <si>
    <t>New Zealand Institute of Forestry</t>
  </si>
  <si>
    <t>NHK Science and Technical Research Laboratories</t>
  </si>
  <si>
    <t>Japan Institute of Energy</t>
  </si>
  <si>
    <t>Nihon Ringakkai</t>
  </si>
  <si>
    <t>Ceramic Society of Japan</t>
  </si>
  <si>
    <t>Nippon Steel Corp.</t>
  </si>
  <si>
    <t>Institute of Noise Control Engineering</t>
  </si>
  <si>
    <t>Chinese Society of Agricultural Engineering</t>
  </si>
  <si>
    <t>Chinese Society of Agricultural Machinery</t>
  </si>
  <si>
    <t>Asian Academic Publisher limited</t>
  </si>
  <si>
    <t>SPCI</t>
  </si>
  <si>
    <t>Nippon Telegraph and Telephone Corp.</t>
  </si>
  <si>
    <t>Nuclear Institute</t>
  </si>
  <si>
    <t>Assoc. Tecnica Brasileira de Celulose e Papel</t>
  </si>
  <si>
    <t>Society of Petroleum Engineers (SPE)</t>
  </si>
  <si>
    <t>Austrian Society for Artificial Intelligency</t>
  </si>
  <si>
    <t>Editorial Department of Oil and Gas Geology</t>
  </si>
  <si>
    <t>Editions Technip</t>
  </si>
  <si>
    <t>Urban Verlag Hamburg/Wien GmbH</t>
  </si>
  <si>
    <t>Schlumberger Ltd</t>
  </si>
  <si>
    <t>Vilnius University</t>
  </si>
  <si>
    <t>Korean Technical Assoc. of the Pulp and Paper Industry</t>
  </si>
  <si>
    <t>Asia Publishing Pte. Ltd.</t>
  </si>
  <si>
    <t>Paper Industry Technical Association</t>
  </si>
  <si>
    <t>Precast/Prestressed Concrete Institute</t>
  </si>
  <si>
    <t>Mesago PCIM GmbH</t>
  </si>
  <si>
    <t>Technical University of Budapest</t>
  </si>
  <si>
    <t>Crambeth Allen Publishing</t>
  </si>
  <si>
    <t>Society of Well Log Analystists Inc.</t>
  </si>
  <si>
    <t>Advanstar Communications Inc.</t>
  </si>
  <si>
    <t>American Society for Photogrammetry and Remote Sensing</t>
  </si>
  <si>
    <t>Photonics Society of Poland</t>
  </si>
  <si>
    <t>American Physical Society</t>
  </si>
  <si>
    <t>Physical Review Applied</t>
  </si>
  <si>
    <t>23317019</t>
  </si>
  <si>
    <t>Turpion Ltd</t>
  </si>
  <si>
    <t>Society of Operations Engineers</t>
  </si>
  <si>
    <t>Japan Society of Plasma Science and Nuclear Fusion Research</t>
  </si>
  <si>
    <t>Gardner Business Media Inc.</t>
  </si>
  <si>
    <t>Society of Plastics and Rubber Engineers</t>
  </si>
  <si>
    <t>Associacao Brasileira de Polimeros</t>
  </si>
  <si>
    <t>Instytut Chemii Przemyslowej</t>
  </si>
  <si>
    <t>Springer-Verlag Italia s.r.l.</t>
  </si>
  <si>
    <t>Portland State University</t>
  </si>
  <si>
    <t>Power Electronics Technology</t>
  </si>
  <si>
    <t>Wydawnictwo Politechniki Wroclawskiej</t>
  </si>
  <si>
    <t>North American Publishing Co.</t>
  </si>
  <si>
    <t>Decision Sciences Institute</t>
  </si>
  <si>
    <t>Survival and Flight Equipment Association (SAFE)</t>
  </si>
  <si>
    <t>ARRB Transport Research Ltd.</t>
  </si>
  <si>
    <t>Oklahoma State University</t>
  </si>
  <si>
    <t>Canadian Information Processing Society</t>
  </si>
  <si>
    <t>Delson Group Inc.</t>
  </si>
  <si>
    <t>American Council for an Energy-Efficient Economy</t>
  </si>
  <si>
    <t>Croatian Society Electronics in Marine - ELMAR</t>
  </si>
  <si>
    <t>AAAI press</t>
  </si>
  <si>
    <t>International Erosion Control Association</t>
  </si>
  <si>
    <t>European Acoustics Association, EAA</t>
  </si>
  <si>
    <t>J and N Group, Ltd.</t>
  </si>
  <si>
    <t>Faculty of Mechanical Engineering and Naval Architecture</t>
  </si>
  <si>
    <t>Korean Information Display Society</t>
  </si>
  <si>
    <t>Proceedings of Science (PoS)</t>
  </si>
  <si>
    <t>American Electroplaters and Surface Finishers Soc. Inc.</t>
  </si>
  <si>
    <t>American Gas Association</t>
  </si>
  <si>
    <t>Illinois Institute of Technology</t>
  </si>
  <si>
    <t>International Speech and Communication Association</t>
  </si>
  <si>
    <t>Prognostics and Health Management Society</t>
  </si>
  <si>
    <t>Wire Association International Inc.</t>
  </si>
  <si>
    <t>Institute of Navigation</t>
  </si>
  <si>
    <t>Offshore Technology Conference</t>
  </si>
  <si>
    <t>Southwestern Petroleum Short Course Association Inc.</t>
  </si>
  <si>
    <t>National Institute for Space Research, INPE</t>
  </si>
  <si>
    <t>Academic Conferences Limited</t>
  </si>
  <si>
    <t>Dechema e.V.</t>
  </si>
  <si>
    <t>California State University</t>
  </si>
  <si>
    <t>Human Factors an Ergonomics Society Inc.</t>
  </si>
  <si>
    <t>Indian National Science Academy</t>
  </si>
  <si>
    <t>Association of Information Technology Professionals</t>
  </si>
  <si>
    <t>International Astronautical Federation, IAF</t>
  </si>
  <si>
    <t>Proceedings of the International Conference of DAAAM Baltic "Industrial Engineering"</t>
  </si>
  <si>
    <t>DAAAM International</t>
  </si>
  <si>
    <t>Dublin Core metadata initiative</t>
  </si>
  <si>
    <t>Design Society</t>
  </si>
  <si>
    <t>Transilvania University of Brasov</t>
  </si>
  <si>
    <t>Lulea University of Technology</t>
  </si>
  <si>
    <t>Knowledge Systems Institute Graduate School</t>
  </si>
  <si>
    <t>International Speech Communications Association</t>
  </si>
  <si>
    <t>International Display Workshops</t>
  </si>
  <si>
    <t>International Foundation for Autonomous Agents and Multiagent Systems (IFAAMAS)</t>
  </si>
  <si>
    <t>Proceedings of the International School of Physics "Enrico Fermi"</t>
  </si>
  <si>
    <t>International Academic Publishers</t>
  </si>
  <si>
    <t>VDE Verlag GmbH</t>
  </si>
  <si>
    <t>International Foundation for Telemetering</t>
  </si>
  <si>
    <t>Japan Technical Assoc. of the Pulp and Paper Industry</t>
  </si>
  <si>
    <t>Society of Instrument and Control Engineers (SICE)</t>
  </si>
  <si>
    <t>Society for Experimental Mechanics Inc.</t>
  </si>
  <si>
    <t>Technical Association of the Graphic Arts</t>
  </si>
  <si>
    <t>National Resources Conservation Service</t>
  </si>
  <si>
    <t>Canadian Society for Civil Engineering</t>
  </si>
  <si>
    <t>Gas Processors Association</t>
  </si>
  <si>
    <t>Society of Vacuum Coaters</t>
  </si>
  <si>
    <t>Society for Technical Communication</t>
  </si>
  <si>
    <t>Electromagnetics Academy</t>
  </si>
  <si>
    <t>Progress in Paper Recycling</t>
  </si>
  <si>
    <t>Science Reviews 2000 Ltd</t>
  </si>
  <si>
    <t>Korea Institute of Applied Superconductivity and Cryogenics</t>
  </si>
  <si>
    <t>Sigma Not</t>
  </si>
  <si>
    <t>Finnish Artificial Intelligence society</t>
  </si>
  <si>
    <t>SAE-China</t>
  </si>
  <si>
    <t>Press of Tsinghua University</t>
  </si>
  <si>
    <t>Chung Hua University</t>
  </si>
  <si>
    <t>Turpion Ltd.</t>
  </si>
  <si>
    <t>American Mathematical Society</t>
  </si>
  <si>
    <t>Ken-yusha Inc.</t>
  </si>
  <si>
    <t>Kobe Steel Ltd</t>
  </si>
  <si>
    <t>International Institute of Refrigeration</t>
  </si>
  <si>
    <t>Stockholm Environment Institute</t>
  </si>
  <si>
    <t>Helsinki Univ. of Technology - Signal Processing Lab.</t>
  </si>
  <si>
    <t>Jelgava : Latvia University of Agriculture</t>
  </si>
  <si>
    <t>Industrial Research Institute Inc.</t>
  </si>
  <si>
    <t>Society of Automotive Engineers of Japan Inc</t>
  </si>
  <si>
    <t>Mineralogical Society of America</t>
  </si>
  <si>
    <t>Sociedade Brasileira de Engenharia Biomedica</t>
  </si>
  <si>
    <t>Centro Nacional de Investigaciones Metalurgicas</t>
  </si>
  <si>
    <t>Colegio de Ingenieros de Caminos Canales y Puertos</t>
  </si>
  <si>
    <t>Education Society of IEEE (Spanish Chapter)</t>
  </si>
  <si>
    <t>Revista Tecnica de la Facultad de Ingeniera</t>
  </si>
  <si>
    <t>Editions Techniques et Economiques</t>
  </si>
  <si>
    <t>Hermann-Editions</t>
  </si>
  <si>
    <t>Institut National de la Research Scientifique</t>
  </si>
  <si>
    <t>Ecole Nationale du Genie Rural des Eaux et des Forets</t>
  </si>
  <si>
    <t>Soc. Francaise de Photogrammetrie et de Teledetection</t>
  </si>
  <si>
    <t>Elsevier Doyma</t>
  </si>
  <si>
    <t>Hoikkaido Forest Products Research Institute</t>
  </si>
  <si>
    <t>Associacao Iberica de Sistemas e Tecnologias de Informacao</t>
  </si>
  <si>
    <t>Instituto Italiano della Saldatura</t>
  </si>
  <si>
    <t>Editura Cefin</t>
  </si>
  <si>
    <t>Rubber Division of the American Chemical Society</t>
  </si>
  <si>
    <t>Lippincott and Peto Inc.</t>
  </si>
  <si>
    <t>SAE International</t>
  </si>
  <si>
    <t>South African Institute of Electrical Engineers</t>
  </si>
  <si>
    <t>West University of Timisoara</t>
  </si>
  <si>
    <t>Taylor and Francis AS</t>
  </si>
  <si>
    <t>Science Bulletin</t>
  </si>
  <si>
    <t>20959273</t>
  </si>
  <si>
    <t>20959281</t>
  </si>
  <si>
    <t>Science in China Press</t>
  </si>
  <si>
    <t>University of Sao Paolo</t>
  </si>
  <si>
    <t>Sharif University of Technology</t>
  </si>
  <si>
    <t>Scientia Silvae Sinicae</t>
  </si>
  <si>
    <t>10017488</t>
  </si>
  <si>
    <t>Chinese Society of Forestry</t>
  </si>
  <si>
    <t>Scientia Sinica Technologica</t>
  </si>
  <si>
    <t>16747259</t>
  </si>
  <si>
    <t>Science China Press</t>
  </si>
  <si>
    <t>Reed Business Information (Cahners)</t>
  </si>
  <si>
    <t>Universitatea "Vasile Alecsandri" din Bacau</t>
  </si>
  <si>
    <t>National Research Nuclear University</t>
  </si>
  <si>
    <t>South East Asian Iron and Steel Institute</t>
  </si>
  <si>
    <t>Sumitomo Electric Industries Ltd.</t>
  </si>
  <si>
    <t>Japan Society for Precision Engineering</t>
  </si>
  <si>
    <t>Society of Fiber Science and Technology</t>
  </si>
  <si>
    <t>M Y U Scientific Publishing Division</t>
  </si>
  <si>
    <t>Imperial College Press</t>
  </si>
  <si>
    <t>Semiconductor Environmental Safety and Health Association</t>
  </si>
  <si>
    <t>Sharp Corporation</t>
  </si>
  <si>
    <t>Please use me</t>
  </si>
  <si>
    <t>China Water Power Press</t>
  </si>
  <si>
    <t>Editorial Department of Journal of Sichuan University</t>
  </si>
  <si>
    <t>Finnish Society of Forest Science</t>
  </si>
  <si>
    <t>J.D. Sauerlaender's Verlag</t>
  </si>
  <si>
    <t>The Society for Modeling and Simulation International</t>
  </si>
  <si>
    <t>Purdue University</t>
  </si>
  <si>
    <t>Springer Science and Business Media Deutschland GmbH</t>
  </si>
  <si>
    <t>SMPTE Motion Imaging Journal</t>
  </si>
  <si>
    <t>15450279</t>
  </si>
  <si>
    <t>21602492</t>
  </si>
  <si>
    <t>Society of Motion Picture and Television Engineers</t>
  </si>
  <si>
    <t>Oil Gas Scientific Research Project Institute</t>
  </si>
  <si>
    <t>Soil Science Society of America</t>
  </si>
  <si>
    <t>Japanese Geotechnical Society</t>
  </si>
  <si>
    <t>Associacao Brasileira de Mecanica dos Solos</t>
  </si>
  <si>
    <t>Universidade Federal de Uberlandia</t>
  </si>
  <si>
    <t>Institut d'Estadistica de Catalunya</t>
  </si>
  <si>
    <t>Acoustical Publications Inc.</t>
  </si>
  <si>
    <t>South African Institute of Industrial Engineering</t>
  </si>
  <si>
    <t>Croation Union of Mech. Engineers and Naval Architects</t>
  </si>
  <si>
    <t>Assoc. of Mechanical Eng. and Technicians of Slovenia</t>
  </si>
  <si>
    <t>Institution of Structural Engineers</t>
  </si>
  <si>
    <t>Int. Assoc. for Bridge and Structural Eng. Eth-Honggerberg</t>
  </si>
  <si>
    <t>Japan Society of Civil Engineers</t>
  </si>
  <si>
    <t>Hrvatsko Sumarsko Drustvo</t>
  </si>
  <si>
    <t>Japan Society for Snow Engineering</t>
  </si>
  <si>
    <t>IOP Publishing Ltd</t>
  </si>
  <si>
    <t>Georg Thieme Verlag</t>
  </si>
  <si>
    <t>Morgan and Claypool Publishers</t>
  </si>
  <si>
    <t>Taiwan Forestry Research Institute</t>
  </si>
  <si>
    <t>Taiwan Joint Irrigation Associations</t>
  </si>
  <si>
    <t>TAPPI Press</t>
  </si>
  <si>
    <t>Centro De Pesquisas E Desenvolvimento</t>
  </si>
  <si>
    <t>University of Texas at Austin</t>
  </si>
  <si>
    <t>Transducer Research Foundation</t>
  </si>
  <si>
    <t>Institute of Electrodynamics, National Academy of Sciences of Ukraine</t>
  </si>
  <si>
    <t>Universitatsverlag Potsdam</t>
  </si>
  <si>
    <t>Instituts fur Informatik der Christian-Albrechts-Universitat zu Kiel</t>
  </si>
  <si>
    <t>Kansai University</t>
  </si>
  <si>
    <t>Massachusetts Institute of Technology</t>
  </si>
  <si>
    <t>American Statistical Association</t>
  </si>
  <si>
    <t>Strojarski Facultet</t>
  </si>
  <si>
    <t>Turkish Chamber of Civil Engineers</t>
  </si>
  <si>
    <t>Chamber of Textile Engineers</t>
  </si>
  <si>
    <t>University of Ljubljana</t>
  </si>
  <si>
    <t>Editions des Archives Contemporaines</t>
  </si>
  <si>
    <t>Universitas Ahmad Dahlan</t>
  </si>
  <si>
    <t>Mattingley Publishing</t>
  </si>
  <si>
    <t>Texas A and M University</t>
  </si>
  <si>
    <t>Textiles Intelligence Ltd.</t>
  </si>
  <si>
    <t>Science Council of Japan</t>
  </si>
  <si>
    <t>Thyssenkrupp AG</t>
  </si>
  <si>
    <t>Tianjin University</t>
  </si>
  <si>
    <t>Chinese Institute of Electronics</t>
  </si>
  <si>
    <t>Tire Society Inc.</t>
  </si>
  <si>
    <t>Editorial Board of Journal on Communications</t>
  </si>
  <si>
    <t>Japanese Society of Tribologists</t>
  </si>
  <si>
    <t>National Research Council</t>
  </si>
  <si>
    <t>Hemming Group Ltd</t>
  </si>
  <si>
    <t>Geothermal Resources Council</t>
  </si>
  <si>
    <t>Japan Soc. of Med. Electronics and Biol. Engineering</t>
  </si>
  <si>
    <t>Nanjing University of Aeronautics an Astronautics</t>
  </si>
  <si>
    <t>Nonferrous Metals Society of China</t>
  </si>
  <si>
    <t>Society for Biomaterials</t>
  </si>
  <si>
    <t>Atomic Energy Society of Japan</t>
  </si>
  <si>
    <t>Canadian Society for Mechanical Engineering</t>
  </si>
  <si>
    <t>Japan Society for Aeronautical and Space Sciences</t>
  </si>
  <si>
    <t>Japan Society for Computational Engineering and Science</t>
  </si>
  <si>
    <t>Japanese Society for Artificial Intelligence</t>
  </si>
  <si>
    <t>Royal Institution of Naval Architects</t>
  </si>
  <si>
    <t>IIIA-CSIC</t>
  </si>
  <si>
    <t>Korean Institute of Electrical and Electronic Material Engineers</t>
  </si>
  <si>
    <t>Kaunas University of Technology</t>
  </si>
  <si>
    <t>Mining Communications Ltd</t>
  </si>
  <si>
    <t>Society for Biomaterials and Artificial Organs - India</t>
  </si>
  <si>
    <t>Helsinki University of Technology</t>
  </si>
  <si>
    <t>Journal of Propulsion Technology</t>
  </si>
  <si>
    <t>Editorial Office of China Civil Engineering Journal</t>
  </si>
  <si>
    <t>Turkiye Klinikleri Journal of Medical Sciences</t>
  </si>
  <si>
    <t>TUBITAK</t>
  </si>
  <si>
    <t>Society for Underwater Technology</t>
  </si>
  <si>
    <t>Politechnica University of Bucharest</t>
  </si>
  <si>
    <t>VDI Verlag GMBH</t>
  </si>
  <si>
    <t>JVE International</t>
  </si>
  <si>
    <t>Rezekne Higher Education Institution</t>
  </si>
  <si>
    <t>Intevep S.A.</t>
  </si>
  <si>
    <t>Technical Research Center of Finland</t>
  </si>
  <si>
    <t>VTT Information Service</t>
  </si>
  <si>
    <t>Scranton Gillette Communications Inc.</t>
  </si>
  <si>
    <t>Water Environment Federation</t>
  </si>
  <si>
    <t>South African Water Research Commission</t>
  </si>
  <si>
    <t>Editorial Office of Water Science and Engineering</t>
  </si>
  <si>
    <t>Deutscher Verlag fur Schweisstechnik GmbH</t>
  </si>
  <si>
    <t>American Welding Society</t>
  </si>
  <si>
    <t>Society of Wood Science and Technology</t>
  </si>
  <si>
    <t>Statny Drevarsky Vyskumny Ustav</t>
  </si>
  <si>
    <t>AVERE</t>
  </si>
  <si>
    <t>GDMB Gesellschaft fur Bergbau, Metallurgie, Rohstoff- und Umwelttechnik e.V.</t>
  </si>
  <si>
    <t>World Institute for Engineering and Technology Education</t>
  </si>
  <si>
    <t>Wuhan University</t>
  </si>
  <si>
    <t>Institute of Physics, Chinese Academy of Sciences</t>
  </si>
  <si>
    <t>Northwestern Polytechnical University</t>
  </si>
  <si>
    <t>Editorial Board of New Carbon Materials</t>
  </si>
  <si>
    <t>Systems Engineering Society of China</t>
  </si>
  <si>
    <t>Rare Metals Materials and Engineering Press</t>
  </si>
  <si>
    <t>Editorial Office of Chinese Journal of Rare Metals</t>
  </si>
  <si>
    <t>Academia Sinica</t>
  </si>
  <si>
    <t>Chinese Society of Civil Engineering</t>
  </si>
  <si>
    <t>Editorial Board of Journal of Basic Science and</t>
  </si>
  <si>
    <t>Japan Welding Society</t>
  </si>
  <si>
    <t>Atomic Energy Press</t>
  </si>
  <si>
    <t>China Spaceflight Society</t>
  </si>
  <si>
    <t>Society of Synthetic Organic Chemistry</t>
  </si>
  <si>
    <t>Japan Society of Corrosion Engineering</t>
  </si>
  <si>
    <t>Society of Materials Science Japan</t>
  </si>
  <si>
    <t>Georg Siemens Verlag GmbH and Co. KG</t>
  </si>
  <si>
    <t>Chinese Vibration Engineering Society</t>
  </si>
  <si>
    <t>Chinese Society of Electrical Engineering</t>
  </si>
  <si>
    <t>Xi'an Highway University</t>
  </si>
  <si>
    <t>Editorial Department of Journal of Chinese Inertial Technology</t>
  </si>
  <si>
    <t>Chinese Society for Environmental Sciences</t>
  </si>
  <si>
    <t>University of Petroleum, China</t>
  </si>
  <si>
    <t>Chinese Academy of Railway Sciences</t>
  </si>
  <si>
    <t>Forestry and Game Management Research Institute</t>
  </si>
  <si>
    <t>Americas Conference on Wind Engineering</t>
  </si>
  <si>
    <t>Australian Scholars Publishing</t>
  </si>
  <si>
    <t>University of Rome</t>
  </si>
  <si>
    <t>Universitatsverlag Konstanz GmbH</t>
  </si>
  <si>
    <t>Lappeenranta University of Technology</t>
  </si>
  <si>
    <t>SciTePress</t>
  </si>
  <si>
    <t>IMEKO-International Measurement Federation Secretariat</t>
  </si>
  <si>
    <t>BioMed Central Ltd</t>
  </si>
  <si>
    <t>Caltek s.r.l.</t>
  </si>
  <si>
    <t>Vilnius Gediminas Technical University</t>
  </si>
  <si>
    <t>Slovenian Society for Non-Destructive Testing</t>
  </si>
  <si>
    <t>Eindhoven University of Technology</t>
  </si>
  <si>
    <t>Deutsche Gesellschaft fur Geotechnik e.V.</t>
  </si>
  <si>
    <t>International Society of Indoor Air Quality and Climate</t>
  </si>
  <si>
    <t>EUROSIS</t>
  </si>
  <si>
    <t>International Conference on Liquid Atomization and Spray Systems</t>
  </si>
  <si>
    <t>International Association for Probablistic Safety Assessment and Management (IAPSAM)</t>
  </si>
  <si>
    <t>ICPMT Secretariat</t>
  </si>
  <si>
    <t>IASH</t>
  </si>
  <si>
    <t>International Multidisciplinary Scientific Geoconference and EXPO</t>
  </si>
  <si>
    <t>VSB-Technical University of Ostrava</t>
  </si>
  <si>
    <t>SPICE User Group</t>
  </si>
  <si>
    <t>Budapest Technical College</t>
  </si>
  <si>
    <t>Florida Atlantic University</t>
  </si>
  <si>
    <t>Nanyang Technological University</t>
  </si>
  <si>
    <t>ABS</t>
  </si>
  <si>
    <t>Georgia Institute of Technology</t>
  </si>
  <si>
    <t>AIChE</t>
  </si>
  <si>
    <t>CEUR Workshop Proceedings</t>
  </si>
  <si>
    <t>Engineered Wood Products Association</t>
  </si>
  <si>
    <t>National Polytechnica/Lvivska Polytechnica</t>
  </si>
  <si>
    <t>National Technical University of Athens</t>
  </si>
  <si>
    <t>American Association for Wind Engineering</t>
  </si>
  <si>
    <t>OGAI</t>
  </si>
  <si>
    <t>European Conference on Turbomachinery (ETC)</t>
  </si>
  <si>
    <t>Polish Ceramic Society</t>
  </si>
  <si>
    <t>IADIS</t>
  </si>
  <si>
    <t>International Congress on Fracture</t>
  </si>
  <si>
    <t>Coreon GmbH</t>
  </si>
  <si>
    <t>The Design Society</t>
  </si>
  <si>
    <t>Docomomo</t>
  </si>
  <si>
    <t>11th International Scientific and Practical Conference of Students, Postgraduates and Young Scientists; Modem Techniques and Technologies, MTT 2005 - Proceedings</t>
  </si>
  <si>
    <t>COPPE/UFRJ</t>
  </si>
  <si>
    <t>Association for Computing Machinery, Inc</t>
  </si>
  <si>
    <t>Workshop on Requirements Engineering</t>
  </si>
  <si>
    <t>Trees and Timber Institute</t>
  </si>
  <si>
    <t>International Center for Numerical Methods in Engineering</t>
  </si>
  <si>
    <t>De la Salle University</t>
  </si>
  <si>
    <t>Monash University</t>
  </si>
  <si>
    <t>Universidade Federal Rural do Rio de Janeiro (UFRRJ)</t>
  </si>
  <si>
    <t>Advanced Automotive Batteries</t>
  </si>
  <si>
    <t>Association Information and Management</t>
  </si>
  <si>
    <t>International Association for Computer Methods and Advances in Geomechanics (IACMAG)</t>
  </si>
  <si>
    <t>Belgian Nuclear Research Center</t>
  </si>
  <si>
    <t>BHR Group Limited</t>
  </si>
  <si>
    <t>Tallinn University of Technology</t>
  </si>
  <si>
    <t>State Research Center of the Russian Federation</t>
  </si>
  <si>
    <t>Europment Press</t>
  </si>
  <si>
    <t>European Association for Signal Processing (EURASIP)</t>
  </si>
  <si>
    <t>European Association of Geoscientists and Engineers, EAGE</t>
  </si>
  <si>
    <t>Vaclav Skala Union Agency</t>
  </si>
  <si>
    <t>AudioLab, University of York</t>
  </si>
  <si>
    <t>Bakhus Tourism Industry and Trading Inc.</t>
  </si>
  <si>
    <t>Chinese Society of Theoretical and Applied Mechanics</t>
  </si>
  <si>
    <t>Dime University of Genoa</t>
  </si>
  <si>
    <t>AAAI Press</t>
  </si>
  <si>
    <t>American Institute of Aeronautics and Astronautics Inc, AIAA</t>
  </si>
  <si>
    <t>The International Group for Lean Construction</t>
  </si>
  <si>
    <t>ISROMAC</t>
  </si>
  <si>
    <t>Intelligent Transport Systems (ITS)</t>
  </si>
  <si>
    <t>AIS/ICIS Administrative Office</t>
  </si>
  <si>
    <t>Hong Kong Geotechnical Society (HKGES)</t>
  </si>
  <si>
    <t>14th Asia-Pacific Network Operations and Management Symposium: Management in the Big Data and IoT Era, APNOMS 2012 - Final Program</t>
  </si>
  <si>
    <t>Australian International Aerospace Congress (AIAC)</t>
  </si>
  <si>
    <t>Unavailable</t>
  </si>
  <si>
    <t>Conferencia Iberoamericana de Software Engineering - CIbSE</t>
  </si>
  <si>
    <t>Gas Technology Institute</t>
  </si>
  <si>
    <t>Chemical and Biological Microsystems Society</t>
  </si>
  <si>
    <t>Australian Acoustical Society</t>
  </si>
  <si>
    <t>Engineers Australia</t>
  </si>
  <si>
    <t>International Association for Mathematical Geology, IAMG 2006</t>
  </si>
  <si>
    <t>Australian Maritime College</t>
  </si>
  <si>
    <t>INCOSE-International Council on Systems Engineering</t>
  </si>
  <si>
    <t>15th Asia-Pacific Network Operations and Management Symposium: Integrated Management of Network Virtualization, APNOMS 2013</t>
  </si>
  <si>
    <t>Vaclav Skala - Union Agency</t>
  </si>
  <si>
    <t>International Society for Terrain Vehicle Systems</t>
  </si>
  <si>
    <t>Asia-Pacific Society for Computers in Education</t>
  </si>
  <si>
    <t>Deutsches Elektronen-Synchrotron (DESY)</t>
  </si>
  <si>
    <t>Power Systems Computation Conference ( PSCC )</t>
  </si>
  <si>
    <t>Intelligent Transportation Society of America</t>
  </si>
  <si>
    <t>Mechatronics and Machine Vision in Practice</t>
  </si>
  <si>
    <t>SISO - Simulation Interoperability Standards Organization</t>
  </si>
  <si>
    <t>European Conference on Composite Materials, ECCM</t>
  </si>
  <si>
    <t>International Microelectronics and Packaging Society, Nordic</t>
  </si>
  <si>
    <t>A and T Affidabilita and Tecnologia</t>
  </si>
  <si>
    <t>International Society for Computers and Their Applications</t>
  </si>
  <si>
    <t>China Light Industry Press</t>
  </si>
  <si>
    <t>University of Texas at Austin (freeform)</t>
  </si>
  <si>
    <t>Brno University of Technology</t>
  </si>
  <si>
    <t>Association Francaise pour l'Hydrogene et les Piles a Combustible (AFHYPAC)</t>
  </si>
  <si>
    <t>Universite de Nantes</t>
  </si>
  <si>
    <t>INCOSE</t>
  </si>
  <si>
    <t>North American Membrane Society</t>
  </si>
  <si>
    <t>University of Queensland</t>
  </si>
  <si>
    <t>Slovak Physical Society</t>
  </si>
  <si>
    <t>17th Conference on Recent Advances in Flame Retardancy of Polymeric Materials 2006 - Applications, Research and Industrial Development, Markets</t>
  </si>
  <si>
    <t>ELI Research d/b/a BCC Research</t>
  </si>
  <si>
    <t>European Structural Integrity Society</t>
  </si>
  <si>
    <t>Scientific Research Publishing</t>
  </si>
  <si>
    <t>NACE International</t>
  </si>
  <si>
    <t>Zagreb University, Faculty of Forestry</t>
  </si>
  <si>
    <t>International Symposium on Space Terahertz Technology</t>
  </si>
  <si>
    <t>University of Genova</t>
  </si>
  <si>
    <t>Zeithamlova Milena, ING - Agentura Action M</t>
  </si>
  <si>
    <t>Australian Association for Hydrogen Energy</t>
  </si>
  <si>
    <t>BRIMS Committee</t>
  </si>
  <si>
    <t>American Society of Mechanical Engineers</t>
  </si>
  <si>
    <t>Bled eCommerce Conference</t>
  </si>
  <si>
    <t>ESIS</t>
  </si>
  <si>
    <t>18th European Conference on Machine Learning, ECML 2007 and the 11th European Conference on Principles and Practice of Knowledge Discovery in Databases, PKDD 2007 - Proceedings of the Workshop on Approaches and Applications of Inductive Programming, AAI</t>
  </si>
  <si>
    <t>Springer-Verlag Berlin Heidelberg</t>
  </si>
  <si>
    <t>DEStech Publications</t>
  </si>
  <si>
    <t>Workshop on Logic-based methods in Programming Environments, WLPE</t>
  </si>
  <si>
    <t>19th Bled eConference eValues - Conference Proceedings</t>
  </si>
  <si>
    <t>European Frequency and Time Forum (EFTF)</t>
  </si>
  <si>
    <t>Swiss Federal Laboratories for Materials Science and Technology (Empa)</t>
  </si>
  <si>
    <t>GRAPHICON</t>
  </si>
  <si>
    <t>Metrology Consulting Zagreb</t>
  </si>
  <si>
    <t>Missouri University of Science and Technolgy</t>
  </si>
  <si>
    <t>Texas Section of the Society of Naval Architects and Marine Engineers</t>
  </si>
  <si>
    <t>ULM University</t>
  </si>
  <si>
    <t>EAGE Publishing BV</t>
  </si>
  <si>
    <t>John Wiley and Sons Inc</t>
  </si>
  <si>
    <t>American Society of Heating, Refrigeration, and Air-Conditioning Engineers (ASHRAE)</t>
  </si>
  <si>
    <t>Electronic workshop in computing (eWiC)</t>
  </si>
  <si>
    <t>Academy Publisher</t>
  </si>
  <si>
    <t>International Society for Industrial Process Tomography</t>
  </si>
  <si>
    <t>2000 10th International Crimean Microwave Conference Microwave and Telecommunication Technology, CriMico 2000</t>
  </si>
  <si>
    <t>Computational Publications</t>
  </si>
  <si>
    <t>2002 1st International IEEE Symposium Intelligent Systems, IS 2002 - Proceedings</t>
  </si>
  <si>
    <t xml:space="preserve">2003 13th International Crimean Conference Microwave and Telecommunication Technology, CriMiCo 2003 - Conference Proceedings  true </t>
  </si>
  <si>
    <t>Asian Journal of Nursing</t>
  </si>
  <si>
    <t>Nano Science and Technology Institute</t>
  </si>
  <si>
    <t>JEDEC</t>
  </si>
  <si>
    <t>GaAs Mantech, Incorporated</t>
  </si>
  <si>
    <t>Global Engineering Documents</t>
  </si>
  <si>
    <t>IMIC</t>
  </si>
  <si>
    <t>International Society of Science and Applied Technologies</t>
  </si>
  <si>
    <t>Rochester Chapter, IEEE Signal Processing Society</t>
  </si>
  <si>
    <t>CERN-European Organization for Nuclear Research</t>
  </si>
  <si>
    <t>Japan Robot Association</t>
  </si>
  <si>
    <t>Institute of Control Automation and Systems Engineers (ICASE)</t>
  </si>
  <si>
    <t>Standard Performance Evaluation Corporation</t>
  </si>
  <si>
    <t>2007 1st International Global Information Infrastructure Symposium, GIIS 2007 - Closing the Digital Divide</t>
  </si>
  <si>
    <t>Association of Iron and Steel Engineers</t>
  </si>
  <si>
    <t>Lawrence Berkeley National Laboratory</t>
  </si>
  <si>
    <t>IEEE Computational Intelligence Society</t>
  </si>
  <si>
    <t>STFI</t>
  </si>
  <si>
    <t>ASME</t>
  </si>
  <si>
    <t>International Association for Automation and Robotics in Construction I.A.A.R.C)</t>
  </si>
  <si>
    <t>CIGRE</t>
  </si>
  <si>
    <t>Engineering Technology Press</t>
  </si>
  <si>
    <t>International Fuzzy Systems Association (IFSA)-European Society for Fuzzy Logic and Technology</t>
  </si>
  <si>
    <t>2009 International Radar Conference Surveillance for a Safer World, RADAR 2009</t>
  </si>
  <si>
    <t>2009 International Students and Young Scientists Workshop Photonics and Microsystems</t>
  </si>
  <si>
    <t>National Yunlin University of Science and Technology</t>
  </si>
  <si>
    <t>2010 14th Int. Conference on Intelligence in Next Generation Networks: Weaving Applications Into the Network Fabric, ICIN 2010 - 2nd Int. Workshop on Business Models for Mobile Platforms, BMMP 10</t>
  </si>
  <si>
    <t>Joint Accelerator Conferences Website (JACoW)</t>
  </si>
  <si>
    <t>2010 IEEE International Microwave Workshop Series on RF Front-ends for Software Defined and Cognitive Radio Solutions, IMWS 2010 - Proceedings</t>
  </si>
  <si>
    <t>2010 IEEE International Symposium on A World of Wireless, Mobile and Multimedia Networks, WoWMoM 2010 - Digital Proceedings</t>
  </si>
  <si>
    <t>SISO - Simulation Interoperability Standards Organization (MA)</t>
  </si>
  <si>
    <t>2011 50th FITCE Congress - ICT: Bridging an Ever Shifting Digital Divide, FITCE 2011</t>
  </si>
  <si>
    <t>Institute of Doctors Engineers and Scientists (IDES)</t>
  </si>
  <si>
    <t>Transportation Association of Canada (TAC)</t>
  </si>
  <si>
    <t>2011 IEEE International Conference on Space Science and Communication: Towards Exploring the Equatorial Phenomena, IconSpace 2011 - Proceedings</t>
  </si>
  <si>
    <t>2011 Int. Symp. on Micro-NanoMechatronics and Human Science, Symp. on COE for Education and Research of Micro-Nano Mechatronics, Symposium on Hyper Bio Assembler for 3D Cellular System Innovation</t>
  </si>
  <si>
    <t>2011 International Conference on Information Technology and Multimedia: Ubiquitous ICT for Sustainable and Green Living, ICIM 2011</t>
  </si>
  <si>
    <t>2011 International Students and Young Scientists Workshop Photonics and Microsystems, STYSW 2011</t>
  </si>
  <si>
    <t>2011 International Symposium on Intelligent Signal Processing and Communications Systems: The Decade of Intelligent and Green Signal Processing and Communications, ISPACS 2011</t>
  </si>
  <si>
    <t>Institute of Electronic and Information Technology</t>
  </si>
  <si>
    <t>International Research Council on the Biomechanics of Injury</t>
  </si>
  <si>
    <t>2012 22nd Australasian Universities Power Engineering Conference: Green Smart Grid Systems, AUPEC 2012</t>
  </si>
  <si>
    <t>2012 2nd International Conference Methods and Systems of Navigation and Motion Control, MSNMC 2012 - Proceedings</t>
  </si>
  <si>
    <t>2012 4th International Conference Problems of Cybernetics and Informatics, PCI 2012 - Proceedings</t>
  </si>
  <si>
    <t>CERN and KEK</t>
  </si>
  <si>
    <t>Operational Research Society</t>
  </si>
  <si>
    <t>Society of Mining, Metallurgy and Exploration</t>
  </si>
  <si>
    <t>2013 IEEE International Conference on Smart Structures and Systems, ICSSS 2013</t>
  </si>
  <si>
    <t>Atlantis Press</t>
  </si>
  <si>
    <t>International Society for Trenchless Technology</t>
  </si>
  <si>
    <t>2014 2nd International Conference on Emission Electronics, ICEE 2014 Joined with 10th International Vacuum Electron Sources Conference, IVESC 2014, International Conference on Computer Technologies in Physical and Engineering Applications, ICCTPEA 2014,</t>
  </si>
  <si>
    <t>2014 7th International Conference on Information and Automation for Sustainability: Sharpening the Future with Sustainable Technology, ICIAfS 2014</t>
  </si>
  <si>
    <t>2014 IEEE International Conference on Smart Structures and Systems, ICSSS 2014</t>
  </si>
  <si>
    <t>American Society for Engineering Management</t>
  </si>
  <si>
    <t xml:space="preserve">2014 International Conference on Humanoid, Nanotechnology, Information Technology, Communication and Control, Environment and Management, HNICEM 2014 - 7th HNICEM 2014 Joint with 6th International Symposium on Computational Intelligence and Intelligent </t>
  </si>
  <si>
    <t>Science and Engineering Institute</t>
  </si>
  <si>
    <t>AIAA American Institute of Aeronautics and Astronautics</t>
  </si>
  <si>
    <t>BRIMS Committee (Ohio)</t>
  </si>
  <si>
    <t>BCC Research</t>
  </si>
  <si>
    <t>European Council for Modelling and Simulation</t>
  </si>
  <si>
    <t>DIPTEM University of Genoa</t>
  </si>
  <si>
    <t>VDE VERLAG GMBH</t>
  </si>
  <si>
    <t>20th International Conference EURO Mini Conference Continuous Optimization and Knowledge-Based Technologies, EurOPT 2008</t>
  </si>
  <si>
    <t>Swets en Zeitlinger B.V.</t>
  </si>
  <si>
    <t>International Congress on Acoustics</t>
  </si>
  <si>
    <t>Croatian Metrology Society</t>
  </si>
  <si>
    <t>Clarion Technical Conferences</t>
  </si>
  <si>
    <t>University of Missouri-Rolla</t>
  </si>
  <si>
    <t>Human Factors in Telecommunication (HFT)</t>
  </si>
  <si>
    <t>Committee of WHEC2014</t>
  </si>
  <si>
    <t>French Association for Artificial Intelligence, AFIA</t>
  </si>
  <si>
    <t>Omnipress</t>
  </si>
  <si>
    <t>21st Bled eConference eCollaboration: Overcoming Boundaries Through Multi-Channel Interaction - Proceedings</t>
  </si>
  <si>
    <t>DIPTEM</t>
  </si>
  <si>
    <t>Electric Drive Transportation Association</t>
  </si>
  <si>
    <t>International Conference on Adaptive Structures and Technologies</t>
  </si>
  <si>
    <t>Fraunhofer-Verlag</t>
  </si>
  <si>
    <t>University of Zagreb, Faculty of Forestry</t>
  </si>
  <si>
    <t>Center for Cold-Formed Steel Structures</t>
  </si>
  <si>
    <t>The Institute of Navigation</t>
  </si>
  <si>
    <t>Group of Research in Knowledge Acquisition</t>
  </si>
  <si>
    <t>American Society of Mining and Reclamation</t>
  </si>
  <si>
    <t>International Pittsburgh Coal Conference</t>
  </si>
  <si>
    <t>European Society for Biomaterials</t>
  </si>
  <si>
    <t>International Foundation for Production Research (IFPR)</t>
  </si>
  <si>
    <t>National Defence University - Carol I Printing House</t>
  </si>
  <si>
    <t>The Fraunhofer-Informationszentrum Raum und Bau IRB</t>
  </si>
  <si>
    <t>Fraunhofer Heinrich Hertz Institute</t>
  </si>
  <si>
    <t>Universita Reggio Calabria and Centro di Competenza (ICT-SUD)</t>
  </si>
  <si>
    <t>Document Transformation Technologies cc.</t>
  </si>
  <si>
    <t>Institute of Electronics, Information and Communication Engineers, IEICE</t>
  </si>
  <si>
    <t>International Society of Computers and Their Applications (ISCA)</t>
  </si>
  <si>
    <t>Faculty of Forestry, Zagreb University</t>
  </si>
  <si>
    <t>AEE Energy Books</t>
  </si>
  <si>
    <t>European Association for Battery, Hybrid and Fuel Cell Electric Vehicles</t>
  </si>
  <si>
    <t>COLING 2012 Organizing Committee</t>
  </si>
  <si>
    <t>24th International Power Sources Symposium and Exhibition 2005, IPSS 2005: Power Sources and the Environment</t>
  </si>
  <si>
    <t>International Power Sources Symposium, IPSS</t>
  </si>
  <si>
    <t>Noise Control Foundation</t>
  </si>
  <si>
    <t>University of Auckland Business School</t>
  </si>
  <si>
    <t>CSREA Press</t>
  </si>
  <si>
    <t>The International Society for Computers and Their Applications (ISCA)</t>
  </si>
  <si>
    <t>China Science and Technology Press</t>
  </si>
  <si>
    <t>Universitat Oldenburg</t>
  </si>
  <si>
    <t>INRIA</t>
  </si>
  <si>
    <t>Canadian Nuclear Society</t>
  </si>
  <si>
    <t>Canadian Conference on Computational Geometry</t>
  </si>
  <si>
    <t>Institute of Mechanical Engineering</t>
  </si>
  <si>
    <t>Florida Educational Seminars, Inc.</t>
  </si>
  <si>
    <t>Indian Institute of Metals</t>
  </si>
  <si>
    <t>Canadian Nuclear Association</t>
  </si>
  <si>
    <t>ICAS Secretariat</t>
  </si>
  <si>
    <t>International Cement Microscopy Association</t>
  </si>
  <si>
    <t>Aabo Akademi University</t>
  </si>
  <si>
    <t>West Virginia University</t>
  </si>
  <si>
    <t>National Chengchi University</t>
  </si>
  <si>
    <t>Asian Association on Remote Sensing</t>
  </si>
  <si>
    <t>Curtin University of Technology</t>
  </si>
  <si>
    <t>Energy Institute</t>
  </si>
  <si>
    <t>Planning and Transport Research Centre (PATREC)</t>
  </si>
  <si>
    <t>International Council of the Aeronautical Sciences</t>
  </si>
  <si>
    <t>Tata Institute of Fundamental Research</t>
  </si>
  <si>
    <t>International Precious Metals Institute</t>
  </si>
  <si>
    <t>International Solar Energy Society</t>
  </si>
  <si>
    <t>The Fairmont Press</t>
  </si>
  <si>
    <t>2nd AIAA Unmanned Unlimited Conference and Workshop and Exhibit</t>
  </si>
  <si>
    <t>Conference on Innovative Data Systems Research (CIDR)</t>
  </si>
  <si>
    <t>Revue des Nouvelles Technologies de l'Information (RNTI)</t>
  </si>
  <si>
    <t>ScienceTechnica, Inc.</t>
  </si>
  <si>
    <t>Society for Mining, Metallurgy and Exploration (SME)</t>
  </si>
  <si>
    <t>Kiev Institute for Nuclear Research,KINR</t>
  </si>
  <si>
    <t>Coventry Business School</t>
  </si>
  <si>
    <t>Institute of Cognitive Sciences and Technologies, ISTC-CNR</t>
  </si>
  <si>
    <t>The Society for the Study of Artificial Intelligence and the Simulation of Behaviour</t>
  </si>
  <si>
    <t>3. Workshop der GI-Fachgruppe Didaktik der Informatik, DDI 2006</t>
  </si>
  <si>
    <t>ASCILITE</t>
  </si>
  <si>
    <t>Confederation of European Aerospace Societies, CEAS</t>
  </si>
  <si>
    <t>International Battery Seminar</t>
  </si>
  <si>
    <t>International Machine Learning Society (IMLS)</t>
  </si>
  <si>
    <t>Stanford Linear Accelerator Center (SLAC)</t>
  </si>
  <si>
    <t>Australian Society of Sugar Cane Technologists</t>
  </si>
  <si>
    <t>Computer Measurement Group Inc</t>
  </si>
  <si>
    <t>University of Lodz</t>
  </si>
  <si>
    <t>University of Technology Sydney</t>
  </si>
  <si>
    <t>International Union of Leather Technologists and Chemists Societies (IULTCS)</t>
  </si>
  <si>
    <t>Deri Teknologlari, Teknisyenleri ve Kimyacilari Dernegi</t>
  </si>
  <si>
    <t>European Physical Society (EPS)</t>
  </si>
  <si>
    <t>ERF 33</t>
  </si>
  <si>
    <t>SLAC National Accelerator Laboratory</t>
  </si>
  <si>
    <t>International Center for Remote Sensing of Environment, ICRSE</t>
  </si>
  <si>
    <t>Deutsche Gesellschaft fuer Luft und Raumfahrt (DGLR)</t>
  </si>
  <si>
    <t>35th International Conference on Information Systems Building a Better World Through Information Systems, ICIS 2014</t>
  </si>
  <si>
    <t>American Chemical Society Division of Environmental Chemistry, Inc</t>
  </si>
  <si>
    <t>Istanbul Technical University</t>
  </si>
  <si>
    <t>WEDC</t>
  </si>
  <si>
    <t>World Nuclear Association</t>
  </si>
  <si>
    <t>AgustaWestland</t>
  </si>
  <si>
    <t>Computers and Industrial Engineering</t>
  </si>
  <si>
    <t>Society of Flight Test Engineers</t>
  </si>
  <si>
    <t>American Solar Energy Society</t>
  </si>
  <si>
    <t>Netherlands Association of Aeronautical Engineers</t>
  </si>
  <si>
    <t>Sociedade Portuguesa de Acustica (SPA)</t>
  </si>
  <si>
    <t>International Federation of Robotics</t>
  </si>
  <si>
    <t>University of the West of England, UWE</t>
  </si>
  <si>
    <t>Australian Housing and Urban Research Institute</t>
  </si>
  <si>
    <t>Chesapeake Power Boat Symposium</t>
  </si>
  <si>
    <t>3rd Digital Games Research Association International Conference: Situated Play, DiGRA 2007</t>
  </si>
  <si>
    <t>Digital Games Research Association (DiGRA)</t>
  </si>
  <si>
    <t>Blue Herons Editions</t>
  </si>
  <si>
    <t>Giannini Editore</t>
  </si>
  <si>
    <t>International Institute of Informatics and Systemics, IIIS</t>
  </si>
  <si>
    <t>Associazione Italiana Metallurgia (AIM)</t>
  </si>
  <si>
    <t>ICST</t>
  </si>
  <si>
    <t>Comite Africain de Metrologie (CAFMET)</t>
  </si>
  <si>
    <t>Turku Centre for Computer Science, TUCS</t>
  </si>
  <si>
    <t>International Symposium on Test Automation and Instrumentation, ISTAI 2010</t>
  </si>
  <si>
    <t>3rd International Workshop on Personalized Access, Profile Management, and Context Awareness in Databases, PersDB 2009 - In Conjunction with VLDB 2009</t>
  </si>
  <si>
    <t>PersDL 2009</t>
  </si>
  <si>
    <t>Karlsruher Institut fur Technologie (KIT)</t>
  </si>
  <si>
    <t>Academy Publisher Inc.</t>
  </si>
  <si>
    <t>University of Kentucky, Center for Applied Energy Research</t>
  </si>
  <si>
    <t>Computer Measurment Group Inc.</t>
  </si>
  <si>
    <t>INCEJ and ASJ</t>
  </si>
  <si>
    <t>Engineering Geology and Geotechnical Engineering Symposium (EGGES)</t>
  </si>
  <si>
    <t>Human Factors and Ergonomics Society of Australia Inc. (HFESA)</t>
  </si>
  <si>
    <t>International Council on Large Electric Systems</t>
  </si>
  <si>
    <t>European Society for Engineering Education (SEFI)</t>
  </si>
  <si>
    <t>Engineering Geology and Geotechnical Engineering Symposium</t>
  </si>
  <si>
    <t>Taylor and Francis/ Balkema</t>
  </si>
  <si>
    <t>University of Illinois at Urbana-Champaign,  Coordinated Science Laboratory and Department of Computer and Electrical Engineering</t>
  </si>
  <si>
    <t>Human Factors and Ergonomics Society</t>
  </si>
  <si>
    <t>SAVE International</t>
  </si>
  <si>
    <t>American Rock Mechanics Association (ARMA)</t>
  </si>
  <si>
    <t>ISA - Instrumentation Systems and Automation Society</t>
  </si>
  <si>
    <t>Transportation Research Forum</t>
  </si>
  <si>
    <t>Technion Israel Institute of Technology</t>
  </si>
  <si>
    <t>OR Society</t>
  </si>
  <si>
    <t>Enterprise Information Services, Inc.</t>
  </si>
  <si>
    <t>International Society for the Systems Sciences (ISSS)</t>
  </si>
  <si>
    <t>GITO mbH</t>
  </si>
  <si>
    <t>EUROCONTROL</t>
  </si>
  <si>
    <t>High Performance Yacht Design Conference (HPYD)</t>
  </si>
  <si>
    <t>Institute of Robotics and Intelligent Systems</t>
  </si>
  <si>
    <t>International Society for Environmental Information Sciences</t>
  </si>
  <si>
    <t>Politecnico di Torino (DIMEAS)</t>
  </si>
  <si>
    <t>The Iron and Steel Institute of Japan</t>
  </si>
  <si>
    <t>International Operational Modal Analysis Conference (IOMAC)</t>
  </si>
  <si>
    <t>Publishing House of Electronics Industry</t>
  </si>
  <si>
    <t>National Engineering Research Center for Information Technology in Agriculture</t>
  </si>
  <si>
    <t>TSFP4 Symposium</t>
  </si>
  <si>
    <t>Nagoya University</t>
  </si>
  <si>
    <t>German Society for Medical computer science, Biometry and Epidemiology (GMDS)</t>
  </si>
  <si>
    <t>Air Traffic Control Association, ATCA</t>
  </si>
  <si>
    <t>AGIFORS</t>
  </si>
  <si>
    <t>International Society of Automation (ISA)</t>
  </si>
  <si>
    <t>IWCS International Wire and Cable Symposium</t>
  </si>
  <si>
    <t>International Federation for the Promotion of Mechanism and Machine Science (IFToMM)</t>
  </si>
  <si>
    <t>Japan Society of Refrigeration and Air Conditioning Engineering (JSRAE)</t>
  </si>
  <si>
    <t>University of Adelaide</t>
  </si>
  <si>
    <t>Geotechnical Engineering Research and Development Center</t>
  </si>
  <si>
    <t>Firenze University Press</t>
  </si>
  <si>
    <t>Inst. for Syst. and Technol. of Inf., Control and Commun. (INSTICC)</t>
  </si>
  <si>
    <t>Research Publishing Services</t>
  </si>
  <si>
    <t>International Conference on Information Technology and Applications</t>
  </si>
  <si>
    <t>Griffith University</t>
  </si>
  <si>
    <t>ENGICOM GmbH</t>
  </si>
  <si>
    <t>A.A. Balkema Publishers</t>
  </si>
  <si>
    <t>University of Eastern Finland</t>
  </si>
  <si>
    <t>International Commission of Agricultural Engineering (CIGR)</t>
  </si>
  <si>
    <t>University of Belgrade</t>
  </si>
  <si>
    <t>South African Association for Theoretical and Applied Mechanics (SAAM)</t>
  </si>
  <si>
    <t>Associacao Brasileira de Metalurgia Materiais e Mineracao</t>
  </si>
  <si>
    <t>Society of Allied Weight Engineers</t>
  </si>
  <si>
    <t>World Foundry Organization</t>
  </si>
  <si>
    <t>Society for Computer Simulation (SCS)</t>
  </si>
  <si>
    <t>International Association for Wind Engineering (IAWE)</t>
  </si>
  <si>
    <t>ICITA Secretariat</t>
  </si>
  <si>
    <t>Institute of Electrochemistry and  Energy Systems</t>
  </si>
  <si>
    <t>Ryerson University</t>
  </si>
  <si>
    <t>Centre de Recherche Public Henri Tudor</t>
  </si>
  <si>
    <t>Poznan University of Economics</t>
  </si>
  <si>
    <t>Chinese Taiwan Association for Wind Engineering</t>
  </si>
  <si>
    <t>University of Milan</t>
  </si>
  <si>
    <t>Bercha Group</t>
  </si>
  <si>
    <t>Vilnius Gediminas Technical University Publishing House "Technika"</t>
  </si>
  <si>
    <t>Croatian Society of Food Technologists, Biotechnologists and Nutritionists</t>
  </si>
  <si>
    <t>Secretariat of ISHVAC2011</t>
  </si>
  <si>
    <t>Commonsense Reasoning</t>
  </si>
  <si>
    <t>Hong Kong Institute of Value Management Ltd</t>
  </si>
  <si>
    <t>4FriendsOnly.com Internet Technologies AG</t>
  </si>
  <si>
    <t>Fraunhofer IZFP</t>
  </si>
  <si>
    <t>Universidad de Cantabria</t>
  </si>
  <si>
    <t>Escuela Superior Politecnica del Litoral (ESPOL)</t>
  </si>
  <si>
    <t>EDITURA U T PRESS</t>
  </si>
  <si>
    <t>DBLP</t>
  </si>
  <si>
    <t>International School of Hydrocarbon Measurement</t>
  </si>
  <si>
    <t>Asian-Australasian Association for Composite Materials (AACM)</t>
  </si>
  <si>
    <t>Verlag der Technischen Universitat Graz</t>
  </si>
  <si>
    <t>Paul Scherrer Institut</t>
  </si>
  <si>
    <t>Slovenian Soc Nondestructive Testing, Fac Mech Engineering</t>
  </si>
  <si>
    <t>IIT Institute of Design</t>
  </si>
  <si>
    <t>Universidad Politecnica de Madrid</t>
  </si>
  <si>
    <t>8th International Conference on Power Electronics - ECCE Asia: Green World with Power Electronics, ICPE 2011-ECCE Asia</t>
  </si>
  <si>
    <t>Technical University of Ostrava-VSB</t>
  </si>
  <si>
    <t>Woodhead Publishing Ltd.</t>
  </si>
  <si>
    <t>Jozef Stefan Institute</t>
  </si>
  <si>
    <t>Universidad de Leon</t>
  </si>
  <si>
    <t>Western States Section/Combustion Institute</t>
  </si>
  <si>
    <t>Joost de Bruijn</t>
  </si>
  <si>
    <t>Conference Chairs of 3DGeoInfo 2014 in Karlsruhe</t>
  </si>
  <si>
    <t>SPE Automotive and Composites Division MSU Management Education Center</t>
  </si>
  <si>
    <t>Technical University of Braunschweig</t>
  </si>
  <si>
    <t>Centre for Bulk Solids and Particulate Technologies (CBSPT)</t>
  </si>
  <si>
    <t>American Concrete Pavement Association</t>
  </si>
  <si>
    <t>Universidad de los Andes</t>
  </si>
  <si>
    <t>Edge Publication Group Ltd.</t>
  </si>
  <si>
    <t>Hanrimwon Publishing Co.</t>
  </si>
  <si>
    <t>Universitat der Bundeswehr</t>
  </si>
  <si>
    <t>9th International Seminar on Speech Production 2011</t>
  </si>
  <si>
    <t>FAMU-FSU College of Engineering</t>
  </si>
  <si>
    <t>Pacific Asia Conference on Information Systems</t>
  </si>
  <si>
    <t>9th Workshop From Objects to Agents, WOA 2008 - Evolution of Agent Development: Methodologies, Tools, Platforms and Languages</t>
  </si>
  <si>
    <t>Chinese Society for Biomaterials</t>
  </si>
  <si>
    <t>Oregon State University Conference Services</t>
  </si>
  <si>
    <t>Institute of Science and Technology for Ceramics, National Research Council</t>
  </si>
  <si>
    <t>International Committee on Aeronautical Fatigue, ICAF</t>
  </si>
  <si>
    <t>AABC 2014 - Advanced Automotive Battery Confernce, LLIBTA Symposium Track A: Cell Materials and Chemistry and Track B: Battery Engineering- Large Lithium Ion Battery Technology and Application and ECCAP Symposium - Large EC Capacitor Technology and Appl</t>
  </si>
  <si>
    <t>Taylor and Francis - Balkema</t>
  </si>
  <si>
    <t>Academy of Management</t>
  </si>
  <si>
    <t>ACADIA</t>
  </si>
  <si>
    <t>Deakin University</t>
  </si>
  <si>
    <t>Society of Air-conditioning and Refrigerating Engineers of Korea, SAREK</t>
  </si>
  <si>
    <t>Sistedes</t>
  </si>
  <si>
    <t>Iberoamericano de Ingenieria de Requisitos y Ambientes de Software, IDEAS</t>
  </si>
  <si>
    <t>Ecole des Mines d'Ales</t>
  </si>
  <si>
    <t>Journees Francophones de Programmation par Contraintes (JFPC)</t>
  </si>
  <si>
    <t>INFORSID</t>
  </si>
  <si>
    <t>East China Normal University Press</t>
  </si>
  <si>
    <t>Society for the Study of Artificial Intelligence and the Simulation of Behaviour</t>
  </si>
  <si>
    <t>School of Information Technologies</t>
  </si>
  <si>
    <t>School of Computer Science and Information Technology</t>
  </si>
  <si>
    <t>Japan Society of Composite Materials</t>
  </si>
  <si>
    <t>NetComposites Limited</t>
  </si>
  <si>
    <t>CRC Press/Balkema</t>
  </si>
  <si>
    <t>Advanced Ship Design for Pollution Prevention - Proceedings of the International Workshop Advanced Ship Design for Pollution Prevention</t>
  </si>
  <si>
    <t>CRC Press</t>
  </si>
  <si>
    <t>Optical Society of America (OSA)</t>
  </si>
  <si>
    <t>Springer Publishing Company</t>
  </si>
  <si>
    <t>Edizioni libreria progetto</t>
  </si>
  <si>
    <t>Wit Press</t>
  </si>
  <si>
    <t>Global Information Publisher (H.K) Co., Limited</t>
  </si>
  <si>
    <t>American Society of Civil Engineers Texas Section</t>
  </si>
  <si>
    <t>UNIVERSITY OF BIELSKO-BIALA</t>
  </si>
  <si>
    <t>Professional Engineering Publishing</t>
  </si>
  <si>
    <t>China Press</t>
  </si>
  <si>
    <t>Aussino Academic Publishing House</t>
  </si>
  <si>
    <t>ibai-publishing</t>
  </si>
  <si>
    <t>Science Press USA Inc.</t>
  </si>
  <si>
    <t>A.A. Balkema</t>
  </si>
  <si>
    <t>Multi-Agent Logics, Languages, and Organisations Federated Workshops</t>
  </si>
  <si>
    <t>Airline Group of the International Federation of Operations Research Societies (AGIFORS)</t>
  </si>
  <si>
    <t>AIAA Centennial of Naval Aviation Forum 100 Years of Achievement and Progress</t>
  </si>
  <si>
    <t>Association of International Metallizers, Coaters and Laminators</t>
  </si>
  <si>
    <t>Air and Waste Management Association - Power Plant Air Pollutant Control MEGA Symposium 2012</t>
  </si>
  <si>
    <t>The Society for the Study of Artificial Intelligence and the Simulation of Behaviour (SSAISB)</t>
  </si>
  <si>
    <t>The Society for the Study of Artificial Intelligence and Simulation of Behaviour</t>
  </si>
  <si>
    <t>The Society for the Study of Artificial Intelligence and the Simulation of Behaviour (AISB)</t>
  </si>
  <si>
    <t>The Society for Artificial Intelligence and Statistics</t>
  </si>
  <si>
    <t>Leatherhead Publishing</t>
  </si>
  <si>
    <t>American Association of Textile Chemists and Colorists</t>
  </si>
  <si>
    <t>American Filtration and Separations Society</t>
  </si>
  <si>
    <t>American Filtration Society</t>
  </si>
  <si>
    <t>American Fuel and Petrochemical Manufacturers (AFPM)</t>
  </si>
  <si>
    <t>AGMA American Gear Manufacturers Association</t>
  </si>
  <si>
    <t>American Helicopter Society International</t>
  </si>
  <si>
    <t>National Association for Surface Finishing</t>
  </si>
  <si>
    <t>Association for Machine Translation in the Americas</t>
  </si>
  <si>
    <t>Oxford University</t>
  </si>
  <si>
    <t>School of Engineering and Technology</t>
  </si>
  <si>
    <t>Associao Brasileira De Metalurgica E Materials - ABM</t>
  </si>
  <si>
    <t>Antarctic Peninsula and Tierra del Fuego: Proceedings of Otto Nordenskjold's Antarctic Expedition of 1901-1903 and Swedish Scientists in Patagonia: A Symposium</t>
  </si>
  <si>
    <t>arXiv.org</t>
  </si>
  <si>
    <t>American Academy of Anti-Aging Medicine</t>
  </si>
  <si>
    <t>APCC 2012 - 18th Asia-Pacific Conference on Communications: Green and Smart Communications for IT Innovation</t>
  </si>
  <si>
    <t>Slovak University of Technology in Bratislava</t>
  </si>
  <si>
    <t>KICS/KNOM</t>
  </si>
  <si>
    <t>Battelle Memorial Institute</t>
  </si>
  <si>
    <t>Asia-Pacific Signal and Information Processing Association</t>
  </si>
  <si>
    <t>INSTICC Press</t>
  </si>
  <si>
    <t>Australian Society for Computers in Tertiary Education</t>
  </si>
  <si>
    <t>Sydney University Press</t>
  </si>
  <si>
    <t>The University of Queensland</t>
  </si>
  <si>
    <t>The University of Tasmania</t>
  </si>
  <si>
    <t>Asian Paper</t>
  </si>
  <si>
    <t>International Association for Bridge and Structural Engineering (IABSE)</t>
  </si>
  <si>
    <t>Association for Environmental Health and Sciences</t>
  </si>
  <si>
    <t>Association for Unmanned Vehicle Systems International</t>
  </si>
  <si>
    <t>Association of Industrial Metallizers, Coaters and Laminators</t>
  </si>
  <si>
    <t>Association of Researchers in Construction Management</t>
  </si>
  <si>
    <t>Australasian Transport Research Forum</t>
  </si>
  <si>
    <t>Interactive Institute</t>
  </si>
  <si>
    <t>Fraunhofer Institute for Digital Media Technology IDMT</t>
  </si>
  <si>
    <t>AUPEC 2010 - 20th Australasian Universities Power Engineering Conference: Power Quality for the 21st Century</t>
  </si>
  <si>
    <t>Southern Cross University</t>
  </si>
  <si>
    <t>Shaker Verlag</t>
  </si>
  <si>
    <t>AUTONOMICS 2008: Proceedings of the 2nd International Conference on Autonomic Computing and Communication Systems"</t>
  </si>
  <si>
    <t>University of Paderborn</t>
  </si>
  <si>
    <t>Global Automotive Management Council</t>
  </si>
  <si>
    <t>Webcom Communications</t>
  </si>
  <si>
    <t>Hahn-Meitner-Institut Berlin</t>
  </si>
  <si>
    <t>Helmholtz-Zentrum Berlin fur Materialien und Energie GmbH</t>
  </si>
  <si>
    <t>The Association for Computer-Aided Architectural Design Research in Asia (CAADRIA)</t>
  </si>
  <si>
    <t>PI</t>
  </si>
  <si>
    <t>Kristianstad Academic Press</t>
  </si>
  <si>
    <t>British Machine Vision Association, BMVA</t>
  </si>
  <si>
    <t>Woodhead Publishing Limited</t>
  </si>
  <si>
    <t>Oficyna Wydawnicza Politechniki Wroclawskiej</t>
  </si>
  <si>
    <t>BTW 2005 - Datenbanksysteme in Business, Technologie und Web, 11th Fachtagung des GI-Fachbereichs Datenbanken und Informationssysteme (DBIS)</t>
  </si>
  <si>
    <t>Uniwersytet Ekonomiczny w Poznaniu</t>
  </si>
  <si>
    <t>Tapir Academic Press</t>
  </si>
  <si>
    <t>The Composites and Advanced Materials Expo (CAMX)</t>
  </si>
  <si>
    <t>Canadian Nuclear Society - 28th Annual Conference of the Canadian Nuclear Society and 31st CNS/CNA Student Conference 2007: Embracing the Future: Canada's Nuclear Renewal and Growth</t>
  </si>
  <si>
    <t>Carleton University</t>
  </si>
  <si>
    <t>Electronic Components Industry Association (ECIA)</t>
  </si>
  <si>
    <t>Materials Information Society</t>
  </si>
  <si>
    <t>Global Science and Technology Forum</t>
  </si>
  <si>
    <t>University of Novi Sad, Faculty of Technology</t>
  </si>
  <si>
    <t>Czech Technical University in Prague</t>
  </si>
  <si>
    <t>CESNET, z. s. p. o.</t>
  </si>
  <si>
    <t>Hermes Science Publications</t>
  </si>
  <si>
    <t>Computer Games, Multimedia and Allied Technology (CGAT)</t>
  </si>
  <si>
    <t>Zhejiang Univ Press</t>
  </si>
  <si>
    <t>Czech Society of Chemical Engineering</t>
  </si>
  <si>
    <t>CIbSE 2010 - Actas - 13th Conferencia Iberoamericana en Software Engineering</t>
  </si>
  <si>
    <t>Ibero-American Conference on Software Engineering</t>
  </si>
  <si>
    <t>CIE 2014 - 44th International Conference on Computers and Industrial Engineering and IMSS 2014 - 9th International Symposium on Intelligent Manufacturing and Service Systems, Joint International Symposium on The Social Impacts of Developments in Inform</t>
  </si>
  <si>
    <t>Croatian Association of Production Engineering</t>
  </si>
  <si>
    <t>Association for Computer-Aided Architectural Design Research</t>
  </si>
  <si>
    <t>Thomas Telford Publishing, Thomas Telford Ltd,</t>
  </si>
  <si>
    <t>The RICS</t>
  </si>
  <si>
    <t>Collection of Technical Papers - AIAA 3rd Unmanned-Unlimited Technical Conference, Workshop, and Exhibit</t>
  </si>
  <si>
    <t>American Inst. Aeronautics and Astronautics Inc.</t>
  </si>
  <si>
    <t>Sunrise Publishing Limited</t>
  </si>
  <si>
    <t>UTSePress</t>
  </si>
  <si>
    <t>Cranfield University Press</t>
  </si>
  <si>
    <t>University of Reading</t>
  </si>
  <si>
    <t>IC2E International Centre for Computational Engineering</t>
  </si>
  <si>
    <t>LOT</t>
  </si>
  <si>
    <t>Centre for Infrastructure Engineering and Safety</t>
  </si>
  <si>
    <t>Lawrence Erlbaum Associates Inc.</t>
  </si>
  <si>
    <t>Esse</t>
  </si>
  <si>
    <t>CONCREEP 2015: Mechanics and Physics of Creep, Shrinkage, and Durability of Concrete and Concrete Structures - Proceedings of the 10th International Conference on Mechanics and Physics of Creep, Shrinkage, and Durability of Concrete and Concrete Structu</t>
  </si>
  <si>
    <t>Johannes Kepler Universitat Linz</t>
  </si>
  <si>
    <t>MAS-CompSci</t>
  </si>
  <si>
    <t>Slovak Artificial Intelligence Society</t>
  </si>
  <si>
    <t>Czech University of Life Sciences Prague</t>
  </si>
  <si>
    <t>euspen</t>
  </si>
  <si>
    <t>Horizon House Publishing Ltd.</t>
  </si>
  <si>
    <t>The European Social Simulation Association (ESSA)</t>
  </si>
  <si>
    <t>Institute for Mathematical Research (INSPEM)</t>
  </si>
  <si>
    <t>Xi'an Jiaotong University Press</t>
  </si>
  <si>
    <t>The Wire Association International Inc.</t>
  </si>
  <si>
    <t>TANGER Ltd.</t>
  </si>
  <si>
    <t>Computer Society of India</t>
  </si>
  <si>
    <t>Royal Institution of Chartered Surveyors (RICS)</t>
  </si>
  <si>
    <t>American Association for Artificial Intelligence</t>
  </si>
  <si>
    <t>Conference en Recherche d'Infomations et Applications (CORIA)</t>
  </si>
  <si>
    <t>Association Francophone de Recherche d'Information et Applications (ARIA)</t>
  </si>
  <si>
    <t>International Business Information Management Association, IBIMA</t>
  </si>
  <si>
    <t>CRIOCM 2010 - International Symposium on Advancement of Construction Management and Real Estate Towards Sustainable Development of International Metropolis</t>
  </si>
  <si>
    <t>Chinese Research Institute of Construction Management</t>
  </si>
  <si>
    <t>Leuven University Press</t>
  </si>
  <si>
    <t>Institute of Information Science, Maribor</t>
  </si>
  <si>
    <t>Aalborg University Library</t>
  </si>
  <si>
    <t>Council on Tall Buildings and Urban Habitat, CTBUH</t>
  </si>
  <si>
    <t>Frontiers of Design and Manufacturing</t>
  </si>
  <si>
    <t>Institute of Modern Physics</t>
  </si>
  <si>
    <t>Datenbanksysteme in Business, Technologie und Web, BTW 2007 - 12th Fachtagung des GI-Fachbereichs Datenbanken und Informationssysteme (DBIS), Proceedings</t>
  </si>
  <si>
    <t>Datenbanksysteme in Business, Technologie und Web, BTW 2009 - 13th Fachtagung des GI-Fachbereichs Datenbanken und Informationssysteme (DBIS), Proceedings</t>
  </si>
  <si>
    <t>DDI 2008 - Aktuelle Forschungsergebnisse, 5. Workshop der GI-Fachgruppe Didaktik der Informatik</t>
  </si>
  <si>
    <t>DDI 2010 - Moglichkeiten Empirischer Forschungsmethoden und Perspektiven der Fachdidaktik, 6. Workshop der GI-Fachgruppe Didaktik der Informatik</t>
  </si>
  <si>
    <t>Association for Modelling and Simulation in Enterprise, AMSE</t>
  </si>
  <si>
    <t>International Engineering Consortium</t>
  </si>
  <si>
    <t>EE Times Group</t>
  </si>
  <si>
    <t>UBM Electronics</t>
  </si>
  <si>
    <t>Design Science Research in Information Systems and Technology</t>
  </si>
  <si>
    <t>Digital Forensic Research Workshop</t>
  </si>
  <si>
    <t>TuTech Verlag</t>
  </si>
  <si>
    <t>DGMK</t>
  </si>
  <si>
    <t>The Japan Society of Applied Physics</t>
  </si>
  <si>
    <t>Central Library, Indian Institute of Technology Madras</t>
  </si>
  <si>
    <t>Elpub</t>
  </si>
  <si>
    <t>Tbilisi State University</t>
  </si>
  <si>
    <t>Association Francaise pour la Programmation par Contraintes (AFPC)</t>
  </si>
  <si>
    <t>Masaryk University</t>
  </si>
  <si>
    <t>UHAMKA PRESS</t>
  </si>
  <si>
    <t>Faculty of Educational Studies</t>
  </si>
  <si>
    <t>National Institute of Education, Nanyang Technological University</t>
  </si>
  <si>
    <t>Europia Productions</t>
  </si>
  <si>
    <t>Institute of Theoretical and Applied Mechanics</t>
  </si>
  <si>
    <t>European Association for Machine Translation</t>
  </si>
  <si>
    <t>National Taiwan University</t>
  </si>
  <si>
    <t>University of Jyvaskyla</t>
  </si>
  <si>
    <t>Vienna University of Technology</t>
  </si>
  <si>
    <t>ECCOMAS</t>
  </si>
  <si>
    <t>Universiteit Twente</t>
  </si>
  <si>
    <t>Universita degli Studi di Padova</t>
  </si>
  <si>
    <t>Silesian University of Technology</t>
  </si>
  <si>
    <t>Brazilian Society of Mechanical Sciences and Engineering</t>
  </si>
  <si>
    <t>EDANA - European Disposables And Nonwovens Association</t>
  </si>
  <si>
    <t>International Educational Data Mining Society</t>
  </si>
  <si>
    <t>Loughborough University</t>
  </si>
  <si>
    <t>ENEA</t>
  </si>
  <si>
    <t>European Group of Intelligent Computing in Engineering</t>
  </si>
  <si>
    <t>London Metropolitan University</t>
  </si>
  <si>
    <t>Electric Utilities Environmental Conference</t>
  </si>
  <si>
    <t>Electrical Manufacturing and Coil Winding Association</t>
  </si>
  <si>
    <t>VDE-Verlag</t>
  </si>
  <si>
    <t>Vieweg and Teubner Verlag</t>
  </si>
  <si>
    <t>CNES</t>
  </si>
  <si>
    <t>Shanghai Scientific and Technical Publishers</t>
  </si>
  <si>
    <t>Global Powertrain Congress</t>
  </si>
  <si>
    <t>University of Patras, Laboratory of Technology and Strength of Materials</t>
  </si>
  <si>
    <t>Springer Science+Business Media B.V.</t>
  </si>
  <si>
    <t>Engineering Education</t>
  </si>
  <si>
    <t>Rezeknes Augstskola</t>
  </si>
  <si>
    <t>University of Karlsruhe</t>
  </si>
  <si>
    <t>Linkoping University Electronic Press</t>
  </si>
  <si>
    <t>European Physical Society Accelerator Group (EPS-AG)</t>
  </si>
  <si>
    <t>European Power Electronics and Adjustable Speed Drives Association, EPE</t>
  </si>
  <si>
    <t>EPEC 2010 - IEEE Electrical Power and Energy Conference: Sustainable Energy for an Intelligent Grid</t>
  </si>
  <si>
    <t>ESA European Space Agency Publications Division</t>
  </si>
  <si>
    <t>d-side publication</t>
  </si>
  <si>
    <t>i6doc.com publication</t>
  </si>
  <si>
    <t>Machine Failure Prevention Technology Society (MFPT)</t>
  </si>
  <si>
    <t>Universitaet Innsbruck</t>
  </si>
  <si>
    <t>Cefracor</t>
  </si>
  <si>
    <t>The Information Institute</t>
  </si>
  <si>
    <t>European Automotive Congress</t>
  </si>
  <si>
    <t>GDMB-Informationsgesellschaft</t>
  </si>
  <si>
    <t>European Microwave Week 2011: Wave to the Future, EuMW 2011, Conference Proceedings - 41st European Microwave Conference, EuMC 2011</t>
  </si>
  <si>
    <t>European Microwave Week 2011: Wave to the Future, EuMW 2011, Conference Proceedings - 6th European Microwave Integrated Circuit Conference, EuMIC 2011</t>
  </si>
  <si>
    <t>European Microwave Week 2011: Wave to the Future, EuMW 2011, Conference Proceedings - 8th European Radar Conference, EuRAD 2011</t>
  </si>
  <si>
    <t>European Microwave Week 2012: Space for Microwaves, EuMW 2012, Conference Proceedings - 42nd European Microwave Conference, EuMC 2012</t>
  </si>
  <si>
    <t>European Microwave Week 2012: Space for Microwaves, EuMW 2012, Conference Proceedings - 7th European Microwave Integrated Circuits Conference, EuMIC 2012</t>
  </si>
  <si>
    <t>European Microwave Week 2012: Space for Microwaves, EuMW 2012, Conference Proceedings - 9th European Radar Conference, EuRAD 2012</t>
  </si>
  <si>
    <t>European Microwave Week 2014: Connecting the Future, EuMW 2014 - Conference Proceedings; EuMIC 2014: 9th European Microwave Integrated Circuits Conference</t>
  </si>
  <si>
    <t>European Microwave Week 2014: Connecting the Future, EuMW 2014 - Conference Proceedings; EuRAD 2014: 11th European Radar Conference</t>
  </si>
  <si>
    <t>European Wind Energy Association</t>
  </si>
  <si>
    <t>Riverside Architectural Press and TUNS Press</t>
  </si>
  <si>
    <t>Machinery Failure Prevention Technology (MFPT)</t>
  </si>
  <si>
    <t>Fall Technical Meeting of the Eastern States Section of the Combustion Institute 2007 Chemical and Physical Processes in Combustion</t>
  </si>
  <si>
    <t>The Minerals, Metals and Materials Society</t>
  </si>
  <si>
    <t>Swedish Concrete Association</t>
  </si>
  <si>
    <t>Fiber Society</t>
  </si>
  <si>
    <t>Springer Automotive Media</t>
  </si>
  <si>
    <t>OPAKFI</t>
  </si>
  <si>
    <t>Charles Sturt University</t>
  </si>
  <si>
    <t>Formal Power Series and Algebraic Combinatorics</t>
  </si>
  <si>
    <t>Formal Power Series and Algebraic Combinatorics/Series Formelles et Combinatoire Algebrique, FPSAC</t>
  </si>
  <si>
    <t>International Workshop on Multifrequency Behaviour of High Energy Cosmic Sources</t>
  </si>
  <si>
    <t>CSIR-National Metallurgical Laboratory</t>
  </si>
  <si>
    <t>Asian Center for Soil Improvement and Geosynthetics</t>
  </si>
  <si>
    <t>Institution of Engineering Designers</t>
  </si>
  <si>
    <t>TUDpress Verlag der Wissenschaften GmbH</t>
  </si>
  <si>
    <t>Aussino Academic Publishing House (AAPH)</t>
  </si>
  <si>
    <t>Department of Experimental Physics, Faculty of Mathematics, Physics and Informatics, Comenius University in Bratislava</t>
  </si>
  <si>
    <t>ARIA Technologies</t>
  </si>
  <si>
    <t>University of West Macedonia</t>
  </si>
  <si>
    <t>Conference on Harmonisation within Atmospheric Dispersion Modelling for Regulatory Purposes</t>
  </si>
  <si>
    <t>British Computer Society</t>
  </si>
  <si>
    <t>Verlag Deutsches Elektronen-Synchrotron</t>
  </si>
  <si>
    <t>Saint-Petersburg State Polytechnic University, Polytechnic University Publishing</t>
  </si>
  <si>
    <t>Centre of Excellence for Paricle Physics, CoEPP</t>
  </si>
  <si>
    <t>Huntsville Simulation Conference: Modeling and Simulation: Providing Answers to Real World Questions, HSC 2005</t>
  </si>
  <si>
    <t>Tohoku University Press</t>
  </si>
  <si>
    <t>CAI-Asia Center</t>
  </si>
  <si>
    <t>Int. Assoc. of Science and Technology for Development</t>
  </si>
  <si>
    <t>IATUL</t>
  </si>
  <si>
    <t>The Library of Cracow University of Technology</t>
  </si>
  <si>
    <t>International Building Performance Simulation Association</t>
  </si>
  <si>
    <t>Institut National Polytechnique de Lorraine</t>
  </si>
  <si>
    <t>ASME Press</t>
  </si>
  <si>
    <t>Association for the Advancement of Artificial Intelligence</t>
  </si>
  <si>
    <t>The Hong Kong Institute of Steel Construction</t>
  </si>
  <si>
    <t>ICCAS 2012 - 2012 IEEE International Conference on Circuits and Systems: Advanced Circuits and Systems for Sustainability</t>
  </si>
  <si>
    <t>ICCAS 2013 - 2013 IEEE International Conference on Circuits and Systems: Advanced Circuits and Systems for Sustainability</t>
  </si>
  <si>
    <t>Laboratorio Tecnografico C.R. Frascati</t>
  </si>
  <si>
    <t>ICEIS Press</t>
  </si>
  <si>
    <t>Escola Superior de Tecnologia do Instituto Politecnico de Setubal</t>
  </si>
  <si>
    <t>International Conference on Enterprise Information Systems</t>
  </si>
  <si>
    <t>Archives and Museum Informatics</t>
  </si>
  <si>
    <t>Professional Engineering Publishing Limited</t>
  </si>
  <si>
    <t>Academic House</t>
  </si>
  <si>
    <t>Tianjin Foreign Language Electronic and Audio-Video Publishing House</t>
  </si>
  <si>
    <t>Hiroshima University</t>
  </si>
  <si>
    <t>i-CREATe</t>
  </si>
  <si>
    <t>University of Nottingham</t>
  </si>
  <si>
    <t>Transfer Multisort Elektronik</t>
  </si>
  <si>
    <t>ICSSBE 2012 - Proceedings, 2012 International Conference on Statistics in Science, Business and Engineering: Empowering Decision Making with Statistical Sciences</t>
  </si>
  <si>
    <t>ICTON-MW 2008 - International Conference on Transparent Optical Networks Mediterranean Winter 2008 - Conference Proceedings</t>
  </si>
  <si>
    <t>ICTON-MW'07 - International Conference on Transparent Optical Networks Mediterranean Winter 2007 - Conference Proceedings</t>
  </si>
  <si>
    <t>IECBES 2014, Conference Proceedings - 2014 IEEE Conference on Biomedical Engineering and Sciences: Miri, Where Engineering in Medicine and Biology and Humanity Meet</t>
  </si>
  <si>
    <t>IEEE CPMT Symposium Japan 2014 - The Leading International Components, Packaging, and Manufacturing Technology Symposium: Packaging for Future Optoelectronics, RF/High-Speed Electronics and Bioelectronics, ICSJ 2014</t>
  </si>
  <si>
    <t>International Environmental Modelling and Software Society</t>
  </si>
  <si>
    <t>McGill University</t>
  </si>
  <si>
    <t>IMACS Multiconference on Computational Engineering in Systems Applications, CESA</t>
  </si>
  <si>
    <t>TSI Press</t>
  </si>
  <si>
    <t>Korza Matbaacilik</t>
  </si>
  <si>
    <t>Istituto Nazionale di Ricerca Metrologica</t>
  </si>
  <si>
    <t>International Institute of Informatics and Cybernetics, IIIC</t>
  </si>
  <si>
    <t>Gecamin</t>
  </si>
  <si>
    <t>Imperial College London</t>
  </si>
  <si>
    <t>International Centre for Innovation and Industrial Logistics (ICIIL)</t>
  </si>
  <si>
    <t>Indiana State University</t>
  </si>
  <si>
    <t>Kenilworth Media Inc.</t>
  </si>
  <si>
    <t>University of Zagreb, Faculty of Organization and Informatics Varazdin</t>
  </si>
  <si>
    <t>University of Leipzig</t>
  </si>
  <si>
    <t>Helsinki University of Technology 1</t>
  </si>
  <si>
    <t>Macmillan Publishers India</t>
  </si>
  <si>
    <t>Institute of Acoustics Proceedings</t>
  </si>
  <si>
    <t>Institute of Applied Mechanics</t>
  </si>
  <si>
    <t>The WFO (The World Foundry Organization Ltd)</t>
  </si>
  <si>
    <t>Institute of Transporation Engineers</t>
  </si>
  <si>
    <t>Institution of Mechanical Engineers</t>
  </si>
  <si>
    <t>Chandos Publishing</t>
  </si>
  <si>
    <t>Faculty of Science and Technology</t>
  </si>
  <si>
    <t>Australian Scholarly Publishing Pvt Ltd</t>
  </si>
  <si>
    <t>Association for Computer Aided Design in Architecture</t>
  </si>
  <si>
    <t>International Computer Music Association</t>
  </si>
  <si>
    <t>Nuclear Society of Slovenia</t>
  </si>
  <si>
    <t>ISRST</t>
  </si>
  <si>
    <t>International Society for Concrete Pavements, Inc.</t>
  </si>
  <si>
    <t>International Conference on Emerging Trends in Robotics and Communication Technologies, INTERACT-2010</t>
  </si>
  <si>
    <t>Duke University Press</t>
  </si>
  <si>
    <t>Asociacion International Congress of Mathematicians</t>
  </si>
  <si>
    <t>Korean Nuclear Society</t>
  </si>
  <si>
    <t>International Institute of Connector and Interconnection Technology, Inc.</t>
  </si>
  <si>
    <t>ASME Three Park</t>
  </si>
  <si>
    <t>European Powder Metallurgy Association (EPMA)</t>
  </si>
  <si>
    <t>PrimeNet Workshop 2011</t>
  </si>
  <si>
    <t>International Research Council on the Biomechanics of Impact</t>
  </si>
  <si>
    <t>International Society for Computers and Their Applications (ISCA)</t>
  </si>
  <si>
    <t>University of Illinois at Chicago</t>
  </si>
  <si>
    <t>Intelligent Computer Entertainment Laboratory, Ritsumeikan University</t>
  </si>
  <si>
    <t>Industrial Diamond Association of America</t>
  </si>
  <si>
    <t>International Atomic Energy Agency</t>
  </si>
  <si>
    <t>National Aviation University</t>
  </si>
  <si>
    <t>Universita di Roma</t>
  </si>
  <si>
    <t>Wydawnictwo Uczelniane Politechniki Szczecinskiej</t>
  </si>
  <si>
    <t>International Speech Communication Association</t>
  </si>
  <si>
    <t>Carl Hanser Verlag GmbH and Co. KG</t>
  </si>
  <si>
    <t>Institution of Electrical Engineers</t>
  </si>
  <si>
    <t>International Particle Accelerator Conference'10- OC/ACFA</t>
  </si>
  <si>
    <t>International Particle Accelerator Conference'11</t>
  </si>
  <si>
    <t>IPC - Association Connecting Electronics Industries</t>
  </si>
  <si>
    <t>Information Systems for Crisis Response and Management, ISCRAM</t>
  </si>
  <si>
    <t>Society for Imprecise Probability: Theories and Applications, SIPTA</t>
  </si>
  <si>
    <t>Queen Mary, University of London</t>
  </si>
  <si>
    <t>University of Victoria</t>
  </si>
  <si>
    <t>Drexel University</t>
  </si>
  <si>
    <t>Friedrich Vieweg and Sohn Verlag</t>
  </si>
  <si>
    <t>Springer Fachmedien</t>
  </si>
  <si>
    <t>Swiss Federal Institute for Forest</t>
  </si>
  <si>
    <t>Prirodovedecka Fakulta Univerzity Pavla Jozefa Safarika v Kosiciach</t>
  </si>
  <si>
    <t>Die Deutsche Bibliothek</t>
  </si>
  <si>
    <t>Society of Naval Architects of Japan</t>
  </si>
  <si>
    <t>Fuji Technology Press Ltd</t>
  </si>
  <si>
    <t>Harbin Engineering University</t>
  </si>
  <si>
    <t>Pontifica Universidad Catolica del Peru (PUCP)</t>
  </si>
  <si>
    <t>MCCME Publishing House</t>
  </si>
  <si>
    <t>Association francaise des professeurs de chant pour l'etude et la recherche</t>
  </si>
  <si>
    <t>Presses de l'Universite de Montreal</t>
  </si>
  <si>
    <t>VDE Conference Department</t>
  </si>
  <si>
    <t>Society for Machinery Failure Prevention Technology</t>
  </si>
  <si>
    <t>China National Knowledge Infrastructure</t>
  </si>
  <si>
    <t>Institut national de recherche en informatique et en automatique</t>
  </si>
  <si>
    <t>National Institute for Research in Computer Science and Control</t>
  </si>
  <si>
    <t>King Fahd University of Petroleum and Minerals</t>
  </si>
  <si>
    <t>Korea Research Institute of Standards and Science (KRISS)</t>
  </si>
  <si>
    <t>National Petrochemical and Refiners Association</t>
  </si>
  <si>
    <t>Universidade Federal do Rio de Janeiro</t>
  </si>
  <si>
    <t>MIG-INRA</t>
  </si>
  <si>
    <t>Science and Technology Facilities Council, STFC</t>
  </si>
  <si>
    <t>DFKI</t>
  </si>
  <si>
    <t>Nova Science Publishers, Inc.</t>
  </si>
  <si>
    <t>Leuven Symposium on Applied Mechanics in Engineering</t>
  </si>
  <si>
    <t>Martin-Luther-University Halle-Wittenberg</t>
  </si>
  <si>
    <t>University of Wurzburg</t>
  </si>
  <si>
    <t>Technische Universitat Darmstadt</t>
  </si>
  <si>
    <t>University of Kassel</t>
  </si>
  <si>
    <t>LWA 2011 - Technical Report of the Symposium Lernen, Wissen, Adaptivitat - Learning, Knowledge, and Adaptivity 2011 of the GI Special Interest Groups KDML, IR and WM</t>
  </si>
  <si>
    <t>Otto-von-Guericke-Universitat Magdeburg</t>
  </si>
  <si>
    <t>MAICS</t>
  </si>
  <si>
    <t>Institute of Civil Engineers, ICE</t>
  </si>
  <si>
    <t>Alfred University, Division of Human Studies</t>
  </si>
  <si>
    <t>Marine Technology Society and the Association of Diving Contractors International, Inc.</t>
  </si>
  <si>
    <t>Paperloop</t>
  </si>
  <si>
    <t>Materials Science and Technology Conference and Exhibition, MS and T'07 - Exploring Structure, Processing, and Applications Across Multiple Materials Systems</t>
  </si>
  <si>
    <t>Materials Science and Technology</t>
  </si>
  <si>
    <t>Materials Science and Technology Conference and Exhibition, MSandT'07 - Exploring Structure, Processing, and Applications Across Multiple Materials Systems</t>
  </si>
  <si>
    <t>MediaEval Benchmarking Initiative for Multimedia Evaluation - The Multi in Multimedia: Speech, Audio, Visual Content, Tags, Users, Context, MediaEval 2010 Working Notes Proceedings</t>
  </si>
  <si>
    <t>MediaEval Multimedia Benchmark</t>
  </si>
  <si>
    <t>Univ Fed de Rio Janeiro, Seropedica, Rio de Janeiro</t>
  </si>
  <si>
    <t>Croatian Society for Information and Communication Technology</t>
  </si>
  <si>
    <t>Universitatsverlag Gottingen</t>
  </si>
  <si>
    <t>Mobile Datenbanken: Heute, Morgen und in 20 Jahren - 8th Workshop des GI-Arbeitskreises Mobile Datenbanken und Informationssysteme, Im Rahmen der BTW 2005</t>
  </si>
  <si>
    <t>Modelling and Simulation Society</t>
  </si>
  <si>
    <t>The Belarusian State University</t>
  </si>
  <si>
    <t>PennWell Corporation</t>
  </si>
  <si>
    <t>NanoTech 2002 - At the Edge of Revolution</t>
  </si>
  <si>
    <t>Natural Arsenic in Groundwater: Occurrence, Remediation and Management - Proceedings of the Pre-Congress Workshop Natural Arsenic in Groundwater (BWO 06), 32nd International Geological Congress</t>
  </si>
  <si>
    <t>Secretariat International Conference on Network Applications, Protocols and Services 2008</t>
  </si>
  <si>
    <t>Los Alamos National Laboratory</t>
  </si>
  <si>
    <t>University of Ostrava</t>
  </si>
  <si>
    <t>University of Tunis</t>
  </si>
  <si>
    <t>New Zealand Computer Science Research Student Conference</t>
  </si>
  <si>
    <t>ISPE</t>
  </si>
  <si>
    <t>Torus Press</t>
  </si>
  <si>
    <t>International Tube Association</t>
  </si>
  <si>
    <t>Verlag der Deutschen Glastechnischen Gesellschaft</t>
  </si>
  <si>
    <t>University of Michigan</t>
  </si>
  <si>
    <t>Orient Academic Forum</t>
  </si>
  <si>
    <t>Agenzia Doppiavu</t>
  </si>
  <si>
    <t>Universite de Picardie Jules Verne</t>
  </si>
  <si>
    <t>The Korean Society for Language and Information (KSLI)</t>
  </si>
  <si>
    <t>City University of Hong Kong Press</t>
  </si>
  <si>
    <t>Institute for Digital Enhancement of Cognitive Development, Waseda University.</t>
  </si>
  <si>
    <t>Pearson Education Limited</t>
  </si>
  <si>
    <t>Queen's University of Belfast</t>
  </si>
  <si>
    <t>HEARO</t>
  </si>
  <si>
    <t>SUVISOFT OY LTD</t>
  </si>
  <si>
    <t>Springer Science+Business Media</t>
  </si>
  <si>
    <t>PersDL 2008</t>
  </si>
  <si>
    <t>PersDB 2010</t>
  </si>
  <si>
    <t>PersDL 2007</t>
  </si>
  <si>
    <t>perspeGKtive 2011 - Digital Proceedings: Workshop Innovative und Sichere Informationstechnologie fur das Gesundheitswesen von Morgen</t>
  </si>
  <si>
    <t>University of Magdeburg</t>
  </si>
  <si>
    <t>Institute of Photogrammetry and Cartography</t>
  </si>
  <si>
    <t>PCS - Tektronix, Inc.</t>
  </si>
  <si>
    <t>Passive and Low Energy Architecture</t>
  </si>
  <si>
    <t>University College Dublin</t>
  </si>
  <si>
    <t>Les Presses de l'Universite Laval</t>
  </si>
  <si>
    <t>Presses Universitaires de Louvain</t>
  </si>
  <si>
    <t>International Conference on Plastic Optical Fibers</t>
  </si>
  <si>
    <t>International University in Germany School of Information Technology</t>
  </si>
  <si>
    <t>Power Plant Pollutant Control MEGA Symposium, MEGA 2014</t>
  </si>
  <si>
    <t>Wageningen Academic Publishers</t>
  </si>
  <si>
    <t>Czech Centre for Science and Society</t>
  </si>
  <si>
    <t>European Conference on Precision Livestock Farming</t>
  </si>
  <si>
    <t>Research Institute for Symbolic Computation</t>
  </si>
  <si>
    <t>Collaborative Agents - Research and Development (CARE)</t>
  </si>
  <si>
    <t>Clean Air Society of Australia and New Zealand</t>
  </si>
  <si>
    <t>Proc. Int. Conf. on Computers in Education 2005: Towards Sustainable and Scalable Educational Innovations Informed by the Learning Sciences- Sharing Research Results and Exemplary Innovations, ICCE</t>
  </si>
  <si>
    <t>International Institute of Welding</t>
  </si>
  <si>
    <t>Proceeding - 2014 International Conference on Computer, Control, Informatics and Its Applications: New Challenges and Opportunities in Big Data, IC3INA 2014</t>
  </si>
  <si>
    <t>Proceeding - The 1st International Forum On Strategic Technology e-Vehicle Technology, IFOST 2006</t>
  </si>
  <si>
    <t>China Machine Press</t>
  </si>
  <si>
    <t>Proceeding of the 2013 Suzhou-Silicon Valley-Beijing International Innovation Conference: Technology Innovation and Diasporas in a Global Era, SIIC 2013</t>
  </si>
  <si>
    <t>Proceeding of the 3rd International Conference of Young Scientists Perspective Technologies and Methods in MEMS Design, MEMSTECH 2007</t>
  </si>
  <si>
    <t>Publishing House of Electronics Industy (PHEI)</t>
  </si>
  <si>
    <t>Asian Fluid Mechanics Committee</t>
  </si>
  <si>
    <t>Abrasive Engineering Society</t>
  </si>
  <si>
    <t>International Detonation Symposium</t>
  </si>
  <si>
    <t>Proceedings - 16th IEEE International Conference on High Performance Computing and Communications, HPCC 2014, 11th IEEE International Conference on Embedded Software and Systems, ICESS 2014 and 6th International Symposium on Cyberspace Safety and Securi</t>
  </si>
  <si>
    <t>Proceedings - 17th IEEE International Conference on Computational Science and Engineering, CSE 2014, Jointly with 13th IEEE International Conference on Ubiquitous Computing and Communications, IUCC 2014, 13th International Symposium on Pervasive Systems</t>
  </si>
  <si>
    <t>Proceedings - 19. Workshop Planen, Scheduling und Konfigurieren, Entwerfen, PuK 2005</t>
  </si>
  <si>
    <t>Koblenz</t>
  </si>
  <si>
    <t>Structural Stability Research Council</t>
  </si>
  <si>
    <t>Centre for European Research in Microfinance (CERMi)</t>
  </si>
  <si>
    <t>University of Science, Vietnam National University</t>
  </si>
  <si>
    <t>Proceedings - 2005 DRCN: 5th International Workshop on Design of Reliable Communication Networks - Reliable Networks for Reliable Services</t>
  </si>
  <si>
    <t>American Ceramic Society (ACerS)</t>
  </si>
  <si>
    <t>Croatian Chamber of Economy</t>
  </si>
  <si>
    <t>American Ceramic Society ACerS</t>
  </si>
  <si>
    <t>Proceedings - 2013 International Conference on Information Technology and Electrical Engineering: Intelligent and Green Technologies for Sustainable Development, ICITEE 2013</t>
  </si>
  <si>
    <t xml:space="preserve">Proceedings - 2014 IEEE International Conference on Internet of Things, iThings 2014, 2014 IEEE International Conference on Green Computing and Communications, GreenCom 2014 and 2014 IEEE International Conference on Cyber-Physical-Social Computing, CPS </t>
  </si>
  <si>
    <t xml:space="preserve">Proceedings - 2014 IEEE International Conference on Ubiquitous Intelligence and Computing, 2014 IEEE International Conference on Autonomic and Trusted Computing, 2014 IEEE International Conference on Scalable Computing and Communications and Associated </t>
  </si>
  <si>
    <t>Proceedings - 2014 International Conference on ICT for Smart Society: Smart System Platform Development for City and Society, GoeSmart 2014, ICISS 2014</t>
  </si>
  <si>
    <t>Societa Italiana di Fisica</t>
  </si>
  <si>
    <t>Proceedings - 2nd SBR Brazilian Robotics Symposium, 11th LARS Latin American Robotics Symposium and 6th Robocontrol Workshop on Applied Robotics and Automation, SBR LARS Robocontrol 2014 - Part of the Joint Conference on Robotics and Intelligent Systems</t>
  </si>
  <si>
    <t>National and Kapodistrian University of Athens</t>
  </si>
  <si>
    <t>Universidad Polytecnica de Catalunya</t>
  </si>
  <si>
    <t>Proceedings - 4th IEEE International Conference on Big Data and Cloud Computing, BDCloud 2014 with the 7th IEEE International Conference on Social Computing and Networking, SocialCom 2014 and the 4th International Conference on Sustainable Computing and</t>
  </si>
  <si>
    <t>Proceedings - 4th International Conference on Web Information Systems Engineering Workshops, WISEW 2003: 3rd International Workshop on Web and Wireless Geographical Information Systems, W2GIS 2003, 1st Web Services Quality Workshop, WQW 2003 and 1st Wor</t>
  </si>
  <si>
    <t>Proceedings - 9th Asia Pacific Conference on the Built Environment 2007: Sustainable HVAC and R Technology</t>
  </si>
  <si>
    <t>Proceedings - 9th International Heavy Haul Conference: Heavy Haul and Innovation Development</t>
  </si>
  <si>
    <t>International Heavy Haul Association</t>
  </si>
  <si>
    <t>Udayana University</t>
  </si>
  <si>
    <t>American Society for Precision Engineering, ASPE</t>
  </si>
  <si>
    <t>Arbeitsgemeineschaft Warmebehandlung u. Werkstofftechnik</t>
  </si>
  <si>
    <t>Gesellschaft fur Bergbau Metallurgie</t>
  </si>
  <si>
    <t>The Institute of Corrosion</t>
  </si>
  <si>
    <t>Proceedings - International Conference on ICT for Smart Society 2013: Think Ecosystem Act Convergence, ICISS 2013</t>
  </si>
  <si>
    <t>The Finnish Paper Engineers' Association</t>
  </si>
  <si>
    <t>Enformatika Society</t>
  </si>
  <si>
    <t>AGILE</t>
  </si>
  <si>
    <t>Proceedings 2006 - The 9th AGILE International Conference on Geographic Information Science: Shaping the Future of Geographic Information Science in Europe, AGILE 2006</t>
  </si>
  <si>
    <t>American Society for Mass Spectrometry</t>
  </si>
  <si>
    <t>Proceedings ABIS 2005 - 13. GI-Workshop Adapitivitat und Benutzermodellierung in Interaktiven Softwaresystemen</t>
  </si>
  <si>
    <t>ABIS: Adaptivitat und Benutzermodellierung in interaktiven Softwaresystemen</t>
  </si>
  <si>
    <t>Proceedings ABIS 2006 - 14. GI-Workshop Adapitivitat und Benutzermodellierung in Interaktiven Softwaresystemen</t>
  </si>
  <si>
    <t>Building and Housing Research Center (BHRC)</t>
  </si>
  <si>
    <t>Design and Emotion</t>
  </si>
  <si>
    <t>Hong Kong Polytechnic University Press</t>
  </si>
  <si>
    <t>Proceedings ICIL 2010 - International Conference on Industrial Logistics Logistics and Sustainability</t>
  </si>
  <si>
    <t>China Translation and Publishing Corporation</t>
  </si>
  <si>
    <t>Textiles and Nonwowens Development Center, TANDEC</t>
  </si>
  <si>
    <t>China Architecture and Building Press</t>
  </si>
  <si>
    <t>Proceedings of 2007 International Students and Young Scientists Workshop Photonics and Microsystems, STYSW 2007</t>
  </si>
  <si>
    <t>Proceedings of 2010 International Students and Young Scientists Workshop Photonics and Microsystems, STYSW 2010</t>
  </si>
  <si>
    <t>Social Science Research Network</t>
  </si>
  <si>
    <t>Secr.Office of JSPE Sci.Comm.on Intell.Mechatronics Fac.of Eng.,Kagawa Uni. 2217-20,Hayashi-cho</t>
  </si>
  <si>
    <t>Sense Publishers</t>
  </si>
  <si>
    <t>School of Computer and Information Science, Edith Cowan University</t>
  </si>
  <si>
    <t>Kasetsart University</t>
  </si>
  <si>
    <t>Network for Comfort and Energy Use in Buildings</t>
  </si>
  <si>
    <t>AAIP 2011 - 4th International Workshop on Approaches and Applications of Inductive Programming</t>
  </si>
  <si>
    <t>Aedificatio Publishers</t>
  </si>
  <si>
    <t>Associated Chronobiologia Researchers</t>
  </si>
  <si>
    <t>Poliprint - Politecnico di Milano</t>
  </si>
  <si>
    <t>University of Wolverhampton</t>
  </si>
  <si>
    <t>CUPUM</t>
  </si>
  <si>
    <t>Dynamic Publishers</t>
  </si>
  <si>
    <t>Hillside Europe e. V.</t>
  </si>
  <si>
    <t>IDEAlliance, Inc.</t>
  </si>
  <si>
    <t>Machine Vision Applications, MVA</t>
  </si>
  <si>
    <t>National Pingtung University of Science and Technology</t>
  </si>
  <si>
    <t>IBM India Research Lab</t>
  </si>
  <si>
    <t>Econstor</t>
  </si>
  <si>
    <t>Hong Kong Polytechnic University</t>
  </si>
  <si>
    <t>Aardvark Global Publishing</t>
  </si>
  <si>
    <t>Katholieke Universiteit Leuven</t>
  </si>
  <si>
    <t>KU Leuven</t>
  </si>
  <si>
    <t>International Society for Scientometrics and Informetrics</t>
  </si>
  <si>
    <t>University of Konstanz</t>
  </si>
  <si>
    <t>RIKEN BNL Research Center</t>
  </si>
  <si>
    <t>COPPE - Federal University of Rio de Janeiro</t>
  </si>
  <si>
    <t>University of Miskolc</t>
  </si>
  <si>
    <t>Proceedings of SEHPCCSE 2014: 2nd International Workshop on Software Engineering for High Performance Computing in Computational Science and Engineering - held in conjunction with SC 2014: The International Conference for High Performance Computing, Net</t>
  </si>
  <si>
    <t>Edith Cowan University</t>
  </si>
  <si>
    <t>Middle East Technical University</t>
  </si>
  <si>
    <t>AIP Publishing</t>
  </si>
  <si>
    <t>University of Science and Technology of China</t>
  </si>
  <si>
    <t>Metallurgical Industry Press</t>
  </si>
  <si>
    <t>International Society for Music Information Retrieval</t>
  </si>
  <si>
    <t>Hong Kong Society for Transportation Studies Limited</t>
  </si>
  <si>
    <t>Universitatsverlag der TU Berlin</t>
  </si>
  <si>
    <t>KEK High Energy Accelerator Research Organization</t>
  </si>
  <si>
    <t>HITEC e.V</t>
  </si>
  <si>
    <t>Proceedings of the 12th IMEKO TC1 Education and Training in Measurement and Instrumentation and TC7 Measurement Science Joint Symposium on Man, Science and Measurement 2008</t>
  </si>
  <si>
    <t>Esia/Listic</t>
  </si>
  <si>
    <t>Outotec Oyj</t>
  </si>
  <si>
    <t>Symposium on Operations Research, SOR</t>
  </si>
  <si>
    <t>Universitat Politecnica de Catalunya</t>
  </si>
  <si>
    <t>Center MATI, Tsiolkovsky Moscow Technical University</t>
  </si>
  <si>
    <t>FEUP Edicoes</t>
  </si>
  <si>
    <t>Proceedings of the 14th International Conference Mixed Design of Integrated Circuits and Systems, MIXDES 2007</t>
  </si>
  <si>
    <t>Marriott Library of the University of Utah</t>
  </si>
  <si>
    <t>IRCAM - Centre Pompidou</t>
  </si>
  <si>
    <t>AROB Secretariat</t>
  </si>
  <si>
    <t>Reading Matrix Inc.</t>
  </si>
  <si>
    <t>Institute for Logic, Language and Computation, ILLC</t>
  </si>
  <si>
    <t>Environmental Software and Modelling Group</t>
  </si>
  <si>
    <t>ALife Robotics Co</t>
  </si>
  <si>
    <t>Universiteit van Amsterdam</t>
  </si>
  <si>
    <t>Proceedings of the 16th International Academic MindTrek Conference 2012: Envisioning Future Media Environments, MindTrek 2012</t>
  </si>
  <si>
    <t>Proceedings of the 16th International Conference on Condensed Matter Nuclear Science, ICCF 2011: Celebrating the Centenary of the Discovery of the Atomic Nucleus</t>
  </si>
  <si>
    <t>Infinite Energy Press</t>
  </si>
  <si>
    <t>Millpress Science Publishers</t>
  </si>
  <si>
    <t>Association for Computational Linguistics and Chinese Language Processing</t>
  </si>
  <si>
    <t>The Japan Society for Heat Treatment (JSHT)</t>
  </si>
  <si>
    <t>Proceedings of the 17th International Academic MindTrek Conference: Making Sense of Converging Media, MindTrek 2013</t>
  </si>
  <si>
    <t>Valparaiso University</t>
  </si>
  <si>
    <t>17th World Congress of International Federation of Automatic Control COEX</t>
  </si>
  <si>
    <t>Universiti Putra Malaysia</t>
  </si>
  <si>
    <t>European Society for Composite Materials</t>
  </si>
  <si>
    <t>National Electronics and Computer Technology Center</t>
  </si>
  <si>
    <t>North East Wales Institute of Higher Education</t>
  </si>
  <si>
    <t>Lehigh University</t>
  </si>
  <si>
    <t>Workshop on Camera-Based Document Analysis and Recognition</t>
  </si>
  <si>
    <t>Instituto de Fisica Corpuscular (IFIC)</t>
  </si>
  <si>
    <t>Infonortics Ltd</t>
  </si>
  <si>
    <t>China Environmental Science Press</t>
  </si>
  <si>
    <t>Australian Robotics and Automation Association Inc.</t>
  </si>
  <si>
    <t>Birkbeck, University of London</t>
  </si>
  <si>
    <t>NASA Goddard Space Flight Center</t>
  </si>
  <si>
    <t>Proceedings of the 2013 8th International Conference on Malicious and Unwanted Software: The Americas, MALWARE 2013</t>
  </si>
  <si>
    <t>Proceedings of the 2014 4th International Conference on Wireless Mobile Communication and Healthcare - Transforming Healthcare Through Innovations in Mobile and Wireless Technologies, MOBIHEALTH 2014</t>
  </si>
  <si>
    <t>Proceedings of the 2014 Biomedical Sciences and Engineering Conference - 5th Annual ORNL Biomedical Sciences and Engineering Conference: Collaborative Biomedical Innovations - The Multi-Scale Brain: Spanning Molecular, Cellular, Systems, Cognitive, Beha</t>
  </si>
  <si>
    <t>Logos Verlag Berlin GmbH</t>
  </si>
  <si>
    <t>Indiana University-Purdue University Fort Wayne</t>
  </si>
  <si>
    <t>Institut fur Informationssysteme Arbeitsbereich</t>
  </si>
  <si>
    <t>AUAI Press</t>
  </si>
  <si>
    <t>Universitat Rostock</t>
  </si>
  <si>
    <t>Grup Matbaacilik</t>
  </si>
  <si>
    <t>Indiana University</t>
  </si>
  <si>
    <t>High Energy Accelerator Research Organization</t>
  </si>
  <si>
    <t>RMIT University</t>
  </si>
  <si>
    <t>TMMOB Maden Muhendisleri Odasi</t>
  </si>
  <si>
    <t>Morgan Kaufmann</t>
  </si>
  <si>
    <t>Faculty of Computer Science, Universitas Indonesia</t>
  </si>
  <si>
    <t>The AAAI Press</t>
  </si>
  <si>
    <t>SLAC eConf Proceedings Archive (eConf)</t>
  </si>
  <si>
    <t>BCS Learning and Development Ltd.</t>
  </si>
  <si>
    <t>Indian International Conference on Artificial Intelligence, IICAI</t>
  </si>
  <si>
    <t>Division de Ciencias de la Comunicacion y Diseno</t>
  </si>
  <si>
    <t>World Academic Union</t>
  </si>
  <si>
    <t>Penerbit Universiti</t>
  </si>
  <si>
    <t>University of Plymouth</t>
  </si>
  <si>
    <t>Proceedings of the 2nd International Workshop on Text-Based Information Retrieval, TIR 2005 - In Conjunction with the 28th Annual German Conference on Artificial Intelligence</t>
  </si>
  <si>
    <t>Universitat Koblenz-Landau</t>
  </si>
  <si>
    <t>Proceedings of the 30th Annual International Conference of the IEEE Engineering in Medicine and Biology Society, EMBS'08 - Personalized Healthcare through Technology</t>
  </si>
  <si>
    <t>Universidad Nacional Autonoma de Mexico</t>
  </si>
  <si>
    <t>Environment Canada</t>
  </si>
  <si>
    <t>Institute of High Energy Physics</t>
  </si>
  <si>
    <t>ICAMS Secretariat</t>
  </si>
  <si>
    <t>Proceedings of the 3rd International Conference on Future Energy Systems: Where Energy, Computing and Communication Meet, e-Energy 2012</t>
  </si>
  <si>
    <t>Glyndwr University</t>
  </si>
  <si>
    <t>Turkish Powder Metallurgy Association</t>
  </si>
  <si>
    <t>World Conference on Photovoltaic Energy Conference (WCPEC)</t>
  </si>
  <si>
    <t>The Gioi Publishers</t>
  </si>
  <si>
    <t>University of Nevada</t>
  </si>
  <si>
    <t>Aviation Industry Publishing House</t>
  </si>
  <si>
    <t>International Institute for FRP in Construction (IIFC)</t>
  </si>
  <si>
    <t>European Workshop on Probabilistic Graphical Models, PGM 2008</t>
  </si>
  <si>
    <t>Leather and Footwear Research Institute</t>
  </si>
  <si>
    <t>University of Skovde</t>
  </si>
  <si>
    <t>J.J. Strossmayer University of Osijek</t>
  </si>
  <si>
    <t>Global Risk Forum (GRF)</t>
  </si>
  <si>
    <t>Stanford University</t>
  </si>
  <si>
    <t>Institute of Physics</t>
  </si>
  <si>
    <t>Heron Press</t>
  </si>
  <si>
    <t>HIIT Publications</t>
  </si>
  <si>
    <t>ICFDM'2002 Program and Organising Committee</t>
  </si>
  <si>
    <t>SECAU - Security Research Centre</t>
  </si>
  <si>
    <t>German Society for Non-Destructive Testing eV, DGZfP e.V.</t>
  </si>
  <si>
    <t>DECSAI, University of Granada</t>
  </si>
  <si>
    <t>University of Tampere</t>
  </si>
  <si>
    <t>University of Warwick</t>
  </si>
  <si>
    <t>Proceedings of the 6th International Workshop on Wearable, Micro, and Nano Technologies for Personalized Health: Facing Future Healthcare Needs, pHealth 2009</t>
  </si>
  <si>
    <t>Proceedings of the 7th International Conference on Knowledge Capture: Knowledge Capture in the Age of Massive Web Data, K-CAP 2013</t>
  </si>
  <si>
    <t>Academic Conferences and Publishing International Limited</t>
  </si>
  <si>
    <t>Austrian Computer Society (OCG)</t>
  </si>
  <si>
    <t>Worcester Polytechnic Institute</t>
  </si>
  <si>
    <t>CI-Premier Pte Ltd</t>
  </si>
  <si>
    <t>Ioffe Institute</t>
  </si>
  <si>
    <t>Faculty of Industrial Design Engineering, Delft University of Technology</t>
  </si>
  <si>
    <t>McGill University, Schulich School of Music</t>
  </si>
  <si>
    <t>Tel Aviv University</t>
  </si>
  <si>
    <t>Indian Institute of Technology, Madras</t>
  </si>
  <si>
    <t>International Conference on Autonomous Agents and Multiagent Systems, AAMAS</t>
  </si>
  <si>
    <t>Duke University/Association for Intelligent Machinery</t>
  </si>
  <si>
    <t>Business Communications Co.</t>
  </si>
  <si>
    <t>Queensland University of Technology</t>
  </si>
  <si>
    <t>European and Mediterranean Conference on Information Systems</t>
  </si>
  <si>
    <t xml:space="preserve">Proceedings of the European Conference on Data Mining 2014 and International Conferences on Intelligent Systems and Agents 2014 and Theory and Practice in Modern Computing 2014 - Part of the Multi Conference on Computer Science and Information Systems, </t>
  </si>
  <si>
    <t>Plymouth University</t>
  </si>
  <si>
    <t>Battelle Press</t>
  </si>
  <si>
    <t>Wydawnictwo Politechniki Poznanskiej</t>
  </si>
  <si>
    <t>GCC</t>
  </si>
  <si>
    <t>ACTA Press</t>
  </si>
  <si>
    <t>South North Centre for Peacebuilding and Development</t>
  </si>
  <si>
    <t>Proceedings of the iEMSs 3rd Biennial Meeting, Summit on Environmental Modelling and Software</t>
  </si>
  <si>
    <t>Proceedings of the International Baikal Summer School on Physics of Elementary Particles and Astrophysics</t>
  </si>
  <si>
    <t>Joint Institute for Nuclear Research</t>
  </si>
  <si>
    <t>IST Press</t>
  </si>
  <si>
    <t>Proceedings of the International Conference on Advanced Nanomaterials and Emerging Engineering Technologies, ICANMEET 2013</t>
  </si>
  <si>
    <t>International Advanced Research Centre for Powder Metallurgy and New Materials (ARCI)</t>
  </si>
  <si>
    <t>University of Coimbra</t>
  </si>
  <si>
    <t>National Research Council Canada</t>
  </si>
  <si>
    <t>Editorial Board of China Rural Water and Hydropower</t>
  </si>
  <si>
    <t>Proceedings of the International Conference on Nanoscience, Engineering and Technology, ICONSET 2011</t>
  </si>
  <si>
    <t>Volvo Cars Body Components</t>
  </si>
  <si>
    <t>Proceedings of the International Conference on Recent Advances in Space Technology Services and Climate Change - 2010, RSTS and CC-2010</t>
  </si>
  <si>
    <t>Proceedings of the International Conference W3M Wetlands: Modelling, Monitoring, Management</t>
  </si>
  <si>
    <t>Proceedings of the International Conferences on ICT, Society and Human Beings 2014, Web Based Communities and Social Media 2014, e-Commerce 2014, Information Systems Post-Implementation and Change Management 2014 and e-Health 2014 - Part of the Multi Co</t>
  </si>
  <si>
    <t>Proceedings of the International Conferences on Interfaces and Human Computer Interaction 2014, Game and Entertainment Technologies 2014 and Computer Graphics, Visualization, Computer Vision and Image Processing 2014 - Part of the Multi Conference on Co</t>
  </si>
  <si>
    <t>Hindustan Book Agency</t>
  </si>
  <si>
    <t>Davos Branch of the Swiss Federal Research Institute WSL</t>
  </si>
  <si>
    <t>Universidad Complutense de Madrid</t>
  </si>
  <si>
    <t>RWTH Aachen</t>
  </si>
  <si>
    <t>Polskie Towarzystwo Informatyczne</t>
  </si>
  <si>
    <t>PrimeNet Workshop 2010</t>
  </si>
  <si>
    <t>Universitas (Unie van 1991) N.V</t>
  </si>
  <si>
    <t>Prague Stringology Club</t>
  </si>
  <si>
    <t>Council for the Central Laboratory of the Research Councils</t>
  </si>
  <si>
    <t>Institute of Computer Science, Harbin</t>
  </si>
  <si>
    <t>Publishing House STANKIN</t>
  </si>
  <si>
    <t>Society for Industrial and Applied Mathematics</t>
  </si>
  <si>
    <t>Proceedings of the Workshop Standard Model at the LHC</t>
  </si>
  <si>
    <t>Proceedings of WOLFHPC 2014: 4th International Workshop on Domain-Specific Languages and High-Level Frameworks for High Performance Computing - Held in Conjunction with SC 2014: The International Conference for High Performance Computing, Networking, St</t>
  </si>
  <si>
    <t>Proceedings on 2014 2nd International Conference on Emerging Technology Trends in Electronics, Communication and Networking, ET2ECN 2014</t>
  </si>
  <si>
    <t>2009 UNITECR 2011</t>
  </si>
  <si>
    <t>World Organization of Dredging Associations (WODA)</t>
  </si>
  <si>
    <t>Aviation Industry Press</t>
  </si>
  <si>
    <t>Techno-Info Comprehensive Solutions (TICS)</t>
  </si>
  <si>
    <t>Privacy, Security and Trust Conference 2005</t>
  </si>
  <si>
    <t>Finish Paper Engineer's Association</t>
  </si>
  <si>
    <t>Victoria University of Wellington</t>
  </si>
  <si>
    <t>Institute for Integrated and Intelligent Systems</t>
  </si>
  <si>
    <t>Tongji University Press</t>
  </si>
  <si>
    <t>Re-Conceptualizing Mental Illness: The View from Enactivist Philosophy and Cognitive Science - AISB Convention 2013</t>
  </si>
  <si>
    <t>Essener Informatik Beitrage</t>
  </si>
  <si>
    <t>Mendelova Univerzita v Brne</t>
  </si>
  <si>
    <t>Research in Engineering Education Network</t>
  </si>
  <si>
    <t>Housing Policy Research Program</t>
  </si>
  <si>
    <t>RILEM Publications SARL</t>
  </si>
  <si>
    <t>The Royal Institution of Naval Architects</t>
  </si>
  <si>
    <t>Royal Dutch Geographical Society</t>
  </si>
  <si>
    <t>University of Salzburg</t>
  </si>
  <si>
    <t>Rotational Molding TopCon 2010: Cost Effective Technology for Today</t>
  </si>
  <si>
    <t>Russian Academy of Sciences</t>
  </si>
  <si>
    <t>Norwegian University of Life Sciences</t>
  </si>
  <si>
    <t>Japan Society for Fuzzy Theory and Intelligent Informatics</t>
  </si>
  <si>
    <t>SCOReD 2006 - Proceedings of 2006 4th Student Conference on Research and Development Towards Enhancing Research Excellence in the Region</t>
  </si>
  <si>
    <t>Universita Politecnica delle Marche</t>
  </si>
  <si>
    <t>Universita degli Studi di Bari Dipartimento di Informatica</t>
  </si>
  <si>
    <t>ICAR-CNR, Palmero Branch</t>
  </si>
  <si>
    <t>Esculapio Editore</t>
  </si>
  <si>
    <t>Universita della Basilicata</t>
  </si>
  <si>
    <t>Smith and Nephew</t>
  </si>
  <si>
    <t>Second SPE International Symposium on Oilfield Corrosion 2005: Corrosion Control in Oil and Gas Production - Fluids, Chemicals, Materials and More, Proceedings</t>
  </si>
  <si>
    <t>Tafford Publishing</t>
  </si>
  <si>
    <t>International Academy, Research, and Industrial Association</t>
  </si>
  <si>
    <t>Middle East Technical University, Faculty of Engineering</t>
  </si>
  <si>
    <t>Uppsala University, Faculty of Science and Technology</t>
  </si>
  <si>
    <t>Universitat des Saarlandes</t>
  </si>
  <si>
    <t>International Society for Structural Health Monitoring of Intelligent Infrastructure, ISHMII</t>
  </si>
  <si>
    <t>Serbian-Hungarian Joint Symposium on Intelligent Systems</t>
  </si>
  <si>
    <t>University of Zurich</t>
  </si>
  <si>
    <t>Societe Francaise d'Energie Nucleaire - International Congress on Advances in Nuclear Power Plants - ICAPP 2007, The Nuclear Renaissance at Work</t>
  </si>
  <si>
    <t>Society for Mining, Metallurgy and Exploration - SME Annual Meeting and Exhibit 2008: New Horizons - New Challenges</t>
  </si>
  <si>
    <t xml:space="preserve">Society of Petroleum Engineers - 1st SPE African Health, Safety, Security and Environment and Social Responsibility Conference and Exhibition 2014 - Protecting People and the Environment: Getting it Right for the Development of the Oil and Gas Industry </t>
  </si>
  <si>
    <t>Society of Petroleum Engineers - 4th International Conference on Oilfield Corrosion 2008 - Extending Field Life: Mid-Life Crisis or Life Support</t>
  </si>
  <si>
    <t>Society of Petroleum Engineers - 9th International Conference on Health, Safety and Environment in Oil and Gas Exploration and Production 2008 - In Search of Sustainable Excellence</t>
  </si>
  <si>
    <t>Society of Petroleum Engineers - 9th International Conference on Oilfield Scale 2008 - Managing Scale Through the Field Lifetime</t>
  </si>
  <si>
    <t>Society of Petroleum Engineers - Asia Pacific Health, Safety, Security and Environment Conference and Exhibition 2007 - Responsible Performance: Are We Doing the Best We Can</t>
  </si>
  <si>
    <t>Society of Petroleum Engineers - IADC/SPE Asia Pacific Drilling Technology Conference 2008 - Drilling Technology to Access Future Energy Demand and Environmental Challenges</t>
  </si>
  <si>
    <t>Ljetopis Socijalnog Rada</t>
  </si>
  <si>
    <t>Society of Petroleum Engineers - International Thermal Operations and Heavy Oil Symposium, ITOHOS 2008 - Heavy Oil: Integrating the Pieces</t>
  </si>
  <si>
    <t>Society of Petroleum Engineers - North Africa Technical Conference and Exhibition 2008: Exploration and Production Challenges in North Africa</t>
  </si>
  <si>
    <t>Society of Petroleum Engineers - SPE Indian Oil and Gas Technical Conference and Exhibition 2008: The Changing Landscape Emerging Opportunities in the Indian E and P Industry</t>
  </si>
  <si>
    <t>Society of Tribologists and Lubrication Engineers</t>
  </si>
  <si>
    <t>AA Balkema</t>
  </si>
  <si>
    <t>SPE Asia Pacific Oil and Gas Conference and Exhibition 2008 - Gas Now: Delivering on Expectations</t>
  </si>
  <si>
    <t>SPE Automotive and Composites Divisions</t>
  </si>
  <si>
    <t>TUT Press</t>
  </si>
  <si>
    <t>China Welding</t>
  </si>
  <si>
    <t>International ProAm Workshop on Stellar Winds</t>
  </si>
  <si>
    <t>Empa-Akademie</t>
  </si>
  <si>
    <t>Structural Stability Research Council (SSRC)</t>
  </si>
  <si>
    <t>CRU Group</t>
  </si>
  <si>
    <t>AEE INTEC - Arbeitsgemeinschaft Erneuerbare Energie</t>
  </si>
  <si>
    <t>The Free University of Bozen Bolzano</t>
  </si>
  <si>
    <t>TU Clausthal</t>
  </si>
  <si>
    <t>TAPPI PLACE Conference 2007 - Polymers, Laminations, Adhesives, Coatings, Extrusions</t>
  </si>
  <si>
    <t>Information Engineering Research Institute</t>
  </si>
  <si>
    <t>Trans-European Research and Education Networking Association (TERENA)</t>
  </si>
  <si>
    <t>GTW - Association for Terminology and Knowledge Transfer</t>
  </si>
  <si>
    <t>Binary Information Press</t>
  </si>
  <si>
    <t>Theoretical Advanced Study Institute in Elementary Particle Physics: The Many Dimensions of String Theory, TASI 2005</t>
  </si>
  <si>
    <t>Theoretical Advanced Study Institute in Elementary Particle Physics</t>
  </si>
  <si>
    <t>Smith and Nephew - GIT</t>
  </si>
  <si>
    <t>Bauhaus-Universitat Weimar</t>
  </si>
  <si>
    <t>UBM Media (Singapore) Pte Ltd</t>
  </si>
  <si>
    <t>Biomaterials 2004 Congress Managers</t>
  </si>
  <si>
    <t>Transportation Research Board</t>
  </si>
  <si>
    <t>The University of Electro-Communications</t>
  </si>
  <si>
    <t>Korea Advanced Institute of Science and Technology</t>
  </si>
  <si>
    <t>Asszisztencia Szervezo Kft.</t>
  </si>
  <si>
    <t>Taylor and Francis/Balkema</t>
  </si>
  <si>
    <t>Turkish Acoustical Society</t>
  </si>
  <si>
    <t>Underground Storage of CO2 and Energy - Proceedings of the Sino-German Conference, and the Sino-German Workshop Eor and New Drilling Technology</t>
  </si>
  <si>
    <t>Forschungszentrum Julich GmbH Zentralbibliothek</t>
  </si>
  <si>
    <t>German Refractories Association (GRA)</t>
  </si>
  <si>
    <t>Institute of Solid State Chemistry and Mechanochemistry SB RAS</t>
  </si>
  <si>
    <t>Pontifica Universidad Catolica del Peru</t>
  </si>
  <si>
    <t>Escola Superior de Tecnologia e Gestao de Leiria</t>
  </si>
  <si>
    <t>Vulnerability, Uncertainty, and Risk: Quantification, Mitigation, and Management - Proceedings of the 2nd International Conference on Vulnerability and Risk Analysis and Management, ICVRAM 2014 and the 6th International Symposium on Uncertainty Modeling</t>
  </si>
  <si>
    <t>World Conference on Timber Engineering (WCTE)</t>
  </si>
  <si>
    <t>Universidade Federal de Minas Gerais</t>
  </si>
  <si>
    <t>Universidade Federal de Santa Catarina</t>
  </si>
  <si>
    <t>International Social Science Council,ISSC</t>
  </si>
  <si>
    <t>Interdisciplinary School of Scientific Computing-(ISSC)</t>
  </si>
  <si>
    <t>WOA 2005 - 6th AI*IA/TABOO Joint Workshop From Objects to Agents: Simulation and Formal Analysis of Complex Systems</t>
  </si>
  <si>
    <t>WOA 2007 - 8th AI*IA/TABOO Joint Workshop From Objects to Agents: Agents and Industry: Technological Applications of Software Agents</t>
  </si>
  <si>
    <t>Bangladesh Academy of Sciences (BAS)</t>
  </si>
  <si>
    <t>Workshop on Approaches and Applications of Inductive Programming, AAIP 2005</t>
  </si>
  <si>
    <t>Universitat Bremen</t>
  </si>
  <si>
    <t>Workshop Proceedings - 2nd International Workshop Nonlinear Photonics, NLP 2013</t>
  </si>
  <si>
    <t>WCTE 2012 Committee</t>
  </si>
  <si>
    <t>World Water Forum</t>
  </si>
  <si>
    <t>Universite Paris 1 Pantheon-Sorbonne</t>
  </si>
  <si>
    <t>Escuela Superior Politecnica de Chimborazo</t>
  </si>
  <si>
    <t>International Conference on Atmospheric Electricity, ICAE</t>
  </si>
  <si>
    <t>SIELA 2009</t>
  </si>
  <si>
    <t>SIELA 2007</t>
  </si>
  <si>
    <t>XXI IMEKO World Congress Measurement in Research and Industry</t>
  </si>
  <si>
    <t xml:space="preserve">FINAL COVERAGE </t>
  </si>
  <si>
    <t>Title</t>
  </si>
  <si>
    <t>eISSN</t>
  </si>
  <si>
    <t>Year</t>
  </si>
  <si>
    <t>Volume</t>
  </si>
  <si>
    <t>Issue</t>
  </si>
  <si>
    <t>Pagination</t>
  </si>
  <si>
    <t>Open Mechanical Engineering Journal</t>
  </si>
  <si>
    <t>1874155X</t>
  </si>
  <si>
    <t>N/A</t>
  </si>
  <si>
    <t xml:space="preserve">1 - 1108 </t>
  </si>
  <si>
    <t>Open Automation and Control Systems Journal</t>
  </si>
  <si>
    <t>18744443</t>
  </si>
  <si>
    <t>1 - 2292</t>
  </si>
  <si>
    <t>Journal of Fiber Bioengineering and Informatics</t>
  </si>
  <si>
    <t>19408676</t>
  </si>
  <si>
    <t>635 - 800</t>
  </si>
  <si>
    <t>Journal of Computational Information Systems</t>
  </si>
  <si>
    <t>15539105</t>
  </si>
  <si>
    <t>7633 - 8003</t>
  </si>
  <si>
    <t>Journal of Information and Computational Science</t>
  </si>
  <si>
    <t>15487741</t>
  </si>
  <si>
    <t>6653 - 7070</t>
  </si>
  <si>
    <t>Advance Journal of Food Science and Technology</t>
  </si>
  <si>
    <t>20424868</t>
  </si>
  <si>
    <t>20424876</t>
  </si>
  <si>
    <t>Maxwell Science Publications</t>
  </si>
  <si>
    <t>911 - 988</t>
  </si>
  <si>
    <t>Journal of Industrial Engineering and Management</t>
  </si>
  <si>
    <t>20138423</t>
  </si>
  <si>
    <t>20130953</t>
  </si>
  <si>
    <t>1303 - 1730</t>
  </si>
  <si>
    <t>Metallurgical and Mining Industry</t>
  </si>
  <si>
    <t>20760507</t>
  </si>
  <si>
    <t>20788312</t>
  </si>
  <si>
    <t>Ukrmetallurginform Scientific and Technical Agency Ltd</t>
  </si>
  <si>
    <t>6 - 411</t>
  </si>
  <si>
    <t>UPDATE AND PUBLISH THE COMPENDEX SOURCE LIST</t>
  </si>
  <si>
    <t>"Ei Compendex收录出版物的目录"的更新和发布</t>
  </si>
  <si>
    <t xml:space="preserve">The list is continuously maintained, and will be updated on-line as needed. </t>
  </si>
  <si>
    <t xml:space="preserve">"Ei Compendex收录出版物的目录"是一直动态更新的, 并且在有需要时机公布更新。 </t>
  </si>
  <si>
    <t>The update and on-line publication date shown at the top of each sheet in source list has no relation to "discontinued" dates, or last volume/issue/page being processed.</t>
  </si>
  <si>
    <t>每次更新日期和发布日期与具体出版物"停止收录"的时间无关，也与具体出版物最后收录的卷号/期号/页数无关。</t>
  </si>
  <si>
    <t>DISCONTINUED DEFINITION AND POLICY</t>
  </si>
  <si>
    <t>“停止收录”的定义和政策</t>
  </si>
  <si>
    <t>When a decision is made to discontinue a title's coverage in Ei, the title is discontinued as of the last volume/issue/page noted on the Discontinued list. This date has no relation to the update and on-line publication date of the source list.</t>
  </si>
  <si>
    <t>当具体出版物被"停止收录"，其最后收录的卷号/期号/页数注明在"停止收录出版物名单"中该出版物信息栏内。这个最后收录的卷号/期号/页数和"Ei Compendex收录出版物的目录"更新和发布时间无关。</t>
  </si>
  <si>
    <t>All decisions are final.</t>
  </si>
  <si>
    <t>所有的决定都是最终决定。</t>
  </si>
  <si>
    <t xml:space="preserve">Elsevier maintains this Ei Compendex Source List (“Source List”) as a courtesy to those who may choose to access the Source List.  </t>
  </si>
  <si>
    <t>By accessing or using the Source List, you agree to be bound by these terms and conditions (“Terms and Conditions”):</t>
  </si>
  <si>
    <t xml:space="preserve">1)        </t>
  </si>
  <si>
    <t>Elsevier reserves the right to change, modify, add, remove, hold, and/or discontinue coverage of any of the sources listed on the Source List, or to discontinue or delay publication of the Source List at its reasonable business discretion, at any time, and without prior notice.  Common business reasons are to, among other things, reflect title changes, cessations, title mergers or splits or as a result of quality concerns, including plagiarism or other journal or publisher malpractice.</t>
  </si>
  <si>
    <t>2)</t>
  </si>
  <si>
    <t>Elsevier makes no warranty whatsoever, including without limitation, that the Source List will be error-free in terms of accuracy, completeness, reliability, availability, suitability, quality, non-infringement, operation or result obtained from the use of the Source List.  </t>
  </si>
  <si>
    <t>These Terms and Conditions apply to the use of the sole official and only authorized version of the Source List which may only be found at http://www.elsevier.com/online-tools/engineering-village/contentdatabase-overview.</t>
  </si>
  <si>
    <t>Source Type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</si>
</sst>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2"/>
      <name val="Calibri"/>
      <family val="2"/>
      <scheme val="minor"/>
    </font>
    <font>
      <sz val="11"/>
      <color rgb="FF000000"/>
      <name val="Calibri"/>
      <family val="2"/>
      <scheme val="minor"/>
    </font>
    <font>
      <b/>
      <sz val="12"/>
      <color theme="1"/>
      <name val="Calibri"/>
      <family val="2"/>
      <scheme val="minor"/>
    </font>
    <font>
      <sz val="12"/>
      <color theme="1"/>
      <name val="Calibri"/>
      <family val="2"/>
      <scheme val="minor"/>
    </font>
    <font>
      <b/>
      <sz val="12"/>
      <color rgb="FFC00000"/>
      <name val="Calibri"/>
      <family val="2"/>
      <scheme val="minor"/>
    </font>
    <font>
      <b/>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s>
  <cellStyleXfs count="1">
    <xf numFmtId="0" fontId="0" fillId="0" borderId="0"/>
  </cellStyleXfs>
  <cellXfs count="27">
    <xf numFmtId="0" fontId="0" fillId="0" borderId="0" xfId="0"/>
    <xf numFmtId="0" fontId="2" fillId="0" borderId="0" xfId="0" applyFont="1" applyAlignment="1">
      <alignment horizontal="left" vertical="top" wrapText="1"/>
    </xf>
    <xf numFmtId="0" fontId="0" fillId="0" borderId="0" xfId="0" applyFont="1"/>
    <xf numFmtId="0" fontId="2" fillId="2" borderId="2" xfId="0" applyFont="1" applyFill="1" applyBorder="1" applyAlignment="1">
      <alignment horizontal="center" vertical="top" wrapText="1"/>
    </xf>
    <xf numFmtId="0" fontId="0"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left" vertical="top"/>
    </xf>
    <xf numFmtId="0" fontId="1" fillId="0" borderId="2" xfId="0" applyFont="1" applyBorder="1" applyAlignment="1">
      <alignment horizontal="left" vertical="top"/>
    </xf>
    <xf numFmtId="0" fontId="0" fillId="0" borderId="2" xfId="0" applyFont="1" applyBorder="1" applyAlignment="1">
      <alignment horizontal="left" vertical="top"/>
    </xf>
    <xf numFmtId="0" fontId="0" fillId="0" borderId="1" xfId="0" applyFont="1" applyBorder="1" applyAlignment="1">
      <alignment horizontal="left" vertical="top"/>
    </xf>
    <xf numFmtId="0" fontId="0" fillId="0" borderId="0" xfId="0" applyFont="1" applyAlignment="1">
      <alignment horizontal="center"/>
    </xf>
    <xf numFmtId="0" fontId="0" fillId="0" borderId="3" xfId="0" applyFont="1" applyBorder="1" applyAlignment="1">
      <alignment horizontal="left" vertical="top"/>
    </xf>
    <xf numFmtId="0" fontId="2" fillId="2" borderId="2" xfId="0" applyFont="1" applyFill="1" applyBorder="1" applyAlignment="1">
      <alignment horizontal="center" vertical="top"/>
    </xf>
    <xf numFmtId="49" fontId="4" fillId="2" borderId="2" xfId="0" applyNumberFormat="1" applyFont="1" applyFill="1" applyBorder="1" applyAlignment="1">
      <alignment horizontal="center" vertical="top"/>
    </xf>
    <xf numFmtId="0" fontId="5" fillId="0" borderId="2" xfId="0" applyFont="1" applyFill="1" applyBorder="1" applyAlignment="1">
      <alignment horizontal="left" vertical="top"/>
    </xf>
    <xf numFmtId="49" fontId="5" fillId="0" borderId="2" xfId="0" applyNumberFormat="1" applyFont="1" applyFill="1" applyBorder="1" applyAlignment="1">
      <alignment horizontal="left" vertical="top"/>
    </xf>
    <xf numFmtId="0" fontId="3" fillId="0" borderId="2" xfId="0" applyNumberFormat="1" applyFont="1" applyFill="1" applyBorder="1" applyAlignment="1">
      <alignment horizontal="left" vertical="top"/>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8" fillId="0" borderId="0" xfId="0" applyFont="1" applyAlignment="1">
      <alignment horizontal="left" vertical="center" wrapText="1"/>
    </xf>
    <xf numFmtId="0" fontId="9" fillId="0" borderId="2" xfId="0" applyFont="1" applyFill="1" applyBorder="1" applyAlignment="1">
      <alignment horizontal="left" vertical="top" wrapText="1"/>
    </xf>
    <xf numFmtId="0" fontId="3" fillId="0" borderId="2" xfId="0" applyFont="1" applyFill="1" applyBorder="1"/>
    <xf numFmtId="0" fontId="3" fillId="0" borderId="2" xfId="0" applyFont="1" applyBorder="1"/>
    <xf numFmtId="0" fontId="2" fillId="0" borderId="2" xfId="0" applyFont="1" applyFill="1" applyBorder="1" applyAlignment="1">
      <alignment horizontal="left" vertical="top" wrapText="1"/>
    </xf>
    <xf numFmtId="0" fontId="2" fillId="0" borderId="4" xfId="0" applyFont="1" applyFill="1" applyBorder="1" applyAlignment="1">
      <alignment horizontal="left" vertical="top" wrapText="1"/>
    </xf>
    <xf numFmtId="49" fontId="4" fillId="2" borderId="2" xfId="0" applyNumberFormat="1"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name="cpxjrnl20160104"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cpxjrnl20160104"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3.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abSelected="1" workbookViewId="0">
      <selection activeCell="B1" sqref="B1"/>
    </sheetView>
  </sheetViews>
  <sheetFormatPr defaultRowHeight="15" x14ac:dyDescent="0.25"/>
  <cols>
    <col min="2" max="2" width="128.42578125" customWidth="1"/>
  </cols>
  <sheetData>
    <row r="1" spans="1:2" ht="15.75" x14ac:dyDescent="0.25">
      <c r="A1" s="17"/>
      <c r="B1" s="17" t="s">
        <v>2440</v>
      </c>
    </row>
    <row r="2" spans="1:2" ht="15.75" x14ac:dyDescent="0.25">
      <c r="A2" s="17"/>
      <c r="B2" s="18"/>
    </row>
    <row r="3" spans="1:2" ht="15.75" x14ac:dyDescent="0.25">
      <c r="A3" s="17"/>
      <c r="B3" s="17" t="s">
        <v>2441</v>
      </c>
    </row>
    <row r="4" spans="1:2" ht="63" x14ac:dyDescent="0.25">
      <c r="A4" s="17" t="s">
        <v>2442</v>
      </c>
      <c r="B4" s="19" t="s">
        <v>2443</v>
      </c>
    </row>
    <row r="5" spans="1:2" ht="15.75" x14ac:dyDescent="0.25">
      <c r="A5" s="17"/>
      <c r="B5" s="19"/>
    </row>
    <row r="6" spans="1:2" ht="47.25" x14ac:dyDescent="0.25">
      <c r="A6" s="17" t="s">
        <v>2444</v>
      </c>
      <c r="B6" s="19" t="s">
        <v>2445</v>
      </c>
    </row>
    <row r="7" spans="1:2" ht="15.75" x14ac:dyDescent="0.25">
      <c r="A7" s="17"/>
      <c r="B7" s="18"/>
    </row>
    <row r="8" spans="1:2" ht="31.5" x14ac:dyDescent="0.25">
      <c r="A8" s="17"/>
      <c r="B8" s="20" t="s">
        <v>2446</v>
      </c>
    </row>
  </sheetData>
  <sheetProtection password="E5F6"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95"/>
  <sheetViews>
    <sheetView topLeftCell="A4875" workbookViewId="0">
      <selection activeCell="A2" sqref="A2"/>
    </sheetView>
  </sheetViews>
  <sheetFormatPr defaultRowHeight="15" x14ac:dyDescent="0.25"/>
  <cols>
    <col min="1" max="1" width="97.7109375" style="4" customWidth="1"/>
    <col min="2" max="2" width="21" style="4" customWidth="1"/>
    <col min="3" max="3" width="17.140625" style="4" customWidth="1"/>
    <col min="4" max="4" width="12.140625" style="4" customWidth="1"/>
    <col min="5" max="5" width="11.28515625" style="4" customWidth="1"/>
    <col min="6" max="7" width="100.7109375" style="4" customWidth="1"/>
    <col min="8" max="16384" width="9.140625" style="4"/>
  </cols>
  <sheetData>
    <row r="1" spans="1:6" ht="33" customHeight="1" x14ac:dyDescent="0.25">
      <c r="A1" s="24" t="s">
        <v>0</v>
      </c>
    </row>
    <row r="2" spans="1:6" ht="42.75" customHeight="1" x14ac:dyDescent="0.25">
      <c r="A2" s="3" t="s">
        <v>1</v>
      </c>
      <c r="B2" s="3" t="s">
        <v>2447</v>
      </c>
      <c r="C2" s="3" t="s">
        <v>2</v>
      </c>
      <c r="D2" s="3" t="s">
        <v>3</v>
      </c>
      <c r="E2" s="3" t="s">
        <v>4</v>
      </c>
      <c r="F2" s="3" t="s">
        <v>5</v>
      </c>
    </row>
    <row r="3" spans="1:6" x14ac:dyDescent="0.25">
      <c r="A3" s="4" t="str">
        <f>"3D Research"</f>
        <v>3D Research</v>
      </c>
      <c r="B3" s="4" t="s">
        <v>6</v>
      </c>
      <c r="C3" s="4" t="str">
        <f>"-"</f>
        <v>-</v>
      </c>
      <c r="D3" s="4" t="str">
        <f>"-"</f>
        <v>-</v>
      </c>
      <c r="E3" s="4" t="str">
        <f>"20926731"</f>
        <v>20926731</v>
      </c>
      <c r="F3" s="4" t="s">
        <v>7</v>
      </c>
    </row>
    <row r="4" spans="1:6" x14ac:dyDescent="0.25">
      <c r="A4" s="4" t="str">
        <f>"3DTV-Conference"</f>
        <v>3DTV-Conference</v>
      </c>
      <c r="B4" s="4" t="s">
        <v>8</v>
      </c>
      <c r="C4" s="4" t="str">
        <f t="shared" ref="C4:E35" si="0">"-"</f>
        <v>-</v>
      </c>
      <c r="D4" s="4" t="str">
        <f>"21612021"</f>
        <v>21612021</v>
      </c>
      <c r="E4" s="4" t="str">
        <f>"2161203X"</f>
        <v>2161203X</v>
      </c>
      <c r="F4" s="4" t="s">
        <v>9</v>
      </c>
    </row>
    <row r="5" spans="1:6" x14ac:dyDescent="0.25">
      <c r="A5" s="4" t="str">
        <f>"A and WM, Annual International Conference on Incineration and Thermal Treatment Technologies, IT3"</f>
        <v>A and WM, Annual International Conference on Incineration and Thermal Treatment Technologies, IT3</v>
      </c>
      <c r="B5" s="4" t="s">
        <v>8</v>
      </c>
      <c r="C5" s="4" t="str">
        <f t="shared" si="0"/>
        <v>-</v>
      </c>
      <c r="D5" s="4" t="str">
        <f t="shared" si="0"/>
        <v>-</v>
      </c>
      <c r="E5" s="4" t="str">
        <f t="shared" si="0"/>
        <v>-</v>
      </c>
      <c r="F5" s="4" t="s">
        <v>10</v>
      </c>
    </row>
    <row r="6" spans="1:6" x14ac:dyDescent="0.25">
      <c r="A6" s="4" t="str">
        <f>"AAAI Fall Symposium - Technical Report"</f>
        <v>AAAI Fall Symposium - Technical Report</v>
      </c>
      <c r="B6" s="4" t="s">
        <v>8</v>
      </c>
      <c r="C6" s="4" t="str">
        <f t="shared" si="0"/>
        <v>-</v>
      </c>
      <c r="D6" s="4" t="str">
        <f t="shared" si="0"/>
        <v>-</v>
      </c>
      <c r="E6" s="4" t="str">
        <f t="shared" si="0"/>
        <v>-</v>
      </c>
      <c r="F6" s="4" t="s">
        <v>11</v>
      </c>
    </row>
    <row r="7" spans="1:6" x14ac:dyDescent="0.25">
      <c r="A7" s="4" t="str">
        <f>"AAAI Spring Symposium - Technical Report"</f>
        <v>AAAI Spring Symposium - Technical Report</v>
      </c>
      <c r="B7" s="4" t="s">
        <v>8</v>
      </c>
      <c r="C7" s="4" t="str">
        <f t="shared" si="0"/>
        <v>-</v>
      </c>
      <c r="D7" s="4" t="str">
        <f t="shared" si="0"/>
        <v>-</v>
      </c>
      <c r="E7" s="4" t="str">
        <f t="shared" si="0"/>
        <v>-</v>
      </c>
      <c r="F7" s="4" t="s">
        <v>11</v>
      </c>
    </row>
    <row r="8" spans="1:6" x14ac:dyDescent="0.25">
      <c r="A8" s="4" t="str">
        <f>"AAAI Workshop - Technical Report"</f>
        <v>AAAI Workshop - Technical Report</v>
      </c>
      <c r="B8" s="4" t="s">
        <v>8</v>
      </c>
      <c r="C8" s="4" t="str">
        <f t="shared" si="0"/>
        <v>-</v>
      </c>
      <c r="D8" s="4" t="str">
        <f t="shared" si="0"/>
        <v>-</v>
      </c>
      <c r="E8" s="4" t="str">
        <f t="shared" si="0"/>
        <v>-</v>
      </c>
      <c r="F8" s="4" t="s">
        <v>11</v>
      </c>
    </row>
    <row r="9" spans="1:6" x14ac:dyDescent="0.25">
      <c r="A9" s="4" t="str">
        <f>"AAC: Augmentative and Alternative Communication"</f>
        <v>AAC: Augmentative and Alternative Communication</v>
      </c>
      <c r="B9" s="4" t="s">
        <v>6</v>
      </c>
      <c r="C9" s="4" t="str">
        <f t="shared" si="0"/>
        <v>-</v>
      </c>
      <c r="D9" s="4" t="str">
        <f>"07434618"</f>
        <v>07434618</v>
      </c>
      <c r="E9" s="4" t="str">
        <f>"14773848"</f>
        <v>14773848</v>
      </c>
      <c r="F9" s="4" t="s">
        <v>12</v>
      </c>
    </row>
    <row r="10" spans="1:6" x14ac:dyDescent="0.25">
      <c r="A10" s="4" t="str">
        <f>"AACE International Transactions"</f>
        <v>AACE International Transactions</v>
      </c>
      <c r="B10" s="4" t="s">
        <v>8</v>
      </c>
      <c r="C10" s="4" t="str">
        <f t="shared" si="0"/>
        <v>-</v>
      </c>
      <c r="D10" s="4" t="str">
        <f>"15287106"</f>
        <v>15287106</v>
      </c>
      <c r="E10" s="4" t="str">
        <f>"-"</f>
        <v>-</v>
      </c>
      <c r="F10" s="4" t="s">
        <v>13</v>
      </c>
    </row>
    <row r="11" spans="1:6" x14ac:dyDescent="0.25">
      <c r="A11" s="4" t="str">
        <f>"AAPG Bulletin"</f>
        <v>AAPG Bulletin</v>
      </c>
      <c r="B11" s="4" t="s">
        <v>6</v>
      </c>
      <c r="C11" s="4" t="str">
        <f t="shared" si="0"/>
        <v>-</v>
      </c>
      <c r="D11" s="4" t="str">
        <f>"01491423"</f>
        <v>01491423</v>
      </c>
      <c r="E11" s="4" t="str">
        <f>"-"</f>
        <v>-</v>
      </c>
      <c r="F11" s="4" t="s">
        <v>14</v>
      </c>
    </row>
    <row r="12" spans="1:6" x14ac:dyDescent="0.25">
      <c r="A12" s="4" t="str">
        <f>"ABB Review"</f>
        <v>ABB Review</v>
      </c>
      <c r="B12" s="4" t="s">
        <v>6</v>
      </c>
      <c r="C12" s="4" t="str">
        <f t="shared" si="0"/>
        <v>-</v>
      </c>
      <c r="D12" s="4" t="str">
        <f>"10133119"</f>
        <v>10133119</v>
      </c>
      <c r="E12" s="4" t="str">
        <f>"-"</f>
        <v>-</v>
      </c>
      <c r="F12" s="4" t="s">
        <v>15</v>
      </c>
    </row>
    <row r="13" spans="1:6" x14ac:dyDescent="0.25">
      <c r="A13" s="4" t="str">
        <f>"Abel Symposia"</f>
        <v>Abel Symposia</v>
      </c>
      <c r="B13" s="4" t="s">
        <v>8</v>
      </c>
      <c r="C13" s="4" t="str">
        <f t="shared" si="0"/>
        <v>-</v>
      </c>
      <c r="D13" s="4" t="str">
        <f>"21932808"</f>
        <v>21932808</v>
      </c>
      <c r="E13" s="4" t="str">
        <f>"21978549"</f>
        <v>21978549</v>
      </c>
      <c r="F13" s="4" t="s">
        <v>16</v>
      </c>
    </row>
    <row r="14" spans="1:6" x14ac:dyDescent="0.25">
      <c r="A14" s="4" t="str">
        <f>"ABU Technical Review"</f>
        <v>ABU Technical Review</v>
      </c>
      <c r="B14" s="4" t="s">
        <v>6</v>
      </c>
      <c r="C14" s="4" t="str">
        <f t="shared" si="0"/>
        <v>-</v>
      </c>
      <c r="D14" s="4" t="str">
        <f>"01266209"</f>
        <v>01266209</v>
      </c>
      <c r="E14" s="4" t="str">
        <f>"-"</f>
        <v>-</v>
      </c>
      <c r="F14" s="4" t="s">
        <v>17</v>
      </c>
    </row>
    <row r="15" spans="1:6" x14ac:dyDescent="0.25">
      <c r="A15" s="4" t="str">
        <f>"Academic Journal of Manufacturing Engineering"</f>
        <v>Academic Journal of Manufacturing Engineering</v>
      </c>
      <c r="B15" s="4" t="s">
        <v>6</v>
      </c>
      <c r="C15" s="4" t="str">
        <f t="shared" si="0"/>
        <v>-</v>
      </c>
      <c r="D15" s="4" t="str">
        <f>"15837904"</f>
        <v>15837904</v>
      </c>
      <c r="E15" s="4" t="str">
        <f>"-"</f>
        <v>-</v>
      </c>
      <c r="F15" s="4" t="s">
        <v>18</v>
      </c>
    </row>
    <row r="16" spans="1:6" x14ac:dyDescent="0.25">
      <c r="A16" s="4" t="str">
        <f>"Accident Analysis and Prevention"</f>
        <v>Accident Analysis and Prevention</v>
      </c>
      <c r="B16" s="4" t="s">
        <v>6</v>
      </c>
      <c r="C16" s="4" t="str">
        <f t="shared" si="0"/>
        <v>-</v>
      </c>
      <c r="D16" s="4" t="str">
        <f>"00014575"</f>
        <v>00014575</v>
      </c>
      <c r="E16" s="4" t="str">
        <f>"-"</f>
        <v>-</v>
      </c>
      <c r="F16" s="4" t="s">
        <v>19</v>
      </c>
    </row>
    <row r="17" spans="1:6" x14ac:dyDescent="0.25">
      <c r="A17" s="4" t="str">
        <f>"ACI Materials Journal"</f>
        <v>ACI Materials Journal</v>
      </c>
      <c r="B17" s="4" t="s">
        <v>6</v>
      </c>
      <c r="C17" s="4" t="str">
        <f t="shared" si="0"/>
        <v>-</v>
      </c>
      <c r="D17" s="4" t="str">
        <f>"0889325X"</f>
        <v>0889325X</v>
      </c>
      <c r="E17" s="4" t="str">
        <f>"-"</f>
        <v>-</v>
      </c>
      <c r="F17" s="4" t="s">
        <v>20</v>
      </c>
    </row>
    <row r="18" spans="1:6" x14ac:dyDescent="0.25">
      <c r="A18" s="4" t="str">
        <f>"ACI Structural Journal"</f>
        <v>ACI Structural Journal</v>
      </c>
      <c r="B18" s="4" t="s">
        <v>6</v>
      </c>
      <c r="C18" s="4" t="str">
        <f t="shared" si="0"/>
        <v>-</v>
      </c>
      <c r="D18" s="4" t="str">
        <f>"08893241"</f>
        <v>08893241</v>
      </c>
      <c r="E18" s="4" t="str">
        <f>"-"</f>
        <v>-</v>
      </c>
      <c r="F18" s="4" t="s">
        <v>20</v>
      </c>
    </row>
    <row r="19" spans="1:6" x14ac:dyDescent="0.25">
      <c r="A19" s="4" t="str">
        <f>"ACM Communications in Computer Algebra"</f>
        <v>ACM Communications in Computer Algebra</v>
      </c>
      <c r="B19" s="4" t="s">
        <v>6</v>
      </c>
      <c r="C19" s="4" t="str">
        <f t="shared" si="0"/>
        <v>-</v>
      </c>
      <c r="D19" s="4" t="str">
        <f>"19322232"</f>
        <v>19322232</v>
      </c>
      <c r="E19" s="4" t="str">
        <f>"19322240"</f>
        <v>19322240</v>
      </c>
      <c r="F19" s="4" t="s">
        <v>21</v>
      </c>
    </row>
    <row r="20" spans="1:6" x14ac:dyDescent="0.25">
      <c r="A20" s="4" t="str">
        <f>"ACM Computing Surveys"</f>
        <v>ACM Computing Surveys</v>
      </c>
      <c r="B20" s="4" t="s">
        <v>6</v>
      </c>
      <c r="C20" s="4" t="str">
        <f t="shared" si="0"/>
        <v>-</v>
      </c>
      <c r="D20" s="4" t="str">
        <f>"03600300"</f>
        <v>03600300</v>
      </c>
      <c r="E20" s="4" t="str">
        <f>"15577341"</f>
        <v>15577341</v>
      </c>
      <c r="F20" s="4" t="s">
        <v>21</v>
      </c>
    </row>
    <row r="21" spans="1:6" x14ac:dyDescent="0.25">
      <c r="A21" s="4" t="str">
        <f>"ACM Inroads"</f>
        <v>ACM Inroads</v>
      </c>
      <c r="B21" s="4" t="s">
        <v>22</v>
      </c>
      <c r="C21" s="4" t="str">
        <f t="shared" si="0"/>
        <v>-</v>
      </c>
      <c r="D21" s="4" t="str">
        <f>"21532184"</f>
        <v>21532184</v>
      </c>
      <c r="E21" s="4" t="str">
        <f>"21532192"</f>
        <v>21532192</v>
      </c>
      <c r="F21" s="4" t="s">
        <v>21</v>
      </c>
    </row>
    <row r="22" spans="1:6" x14ac:dyDescent="0.25">
      <c r="A22" s="4" t="str">
        <f>"ACM International Conference on Computer Graphics, Virtual Reality and Visualisation in Africa"</f>
        <v>ACM International Conference on Computer Graphics, Virtual Reality and Visualisation in Africa</v>
      </c>
      <c r="B22" s="4" t="s">
        <v>8</v>
      </c>
      <c r="C22" s="4" t="str">
        <f t="shared" si="0"/>
        <v>-</v>
      </c>
      <c r="D22" s="4" t="str">
        <f>"-"</f>
        <v>-</v>
      </c>
      <c r="E22" s="4" t="str">
        <f>"-"</f>
        <v>-</v>
      </c>
      <c r="F22" s="4" t="s">
        <v>21</v>
      </c>
    </row>
    <row r="23" spans="1:6" x14ac:dyDescent="0.25">
      <c r="A23" s="4" t="str">
        <f>"ACM International Conference Proceeding Series"</f>
        <v>ACM International Conference Proceeding Series</v>
      </c>
      <c r="B23" s="4" t="s">
        <v>8</v>
      </c>
      <c r="C23" s="4" t="str">
        <f t="shared" si="0"/>
        <v>-</v>
      </c>
      <c r="D23" s="4" t="str">
        <f>"-"</f>
        <v>-</v>
      </c>
      <c r="E23" s="4" t="str">
        <f>"-"</f>
        <v>-</v>
      </c>
      <c r="F23" s="4" t="s">
        <v>21</v>
      </c>
    </row>
    <row r="24" spans="1:6" x14ac:dyDescent="0.25">
      <c r="A24" s="4" t="str">
        <f>"ACM Journal on Emerging Technologies in Computing Systems"</f>
        <v>ACM Journal on Emerging Technologies in Computing Systems</v>
      </c>
      <c r="B24" s="4" t="s">
        <v>6</v>
      </c>
      <c r="C24" s="4" t="str">
        <f t="shared" si="0"/>
        <v>-</v>
      </c>
      <c r="D24" s="4" t="str">
        <f>"15504832"</f>
        <v>15504832</v>
      </c>
      <c r="E24" s="4" t="str">
        <f>"15504840"</f>
        <v>15504840</v>
      </c>
      <c r="F24" s="4" t="s">
        <v>21</v>
      </c>
    </row>
    <row r="25" spans="1:6" x14ac:dyDescent="0.25">
      <c r="A25" s="4" t="str">
        <f>"ACM SIGDOC Annual International Conference on Computer Documentation, Proceedings"</f>
        <v>ACM SIGDOC Annual International Conference on Computer Documentation, Proceedings</v>
      </c>
      <c r="B25" s="4" t="s">
        <v>8</v>
      </c>
      <c r="C25" s="4" t="str">
        <f t="shared" si="0"/>
        <v>-</v>
      </c>
      <c r="D25" s="4" t="str">
        <f>"-"</f>
        <v>-</v>
      </c>
      <c r="E25" s="4" t="str">
        <f>"-"</f>
        <v>-</v>
      </c>
      <c r="F25" s="4" t="s">
        <v>21</v>
      </c>
    </row>
    <row r="26" spans="1:6" x14ac:dyDescent="0.25">
      <c r="A26" s="4" t="str">
        <f>"ACM SIGPLAN Notices"</f>
        <v>ACM SIGPLAN Notices</v>
      </c>
      <c r="B26" s="4" t="s">
        <v>6</v>
      </c>
      <c r="C26" s="4" t="str">
        <f t="shared" si="0"/>
        <v>-</v>
      </c>
      <c r="D26" s="4" t="str">
        <f>"15232867"</f>
        <v>15232867</v>
      </c>
      <c r="E26" s="4" t="str">
        <f>"-"</f>
        <v>-</v>
      </c>
      <c r="F26" s="4" t="s">
        <v>21</v>
      </c>
    </row>
    <row r="27" spans="1:6" x14ac:dyDescent="0.25">
      <c r="A27" s="4" t="str">
        <f>"ACM SIGPLAN/SIGSOFT Workshop on Program Analysis for Software Tools and Engineering"</f>
        <v>ACM SIGPLAN/SIGSOFT Workshop on Program Analysis for Software Tools and Engineering</v>
      </c>
      <c r="B27" s="4" t="s">
        <v>8</v>
      </c>
      <c r="C27" s="4" t="str">
        <f t="shared" si="0"/>
        <v>-</v>
      </c>
      <c r="D27" s="4" t="str">
        <f>"-"</f>
        <v>-</v>
      </c>
      <c r="E27" s="4" t="str">
        <f>"-"</f>
        <v>-</v>
      </c>
      <c r="F27" s="4" t="s">
        <v>21</v>
      </c>
    </row>
    <row r="28" spans="1:6" x14ac:dyDescent="0.25">
      <c r="A28" s="4" t="str">
        <f>"ACM Symposium on Solid Modeling and Applications, SM"</f>
        <v>ACM Symposium on Solid Modeling and Applications, SM</v>
      </c>
      <c r="B28" s="4" t="s">
        <v>8</v>
      </c>
      <c r="C28" s="4" t="str">
        <f t="shared" si="0"/>
        <v>-</v>
      </c>
      <c r="D28" s="4" t="str">
        <f>"18117783"</f>
        <v>18117783</v>
      </c>
      <c r="E28" s="4" t="str">
        <f>"-"</f>
        <v>-</v>
      </c>
      <c r="F28" s="4" t="s">
        <v>23</v>
      </c>
    </row>
    <row r="29" spans="1:6" x14ac:dyDescent="0.25">
      <c r="A29" s="4" t="str">
        <f>"ACM Transactions on Accessible Computing"</f>
        <v>ACM Transactions on Accessible Computing</v>
      </c>
      <c r="B29" s="4" t="s">
        <v>6</v>
      </c>
      <c r="C29" s="4" t="str">
        <f t="shared" si="0"/>
        <v>-</v>
      </c>
      <c r="D29" s="4" t="str">
        <f>"19367228"</f>
        <v>19367228</v>
      </c>
      <c r="E29" s="4" t="str">
        <f>"-"</f>
        <v>-</v>
      </c>
      <c r="F29" s="4" t="s">
        <v>21</v>
      </c>
    </row>
    <row r="30" spans="1:6" x14ac:dyDescent="0.25">
      <c r="A30" s="4" t="str">
        <f>"ACM Transactions on Algorithms"</f>
        <v>ACM Transactions on Algorithms</v>
      </c>
      <c r="B30" s="4" t="s">
        <v>6</v>
      </c>
      <c r="C30" s="4" t="str">
        <f t="shared" si="0"/>
        <v>-</v>
      </c>
      <c r="D30" s="4" t="str">
        <f>"15496325"</f>
        <v>15496325</v>
      </c>
      <c r="E30" s="4" t="str">
        <f>"15496333"</f>
        <v>15496333</v>
      </c>
      <c r="F30" s="4" t="s">
        <v>21</v>
      </c>
    </row>
    <row r="31" spans="1:6" x14ac:dyDescent="0.25">
      <c r="A31" s="4" t="str">
        <f>"ACM Transactions on Applied Perception"</f>
        <v>ACM Transactions on Applied Perception</v>
      </c>
      <c r="B31" s="4" t="s">
        <v>6</v>
      </c>
      <c r="C31" s="4" t="str">
        <f t="shared" si="0"/>
        <v>-</v>
      </c>
      <c r="D31" s="4" t="str">
        <f>"15443558"</f>
        <v>15443558</v>
      </c>
      <c r="E31" s="4" t="str">
        <f>"15443965"</f>
        <v>15443965</v>
      </c>
      <c r="F31" s="4" t="s">
        <v>21</v>
      </c>
    </row>
    <row r="32" spans="1:6" x14ac:dyDescent="0.25">
      <c r="A32" s="4" t="str">
        <f>"ACM Transactions on Architecture and Code Optimization"</f>
        <v>ACM Transactions on Architecture and Code Optimization</v>
      </c>
      <c r="B32" s="4" t="s">
        <v>6</v>
      </c>
      <c r="C32" s="4" t="str">
        <f t="shared" si="0"/>
        <v>-</v>
      </c>
      <c r="D32" s="4" t="str">
        <f>"15443566"</f>
        <v>15443566</v>
      </c>
      <c r="E32" s="4" t="str">
        <f>"15443973"</f>
        <v>15443973</v>
      </c>
      <c r="F32" s="4" t="s">
        <v>21</v>
      </c>
    </row>
    <row r="33" spans="1:6" x14ac:dyDescent="0.25">
      <c r="A33" s="4" t="str">
        <f>"ACM Transactions on Asian Language Information Processing"</f>
        <v>ACM Transactions on Asian Language Information Processing</v>
      </c>
      <c r="B33" s="4" t="s">
        <v>6</v>
      </c>
      <c r="C33" s="4" t="str">
        <f t="shared" si="0"/>
        <v>-</v>
      </c>
      <c r="D33" s="4" t="str">
        <f>"15300226"</f>
        <v>15300226</v>
      </c>
      <c r="E33" s="4" t="str">
        <f>"15583430"</f>
        <v>15583430</v>
      </c>
      <c r="F33" s="4" t="s">
        <v>21</v>
      </c>
    </row>
    <row r="34" spans="1:6" x14ac:dyDescent="0.25">
      <c r="A34" s="4" t="str">
        <f>"ACM Transactions on Autonomous and Adaptive Systems"</f>
        <v>ACM Transactions on Autonomous and Adaptive Systems</v>
      </c>
      <c r="B34" s="4" t="s">
        <v>6</v>
      </c>
      <c r="C34" s="4" t="str">
        <f t="shared" si="0"/>
        <v>-</v>
      </c>
      <c r="D34" s="4" t="str">
        <f>"15564665"</f>
        <v>15564665</v>
      </c>
      <c r="E34" s="4" t="str">
        <f>"15564703"</f>
        <v>15564703</v>
      </c>
      <c r="F34" s="4" t="s">
        <v>21</v>
      </c>
    </row>
    <row r="35" spans="1:6" x14ac:dyDescent="0.25">
      <c r="A35" s="4" t="str">
        <f>"ACM Transactions on Computation Theory"</f>
        <v>ACM Transactions on Computation Theory</v>
      </c>
      <c r="B35" s="4" t="s">
        <v>6</v>
      </c>
      <c r="C35" s="4" t="str">
        <f t="shared" si="0"/>
        <v>-</v>
      </c>
      <c r="D35" s="4" t="str">
        <f>"19423454"</f>
        <v>19423454</v>
      </c>
      <c r="E35" s="4" t="str">
        <f>"19423462"</f>
        <v>19423462</v>
      </c>
      <c r="F35" s="4" t="s">
        <v>21</v>
      </c>
    </row>
    <row r="36" spans="1:6" x14ac:dyDescent="0.25">
      <c r="A36" s="4" t="str">
        <f>"ACM Transactions on Computational Logic"</f>
        <v>ACM Transactions on Computational Logic</v>
      </c>
      <c r="B36" s="4" t="s">
        <v>6</v>
      </c>
      <c r="C36" s="4" t="str">
        <f t="shared" ref="C36:C80" si="1">"-"</f>
        <v>-</v>
      </c>
      <c r="D36" s="4" t="str">
        <f>"15293785"</f>
        <v>15293785</v>
      </c>
      <c r="E36" s="4" t="str">
        <f>"1557945X"</f>
        <v>1557945X</v>
      </c>
      <c r="F36" s="4" t="s">
        <v>21</v>
      </c>
    </row>
    <row r="37" spans="1:6" x14ac:dyDescent="0.25">
      <c r="A37" s="4" t="str">
        <f>"ACM Transactions on Computer Systems"</f>
        <v>ACM Transactions on Computer Systems</v>
      </c>
      <c r="B37" s="4" t="s">
        <v>6</v>
      </c>
      <c r="C37" s="4" t="str">
        <f t="shared" si="1"/>
        <v>-</v>
      </c>
      <c r="D37" s="4" t="str">
        <f>"07342071"</f>
        <v>07342071</v>
      </c>
      <c r="E37" s="4" t="str">
        <f>"15577333"</f>
        <v>15577333</v>
      </c>
      <c r="F37" s="4" t="s">
        <v>21</v>
      </c>
    </row>
    <row r="38" spans="1:6" x14ac:dyDescent="0.25">
      <c r="A38" s="4" t="str">
        <f>"ACM Transactions on Computer-Human Interaction"</f>
        <v>ACM Transactions on Computer-Human Interaction</v>
      </c>
      <c r="B38" s="4" t="s">
        <v>6</v>
      </c>
      <c r="C38" s="4" t="str">
        <f t="shared" si="1"/>
        <v>-</v>
      </c>
      <c r="D38" s="4" t="str">
        <f>"10730516"</f>
        <v>10730516</v>
      </c>
      <c r="E38" s="4" t="str">
        <f>"15577325"</f>
        <v>15577325</v>
      </c>
      <c r="F38" s="4" t="s">
        <v>21</v>
      </c>
    </row>
    <row r="39" spans="1:6" x14ac:dyDescent="0.25">
      <c r="A39" s="4" t="str">
        <f>"ACM Transactions on Computinig Education"</f>
        <v>ACM Transactions on Computinig Education</v>
      </c>
      <c r="B39" s="4" t="s">
        <v>6</v>
      </c>
      <c r="C39" s="4" t="str">
        <f t="shared" si="1"/>
        <v>-</v>
      </c>
      <c r="D39" s="4" t="str">
        <f>"-"</f>
        <v>-</v>
      </c>
      <c r="E39" s="4" t="str">
        <f>"19466226 "</f>
        <v xml:space="preserve">19466226 </v>
      </c>
      <c r="F39" s="4" t="s">
        <v>21</v>
      </c>
    </row>
    <row r="40" spans="1:6" x14ac:dyDescent="0.25">
      <c r="A40" s="4" t="str">
        <f>"ACM Transactions on Database Systems"</f>
        <v>ACM Transactions on Database Systems</v>
      </c>
      <c r="B40" s="4" t="s">
        <v>6</v>
      </c>
      <c r="C40" s="4" t="str">
        <f t="shared" si="1"/>
        <v>-</v>
      </c>
      <c r="D40" s="4" t="str">
        <f>"03625915"</f>
        <v>03625915</v>
      </c>
      <c r="E40" s="4" t="str">
        <f>"15574644"</f>
        <v>15574644</v>
      </c>
      <c r="F40" s="4" t="s">
        <v>21</v>
      </c>
    </row>
    <row r="41" spans="1:6" x14ac:dyDescent="0.25">
      <c r="A41" s="4" t="str">
        <f>"ACM Transactions on Design Automation of Electronic Systems"</f>
        <v>ACM Transactions on Design Automation of Electronic Systems</v>
      </c>
      <c r="B41" s="4" t="s">
        <v>6</v>
      </c>
      <c r="C41" s="4" t="str">
        <f t="shared" si="1"/>
        <v>-</v>
      </c>
      <c r="D41" s="4" t="str">
        <f>"10844309"</f>
        <v>10844309</v>
      </c>
      <c r="E41" s="4" t="str">
        <f>"15577309"</f>
        <v>15577309</v>
      </c>
      <c r="F41" s="4" t="s">
        <v>21</v>
      </c>
    </row>
    <row r="42" spans="1:6" x14ac:dyDescent="0.25">
      <c r="A42" s="4" t="str">
        <f>"ACM Transactions on Economics and Computation"</f>
        <v>ACM Transactions on Economics and Computation</v>
      </c>
      <c r="B42" s="4" t="s">
        <v>6</v>
      </c>
      <c r="C42" s="4" t="str">
        <f t="shared" si="1"/>
        <v>-</v>
      </c>
      <c r="D42" s="4" t="str">
        <f>"21678375"</f>
        <v>21678375</v>
      </c>
      <c r="E42" s="4" t="str">
        <f>"21678383"</f>
        <v>21678383</v>
      </c>
      <c r="F42" s="4" t="s">
        <v>21</v>
      </c>
    </row>
    <row r="43" spans="1:6" x14ac:dyDescent="0.25">
      <c r="A43" s="4" t="str">
        <f>"ACM Transactions on Embedded Computing Systems"</f>
        <v>ACM Transactions on Embedded Computing Systems</v>
      </c>
      <c r="B43" s="4" t="s">
        <v>6</v>
      </c>
      <c r="C43" s="4" t="str">
        <f t="shared" si="1"/>
        <v>-</v>
      </c>
      <c r="D43" s="4" t="str">
        <f>"15399087"</f>
        <v>15399087</v>
      </c>
      <c r="E43" s="4" t="str">
        <f>"15583465"</f>
        <v>15583465</v>
      </c>
      <c r="F43" s="4" t="s">
        <v>21</v>
      </c>
    </row>
    <row r="44" spans="1:6" x14ac:dyDescent="0.25">
      <c r="A44" s="4" t="str">
        <f>"ACM Transactions on Graphics"</f>
        <v>ACM Transactions on Graphics</v>
      </c>
      <c r="B44" s="4" t="s">
        <v>6</v>
      </c>
      <c r="C44" s="4" t="str">
        <f t="shared" si="1"/>
        <v>-</v>
      </c>
      <c r="D44" s="4" t="str">
        <f>"07300301"</f>
        <v>07300301</v>
      </c>
      <c r="E44" s="4" t="str">
        <f>"15577368"</f>
        <v>15577368</v>
      </c>
      <c r="F44" s="4" t="s">
        <v>21</v>
      </c>
    </row>
    <row r="45" spans="1:6" x14ac:dyDescent="0.25">
      <c r="A45" s="4" t="str">
        <f>"ACM Transactions on Information and System Security"</f>
        <v>ACM Transactions on Information and System Security</v>
      </c>
      <c r="B45" s="4" t="s">
        <v>6</v>
      </c>
      <c r="C45" s="4" t="str">
        <f t="shared" si="1"/>
        <v>-</v>
      </c>
      <c r="D45" s="4" t="str">
        <f>"10949224"</f>
        <v>10949224</v>
      </c>
      <c r="E45" s="4" t="str">
        <f>"15577406"</f>
        <v>15577406</v>
      </c>
      <c r="F45" s="4" t="s">
        <v>21</v>
      </c>
    </row>
    <row r="46" spans="1:6" x14ac:dyDescent="0.25">
      <c r="A46" s="4" t="str">
        <f>"ACM Transactions on Information Systems"</f>
        <v>ACM Transactions on Information Systems</v>
      </c>
      <c r="B46" s="4" t="s">
        <v>6</v>
      </c>
      <c r="C46" s="4" t="str">
        <f t="shared" si="1"/>
        <v>-</v>
      </c>
      <c r="D46" s="4" t="str">
        <f>"10468188"</f>
        <v>10468188</v>
      </c>
      <c r="E46" s="4" t="str">
        <f>"15582868"</f>
        <v>15582868</v>
      </c>
      <c r="F46" s="4" t="s">
        <v>21</v>
      </c>
    </row>
    <row r="47" spans="1:6" x14ac:dyDescent="0.25">
      <c r="A47" s="4" t="str">
        <f>"ACM Transactions on Intelligent Systems and Technology"</f>
        <v>ACM Transactions on Intelligent Systems and Technology</v>
      </c>
      <c r="B47" s="4" t="s">
        <v>6</v>
      </c>
      <c r="C47" s="4" t="str">
        <f t="shared" si="1"/>
        <v>-</v>
      </c>
      <c r="D47" s="4" t="str">
        <f>"21576904"</f>
        <v>21576904</v>
      </c>
      <c r="E47" s="4" t="str">
        <f>"21576912"</f>
        <v>21576912</v>
      </c>
      <c r="F47" s="4" t="s">
        <v>21</v>
      </c>
    </row>
    <row r="48" spans="1:6" x14ac:dyDescent="0.25">
      <c r="A48" s="4" t="str">
        <f>"ACM Transactions on Internet Technology"</f>
        <v>ACM Transactions on Internet Technology</v>
      </c>
      <c r="B48" s="4" t="s">
        <v>6</v>
      </c>
      <c r="C48" s="4" t="str">
        <f t="shared" si="1"/>
        <v>-</v>
      </c>
      <c r="D48" s="4" t="str">
        <f>"15335399"</f>
        <v>15335399</v>
      </c>
      <c r="E48" s="4" t="str">
        <f>"15576051"</f>
        <v>15576051</v>
      </c>
      <c r="F48" s="4" t="s">
        <v>21</v>
      </c>
    </row>
    <row r="49" spans="1:6" x14ac:dyDescent="0.25">
      <c r="A49" s="4" t="str">
        <f>"ACM Transactions on Knowledge Discovery from Data"</f>
        <v>ACM Transactions on Knowledge Discovery from Data</v>
      </c>
      <c r="B49" s="4" t="s">
        <v>6</v>
      </c>
      <c r="C49" s="4" t="str">
        <f t="shared" si="1"/>
        <v>-</v>
      </c>
      <c r="D49" s="4" t="str">
        <f>"15564681"</f>
        <v>15564681</v>
      </c>
      <c r="E49" s="4" t="str">
        <f>"1556472X"</f>
        <v>1556472X</v>
      </c>
      <c r="F49" s="4" t="s">
        <v>21</v>
      </c>
    </row>
    <row r="50" spans="1:6" x14ac:dyDescent="0.25">
      <c r="A50" s="4" t="str">
        <f>"ACM Transactions on Management Information Systems"</f>
        <v>ACM Transactions on Management Information Systems</v>
      </c>
      <c r="B50" s="4" t="s">
        <v>6</v>
      </c>
      <c r="C50" s="4" t="str">
        <f t="shared" si="1"/>
        <v>-</v>
      </c>
      <c r="D50" s="4" t="str">
        <f>"2158656X"</f>
        <v>2158656X</v>
      </c>
      <c r="E50" s="4" t="str">
        <f>"21586578"</f>
        <v>21586578</v>
      </c>
      <c r="F50" s="4" t="s">
        <v>21</v>
      </c>
    </row>
    <row r="51" spans="1:6" x14ac:dyDescent="0.25">
      <c r="A51" s="4" t="str">
        <f>"ACM Transactions on Mathematical Software"</f>
        <v>ACM Transactions on Mathematical Software</v>
      </c>
      <c r="B51" s="4" t="s">
        <v>6</v>
      </c>
      <c r="C51" s="4" t="str">
        <f t="shared" si="1"/>
        <v>-</v>
      </c>
      <c r="D51" s="4" t="str">
        <f>"00983500"</f>
        <v>00983500</v>
      </c>
      <c r="E51" s="4" t="str">
        <f>"15577295"</f>
        <v>15577295</v>
      </c>
      <c r="F51" s="4" t="s">
        <v>21</v>
      </c>
    </row>
    <row r="52" spans="1:6" x14ac:dyDescent="0.25">
      <c r="A52" s="4" t="str">
        <f>"ACM Transactions on Modeling and Computer Simulation"</f>
        <v>ACM Transactions on Modeling and Computer Simulation</v>
      </c>
      <c r="B52" s="4" t="s">
        <v>6</v>
      </c>
      <c r="C52" s="4" t="str">
        <f t="shared" si="1"/>
        <v>-</v>
      </c>
      <c r="D52" s="4" t="str">
        <f>"10493301"</f>
        <v>10493301</v>
      </c>
      <c r="E52" s="4" t="str">
        <f>"15581195"</f>
        <v>15581195</v>
      </c>
      <c r="F52" s="4" t="s">
        <v>21</v>
      </c>
    </row>
    <row r="53" spans="1:6" x14ac:dyDescent="0.25">
      <c r="A53" s="4" t="str">
        <f>"ACM Transactions on Multimedia Computing, Communications and Applications"</f>
        <v>ACM Transactions on Multimedia Computing, Communications and Applications</v>
      </c>
      <c r="B53" s="4" t="s">
        <v>6</v>
      </c>
      <c r="C53" s="4" t="str">
        <f t="shared" si="1"/>
        <v>-</v>
      </c>
      <c r="D53" s="4" t="str">
        <f>"15516857"</f>
        <v>15516857</v>
      </c>
      <c r="E53" s="4" t="str">
        <f>"15516865"</f>
        <v>15516865</v>
      </c>
      <c r="F53" s="4" t="s">
        <v>21</v>
      </c>
    </row>
    <row r="54" spans="1:6" x14ac:dyDescent="0.25">
      <c r="A54" s="4" t="str">
        <f>"ACM Transactions on Programming Languages and Systems"</f>
        <v>ACM Transactions on Programming Languages and Systems</v>
      </c>
      <c r="B54" s="4" t="s">
        <v>6</v>
      </c>
      <c r="C54" s="4" t="str">
        <f t="shared" si="1"/>
        <v>-</v>
      </c>
      <c r="D54" s="4" t="str">
        <f>"01640925"</f>
        <v>01640925</v>
      </c>
      <c r="E54" s="4" t="str">
        <f>"15584593"</f>
        <v>15584593</v>
      </c>
      <c r="F54" s="4" t="s">
        <v>21</v>
      </c>
    </row>
    <row r="55" spans="1:6" x14ac:dyDescent="0.25">
      <c r="A55" s="4" t="str">
        <f>"ACM Transactions on Reconfigurable Technology and Systems"</f>
        <v>ACM Transactions on Reconfigurable Technology and Systems</v>
      </c>
      <c r="B55" s="4" t="s">
        <v>6</v>
      </c>
      <c r="C55" s="4" t="str">
        <f t="shared" si="1"/>
        <v>-</v>
      </c>
      <c r="D55" s="4" t="str">
        <f>"19367406"</f>
        <v>19367406</v>
      </c>
      <c r="E55" s="4" t="str">
        <f>"19367414"</f>
        <v>19367414</v>
      </c>
      <c r="F55" s="4" t="s">
        <v>21</v>
      </c>
    </row>
    <row r="56" spans="1:6" x14ac:dyDescent="0.25">
      <c r="A56" s="4" t="str">
        <f>"ACM Transactions on Sensor Networks"</f>
        <v>ACM Transactions on Sensor Networks</v>
      </c>
      <c r="B56" s="4" t="s">
        <v>6</v>
      </c>
      <c r="C56" s="4" t="str">
        <f t="shared" si="1"/>
        <v>-</v>
      </c>
      <c r="D56" s="4" t="str">
        <f>"15504859"</f>
        <v>15504859</v>
      </c>
      <c r="E56" s="4" t="str">
        <f>"15504867"</f>
        <v>15504867</v>
      </c>
      <c r="F56" s="4" t="s">
        <v>21</v>
      </c>
    </row>
    <row r="57" spans="1:6" x14ac:dyDescent="0.25">
      <c r="A57" s="4" t="str">
        <f>"ACM Transactions on Software Engineering and Methodology"</f>
        <v>ACM Transactions on Software Engineering and Methodology</v>
      </c>
      <c r="B57" s="4" t="s">
        <v>6</v>
      </c>
      <c r="C57" s="4" t="str">
        <f t="shared" si="1"/>
        <v>-</v>
      </c>
      <c r="D57" s="4" t="str">
        <f>"1049331X"</f>
        <v>1049331X</v>
      </c>
      <c r="E57" s="4" t="str">
        <f>"15577392"</f>
        <v>15577392</v>
      </c>
      <c r="F57" s="4" t="s">
        <v>21</v>
      </c>
    </row>
    <row r="58" spans="1:6" x14ac:dyDescent="0.25">
      <c r="A58" s="4" t="str">
        <f>"ACM Transactions on Storage"</f>
        <v>ACM Transactions on Storage</v>
      </c>
      <c r="B58" s="4" t="s">
        <v>6</v>
      </c>
      <c r="C58" s="4" t="str">
        <f t="shared" si="1"/>
        <v>-</v>
      </c>
      <c r="D58" s="4" t="str">
        <f>"15533077"</f>
        <v>15533077</v>
      </c>
      <c r="E58" s="4" t="str">
        <f>"15533093"</f>
        <v>15533093</v>
      </c>
      <c r="F58" s="4" t="s">
        <v>21</v>
      </c>
    </row>
    <row r="59" spans="1:6" x14ac:dyDescent="0.25">
      <c r="A59" s="4" t="str">
        <f>"ACM Transactions on the Web"</f>
        <v>ACM Transactions on the Web</v>
      </c>
      <c r="B59" s="4" t="s">
        <v>6</v>
      </c>
      <c r="C59" s="4" t="str">
        <f t="shared" si="1"/>
        <v>-</v>
      </c>
      <c r="D59" s="4" t="str">
        <f>"15591131"</f>
        <v>15591131</v>
      </c>
      <c r="E59" s="4" t="str">
        <f>"1559114X"</f>
        <v>1559114X</v>
      </c>
      <c r="F59" s="4" t="s">
        <v>21</v>
      </c>
    </row>
    <row r="60" spans="1:6" x14ac:dyDescent="0.25">
      <c r="A60" s="4" t="str">
        <f>"ACM/IEEE International Conference on Human-Robot Interaction"</f>
        <v>ACM/IEEE International Conference on Human-Robot Interaction</v>
      </c>
      <c r="B60" s="4" t="s">
        <v>8</v>
      </c>
      <c r="C60" s="4" t="str">
        <f t="shared" si="1"/>
        <v>-</v>
      </c>
      <c r="D60" s="4" t="str">
        <f>"-"</f>
        <v>-</v>
      </c>
      <c r="E60" s="4" t="str">
        <f>"21672148"</f>
        <v>21672148</v>
      </c>
      <c r="F60" s="4" t="s">
        <v>9</v>
      </c>
    </row>
    <row r="61" spans="1:6" x14ac:dyDescent="0.25">
      <c r="A61" s="4" t="str">
        <f>"ACM/SIGDA International Symposium on Field Programmable Gate Arrays - FPGA"</f>
        <v>ACM/SIGDA International Symposium on Field Programmable Gate Arrays - FPGA</v>
      </c>
      <c r="B61" s="4" t="s">
        <v>8</v>
      </c>
      <c r="C61" s="4" t="str">
        <f t="shared" si="1"/>
        <v>-</v>
      </c>
      <c r="D61" s="4" t="str">
        <f>"-"</f>
        <v>-</v>
      </c>
      <c r="E61" s="4" t="str">
        <f>"-"</f>
        <v>-</v>
      </c>
      <c r="F61" s="4" t="s">
        <v>21</v>
      </c>
    </row>
    <row r="62" spans="1:6" x14ac:dyDescent="0.25">
      <c r="A62" s="4" t="str">
        <f>"Acoustical Physics"</f>
        <v>Acoustical Physics</v>
      </c>
      <c r="B62" s="4" t="s">
        <v>6</v>
      </c>
      <c r="C62" s="4" t="str">
        <f t="shared" si="1"/>
        <v>-</v>
      </c>
      <c r="D62" s="4" t="str">
        <f>"10637710"</f>
        <v>10637710</v>
      </c>
      <c r="E62" s="4" t="str">
        <f>"-"</f>
        <v>-</v>
      </c>
      <c r="F62" s="4" t="s">
        <v>24</v>
      </c>
    </row>
    <row r="63" spans="1:6" x14ac:dyDescent="0.25">
      <c r="A63" s="4" t="str">
        <f>"Acoustical Science and Technology"</f>
        <v>Acoustical Science and Technology</v>
      </c>
      <c r="B63" s="4" t="s">
        <v>6</v>
      </c>
      <c r="C63" s="4" t="str">
        <f t="shared" si="1"/>
        <v>-</v>
      </c>
      <c r="D63" s="4" t="str">
        <f>"13463969"</f>
        <v>13463969</v>
      </c>
      <c r="E63" s="4" t="str">
        <f>"13475177"</f>
        <v>13475177</v>
      </c>
      <c r="F63" s="4" t="s">
        <v>25</v>
      </c>
    </row>
    <row r="64" spans="1:6" x14ac:dyDescent="0.25">
      <c r="A64" s="4" t="str">
        <f>"Acoustics Australia"</f>
        <v>Acoustics Australia</v>
      </c>
      <c r="B64" s="4" t="s">
        <v>6</v>
      </c>
      <c r="C64" s="4" t="str">
        <f t="shared" si="1"/>
        <v>-</v>
      </c>
      <c r="D64" s="4" t="str">
        <f>"08146039"</f>
        <v>08146039</v>
      </c>
      <c r="E64" s="4" t="str">
        <f>"-"</f>
        <v>-</v>
      </c>
      <c r="F64" s="4" t="s">
        <v>26</v>
      </c>
    </row>
    <row r="65" spans="1:6" x14ac:dyDescent="0.25">
      <c r="A65" s="4" t="str">
        <f>"Acoustics Bulletin"</f>
        <v>Acoustics Bulletin</v>
      </c>
      <c r="B65" s="4" t="s">
        <v>6</v>
      </c>
      <c r="C65" s="4" t="str">
        <f t="shared" si="1"/>
        <v>-</v>
      </c>
      <c r="D65" s="4" t="str">
        <f>"0308437X"</f>
        <v>0308437X</v>
      </c>
      <c r="E65" s="4" t="str">
        <f>"-"</f>
        <v>-</v>
      </c>
      <c r="F65" s="4" t="s">
        <v>27</v>
      </c>
    </row>
    <row r="66" spans="1:6" x14ac:dyDescent="0.25">
      <c r="A66" s="4" t="str">
        <f>"ACS Applied Materials and Interfaces"</f>
        <v>ACS Applied Materials and Interfaces</v>
      </c>
      <c r="B66" s="4" t="s">
        <v>6</v>
      </c>
      <c r="C66" s="4" t="str">
        <f t="shared" si="1"/>
        <v>-</v>
      </c>
      <c r="D66" s="4" t="str">
        <f>"19448244"</f>
        <v>19448244</v>
      </c>
      <c r="E66" s="4" t="str">
        <f>"19448252"</f>
        <v>19448252</v>
      </c>
      <c r="F66" s="4" t="s">
        <v>28</v>
      </c>
    </row>
    <row r="67" spans="1:6" x14ac:dyDescent="0.25">
      <c r="A67" s="4" t="str">
        <f>"ACS Catalysis"</f>
        <v>ACS Catalysis</v>
      </c>
      <c r="B67" s="4" t="s">
        <v>6</v>
      </c>
      <c r="C67" s="4" t="str">
        <f t="shared" si="1"/>
        <v>-</v>
      </c>
      <c r="D67" s="4" t="str">
        <f>"21555435"</f>
        <v>21555435</v>
      </c>
      <c r="E67" s="4" t="str">
        <f>"-"</f>
        <v>-</v>
      </c>
      <c r="F67" s="4" t="s">
        <v>28</v>
      </c>
    </row>
    <row r="68" spans="1:6" x14ac:dyDescent="0.25">
      <c r="A68" s="4" t="str">
        <f>"ACS Nano"</f>
        <v>ACS Nano</v>
      </c>
      <c r="B68" s="4" t="s">
        <v>6</v>
      </c>
      <c r="C68" s="4" t="str">
        <f t="shared" si="1"/>
        <v>-</v>
      </c>
      <c r="D68" s="4" t="str">
        <f>"19360851"</f>
        <v>19360851</v>
      </c>
      <c r="E68" s="4" t="str">
        <f>"1936086X"</f>
        <v>1936086X</v>
      </c>
      <c r="F68" s="4" t="s">
        <v>28</v>
      </c>
    </row>
    <row r="69" spans="1:6" x14ac:dyDescent="0.25">
      <c r="A69" s="4" t="str">
        <f>"ACS Photonics"</f>
        <v>ACS Photonics</v>
      </c>
      <c r="B69" s="4" t="s">
        <v>6</v>
      </c>
      <c r="C69" s="4" t="str">
        <f t="shared" si="1"/>
        <v>-</v>
      </c>
      <c r="D69" s="4" t="str">
        <f>"-"</f>
        <v>-</v>
      </c>
      <c r="E69" s="4" t="str">
        <f>"23304022 "</f>
        <v xml:space="preserve">23304022 </v>
      </c>
      <c r="F69" s="4" t="s">
        <v>28</v>
      </c>
    </row>
    <row r="70" spans="1:6" x14ac:dyDescent="0.25">
      <c r="A70" s="4" t="str">
        <f>"ACS Sustainable Chemistry and Engineering"</f>
        <v>ACS Sustainable Chemistry and Engineering</v>
      </c>
      <c r="B70" s="4" t="s">
        <v>6</v>
      </c>
      <c r="C70" s="4" t="str">
        <f t="shared" si="1"/>
        <v>-</v>
      </c>
      <c r="D70" s="4" t="str">
        <f>"-"</f>
        <v>-</v>
      </c>
      <c r="E70" s="4" t="str">
        <f>"21680485"</f>
        <v>21680485</v>
      </c>
      <c r="F70" s="4" t="s">
        <v>28</v>
      </c>
    </row>
    <row r="71" spans="1:6" x14ac:dyDescent="0.25">
      <c r="A71" s="4" t="str">
        <f>"ACS Symposium Series"</f>
        <v>ACS Symposium Series</v>
      </c>
      <c r="B71" s="4" t="s">
        <v>29</v>
      </c>
      <c r="C71" s="4" t="str">
        <f t="shared" si="1"/>
        <v>-</v>
      </c>
      <c r="D71" s="4" t="str">
        <f>"00976156"</f>
        <v>00976156</v>
      </c>
      <c r="E71" s="4" t="str">
        <f>"19475918"</f>
        <v>19475918</v>
      </c>
      <c r="F71" s="4" t="s">
        <v>28</v>
      </c>
    </row>
    <row r="72" spans="1:6" x14ac:dyDescent="0.25">
      <c r="A72" s="4" t="str">
        <f>"Acta Acustica united with Acustica"</f>
        <v>Acta Acustica united with Acustica</v>
      </c>
      <c r="B72" s="4" t="s">
        <v>6</v>
      </c>
      <c r="C72" s="4" t="str">
        <f t="shared" si="1"/>
        <v>-</v>
      </c>
      <c r="D72" s="4" t="str">
        <f>"16101928"</f>
        <v>16101928</v>
      </c>
      <c r="E72" s="4" t="str">
        <f>"-"</f>
        <v>-</v>
      </c>
      <c r="F72" s="4" t="s">
        <v>30</v>
      </c>
    </row>
    <row r="73" spans="1:6" x14ac:dyDescent="0.25">
      <c r="A73" s="4" t="str">
        <f>"Acta Applicandae Mathematicae"</f>
        <v>Acta Applicandae Mathematicae</v>
      </c>
      <c r="B73" s="4" t="s">
        <v>6</v>
      </c>
      <c r="C73" s="4" t="str">
        <f t="shared" si="1"/>
        <v>-</v>
      </c>
      <c r="D73" s="4" t="str">
        <f>"01678019"</f>
        <v>01678019</v>
      </c>
      <c r="E73" s="4" t="str">
        <f>"15729036"</f>
        <v>15729036</v>
      </c>
      <c r="F73" s="4" t="s">
        <v>31</v>
      </c>
    </row>
    <row r="74" spans="1:6" x14ac:dyDescent="0.25">
      <c r="A74" s="4" t="str">
        <f>"Acta Astronautica"</f>
        <v>Acta Astronautica</v>
      </c>
      <c r="B74" s="4" t="s">
        <v>6</v>
      </c>
      <c r="C74" s="4" t="str">
        <f t="shared" si="1"/>
        <v>-</v>
      </c>
      <c r="D74" s="4" t="str">
        <f>"00945765"</f>
        <v>00945765</v>
      </c>
      <c r="E74" s="4" t="str">
        <f>"-"</f>
        <v>-</v>
      </c>
      <c r="F74" s="4" t="s">
        <v>19</v>
      </c>
    </row>
    <row r="75" spans="1:6" x14ac:dyDescent="0.25">
      <c r="A75" s="4" t="str">
        <f>"Acta Chemica Scandinavica"</f>
        <v>Acta Chemica Scandinavica</v>
      </c>
      <c r="B75" s="4" t="s">
        <v>6</v>
      </c>
      <c r="C75" s="4" t="str">
        <f t="shared" si="1"/>
        <v>-</v>
      </c>
      <c r="D75" s="4" t="str">
        <f>"0904213X"</f>
        <v>0904213X</v>
      </c>
      <c r="E75" s="4" t="str">
        <f>"-"</f>
        <v>-</v>
      </c>
      <c r="F75" s="4" t="s">
        <v>32</v>
      </c>
    </row>
    <row r="76" spans="1:6" x14ac:dyDescent="0.25">
      <c r="A76" s="4" t="str">
        <f>"Acta Crystallographica Section B: Structural Science, Crystal Engineering and Materials"</f>
        <v>Acta Crystallographica Section B: Structural Science, Crystal Engineering and Materials</v>
      </c>
      <c r="B76" s="4" t="s">
        <v>6</v>
      </c>
      <c r="C76" s="4" t="str">
        <f t="shared" si="1"/>
        <v>-</v>
      </c>
      <c r="D76" s="4" t="str">
        <f>"20525192"</f>
        <v>20525192</v>
      </c>
      <c r="E76" s="4" t="str">
        <f>"20525206"</f>
        <v>20525206</v>
      </c>
      <c r="F76" s="4" t="s">
        <v>33</v>
      </c>
    </row>
    <row r="77" spans="1:6" x14ac:dyDescent="0.25">
      <c r="A77" s="4" t="str">
        <f>"Acta Crystallographica Section C: Crystal Structure Communications"</f>
        <v>Acta Crystallographica Section C: Crystal Structure Communications</v>
      </c>
      <c r="B77" s="4" t="s">
        <v>6</v>
      </c>
      <c r="C77" s="4" t="str">
        <f t="shared" si="1"/>
        <v>-</v>
      </c>
      <c r="D77" s="4" t="str">
        <f>"01082701"</f>
        <v>01082701</v>
      </c>
      <c r="E77" s="4" t="str">
        <f>"16005759"</f>
        <v>16005759</v>
      </c>
      <c r="F77" s="4" t="s">
        <v>33</v>
      </c>
    </row>
    <row r="78" spans="1:6" x14ac:dyDescent="0.25">
      <c r="A78" s="4" t="str">
        <f>"Acta Crystallographica Section C: Structural Chemistry"</f>
        <v>Acta Crystallographica Section C: Structural Chemistry</v>
      </c>
      <c r="B78" s="4" t="s">
        <v>6</v>
      </c>
      <c r="C78" s="4" t="str">
        <f t="shared" si="1"/>
        <v>-</v>
      </c>
      <c r="D78" s="4" t="str">
        <f>"-"</f>
        <v>-</v>
      </c>
      <c r="E78" s="4" t="str">
        <f>"20532296"</f>
        <v>20532296</v>
      </c>
      <c r="F78" s="4" t="s">
        <v>33</v>
      </c>
    </row>
    <row r="79" spans="1:6" x14ac:dyDescent="0.25">
      <c r="A79" s="4" t="str">
        <f>"Acta Cybernetica"</f>
        <v>Acta Cybernetica</v>
      </c>
      <c r="B79" s="4" t="s">
        <v>6</v>
      </c>
      <c r="C79" s="4" t="str">
        <f t="shared" si="1"/>
        <v>-</v>
      </c>
      <c r="D79" s="4" t="str">
        <f>"0324721X"</f>
        <v>0324721X</v>
      </c>
      <c r="E79" s="4" t="str">
        <f>"-"</f>
        <v>-</v>
      </c>
      <c r="F79" s="4" t="s">
        <v>34</v>
      </c>
    </row>
    <row r="80" spans="1:6" x14ac:dyDescent="0.25">
      <c r="A80" s="4" t="str">
        <f>"Acta Geodaetica et Geophysica"</f>
        <v>Acta Geodaetica et Geophysica</v>
      </c>
      <c r="B80" s="4" t="s">
        <v>6</v>
      </c>
      <c r="C80" s="4" t="str">
        <f t="shared" si="1"/>
        <v>-</v>
      </c>
      <c r="D80" s="4" t="str">
        <f>"22135812"</f>
        <v>22135812</v>
      </c>
      <c r="E80" s="4" t="str">
        <f>"22135820"</f>
        <v>22135820</v>
      </c>
      <c r="F80" s="4" t="s">
        <v>31</v>
      </c>
    </row>
    <row r="81" spans="1:6" x14ac:dyDescent="0.25">
      <c r="A81" s="4" t="s">
        <v>35</v>
      </c>
      <c r="B81" s="4" t="s">
        <v>6</v>
      </c>
      <c r="D81" s="4" t="s">
        <v>36</v>
      </c>
      <c r="F81" s="4" t="s">
        <v>37</v>
      </c>
    </row>
    <row r="82" spans="1:6" x14ac:dyDescent="0.25">
      <c r="A82" s="4" t="s">
        <v>38</v>
      </c>
      <c r="B82" s="4" t="s">
        <v>6</v>
      </c>
      <c r="D82" s="4" t="s">
        <v>39</v>
      </c>
      <c r="F82" s="4" t="s">
        <v>40</v>
      </c>
    </row>
    <row r="83" spans="1:6" x14ac:dyDescent="0.25">
      <c r="A83" s="4" t="str">
        <f>"Acta Geophysica"</f>
        <v>Acta Geophysica</v>
      </c>
      <c r="B83" s="4" t="s">
        <v>6</v>
      </c>
      <c r="C83" s="4" t="str">
        <f t="shared" ref="C83:C89" si="2">"-"</f>
        <v>-</v>
      </c>
      <c r="D83" s="4" t="str">
        <f>"18956572"</f>
        <v>18956572</v>
      </c>
      <c r="E83" s="4" t="str">
        <f>"18957455"</f>
        <v>18957455</v>
      </c>
      <c r="F83" s="4" t="s">
        <v>41</v>
      </c>
    </row>
    <row r="84" spans="1:6" x14ac:dyDescent="0.25">
      <c r="A84" s="4" t="str">
        <f>"Acta Informatica"</f>
        <v>Acta Informatica</v>
      </c>
      <c r="B84" s="4" t="s">
        <v>6</v>
      </c>
      <c r="C84" s="4" t="str">
        <f t="shared" si="2"/>
        <v>-</v>
      </c>
      <c r="D84" s="4" t="str">
        <f>"00015903"</f>
        <v>00015903</v>
      </c>
      <c r="E84" s="4" t="str">
        <f>"14320525"</f>
        <v>14320525</v>
      </c>
      <c r="F84" s="4" t="s">
        <v>42</v>
      </c>
    </row>
    <row r="85" spans="1:6" x14ac:dyDescent="0.25">
      <c r="A85" s="4" t="str">
        <f>"Acta Materialia"</f>
        <v>Acta Materialia</v>
      </c>
      <c r="B85" s="4" t="s">
        <v>6</v>
      </c>
      <c r="C85" s="4" t="str">
        <f t="shared" si="2"/>
        <v>-</v>
      </c>
      <c r="D85" s="4" t="str">
        <f>"13596454"</f>
        <v>13596454</v>
      </c>
      <c r="E85" s="4" t="str">
        <f>"-"</f>
        <v>-</v>
      </c>
      <c r="F85" s="4" t="s">
        <v>19</v>
      </c>
    </row>
    <row r="86" spans="1:6" x14ac:dyDescent="0.25">
      <c r="A86" s="4" t="str">
        <f>"Acta Mechanica"</f>
        <v>Acta Mechanica</v>
      </c>
      <c r="B86" s="4" t="s">
        <v>6</v>
      </c>
      <c r="C86" s="4" t="str">
        <f t="shared" si="2"/>
        <v>-</v>
      </c>
      <c r="D86" s="4" t="str">
        <f>"00015970"</f>
        <v>00015970</v>
      </c>
      <c r="E86" s="4" t="str">
        <f>"-"</f>
        <v>-</v>
      </c>
      <c r="F86" s="4" t="s">
        <v>43</v>
      </c>
    </row>
    <row r="87" spans="1:6" x14ac:dyDescent="0.25">
      <c r="A87" s="4" t="str">
        <f>"Acta Mechanica Sinica/Lixue Xuebao"</f>
        <v>Acta Mechanica Sinica/Lixue Xuebao</v>
      </c>
      <c r="B87" s="4" t="s">
        <v>6</v>
      </c>
      <c r="C87" s="4" t="str">
        <f t="shared" si="2"/>
        <v>-</v>
      </c>
      <c r="D87" s="4" t="str">
        <f>"05677718"</f>
        <v>05677718</v>
      </c>
      <c r="E87" s="4" t="str">
        <f>"-"</f>
        <v>-</v>
      </c>
      <c r="F87" s="4" t="s">
        <v>42</v>
      </c>
    </row>
    <row r="88" spans="1:6" x14ac:dyDescent="0.25">
      <c r="A88" s="4" t="str">
        <f>"Acta Mechanica Solida Sinica"</f>
        <v>Acta Mechanica Solida Sinica</v>
      </c>
      <c r="B88" s="4" t="s">
        <v>6</v>
      </c>
      <c r="C88" s="4" t="str">
        <f t="shared" si="2"/>
        <v>-</v>
      </c>
      <c r="D88" s="4" t="str">
        <f>"08949166"</f>
        <v>08949166</v>
      </c>
      <c r="E88" s="4" t="str">
        <f>"18602134"</f>
        <v>18602134</v>
      </c>
      <c r="F88" s="4" t="s">
        <v>44</v>
      </c>
    </row>
    <row r="89" spans="1:6" x14ac:dyDescent="0.25">
      <c r="A89" s="4" t="str">
        <f>"Acta Metallurgica Sinica (English Letters)"</f>
        <v>Acta Metallurgica Sinica (English Letters)</v>
      </c>
      <c r="B89" s="4" t="s">
        <v>6</v>
      </c>
      <c r="C89" s="4" t="str">
        <f t="shared" si="2"/>
        <v>-</v>
      </c>
      <c r="D89" s="4" t="str">
        <f>"10067191"</f>
        <v>10067191</v>
      </c>
      <c r="E89" s="4" t="str">
        <f>"21941289"</f>
        <v>21941289</v>
      </c>
      <c r="F89" s="4" t="s">
        <v>45</v>
      </c>
    </row>
    <row r="90" spans="1:6" x14ac:dyDescent="0.25">
      <c r="A90" s="4" t="s">
        <v>46</v>
      </c>
      <c r="B90" s="4" t="s">
        <v>6</v>
      </c>
      <c r="D90" s="4" t="s">
        <v>47</v>
      </c>
      <c r="F90" s="4" t="s">
        <v>37</v>
      </c>
    </row>
    <row r="91" spans="1:6" x14ac:dyDescent="0.25">
      <c r="A91" s="4" t="str">
        <f>"Acta Physica Polonica A"</f>
        <v>Acta Physica Polonica A</v>
      </c>
      <c r="B91" s="4" t="s">
        <v>6</v>
      </c>
      <c r="C91" s="4" t="str">
        <f t="shared" ref="C91:C120" si="3">"-"</f>
        <v>-</v>
      </c>
      <c r="D91" s="4" t="str">
        <f>"05874246"</f>
        <v>05874246</v>
      </c>
      <c r="E91" s="4" t="str">
        <f>"1898794X"</f>
        <v>1898794X</v>
      </c>
      <c r="F91" s="4" t="s">
        <v>48</v>
      </c>
    </row>
    <row r="92" spans="1:6" x14ac:dyDescent="0.25">
      <c r="A92" s="4" t="str">
        <f>"Acta Physica Polonica B"</f>
        <v>Acta Physica Polonica B</v>
      </c>
      <c r="B92" s="4" t="s">
        <v>6</v>
      </c>
      <c r="C92" s="4" t="str">
        <f t="shared" si="3"/>
        <v>-</v>
      </c>
      <c r="D92" s="4" t="str">
        <f>"05874254"</f>
        <v>05874254</v>
      </c>
      <c r="E92" s="4" t="str">
        <f>"-"</f>
        <v>-</v>
      </c>
      <c r="F92" s="4" t="s">
        <v>49</v>
      </c>
    </row>
    <row r="93" spans="1:6" x14ac:dyDescent="0.25">
      <c r="A93" s="4" t="str">
        <f>"Acta Physica Polonica B, Proceedings Supplement"</f>
        <v>Acta Physica Polonica B, Proceedings Supplement</v>
      </c>
      <c r="B93" s="4" t="s">
        <v>6</v>
      </c>
      <c r="C93" s="4" t="str">
        <f t="shared" si="3"/>
        <v>-</v>
      </c>
      <c r="D93" s="4" t="str">
        <f>"18992358"</f>
        <v>18992358</v>
      </c>
      <c r="E93" s="4" t="str">
        <f>"-"</f>
        <v>-</v>
      </c>
      <c r="F93" s="4" t="s">
        <v>49</v>
      </c>
    </row>
    <row r="94" spans="1:6" x14ac:dyDescent="0.25">
      <c r="A94" s="4" t="str">
        <f>"Acta Radiologica"</f>
        <v>Acta Radiologica</v>
      </c>
      <c r="B94" s="4" t="s">
        <v>6</v>
      </c>
      <c r="C94" s="4" t="str">
        <f t="shared" si="3"/>
        <v>-</v>
      </c>
      <c r="D94" s="4" t="str">
        <f>"02841851"</f>
        <v>02841851</v>
      </c>
      <c r="E94" s="4" t="str">
        <f>"16000455"</f>
        <v>16000455</v>
      </c>
      <c r="F94" s="4" t="s">
        <v>50</v>
      </c>
    </row>
    <row r="95" spans="1:6" x14ac:dyDescent="0.25">
      <c r="A95" s="4" t="str">
        <f>"Acta Scientiarum Polonorum, Technologia Alimentaria"</f>
        <v>Acta Scientiarum Polonorum, Technologia Alimentaria</v>
      </c>
      <c r="B95" s="4" t="s">
        <v>6</v>
      </c>
      <c r="C95" s="4" t="str">
        <f t="shared" si="3"/>
        <v>-</v>
      </c>
      <c r="D95" s="4" t="str">
        <f>"16440730"</f>
        <v>16440730</v>
      </c>
      <c r="E95" s="4" t="str">
        <f>"18989594"</f>
        <v>18989594</v>
      </c>
      <c r="F95" s="4" t="s">
        <v>51</v>
      </c>
    </row>
    <row r="96" spans="1:6" x14ac:dyDescent="0.25">
      <c r="A96" s="4" t="str">
        <f>"Acta Technica CSAV (Ceskoslovensk Akademie Ved)"</f>
        <v>Acta Technica CSAV (Ceskoslovensk Akademie Ved)</v>
      </c>
      <c r="B96" s="4" t="s">
        <v>6</v>
      </c>
      <c r="C96" s="4" t="str">
        <f t="shared" si="3"/>
        <v>-</v>
      </c>
      <c r="D96" s="4" t="str">
        <f>"00017043"</f>
        <v>00017043</v>
      </c>
      <c r="E96" s="4" t="str">
        <f>"-"</f>
        <v>-</v>
      </c>
      <c r="F96" s="4" t="s">
        <v>52</v>
      </c>
    </row>
    <row r="97" spans="1:6" x14ac:dyDescent="0.25">
      <c r="A97" s="4" t="str">
        <f>"Acta Universitatis Cibiniensis - Series E: Food Technology"</f>
        <v>Acta Universitatis Cibiniensis - Series E: Food Technology</v>
      </c>
      <c r="B97" s="4" t="s">
        <v>6</v>
      </c>
      <c r="C97" s="4" t="str">
        <f t="shared" si="3"/>
        <v>-</v>
      </c>
      <c r="D97" s="4" t="str">
        <f>"12214973"</f>
        <v>12214973</v>
      </c>
      <c r="E97" s="4" t="str">
        <f>"-"</f>
        <v>-</v>
      </c>
      <c r="F97" s="4" t="s">
        <v>53</v>
      </c>
    </row>
    <row r="98" spans="1:6" x14ac:dyDescent="0.25">
      <c r="A98" s="4" t="str">
        <f>"Active and Passive Electronic Components"</f>
        <v>Active and Passive Electronic Components</v>
      </c>
      <c r="B98" s="4" t="s">
        <v>6</v>
      </c>
      <c r="C98" s="4" t="str">
        <f t="shared" si="3"/>
        <v>-</v>
      </c>
      <c r="D98" s="4" t="str">
        <f>"08827516"</f>
        <v>08827516</v>
      </c>
      <c r="E98" s="4" t="str">
        <f>"15635031"</f>
        <v>15635031</v>
      </c>
      <c r="F98" s="4" t="s">
        <v>54</v>
      </c>
    </row>
    <row r="99" spans="1:6" x14ac:dyDescent="0.25">
      <c r="A99" s="4" t="str">
        <f>"Ad Hoc Networks"</f>
        <v>Ad Hoc Networks</v>
      </c>
      <c r="B99" s="4" t="s">
        <v>6</v>
      </c>
      <c r="C99" s="4" t="str">
        <f t="shared" si="3"/>
        <v>-</v>
      </c>
      <c r="D99" s="4" t="str">
        <f>"15708705"</f>
        <v>15708705</v>
      </c>
      <c r="E99" s="4" t="str">
        <f>"-"</f>
        <v>-</v>
      </c>
      <c r="F99" s="4" t="s">
        <v>55</v>
      </c>
    </row>
    <row r="100" spans="1:6" x14ac:dyDescent="0.25">
      <c r="A100" s="4" t="str">
        <f>"Ada User Journal"</f>
        <v>Ada User Journal</v>
      </c>
      <c r="B100" s="4" t="s">
        <v>6</v>
      </c>
      <c r="C100" s="4" t="str">
        <f t="shared" si="3"/>
        <v>-</v>
      </c>
      <c r="D100" s="4" t="str">
        <f>"13816551"</f>
        <v>13816551</v>
      </c>
      <c r="E100" s="4" t="str">
        <f>"-"</f>
        <v>-</v>
      </c>
      <c r="F100" s="4" t="s">
        <v>56</v>
      </c>
    </row>
    <row r="101" spans="1:6" x14ac:dyDescent="0.25">
      <c r="A101" s="4" t="str">
        <f>"Adsorption"</f>
        <v>Adsorption</v>
      </c>
      <c r="B101" s="4" t="s">
        <v>6</v>
      </c>
      <c r="C101" s="4" t="str">
        <f t="shared" si="3"/>
        <v>-</v>
      </c>
      <c r="D101" s="4" t="str">
        <f>"09295607"</f>
        <v>09295607</v>
      </c>
      <c r="E101" s="4" t="str">
        <f>"15728757"</f>
        <v>15728757</v>
      </c>
      <c r="F101" s="4" t="s">
        <v>57</v>
      </c>
    </row>
    <row r="102" spans="1:6" x14ac:dyDescent="0.25">
      <c r="A102" s="4" t="str">
        <f>"Adsorption Science and Technology"</f>
        <v>Adsorption Science and Technology</v>
      </c>
      <c r="B102" s="4" t="s">
        <v>6</v>
      </c>
      <c r="C102" s="4" t="str">
        <f t="shared" si="3"/>
        <v>-</v>
      </c>
      <c r="D102" s="4" t="str">
        <f>"02636174"</f>
        <v>02636174</v>
      </c>
      <c r="E102" s="4" t="str">
        <f>"-"</f>
        <v>-</v>
      </c>
      <c r="F102" s="4" t="s">
        <v>58</v>
      </c>
    </row>
    <row r="103" spans="1:6" x14ac:dyDescent="0.25">
      <c r="A103" s="4" t="str">
        <f>"Advance Engine Design and Performance"</f>
        <v>Advance Engine Design and Performance</v>
      </c>
      <c r="B103" s="4" t="s">
        <v>8</v>
      </c>
      <c r="C103" s="4" t="str">
        <f t="shared" si="3"/>
        <v>-</v>
      </c>
      <c r="D103" s="4" t="str">
        <f>"15439658"</f>
        <v>15439658</v>
      </c>
      <c r="E103" s="4" t="str">
        <f>"-"</f>
        <v>-</v>
      </c>
      <c r="F103" s="4" t="s">
        <v>59</v>
      </c>
    </row>
    <row r="104" spans="1:6" x14ac:dyDescent="0.25">
      <c r="A104" s="4" t="str">
        <f>"Advanced Composite Materials"</f>
        <v>Advanced Composite Materials</v>
      </c>
      <c r="B104" s="4" t="s">
        <v>6</v>
      </c>
      <c r="C104" s="4" t="str">
        <f t="shared" si="3"/>
        <v>-</v>
      </c>
      <c r="D104" s="4" t="str">
        <f>"09243046"</f>
        <v>09243046</v>
      </c>
      <c r="E104" s="4" t="str">
        <f>"15685519"</f>
        <v>15685519</v>
      </c>
      <c r="F104" s="4" t="s">
        <v>60</v>
      </c>
    </row>
    <row r="105" spans="1:6" x14ac:dyDescent="0.25">
      <c r="A105" s="4" t="str">
        <f>"Advanced Composites Letters"</f>
        <v>Advanced Composites Letters</v>
      </c>
      <c r="B105" s="4" t="s">
        <v>6</v>
      </c>
      <c r="C105" s="4" t="str">
        <f t="shared" si="3"/>
        <v>-</v>
      </c>
      <c r="D105" s="4" t="str">
        <f>"09636935"</f>
        <v>09636935</v>
      </c>
      <c r="E105" s="4" t="str">
        <f>"-"</f>
        <v>-</v>
      </c>
      <c r="F105" s="4" t="s">
        <v>61</v>
      </c>
    </row>
    <row r="106" spans="1:6" x14ac:dyDescent="0.25">
      <c r="A106" s="4" t="str">
        <f>"Advanced Concurrent Engineering"</f>
        <v>Advanced Concurrent Engineering</v>
      </c>
      <c r="B106" s="4" t="s">
        <v>8</v>
      </c>
      <c r="C106" s="4" t="str">
        <f t="shared" si="3"/>
        <v>-</v>
      </c>
      <c r="D106" s="4" t="str">
        <f>"18655440"</f>
        <v>18655440</v>
      </c>
      <c r="E106" s="4" t="str">
        <f>"-"</f>
        <v>-</v>
      </c>
      <c r="F106" s="4" t="s">
        <v>62</v>
      </c>
    </row>
    <row r="107" spans="1:6" x14ac:dyDescent="0.25">
      <c r="A107" s="4" t="str">
        <f>"Advanced Drug Delivery Reviews"</f>
        <v>Advanced Drug Delivery Reviews</v>
      </c>
      <c r="B107" s="4" t="s">
        <v>6</v>
      </c>
      <c r="C107" s="4" t="str">
        <f t="shared" si="3"/>
        <v>-</v>
      </c>
      <c r="D107" s="4" t="str">
        <f>"0169409X"</f>
        <v>0169409X</v>
      </c>
      <c r="E107" s="4" t="str">
        <f>"18728294"</f>
        <v>18728294</v>
      </c>
      <c r="F107" s="4" t="s">
        <v>55</v>
      </c>
    </row>
    <row r="108" spans="1:6" x14ac:dyDescent="0.25">
      <c r="A108" s="4" t="str">
        <f>"Advanced Energy Materials"</f>
        <v>Advanced Energy Materials</v>
      </c>
      <c r="B108" s="4" t="s">
        <v>6</v>
      </c>
      <c r="C108" s="4" t="str">
        <f t="shared" si="3"/>
        <v>-</v>
      </c>
      <c r="D108" s="4" t="str">
        <f>"16146832"</f>
        <v>16146832</v>
      </c>
      <c r="E108" s="4" t="str">
        <f>"16146840"</f>
        <v>16146840</v>
      </c>
      <c r="F108" s="4" t="s">
        <v>63</v>
      </c>
    </row>
    <row r="109" spans="1:6" x14ac:dyDescent="0.25">
      <c r="A109" s="4" t="str">
        <f>"Advanced Engineering Informatics"</f>
        <v>Advanced Engineering Informatics</v>
      </c>
      <c r="B109" s="4" t="s">
        <v>6</v>
      </c>
      <c r="C109" s="4" t="str">
        <f t="shared" si="3"/>
        <v>-</v>
      </c>
      <c r="D109" s="4" t="str">
        <f>"14740346"</f>
        <v>14740346</v>
      </c>
      <c r="E109" s="4" t="str">
        <f>"-"</f>
        <v>-</v>
      </c>
      <c r="F109" s="4" t="s">
        <v>19</v>
      </c>
    </row>
    <row r="110" spans="1:6" x14ac:dyDescent="0.25">
      <c r="A110" s="4" t="str">
        <f>"Advanced Engineering Materials"</f>
        <v>Advanced Engineering Materials</v>
      </c>
      <c r="B110" s="4" t="s">
        <v>6</v>
      </c>
      <c r="C110" s="4" t="str">
        <f t="shared" si="3"/>
        <v>-</v>
      </c>
      <c r="D110" s="4" t="str">
        <f>"14381656"</f>
        <v>14381656</v>
      </c>
      <c r="E110" s="4" t="str">
        <f>"15272648"</f>
        <v>15272648</v>
      </c>
      <c r="F110" s="4" t="s">
        <v>63</v>
      </c>
    </row>
    <row r="111" spans="1:6" x14ac:dyDescent="0.25">
      <c r="A111" s="4" t="str">
        <f>"Advanced Fuel Cell Technology"</f>
        <v>Advanced Fuel Cell Technology</v>
      </c>
      <c r="B111" s="4" t="s">
        <v>22</v>
      </c>
      <c r="C111" s="4" t="str">
        <f t="shared" si="3"/>
        <v>-</v>
      </c>
      <c r="D111" s="4" t="str">
        <f>"10951415"</f>
        <v>10951415</v>
      </c>
      <c r="E111" s="4" t="str">
        <f>"-"</f>
        <v>-</v>
      </c>
      <c r="F111" s="4" t="s">
        <v>64</v>
      </c>
    </row>
    <row r="112" spans="1:6" x14ac:dyDescent="0.25">
      <c r="A112" s="4" t="str">
        <f>"Advanced Functional Materials"</f>
        <v>Advanced Functional Materials</v>
      </c>
      <c r="B112" s="4" t="s">
        <v>6</v>
      </c>
      <c r="C112" s="4" t="str">
        <f t="shared" si="3"/>
        <v>-</v>
      </c>
      <c r="D112" s="4" t="str">
        <f>"1616301X"</f>
        <v>1616301X</v>
      </c>
      <c r="E112" s="4" t="str">
        <f>"16163028"</f>
        <v>16163028</v>
      </c>
      <c r="F112" s="4" t="s">
        <v>63</v>
      </c>
    </row>
    <row r="113" spans="1:6" x14ac:dyDescent="0.25">
      <c r="A113" s="4" t="str">
        <f>"Advanced Materials"</f>
        <v>Advanced Materials</v>
      </c>
      <c r="B113" s="4" t="s">
        <v>6</v>
      </c>
      <c r="C113" s="4" t="str">
        <f t="shared" si="3"/>
        <v>-</v>
      </c>
      <c r="D113" s="4" t="str">
        <f>"09359648"</f>
        <v>09359648</v>
      </c>
      <c r="E113" s="4" t="str">
        <f>"15214095"</f>
        <v>15214095</v>
      </c>
      <c r="F113" s="4" t="s">
        <v>63</v>
      </c>
    </row>
    <row r="114" spans="1:6" x14ac:dyDescent="0.25">
      <c r="A114" s="4" t="str">
        <f>"Advanced Materials and Processes"</f>
        <v>Advanced Materials and Processes</v>
      </c>
      <c r="B114" s="4" t="s">
        <v>22</v>
      </c>
      <c r="C114" s="4" t="str">
        <f t="shared" si="3"/>
        <v>-</v>
      </c>
      <c r="D114" s="4" t="str">
        <f>"08827958"</f>
        <v>08827958</v>
      </c>
      <c r="E114" s="4" t="str">
        <f>"-"</f>
        <v>-</v>
      </c>
      <c r="F114" s="4" t="s">
        <v>65</v>
      </c>
    </row>
    <row r="115" spans="1:6" x14ac:dyDescent="0.25">
      <c r="A115" s="4" t="str">
        <f>"Advanced Metallization Conference (AMC)"</f>
        <v>Advanced Metallization Conference (AMC)</v>
      </c>
      <c r="B115" s="4" t="s">
        <v>8</v>
      </c>
      <c r="C115" s="4" t="str">
        <f t="shared" si="3"/>
        <v>-</v>
      </c>
      <c r="D115" s="4" t="str">
        <f>"15401766"</f>
        <v>15401766</v>
      </c>
      <c r="E115" s="4" t="str">
        <f>"-"</f>
        <v>-</v>
      </c>
      <c r="F115" s="4" t="s">
        <v>66</v>
      </c>
    </row>
    <row r="116" spans="1:6" x14ac:dyDescent="0.25">
      <c r="A116" s="4" t="str">
        <f>"Advanced Optical Materials"</f>
        <v>Advanced Optical Materials</v>
      </c>
      <c r="B116" s="4" t="s">
        <v>6</v>
      </c>
      <c r="C116" s="4" t="str">
        <f t="shared" si="3"/>
        <v>-</v>
      </c>
      <c r="D116" s="4" t="str">
        <f>"-"</f>
        <v>-</v>
      </c>
      <c r="E116" s="4" t="str">
        <f>"21951071"</f>
        <v>21951071</v>
      </c>
      <c r="F116" s="4" t="s">
        <v>63</v>
      </c>
    </row>
    <row r="117" spans="1:6" x14ac:dyDescent="0.25">
      <c r="A117" s="4" t="str">
        <f>"Advanced Powder Technology"</f>
        <v>Advanced Powder Technology</v>
      </c>
      <c r="B117" s="4" t="s">
        <v>6</v>
      </c>
      <c r="C117" s="4" t="str">
        <f t="shared" si="3"/>
        <v>-</v>
      </c>
      <c r="D117" s="4" t="str">
        <f>"09218831"</f>
        <v>09218831</v>
      </c>
      <c r="E117" s="4" t="str">
        <f>"15685527"</f>
        <v>15685527</v>
      </c>
      <c r="F117" s="4" t="s">
        <v>55</v>
      </c>
    </row>
    <row r="118" spans="1:6" x14ac:dyDescent="0.25">
      <c r="A118" s="4" t="str">
        <f>"Advanced Propulsion Systems"</f>
        <v>Advanced Propulsion Systems</v>
      </c>
      <c r="B118" s="4" t="s">
        <v>8</v>
      </c>
      <c r="C118" s="4" t="str">
        <f t="shared" si="3"/>
        <v>-</v>
      </c>
      <c r="D118" s="4" t="str">
        <f>"15439674"</f>
        <v>15439674</v>
      </c>
      <c r="E118" s="4" t="str">
        <f>"-"</f>
        <v>-</v>
      </c>
      <c r="F118" s="4" t="s">
        <v>59</v>
      </c>
    </row>
    <row r="119" spans="1:6" x14ac:dyDescent="0.25">
      <c r="A119" s="4" t="str">
        <f>"Advanced Robotics"</f>
        <v>Advanced Robotics</v>
      </c>
      <c r="B119" s="4" t="s">
        <v>6</v>
      </c>
      <c r="C119" s="4" t="str">
        <f t="shared" si="3"/>
        <v>-</v>
      </c>
      <c r="D119" s="4" t="str">
        <f>"01691864"</f>
        <v>01691864</v>
      </c>
      <c r="E119" s="4" t="str">
        <f>"15685535"</f>
        <v>15685535</v>
      </c>
      <c r="F119" s="4" t="s">
        <v>67</v>
      </c>
    </row>
    <row r="120" spans="1:6" x14ac:dyDescent="0.25">
      <c r="A120" s="4" t="str">
        <f>"Advanced Steel Construction"</f>
        <v>Advanced Steel Construction</v>
      </c>
      <c r="B120" s="4" t="s">
        <v>6</v>
      </c>
      <c r="C120" s="4" t="str">
        <f t="shared" si="3"/>
        <v>-</v>
      </c>
      <c r="D120" s="4" t="str">
        <f>"1816112X"</f>
        <v>1816112X</v>
      </c>
      <c r="E120" s="4" t="str">
        <f>"-"</f>
        <v>-</v>
      </c>
      <c r="F120" s="4" t="s">
        <v>68</v>
      </c>
    </row>
    <row r="121" spans="1:6" x14ac:dyDescent="0.25">
      <c r="A121" s="4" t="str">
        <f>"Advancements in Energetic Materials and Chemical Propulsion"</f>
        <v>Advancements in Energetic Materials and Chemical Propulsion</v>
      </c>
      <c r="B121" s="4" t="s">
        <v>29</v>
      </c>
      <c r="C121" s="4" t="str">
        <f>"9781567002393"</f>
        <v>9781567002393</v>
      </c>
      <c r="D121" s="4" t="str">
        <f>"-"</f>
        <v>-</v>
      </c>
      <c r="E121" s="4" t="str">
        <f>"-"</f>
        <v>-</v>
      </c>
      <c r="F121" s="4" t="s">
        <v>69</v>
      </c>
    </row>
    <row r="122" spans="1:6" x14ac:dyDescent="0.25">
      <c r="A122" s="4" t="str">
        <f>"Advances in Applied Ceramics"</f>
        <v>Advances in Applied Ceramics</v>
      </c>
      <c r="B122" s="4" t="s">
        <v>6</v>
      </c>
      <c r="C122" s="4" t="str">
        <f t="shared" ref="C122:C158" si="4">"-"</f>
        <v>-</v>
      </c>
      <c r="D122" s="4" t="str">
        <f>"17436753"</f>
        <v>17436753</v>
      </c>
      <c r="E122" s="4" t="str">
        <f>"17436761"</f>
        <v>17436761</v>
      </c>
      <c r="F122" s="4" t="s">
        <v>70</v>
      </c>
    </row>
    <row r="123" spans="1:6" x14ac:dyDescent="0.25">
      <c r="A123" s="4" t="str">
        <f>"Advances in Applied Mathematics"</f>
        <v>Advances in Applied Mathematics</v>
      </c>
      <c r="B123" s="4" t="s">
        <v>6</v>
      </c>
      <c r="C123" s="4" t="str">
        <f t="shared" si="4"/>
        <v>-</v>
      </c>
      <c r="D123" s="4" t="str">
        <f>"01968858"</f>
        <v>01968858</v>
      </c>
      <c r="E123" s="4" t="str">
        <f>"10902074"</f>
        <v>10902074</v>
      </c>
      <c r="F123" s="4" t="s">
        <v>71</v>
      </c>
    </row>
    <row r="124" spans="1:6" x14ac:dyDescent="0.25">
      <c r="A124" s="4" t="str">
        <f>"Advances in Applied Mechanics"</f>
        <v>Advances in Applied Mechanics</v>
      </c>
      <c r="B124" s="4" t="s">
        <v>29</v>
      </c>
      <c r="C124" s="4" t="str">
        <f t="shared" si="4"/>
        <v>-</v>
      </c>
      <c r="D124" s="4" t="str">
        <f>"00652156"</f>
        <v>00652156</v>
      </c>
      <c r="E124" s="4" t="str">
        <f>"-"</f>
        <v>-</v>
      </c>
      <c r="F124" s="4" t="s">
        <v>71</v>
      </c>
    </row>
    <row r="125" spans="1:6" x14ac:dyDescent="0.25">
      <c r="A125" s="4" t="str">
        <f>"Advances in Applied Probability"</f>
        <v>Advances in Applied Probability</v>
      </c>
      <c r="B125" s="4" t="s">
        <v>6</v>
      </c>
      <c r="C125" s="4" t="str">
        <f t="shared" si="4"/>
        <v>-</v>
      </c>
      <c r="D125" s="4" t="str">
        <f>"00018678"</f>
        <v>00018678</v>
      </c>
      <c r="E125" s="4" t="str">
        <f>"-"</f>
        <v>-</v>
      </c>
      <c r="F125" s="4" t="s">
        <v>72</v>
      </c>
    </row>
    <row r="126" spans="1:6" x14ac:dyDescent="0.25">
      <c r="A126" s="4" t="str">
        <f>"Advances in Bioengineering, BED"</f>
        <v>Advances in Bioengineering, BED</v>
      </c>
      <c r="B126" s="4" t="s">
        <v>8</v>
      </c>
      <c r="C126" s="4" t="str">
        <f t="shared" si="4"/>
        <v>-</v>
      </c>
      <c r="D126" s="4" t="str">
        <f>"03609960"</f>
        <v>03609960</v>
      </c>
      <c r="E126" s="4" t="str">
        <f>"-"</f>
        <v>-</v>
      </c>
      <c r="F126" s="4" t="s">
        <v>73</v>
      </c>
    </row>
    <row r="127" spans="1:6" x14ac:dyDescent="0.25">
      <c r="A127" s="4" t="str">
        <f>"Advances in Building Energy Research"</f>
        <v>Advances in Building Energy Research</v>
      </c>
      <c r="B127" s="4" t="s">
        <v>6</v>
      </c>
      <c r="C127" s="4" t="str">
        <f t="shared" si="4"/>
        <v>-</v>
      </c>
      <c r="D127" s="4" t="str">
        <f>"17512549"</f>
        <v>17512549</v>
      </c>
      <c r="E127" s="4" t="str">
        <f>"17562201"</f>
        <v>17562201</v>
      </c>
      <c r="F127" s="4" t="s">
        <v>60</v>
      </c>
    </row>
    <row r="128" spans="1:6" x14ac:dyDescent="0.25">
      <c r="A128" s="4" t="str">
        <f>"Advances in Cement Research"</f>
        <v>Advances in Cement Research</v>
      </c>
      <c r="B128" s="4" t="s">
        <v>6</v>
      </c>
      <c r="C128" s="4" t="str">
        <f t="shared" si="4"/>
        <v>-</v>
      </c>
      <c r="D128" s="4" t="str">
        <f>"09517197"</f>
        <v>09517197</v>
      </c>
      <c r="E128" s="4" t="str">
        <f>"17517605"</f>
        <v>17517605</v>
      </c>
      <c r="F128" s="4" t="s">
        <v>74</v>
      </c>
    </row>
    <row r="129" spans="1:6" x14ac:dyDescent="0.25">
      <c r="A129" s="4" t="str">
        <f>"Advances in Civil Engineering Materials"</f>
        <v>Advances in Civil Engineering Materials</v>
      </c>
      <c r="B129" s="4" t="s">
        <v>6</v>
      </c>
      <c r="C129" s="4" t="str">
        <f t="shared" si="4"/>
        <v>-</v>
      </c>
      <c r="D129" s="4" t="str">
        <f>"23791357"</f>
        <v>23791357</v>
      </c>
      <c r="E129" s="4" t="str">
        <f>"21653984"</f>
        <v>21653984</v>
      </c>
      <c r="F129" s="4" t="s">
        <v>75</v>
      </c>
    </row>
    <row r="130" spans="1:6" x14ac:dyDescent="0.25">
      <c r="A130" s="4" t="str">
        <f>"Advances in Classification Research Online"</f>
        <v>Advances in Classification Research Online</v>
      </c>
      <c r="B130" s="4" t="s">
        <v>8</v>
      </c>
      <c r="C130" s="4" t="str">
        <f t="shared" si="4"/>
        <v>-</v>
      </c>
      <c r="D130" s="4" t="str">
        <f>"23249773"</f>
        <v>23249773</v>
      </c>
      <c r="E130" s="4" t="str">
        <f>"-"</f>
        <v>-</v>
      </c>
      <c r="F130" s="4" t="s">
        <v>76</v>
      </c>
    </row>
    <row r="131" spans="1:6" x14ac:dyDescent="0.25">
      <c r="A131" s="4" t="str">
        <f>"Advances in Colloid and Interface Science"</f>
        <v>Advances in Colloid and Interface Science</v>
      </c>
      <c r="B131" s="4" t="s">
        <v>6</v>
      </c>
      <c r="C131" s="4" t="str">
        <f t="shared" si="4"/>
        <v>-</v>
      </c>
      <c r="D131" s="4" t="str">
        <f>"00018686"</f>
        <v>00018686</v>
      </c>
      <c r="E131" s="4" t="str">
        <f>"-"</f>
        <v>-</v>
      </c>
      <c r="F131" s="4" t="s">
        <v>55</v>
      </c>
    </row>
    <row r="132" spans="1:6" x14ac:dyDescent="0.25">
      <c r="A132" s="4" t="str">
        <f>"Advances in Data Analysis and Classification"</f>
        <v>Advances in Data Analysis and Classification</v>
      </c>
      <c r="B132" s="4" t="s">
        <v>6</v>
      </c>
      <c r="C132" s="4" t="str">
        <f t="shared" si="4"/>
        <v>-</v>
      </c>
      <c r="D132" s="4" t="str">
        <f>"18625347"</f>
        <v>18625347</v>
      </c>
      <c r="E132" s="4" t="str">
        <f>"18625355"</f>
        <v>18625355</v>
      </c>
      <c r="F132" s="4" t="s">
        <v>42</v>
      </c>
    </row>
    <row r="133" spans="1:6" x14ac:dyDescent="0.25">
      <c r="A133" s="4" t="str">
        <f>"Advances in Earthquake Engineering"</f>
        <v>Advances in Earthquake Engineering</v>
      </c>
      <c r="B133" s="4" t="s">
        <v>8</v>
      </c>
      <c r="C133" s="4" t="str">
        <f t="shared" si="4"/>
        <v>-</v>
      </c>
      <c r="D133" s="4" t="str">
        <f>"1361617X"</f>
        <v>1361617X</v>
      </c>
      <c r="E133" s="4" t="str">
        <f>"-"</f>
        <v>-</v>
      </c>
      <c r="F133" s="4" t="s">
        <v>77</v>
      </c>
    </row>
    <row r="134" spans="1:6" x14ac:dyDescent="0.25">
      <c r="A134" s="4" t="str">
        <f>"Advances in Engineering Education"</f>
        <v>Advances in Engineering Education</v>
      </c>
      <c r="B134" s="4" t="s">
        <v>6</v>
      </c>
      <c r="C134" s="4" t="str">
        <f t="shared" si="4"/>
        <v>-</v>
      </c>
      <c r="D134" s="4" t="str">
        <f>"-"</f>
        <v>-</v>
      </c>
      <c r="E134" s="4" t="str">
        <f>"19411766"</f>
        <v>19411766</v>
      </c>
      <c r="F134" s="4" t="s">
        <v>78</v>
      </c>
    </row>
    <row r="135" spans="1:6" x14ac:dyDescent="0.25">
      <c r="A135" s="4" t="str">
        <f>"Advances in Engineering Software"</f>
        <v>Advances in Engineering Software</v>
      </c>
      <c r="B135" s="4" t="s">
        <v>6</v>
      </c>
      <c r="C135" s="4" t="str">
        <f t="shared" si="4"/>
        <v>-</v>
      </c>
      <c r="D135" s="4" t="str">
        <f>"09659978"</f>
        <v>09659978</v>
      </c>
      <c r="E135" s="4" t="str">
        <f>"18735339"</f>
        <v>18735339</v>
      </c>
      <c r="F135" s="4" t="s">
        <v>19</v>
      </c>
    </row>
    <row r="136" spans="1:6" x14ac:dyDescent="0.25">
      <c r="A136" s="4" t="str">
        <f>"Advances in Geographic Information Science"</f>
        <v>Advances in Geographic Information Science</v>
      </c>
      <c r="B136" s="4" t="s">
        <v>8</v>
      </c>
      <c r="C136" s="4" t="str">
        <f t="shared" si="4"/>
        <v>-</v>
      </c>
      <c r="D136" s="4" t="str">
        <f>"18672434"</f>
        <v>18672434</v>
      </c>
      <c r="E136" s="4" t="str">
        <f>"18672442"</f>
        <v>18672442</v>
      </c>
      <c r="F136" s="4" t="s">
        <v>79</v>
      </c>
    </row>
    <row r="137" spans="1:6" x14ac:dyDescent="0.25">
      <c r="A137" s="4" t="str">
        <f>"Advances in High Performance Computing"</f>
        <v>Advances in High Performance Computing</v>
      </c>
      <c r="B137" s="4" t="s">
        <v>29</v>
      </c>
      <c r="C137" s="4" t="str">
        <f t="shared" si="4"/>
        <v>-</v>
      </c>
      <c r="D137" s="4" t="str">
        <f>"13687638"</f>
        <v>13687638</v>
      </c>
      <c r="E137" s="4" t="str">
        <f>"-"</f>
        <v>-</v>
      </c>
      <c r="F137" s="4" t="s">
        <v>80</v>
      </c>
    </row>
    <row r="138" spans="1:6" x14ac:dyDescent="0.25">
      <c r="A138" s="4" t="str">
        <f>"Advances in Imaging and Electron Physics"</f>
        <v>Advances in Imaging and Electron Physics</v>
      </c>
      <c r="B138" s="4" t="s">
        <v>29</v>
      </c>
      <c r="C138" s="4" t="str">
        <f t="shared" si="4"/>
        <v>-</v>
      </c>
      <c r="D138" s="4" t="str">
        <f>"10765670"</f>
        <v>10765670</v>
      </c>
      <c r="E138" s="4" t="str">
        <f>"-"</f>
        <v>-</v>
      </c>
      <c r="F138" s="4" t="s">
        <v>71</v>
      </c>
    </row>
    <row r="139" spans="1:6" x14ac:dyDescent="0.25">
      <c r="A139" s="4" t="str">
        <f>"Advances in Intelligent and Soft Computing"</f>
        <v>Advances in Intelligent and Soft Computing</v>
      </c>
      <c r="B139" s="4" t="s">
        <v>29</v>
      </c>
      <c r="C139" s="4" t="str">
        <f t="shared" si="4"/>
        <v>-</v>
      </c>
      <c r="D139" s="4" t="str">
        <f>"18675662"</f>
        <v>18675662</v>
      </c>
      <c r="E139" s="4" t="str">
        <f>"18600794"</f>
        <v>18600794</v>
      </c>
      <c r="F139" s="4" t="s">
        <v>42</v>
      </c>
    </row>
    <row r="140" spans="1:6" x14ac:dyDescent="0.25">
      <c r="A140" s="4" t="str">
        <f>"Advances in Intelligent Systems and Computing"</f>
        <v>Advances in Intelligent Systems and Computing</v>
      </c>
      <c r="B140" s="4" t="s">
        <v>29</v>
      </c>
      <c r="C140" s="4" t="str">
        <f t="shared" si="4"/>
        <v>-</v>
      </c>
      <c r="D140" s="4" t="str">
        <f>"21945357"</f>
        <v>21945357</v>
      </c>
      <c r="E140" s="4" t="str">
        <f>"-"</f>
        <v>-</v>
      </c>
      <c r="F140" s="4" t="s">
        <v>42</v>
      </c>
    </row>
    <row r="141" spans="1:6" x14ac:dyDescent="0.25">
      <c r="A141" s="4" t="str">
        <f>"Advances in Knowledge Organization"</f>
        <v>Advances in Knowledge Organization</v>
      </c>
      <c r="B141" s="4" t="s">
        <v>8</v>
      </c>
      <c r="C141" s="4" t="str">
        <f t="shared" si="4"/>
        <v>-</v>
      </c>
      <c r="D141" s="4" t="str">
        <f>"09385495"</f>
        <v>09385495</v>
      </c>
      <c r="E141" s="4" t="str">
        <f>"-"</f>
        <v>-</v>
      </c>
      <c r="F141" s="4" t="s">
        <v>81</v>
      </c>
    </row>
    <row r="142" spans="1:6" x14ac:dyDescent="0.25">
      <c r="A142" s="4" t="str">
        <f>"Advances in Materials Science and Engineering"</f>
        <v>Advances in Materials Science and Engineering</v>
      </c>
      <c r="B142" s="4" t="s">
        <v>6</v>
      </c>
      <c r="C142" s="4" t="str">
        <f t="shared" si="4"/>
        <v>-</v>
      </c>
      <c r="D142" s="4" t="str">
        <f>"16878434"</f>
        <v>16878434</v>
      </c>
      <c r="E142" s="4" t="str">
        <f>"16878442"</f>
        <v>16878442</v>
      </c>
      <c r="F142" s="4" t="s">
        <v>54</v>
      </c>
    </row>
    <row r="143" spans="1:6" x14ac:dyDescent="0.25">
      <c r="A143" s="4" t="str">
        <f>"Advances in Mechanics"</f>
        <v>Advances in Mechanics</v>
      </c>
      <c r="B143" s="4" t="s">
        <v>6</v>
      </c>
      <c r="C143" s="4" t="str">
        <f t="shared" si="4"/>
        <v>-</v>
      </c>
      <c r="D143" s="4" t="str">
        <f>"10000992"</f>
        <v>10000992</v>
      </c>
      <c r="E143" s="4" t="str">
        <f>"-"</f>
        <v>-</v>
      </c>
      <c r="F143" s="4" t="s">
        <v>82</v>
      </c>
    </row>
    <row r="144" spans="1:6" x14ac:dyDescent="0.25">
      <c r="A144" s="4" t="str">
        <f>"Advances in Modal Logic"</f>
        <v>Advances in Modal Logic</v>
      </c>
      <c r="B144" s="4" t="s">
        <v>8</v>
      </c>
      <c r="C144" s="4" t="str">
        <f t="shared" si="4"/>
        <v>-</v>
      </c>
      <c r="D144" s="4" t="str">
        <f>"-"</f>
        <v>-</v>
      </c>
      <c r="E144" s="4" t="str">
        <f>"-"</f>
        <v>-</v>
      </c>
      <c r="F144" s="4" t="s">
        <v>83</v>
      </c>
    </row>
    <row r="145" spans="1:6" x14ac:dyDescent="0.25">
      <c r="A145" s="4" t="str">
        <f>"Advances in Modelling and Analysis A"</f>
        <v>Advances in Modelling and Analysis A</v>
      </c>
      <c r="B145" s="4" t="s">
        <v>6</v>
      </c>
      <c r="C145" s="4" t="str">
        <f t="shared" si="4"/>
        <v>-</v>
      </c>
      <c r="D145" s="4" t="str">
        <f>"12585769"</f>
        <v>12585769</v>
      </c>
      <c r="E145" s="4" t="str">
        <f>"-"</f>
        <v>-</v>
      </c>
      <c r="F145" s="4" t="s">
        <v>84</v>
      </c>
    </row>
    <row r="146" spans="1:6" x14ac:dyDescent="0.25">
      <c r="A146" s="4" t="str">
        <f>"Advances in Modelling and Analysis B"</f>
        <v>Advances in Modelling and Analysis B</v>
      </c>
      <c r="B146" s="4" t="s">
        <v>6</v>
      </c>
      <c r="C146" s="4" t="str">
        <f t="shared" si="4"/>
        <v>-</v>
      </c>
      <c r="D146" s="4" t="str">
        <f>"12404543"</f>
        <v>12404543</v>
      </c>
      <c r="E146" s="4" t="str">
        <f>"-"</f>
        <v>-</v>
      </c>
      <c r="F146" s="4" t="s">
        <v>84</v>
      </c>
    </row>
    <row r="147" spans="1:6" x14ac:dyDescent="0.25">
      <c r="A147" s="4" t="str">
        <f>"Advances in Modelling and Analysis C"</f>
        <v>Advances in Modelling and Analysis C</v>
      </c>
      <c r="B147" s="4" t="s">
        <v>6</v>
      </c>
      <c r="C147" s="4" t="str">
        <f t="shared" si="4"/>
        <v>-</v>
      </c>
      <c r="D147" s="4" t="str">
        <f>"12404535"</f>
        <v>12404535</v>
      </c>
      <c r="E147" s="4" t="str">
        <f>"-"</f>
        <v>-</v>
      </c>
      <c r="F147" s="4" t="s">
        <v>84</v>
      </c>
    </row>
    <row r="148" spans="1:6" x14ac:dyDescent="0.25">
      <c r="A148" s="4" t="str">
        <f>"Advances in Multimedia"</f>
        <v>Advances in Multimedia</v>
      </c>
      <c r="B148" s="4" t="s">
        <v>6</v>
      </c>
      <c r="C148" s="4" t="str">
        <f t="shared" si="4"/>
        <v>-</v>
      </c>
      <c r="D148" s="4" t="str">
        <f>"16875680"</f>
        <v>16875680</v>
      </c>
      <c r="E148" s="4" t="str">
        <f>"16875699"</f>
        <v>16875699</v>
      </c>
      <c r="F148" s="4" t="s">
        <v>54</v>
      </c>
    </row>
    <row r="149" spans="1:6" x14ac:dyDescent="0.25">
      <c r="A149" s="4" t="str">
        <f>"Advances in Neural Information Processing Systems"</f>
        <v>Advances in Neural Information Processing Systems</v>
      </c>
      <c r="B149" s="4" t="s">
        <v>8</v>
      </c>
      <c r="C149" s="4" t="str">
        <f t="shared" si="4"/>
        <v>-</v>
      </c>
      <c r="D149" s="4" t="str">
        <f>"10495258"</f>
        <v>10495258</v>
      </c>
      <c r="E149" s="4" t="str">
        <f>"-"</f>
        <v>-</v>
      </c>
      <c r="F149" s="4" t="s">
        <v>85</v>
      </c>
    </row>
    <row r="150" spans="1:6" x14ac:dyDescent="0.25">
      <c r="A150" s="4" t="str">
        <f>"Advances in Optics and Photonics"</f>
        <v>Advances in Optics and Photonics</v>
      </c>
      <c r="B150" s="4" t="s">
        <v>6</v>
      </c>
      <c r="C150" s="4" t="str">
        <f t="shared" si="4"/>
        <v>-</v>
      </c>
      <c r="D150" s="4" t="str">
        <f>"-"</f>
        <v>-</v>
      </c>
      <c r="E150" s="4" t="str">
        <f>"19438206"</f>
        <v>19438206</v>
      </c>
      <c r="F150" s="4" t="s">
        <v>86</v>
      </c>
    </row>
    <row r="151" spans="1:6" x14ac:dyDescent="0.25">
      <c r="A151" s="4" t="str">
        <f>"Advances in OptoElectronics"</f>
        <v>Advances in OptoElectronics</v>
      </c>
      <c r="B151" s="4" t="s">
        <v>6</v>
      </c>
      <c r="C151" s="4" t="str">
        <f t="shared" si="4"/>
        <v>-</v>
      </c>
      <c r="D151" s="4" t="str">
        <f>"1687563X"</f>
        <v>1687563X</v>
      </c>
      <c r="E151" s="4" t="str">
        <f>"16875648"</f>
        <v>16875648</v>
      </c>
      <c r="F151" s="4" t="s">
        <v>54</v>
      </c>
    </row>
    <row r="152" spans="1:6" x14ac:dyDescent="0.25">
      <c r="A152" s="4" t="str">
        <f>"Advances in Physics"</f>
        <v>Advances in Physics</v>
      </c>
      <c r="B152" s="4" t="s">
        <v>6</v>
      </c>
      <c r="C152" s="4" t="str">
        <f t="shared" si="4"/>
        <v>-</v>
      </c>
      <c r="D152" s="4" t="str">
        <f>"00018732"</f>
        <v>00018732</v>
      </c>
      <c r="E152" s="4" t="str">
        <f>"14606976"</f>
        <v>14606976</v>
      </c>
      <c r="F152" s="4" t="s">
        <v>60</v>
      </c>
    </row>
    <row r="153" spans="1:6" x14ac:dyDescent="0.25">
      <c r="A153" s="4" t="str">
        <f>"Advances in Polymer Technology"</f>
        <v>Advances in Polymer Technology</v>
      </c>
      <c r="B153" s="4" t="s">
        <v>6</v>
      </c>
      <c r="C153" s="4" t="str">
        <f t="shared" si="4"/>
        <v>-</v>
      </c>
      <c r="D153" s="4" t="str">
        <f>"07306679"</f>
        <v>07306679</v>
      </c>
      <c r="E153" s="4" t="str">
        <f>"10982329"</f>
        <v>10982329</v>
      </c>
      <c r="F153" s="4" t="s">
        <v>87</v>
      </c>
    </row>
    <row r="154" spans="1:6" x14ac:dyDescent="0.25">
      <c r="A154" s="4" t="str">
        <f>"Advances in Powder Metallurgy and Particulate Materials"</f>
        <v>Advances in Powder Metallurgy and Particulate Materials</v>
      </c>
      <c r="B154" s="4" t="s">
        <v>8</v>
      </c>
      <c r="C154" s="4" t="str">
        <f t="shared" si="4"/>
        <v>-</v>
      </c>
      <c r="D154" s="4" t="str">
        <f>"10428860"</f>
        <v>10428860</v>
      </c>
      <c r="E154" s="4" t="str">
        <f>"-"</f>
        <v>-</v>
      </c>
      <c r="F154" s="4" t="s">
        <v>88</v>
      </c>
    </row>
    <row r="155" spans="1:6" x14ac:dyDescent="0.25">
      <c r="A155" s="4" t="str">
        <f>"Advances in Radio Science"</f>
        <v>Advances in Radio Science</v>
      </c>
      <c r="B155" s="4" t="s">
        <v>6</v>
      </c>
      <c r="C155" s="4" t="str">
        <f t="shared" si="4"/>
        <v>-</v>
      </c>
      <c r="D155" s="4" t="str">
        <f>"16849965"</f>
        <v>16849965</v>
      </c>
      <c r="E155" s="4" t="str">
        <f>"16849973"</f>
        <v>16849973</v>
      </c>
      <c r="F155" s="4" t="s">
        <v>89</v>
      </c>
    </row>
    <row r="156" spans="1:6" x14ac:dyDescent="0.25">
      <c r="A156" s="4" t="str">
        <f>"Advances in Space Research"</f>
        <v>Advances in Space Research</v>
      </c>
      <c r="B156" s="4" t="s">
        <v>6</v>
      </c>
      <c r="C156" s="4" t="str">
        <f t="shared" si="4"/>
        <v>-</v>
      </c>
      <c r="D156" s="4" t="str">
        <f>"02731177"</f>
        <v>02731177</v>
      </c>
      <c r="E156" s="4" t="str">
        <f>"18791948"</f>
        <v>18791948</v>
      </c>
      <c r="F156" s="4" t="s">
        <v>19</v>
      </c>
    </row>
    <row r="157" spans="1:6" x14ac:dyDescent="0.25">
      <c r="A157" s="4" t="str">
        <f>"Advances in Structural Engineering"</f>
        <v>Advances in Structural Engineering</v>
      </c>
      <c r="B157" s="4" t="s">
        <v>6</v>
      </c>
      <c r="C157" s="4" t="str">
        <f t="shared" si="4"/>
        <v>-</v>
      </c>
      <c r="D157" s="4" t="str">
        <f>"13694332"</f>
        <v>13694332</v>
      </c>
      <c r="E157" s="4" t="str">
        <f t="shared" ref="E157:E163" si="5">"-"</f>
        <v>-</v>
      </c>
      <c r="F157" s="4" t="s">
        <v>58</v>
      </c>
    </row>
    <row r="158" spans="1:6" x14ac:dyDescent="0.25">
      <c r="A158" s="4" t="str">
        <f>"Advances in the Astronautical Sciences"</f>
        <v>Advances in the Astronautical Sciences</v>
      </c>
      <c r="B158" s="4" t="s">
        <v>8</v>
      </c>
      <c r="C158" s="4" t="str">
        <f t="shared" si="4"/>
        <v>-</v>
      </c>
      <c r="D158" s="4" t="str">
        <f>"00653438"</f>
        <v>00653438</v>
      </c>
      <c r="E158" s="4" t="str">
        <f t="shared" si="5"/>
        <v>-</v>
      </c>
      <c r="F158" s="4" t="s">
        <v>90</v>
      </c>
    </row>
    <row r="159" spans="1:6" x14ac:dyDescent="0.25">
      <c r="A159" s="4" t="str">
        <f>"Advances in Transdisciplinary Engineering"</f>
        <v>Advances in Transdisciplinary Engineering</v>
      </c>
      <c r="B159" s="4" t="s">
        <v>8</v>
      </c>
      <c r="C159" s="4" t="str">
        <f>"9781614994398"</f>
        <v>9781614994398</v>
      </c>
      <c r="D159" s="4" t="str">
        <f>"-"</f>
        <v>-</v>
      </c>
      <c r="E159" s="4" t="str">
        <f t="shared" si="5"/>
        <v>-</v>
      </c>
      <c r="F159" s="4" t="s">
        <v>91</v>
      </c>
    </row>
    <row r="160" spans="1:6" x14ac:dyDescent="0.25">
      <c r="A160" s="4" t="str">
        <f>"Advances in Transportation Studies"</f>
        <v>Advances in Transportation Studies</v>
      </c>
      <c r="B160" s="4" t="s">
        <v>6</v>
      </c>
      <c r="C160" s="4" t="str">
        <f t="shared" ref="C160:C223" si="6">"-"</f>
        <v>-</v>
      </c>
      <c r="D160" s="4" t="str">
        <f>"18245463"</f>
        <v>18245463</v>
      </c>
      <c r="E160" s="4" t="str">
        <f t="shared" si="5"/>
        <v>-</v>
      </c>
      <c r="F160" s="4" t="s">
        <v>92</v>
      </c>
    </row>
    <row r="161" spans="1:6" x14ac:dyDescent="0.25">
      <c r="A161" s="4" t="str">
        <f>"Advances in Water Resources"</f>
        <v>Advances in Water Resources</v>
      </c>
      <c r="B161" s="4" t="s">
        <v>6</v>
      </c>
      <c r="C161" s="4" t="str">
        <f t="shared" si="6"/>
        <v>-</v>
      </c>
      <c r="D161" s="4" t="str">
        <f>"03091708"</f>
        <v>03091708</v>
      </c>
      <c r="E161" s="4" t="str">
        <f t="shared" si="5"/>
        <v>-</v>
      </c>
      <c r="F161" s="4" t="s">
        <v>19</v>
      </c>
    </row>
    <row r="162" spans="1:6" x14ac:dyDescent="0.25">
      <c r="A162" s="4" t="str">
        <f>"Advancing Microelectronics"</f>
        <v>Advancing Microelectronics</v>
      </c>
      <c r="B162" s="4" t="s">
        <v>6</v>
      </c>
      <c r="C162" s="4" t="str">
        <f t="shared" si="6"/>
        <v>-</v>
      </c>
      <c r="D162" s="4" t="str">
        <f>"22228748"</f>
        <v>22228748</v>
      </c>
      <c r="E162" s="4" t="str">
        <f t="shared" si="5"/>
        <v>-</v>
      </c>
      <c r="F162" s="4" t="s">
        <v>93</v>
      </c>
    </row>
    <row r="163" spans="1:6" x14ac:dyDescent="0.25">
      <c r="A163" s="4" t="str">
        <f>"Aeronautical Journal"</f>
        <v>Aeronautical Journal</v>
      </c>
      <c r="B163" s="4" t="s">
        <v>6</v>
      </c>
      <c r="C163" s="4" t="str">
        <f t="shared" si="6"/>
        <v>-</v>
      </c>
      <c r="D163" s="4" t="str">
        <f>"00019240"</f>
        <v>00019240</v>
      </c>
      <c r="E163" s="4" t="str">
        <f t="shared" si="5"/>
        <v>-</v>
      </c>
      <c r="F163" s="4" t="s">
        <v>94</v>
      </c>
    </row>
    <row r="164" spans="1:6" x14ac:dyDescent="0.25">
      <c r="A164" s="4" t="str">
        <f>"Aerosol and Air Quality Research"</f>
        <v>Aerosol and Air Quality Research</v>
      </c>
      <c r="B164" s="4" t="s">
        <v>6</v>
      </c>
      <c r="C164" s="4" t="str">
        <f t="shared" si="6"/>
        <v>-</v>
      </c>
      <c r="D164" s="4" t="str">
        <f>"16808584"</f>
        <v>16808584</v>
      </c>
      <c r="E164" s="4" t="str">
        <f>"20711409"</f>
        <v>20711409</v>
      </c>
      <c r="F164" s="4" t="s">
        <v>95</v>
      </c>
    </row>
    <row r="165" spans="1:6" x14ac:dyDescent="0.25">
      <c r="A165" s="4" t="str">
        <f>"Aerosol Science and Technology"</f>
        <v>Aerosol Science and Technology</v>
      </c>
      <c r="B165" s="4" t="s">
        <v>6</v>
      </c>
      <c r="C165" s="4" t="str">
        <f t="shared" si="6"/>
        <v>-</v>
      </c>
      <c r="D165" s="4" t="str">
        <f>"02786826"</f>
        <v>02786826</v>
      </c>
      <c r="E165" s="4" t="str">
        <f>"15217388"</f>
        <v>15217388</v>
      </c>
      <c r="F165" s="4" t="s">
        <v>96</v>
      </c>
    </row>
    <row r="166" spans="1:6" x14ac:dyDescent="0.25">
      <c r="A166" s="4" t="str">
        <f>"Aerospace Science and Technology"</f>
        <v>Aerospace Science and Technology</v>
      </c>
      <c r="B166" s="4" t="s">
        <v>6</v>
      </c>
      <c r="C166" s="4" t="str">
        <f t="shared" si="6"/>
        <v>-</v>
      </c>
      <c r="D166" s="4" t="str">
        <f>"12709638"</f>
        <v>12709638</v>
      </c>
      <c r="E166" s="4" t="str">
        <f>"-"</f>
        <v>-</v>
      </c>
      <c r="F166" s="4" t="s">
        <v>97</v>
      </c>
    </row>
    <row r="167" spans="1:6" x14ac:dyDescent="0.25">
      <c r="A167" s="4" t="str">
        <f>"AES: Journal of the Audio Engineering Society"</f>
        <v>AES: Journal of the Audio Engineering Society</v>
      </c>
      <c r="B167" s="4" t="s">
        <v>6</v>
      </c>
      <c r="C167" s="4" t="str">
        <f t="shared" si="6"/>
        <v>-</v>
      </c>
      <c r="D167" s="4" t="str">
        <f>"15494950"</f>
        <v>15494950</v>
      </c>
      <c r="E167" s="4" t="str">
        <f>"-"</f>
        <v>-</v>
      </c>
      <c r="F167" s="4" t="s">
        <v>98</v>
      </c>
    </row>
    <row r="168" spans="1:6" ht="30" x14ac:dyDescent="0.25">
      <c r="A168" s="4" t="str">
        <f>"AES-ATEMA International Conference Series - Advances and Trends in Engineering Materials and their Applications"</f>
        <v>AES-ATEMA International Conference Series - Advances and Trends in Engineering Materials and their Applications</v>
      </c>
      <c r="B168" s="4" t="s">
        <v>8</v>
      </c>
      <c r="C168" s="4" t="str">
        <f t="shared" si="6"/>
        <v>-</v>
      </c>
      <c r="D168" s="4" t="str">
        <f>"19243642"</f>
        <v>19243642</v>
      </c>
      <c r="E168" s="4" t="str">
        <f>"-"</f>
        <v>-</v>
      </c>
      <c r="F168" s="4" t="s">
        <v>99</v>
      </c>
    </row>
    <row r="169" spans="1:6" x14ac:dyDescent="0.25">
      <c r="A169" s="4" t="str">
        <f>"AEU - International Journal of Electronics and Communications"</f>
        <v>AEU - International Journal of Electronics and Communications</v>
      </c>
      <c r="B169" s="4" t="s">
        <v>6</v>
      </c>
      <c r="C169" s="4" t="str">
        <f t="shared" si="6"/>
        <v>-</v>
      </c>
      <c r="D169" s="4" t="str">
        <f>"14348411"</f>
        <v>14348411</v>
      </c>
      <c r="E169" s="4" t="str">
        <f>"16180399"</f>
        <v>16180399</v>
      </c>
      <c r="F169" s="4" t="s">
        <v>100</v>
      </c>
    </row>
    <row r="170" spans="1:6" x14ac:dyDescent="0.25">
      <c r="A170" s="4" t="str">
        <f>"Agricultural Research"</f>
        <v>Agricultural Research</v>
      </c>
      <c r="B170" s="4" t="s">
        <v>6</v>
      </c>
      <c r="C170" s="4" t="str">
        <f t="shared" si="6"/>
        <v>-</v>
      </c>
      <c r="D170" s="4" t="str">
        <f>"2249720X"</f>
        <v>2249720X</v>
      </c>
      <c r="E170" s="4" t="str">
        <f>"22497218"</f>
        <v>22497218</v>
      </c>
      <c r="F170" s="4" t="s">
        <v>101</v>
      </c>
    </row>
    <row r="171" spans="1:6" x14ac:dyDescent="0.25">
      <c r="A171" s="4" t="str">
        <f>"Agricultural Water Management"</f>
        <v>Agricultural Water Management</v>
      </c>
      <c r="B171" s="4" t="s">
        <v>6</v>
      </c>
      <c r="C171" s="4" t="str">
        <f t="shared" si="6"/>
        <v>-</v>
      </c>
      <c r="D171" s="4" t="str">
        <f>"03783774"</f>
        <v>03783774</v>
      </c>
      <c r="E171" s="4" t="str">
        <f>"18732283"</f>
        <v>18732283</v>
      </c>
      <c r="F171" s="4" t="s">
        <v>55</v>
      </c>
    </row>
    <row r="172" spans="1:6" x14ac:dyDescent="0.25">
      <c r="A172" s="4" t="str">
        <f>"Agro Food Industry Hi-Tech"</f>
        <v>Agro Food Industry Hi-Tech</v>
      </c>
      <c r="B172" s="4" t="s">
        <v>6</v>
      </c>
      <c r="C172" s="4" t="str">
        <f t="shared" si="6"/>
        <v>-</v>
      </c>
      <c r="D172" s="4" t="str">
        <f>"17226996"</f>
        <v>17226996</v>
      </c>
      <c r="E172" s="4" t="str">
        <f>"20354606"</f>
        <v>20354606</v>
      </c>
      <c r="F172" s="4" t="s">
        <v>102</v>
      </c>
    </row>
    <row r="173" spans="1:6" x14ac:dyDescent="0.25">
      <c r="A173" s="4" t="str">
        <f>"AI and Society"</f>
        <v>AI and Society</v>
      </c>
      <c r="B173" s="4" t="s">
        <v>6</v>
      </c>
      <c r="C173" s="4" t="str">
        <f t="shared" si="6"/>
        <v>-</v>
      </c>
      <c r="D173" s="4" t="str">
        <f>"09515666"</f>
        <v>09515666</v>
      </c>
      <c r="E173" s="4" t="str">
        <f>"14355655"</f>
        <v>14355655</v>
      </c>
      <c r="F173" s="4" t="s">
        <v>62</v>
      </c>
    </row>
    <row r="174" spans="1:6" x14ac:dyDescent="0.25">
      <c r="A174" s="4" t="str">
        <f>"AI Communications"</f>
        <v>AI Communications</v>
      </c>
      <c r="B174" s="4" t="s">
        <v>6</v>
      </c>
      <c r="C174" s="4" t="str">
        <f t="shared" si="6"/>
        <v>-</v>
      </c>
      <c r="D174" s="4" t="str">
        <f>"09217126"</f>
        <v>09217126</v>
      </c>
      <c r="E174" s="4" t="str">
        <f>"-"</f>
        <v>-</v>
      </c>
      <c r="F174" s="4" t="s">
        <v>103</v>
      </c>
    </row>
    <row r="175" spans="1:6" x14ac:dyDescent="0.25">
      <c r="A175" s="4" t="str">
        <f>"AI Magazine"</f>
        <v>AI Magazine</v>
      </c>
      <c r="B175" s="4" t="s">
        <v>6</v>
      </c>
      <c r="C175" s="4" t="str">
        <f t="shared" si="6"/>
        <v>-</v>
      </c>
      <c r="D175" s="4" t="str">
        <f>"07384602"</f>
        <v>07384602</v>
      </c>
      <c r="E175" s="4" t="str">
        <f>"-"</f>
        <v>-</v>
      </c>
      <c r="F175" s="4" t="s">
        <v>11</v>
      </c>
    </row>
    <row r="176" spans="1:6" x14ac:dyDescent="0.25">
      <c r="A176" s="4" t="str">
        <f>"AIAA Journal"</f>
        <v>AIAA Journal</v>
      </c>
      <c r="B176" s="4" t="s">
        <v>6</v>
      </c>
      <c r="C176" s="4" t="str">
        <f t="shared" si="6"/>
        <v>-</v>
      </c>
      <c r="D176" s="4" t="str">
        <f>"00011452"</f>
        <v>00011452</v>
      </c>
      <c r="E176" s="4" t="str">
        <f>"-"</f>
        <v>-</v>
      </c>
      <c r="F176" s="4" t="s">
        <v>104</v>
      </c>
    </row>
    <row r="177" spans="1:6" x14ac:dyDescent="0.25">
      <c r="A177" s="4" t="str">
        <f>"AIAA/IEEE Digital Avionics Systems Conference - Proceedings"</f>
        <v>AIAA/IEEE Digital Avionics Systems Conference - Proceedings</v>
      </c>
      <c r="B177" s="4" t="s">
        <v>8</v>
      </c>
      <c r="C177" s="4" t="str">
        <f t="shared" si="6"/>
        <v>-</v>
      </c>
      <c r="D177" s="4" t="str">
        <f>"21557195"</f>
        <v>21557195</v>
      </c>
      <c r="E177" s="4" t="str">
        <f>"21557209"</f>
        <v>21557209</v>
      </c>
      <c r="F177" s="4" t="s">
        <v>105</v>
      </c>
    </row>
    <row r="178" spans="1:6" x14ac:dyDescent="0.25">
      <c r="A178" s="4" t="str">
        <f>"AIChE Annual Meeting, Conference Proceedings"</f>
        <v>AIChE Annual Meeting, Conference Proceedings</v>
      </c>
      <c r="B178" s="4" t="s">
        <v>8</v>
      </c>
      <c r="C178" s="4" t="str">
        <f t="shared" si="6"/>
        <v>-</v>
      </c>
      <c r="D178" s="4" t="str">
        <f>"-"</f>
        <v>-</v>
      </c>
      <c r="E178" s="4" t="str">
        <f>"-"</f>
        <v>-</v>
      </c>
      <c r="F178" s="4" t="s">
        <v>106</v>
      </c>
    </row>
    <row r="179" spans="1:6" x14ac:dyDescent="0.25">
      <c r="A179" s="4" t="str">
        <f>"AIChE Journal"</f>
        <v>AIChE Journal</v>
      </c>
      <c r="B179" s="4" t="s">
        <v>6</v>
      </c>
      <c r="C179" s="4" t="str">
        <f t="shared" si="6"/>
        <v>-</v>
      </c>
      <c r="D179" s="4" t="str">
        <f>"00011541"</f>
        <v>00011541</v>
      </c>
      <c r="E179" s="4" t="str">
        <f>"15475905"</f>
        <v>15475905</v>
      </c>
      <c r="F179" s="4" t="s">
        <v>87</v>
      </c>
    </row>
    <row r="180" spans="1:6" x14ac:dyDescent="0.25">
      <c r="A180" s="4" t="str">
        <f>"AIJ Journal of Technology and Design"</f>
        <v>AIJ Journal of Technology and Design</v>
      </c>
      <c r="B180" s="4" t="s">
        <v>6</v>
      </c>
      <c r="C180" s="4" t="str">
        <f t="shared" si="6"/>
        <v>-</v>
      </c>
      <c r="D180" s="4" t="str">
        <f>"13419463"</f>
        <v>13419463</v>
      </c>
      <c r="E180" s="4" t="str">
        <f>"18818188"</f>
        <v>18818188</v>
      </c>
      <c r="F180" s="4" t="s">
        <v>107</v>
      </c>
    </row>
    <row r="181" spans="1:6" x14ac:dyDescent="0.25">
      <c r="A181" s="4" t="str">
        <f>"AIP Advances"</f>
        <v>AIP Advances</v>
      </c>
      <c r="B181" s="4" t="s">
        <v>6</v>
      </c>
      <c r="C181" s="4" t="str">
        <f t="shared" si="6"/>
        <v>-</v>
      </c>
      <c r="D181" s="4" t="str">
        <f>"-"</f>
        <v>-</v>
      </c>
      <c r="E181" s="4" t="str">
        <f>"21583226"</f>
        <v>21583226</v>
      </c>
      <c r="F181" s="4" t="s">
        <v>108</v>
      </c>
    </row>
    <row r="182" spans="1:6" x14ac:dyDescent="0.25">
      <c r="A182" s="4" t="str">
        <f>"AIP Conference Proceedings"</f>
        <v>AIP Conference Proceedings</v>
      </c>
      <c r="B182" s="4" t="s">
        <v>8</v>
      </c>
      <c r="C182" s="4" t="str">
        <f t="shared" si="6"/>
        <v>-</v>
      </c>
      <c r="D182" s="4" t="str">
        <f>"0094243X"</f>
        <v>0094243X</v>
      </c>
      <c r="E182" s="4" t="str">
        <f>"15517616"</f>
        <v>15517616</v>
      </c>
      <c r="F182" s="4" t="s">
        <v>108</v>
      </c>
    </row>
    <row r="183" spans="1:6" x14ac:dyDescent="0.25">
      <c r="A183" s="4" t="str">
        <f>"Air Force Magazine"</f>
        <v>Air Force Magazine</v>
      </c>
      <c r="B183" s="4" t="s">
        <v>6</v>
      </c>
      <c r="C183" s="4" t="str">
        <f t="shared" si="6"/>
        <v>-</v>
      </c>
      <c r="D183" s="4" t="str">
        <f>"07306784"</f>
        <v>07306784</v>
      </c>
      <c r="E183" s="4" t="str">
        <f>"-"</f>
        <v>-</v>
      </c>
      <c r="F183" s="4" t="s">
        <v>109</v>
      </c>
    </row>
    <row r="184" spans="1:6" x14ac:dyDescent="0.25">
      <c r="A184" s="4" t="str">
        <f>"Aircraft Engineering and Aerospace Technology"</f>
        <v>Aircraft Engineering and Aerospace Technology</v>
      </c>
      <c r="B184" s="4" t="s">
        <v>6</v>
      </c>
      <c r="C184" s="4" t="str">
        <f t="shared" si="6"/>
        <v>-</v>
      </c>
      <c r="D184" s="4" t="str">
        <f>"00022667"</f>
        <v>00022667</v>
      </c>
      <c r="E184" s="4" t="str">
        <f>"-"</f>
        <v>-</v>
      </c>
      <c r="F184" s="4" t="s">
        <v>110</v>
      </c>
    </row>
    <row r="185" spans="1:6" x14ac:dyDescent="0.25">
      <c r="A185" s="4" t="str">
        <f>"Airfield Pavement Conference Proceedings"</f>
        <v>Airfield Pavement Conference Proceedings</v>
      </c>
      <c r="B185" s="4" t="s">
        <v>8</v>
      </c>
      <c r="C185" s="4" t="str">
        <f t="shared" si="6"/>
        <v>-</v>
      </c>
      <c r="D185" s="4" t="str">
        <f>"-"</f>
        <v>-</v>
      </c>
      <c r="E185" s="4" t="str">
        <f>"-"</f>
        <v>-</v>
      </c>
      <c r="F185" s="4" t="s">
        <v>111</v>
      </c>
    </row>
    <row r="186" spans="1:6" x14ac:dyDescent="0.25">
      <c r="A186" s="4" t="str">
        <f>"AIST Today (International Edition)"</f>
        <v>AIST Today (International Edition)</v>
      </c>
      <c r="B186" s="4" t="s">
        <v>6</v>
      </c>
      <c r="C186" s="4" t="str">
        <f t="shared" si="6"/>
        <v>-</v>
      </c>
      <c r="D186" s="4" t="str">
        <f>"1346602X"</f>
        <v>1346602X</v>
      </c>
      <c r="E186" s="4" t="str">
        <f>"-"</f>
        <v>-</v>
      </c>
      <c r="F186" s="4" t="s">
        <v>112</v>
      </c>
    </row>
    <row r="187" spans="1:6" x14ac:dyDescent="0.25">
      <c r="A187" s="4" t="str">
        <f>"AISTech - Iron and Steel Technology Conference Proceedings"</f>
        <v>AISTech - Iron and Steel Technology Conference Proceedings</v>
      </c>
      <c r="B187" s="4" t="s">
        <v>8</v>
      </c>
      <c r="C187" s="4" t="str">
        <f t="shared" si="6"/>
        <v>-</v>
      </c>
      <c r="D187" s="4" t="str">
        <f>"15516997"</f>
        <v>15516997</v>
      </c>
      <c r="E187" s="4" t="str">
        <f>"-"</f>
        <v>-</v>
      </c>
      <c r="F187" s="4" t="s">
        <v>113</v>
      </c>
    </row>
    <row r="188" spans="1:6" x14ac:dyDescent="0.25">
      <c r="A188" s="4" t="str">
        <f>"Algebras and Representation Theory"</f>
        <v>Algebras and Representation Theory</v>
      </c>
      <c r="B188" s="4" t="s">
        <v>6</v>
      </c>
      <c r="C188" s="4" t="str">
        <f t="shared" si="6"/>
        <v>-</v>
      </c>
      <c r="D188" s="4" t="str">
        <f>"1386923X"</f>
        <v>1386923X</v>
      </c>
      <c r="E188" s="4" t="str">
        <f>"15729079"</f>
        <v>15729079</v>
      </c>
      <c r="F188" s="4" t="s">
        <v>31</v>
      </c>
    </row>
    <row r="189" spans="1:6" x14ac:dyDescent="0.25">
      <c r="A189" s="4" t="str">
        <f>"Algorithmica"</f>
        <v>Algorithmica</v>
      </c>
      <c r="B189" s="4" t="s">
        <v>6</v>
      </c>
      <c r="C189" s="4" t="str">
        <f t="shared" si="6"/>
        <v>-</v>
      </c>
      <c r="D189" s="4" t="str">
        <f>"01784617"</f>
        <v>01784617</v>
      </c>
      <c r="E189" s="4" t="str">
        <f>"14320541"</f>
        <v>14320541</v>
      </c>
      <c r="F189" s="4" t="s">
        <v>57</v>
      </c>
    </row>
    <row r="190" spans="1:6" x14ac:dyDescent="0.25">
      <c r="A190" s="4" t="str">
        <f>"Algorithms"</f>
        <v>Algorithms</v>
      </c>
      <c r="B190" s="4" t="s">
        <v>6</v>
      </c>
      <c r="C190" s="4" t="str">
        <f t="shared" si="6"/>
        <v>-</v>
      </c>
      <c r="D190" s="4" t="str">
        <f>"-"</f>
        <v>-</v>
      </c>
      <c r="E190" s="4" t="str">
        <f>"19994893"</f>
        <v>19994893</v>
      </c>
      <c r="F190" s="4" t="s">
        <v>114</v>
      </c>
    </row>
    <row r="191" spans="1:6" x14ac:dyDescent="0.25">
      <c r="A191" s="4" t="str">
        <f>"AMA, Agricultural Mechanization in Asia, Africa and Latin America"</f>
        <v>AMA, Agricultural Mechanization in Asia, Africa and Latin America</v>
      </c>
      <c r="B191" s="4" t="s">
        <v>6</v>
      </c>
      <c r="C191" s="4" t="str">
        <f t="shared" si="6"/>
        <v>-</v>
      </c>
      <c r="D191" s="4" t="str">
        <f>"00845841"</f>
        <v>00845841</v>
      </c>
      <c r="E191" s="4" t="str">
        <f>"-"</f>
        <v>-</v>
      </c>
      <c r="F191" s="4" t="s">
        <v>115</v>
      </c>
    </row>
    <row r="192" spans="1:6" x14ac:dyDescent="0.25">
      <c r="A192" s="4" t="str">
        <f>"American Chemical Society, Polymer Preprints, Division of Polymer Chemistry"</f>
        <v>American Chemical Society, Polymer Preprints, Division of Polymer Chemistry</v>
      </c>
      <c r="B192" s="4" t="s">
        <v>8</v>
      </c>
      <c r="C192" s="4" t="str">
        <f t="shared" si="6"/>
        <v>-</v>
      </c>
      <c r="D192" s="4" t="str">
        <f>"00323934"</f>
        <v>00323934</v>
      </c>
      <c r="E192" s="4" t="str">
        <f>"-"</f>
        <v>-</v>
      </c>
      <c r="F192" s="4" t="s">
        <v>116</v>
      </c>
    </row>
    <row r="193" spans="1:6" x14ac:dyDescent="0.25">
      <c r="A193" s="4" t="str">
        <f>"American City and County"</f>
        <v>American City and County</v>
      </c>
      <c r="B193" s="4" t="s">
        <v>6</v>
      </c>
      <c r="C193" s="4" t="str">
        <f t="shared" si="6"/>
        <v>-</v>
      </c>
      <c r="D193" s="4" t="str">
        <f>"0149337X"</f>
        <v>0149337X</v>
      </c>
      <c r="E193" s="4" t="str">
        <f>"-"</f>
        <v>-</v>
      </c>
      <c r="F193" s="4" t="s">
        <v>117</v>
      </c>
    </row>
    <row r="194" spans="1:6" x14ac:dyDescent="0.25">
      <c r="A194" s="4" t="str">
        <f>"American Concrete Institute, ACI Special Publication"</f>
        <v>American Concrete Institute, ACI Special Publication</v>
      </c>
      <c r="B194" s="4" t="s">
        <v>8</v>
      </c>
      <c r="C194" s="4" t="str">
        <f t="shared" si="6"/>
        <v>-</v>
      </c>
      <c r="D194" s="4" t="str">
        <f>"01932527"</f>
        <v>01932527</v>
      </c>
      <c r="E194" s="4" t="str">
        <f>"-"</f>
        <v>-</v>
      </c>
      <c r="F194" s="4" t="s">
        <v>20</v>
      </c>
    </row>
    <row r="195" spans="1:6" x14ac:dyDescent="0.25">
      <c r="A195" s="4" t="str">
        <f>"American Journal of Biochemistry and Biotechnology"</f>
        <v>American Journal of Biochemistry and Biotechnology</v>
      </c>
      <c r="B195" s="4" t="s">
        <v>6</v>
      </c>
      <c r="C195" s="4" t="str">
        <f t="shared" si="6"/>
        <v>-</v>
      </c>
      <c r="D195" s="4" t="str">
        <f>"15533468"</f>
        <v>15533468</v>
      </c>
      <c r="E195" s="4" t="str">
        <f>"-"</f>
        <v>-</v>
      </c>
      <c r="F195" s="4" t="s">
        <v>118</v>
      </c>
    </row>
    <row r="196" spans="1:6" x14ac:dyDescent="0.25">
      <c r="A196" s="4" t="str">
        <f>"American Journal of Food Technology"</f>
        <v>American Journal of Food Technology</v>
      </c>
      <c r="B196" s="4" t="s">
        <v>6</v>
      </c>
      <c r="C196" s="4" t="str">
        <f t="shared" si="6"/>
        <v>-</v>
      </c>
      <c r="D196" s="4" t="str">
        <f>"15574571"</f>
        <v>15574571</v>
      </c>
      <c r="E196" s="4" t="str">
        <f>"1557458X"</f>
        <v>1557458X</v>
      </c>
      <c r="F196" s="4" t="s">
        <v>118</v>
      </c>
    </row>
    <row r="197" spans="1:6" x14ac:dyDescent="0.25">
      <c r="A197" s="4" t="str">
        <f>"American Journal of Mathematical and Management Sciences"</f>
        <v>American Journal of Mathematical and Management Sciences</v>
      </c>
      <c r="B197" s="4" t="s">
        <v>6</v>
      </c>
      <c r="C197" s="4" t="str">
        <f t="shared" si="6"/>
        <v>-</v>
      </c>
      <c r="D197" s="4" t="str">
        <f>"01966324"</f>
        <v>01966324</v>
      </c>
      <c r="E197" s="4" t="str">
        <f t="shared" ref="E197:E227" si="7">"-"</f>
        <v>-</v>
      </c>
      <c r="F197" s="4" t="s">
        <v>60</v>
      </c>
    </row>
    <row r="198" spans="1:6" x14ac:dyDescent="0.25">
      <c r="A198" s="4" t="str">
        <f>"American Laboratory"</f>
        <v>American Laboratory</v>
      </c>
      <c r="B198" s="4" t="s">
        <v>22</v>
      </c>
      <c r="C198" s="4" t="str">
        <f t="shared" si="6"/>
        <v>-</v>
      </c>
      <c r="D198" s="4" t="str">
        <f>"00447749"</f>
        <v>00447749</v>
      </c>
      <c r="E198" s="4" t="str">
        <f t="shared" si="7"/>
        <v>-</v>
      </c>
      <c r="F198" s="4" t="s">
        <v>119</v>
      </c>
    </row>
    <row r="199" spans="1:6" x14ac:dyDescent="0.25">
      <c r="A199" s="4" t="str">
        <f>"American Society of Mechanical Engineers, Advanced Energy Systems Division (Publication) AES"</f>
        <v>American Society of Mechanical Engineers, Advanced Energy Systems Division (Publication) AES</v>
      </c>
      <c r="B199" s="4" t="s">
        <v>8</v>
      </c>
      <c r="C199" s="4" t="str">
        <f t="shared" si="6"/>
        <v>-</v>
      </c>
      <c r="D199" s="4" t="str">
        <f>"10716947"</f>
        <v>10716947</v>
      </c>
      <c r="E199" s="4" t="str">
        <f t="shared" si="7"/>
        <v>-</v>
      </c>
      <c r="F199" s="4" t="s">
        <v>73</v>
      </c>
    </row>
    <row r="200" spans="1:6" x14ac:dyDescent="0.25">
      <c r="A200" s="4" t="str">
        <f>"American Society of Mechanical Engineers, Aerospace Division (Publication) AD"</f>
        <v>American Society of Mechanical Engineers, Aerospace Division (Publication) AD</v>
      </c>
      <c r="B200" s="4" t="s">
        <v>8</v>
      </c>
      <c r="C200" s="4" t="str">
        <f t="shared" si="6"/>
        <v>-</v>
      </c>
      <c r="D200" s="4" t="str">
        <f>"07334230"</f>
        <v>07334230</v>
      </c>
      <c r="E200" s="4" t="str">
        <f t="shared" si="7"/>
        <v>-</v>
      </c>
      <c r="F200" s="4" t="s">
        <v>73</v>
      </c>
    </row>
    <row r="201" spans="1:6" x14ac:dyDescent="0.25">
      <c r="A201" s="4" t="str">
        <f>"American Society of Mechanical Engineers, Applied Mechanics Division, AMD"</f>
        <v>American Society of Mechanical Engineers, Applied Mechanics Division, AMD</v>
      </c>
      <c r="B201" s="4" t="s">
        <v>8</v>
      </c>
      <c r="C201" s="4" t="str">
        <f t="shared" si="6"/>
        <v>-</v>
      </c>
      <c r="D201" s="4" t="str">
        <f>"01608835"</f>
        <v>01608835</v>
      </c>
      <c r="E201" s="4" t="str">
        <f t="shared" si="7"/>
        <v>-</v>
      </c>
      <c r="F201" s="4" t="s">
        <v>73</v>
      </c>
    </row>
    <row r="202" spans="1:6" x14ac:dyDescent="0.25">
      <c r="A202" s="4" t="str">
        <f>"American Society of Mechanical Engineers, Bioengineering Division (Publication) BED"</f>
        <v>American Society of Mechanical Engineers, Bioengineering Division (Publication) BED</v>
      </c>
      <c r="B202" s="4" t="s">
        <v>8</v>
      </c>
      <c r="C202" s="4" t="str">
        <f t="shared" si="6"/>
        <v>-</v>
      </c>
      <c r="D202" s="4" t="str">
        <f>"10716947"</f>
        <v>10716947</v>
      </c>
      <c r="E202" s="4" t="str">
        <f t="shared" si="7"/>
        <v>-</v>
      </c>
      <c r="F202" s="4" t="s">
        <v>73</v>
      </c>
    </row>
    <row r="203" spans="1:6" x14ac:dyDescent="0.25">
      <c r="A203" s="4" t="str">
        <f>"American Society of Mechanical Engineers, Computers and Information in Engineering Division, CED"</f>
        <v>American Society of Mechanical Engineers, Computers and Information in Engineering Division, CED</v>
      </c>
      <c r="B203" s="4" t="s">
        <v>8</v>
      </c>
      <c r="C203" s="4" t="str">
        <f t="shared" si="6"/>
        <v>-</v>
      </c>
      <c r="D203" s="4" t="str">
        <f>"-"</f>
        <v>-</v>
      </c>
      <c r="E203" s="4" t="str">
        <f t="shared" si="7"/>
        <v>-</v>
      </c>
      <c r="F203" s="4" t="s">
        <v>73</v>
      </c>
    </row>
    <row r="204" spans="1:6" x14ac:dyDescent="0.25">
      <c r="A204" s="4" t="str">
        <f>"American Society of Mechanical Engineers, Design Engineering Division (Publication) DE"</f>
        <v>American Society of Mechanical Engineers, Design Engineering Division (Publication) DE</v>
      </c>
      <c r="B204" s="4" t="s">
        <v>8</v>
      </c>
      <c r="C204" s="4" t="str">
        <f t="shared" si="6"/>
        <v>-</v>
      </c>
      <c r="D204" s="4" t="str">
        <f>"-"</f>
        <v>-</v>
      </c>
      <c r="E204" s="4" t="str">
        <f t="shared" si="7"/>
        <v>-</v>
      </c>
      <c r="F204" s="4" t="s">
        <v>73</v>
      </c>
    </row>
    <row r="205" spans="1:6" x14ac:dyDescent="0.25">
      <c r="A205" s="4" t="str">
        <f>"American Society of Mechanical Engineers, Dynamic Systems and Control Division (Publication) DSCC"</f>
        <v>American Society of Mechanical Engineers, Dynamic Systems and Control Division (Publication) DSCC</v>
      </c>
      <c r="B205" s="4" t="s">
        <v>8</v>
      </c>
      <c r="C205" s="4" t="str">
        <f t="shared" si="6"/>
        <v>-</v>
      </c>
      <c r="D205" s="4" t="str">
        <f>"-"</f>
        <v>-</v>
      </c>
      <c r="E205" s="4" t="str">
        <f t="shared" si="7"/>
        <v>-</v>
      </c>
      <c r="F205" s="4" t="s">
        <v>73</v>
      </c>
    </row>
    <row r="206" spans="1:6" x14ac:dyDescent="0.25">
      <c r="A206" s="4" t="str">
        <f>"American Society of Mechanical Engineers, Electronic and Photonic Packaging, EPP"</f>
        <v>American Society of Mechanical Engineers, Electronic and Photonic Packaging, EPP</v>
      </c>
      <c r="B206" s="4" t="s">
        <v>8</v>
      </c>
      <c r="C206" s="4" t="str">
        <f t="shared" si="6"/>
        <v>-</v>
      </c>
      <c r="D206" s="4" t="str">
        <f>"-"</f>
        <v>-</v>
      </c>
      <c r="E206" s="4" t="str">
        <f t="shared" si="7"/>
        <v>-</v>
      </c>
      <c r="F206" s="4" t="s">
        <v>73</v>
      </c>
    </row>
    <row r="207" spans="1:6" x14ac:dyDescent="0.25">
      <c r="A207" s="4" t="str">
        <f>"American Society of Mechanical Engineers, Fluids Engineering Division (Publication) FEDSM"</f>
        <v>American Society of Mechanical Engineers, Fluids Engineering Division (Publication) FEDSM</v>
      </c>
      <c r="B207" s="4" t="s">
        <v>8</v>
      </c>
      <c r="C207" s="4" t="str">
        <f t="shared" si="6"/>
        <v>-</v>
      </c>
      <c r="D207" s="4" t="str">
        <f>"08888116"</f>
        <v>08888116</v>
      </c>
      <c r="E207" s="4" t="str">
        <f t="shared" si="7"/>
        <v>-</v>
      </c>
      <c r="F207" s="4" t="s">
        <v>73</v>
      </c>
    </row>
    <row r="208" spans="1:6" ht="30" x14ac:dyDescent="0.25">
      <c r="A208" s="4" t="str">
        <f>"American Society of Mechanical Engineers, Fuels and Combustion Technologies Division (Publication) FACT"</f>
        <v>American Society of Mechanical Engineers, Fuels and Combustion Technologies Division (Publication) FACT</v>
      </c>
      <c r="B208" s="4" t="s">
        <v>8</v>
      </c>
      <c r="C208" s="4" t="str">
        <f t="shared" si="6"/>
        <v>-</v>
      </c>
      <c r="D208" s="4" t="str">
        <f>"1066503X"</f>
        <v>1066503X</v>
      </c>
      <c r="E208" s="4" t="str">
        <f t="shared" si="7"/>
        <v>-</v>
      </c>
      <c r="F208" s="4" t="s">
        <v>73</v>
      </c>
    </row>
    <row r="209" spans="1:6" x14ac:dyDescent="0.25">
      <c r="A209" s="4" t="str">
        <f>"American Society of Mechanical Engineers, Heat Transfer Division, (Publication) HTD"</f>
        <v>American Society of Mechanical Engineers, Heat Transfer Division, (Publication) HTD</v>
      </c>
      <c r="B209" s="4" t="s">
        <v>8</v>
      </c>
      <c r="C209" s="4" t="str">
        <f t="shared" si="6"/>
        <v>-</v>
      </c>
      <c r="D209" s="4" t="str">
        <f>"02725673"</f>
        <v>02725673</v>
      </c>
      <c r="E209" s="4" t="str">
        <f t="shared" si="7"/>
        <v>-</v>
      </c>
      <c r="F209" s="4" t="s">
        <v>73</v>
      </c>
    </row>
    <row r="210" spans="1:6" x14ac:dyDescent="0.25">
      <c r="A210" s="4" t="str">
        <f>"American Society of Mechanical Engineers, Internal Combustion Engine Division (Publication) ICE"</f>
        <v>American Society of Mechanical Engineers, Internal Combustion Engine Division (Publication) ICE</v>
      </c>
      <c r="B210" s="4" t="s">
        <v>8</v>
      </c>
      <c r="C210" s="4" t="str">
        <f t="shared" si="6"/>
        <v>-</v>
      </c>
      <c r="D210" s="4" t="str">
        <f>"10665048"</f>
        <v>10665048</v>
      </c>
      <c r="E210" s="4" t="str">
        <f t="shared" si="7"/>
        <v>-</v>
      </c>
      <c r="F210" s="4" t="s">
        <v>73</v>
      </c>
    </row>
    <row r="211" spans="1:6" x14ac:dyDescent="0.25">
      <c r="A211" s="4" t="str">
        <f>"American Society of Mechanical Engineers, Manufacturing Engineering Division, MED"</f>
        <v>American Society of Mechanical Engineers, Manufacturing Engineering Division, MED</v>
      </c>
      <c r="B211" s="4" t="s">
        <v>8</v>
      </c>
      <c r="C211" s="4" t="str">
        <f t="shared" si="6"/>
        <v>-</v>
      </c>
      <c r="D211" s="4" t="str">
        <f>"-"</f>
        <v>-</v>
      </c>
      <c r="E211" s="4" t="str">
        <f t="shared" si="7"/>
        <v>-</v>
      </c>
      <c r="F211" s="4" t="s">
        <v>73</v>
      </c>
    </row>
    <row r="212" spans="1:6" x14ac:dyDescent="0.25">
      <c r="A212" s="4" t="str">
        <f>"American Society of Mechanical Engineers, Material Handling Division, MHD"</f>
        <v>American Society of Mechanical Engineers, Material Handling Division, MHD</v>
      </c>
      <c r="B212" s="4" t="s">
        <v>8</v>
      </c>
      <c r="C212" s="4" t="str">
        <f t="shared" si="6"/>
        <v>-</v>
      </c>
      <c r="D212" s="4" t="str">
        <f>"-"</f>
        <v>-</v>
      </c>
      <c r="E212" s="4" t="str">
        <f t="shared" si="7"/>
        <v>-</v>
      </c>
      <c r="F212" s="4" t="s">
        <v>73</v>
      </c>
    </row>
    <row r="213" spans="1:6" x14ac:dyDescent="0.25">
      <c r="A213" s="4" t="str">
        <f>"American Society of Mechanical Engineers, Materials Division (Publication) MD"</f>
        <v>American Society of Mechanical Engineers, Materials Division (Publication) MD</v>
      </c>
      <c r="B213" s="4" t="s">
        <v>8</v>
      </c>
      <c r="C213" s="4" t="str">
        <f t="shared" si="6"/>
        <v>-</v>
      </c>
      <c r="D213" s="4" t="str">
        <f>"10716939"</f>
        <v>10716939</v>
      </c>
      <c r="E213" s="4" t="str">
        <f t="shared" si="7"/>
        <v>-</v>
      </c>
      <c r="F213" s="4" t="s">
        <v>73</v>
      </c>
    </row>
    <row r="214" spans="1:6" ht="30" x14ac:dyDescent="0.25">
      <c r="A214" s="4" t="str">
        <f>"American Society of Mechanical Engineers, Micro-Electro Mechanical Systems Division, (Publications) MEMS"</f>
        <v>American Society of Mechanical Engineers, Micro-Electro Mechanical Systems Division, (Publications) MEMS</v>
      </c>
      <c r="B214" s="4" t="s">
        <v>8</v>
      </c>
      <c r="C214" s="4" t="str">
        <f t="shared" si="6"/>
        <v>-</v>
      </c>
      <c r="D214" s="4" t="str">
        <f>"1096665X"</f>
        <v>1096665X</v>
      </c>
      <c r="E214" s="4" t="str">
        <f t="shared" si="7"/>
        <v>-</v>
      </c>
      <c r="F214" s="4" t="s">
        <v>73</v>
      </c>
    </row>
    <row r="215" spans="1:6" x14ac:dyDescent="0.25">
      <c r="A215" s="4" t="str">
        <f>"American Society of Mechanical Engineers, Noise Control and Acoustics Division (Publication) NCAD"</f>
        <v>American Society of Mechanical Engineers, Noise Control and Acoustics Division (Publication) NCAD</v>
      </c>
      <c r="B215" s="4" t="s">
        <v>8</v>
      </c>
      <c r="C215" s="4" t="str">
        <f t="shared" si="6"/>
        <v>-</v>
      </c>
      <c r="D215" s="4" t="str">
        <f>"-"</f>
        <v>-</v>
      </c>
      <c r="E215" s="4" t="str">
        <f t="shared" si="7"/>
        <v>-</v>
      </c>
      <c r="F215" s="4" t="s">
        <v>73</v>
      </c>
    </row>
    <row r="216" spans="1:6" ht="30" x14ac:dyDescent="0.25">
      <c r="A216" s="4" t="str">
        <f>"American Society of Mechanical Engineers, Nondestructive Evaluation Engineering Division (Publication) NDE"</f>
        <v>American Society of Mechanical Engineers, Nondestructive Evaluation Engineering Division (Publication) NDE</v>
      </c>
      <c r="B216" s="4" t="s">
        <v>8</v>
      </c>
      <c r="C216" s="4" t="str">
        <f t="shared" si="6"/>
        <v>-</v>
      </c>
      <c r="D216" s="4" t="str">
        <f>"-"</f>
        <v>-</v>
      </c>
      <c r="E216" s="4" t="str">
        <f t="shared" si="7"/>
        <v>-</v>
      </c>
      <c r="F216" s="4" t="s">
        <v>73</v>
      </c>
    </row>
    <row r="217" spans="1:6" x14ac:dyDescent="0.25">
      <c r="A217" s="4" t="str">
        <f>"American Society of Mechanical Engineers, Petroleum Division (Publication) PD"</f>
        <v>American Society of Mechanical Engineers, Petroleum Division (Publication) PD</v>
      </c>
      <c r="B217" s="4" t="s">
        <v>8</v>
      </c>
      <c r="C217" s="4" t="str">
        <f t="shared" si="6"/>
        <v>-</v>
      </c>
      <c r="D217" s="4" t="str">
        <f>"-"</f>
        <v>-</v>
      </c>
      <c r="E217" s="4" t="str">
        <f t="shared" si="7"/>
        <v>-</v>
      </c>
      <c r="F217" s="4" t="s">
        <v>73</v>
      </c>
    </row>
    <row r="218" spans="1:6" x14ac:dyDescent="0.25">
      <c r="A218" s="4" t="str">
        <f>"American Society of Mechanical Engineers, Power Division (Publication) POWER"</f>
        <v>American Society of Mechanical Engineers, Power Division (Publication) POWER</v>
      </c>
      <c r="B218" s="4" t="s">
        <v>8</v>
      </c>
      <c r="C218" s="4" t="str">
        <f t="shared" si="6"/>
        <v>-</v>
      </c>
      <c r="D218" s="4" t="str">
        <f>"-"</f>
        <v>-</v>
      </c>
      <c r="E218" s="4" t="str">
        <f t="shared" si="7"/>
        <v>-</v>
      </c>
      <c r="F218" s="4" t="s">
        <v>73</v>
      </c>
    </row>
    <row r="219" spans="1:6" x14ac:dyDescent="0.25">
      <c r="A219" s="4" t="str">
        <f>"American Society of Mechanical Engineers, Pressure Vessels and Piping Division (Publication) PVP"</f>
        <v>American Society of Mechanical Engineers, Pressure Vessels and Piping Division (Publication) PVP</v>
      </c>
      <c r="B219" s="4" t="s">
        <v>8</v>
      </c>
      <c r="C219" s="4" t="str">
        <f t="shared" si="6"/>
        <v>-</v>
      </c>
      <c r="D219" s="4" t="str">
        <f>"0277027X"</f>
        <v>0277027X</v>
      </c>
      <c r="E219" s="4" t="str">
        <f t="shared" si="7"/>
        <v>-</v>
      </c>
      <c r="F219" s="4" t="s">
        <v>73</v>
      </c>
    </row>
    <row r="220" spans="1:6" x14ac:dyDescent="0.25">
      <c r="A220" s="4" t="str">
        <f>"American Society of Mechanical Engineers, Rail Transportation Division (Publication) RTD"</f>
        <v>American Society of Mechanical Engineers, Rail Transportation Division (Publication) RTD</v>
      </c>
      <c r="B220" s="4" t="s">
        <v>8</v>
      </c>
      <c r="C220" s="4" t="str">
        <f t="shared" si="6"/>
        <v>-</v>
      </c>
      <c r="D220" s="4" t="str">
        <f>"10788883"</f>
        <v>10788883</v>
      </c>
      <c r="E220" s="4" t="str">
        <f t="shared" si="7"/>
        <v>-</v>
      </c>
      <c r="F220" s="4" t="s">
        <v>73</v>
      </c>
    </row>
    <row r="221" spans="1:6" x14ac:dyDescent="0.25">
      <c r="A221" s="4" t="str">
        <f>"American Society of Mechanical Engineers, Safety Engineering and Risk Analysis Division, SERA"</f>
        <v>American Society of Mechanical Engineers, Safety Engineering and Risk Analysis Division, SERA</v>
      </c>
      <c r="B221" s="4" t="s">
        <v>8</v>
      </c>
      <c r="C221" s="4" t="str">
        <f t="shared" si="6"/>
        <v>-</v>
      </c>
      <c r="D221" s="4" t="str">
        <f>"-"</f>
        <v>-</v>
      </c>
      <c r="E221" s="4" t="str">
        <f t="shared" si="7"/>
        <v>-</v>
      </c>
      <c r="F221" s="4" t="s">
        <v>73</v>
      </c>
    </row>
    <row r="222" spans="1:6" x14ac:dyDescent="0.25">
      <c r="A222" s="4" t="str">
        <f>"American Society of Mechanical Engineers, Technology and Society Division (Publication) TS"</f>
        <v>American Society of Mechanical Engineers, Technology and Society Division (Publication) TS</v>
      </c>
      <c r="B222" s="4" t="s">
        <v>8</v>
      </c>
      <c r="C222" s="4" t="str">
        <f t="shared" si="6"/>
        <v>-</v>
      </c>
      <c r="D222" s="4" t="str">
        <f>"-"</f>
        <v>-</v>
      </c>
      <c r="E222" s="4" t="str">
        <f t="shared" si="7"/>
        <v>-</v>
      </c>
      <c r="F222" s="4" t="s">
        <v>73</v>
      </c>
    </row>
    <row r="223" spans="1:6" x14ac:dyDescent="0.25">
      <c r="A223" s="4" t="str">
        <f>"American Society of Mechanical Engineers, Textile Engineering Division (Publication) TED"</f>
        <v>American Society of Mechanical Engineers, Textile Engineering Division (Publication) TED</v>
      </c>
      <c r="B223" s="4" t="s">
        <v>8</v>
      </c>
      <c r="C223" s="4" t="str">
        <f t="shared" si="6"/>
        <v>-</v>
      </c>
      <c r="D223" s="4" t="str">
        <f>"-"</f>
        <v>-</v>
      </c>
      <c r="E223" s="4" t="str">
        <f t="shared" si="7"/>
        <v>-</v>
      </c>
      <c r="F223" s="4" t="s">
        <v>73</v>
      </c>
    </row>
    <row r="224" spans="1:6" x14ac:dyDescent="0.25">
      <c r="A224" s="4" t="str">
        <f>"American Society of Mechanical Engineers, The Fluid Power and Systems Technology Division, FPST"</f>
        <v>American Society of Mechanical Engineers, The Fluid Power and Systems Technology Division, FPST</v>
      </c>
      <c r="B224" s="4" t="s">
        <v>8</v>
      </c>
      <c r="C224" s="4" t="str">
        <f t="shared" ref="C224:E287" si="8">"-"</f>
        <v>-</v>
      </c>
      <c r="D224" s="4" t="str">
        <f>"-"</f>
        <v>-</v>
      </c>
      <c r="E224" s="4" t="str">
        <f t="shared" si="7"/>
        <v>-</v>
      </c>
      <c r="F224" s="4" t="s">
        <v>73</v>
      </c>
    </row>
    <row r="225" spans="1:6" x14ac:dyDescent="0.25">
      <c r="A225" s="4" t="str">
        <f>"American Society of Mechanical Engineers, Tribology Division, TRIB"</f>
        <v>American Society of Mechanical Engineers, Tribology Division, TRIB</v>
      </c>
      <c r="B225" s="4" t="s">
        <v>8</v>
      </c>
      <c r="C225" s="4" t="str">
        <f t="shared" si="8"/>
        <v>-</v>
      </c>
      <c r="D225" s="4" t="str">
        <f>"-"</f>
        <v>-</v>
      </c>
      <c r="E225" s="4" t="str">
        <f t="shared" si="7"/>
        <v>-</v>
      </c>
      <c r="F225" s="4" t="s">
        <v>73</v>
      </c>
    </row>
    <row r="226" spans="1:6" x14ac:dyDescent="0.25">
      <c r="A226" s="4" t="str">
        <f>"Amirkabir (Journal of Science and Technology)"</f>
        <v>Amirkabir (Journal of Science and Technology)</v>
      </c>
      <c r="B226" s="4" t="s">
        <v>6</v>
      </c>
      <c r="C226" s="4" t="str">
        <f t="shared" si="8"/>
        <v>-</v>
      </c>
      <c r="D226" s="4" t="str">
        <f>"10150951"</f>
        <v>10150951</v>
      </c>
      <c r="E226" s="4" t="str">
        <f t="shared" si="7"/>
        <v>-</v>
      </c>
      <c r="F226" s="4" t="s">
        <v>120</v>
      </c>
    </row>
    <row r="227" spans="1:6" x14ac:dyDescent="0.25">
      <c r="A227" s="4" t="str">
        <f>"Ammonia Plant Safety and Related Facilities"</f>
        <v>Ammonia Plant Safety and Related Facilities</v>
      </c>
      <c r="B227" s="4" t="s">
        <v>8</v>
      </c>
      <c r="C227" s="4" t="str">
        <f t="shared" si="8"/>
        <v>-</v>
      </c>
      <c r="D227" s="4" t="str">
        <f>"03607011"</f>
        <v>03607011</v>
      </c>
      <c r="E227" s="4" t="str">
        <f t="shared" si="7"/>
        <v>-</v>
      </c>
      <c r="F227" s="4" t="s">
        <v>106</v>
      </c>
    </row>
    <row r="228" spans="1:6" x14ac:dyDescent="0.25">
      <c r="A228" s="4" t="str">
        <f>"Analog Integrated Circuits and Signal Processing"</f>
        <v>Analog Integrated Circuits and Signal Processing</v>
      </c>
      <c r="B228" s="4" t="s">
        <v>6</v>
      </c>
      <c r="C228" s="4" t="str">
        <f t="shared" si="8"/>
        <v>-</v>
      </c>
      <c r="D228" s="4" t="str">
        <f>"09251030"</f>
        <v>09251030</v>
      </c>
      <c r="E228" s="4" t="str">
        <f>"15731979"</f>
        <v>15731979</v>
      </c>
      <c r="F228" s="4" t="s">
        <v>57</v>
      </c>
    </row>
    <row r="229" spans="1:6" x14ac:dyDescent="0.25">
      <c r="A229" s="4" t="str">
        <f>"Analytica Chimica Acta"</f>
        <v>Analytica Chimica Acta</v>
      </c>
      <c r="B229" s="4" t="s">
        <v>6</v>
      </c>
      <c r="C229" s="4" t="str">
        <f t="shared" si="8"/>
        <v>-</v>
      </c>
      <c r="D229" s="4" t="str">
        <f>"00032670"</f>
        <v>00032670</v>
      </c>
      <c r="E229" s="4" t="str">
        <f>"18734324"</f>
        <v>18734324</v>
      </c>
      <c r="F229" s="4" t="s">
        <v>55</v>
      </c>
    </row>
    <row r="230" spans="1:6" x14ac:dyDescent="0.25">
      <c r="A230" s="4" t="str">
        <f>"Analytical and Bioanalytical Chemistry"</f>
        <v>Analytical and Bioanalytical Chemistry</v>
      </c>
      <c r="B230" s="4" t="s">
        <v>6</v>
      </c>
      <c r="C230" s="4" t="str">
        <f t="shared" si="8"/>
        <v>-</v>
      </c>
      <c r="D230" s="4" t="str">
        <f>"16182642"</f>
        <v>16182642</v>
      </c>
      <c r="E230" s="4" t="str">
        <f>"16182650"</f>
        <v>16182650</v>
      </c>
      <c r="F230" s="4" t="s">
        <v>42</v>
      </c>
    </row>
    <row r="231" spans="1:6" x14ac:dyDescent="0.25">
      <c r="A231" s="4" t="str">
        <f>"Analytical Chemistry"</f>
        <v>Analytical Chemistry</v>
      </c>
      <c r="B231" s="4" t="s">
        <v>6</v>
      </c>
      <c r="C231" s="4" t="str">
        <f t="shared" si="8"/>
        <v>-</v>
      </c>
      <c r="D231" s="4" t="str">
        <f>"00032700"</f>
        <v>00032700</v>
      </c>
      <c r="E231" s="4" t="str">
        <f>"15206882"</f>
        <v>15206882</v>
      </c>
      <c r="F231" s="4" t="s">
        <v>28</v>
      </c>
    </row>
    <row r="232" spans="1:6" x14ac:dyDescent="0.25">
      <c r="A232" s="4" t="str">
        <f>"Analytical Methods"</f>
        <v>Analytical Methods</v>
      </c>
      <c r="B232" s="4" t="s">
        <v>6</v>
      </c>
      <c r="C232" s="4" t="str">
        <f t="shared" si="8"/>
        <v>-</v>
      </c>
      <c r="D232" s="4" t="str">
        <f>"17599660"</f>
        <v>17599660</v>
      </c>
      <c r="E232" s="4" t="str">
        <f>"17599679"</f>
        <v>17599679</v>
      </c>
      <c r="F232" s="4" t="s">
        <v>121</v>
      </c>
    </row>
    <row r="233" spans="1:6" x14ac:dyDescent="0.25">
      <c r="A233" s="4" t="str">
        <f>"Angewandte Chemie - International Edition"</f>
        <v>Angewandte Chemie - International Edition</v>
      </c>
      <c r="B233" s="4" t="s">
        <v>6</v>
      </c>
      <c r="C233" s="4" t="str">
        <f t="shared" si="8"/>
        <v>-</v>
      </c>
      <c r="D233" s="4" t="str">
        <f>"14337851"</f>
        <v>14337851</v>
      </c>
      <c r="E233" s="4" t="str">
        <f>"15213773"</f>
        <v>15213773</v>
      </c>
      <c r="F233" s="4" t="s">
        <v>63</v>
      </c>
    </row>
    <row r="234" spans="1:6" x14ac:dyDescent="0.25">
      <c r="A234" s="4" t="str">
        <f>"Animal Biotechnology"</f>
        <v>Animal Biotechnology</v>
      </c>
      <c r="B234" s="4" t="s">
        <v>6</v>
      </c>
      <c r="C234" s="4" t="str">
        <f t="shared" si="8"/>
        <v>-</v>
      </c>
      <c r="D234" s="4" t="str">
        <f>"10495398"</f>
        <v>10495398</v>
      </c>
      <c r="E234" s="4" t="str">
        <f>"15322378"</f>
        <v>15322378</v>
      </c>
      <c r="F234" s="4" t="s">
        <v>96</v>
      </c>
    </row>
    <row r="235" spans="1:6" x14ac:dyDescent="0.25">
      <c r="A235" s="4" t="str">
        <f>"Annalen der Physik"</f>
        <v>Annalen der Physik</v>
      </c>
      <c r="B235" s="4" t="s">
        <v>6</v>
      </c>
      <c r="C235" s="4" t="str">
        <f t="shared" si="8"/>
        <v>-</v>
      </c>
      <c r="D235" s="4" t="str">
        <f>"00033804"</f>
        <v>00033804</v>
      </c>
      <c r="E235" s="4" t="str">
        <f>"15213889"</f>
        <v>15213889</v>
      </c>
      <c r="F235" s="4" t="s">
        <v>63</v>
      </c>
    </row>
    <row r="236" spans="1:6" x14ac:dyDescent="0.25">
      <c r="A236" s="4" t="str">
        <f>"Annales de Chimie: Science des Materiaux"</f>
        <v>Annales de Chimie: Science des Materiaux</v>
      </c>
      <c r="B236" s="4" t="s">
        <v>6</v>
      </c>
      <c r="C236" s="4" t="str">
        <f t="shared" si="8"/>
        <v>-</v>
      </c>
      <c r="D236" s="4" t="str">
        <f>"01519107"</f>
        <v>01519107</v>
      </c>
      <c r="E236" s="4" t="str">
        <f>"-"</f>
        <v>-</v>
      </c>
      <c r="F236" s="4" t="s">
        <v>122</v>
      </c>
    </row>
    <row r="237" spans="1:6" x14ac:dyDescent="0.25">
      <c r="A237" s="4" t="str">
        <f>"Annales de l'Institut Henri Poincare. Annales: Analyse Non Lineaire/Nonlinear Analysis"</f>
        <v>Annales de l'Institut Henri Poincare. Annales: Analyse Non Lineaire/Nonlinear Analysis</v>
      </c>
      <c r="B237" s="4" t="s">
        <v>6</v>
      </c>
      <c r="C237" s="4" t="str">
        <f t="shared" si="8"/>
        <v>-</v>
      </c>
      <c r="D237" s="4" t="str">
        <f>"02941449"</f>
        <v>02941449</v>
      </c>
      <c r="E237" s="4" t="str">
        <f>"-"</f>
        <v>-</v>
      </c>
      <c r="F237" s="4" t="s">
        <v>97</v>
      </c>
    </row>
    <row r="238" spans="1:6" x14ac:dyDescent="0.25">
      <c r="A238" s="4" t="str">
        <f>"Annales des Telecommunications/Annals of Telecommunications"</f>
        <v>Annales des Telecommunications/Annals of Telecommunications</v>
      </c>
      <c r="B238" s="4" t="s">
        <v>6</v>
      </c>
      <c r="C238" s="4" t="str">
        <f t="shared" si="8"/>
        <v>-</v>
      </c>
      <c r="D238" s="4" t="str">
        <f>"00034347"</f>
        <v>00034347</v>
      </c>
      <c r="E238" s="4" t="str">
        <f>"19589395"</f>
        <v>19589395</v>
      </c>
      <c r="F238" s="4" t="s">
        <v>123</v>
      </c>
    </row>
    <row r="239" spans="1:6" x14ac:dyDescent="0.25">
      <c r="A239" s="4" t="str">
        <f>"Annals of Advances in Automotive Medicine"</f>
        <v>Annals of Advances in Automotive Medicine</v>
      </c>
      <c r="B239" s="4" t="s">
        <v>8</v>
      </c>
      <c r="C239" s="4" t="str">
        <f t="shared" si="8"/>
        <v>-</v>
      </c>
      <c r="D239" s="4" t="str">
        <f>"19432461"</f>
        <v>19432461</v>
      </c>
      <c r="E239" s="4" t="str">
        <f>"-"</f>
        <v>-</v>
      </c>
      <c r="F239" s="4" t="s">
        <v>124</v>
      </c>
    </row>
    <row r="240" spans="1:6" x14ac:dyDescent="0.25">
      <c r="A240" s="4" t="str">
        <f>"Annals of Biomedical Engineering"</f>
        <v>Annals of Biomedical Engineering</v>
      </c>
      <c r="B240" s="4" t="s">
        <v>6</v>
      </c>
      <c r="C240" s="4" t="str">
        <f t="shared" si="8"/>
        <v>-</v>
      </c>
      <c r="D240" s="4" t="str">
        <f>"00906964"</f>
        <v>00906964</v>
      </c>
      <c r="E240" s="4" t="str">
        <f>"15739686"</f>
        <v>15739686</v>
      </c>
      <c r="F240" s="4" t="s">
        <v>57</v>
      </c>
    </row>
    <row r="241" spans="1:6" x14ac:dyDescent="0.25">
      <c r="A241" s="4" t="str">
        <f>"Annals of DAAAM and Proceedings of the International DAAAM Symposium"</f>
        <v>Annals of DAAAM and Proceedings of the International DAAAM Symposium</v>
      </c>
      <c r="B241" s="4" t="s">
        <v>8</v>
      </c>
      <c r="C241" s="4" t="str">
        <f t="shared" si="8"/>
        <v>-</v>
      </c>
      <c r="D241" s="4" t="str">
        <f>"17269679"</f>
        <v>17269679</v>
      </c>
      <c r="E241" s="4" t="str">
        <f>"-"</f>
        <v>-</v>
      </c>
      <c r="F241" s="4" t="s">
        <v>125</v>
      </c>
    </row>
    <row r="242" spans="1:6" x14ac:dyDescent="0.25">
      <c r="A242" s="4" t="str">
        <f>"Annals of Nuclear Energy"</f>
        <v>Annals of Nuclear Energy</v>
      </c>
      <c r="B242" s="4" t="s">
        <v>6</v>
      </c>
      <c r="C242" s="4" t="str">
        <f t="shared" si="8"/>
        <v>-</v>
      </c>
      <c r="D242" s="4" t="str">
        <f>"03064549"</f>
        <v>03064549</v>
      </c>
      <c r="E242" s="4" t="str">
        <f>"18732100"</f>
        <v>18732100</v>
      </c>
      <c r="F242" s="4" t="s">
        <v>19</v>
      </c>
    </row>
    <row r="243" spans="1:6" x14ac:dyDescent="0.25">
      <c r="A243" s="4" t="str">
        <f>"Annals of Occupational Hygiene"</f>
        <v>Annals of Occupational Hygiene</v>
      </c>
      <c r="B243" s="4" t="s">
        <v>6</v>
      </c>
      <c r="C243" s="4" t="str">
        <f t="shared" si="8"/>
        <v>-</v>
      </c>
      <c r="D243" s="4" t="str">
        <f>"00034878"</f>
        <v>00034878</v>
      </c>
      <c r="E243" s="4" t="str">
        <f>"14753162"</f>
        <v>14753162</v>
      </c>
      <c r="F243" s="4" t="s">
        <v>126</v>
      </c>
    </row>
    <row r="244" spans="1:6" x14ac:dyDescent="0.25">
      <c r="A244" s="4" t="str">
        <f>"Annals of Science"</f>
        <v>Annals of Science</v>
      </c>
      <c r="B244" s="4" t="s">
        <v>6</v>
      </c>
      <c r="C244" s="4" t="str">
        <f t="shared" si="8"/>
        <v>-</v>
      </c>
      <c r="D244" s="4" t="str">
        <f>"00033790"</f>
        <v>00033790</v>
      </c>
      <c r="E244" s="4" t="str">
        <f>"1464505X"</f>
        <v>1464505X</v>
      </c>
      <c r="F244" s="4" t="s">
        <v>60</v>
      </c>
    </row>
    <row r="245" spans="1:6" x14ac:dyDescent="0.25">
      <c r="A245" s="4" t="str">
        <f>"Annals of Solid and Structural Mechanics"</f>
        <v>Annals of Solid and Structural Mechanics</v>
      </c>
      <c r="B245" s="4" t="s">
        <v>6</v>
      </c>
      <c r="C245" s="4" t="str">
        <f t="shared" si="8"/>
        <v>-</v>
      </c>
      <c r="D245" s="4" t="str">
        <f>"18676936"</f>
        <v>18676936</v>
      </c>
      <c r="E245" s="4" t="str">
        <f>"18676944"</f>
        <v>18676944</v>
      </c>
      <c r="F245" s="4" t="s">
        <v>42</v>
      </c>
    </row>
    <row r="246" spans="1:6" x14ac:dyDescent="0.25">
      <c r="A246" s="4" t="str">
        <f>"Annals of the Institute of Statistical Mathematics"</f>
        <v>Annals of the Institute of Statistical Mathematics</v>
      </c>
      <c r="B246" s="4" t="s">
        <v>6</v>
      </c>
      <c r="C246" s="4" t="str">
        <f t="shared" si="8"/>
        <v>-</v>
      </c>
      <c r="D246" s="4" t="str">
        <f>"00203157"</f>
        <v>00203157</v>
      </c>
      <c r="E246" s="4" t="str">
        <f>"15729052"</f>
        <v>15729052</v>
      </c>
      <c r="F246" s="4" t="s">
        <v>127</v>
      </c>
    </row>
    <row r="247" spans="1:6" x14ac:dyDescent="0.25">
      <c r="A247" s="4" t="str">
        <f>"Annals of the University Dunarea de Jos of Galati, Fascicle VI: Food Technology"</f>
        <v>Annals of the University Dunarea de Jos of Galati, Fascicle VI: Food Technology</v>
      </c>
      <c r="B247" s="4" t="s">
        <v>6</v>
      </c>
      <c r="C247" s="4" t="str">
        <f t="shared" si="8"/>
        <v>-</v>
      </c>
      <c r="D247" s="4" t="str">
        <f>"18435157"</f>
        <v>18435157</v>
      </c>
      <c r="E247" s="4" t="str">
        <f>"2068259X"</f>
        <v>2068259X</v>
      </c>
      <c r="F247" s="4" t="s">
        <v>128</v>
      </c>
    </row>
    <row r="248" spans="1:6" x14ac:dyDescent="0.25">
      <c r="A248" s="4" t="str">
        <f>"Annual ACM Conference on Assistive Technologies, Proceedings"</f>
        <v>Annual ACM Conference on Assistive Technologies, Proceedings</v>
      </c>
      <c r="B248" s="4" t="s">
        <v>8</v>
      </c>
      <c r="C248" s="4" t="str">
        <f t="shared" si="8"/>
        <v>-</v>
      </c>
      <c r="D248" s="4" t="str">
        <f t="shared" si="8"/>
        <v>-</v>
      </c>
      <c r="E248" s="4" t="str">
        <f t="shared" si="8"/>
        <v>-</v>
      </c>
      <c r="F248" s="4" t="s">
        <v>21</v>
      </c>
    </row>
    <row r="249" spans="1:6" x14ac:dyDescent="0.25">
      <c r="A249" s="4" t="str">
        <f>"Annual ACM Symposium on Parallelism in Algorithms and Architectures"</f>
        <v>Annual ACM Symposium on Parallelism in Algorithms and Architectures</v>
      </c>
      <c r="B249" s="4" t="s">
        <v>8</v>
      </c>
      <c r="C249" s="4" t="str">
        <f t="shared" si="8"/>
        <v>-</v>
      </c>
      <c r="D249" s="4" t="str">
        <f t="shared" si="8"/>
        <v>-</v>
      </c>
      <c r="E249" s="4" t="str">
        <f t="shared" si="8"/>
        <v>-</v>
      </c>
      <c r="F249" s="4" t="s">
        <v>21</v>
      </c>
    </row>
    <row r="250" spans="1:6" x14ac:dyDescent="0.25">
      <c r="A250" s="4" t="str">
        <f>"Annual Conference of the North American Fuzzy Information Processing Society - NAFIPS"</f>
        <v>Annual Conference of the North American Fuzzy Information Processing Society - NAFIPS</v>
      </c>
      <c r="B250" s="4" t="s">
        <v>8</v>
      </c>
      <c r="C250" s="4" t="str">
        <f t="shared" si="8"/>
        <v>-</v>
      </c>
      <c r="D250" s="4" t="str">
        <f t="shared" si="8"/>
        <v>-</v>
      </c>
      <c r="E250" s="4" t="str">
        <f t="shared" si="8"/>
        <v>-</v>
      </c>
      <c r="F250" s="4" t="s">
        <v>105</v>
      </c>
    </row>
    <row r="251" spans="1:6" x14ac:dyDescent="0.25">
      <c r="A251" s="4" t="str">
        <f>"Annual Conference on Innovation and Technology in Computer Science Education, ITiCSE"</f>
        <v>Annual Conference on Innovation and Technology in Computer Science Education, ITiCSE</v>
      </c>
      <c r="B251" s="4" t="s">
        <v>8</v>
      </c>
      <c r="C251" s="4" t="str">
        <f t="shared" si="8"/>
        <v>-</v>
      </c>
      <c r="D251" s="4" t="str">
        <f>"1942647X"</f>
        <v>1942647X</v>
      </c>
      <c r="E251" s="4" t="str">
        <f>"-"</f>
        <v>-</v>
      </c>
      <c r="F251" s="4" t="s">
        <v>21</v>
      </c>
    </row>
    <row r="252" spans="1:6" x14ac:dyDescent="0.25">
      <c r="A252" s="4" t="str">
        <f>"Annual Forum Proceedings - AHS International"</f>
        <v>Annual Forum Proceedings - AHS International</v>
      </c>
      <c r="B252" s="4" t="s">
        <v>8</v>
      </c>
      <c r="C252" s="4" t="str">
        <f t="shared" si="8"/>
        <v>-</v>
      </c>
      <c r="D252" s="4" t="str">
        <f>"15522938"</f>
        <v>15522938</v>
      </c>
      <c r="E252" s="4" t="str">
        <f>"-"</f>
        <v>-</v>
      </c>
      <c r="F252" s="4" t="s">
        <v>129</v>
      </c>
    </row>
    <row r="253" spans="1:6" ht="30" x14ac:dyDescent="0.25">
      <c r="A253" s="4" t="str">
        <f>"Annual IEEE Communications Society Conference on Sensor, Mesh and Ad Hoc Communications and Networks workshops"</f>
        <v>Annual IEEE Communications Society Conference on Sensor, Mesh and Ad Hoc Communications and Networks workshops</v>
      </c>
      <c r="B253" s="4" t="s">
        <v>8</v>
      </c>
      <c r="C253" s="4" t="str">
        <f t="shared" si="8"/>
        <v>-</v>
      </c>
      <c r="D253" s="4" t="str">
        <f>"21555486"</f>
        <v>21555486</v>
      </c>
      <c r="E253" s="4" t="str">
        <f>"21555494"</f>
        <v>21555494</v>
      </c>
      <c r="F253" s="4" t="s">
        <v>9</v>
      </c>
    </row>
    <row r="254" spans="1:6" x14ac:dyDescent="0.25">
      <c r="A254" s="4" t="str">
        <f>"Annual IEEE Semiconductor Thermal Measurement and Management Symposium"</f>
        <v>Annual IEEE Semiconductor Thermal Measurement and Management Symposium</v>
      </c>
      <c r="B254" s="4" t="s">
        <v>8</v>
      </c>
      <c r="C254" s="4" t="str">
        <f t="shared" si="8"/>
        <v>-</v>
      </c>
      <c r="D254" s="4" t="str">
        <f>"10652221"</f>
        <v>10652221</v>
      </c>
      <c r="E254" s="4" t="str">
        <f t="shared" ref="E254:E261" si="9">"-"</f>
        <v>-</v>
      </c>
      <c r="F254" s="4" t="s">
        <v>105</v>
      </c>
    </row>
    <row r="255" spans="1:6" x14ac:dyDescent="0.25">
      <c r="A255" s="4" t="str">
        <f>"Annual International Conference of the IEEE Engineering in Medicine and Biology - Proceedings"</f>
        <v>Annual International Conference of the IEEE Engineering in Medicine and Biology - Proceedings</v>
      </c>
      <c r="B255" s="4" t="s">
        <v>8</v>
      </c>
      <c r="C255" s="4" t="str">
        <f t="shared" si="8"/>
        <v>-</v>
      </c>
      <c r="D255" s="4" t="str">
        <f>"05891019"</f>
        <v>05891019</v>
      </c>
      <c r="E255" s="4" t="str">
        <f t="shared" si="9"/>
        <v>-</v>
      </c>
      <c r="F255" s="4" t="s">
        <v>105</v>
      </c>
    </row>
    <row r="256" spans="1:6" x14ac:dyDescent="0.25">
      <c r="A256" s="4" t="str">
        <f>"Annual Meeting - Council of Logistics Management"</f>
        <v>Annual Meeting - Council of Logistics Management</v>
      </c>
      <c r="B256" s="4" t="s">
        <v>8</v>
      </c>
      <c r="C256" s="4" t="str">
        <f t="shared" si="8"/>
        <v>-</v>
      </c>
      <c r="D256" s="4" t="str">
        <f>"08986614"</f>
        <v>08986614</v>
      </c>
      <c r="E256" s="4" t="str">
        <f t="shared" si="9"/>
        <v>-</v>
      </c>
      <c r="F256" s="4" t="s">
        <v>130</v>
      </c>
    </row>
    <row r="257" spans="1:6" x14ac:dyDescent="0.25">
      <c r="A257" s="4" t="str">
        <f>"Annual Meeting of the Pulp and Paper Technical Association of Canada (PAPTAC)"</f>
        <v>Annual Meeting of the Pulp and Paper Technical Association of Canada (PAPTAC)</v>
      </c>
      <c r="B257" s="4" t="s">
        <v>8</v>
      </c>
      <c r="C257" s="4" t="str">
        <f t="shared" si="8"/>
        <v>-</v>
      </c>
      <c r="D257" s="4" t="str">
        <f>"14947722"</f>
        <v>14947722</v>
      </c>
      <c r="E257" s="4" t="str">
        <f t="shared" si="9"/>
        <v>-</v>
      </c>
      <c r="F257" s="4" t="s">
        <v>131</v>
      </c>
    </row>
    <row r="258" spans="1:6" x14ac:dyDescent="0.25">
      <c r="A258" s="4" t="str">
        <f>"Annual Proceedings - Association for the Advancement of Automotive Medicine"</f>
        <v>Annual Proceedings - Association for the Advancement of Automotive Medicine</v>
      </c>
      <c r="B258" s="4" t="s">
        <v>8</v>
      </c>
      <c r="C258" s="4" t="str">
        <f t="shared" si="8"/>
        <v>-</v>
      </c>
      <c r="D258" s="4" t="str">
        <f>"15400360"</f>
        <v>15400360</v>
      </c>
      <c r="E258" s="4" t="str">
        <f t="shared" si="9"/>
        <v>-</v>
      </c>
      <c r="F258" s="4" t="s">
        <v>124</v>
      </c>
    </row>
    <row r="259" spans="1:6" x14ac:dyDescent="0.25">
      <c r="A259" s="4" t="str">
        <f>"Annual Recycling Conference, ARC"</f>
        <v>Annual Recycling Conference, ARC</v>
      </c>
      <c r="B259" s="4" t="s">
        <v>8</v>
      </c>
      <c r="C259" s="4" t="str">
        <f t="shared" si="8"/>
        <v>-</v>
      </c>
      <c r="D259" s="4" t="str">
        <f>"-"</f>
        <v>-</v>
      </c>
      <c r="E259" s="4" t="str">
        <f t="shared" si="9"/>
        <v>-</v>
      </c>
      <c r="F259" s="4" t="s">
        <v>132</v>
      </c>
    </row>
    <row r="260" spans="1:6" x14ac:dyDescent="0.25">
      <c r="A260" s="4" t="str">
        <f>"Annual Report - Conference on Electrical Insulation and Dielectric Phenomena, CEIDP"</f>
        <v>Annual Report - Conference on Electrical Insulation and Dielectric Phenomena, CEIDP</v>
      </c>
      <c r="B260" s="4" t="s">
        <v>8</v>
      </c>
      <c r="C260" s="4" t="str">
        <f t="shared" si="8"/>
        <v>-</v>
      </c>
      <c r="D260" s="4" t="str">
        <f>"00849162"</f>
        <v>00849162</v>
      </c>
      <c r="E260" s="4" t="str">
        <f t="shared" si="9"/>
        <v>-</v>
      </c>
      <c r="F260" s="4" t="s">
        <v>105</v>
      </c>
    </row>
    <row r="261" spans="1:6" x14ac:dyDescent="0.25">
      <c r="A261" s="4" t="str">
        <f>"Annual Reports of the Research Reactor Institute, Kyoto University"</f>
        <v>Annual Reports of the Research Reactor Institute, Kyoto University</v>
      </c>
      <c r="B261" s="4" t="s">
        <v>8</v>
      </c>
      <c r="C261" s="4" t="str">
        <f t="shared" si="8"/>
        <v>-</v>
      </c>
      <c r="D261" s="4" t="str">
        <f>"04549244"</f>
        <v>04549244</v>
      </c>
      <c r="E261" s="4" t="str">
        <f t="shared" si="9"/>
        <v>-</v>
      </c>
      <c r="F261" s="4" t="s">
        <v>133</v>
      </c>
    </row>
    <row r="262" spans="1:6" x14ac:dyDescent="0.25">
      <c r="A262" s="4" t="str">
        <f>"Annual Review of Analytical Chemistry"</f>
        <v>Annual Review of Analytical Chemistry</v>
      </c>
      <c r="B262" s="4" t="s">
        <v>29</v>
      </c>
      <c r="C262" s="4" t="str">
        <f t="shared" si="8"/>
        <v>-</v>
      </c>
      <c r="D262" s="4" t="str">
        <f>"19361327"</f>
        <v>19361327</v>
      </c>
      <c r="E262" s="4" t="str">
        <f>"19361335"</f>
        <v>19361335</v>
      </c>
      <c r="F262" s="4" t="s">
        <v>134</v>
      </c>
    </row>
    <row r="263" spans="1:6" x14ac:dyDescent="0.25">
      <c r="A263" s="4" t="str">
        <f>"Annual Review of Biomedical Engineering"</f>
        <v>Annual Review of Biomedical Engineering</v>
      </c>
      <c r="B263" s="4" t="s">
        <v>29</v>
      </c>
      <c r="C263" s="4" t="str">
        <f t="shared" si="8"/>
        <v>-</v>
      </c>
      <c r="D263" s="4" t="str">
        <f>"15239829"</f>
        <v>15239829</v>
      </c>
      <c r="E263" s="4" t="str">
        <f>"15454274"</f>
        <v>15454274</v>
      </c>
      <c r="F263" s="4" t="s">
        <v>134</v>
      </c>
    </row>
    <row r="264" spans="1:6" x14ac:dyDescent="0.25">
      <c r="A264" s="4" t="str">
        <f>"Annual Review of Chemical and Biomolecular Engineering"</f>
        <v>Annual Review of Chemical and Biomolecular Engineering</v>
      </c>
      <c r="B264" s="4" t="s">
        <v>6</v>
      </c>
      <c r="C264" s="4" t="str">
        <f t="shared" si="8"/>
        <v>-</v>
      </c>
      <c r="D264" s="4" t="str">
        <f>"19475438"</f>
        <v>19475438</v>
      </c>
      <c r="E264" s="4" t="str">
        <f>"-"</f>
        <v>-</v>
      </c>
      <c r="F264" s="4" t="s">
        <v>134</v>
      </c>
    </row>
    <row r="265" spans="1:6" x14ac:dyDescent="0.25">
      <c r="A265" s="4" t="str">
        <f>"Annual Review of Condensed Matter Physics"</f>
        <v>Annual Review of Condensed Matter Physics</v>
      </c>
      <c r="B265" s="4" t="s">
        <v>6</v>
      </c>
      <c r="C265" s="4" t="str">
        <f t="shared" si="8"/>
        <v>-</v>
      </c>
      <c r="D265" s="4" t="str">
        <f>"19475454"</f>
        <v>19475454</v>
      </c>
      <c r="E265" s="4" t="str">
        <f>"19475462"</f>
        <v>19475462</v>
      </c>
      <c r="F265" s="4" t="s">
        <v>134</v>
      </c>
    </row>
    <row r="266" spans="1:6" x14ac:dyDescent="0.25">
      <c r="A266" s="4" t="str">
        <f>"Annual Review of Earth and Planetary Sciences"</f>
        <v>Annual Review of Earth and Planetary Sciences</v>
      </c>
      <c r="B266" s="4" t="s">
        <v>29</v>
      </c>
      <c r="C266" s="4" t="str">
        <f t="shared" si="8"/>
        <v>-</v>
      </c>
      <c r="D266" s="4" t="str">
        <f>"00846597"</f>
        <v>00846597</v>
      </c>
      <c r="E266" s="4" t="str">
        <f>"-"</f>
        <v>-</v>
      </c>
      <c r="F266" s="4" t="s">
        <v>134</v>
      </c>
    </row>
    <row r="267" spans="1:6" x14ac:dyDescent="0.25">
      <c r="A267" s="4" t="str">
        <f>"Annual Review of Environment and Resources"</f>
        <v>Annual Review of Environment and Resources</v>
      </c>
      <c r="B267" s="4" t="s">
        <v>29</v>
      </c>
      <c r="C267" s="4" t="str">
        <f t="shared" si="8"/>
        <v>-</v>
      </c>
      <c r="D267" s="4" t="str">
        <f>"15435938"</f>
        <v>15435938</v>
      </c>
      <c r="E267" s="4" t="str">
        <f>"-"</f>
        <v>-</v>
      </c>
      <c r="F267" s="4" t="s">
        <v>134</v>
      </c>
    </row>
    <row r="268" spans="1:6" x14ac:dyDescent="0.25">
      <c r="A268" s="4" t="str">
        <f>"Annual Review of Fluid Mechanics"</f>
        <v>Annual Review of Fluid Mechanics</v>
      </c>
      <c r="B268" s="4" t="s">
        <v>29</v>
      </c>
      <c r="C268" s="4" t="str">
        <f t="shared" si="8"/>
        <v>-</v>
      </c>
      <c r="D268" s="4" t="str">
        <f>"00664189"</f>
        <v>00664189</v>
      </c>
      <c r="E268" s="4" t="str">
        <f>"-"</f>
        <v>-</v>
      </c>
      <c r="F268" s="4" t="s">
        <v>134</v>
      </c>
    </row>
    <row r="269" spans="1:6" x14ac:dyDescent="0.25">
      <c r="A269" s="4" t="str">
        <f>"Annual Review of Food Science and Technology"</f>
        <v>Annual Review of Food Science and Technology</v>
      </c>
      <c r="B269" s="4" t="s">
        <v>6</v>
      </c>
      <c r="C269" s="4" t="str">
        <f t="shared" si="8"/>
        <v>-</v>
      </c>
      <c r="D269" s="4" t="str">
        <f>"19411413"</f>
        <v>19411413</v>
      </c>
      <c r="E269" s="4" t="str">
        <f>"19411421"</f>
        <v>19411421</v>
      </c>
      <c r="F269" s="4" t="s">
        <v>134</v>
      </c>
    </row>
    <row r="270" spans="1:6" x14ac:dyDescent="0.25">
      <c r="A270" s="4" t="str">
        <f>"Annual Review of Marine Science"</f>
        <v>Annual Review of Marine Science</v>
      </c>
      <c r="B270" s="4" t="s">
        <v>6</v>
      </c>
      <c r="C270" s="4" t="str">
        <f t="shared" si="8"/>
        <v>-</v>
      </c>
      <c r="D270" s="4" t="str">
        <f>"19411405"</f>
        <v>19411405</v>
      </c>
      <c r="E270" s="4" t="str">
        <f>"19410611"</f>
        <v>19410611</v>
      </c>
      <c r="F270" s="4" t="s">
        <v>134</v>
      </c>
    </row>
    <row r="271" spans="1:6" x14ac:dyDescent="0.25">
      <c r="A271" s="4" t="str">
        <f>"Annual Review of Materials Research"</f>
        <v>Annual Review of Materials Research</v>
      </c>
      <c r="B271" s="4" t="s">
        <v>29</v>
      </c>
      <c r="C271" s="4" t="str">
        <f t="shared" si="8"/>
        <v>-</v>
      </c>
      <c r="D271" s="4" t="str">
        <f>"15317331"</f>
        <v>15317331</v>
      </c>
      <c r="E271" s="4" t="str">
        <f>"-"</f>
        <v>-</v>
      </c>
      <c r="F271" s="4" t="s">
        <v>134</v>
      </c>
    </row>
    <row r="272" spans="1:6" x14ac:dyDescent="0.25">
      <c r="A272" s="4" t="str">
        <f>"Annual Review of Physical Chemistry"</f>
        <v>Annual Review of Physical Chemistry</v>
      </c>
      <c r="B272" s="4" t="s">
        <v>29</v>
      </c>
      <c r="C272" s="4" t="str">
        <f t="shared" si="8"/>
        <v>-</v>
      </c>
      <c r="D272" s="4" t="str">
        <f>"0066426X"</f>
        <v>0066426X</v>
      </c>
      <c r="E272" s="4" t="str">
        <f>"-"</f>
        <v>-</v>
      </c>
      <c r="F272" s="4" t="s">
        <v>134</v>
      </c>
    </row>
    <row r="273" spans="1:6" x14ac:dyDescent="0.25">
      <c r="A273" s="4" t="str">
        <f>"Annual Review of Progress in Applied Computational Electromagnetics"</f>
        <v>Annual Review of Progress in Applied Computational Electromagnetics</v>
      </c>
      <c r="B273" s="4" t="s">
        <v>8</v>
      </c>
      <c r="C273" s="4" t="str">
        <f t="shared" si="8"/>
        <v>-</v>
      </c>
      <c r="D273" s="4" t="str">
        <f>"-"</f>
        <v>-</v>
      </c>
      <c r="E273" s="4" t="str">
        <f>"-"</f>
        <v>-</v>
      </c>
      <c r="F273" s="4" t="s">
        <v>135</v>
      </c>
    </row>
    <row r="274" spans="1:6" x14ac:dyDescent="0.25">
      <c r="A274" s="4" t="str">
        <f>"Annual Reviews in Control"</f>
        <v>Annual Reviews in Control</v>
      </c>
      <c r="B274" s="4" t="s">
        <v>6</v>
      </c>
      <c r="C274" s="4" t="str">
        <f t="shared" si="8"/>
        <v>-</v>
      </c>
      <c r="D274" s="4" t="str">
        <f>"13675788"</f>
        <v>13675788</v>
      </c>
      <c r="E274" s="4" t="str">
        <f>"-"</f>
        <v>-</v>
      </c>
      <c r="F274" s="4" t="s">
        <v>19</v>
      </c>
    </row>
    <row r="275" spans="1:6" x14ac:dyDescent="0.25">
      <c r="A275" s="4" t="str">
        <f>"Annual SRII Global Conference, SRII"</f>
        <v>Annual SRII Global Conference, SRII</v>
      </c>
      <c r="B275" s="4" t="s">
        <v>8</v>
      </c>
      <c r="C275" s="4" t="str">
        <f t="shared" si="8"/>
        <v>-</v>
      </c>
      <c r="D275" s="4" t="str">
        <f>"21660778"</f>
        <v>21660778</v>
      </c>
      <c r="E275" s="4" t="str">
        <f>"21660786"</f>
        <v>21660786</v>
      </c>
      <c r="F275" s="4" t="s">
        <v>9</v>
      </c>
    </row>
    <row r="276" spans="1:6" x14ac:dyDescent="0.25">
      <c r="A276" s="4" t="str">
        <f>"Annual Technical Conference - ANTEC, Conference Proceedings"</f>
        <v>Annual Technical Conference - ANTEC, Conference Proceedings</v>
      </c>
      <c r="B276" s="4" t="s">
        <v>8</v>
      </c>
      <c r="C276" s="4" t="str">
        <f t="shared" si="8"/>
        <v>-</v>
      </c>
      <c r="D276" s="4" t="str">
        <f>"-"</f>
        <v>-</v>
      </c>
      <c r="E276" s="4" t="str">
        <f>"-"</f>
        <v>-</v>
      </c>
      <c r="F276" s="4" t="s">
        <v>132</v>
      </c>
    </row>
    <row r="277" spans="1:6" x14ac:dyDescent="0.25">
      <c r="A277" s="4" t="str">
        <f>"Annual Workshop on Network and Systems Support for Games"</f>
        <v>Annual Workshop on Network and Systems Support for Games</v>
      </c>
      <c r="B277" s="4" t="s">
        <v>8</v>
      </c>
      <c r="C277" s="4" t="str">
        <f t="shared" si="8"/>
        <v>-</v>
      </c>
      <c r="D277" s="4" t="str">
        <f>"21568138"</f>
        <v>21568138</v>
      </c>
      <c r="E277" s="4" t="str">
        <f>"21568146"</f>
        <v>21568146</v>
      </c>
      <c r="F277" s="4" t="s">
        <v>9</v>
      </c>
    </row>
    <row r="278" spans="1:6" x14ac:dyDescent="0.25">
      <c r="A278" s="4" t="str">
        <f>"Anti-Corrosion Methods and Materials"</f>
        <v>Anti-Corrosion Methods and Materials</v>
      </c>
      <c r="B278" s="4" t="s">
        <v>6</v>
      </c>
      <c r="C278" s="4" t="str">
        <f t="shared" si="8"/>
        <v>-</v>
      </c>
      <c r="D278" s="4" t="str">
        <f>"00035599"</f>
        <v>00035599</v>
      </c>
      <c r="E278" s="4" t="str">
        <f>"-"</f>
        <v>-</v>
      </c>
      <c r="F278" s="4" t="s">
        <v>110</v>
      </c>
    </row>
    <row r="279" spans="1:6" x14ac:dyDescent="0.25">
      <c r="A279" s="4" t="str">
        <f>"APL Materials"</f>
        <v>APL Materials</v>
      </c>
      <c r="B279" s="4" t="s">
        <v>6</v>
      </c>
      <c r="C279" s="4" t="str">
        <f t="shared" si="8"/>
        <v>-</v>
      </c>
      <c r="D279" s="4" t="str">
        <f>"-"</f>
        <v>-</v>
      </c>
      <c r="E279" s="4" t="str">
        <f>"2166532X"</f>
        <v>2166532X</v>
      </c>
      <c r="F279" s="4" t="s">
        <v>108</v>
      </c>
    </row>
    <row r="280" spans="1:6" x14ac:dyDescent="0.25">
      <c r="A280" s="4" t="str">
        <f>"Appita Annual Conference"</f>
        <v>Appita Annual Conference</v>
      </c>
      <c r="B280" s="4" t="s">
        <v>8</v>
      </c>
      <c r="C280" s="4" t="str">
        <f t="shared" si="8"/>
        <v>-</v>
      </c>
      <c r="D280" s="4" t="str">
        <f>"14435454"</f>
        <v>14435454</v>
      </c>
      <c r="E280" s="4" t="str">
        <f>"-"</f>
        <v>-</v>
      </c>
      <c r="F280" s="4" t="s">
        <v>136</v>
      </c>
    </row>
    <row r="281" spans="1:6" x14ac:dyDescent="0.25">
      <c r="A281" s="4" t="str">
        <f>"APPITA Annual General Conference"</f>
        <v>APPITA Annual General Conference</v>
      </c>
      <c r="B281" s="4" t="s">
        <v>8</v>
      </c>
      <c r="C281" s="4" t="str">
        <f t="shared" si="8"/>
        <v>-</v>
      </c>
      <c r="D281" s="4" t="str">
        <f>"-"</f>
        <v>-</v>
      </c>
      <c r="E281" s="4" t="str">
        <f>"-"</f>
        <v>-</v>
      </c>
      <c r="F281" s="4" t="s">
        <v>136</v>
      </c>
    </row>
    <row r="282" spans="1:6" x14ac:dyDescent="0.25">
      <c r="A282" s="4" t="str">
        <f>"Appita Journal"</f>
        <v>Appita Journal</v>
      </c>
      <c r="B282" s="4" t="s">
        <v>6</v>
      </c>
      <c r="C282" s="4" t="str">
        <f t="shared" si="8"/>
        <v>-</v>
      </c>
      <c r="D282" s="4" t="str">
        <f>"10386807"</f>
        <v>10386807</v>
      </c>
      <c r="E282" s="4" t="str">
        <f>"-"</f>
        <v>-</v>
      </c>
      <c r="F282" s="4" t="s">
        <v>136</v>
      </c>
    </row>
    <row r="283" spans="1:6" x14ac:dyDescent="0.25">
      <c r="A283" s="4" t="str">
        <f>"Applicable Algebra in Engineering, Communications and Computing"</f>
        <v>Applicable Algebra in Engineering, Communications and Computing</v>
      </c>
      <c r="B283" s="4" t="s">
        <v>6</v>
      </c>
      <c r="C283" s="4" t="str">
        <f t="shared" si="8"/>
        <v>-</v>
      </c>
      <c r="D283" s="4" t="str">
        <f>"09381279"</f>
        <v>09381279</v>
      </c>
      <c r="E283" s="4" t="str">
        <f>"-"</f>
        <v>-</v>
      </c>
      <c r="F283" s="4" t="s">
        <v>42</v>
      </c>
    </row>
    <row r="284" spans="1:6" x14ac:dyDescent="0.25">
      <c r="A284" s="4" t="str">
        <f>"Applications of Mathematics"</f>
        <v>Applications of Mathematics</v>
      </c>
      <c r="B284" s="4" t="s">
        <v>6</v>
      </c>
      <c r="C284" s="4" t="str">
        <f t="shared" si="8"/>
        <v>-</v>
      </c>
      <c r="D284" s="4" t="str">
        <f>"08627940"</f>
        <v>08627940</v>
      </c>
      <c r="E284" s="4" t="str">
        <f>"15729109"</f>
        <v>15729109</v>
      </c>
      <c r="F284" s="4" t="s">
        <v>137</v>
      </c>
    </row>
    <row r="285" spans="1:6" x14ac:dyDescent="0.25">
      <c r="A285" s="4" t="str">
        <f>"Applied Acoustics"</f>
        <v>Applied Acoustics</v>
      </c>
      <c r="B285" s="4" t="s">
        <v>6</v>
      </c>
      <c r="C285" s="4" t="str">
        <f t="shared" si="8"/>
        <v>-</v>
      </c>
      <c r="D285" s="4" t="str">
        <f>"0003682X"</f>
        <v>0003682X</v>
      </c>
      <c r="E285" s="4" t="str">
        <f>"1872910X"</f>
        <v>1872910X</v>
      </c>
      <c r="F285" s="4" t="s">
        <v>19</v>
      </c>
    </row>
    <row r="286" spans="1:6" x14ac:dyDescent="0.25">
      <c r="A286" s="4" t="str">
        <f>"Applied and Computational Harmonic Analysis"</f>
        <v>Applied and Computational Harmonic Analysis</v>
      </c>
      <c r="B286" s="4" t="s">
        <v>6</v>
      </c>
      <c r="C286" s="4" t="str">
        <f t="shared" si="8"/>
        <v>-</v>
      </c>
      <c r="D286" s="4" t="str">
        <f>"10635203"</f>
        <v>10635203</v>
      </c>
      <c r="E286" s="4" t="str">
        <f>"1096603X"</f>
        <v>1096603X</v>
      </c>
      <c r="F286" s="4" t="s">
        <v>71</v>
      </c>
    </row>
    <row r="287" spans="1:6" x14ac:dyDescent="0.25">
      <c r="A287" s="4" t="str">
        <f>"Applied and Environmental Microbiology"</f>
        <v>Applied and Environmental Microbiology</v>
      </c>
      <c r="B287" s="4" t="s">
        <v>6</v>
      </c>
      <c r="C287" s="4" t="str">
        <f t="shared" si="8"/>
        <v>-</v>
      </c>
      <c r="D287" s="4" t="str">
        <f>"00992240"</f>
        <v>00992240</v>
      </c>
      <c r="E287" s="4" t="str">
        <f>"10985336"</f>
        <v>10985336</v>
      </c>
      <c r="F287" s="4" t="s">
        <v>138</v>
      </c>
    </row>
    <row r="288" spans="1:6" x14ac:dyDescent="0.25">
      <c r="A288" s="4" t="str">
        <f>"Applied Artificial Intelligence"</f>
        <v>Applied Artificial Intelligence</v>
      </c>
      <c r="B288" s="4" t="s">
        <v>6</v>
      </c>
      <c r="C288" s="4" t="str">
        <f t="shared" ref="C288:C351" si="10">"-"</f>
        <v>-</v>
      </c>
      <c r="D288" s="4" t="str">
        <f>"08839514"</f>
        <v>08839514</v>
      </c>
      <c r="E288" s="4" t="str">
        <f>"10876545"</f>
        <v>10876545</v>
      </c>
      <c r="F288" s="4" t="s">
        <v>96</v>
      </c>
    </row>
    <row r="289" spans="1:6" x14ac:dyDescent="0.25">
      <c r="A289" s="4" t="str">
        <f>"Applied Biochemistry and Biotechnology"</f>
        <v>Applied Biochemistry and Biotechnology</v>
      </c>
      <c r="B289" s="4" t="s">
        <v>6</v>
      </c>
      <c r="C289" s="4" t="str">
        <f t="shared" si="10"/>
        <v>-</v>
      </c>
      <c r="D289" s="4" t="str">
        <f>"02732289"</f>
        <v>02732289</v>
      </c>
      <c r="E289" s="4" t="str">
        <f>"15590291"</f>
        <v>15590291</v>
      </c>
      <c r="F289" s="4" t="s">
        <v>139</v>
      </c>
    </row>
    <row r="290" spans="1:6" x14ac:dyDescent="0.25">
      <c r="A290" s="4" t="str">
        <f>"Applied Bionics and Biomechanics"</f>
        <v>Applied Bionics and Biomechanics</v>
      </c>
      <c r="B290" s="4" t="s">
        <v>6</v>
      </c>
      <c r="C290" s="4" t="str">
        <f t="shared" si="10"/>
        <v>-</v>
      </c>
      <c r="D290" s="4" t="str">
        <f>"11762322"</f>
        <v>11762322</v>
      </c>
      <c r="E290" s="4" t="str">
        <f>"17542103"</f>
        <v>17542103</v>
      </c>
      <c r="F290" s="4" t="s">
        <v>103</v>
      </c>
    </row>
    <row r="291" spans="1:6" x14ac:dyDescent="0.25">
      <c r="A291" s="4" t="str">
        <f>"Applied Catalysis A: General"</f>
        <v>Applied Catalysis A: General</v>
      </c>
      <c r="B291" s="4" t="s">
        <v>6</v>
      </c>
      <c r="C291" s="4" t="str">
        <f t="shared" si="10"/>
        <v>-</v>
      </c>
      <c r="D291" s="4" t="str">
        <f>"0926860X"</f>
        <v>0926860X</v>
      </c>
      <c r="E291" s="4" t="str">
        <f>"-"</f>
        <v>-</v>
      </c>
      <c r="F291" s="4" t="s">
        <v>55</v>
      </c>
    </row>
    <row r="292" spans="1:6" x14ac:dyDescent="0.25">
      <c r="A292" s="4" t="str">
        <f>"Applied Catalysis B: Environmental"</f>
        <v>Applied Catalysis B: Environmental</v>
      </c>
      <c r="B292" s="4" t="s">
        <v>6</v>
      </c>
      <c r="C292" s="4" t="str">
        <f t="shared" si="10"/>
        <v>-</v>
      </c>
      <c r="D292" s="4" t="str">
        <f>"09263373"</f>
        <v>09263373</v>
      </c>
      <c r="E292" s="4" t="str">
        <f>"-"</f>
        <v>-</v>
      </c>
      <c r="F292" s="4" t="s">
        <v>55</v>
      </c>
    </row>
    <row r="293" spans="1:6" x14ac:dyDescent="0.25">
      <c r="A293" s="4" t="str">
        <f>"Applied Clay Science"</f>
        <v>Applied Clay Science</v>
      </c>
      <c r="B293" s="4" t="s">
        <v>6</v>
      </c>
      <c r="C293" s="4" t="str">
        <f t="shared" si="10"/>
        <v>-</v>
      </c>
      <c r="D293" s="4" t="str">
        <f>"01691317"</f>
        <v>01691317</v>
      </c>
      <c r="E293" s="4" t="str">
        <f>"-"</f>
        <v>-</v>
      </c>
      <c r="F293" s="4" t="s">
        <v>19</v>
      </c>
    </row>
    <row r="294" spans="1:6" x14ac:dyDescent="0.25">
      <c r="A294" s="4" t="str">
        <f>"Applied Composite Materials"</f>
        <v>Applied Composite Materials</v>
      </c>
      <c r="B294" s="4" t="s">
        <v>6</v>
      </c>
      <c r="C294" s="4" t="str">
        <f t="shared" si="10"/>
        <v>-</v>
      </c>
      <c r="D294" s="4" t="str">
        <f>"0929189X"</f>
        <v>0929189X</v>
      </c>
      <c r="E294" s="4" t="str">
        <f>"15734897"</f>
        <v>15734897</v>
      </c>
      <c r="F294" s="4" t="s">
        <v>31</v>
      </c>
    </row>
    <row r="295" spans="1:6" x14ac:dyDescent="0.25">
      <c r="A295" s="4" t="str">
        <f>"Applied Computational Electromagnetics Society Journal"</f>
        <v>Applied Computational Electromagnetics Society Journal</v>
      </c>
      <c r="B295" s="4" t="s">
        <v>6</v>
      </c>
      <c r="C295" s="4" t="str">
        <f t="shared" si="10"/>
        <v>-</v>
      </c>
      <c r="D295" s="4" t="str">
        <f>"10544887"</f>
        <v>10544887</v>
      </c>
      <c r="E295" s="4" t="str">
        <f>"-"</f>
        <v>-</v>
      </c>
      <c r="F295" s="4" t="s">
        <v>135</v>
      </c>
    </row>
    <row r="296" spans="1:6" x14ac:dyDescent="0.25">
      <c r="A296" s="4" t="str">
        <f>"Applied Computational Electromagnetics Society Newsletter"</f>
        <v>Applied Computational Electromagnetics Society Newsletter</v>
      </c>
      <c r="B296" s="4" t="s">
        <v>22</v>
      </c>
      <c r="C296" s="4" t="str">
        <f t="shared" si="10"/>
        <v>-</v>
      </c>
      <c r="D296" s="4" t="str">
        <f>"10569170"</f>
        <v>10569170</v>
      </c>
      <c r="E296" s="4" t="str">
        <f>"-"</f>
        <v>-</v>
      </c>
      <c r="F296" s="4" t="s">
        <v>135</v>
      </c>
    </row>
    <row r="297" spans="1:6" x14ac:dyDescent="0.25">
      <c r="A297" s="4" t="str">
        <f>"Applied Energy"</f>
        <v>Applied Energy</v>
      </c>
      <c r="B297" s="4" t="s">
        <v>6</v>
      </c>
      <c r="C297" s="4" t="str">
        <f t="shared" si="10"/>
        <v>-</v>
      </c>
      <c r="D297" s="4" t="str">
        <f>"03062619"</f>
        <v>03062619</v>
      </c>
      <c r="E297" s="4" t="str">
        <f>"-"</f>
        <v>-</v>
      </c>
      <c r="F297" s="4" t="s">
        <v>19</v>
      </c>
    </row>
    <row r="298" spans="1:6" x14ac:dyDescent="0.25">
      <c r="A298" s="4" t="str">
        <f>"Applied Engineering in Agriculture"</f>
        <v>Applied Engineering in Agriculture</v>
      </c>
      <c r="B298" s="4" t="s">
        <v>6</v>
      </c>
      <c r="C298" s="4" t="str">
        <f t="shared" si="10"/>
        <v>-</v>
      </c>
      <c r="D298" s="4" t="str">
        <f>"08838542"</f>
        <v>08838542</v>
      </c>
      <c r="E298" s="4" t="str">
        <f>"-"</f>
        <v>-</v>
      </c>
      <c r="F298" s="4" t="s">
        <v>140</v>
      </c>
    </row>
    <row r="299" spans="1:6" x14ac:dyDescent="0.25">
      <c r="A299" s="4" t="str">
        <f>"Applied Ergonomics"</f>
        <v>Applied Ergonomics</v>
      </c>
      <c r="B299" s="4" t="s">
        <v>6</v>
      </c>
      <c r="C299" s="4" t="str">
        <f t="shared" si="10"/>
        <v>-</v>
      </c>
      <c r="D299" s="4" t="str">
        <f>"00036870"</f>
        <v>00036870</v>
      </c>
      <c r="E299" s="4" t="str">
        <f>"18729126"</f>
        <v>18729126</v>
      </c>
      <c r="F299" s="4" t="s">
        <v>19</v>
      </c>
    </row>
    <row r="300" spans="1:6" x14ac:dyDescent="0.25">
      <c r="A300" s="4" t="str">
        <f>"Applied Geochemistry"</f>
        <v>Applied Geochemistry</v>
      </c>
      <c r="B300" s="4" t="s">
        <v>6</v>
      </c>
      <c r="C300" s="4" t="str">
        <f t="shared" si="10"/>
        <v>-</v>
      </c>
      <c r="D300" s="4" t="str">
        <f>"08832927"</f>
        <v>08832927</v>
      </c>
      <c r="E300" s="4" t="str">
        <f>"18729134"</f>
        <v>18729134</v>
      </c>
      <c r="F300" s="4" t="s">
        <v>19</v>
      </c>
    </row>
    <row r="301" spans="1:6" x14ac:dyDescent="0.25">
      <c r="A301" s="4" t="str">
        <f>"Applied Intelligence"</f>
        <v>Applied Intelligence</v>
      </c>
      <c r="B301" s="4" t="s">
        <v>6</v>
      </c>
      <c r="C301" s="4" t="str">
        <f t="shared" si="10"/>
        <v>-</v>
      </c>
      <c r="D301" s="4" t="str">
        <f>"0924669X"</f>
        <v>0924669X</v>
      </c>
      <c r="E301" s="4" t="str">
        <f>"15737497"</f>
        <v>15737497</v>
      </c>
      <c r="F301" s="4" t="s">
        <v>57</v>
      </c>
    </row>
    <row r="302" spans="1:6" x14ac:dyDescent="0.25">
      <c r="A302" s="4" t="str">
        <f>"Applied Magnetic Resonance"</f>
        <v>Applied Magnetic Resonance</v>
      </c>
      <c r="B302" s="4" t="s">
        <v>6</v>
      </c>
      <c r="C302" s="4" t="str">
        <f t="shared" si="10"/>
        <v>-</v>
      </c>
      <c r="D302" s="4" t="str">
        <f>"09379347"</f>
        <v>09379347</v>
      </c>
      <c r="E302" s="4" t="str">
        <f>"-"</f>
        <v>-</v>
      </c>
      <c r="F302" s="4" t="s">
        <v>43</v>
      </c>
    </row>
    <row r="303" spans="1:6" x14ac:dyDescent="0.25">
      <c r="A303" s="4" t="str">
        <f>"Applied Mathematical Modelling"</f>
        <v>Applied Mathematical Modelling</v>
      </c>
      <c r="B303" s="4" t="s">
        <v>6</v>
      </c>
      <c r="C303" s="4" t="str">
        <f t="shared" si="10"/>
        <v>-</v>
      </c>
      <c r="D303" s="4" t="str">
        <f>"0307904X"</f>
        <v>0307904X</v>
      </c>
      <c r="E303" s="4" t="str">
        <f>"-"</f>
        <v>-</v>
      </c>
      <c r="F303" s="4" t="s">
        <v>141</v>
      </c>
    </row>
    <row r="304" spans="1:6" x14ac:dyDescent="0.25">
      <c r="A304" s="4" t="str">
        <f>"Applied Mathematics and Computation"</f>
        <v>Applied Mathematics and Computation</v>
      </c>
      <c r="B304" s="4" t="s">
        <v>6</v>
      </c>
      <c r="C304" s="4" t="str">
        <f t="shared" si="10"/>
        <v>-</v>
      </c>
      <c r="D304" s="4" t="str">
        <f>"00963003"</f>
        <v>00963003</v>
      </c>
      <c r="E304" s="4" t="str">
        <f>"-"</f>
        <v>-</v>
      </c>
      <c r="F304" s="4" t="s">
        <v>141</v>
      </c>
    </row>
    <row r="305" spans="1:6" x14ac:dyDescent="0.25">
      <c r="A305" s="4" t="str">
        <f>"Applied Mathematics and Mechanics (English Edition)"</f>
        <v>Applied Mathematics and Mechanics (English Edition)</v>
      </c>
      <c r="B305" s="4" t="s">
        <v>6</v>
      </c>
      <c r="C305" s="4" t="str">
        <f t="shared" si="10"/>
        <v>-</v>
      </c>
      <c r="D305" s="4" t="str">
        <f>"02534827"</f>
        <v>02534827</v>
      </c>
      <c r="E305" s="4" t="str">
        <f>"15732754"</f>
        <v>15732754</v>
      </c>
      <c r="F305" s="4" t="s">
        <v>31</v>
      </c>
    </row>
    <row r="306" spans="1:6" x14ac:dyDescent="0.25">
      <c r="A306" s="4" t="str">
        <f>"Applied Mathematics and Optimization"</f>
        <v>Applied Mathematics and Optimization</v>
      </c>
      <c r="B306" s="4" t="s">
        <v>6</v>
      </c>
      <c r="C306" s="4" t="str">
        <f t="shared" si="10"/>
        <v>-</v>
      </c>
      <c r="D306" s="4" t="str">
        <f>"00954616"</f>
        <v>00954616</v>
      </c>
      <c r="E306" s="4" t="str">
        <f>"14320606"</f>
        <v>14320606</v>
      </c>
      <c r="F306" s="4" t="s">
        <v>57</v>
      </c>
    </row>
    <row r="307" spans="1:6" x14ac:dyDescent="0.25">
      <c r="A307" s="4" t="str">
        <f>"Applied Mathematics Letters"</f>
        <v>Applied Mathematics Letters</v>
      </c>
      <c r="B307" s="4" t="s">
        <v>6</v>
      </c>
      <c r="C307" s="4" t="str">
        <f t="shared" si="10"/>
        <v>-</v>
      </c>
      <c r="D307" s="4" t="str">
        <f>"08939659"</f>
        <v>08939659</v>
      </c>
      <c r="E307" s="4" t="str">
        <f>"18735452"</f>
        <v>18735452</v>
      </c>
      <c r="F307" s="4" t="s">
        <v>19</v>
      </c>
    </row>
    <row r="308" spans="1:6" x14ac:dyDescent="0.25">
      <c r="A308" s="4" t="str">
        <f>"Applied Mathematics Research eXpress"</f>
        <v>Applied Mathematics Research eXpress</v>
      </c>
      <c r="B308" s="4" t="s">
        <v>6</v>
      </c>
      <c r="C308" s="4" t="str">
        <f t="shared" si="10"/>
        <v>-</v>
      </c>
      <c r="D308" s="4" t="str">
        <f>"16871200"</f>
        <v>16871200</v>
      </c>
      <c r="E308" s="4" t="str">
        <f>"16871197"</f>
        <v>16871197</v>
      </c>
      <c r="F308" s="4" t="s">
        <v>126</v>
      </c>
    </row>
    <row r="309" spans="1:6" x14ac:dyDescent="0.25">
      <c r="A309" s="4" t="str">
        <f>"Applied Mechanics Reviews"</f>
        <v>Applied Mechanics Reviews</v>
      </c>
      <c r="B309" s="4" t="s">
        <v>6</v>
      </c>
      <c r="C309" s="4" t="str">
        <f t="shared" si="10"/>
        <v>-</v>
      </c>
      <c r="D309" s="4" t="str">
        <f>"00036900"</f>
        <v>00036900</v>
      </c>
      <c r="E309" s="4" t="str">
        <f>"-"</f>
        <v>-</v>
      </c>
      <c r="F309" s="4" t="s">
        <v>73</v>
      </c>
    </row>
    <row r="310" spans="1:6" x14ac:dyDescent="0.25">
      <c r="A310" s="4" t="str">
        <f>"Applied Microbiology and Biotechnology"</f>
        <v>Applied Microbiology and Biotechnology</v>
      </c>
      <c r="B310" s="4" t="s">
        <v>6</v>
      </c>
      <c r="C310" s="4" t="str">
        <f t="shared" si="10"/>
        <v>-</v>
      </c>
      <c r="D310" s="4" t="str">
        <f>"01757598"</f>
        <v>01757598</v>
      </c>
      <c r="E310" s="4" t="str">
        <f>"14320614"</f>
        <v>14320614</v>
      </c>
      <c r="F310" s="4" t="s">
        <v>42</v>
      </c>
    </row>
    <row r="311" spans="1:6" x14ac:dyDescent="0.25">
      <c r="A311" s="4" t="str">
        <f>"Applied Numerical Mathematics"</f>
        <v>Applied Numerical Mathematics</v>
      </c>
      <c r="B311" s="4" t="s">
        <v>6</v>
      </c>
      <c r="C311" s="4" t="str">
        <f t="shared" si="10"/>
        <v>-</v>
      </c>
      <c r="D311" s="4" t="str">
        <f>"01689274"</f>
        <v>01689274</v>
      </c>
      <c r="E311" s="4" t="str">
        <f>"-"</f>
        <v>-</v>
      </c>
      <c r="F311" s="4" t="s">
        <v>55</v>
      </c>
    </row>
    <row r="312" spans="1:6" x14ac:dyDescent="0.25">
      <c r="A312" s="4" t="str">
        <f>"Applied Ocean Research"</f>
        <v>Applied Ocean Research</v>
      </c>
      <c r="B312" s="4" t="s">
        <v>6</v>
      </c>
      <c r="C312" s="4" t="str">
        <f t="shared" si="10"/>
        <v>-</v>
      </c>
      <c r="D312" s="4" t="str">
        <f>"01411187"</f>
        <v>01411187</v>
      </c>
      <c r="E312" s="4" t="str">
        <f>"-"</f>
        <v>-</v>
      </c>
      <c r="F312" s="4" t="s">
        <v>19</v>
      </c>
    </row>
    <row r="313" spans="1:6" x14ac:dyDescent="0.25">
      <c r="A313" s="4" t="str">
        <f>"Applied Ontology"</f>
        <v>Applied Ontology</v>
      </c>
      <c r="B313" s="4" t="s">
        <v>6</v>
      </c>
      <c r="C313" s="4" t="str">
        <f t="shared" si="10"/>
        <v>-</v>
      </c>
      <c r="D313" s="4" t="str">
        <f>"15705838"</f>
        <v>15705838</v>
      </c>
      <c r="E313" s="4" t="str">
        <f>"18758533"</f>
        <v>18758533</v>
      </c>
      <c r="F313" s="4" t="s">
        <v>103</v>
      </c>
    </row>
    <row r="314" spans="1:6" x14ac:dyDescent="0.25">
      <c r="A314" s="4" t="str">
        <f>"Applied Optics"</f>
        <v>Applied Optics</v>
      </c>
      <c r="B314" s="4" t="s">
        <v>6</v>
      </c>
      <c r="C314" s="4" t="str">
        <f t="shared" si="10"/>
        <v>-</v>
      </c>
      <c r="D314" s="4" t="str">
        <f>"1559128X"</f>
        <v>1559128X</v>
      </c>
      <c r="E314" s="4" t="str">
        <f>"21553165"</f>
        <v>21553165</v>
      </c>
      <c r="F314" s="4" t="s">
        <v>86</v>
      </c>
    </row>
    <row r="315" spans="1:6" x14ac:dyDescent="0.25">
      <c r="A315" s="4" t="str">
        <f>"Applied Organometallic Chemistry"</f>
        <v>Applied Organometallic Chemistry</v>
      </c>
      <c r="B315" s="4" t="s">
        <v>6</v>
      </c>
      <c r="C315" s="4" t="str">
        <f t="shared" si="10"/>
        <v>-</v>
      </c>
      <c r="D315" s="4" t="str">
        <f>"02682605"</f>
        <v>02682605</v>
      </c>
      <c r="E315" s="4" t="str">
        <f>"10990739"</f>
        <v>10990739</v>
      </c>
      <c r="F315" s="4" t="s">
        <v>142</v>
      </c>
    </row>
    <row r="316" spans="1:6" x14ac:dyDescent="0.25">
      <c r="A316" s="4" t="str">
        <f>"Applied Petrochemical Research"</f>
        <v>Applied Petrochemical Research</v>
      </c>
      <c r="B316" s="4" t="s">
        <v>6</v>
      </c>
      <c r="C316" s="4" t="str">
        <f t="shared" si="10"/>
        <v>-</v>
      </c>
      <c r="D316" s="4" t="str">
        <f>"-"</f>
        <v>-</v>
      </c>
      <c r="E316" s="4" t="str">
        <f>"21905533"</f>
        <v>21905533</v>
      </c>
      <c r="F316" s="4" t="s">
        <v>42</v>
      </c>
    </row>
    <row r="317" spans="1:6" x14ac:dyDescent="0.25">
      <c r="A317" s="4" t="str">
        <f>"Applied Physics"</f>
        <v>Applied Physics</v>
      </c>
      <c r="B317" s="4" t="s">
        <v>6</v>
      </c>
      <c r="C317" s="4" t="str">
        <f t="shared" si="10"/>
        <v>-</v>
      </c>
      <c r="D317" s="4" t="str">
        <f>"19960948"</f>
        <v>19960948</v>
      </c>
      <c r="E317" s="4" t="str">
        <f>"-"</f>
        <v>-</v>
      </c>
      <c r="F317" s="4" t="s">
        <v>143</v>
      </c>
    </row>
    <row r="318" spans="1:6" x14ac:dyDescent="0.25">
      <c r="A318" s="4" t="str">
        <f>"Applied Physics A: Materials Science and Processing"</f>
        <v>Applied Physics A: Materials Science and Processing</v>
      </c>
      <c r="B318" s="4" t="s">
        <v>6</v>
      </c>
      <c r="C318" s="4" t="str">
        <f t="shared" si="10"/>
        <v>-</v>
      </c>
      <c r="D318" s="4" t="str">
        <f>"09478396"</f>
        <v>09478396</v>
      </c>
      <c r="E318" s="4" t="str">
        <f>"14320630"</f>
        <v>14320630</v>
      </c>
      <c r="F318" s="4" t="s">
        <v>42</v>
      </c>
    </row>
    <row r="319" spans="1:6" x14ac:dyDescent="0.25">
      <c r="A319" s="4" t="str">
        <f>"Applied Physics B: Lasers and Optics"</f>
        <v>Applied Physics B: Lasers and Optics</v>
      </c>
      <c r="B319" s="4" t="s">
        <v>6</v>
      </c>
      <c r="C319" s="4" t="str">
        <f t="shared" si="10"/>
        <v>-</v>
      </c>
      <c r="D319" s="4" t="str">
        <f>"09462171"</f>
        <v>09462171</v>
      </c>
      <c r="E319" s="4" t="str">
        <f>"-"</f>
        <v>-</v>
      </c>
      <c r="F319" s="4" t="s">
        <v>42</v>
      </c>
    </row>
    <row r="320" spans="1:6" x14ac:dyDescent="0.25">
      <c r="A320" s="4" t="str">
        <f>"Applied Physics Express"</f>
        <v>Applied Physics Express</v>
      </c>
      <c r="B320" s="4" t="s">
        <v>6</v>
      </c>
      <c r="C320" s="4" t="str">
        <f t="shared" si="10"/>
        <v>-</v>
      </c>
      <c r="D320" s="4" t="str">
        <f>"18820778"</f>
        <v>18820778</v>
      </c>
      <c r="E320" s="4" t="str">
        <f>"18820786"</f>
        <v>18820786</v>
      </c>
      <c r="F320" s="4" t="s">
        <v>144</v>
      </c>
    </row>
    <row r="321" spans="1:6" x14ac:dyDescent="0.25">
      <c r="A321" s="4" t="str">
        <f>"Applied Physics Letters"</f>
        <v>Applied Physics Letters</v>
      </c>
      <c r="B321" s="4" t="s">
        <v>6</v>
      </c>
      <c r="C321" s="4" t="str">
        <f t="shared" si="10"/>
        <v>-</v>
      </c>
      <c r="D321" s="4" t="str">
        <f>"00036951"</f>
        <v>00036951</v>
      </c>
      <c r="E321" s="4" t="str">
        <f>"-"</f>
        <v>-</v>
      </c>
      <c r="F321" s="4" t="s">
        <v>108</v>
      </c>
    </row>
    <row r="322" spans="1:6" x14ac:dyDescent="0.25">
      <c r="A322" s="4" t="str">
        <f>"Applied Physics Reviews"</f>
        <v>Applied Physics Reviews</v>
      </c>
      <c r="B322" s="4" t="s">
        <v>6</v>
      </c>
      <c r="C322" s="4" t="str">
        <f t="shared" si="10"/>
        <v>-</v>
      </c>
      <c r="D322" s="4" t="str">
        <f>"-"</f>
        <v>-</v>
      </c>
      <c r="E322" s="4" t="str">
        <f>"19319401"</f>
        <v>19319401</v>
      </c>
      <c r="F322" s="4" t="s">
        <v>108</v>
      </c>
    </row>
    <row r="323" spans="1:6" x14ac:dyDescent="0.25">
      <c r="A323" s="4" t="str">
        <f>"Applied Radiation and Isotopes"</f>
        <v>Applied Radiation and Isotopes</v>
      </c>
      <c r="B323" s="4" t="s">
        <v>6</v>
      </c>
      <c r="C323" s="4" t="str">
        <f t="shared" si="10"/>
        <v>-</v>
      </c>
      <c r="D323" s="4" t="str">
        <f>"09698043"</f>
        <v>09698043</v>
      </c>
      <c r="E323" s="4" t="str">
        <f>"18729800"</f>
        <v>18729800</v>
      </c>
      <c r="F323" s="4" t="s">
        <v>19</v>
      </c>
    </row>
    <row r="324" spans="1:6" x14ac:dyDescent="0.25">
      <c r="A324" s="4" t="str">
        <f>"Applied Soft Computing Journal"</f>
        <v>Applied Soft Computing Journal</v>
      </c>
      <c r="B324" s="4" t="s">
        <v>6</v>
      </c>
      <c r="C324" s="4" t="str">
        <f t="shared" si="10"/>
        <v>-</v>
      </c>
      <c r="D324" s="4" t="str">
        <f>"15684946"</f>
        <v>15684946</v>
      </c>
      <c r="E324" s="4" t="str">
        <f>"-"</f>
        <v>-</v>
      </c>
      <c r="F324" s="4" t="s">
        <v>19</v>
      </c>
    </row>
    <row r="325" spans="1:6" x14ac:dyDescent="0.25">
      <c r="A325" s="4" t="str">
        <f>"Applied Solar Energy (English translation of Geliotekhnika)"</f>
        <v>Applied Solar Energy (English translation of Geliotekhnika)</v>
      </c>
      <c r="B325" s="4" t="s">
        <v>6</v>
      </c>
      <c r="C325" s="4" t="str">
        <f t="shared" si="10"/>
        <v>-</v>
      </c>
      <c r="D325" s="4" t="str">
        <f>"0003701X"</f>
        <v>0003701X</v>
      </c>
      <c r="E325" s="4" t="str">
        <f>"-"</f>
        <v>-</v>
      </c>
      <c r="F325" s="4" t="s">
        <v>145</v>
      </c>
    </row>
    <row r="326" spans="1:6" x14ac:dyDescent="0.25">
      <c r="A326" s="4" t="str">
        <f>"Applied Spectroscopy"</f>
        <v>Applied Spectroscopy</v>
      </c>
      <c r="B326" s="4" t="s">
        <v>6</v>
      </c>
      <c r="C326" s="4" t="str">
        <f t="shared" si="10"/>
        <v>-</v>
      </c>
      <c r="D326" s="4" t="str">
        <f>"00037028"</f>
        <v>00037028</v>
      </c>
      <c r="E326" s="4" t="str">
        <f>"19433530"</f>
        <v>19433530</v>
      </c>
      <c r="F326" s="4" t="s">
        <v>86</v>
      </c>
    </row>
    <row r="327" spans="1:6" x14ac:dyDescent="0.25">
      <c r="A327" s="4" t="str">
        <f>"Applied Spectroscopy Reviews"</f>
        <v>Applied Spectroscopy Reviews</v>
      </c>
      <c r="B327" s="4" t="s">
        <v>6</v>
      </c>
      <c r="C327" s="4" t="str">
        <f t="shared" si="10"/>
        <v>-</v>
      </c>
      <c r="D327" s="4" t="str">
        <f>"05704928"</f>
        <v>05704928</v>
      </c>
      <c r="E327" s="4" t="str">
        <f>"1520569X"</f>
        <v>1520569X</v>
      </c>
      <c r="F327" s="4" t="s">
        <v>96</v>
      </c>
    </row>
    <row r="328" spans="1:6" x14ac:dyDescent="0.25">
      <c r="A328" s="4" t="str">
        <f>"Applied Stochastic Models in Business and Industry"</f>
        <v>Applied Stochastic Models in Business and Industry</v>
      </c>
      <c r="B328" s="4" t="s">
        <v>6</v>
      </c>
      <c r="C328" s="4" t="str">
        <f t="shared" si="10"/>
        <v>-</v>
      </c>
      <c r="D328" s="4" t="str">
        <f>"15241904"</f>
        <v>15241904</v>
      </c>
      <c r="E328" s="4" t="str">
        <f>"15264025"</f>
        <v>15264025</v>
      </c>
      <c r="F328" s="4" t="s">
        <v>142</v>
      </c>
    </row>
    <row r="329" spans="1:6" x14ac:dyDescent="0.25">
      <c r="A329" s="4" t="str">
        <f>"Applied Surface Science"</f>
        <v>Applied Surface Science</v>
      </c>
      <c r="B329" s="4" t="s">
        <v>6</v>
      </c>
      <c r="C329" s="4" t="str">
        <f t="shared" si="10"/>
        <v>-</v>
      </c>
      <c r="D329" s="4" t="str">
        <f>"01694332"</f>
        <v>01694332</v>
      </c>
      <c r="E329" s="4" t="str">
        <f>"-"</f>
        <v>-</v>
      </c>
      <c r="F329" s="4" t="s">
        <v>55</v>
      </c>
    </row>
    <row r="330" spans="1:6" x14ac:dyDescent="0.25">
      <c r="A330" s="4" t="str">
        <f>"Applied Thermal Engineering"</f>
        <v>Applied Thermal Engineering</v>
      </c>
      <c r="B330" s="4" t="s">
        <v>6</v>
      </c>
      <c r="C330" s="4" t="str">
        <f t="shared" si="10"/>
        <v>-</v>
      </c>
      <c r="D330" s="4" t="str">
        <f>"13594311"</f>
        <v>13594311</v>
      </c>
      <c r="E330" s="4" t="str">
        <f>"-"</f>
        <v>-</v>
      </c>
      <c r="F330" s="4" t="s">
        <v>19</v>
      </c>
    </row>
    <row r="331" spans="1:6" x14ac:dyDescent="0.25">
      <c r="A331" s="4" t="str">
        <f>"Applied Water Science"</f>
        <v>Applied Water Science</v>
      </c>
      <c r="B331" s="4" t="s">
        <v>6</v>
      </c>
      <c r="C331" s="4" t="str">
        <f t="shared" si="10"/>
        <v>-</v>
      </c>
      <c r="D331" s="4" t="str">
        <f>"-"</f>
        <v>-</v>
      </c>
      <c r="E331" s="4" t="str">
        <f>"21905495"</f>
        <v>21905495</v>
      </c>
      <c r="F331" s="4" t="s">
        <v>42</v>
      </c>
    </row>
    <row r="332" spans="1:6" x14ac:dyDescent="0.25">
      <c r="A332" s="4" t="str">
        <f>"Aquacultural Engineering"</f>
        <v>Aquacultural Engineering</v>
      </c>
      <c r="B332" s="4" t="s">
        <v>6</v>
      </c>
      <c r="C332" s="4" t="str">
        <f t="shared" si="10"/>
        <v>-</v>
      </c>
      <c r="D332" s="4" t="str">
        <f>"01448609"</f>
        <v>01448609</v>
      </c>
      <c r="E332" s="4" t="str">
        <f>"-"</f>
        <v>-</v>
      </c>
      <c r="F332" s="4" t="s">
        <v>55</v>
      </c>
    </row>
    <row r="333" spans="1:6" x14ac:dyDescent="0.25">
      <c r="A333" s="4" t="str">
        <f>"Arabian Journal of Chemistry"</f>
        <v>Arabian Journal of Chemistry</v>
      </c>
      <c r="B333" s="4" t="s">
        <v>6</v>
      </c>
      <c r="C333" s="4" t="str">
        <f t="shared" si="10"/>
        <v>-</v>
      </c>
      <c r="D333" s="4" t="str">
        <f>"18785352"</f>
        <v>18785352</v>
      </c>
      <c r="E333" s="4" t="str">
        <f>"-"</f>
        <v>-</v>
      </c>
      <c r="F333" s="4" t="s">
        <v>55</v>
      </c>
    </row>
    <row r="334" spans="1:6" x14ac:dyDescent="0.25">
      <c r="A334" s="4" t="str">
        <f>"Arbeitsberichte aus dem Fachbereich Informatik"</f>
        <v>Arbeitsberichte aus dem Fachbereich Informatik</v>
      </c>
      <c r="B334" s="4" t="s">
        <v>8</v>
      </c>
      <c r="C334" s="4" t="str">
        <f t="shared" si="10"/>
        <v>-</v>
      </c>
      <c r="D334" s="4" t="str">
        <f>"18640850"</f>
        <v>18640850</v>
      </c>
      <c r="E334" s="4" t="str">
        <f>"-"</f>
        <v>-</v>
      </c>
      <c r="F334" s="4" t="s">
        <v>146</v>
      </c>
    </row>
    <row r="335" spans="1:6" x14ac:dyDescent="0.25">
      <c r="A335" s="4" t="str">
        <f>"Architectural Engineering and Design Management"</f>
        <v>Architectural Engineering and Design Management</v>
      </c>
      <c r="B335" s="4" t="s">
        <v>6</v>
      </c>
      <c r="C335" s="4" t="str">
        <f t="shared" si="10"/>
        <v>-</v>
      </c>
      <c r="D335" s="4" t="str">
        <f>"17452007"</f>
        <v>17452007</v>
      </c>
      <c r="E335" s="4" t="str">
        <f>"17527589"</f>
        <v>17527589</v>
      </c>
      <c r="F335" s="4" t="s">
        <v>60</v>
      </c>
    </row>
    <row r="336" spans="1:6" x14ac:dyDescent="0.25">
      <c r="A336" s="4" t="str">
        <f>"Architectural Science Review"</f>
        <v>Architectural Science Review</v>
      </c>
      <c r="B336" s="4" t="s">
        <v>6</v>
      </c>
      <c r="C336" s="4" t="str">
        <f t="shared" si="10"/>
        <v>-</v>
      </c>
      <c r="D336" s="4" t="str">
        <f>"00038628"</f>
        <v>00038628</v>
      </c>
      <c r="E336" s="4" t="str">
        <f>"17589622"</f>
        <v>17589622</v>
      </c>
      <c r="F336" s="4" t="s">
        <v>60</v>
      </c>
    </row>
    <row r="337" spans="1:6" x14ac:dyDescent="0.25">
      <c r="A337" s="4" t="str">
        <f>"Archive of Applied Mechanics"</f>
        <v>Archive of Applied Mechanics</v>
      </c>
      <c r="B337" s="4" t="s">
        <v>6</v>
      </c>
      <c r="C337" s="4" t="str">
        <f t="shared" si="10"/>
        <v>-</v>
      </c>
      <c r="D337" s="4" t="str">
        <f>"09391533"</f>
        <v>09391533</v>
      </c>
      <c r="E337" s="4" t="str">
        <f>"14320681"</f>
        <v>14320681</v>
      </c>
      <c r="F337" s="4" t="s">
        <v>42</v>
      </c>
    </row>
    <row r="338" spans="1:6" x14ac:dyDescent="0.25">
      <c r="A338" s="4" t="str">
        <f>"Archives des Sciences"</f>
        <v>Archives des Sciences</v>
      </c>
      <c r="B338" s="4" t="s">
        <v>6</v>
      </c>
      <c r="C338" s="4" t="str">
        <f t="shared" si="10"/>
        <v>-</v>
      </c>
      <c r="D338" s="4" t="str">
        <f>"1661464X"</f>
        <v>1661464X</v>
      </c>
      <c r="E338" s="4" t="str">
        <f>"-"</f>
        <v>-</v>
      </c>
      <c r="F338" s="4" t="s">
        <v>147</v>
      </c>
    </row>
    <row r="339" spans="1:6" x14ac:dyDescent="0.25">
      <c r="A339" s="4" t="str">
        <f>"Archives of Acoustics"</f>
        <v>Archives of Acoustics</v>
      </c>
      <c r="B339" s="4" t="s">
        <v>6</v>
      </c>
      <c r="C339" s="4" t="str">
        <f t="shared" si="10"/>
        <v>-</v>
      </c>
      <c r="D339" s="4" t="str">
        <f>"01375075"</f>
        <v>01375075</v>
      </c>
      <c r="E339" s="4" t="str">
        <f>"-"</f>
        <v>-</v>
      </c>
      <c r="F339" s="4" t="s">
        <v>148</v>
      </c>
    </row>
    <row r="340" spans="1:6" x14ac:dyDescent="0.25">
      <c r="A340" s="4" t="str">
        <f>"Archives of Civil and Mechanical Engineering"</f>
        <v>Archives of Civil and Mechanical Engineering</v>
      </c>
      <c r="B340" s="4" t="s">
        <v>6</v>
      </c>
      <c r="C340" s="4" t="str">
        <f t="shared" si="10"/>
        <v>-</v>
      </c>
      <c r="D340" s="4" t="str">
        <f>"16449665"</f>
        <v>16449665</v>
      </c>
      <c r="E340" s="4" t="str">
        <f>"-"</f>
        <v>-</v>
      </c>
      <c r="F340" s="4" t="s">
        <v>55</v>
      </c>
    </row>
    <row r="341" spans="1:6" x14ac:dyDescent="0.25">
      <c r="A341" s="4" t="str">
        <f>"Archives of Civil Engineering"</f>
        <v>Archives of Civil Engineering</v>
      </c>
      <c r="B341" s="4" t="s">
        <v>6</v>
      </c>
      <c r="C341" s="4" t="str">
        <f t="shared" si="10"/>
        <v>-</v>
      </c>
      <c r="D341" s="4" t="str">
        <f>"12302945"</f>
        <v>12302945</v>
      </c>
      <c r="E341" s="4" t="str">
        <f>"-"</f>
        <v>-</v>
      </c>
      <c r="F341" s="4" t="s">
        <v>149</v>
      </c>
    </row>
    <row r="342" spans="1:6" x14ac:dyDescent="0.25">
      <c r="A342" s="4" t="str">
        <f>"Archives of Computational Methods in Engineering"</f>
        <v>Archives of Computational Methods in Engineering</v>
      </c>
      <c r="B342" s="4" t="s">
        <v>6</v>
      </c>
      <c r="C342" s="4" t="str">
        <f t="shared" si="10"/>
        <v>-</v>
      </c>
      <c r="D342" s="4" t="str">
        <f>"11343060"</f>
        <v>11343060</v>
      </c>
      <c r="E342" s="4" t="str">
        <f>"18861784"</f>
        <v>18861784</v>
      </c>
      <c r="F342" s="4" t="s">
        <v>31</v>
      </c>
    </row>
    <row r="343" spans="1:6" x14ac:dyDescent="0.25">
      <c r="A343" s="4" t="str">
        <f>"Archives of Control Sciences"</f>
        <v>Archives of Control Sciences</v>
      </c>
      <c r="B343" s="4" t="s">
        <v>6</v>
      </c>
      <c r="C343" s="4" t="str">
        <f t="shared" si="10"/>
        <v>-</v>
      </c>
      <c r="D343" s="4" t="str">
        <f>"12302384"</f>
        <v>12302384</v>
      </c>
      <c r="E343" s="4" t="str">
        <f>"-"</f>
        <v>-</v>
      </c>
      <c r="F343" s="4" t="s">
        <v>150</v>
      </c>
    </row>
    <row r="344" spans="1:6" x14ac:dyDescent="0.25">
      <c r="A344" s="4" t="str">
        <f>"Archives of Electrical Engineering"</f>
        <v>Archives of Electrical Engineering</v>
      </c>
      <c r="B344" s="4" t="s">
        <v>6</v>
      </c>
      <c r="C344" s="4" t="str">
        <f t="shared" si="10"/>
        <v>-</v>
      </c>
      <c r="D344" s="4" t="str">
        <f>"00040746"</f>
        <v>00040746</v>
      </c>
      <c r="E344" s="4" t="str">
        <f>"-"</f>
        <v>-</v>
      </c>
      <c r="F344" s="4" t="s">
        <v>41</v>
      </c>
    </row>
    <row r="345" spans="1:6" x14ac:dyDescent="0.25">
      <c r="A345" s="4" t="str">
        <f>"Archives of Foundry Engineering"</f>
        <v>Archives of Foundry Engineering</v>
      </c>
      <c r="B345" s="4" t="s">
        <v>6</v>
      </c>
      <c r="C345" s="4" t="str">
        <f t="shared" si="10"/>
        <v>-</v>
      </c>
      <c r="D345" s="4" t="str">
        <f>"18973310"</f>
        <v>18973310</v>
      </c>
      <c r="E345" s="4" t="str">
        <f>"22992944"</f>
        <v>22992944</v>
      </c>
      <c r="F345" s="4" t="s">
        <v>41</v>
      </c>
    </row>
    <row r="346" spans="1:6" x14ac:dyDescent="0.25">
      <c r="A346" s="4" t="str">
        <f>"Archives of Metallurgy and Materials"</f>
        <v>Archives of Metallurgy and Materials</v>
      </c>
      <c r="B346" s="4" t="s">
        <v>6</v>
      </c>
      <c r="C346" s="4" t="str">
        <f t="shared" si="10"/>
        <v>-</v>
      </c>
      <c r="D346" s="4" t="str">
        <f>"17333490"</f>
        <v>17333490</v>
      </c>
      <c r="E346" s="4" t="str">
        <f>"-"</f>
        <v>-</v>
      </c>
      <c r="F346" s="4" t="s">
        <v>151</v>
      </c>
    </row>
    <row r="347" spans="1:6" x14ac:dyDescent="0.25">
      <c r="A347" s="4" t="str">
        <f>"Archives of Thermodynamics"</f>
        <v>Archives of Thermodynamics</v>
      </c>
      <c r="B347" s="4" t="s">
        <v>6</v>
      </c>
      <c r="C347" s="4" t="str">
        <f t="shared" si="10"/>
        <v>-</v>
      </c>
      <c r="D347" s="4" t="str">
        <f>"12310956"</f>
        <v>12310956</v>
      </c>
      <c r="E347" s="4" t="str">
        <f>"20836023"</f>
        <v>20836023</v>
      </c>
      <c r="F347" s="4" t="s">
        <v>48</v>
      </c>
    </row>
    <row r="348" spans="1:6" x14ac:dyDescent="0.25">
      <c r="A348" s="4" t="str">
        <f>"Archives of Transport"</f>
        <v>Archives of Transport</v>
      </c>
      <c r="B348" s="4" t="s">
        <v>6</v>
      </c>
      <c r="C348" s="4" t="str">
        <f t="shared" si="10"/>
        <v>-</v>
      </c>
      <c r="D348" s="4" t="str">
        <f>"08669546"</f>
        <v>08669546</v>
      </c>
      <c r="E348" s="4" t="str">
        <f>"-"</f>
        <v>-</v>
      </c>
      <c r="F348" s="4" t="s">
        <v>41</v>
      </c>
    </row>
    <row r="349" spans="1:6" x14ac:dyDescent="0.25">
      <c r="A349" s="4" t="str">
        <f>"Argument and Computation"</f>
        <v>Argument and Computation</v>
      </c>
      <c r="B349" s="4" t="s">
        <v>6</v>
      </c>
      <c r="C349" s="4" t="str">
        <f t="shared" si="10"/>
        <v>-</v>
      </c>
      <c r="D349" s="4" t="str">
        <f>"19462166"</f>
        <v>19462166</v>
      </c>
      <c r="E349" s="4" t="str">
        <f>"19462174"</f>
        <v>19462174</v>
      </c>
      <c r="F349" s="4" t="s">
        <v>60</v>
      </c>
    </row>
    <row r="350" spans="1:6" x14ac:dyDescent="0.25">
      <c r="A350" s="4" t="str">
        <f>"Artificial Cells, Nanomedicine and Biotechnology"</f>
        <v>Artificial Cells, Nanomedicine and Biotechnology</v>
      </c>
      <c r="B350" s="4" t="s">
        <v>6</v>
      </c>
      <c r="C350" s="4" t="str">
        <f t="shared" si="10"/>
        <v>-</v>
      </c>
      <c r="D350" s="4" t="str">
        <f>"21691401"</f>
        <v>21691401</v>
      </c>
      <c r="E350" s="4" t="str">
        <f>"2169141X"</f>
        <v>2169141X</v>
      </c>
      <c r="F350" s="4" t="s">
        <v>60</v>
      </c>
    </row>
    <row r="351" spans="1:6" x14ac:dyDescent="0.25">
      <c r="A351" s="4" t="str">
        <f>"Artificial Intelligence"</f>
        <v>Artificial Intelligence</v>
      </c>
      <c r="B351" s="4" t="s">
        <v>6</v>
      </c>
      <c r="C351" s="4" t="str">
        <f t="shared" si="10"/>
        <v>-</v>
      </c>
      <c r="D351" s="4" t="str">
        <f>"00043702"</f>
        <v>00043702</v>
      </c>
      <c r="E351" s="4" t="str">
        <f>"-"</f>
        <v>-</v>
      </c>
      <c r="F351" s="4" t="s">
        <v>55</v>
      </c>
    </row>
    <row r="352" spans="1:6" x14ac:dyDescent="0.25">
      <c r="A352" s="4" t="str">
        <f>"Artificial Intelligence and Law"</f>
        <v>Artificial Intelligence and Law</v>
      </c>
      <c r="B352" s="4" t="s">
        <v>6</v>
      </c>
      <c r="C352" s="4" t="str">
        <f t="shared" ref="C352:E415" si="11">"-"</f>
        <v>-</v>
      </c>
      <c r="D352" s="4" t="str">
        <f>"09248463"</f>
        <v>09248463</v>
      </c>
      <c r="E352" s="4" t="str">
        <f>"15728382"</f>
        <v>15728382</v>
      </c>
      <c r="F352" s="4" t="s">
        <v>31</v>
      </c>
    </row>
    <row r="353" spans="1:6" x14ac:dyDescent="0.25">
      <c r="A353" s="4" t="str">
        <f>"Artificial Intelligence for Engineering Design, Analysis and Manufacturing: AIEDAM"</f>
        <v>Artificial Intelligence for Engineering Design, Analysis and Manufacturing: AIEDAM</v>
      </c>
      <c r="B353" s="4" t="s">
        <v>6</v>
      </c>
      <c r="C353" s="4" t="str">
        <f t="shared" si="11"/>
        <v>-</v>
      </c>
      <c r="D353" s="4" t="str">
        <f>"08900604"</f>
        <v>08900604</v>
      </c>
      <c r="E353" s="4" t="str">
        <f>"14691760"</f>
        <v>14691760</v>
      </c>
      <c r="F353" s="4" t="s">
        <v>152</v>
      </c>
    </row>
    <row r="354" spans="1:6" x14ac:dyDescent="0.25">
      <c r="A354" s="4" t="str">
        <f>"Artificial Intelligence in Medicine"</f>
        <v>Artificial Intelligence in Medicine</v>
      </c>
      <c r="B354" s="4" t="s">
        <v>6</v>
      </c>
      <c r="C354" s="4" t="str">
        <f t="shared" si="11"/>
        <v>-</v>
      </c>
      <c r="D354" s="4" t="str">
        <f>"09333657"</f>
        <v>09333657</v>
      </c>
      <c r="E354" s="4" t="str">
        <f>"18732860"</f>
        <v>18732860</v>
      </c>
      <c r="F354" s="4" t="s">
        <v>55</v>
      </c>
    </row>
    <row r="355" spans="1:6" x14ac:dyDescent="0.25">
      <c r="A355" s="4" t="str">
        <f>"Artificial Intelligence Review"</f>
        <v>Artificial Intelligence Review</v>
      </c>
      <c r="B355" s="4" t="s">
        <v>6</v>
      </c>
      <c r="C355" s="4" t="str">
        <f t="shared" si="11"/>
        <v>-</v>
      </c>
      <c r="D355" s="4" t="str">
        <f>"02692821"</f>
        <v>02692821</v>
      </c>
      <c r="E355" s="4" t="str">
        <f>"15737462"</f>
        <v>15737462</v>
      </c>
      <c r="F355" s="4" t="s">
        <v>31</v>
      </c>
    </row>
    <row r="356" spans="1:6" x14ac:dyDescent="0.25">
      <c r="A356" s="4" t="str">
        <f>"Artificial Life"</f>
        <v>Artificial Life</v>
      </c>
      <c r="B356" s="4" t="s">
        <v>6</v>
      </c>
      <c r="C356" s="4" t="str">
        <f t="shared" si="11"/>
        <v>-</v>
      </c>
      <c r="D356" s="4" t="str">
        <f>"10645462"</f>
        <v>10645462</v>
      </c>
      <c r="E356" s="4" t="str">
        <f>"15309185"</f>
        <v>15309185</v>
      </c>
      <c r="F356" s="4" t="s">
        <v>153</v>
      </c>
    </row>
    <row r="357" spans="1:6" x14ac:dyDescent="0.25">
      <c r="A357" s="4" t="str">
        <f>"Artificial Life and Robotics"</f>
        <v>Artificial Life and Robotics</v>
      </c>
      <c r="B357" s="4" t="s">
        <v>6</v>
      </c>
      <c r="C357" s="4" t="str">
        <f t="shared" si="11"/>
        <v>-</v>
      </c>
      <c r="D357" s="4" t="str">
        <f>"14335298"</f>
        <v>14335298</v>
      </c>
      <c r="E357" s="4" t="str">
        <f>"16147456"</f>
        <v>16147456</v>
      </c>
      <c r="F357" s="4" t="s">
        <v>127</v>
      </c>
    </row>
    <row r="358" spans="1:6" x14ac:dyDescent="0.25">
      <c r="A358" s="4" t="str">
        <f>"Artificial Satellites"</f>
        <v>Artificial Satellites</v>
      </c>
      <c r="B358" s="4" t="s">
        <v>6</v>
      </c>
      <c r="C358" s="4" t="str">
        <f t="shared" si="11"/>
        <v>-</v>
      </c>
      <c r="D358" s="4" t="str">
        <f>"0208841X"</f>
        <v>0208841X</v>
      </c>
      <c r="E358" s="4" t="str">
        <f>"20836104"</f>
        <v>20836104</v>
      </c>
      <c r="F358" s="4" t="s">
        <v>48</v>
      </c>
    </row>
    <row r="359" spans="1:6" x14ac:dyDescent="0.25">
      <c r="A359" s="4" t="str">
        <f>"ASAIO Journal"</f>
        <v>ASAIO Journal</v>
      </c>
      <c r="B359" s="4" t="s">
        <v>6</v>
      </c>
      <c r="C359" s="4" t="str">
        <f t="shared" si="11"/>
        <v>-</v>
      </c>
      <c r="D359" s="4" t="str">
        <f>"10582916"</f>
        <v>10582916</v>
      </c>
      <c r="E359" s="4" t="str">
        <f>"1538943X"</f>
        <v>1538943X</v>
      </c>
      <c r="F359" s="4" t="s">
        <v>154</v>
      </c>
    </row>
    <row r="360" spans="1:6" x14ac:dyDescent="0.25">
      <c r="A360" s="4" t="str">
        <f>"ASCE Specialty Conference, Proceedings"</f>
        <v>ASCE Specialty Conference, Proceedings</v>
      </c>
      <c r="B360" s="4" t="s">
        <v>8</v>
      </c>
      <c r="C360" s="4" t="str">
        <f t="shared" si="11"/>
        <v>-</v>
      </c>
      <c r="D360" s="4" t="str">
        <f t="shared" si="11"/>
        <v>-</v>
      </c>
      <c r="E360" s="4" t="str">
        <f t="shared" si="11"/>
        <v>-</v>
      </c>
      <c r="F360" s="4" t="s">
        <v>111</v>
      </c>
    </row>
    <row r="361" spans="1:6" x14ac:dyDescent="0.25">
      <c r="A361" s="4" t="str">
        <f>"ASCE Standard"</f>
        <v>ASCE Standard</v>
      </c>
      <c r="B361" s="4" t="s">
        <v>8</v>
      </c>
      <c r="C361" s="4" t="str">
        <f t="shared" si="11"/>
        <v>-</v>
      </c>
      <c r="D361" s="4" t="str">
        <f t="shared" si="11"/>
        <v>-</v>
      </c>
      <c r="E361" s="4" t="str">
        <f t="shared" si="11"/>
        <v>-</v>
      </c>
      <c r="F361" s="4" t="s">
        <v>111</v>
      </c>
    </row>
    <row r="362" spans="1:6" x14ac:dyDescent="0.25">
      <c r="A362" s="4" t="str">
        <f>"ASEE Annual Conference and Exposition, Conference Proceedings"</f>
        <v>ASEE Annual Conference and Exposition, Conference Proceedings</v>
      </c>
      <c r="B362" s="4" t="s">
        <v>8</v>
      </c>
      <c r="C362" s="4" t="str">
        <f t="shared" si="11"/>
        <v>-</v>
      </c>
      <c r="D362" s="4" t="str">
        <f t="shared" si="11"/>
        <v>-</v>
      </c>
      <c r="E362" s="4" t="str">
        <f t="shared" si="11"/>
        <v>-</v>
      </c>
      <c r="F362" s="4" t="s">
        <v>78</v>
      </c>
    </row>
    <row r="363" spans="1:6" x14ac:dyDescent="0.25">
      <c r="A363" s="4" t="str">
        <f>"ASHRAE Journal"</f>
        <v>ASHRAE Journal</v>
      </c>
      <c r="B363" s="4" t="s">
        <v>6</v>
      </c>
      <c r="C363" s="4" t="str">
        <f t="shared" si="11"/>
        <v>-</v>
      </c>
      <c r="D363" s="4" t="str">
        <f>"00012491"</f>
        <v>00012491</v>
      </c>
      <c r="E363" s="4" t="str">
        <f>"-"</f>
        <v>-</v>
      </c>
      <c r="F363" s="4" t="s">
        <v>155</v>
      </c>
    </row>
    <row r="364" spans="1:6" x14ac:dyDescent="0.25">
      <c r="A364" s="4" t="str">
        <f>"ASHRAE Transactions"</f>
        <v>ASHRAE Transactions</v>
      </c>
      <c r="B364" s="4" t="s">
        <v>8</v>
      </c>
      <c r="C364" s="4" t="str">
        <f t="shared" si="11"/>
        <v>-</v>
      </c>
      <c r="D364" s="4" t="str">
        <f>"00012505"</f>
        <v>00012505</v>
      </c>
      <c r="E364" s="4" t="str">
        <f>"-"</f>
        <v>-</v>
      </c>
      <c r="F364" s="4" t="s">
        <v>155</v>
      </c>
    </row>
    <row r="365" spans="1:6" x14ac:dyDescent="0.25">
      <c r="A365" s="4" t="str">
        <f>"Asia Communications and Photonics Conference, ACP"</f>
        <v>Asia Communications and Photonics Conference, ACP</v>
      </c>
      <c r="B365" s="4" t="s">
        <v>8</v>
      </c>
      <c r="C365" s="4" t="str">
        <f t="shared" si="11"/>
        <v>-</v>
      </c>
      <c r="D365" s="4" t="str">
        <f>"2162108X"</f>
        <v>2162108X</v>
      </c>
      <c r="E365" s="4" t="str">
        <f>"-"</f>
        <v>-</v>
      </c>
      <c r="F365" s="4" t="s">
        <v>86</v>
      </c>
    </row>
    <row r="366" spans="1:6" x14ac:dyDescent="0.25">
      <c r="A366" s="4" t="str">
        <f>"Asia Pacific Conference on Postgraduate Research in Microelectronics and Electronics"</f>
        <v>Asia Pacific Conference on Postgraduate Research in Microelectronics and Electronics</v>
      </c>
      <c r="B366" s="4" t="s">
        <v>8</v>
      </c>
      <c r="C366" s="4" t="str">
        <f t="shared" si="11"/>
        <v>-</v>
      </c>
      <c r="D366" s="4" t="str">
        <f>"21592144"</f>
        <v>21592144</v>
      </c>
      <c r="E366" s="4" t="str">
        <f>"21592160"</f>
        <v>21592160</v>
      </c>
      <c r="F366" s="4" t="s">
        <v>9</v>
      </c>
    </row>
    <row r="367" spans="1:6" x14ac:dyDescent="0.25">
      <c r="A367" s="4" t="str">
        <f>"Asian Himalayas International Conference on Internet"</f>
        <v>Asian Himalayas International Conference on Internet</v>
      </c>
      <c r="B367" s="4" t="s">
        <v>8</v>
      </c>
      <c r="C367" s="4" t="str">
        <f t="shared" si="11"/>
        <v>-</v>
      </c>
      <c r="D367" s="4" t="str">
        <f>"21570647"</f>
        <v>21570647</v>
      </c>
      <c r="E367" s="4" t="str">
        <f>"2157068X"</f>
        <v>2157068X</v>
      </c>
      <c r="F367" s="4" t="s">
        <v>9</v>
      </c>
    </row>
    <row r="368" spans="1:6" x14ac:dyDescent="0.25">
      <c r="A368" s="4" t="str">
        <f>"Asian Journal of Control"</f>
        <v>Asian Journal of Control</v>
      </c>
      <c r="B368" s="4" t="s">
        <v>6</v>
      </c>
      <c r="C368" s="4" t="str">
        <f t="shared" si="11"/>
        <v>-</v>
      </c>
      <c r="D368" s="4" t="str">
        <f>"15618625"</f>
        <v>15618625</v>
      </c>
      <c r="E368" s="4" t="str">
        <f>"19346093"</f>
        <v>19346093</v>
      </c>
      <c r="F368" s="4" t="s">
        <v>156</v>
      </c>
    </row>
    <row r="369" spans="1:6" x14ac:dyDescent="0.25">
      <c r="A369" s="4" t="str">
        <f>"Asia-Pacific Journal of Chemical Engineering"</f>
        <v>Asia-Pacific Journal of Chemical Engineering</v>
      </c>
      <c r="B369" s="4" t="s">
        <v>6</v>
      </c>
      <c r="C369" s="4" t="str">
        <f t="shared" si="11"/>
        <v>-</v>
      </c>
      <c r="D369" s="4" t="str">
        <f>"19322135"</f>
        <v>19322135</v>
      </c>
      <c r="E369" s="4" t="str">
        <f>"19322143"</f>
        <v>19322143</v>
      </c>
      <c r="F369" s="4" t="s">
        <v>142</v>
      </c>
    </row>
    <row r="370" spans="1:6" x14ac:dyDescent="0.25">
      <c r="A370" s="4" t="str">
        <f>"Asia-Pacific Journal of Operational Research"</f>
        <v>Asia-Pacific Journal of Operational Research</v>
      </c>
      <c r="B370" s="4" t="s">
        <v>6</v>
      </c>
      <c r="C370" s="4" t="str">
        <f t="shared" si="11"/>
        <v>-</v>
      </c>
      <c r="D370" s="4" t="str">
        <f>"02175959"</f>
        <v>02175959</v>
      </c>
      <c r="E370" s="4" t="str">
        <f>"-"</f>
        <v>-</v>
      </c>
      <c r="F370" s="4" t="s">
        <v>157</v>
      </c>
    </row>
    <row r="371" spans="1:6" x14ac:dyDescent="0.25">
      <c r="A371" s="4" t="str">
        <f>"Asia-Pacific Microwave Conference Proceedings, APMC"</f>
        <v>Asia-Pacific Microwave Conference Proceedings, APMC</v>
      </c>
      <c r="B371" s="4" t="s">
        <v>8</v>
      </c>
      <c r="C371" s="4" t="str">
        <f t="shared" si="11"/>
        <v>-</v>
      </c>
      <c r="D371" s="4" t="str">
        <f>"-"</f>
        <v>-</v>
      </c>
      <c r="E371" s="4" t="str">
        <f>"-"</f>
        <v>-</v>
      </c>
      <c r="F371" s="4" t="s">
        <v>105</v>
      </c>
    </row>
    <row r="372" spans="1:6" x14ac:dyDescent="0.25">
      <c r="A372" s="4" t="str">
        <f>"Asia-Pacific Power and Energy Engineering Conference, APPEEC"</f>
        <v>Asia-Pacific Power and Energy Engineering Conference, APPEEC</v>
      </c>
      <c r="B372" s="4" t="s">
        <v>8</v>
      </c>
      <c r="C372" s="4" t="str">
        <f t="shared" si="11"/>
        <v>-</v>
      </c>
      <c r="D372" s="4" t="str">
        <f>"21574839"</f>
        <v>21574839</v>
      </c>
      <c r="E372" s="4" t="str">
        <f>"21574847"</f>
        <v>21574847</v>
      </c>
      <c r="F372" s="4" t="s">
        <v>9</v>
      </c>
    </row>
    <row r="373" spans="1:6" x14ac:dyDescent="0.25">
      <c r="A373" s="4" t="str">
        <f>"Aslib Journal of Information Management"</f>
        <v>Aslib Journal of Information Management</v>
      </c>
      <c r="B373" s="4" t="s">
        <v>6</v>
      </c>
      <c r="C373" s="4" t="str">
        <f t="shared" si="11"/>
        <v>-</v>
      </c>
      <c r="D373" s="4" t="str">
        <f>"20503806"</f>
        <v>20503806</v>
      </c>
      <c r="E373" s="4" t="str">
        <f>"20503814"</f>
        <v>20503814</v>
      </c>
      <c r="F373" s="4" t="s">
        <v>110</v>
      </c>
    </row>
    <row r="374" spans="1:6" x14ac:dyDescent="0.25">
      <c r="A374" s="4" t="str">
        <f>"ASM Conference Proceedings: Joining of Advanced and Specialty Materials"</f>
        <v>ASM Conference Proceedings: Joining of Advanced and Specialty Materials</v>
      </c>
      <c r="B374" s="4" t="s">
        <v>8</v>
      </c>
      <c r="C374" s="4" t="str">
        <f t="shared" si="11"/>
        <v>-</v>
      </c>
      <c r="D374" s="4" t="str">
        <f t="shared" si="11"/>
        <v>-</v>
      </c>
      <c r="E374" s="4" t="str">
        <f t="shared" si="11"/>
        <v>-</v>
      </c>
      <c r="F374" s="4" t="s">
        <v>65</v>
      </c>
    </row>
    <row r="375" spans="1:6" x14ac:dyDescent="0.25">
      <c r="A375" s="4" t="str">
        <f>"ASM Proceedings of the International Conference: Trends in Welding Research"</f>
        <v>ASM Proceedings of the International Conference: Trends in Welding Research</v>
      </c>
      <c r="B375" s="4" t="s">
        <v>8</v>
      </c>
      <c r="C375" s="4" t="str">
        <f t="shared" si="11"/>
        <v>-</v>
      </c>
      <c r="D375" s="4" t="str">
        <f t="shared" si="11"/>
        <v>-</v>
      </c>
      <c r="E375" s="4" t="str">
        <f t="shared" si="11"/>
        <v>-</v>
      </c>
      <c r="F375" s="4" t="s">
        <v>65</v>
      </c>
    </row>
    <row r="376" spans="1:6" x14ac:dyDescent="0.25">
      <c r="A376" s="4" t="str">
        <f>"ASM Proceedings: Heat Treating"</f>
        <v>ASM Proceedings: Heat Treating</v>
      </c>
      <c r="B376" s="4" t="s">
        <v>8</v>
      </c>
      <c r="C376" s="4" t="str">
        <f t="shared" si="11"/>
        <v>-</v>
      </c>
      <c r="D376" s="4" t="str">
        <f t="shared" si="11"/>
        <v>-</v>
      </c>
      <c r="E376" s="4" t="str">
        <f t="shared" si="11"/>
        <v>-</v>
      </c>
      <c r="F376" s="4" t="s">
        <v>65</v>
      </c>
    </row>
    <row r="377" spans="1:6" x14ac:dyDescent="0.25">
      <c r="A377" s="4" t="str">
        <f>"ASMC (Advanced Semiconductor Manufacturing Conference) Proceedings"</f>
        <v>ASMC (Advanced Semiconductor Manufacturing Conference) Proceedings</v>
      </c>
      <c r="B377" s="4" t="s">
        <v>8</v>
      </c>
      <c r="C377" s="4" t="str">
        <f t="shared" si="11"/>
        <v>-</v>
      </c>
      <c r="D377" s="4" t="str">
        <f>"10788743"</f>
        <v>10788743</v>
      </c>
      <c r="E377" s="4" t="str">
        <f t="shared" si="11"/>
        <v>-</v>
      </c>
      <c r="F377" s="4" t="s">
        <v>105</v>
      </c>
    </row>
    <row r="378" spans="1:6" x14ac:dyDescent="0.25">
      <c r="A378" s="4" t="str">
        <f>"ASME Boiler and Pressure Vessel Code"</f>
        <v>ASME Boiler and Pressure Vessel Code</v>
      </c>
      <c r="B378" s="4" t="s">
        <v>8</v>
      </c>
      <c r="C378" s="4" t="str">
        <f t="shared" si="11"/>
        <v>-</v>
      </c>
      <c r="D378" s="4" t="str">
        <f>"05175321"</f>
        <v>05175321</v>
      </c>
      <c r="E378" s="4" t="str">
        <f t="shared" si="11"/>
        <v>-</v>
      </c>
      <c r="F378" s="4" t="s">
        <v>73</v>
      </c>
    </row>
    <row r="379" spans="1:6" x14ac:dyDescent="0.25">
      <c r="A379" s="4" t="str">
        <f>"ASME International Mechanical Engineering Congress and Exposition, Proceedings (IMECE)"</f>
        <v>ASME International Mechanical Engineering Congress and Exposition, Proceedings (IMECE)</v>
      </c>
      <c r="B379" s="4" t="s">
        <v>8</v>
      </c>
      <c r="C379" s="4" t="str">
        <f t="shared" si="11"/>
        <v>-</v>
      </c>
      <c r="D379" s="4" t="str">
        <f>"-"</f>
        <v>-</v>
      </c>
      <c r="E379" s="4" t="str">
        <f t="shared" si="11"/>
        <v>-</v>
      </c>
      <c r="F379" s="4" t="s">
        <v>73</v>
      </c>
    </row>
    <row r="380" spans="1:6" ht="30" x14ac:dyDescent="0.25">
      <c r="A380" s="4" t="str">
        <f>"Asphalt Paving Technology: Association of Asphalt Paving Technologists-Proceedings of the Technical Sessions"</f>
        <v>Asphalt Paving Technology: Association of Asphalt Paving Technologists-Proceedings of the Technical Sessions</v>
      </c>
      <c r="B380" s="4" t="s">
        <v>8</v>
      </c>
      <c r="C380" s="4" t="str">
        <f t="shared" si="11"/>
        <v>-</v>
      </c>
      <c r="D380" s="4" t="str">
        <f>"02702932"</f>
        <v>02702932</v>
      </c>
      <c r="E380" s="4" t="str">
        <f t="shared" si="11"/>
        <v>-</v>
      </c>
      <c r="F380" s="4" t="s">
        <v>158</v>
      </c>
    </row>
    <row r="381" spans="1:6" x14ac:dyDescent="0.25">
      <c r="A381" s="4" t="str">
        <f>"ASQ Annual Quality Congress Proceedings"</f>
        <v>ASQ Annual Quality Congress Proceedings</v>
      </c>
      <c r="B381" s="4" t="s">
        <v>8</v>
      </c>
      <c r="C381" s="4" t="str">
        <f t="shared" si="11"/>
        <v>-</v>
      </c>
      <c r="D381" s="4" t="str">
        <f>"10807764"</f>
        <v>10807764</v>
      </c>
      <c r="E381" s="4" t="str">
        <f t="shared" si="11"/>
        <v>-</v>
      </c>
      <c r="F381" s="4" t="s">
        <v>159</v>
      </c>
    </row>
    <row r="382" spans="1:6" x14ac:dyDescent="0.25">
      <c r="A382" s="4" t="str">
        <f>"Assembly"</f>
        <v>Assembly</v>
      </c>
      <c r="B382" s="4" t="s">
        <v>22</v>
      </c>
      <c r="C382" s="4" t="str">
        <f t="shared" si="11"/>
        <v>-</v>
      </c>
      <c r="D382" s="4" t="str">
        <f>"10508171"</f>
        <v>10508171</v>
      </c>
      <c r="E382" s="4" t="str">
        <f t="shared" si="11"/>
        <v>-</v>
      </c>
      <c r="F382" s="4" t="s">
        <v>160</v>
      </c>
    </row>
    <row r="383" spans="1:6" x14ac:dyDescent="0.25">
      <c r="A383" s="4" t="str">
        <f>"Assembly Automation"</f>
        <v>Assembly Automation</v>
      </c>
      <c r="B383" s="4" t="s">
        <v>6</v>
      </c>
      <c r="C383" s="4" t="str">
        <f t="shared" si="11"/>
        <v>-</v>
      </c>
      <c r="D383" s="4" t="str">
        <f>"01445154"</f>
        <v>01445154</v>
      </c>
      <c r="E383" s="4" t="str">
        <f t="shared" si="11"/>
        <v>-</v>
      </c>
      <c r="F383" s="4" t="s">
        <v>110</v>
      </c>
    </row>
    <row r="384" spans="1:6" x14ac:dyDescent="0.25">
      <c r="A384" s="4" t="str">
        <f>"Assistive Technology"</f>
        <v>Assistive Technology</v>
      </c>
      <c r="B384" s="4" t="s">
        <v>6</v>
      </c>
      <c r="C384" s="4" t="str">
        <f t="shared" si="11"/>
        <v>-</v>
      </c>
      <c r="D384" s="4" t="str">
        <f>"10400435"</f>
        <v>10400435</v>
      </c>
      <c r="E384" s="4" t="str">
        <f>"19493614"</f>
        <v>19493614</v>
      </c>
      <c r="F384" s="4" t="s">
        <v>96</v>
      </c>
    </row>
    <row r="385" spans="1:6" x14ac:dyDescent="0.25">
      <c r="A385" s="4" t="str">
        <f>"ASTM Special Technical Publication"</f>
        <v>ASTM Special Technical Publication</v>
      </c>
      <c r="B385" s="4" t="s">
        <v>8</v>
      </c>
      <c r="C385" s="4" t="str">
        <f t="shared" si="11"/>
        <v>-</v>
      </c>
      <c r="D385" s="4" t="str">
        <f>"00660558"</f>
        <v>00660558</v>
      </c>
      <c r="E385" s="4" t="str">
        <f>"-"</f>
        <v>-</v>
      </c>
      <c r="F385" s="4" t="s">
        <v>75</v>
      </c>
    </row>
    <row r="386" spans="1:6" x14ac:dyDescent="0.25">
      <c r="A386" s="4" t="str">
        <f>"Astronomy and Astrophysics"</f>
        <v>Astronomy and Astrophysics</v>
      </c>
      <c r="B386" s="4" t="s">
        <v>6</v>
      </c>
      <c r="C386" s="4" t="str">
        <f t="shared" si="11"/>
        <v>-</v>
      </c>
      <c r="D386" s="4" t="str">
        <f>"00046361"</f>
        <v>00046361</v>
      </c>
      <c r="E386" s="4" t="str">
        <f>"14320746"</f>
        <v>14320746</v>
      </c>
      <c r="F386" s="4" t="s">
        <v>161</v>
      </c>
    </row>
    <row r="387" spans="1:6" x14ac:dyDescent="0.25">
      <c r="A387" s="4" t="str">
        <f>"Astronomy and Astrophysics Review"</f>
        <v>Astronomy and Astrophysics Review</v>
      </c>
      <c r="B387" s="4" t="s">
        <v>6</v>
      </c>
      <c r="C387" s="4" t="str">
        <f t="shared" si="11"/>
        <v>-</v>
      </c>
      <c r="D387" s="4" t="str">
        <f>"09354956"</f>
        <v>09354956</v>
      </c>
      <c r="E387" s="4" t="str">
        <f>"-"</f>
        <v>-</v>
      </c>
      <c r="F387" s="4" t="s">
        <v>42</v>
      </c>
    </row>
    <row r="388" spans="1:6" x14ac:dyDescent="0.25">
      <c r="A388" s="4" t="str">
        <f>"Astronomy and Computing"</f>
        <v>Astronomy and Computing</v>
      </c>
      <c r="B388" s="4" t="s">
        <v>6</v>
      </c>
      <c r="C388" s="4" t="str">
        <f t="shared" si="11"/>
        <v>-</v>
      </c>
      <c r="D388" s="4" t="str">
        <f>"22131337"</f>
        <v>22131337</v>
      </c>
      <c r="E388" s="4" t="str">
        <f>"-"</f>
        <v>-</v>
      </c>
      <c r="F388" s="4" t="s">
        <v>55</v>
      </c>
    </row>
    <row r="389" spans="1:6" x14ac:dyDescent="0.25">
      <c r="A389" s="4" t="str">
        <f>"Astroparticle Physics"</f>
        <v>Astroparticle Physics</v>
      </c>
      <c r="B389" s="4" t="s">
        <v>6</v>
      </c>
      <c r="C389" s="4" t="str">
        <f t="shared" si="11"/>
        <v>-</v>
      </c>
      <c r="D389" s="4" t="str">
        <f>"09276505"</f>
        <v>09276505</v>
      </c>
      <c r="E389" s="4" t="str">
        <f>"-"</f>
        <v>-</v>
      </c>
      <c r="F389" s="4" t="s">
        <v>55</v>
      </c>
    </row>
    <row r="390" spans="1:6" x14ac:dyDescent="0.25">
      <c r="A390" s="4" t="str">
        <f>"Astrophysics and Space Science Proceedings"</f>
        <v>Astrophysics and Space Science Proceedings</v>
      </c>
      <c r="B390" s="4" t="s">
        <v>8</v>
      </c>
      <c r="C390" s="4" t="str">
        <f t="shared" si="11"/>
        <v>-</v>
      </c>
      <c r="D390" s="4" t="str">
        <f>"15706591"</f>
        <v>15706591</v>
      </c>
      <c r="E390" s="4" t="str">
        <f>"15706605"</f>
        <v>15706605</v>
      </c>
      <c r="F390" s="4" t="s">
        <v>162</v>
      </c>
    </row>
    <row r="391" spans="1:6" x14ac:dyDescent="0.25">
      <c r="A391" s="4" t="str">
        <f>"Asymptotic Analysis"</f>
        <v>Asymptotic Analysis</v>
      </c>
      <c r="B391" s="4" t="s">
        <v>6</v>
      </c>
      <c r="C391" s="4" t="str">
        <f t="shared" si="11"/>
        <v>-</v>
      </c>
      <c r="D391" s="4" t="str">
        <f>"09217134"</f>
        <v>09217134</v>
      </c>
      <c r="E391" s="4" t="str">
        <f>"18758576"</f>
        <v>18758576</v>
      </c>
      <c r="F391" s="4" t="s">
        <v>103</v>
      </c>
    </row>
    <row r="392" spans="1:6" x14ac:dyDescent="0.25">
      <c r="A392" s="4" t="str">
        <f>"ATIP. Association Technique de L'Industrie Papetiere"</f>
        <v>ATIP. Association Technique de L'Industrie Papetiere</v>
      </c>
      <c r="B392" s="4" t="s">
        <v>22</v>
      </c>
      <c r="C392" s="4" t="str">
        <f t="shared" si="11"/>
        <v>-</v>
      </c>
      <c r="D392" s="4" t="str">
        <f>"09977554"</f>
        <v>09977554</v>
      </c>
      <c r="E392" s="4" t="str">
        <f>"-"</f>
        <v>-</v>
      </c>
      <c r="F392" s="4" t="s">
        <v>163</v>
      </c>
    </row>
    <row r="393" spans="1:6" x14ac:dyDescent="0.25">
      <c r="A393" s="4" t="str">
        <f>"Atmosphere"</f>
        <v>Atmosphere</v>
      </c>
      <c r="B393" s="4" t="s">
        <v>6</v>
      </c>
      <c r="C393" s="4" t="str">
        <f t="shared" si="11"/>
        <v>-</v>
      </c>
      <c r="D393" s="4" t="str">
        <f>"-"</f>
        <v>-</v>
      </c>
      <c r="E393" s="4" t="str">
        <f>"20734433"</f>
        <v>20734433</v>
      </c>
      <c r="F393" s="4" t="s">
        <v>114</v>
      </c>
    </row>
    <row r="394" spans="1:6" x14ac:dyDescent="0.25">
      <c r="A394" s="4" t="str">
        <f>"Atmospheric Environment"</f>
        <v>Atmospheric Environment</v>
      </c>
      <c r="B394" s="4" t="s">
        <v>6</v>
      </c>
      <c r="C394" s="4" t="str">
        <f t="shared" si="11"/>
        <v>-</v>
      </c>
      <c r="D394" s="4" t="str">
        <f>"13522310"</f>
        <v>13522310</v>
      </c>
      <c r="E394" s="4" t="str">
        <f>"18732844"</f>
        <v>18732844</v>
      </c>
      <c r="F394" s="4" t="s">
        <v>19</v>
      </c>
    </row>
    <row r="395" spans="1:6" x14ac:dyDescent="0.25">
      <c r="A395" s="4" t="str">
        <f>"Atmospheric Research"</f>
        <v>Atmospheric Research</v>
      </c>
      <c r="B395" s="4" t="s">
        <v>6</v>
      </c>
      <c r="C395" s="4" t="str">
        <f t="shared" si="11"/>
        <v>-</v>
      </c>
      <c r="D395" s="4" t="str">
        <f>"01698095"</f>
        <v>01698095</v>
      </c>
      <c r="E395" s="4" t="str">
        <f>"-"</f>
        <v>-</v>
      </c>
      <c r="F395" s="4" t="s">
        <v>19</v>
      </c>
    </row>
    <row r="396" spans="1:6" x14ac:dyDescent="0.25">
      <c r="A396" s="4" t="str">
        <f>"Atomic Energy"</f>
        <v>Atomic Energy</v>
      </c>
      <c r="B396" s="4" t="s">
        <v>6</v>
      </c>
      <c r="C396" s="4" t="str">
        <f t="shared" si="11"/>
        <v>-</v>
      </c>
      <c r="D396" s="4" t="str">
        <f>"10634258"</f>
        <v>10634258</v>
      </c>
      <c r="E396" s="4" t="str">
        <f>"-"</f>
        <v>-</v>
      </c>
      <c r="F396" s="4" t="s">
        <v>57</v>
      </c>
    </row>
    <row r="397" spans="1:6" x14ac:dyDescent="0.25">
      <c r="A397" s="4" t="str">
        <f>"Atomization and Sprays"</f>
        <v>Atomization and Sprays</v>
      </c>
      <c r="B397" s="4" t="s">
        <v>6</v>
      </c>
      <c r="C397" s="4" t="str">
        <f t="shared" si="11"/>
        <v>-</v>
      </c>
      <c r="D397" s="4" t="str">
        <f>"10445110"</f>
        <v>10445110</v>
      </c>
      <c r="E397" s="4" t="str">
        <f>"-"</f>
        <v>-</v>
      </c>
      <c r="F397" s="4" t="s">
        <v>69</v>
      </c>
    </row>
    <row r="398" spans="1:6" ht="30" x14ac:dyDescent="0.25">
      <c r="A398" s="4" t="str">
        <f>"Atti della Accademia Nazionale dei Lincei, Classe di Scienze Fisiche, Matematiche e Naturali, Rendiconti Lincei Matematica e Applicazioni"</f>
        <v>Atti della Accademia Nazionale dei Lincei, Classe di Scienze Fisiche, Matematiche e Naturali, Rendiconti Lincei Matematica e Applicazioni</v>
      </c>
      <c r="B398" s="4" t="s">
        <v>6</v>
      </c>
      <c r="C398" s="4" t="str">
        <f t="shared" si="11"/>
        <v>-</v>
      </c>
      <c r="D398" s="4" t="str">
        <f>"11206330"</f>
        <v>11206330</v>
      </c>
      <c r="E398" s="4" t="str">
        <f>"17200768"</f>
        <v>17200768</v>
      </c>
      <c r="F398" s="4" t="s">
        <v>164</v>
      </c>
    </row>
    <row r="399" spans="1:6" x14ac:dyDescent="0.25">
      <c r="A399" s="4" t="str">
        <f>"Aufbereitungs-Technik/Mineral Processing"</f>
        <v>Aufbereitungs-Technik/Mineral Processing</v>
      </c>
      <c r="B399" s="4" t="s">
        <v>22</v>
      </c>
      <c r="C399" s="4" t="str">
        <f t="shared" si="11"/>
        <v>-</v>
      </c>
      <c r="D399" s="4" t="str">
        <f>"14349302"</f>
        <v>14349302</v>
      </c>
      <c r="E399" s="4" t="str">
        <f>"-"</f>
        <v>-</v>
      </c>
      <c r="F399" s="4" t="s">
        <v>165</v>
      </c>
    </row>
    <row r="400" spans="1:6" x14ac:dyDescent="0.25">
      <c r="A400" s="4" t="str">
        <f>"Australasian Conference on Robotics and Automation, ACRA"</f>
        <v>Australasian Conference on Robotics and Automation, ACRA</v>
      </c>
      <c r="B400" s="4" t="s">
        <v>8</v>
      </c>
      <c r="C400" s="4" t="str">
        <f t="shared" si="11"/>
        <v>-</v>
      </c>
      <c r="D400" s="4" t="str">
        <f>"14482053"</f>
        <v>14482053</v>
      </c>
      <c r="E400" s="4" t="str">
        <f>"-"</f>
        <v>-</v>
      </c>
      <c r="F400" s="4" t="s">
        <v>166</v>
      </c>
    </row>
    <row r="401" spans="1:6" x14ac:dyDescent="0.25">
      <c r="A401" s="4" t="str">
        <f>"Australasian Institute of Mining and Metallurgy Publication Series"</f>
        <v>Australasian Institute of Mining and Metallurgy Publication Series</v>
      </c>
      <c r="B401" s="4" t="s">
        <v>8</v>
      </c>
      <c r="C401" s="4" t="str">
        <f t="shared" si="11"/>
        <v>-</v>
      </c>
      <c r="D401" s="4" t="str">
        <f>"-"</f>
        <v>-</v>
      </c>
      <c r="E401" s="4" t="str">
        <f>"-"</f>
        <v>-</v>
      </c>
      <c r="F401" s="4" t="s">
        <v>167</v>
      </c>
    </row>
    <row r="402" spans="1:6" x14ac:dyDescent="0.25">
      <c r="A402" s="4" t="str">
        <f>"Australasian Journal of Engineering Education"</f>
        <v>Australasian Journal of Engineering Education</v>
      </c>
      <c r="B402" s="4" t="s">
        <v>6</v>
      </c>
      <c r="C402" s="4" t="str">
        <f t="shared" si="11"/>
        <v>-</v>
      </c>
      <c r="D402" s="4" t="str">
        <f>"13245821"</f>
        <v>13245821</v>
      </c>
      <c r="E402" s="4" t="str">
        <f>"13254340"</f>
        <v>13254340</v>
      </c>
      <c r="F402" s="4" t="s">
        <v>168</v>
      </c>
    </row>
    <row r="403" spans="1:6" x14ac:dyDescent="0.25">
      <c r="A403" s="4" t="str">
        <f>"Australasian Physical and Engineering Sciences in Medicine"</f>
        <v>Australasian Physical and Engineering Sciences in Medicine</v>
      </c>
      <c r="B403" s="4" t="s">
        <v>6</v>
      </c>
      <c r="C403" s="4" t="str">
        <f t="shared" si="11"/>
        <v>-</v>
      </c>
      <c r="D403" s="4" t="str">
        <f>"01589938"</f>
        <v>01589938</v>
      </c>
      <c r="E403" s="4" t="str">
        <f>"18795447"</f>
        <v>18795447</v>
      </c>
      <c r="F403" s="4" t="s">
        <v>31</v>
      </c>
    </row>
    <row r="404" spans="1:6" x14ac:dyDescent="0.25">
      <c r="A404" s="4" t="str">
        <f>"Australian Forestry"</f>
        <v>Australian Forestry</v>
      </c>
      <c r="B404" s="4" t="s">
        <v>6</v>
      </c>
      <c r="C404" s="4" t="str">
        <f t="shared" si="11"/>
        <v>-</v>
      </c>
      <c r="D404" s="4" t="str">
        <f>"00049158"</f>
        <v>00049158</v>
      </c>
      <c r="E404" s="4" t="str">
        <f>"-"</f>
        <v>-</v>
      </c>
      <c r="F404" s="4" t="s">
        <v>60</v>
      </c>
    </row>
    <row r="405" spans="1:6" x14ac:dyDescent="0.25">
      <c r="A405" s="4" t="str">
        <f>"Australian Geomechanics Journal"</f>
        <v>Australian Geomechanics Journal</v>
      </c>
      <c r="B405" s="4" t="s">
        <v>6</v>
      </c>
      <c r="C405" s="4" t="str">
        <f t="shared" si="11"/>
        <v>-</v>
      </c>
      <c r="D405" s="4" t="str">
        <f>"08189110"</f>
        <v>08189110</v>
      </c>
      <c r="E405" s="4" t="str">
        <f>"-"</f>
        <v>-</v>
      </c>
      <c r="F405" s="4" t="s">
        <v>169</v>
      </c>
    </row>
    <row r="406" spans="1:6" x14ac:dyDescent="0.25">
      <c r="A406" s="4" t="str">
        <f>"Australian Journal of Chemistry"</f>
        <v>Australian Journal of Chemistry</v>
      </c>
      <c r="B406" s="4" t="s">
        <v>6</v>
      </c>
      <c r="C406" s="4" t="str">
        <f t="shared" si="11"/>
        <v>-</v>
      </c>
      <c r="D406" s="4" t="str">
        <f>"00049425"</f>
        <v>00049425</v>
      </c>
      <c r="E406" s="4" t="str">
        <f>"14450038"</f>
        <v>14450038</v>
      </c>
      <c r="F406" s="4" t="s">
        <v>170</v>
      </c>
    </row>
    <row r="407" spans="1:6" x14ac:dyDescent="0.25">
      <c r="A407" s="4" t="str">
        <f>"Australian Journal of Civil Engineering"</f>
        <v>Australian Journal of Civil Engineering</v>
      </c>
      <c r="B407" s="4" t="s">
        <v>6</v>
      </c>
      <c r="C407" s="4" t="str">
        <f t="shared" si="11"/>
        <v>-</v>
      </c>
      <c r="D407" s="4" t="str">
        <f>"14488353"</f>
        <v>14488353</v>
      </c>
      <c r="E407" s="4" t="str">
        <f>"-"</f>
        <v>-</v>
      </c>
      <c r="F407" s="4" t="s">
        <v>60</v>
      </c>
    </row>
    <row r="408" spans="1:6" x14ac:dyDescent="0.25">
      <c r="A408" s="4" t="str">
        <f>"Australian Journal of Electrical and Electronics Engineering"</f>
        <v>Australian Journal of Electrical and Electronics Engineering</v>
      </c>
      <c r="B408" s="4" t="s">
        <v>6</v>
      </c>
      <c r="C408" s="4" t="str">
        <f t="shared" si="11"/>
        <v>-</v>
      </c>
      <c r="D408" s="4" t="str">
        <f>"1448837X"</f>
        <v>1448837X</v>
      </c>
      <c r="E408" s="4" t="str">
        <f>"-"</f>
        <v>-</v>
      </c>
      <c r="F408" s="4" t="s">
        <v>60</v>
      </c>
    </row>
    <row r="409" spans="1:6" x14ac:dyDescent="0.25">
      <c r="A409" s="4" t="str">
        <f>"Australian Journal of Mechanical Engineering"</f>
        <v>Australian Journal of Mechanical Engineering</v>
      </c>
      <c r="B409" s="4" t="s">
        <v>6</v>
      </c>
      <c r="C409" s="4" t="str">
        <f t="shared" si="11"/>
        <v>-</v>
      </c>
      <c r="D409" s="4" t="str">
        <f>"14484846"</f>
        <v>14484846</v>
      </c>
      <c r="E409" s="4" t="str">
        <f>"-"</f>
        <v>-</v>
      </c>
      <c r="F409" s="4" t="s">
        <v>60</v>
      </c>
    </row>
    <row r="410" spans="1:6" x14ac:dyDescent="0.25">
      <c r="A410" s="4" t="str">
        <f>"Australian Journal of Structural Engineering"</f>
        <v>Australian Journal of Structural Engineering</v>
      </c>
      <c r="B410" s="4" t="s">
        <v>6</v>
      </c>
      <c r="C410" s="4" t="str">
        <f t="shared" si="11"/>
        <v>-</v>
      </c>
      <c r="D410" s="4" t="str">
        <f>"13287982"</f>
        <v>13287982</v>
      </c>
      <c r="E410" s="4" t="str">
        <f>"-"</f>
        <v>-</v>
      </c>
      <c r="F410" s="4" t="s">
        <v>60</v>
      </c>
    </row>
    <row r="411" spans="1:6" x14ac:dyDescent="0.25">
      <c r="A411" s="4" t="str">
        <f>"Australian Journal of Water Resources"</f>
        <v>Australian Journal of Water Resources</v>
      </c>
      <c r="B411" s="4" t="s">
        <v>6</v>
      </c>
      <c r="C411" s="4" t="str">
        <f t="shared" si="11"/>
        <v>-</v>
      </c>
      <c r="D411" s="4" t="str">
        <f>"13241583"</f>
        <v>13241583</v>
      </c>
      <c r="E411" s="4" t="str">
        <f>"-"</f>
        <v>-</v>
      </c>
      <c r="F411" s="4" t="s">
        <v>60</v>
      </c>
    </row>
    <row r="412" spans="1:6" x14ac:dyDescent="0.25">
      <c r="A412" s="4" t="str">
        <f>"Automated Software Engineering"</f>
        <v>Automated Software Engineering</v>
      </c>
      <c r="B412" s="4" t="s">
        <v>6</v>
      </c>
      <c r="C412" s="4" t="str">
        <f t="shared" si="11"/>
        <v>-</v>
      </c>
      <c r="D412" s="4" t="str">
        <f>"09288910"</f>
        <v>09288910</v>
      </c>
      <c r="E412" s="4" t="str">
        <f>"15737535"</f>
        <v>15737535</v>
      </c>
      <c r="F412" s="4" t="s">
        <v>57</v>
      </c>
    </row>
    <row r="413" spans="1:6" x14ac:dyDescent="0.25">
      <c r="A413" s="4" t="str">
        <f>"Automatic Control and Computer Sciences"</f>
        <v>Automatic Control and Computer Sciences</v>
      </c>
      <c r="B413" s="4" t="s">
        <v>6</v>
      </c>
      <c r="C413" s="4" t="str">
        <f t="shared" si="11"/>
        <v>-</v>
      </c>
      <c r="D413" s="4" t="str">
        <f>"01464116"</f>
        <v>01464116</v>
      </c>
      <c r="E413" s="4" t="str">
        <f>"1558108X "</f>
        <v xml:space="preserve">1558108X </v>
      </c>
      <c r="F413" s="4" t="s">
        <v>57</v>
      </c>
    </row>
    <row r="414" spans="1:6" x14ac:dyDescent="0.25">
      <c r="A414" s="4" t="str">
        <f>"Automatic Documentation and Mathematical Linguistics"</f>
        <v>Automatic Documentation and Mathematical Linguistics</v>
      </c>
      <c r="B414" s="4" t="s">
        <v>6</v>
      </c>
      <c r="C414" s="4" t="str">
        <f t="shared" si="11"/>
        <v>-</v>
      </c>
      <c r="D414" s="4" t="str">
        <f>"00051055"</f>
        <v>00051055</v>
      </c>
      <c r="E414" s="4" t="str">
        <f>"19348371"</f>
        <v>19348371</v>
      </c>
      <c r="F414" s="4" t="s">
        <v>145</v>
      </c>
    </row>
    <row r="415" spans="1:6" x14ac:dyDescent="0.25">
      <c r="A415" s="4" t="str">
        <f>"Automatica"</f>
        <v>Automatica</v>
      </c>
      <c r="B415" s="4" t="s">
        <v>6</v>
      </c>
      <c r="C415" s="4" t="str">
        <f t="shared" si="11"/>
        <v>-</v>
      </c>
      <c r="D415" s="4" t="str">
        <f>"00051098"</f>
        <v>00051098</v>
      </c>
      <c r="E415" s="4" t="str">
        <f>"-"</f>
        <v>-</v>
      </c>
      <c r="F415" s="4" t="s">
        <v>19</v>
      </c>
    </row>
    <row r="416" spans="1:6" x14ac:dyDescent="0.25">
      <c r="A416" s="4" t="str">
        <f>"Automation and Remote Control"</f>
        <v>Automation and Remote Control</v>
      </c>
      <c r="B416" s="4" t="s">
        <v>6</v>
      </c>
      <c r="C416" s="4" t="str">
        <f t="shared" ref="C416:C479" si="12">"-"</f>
        <v>-</v>
      </c>
      <c r="D416" s="4" t="str">
        <f>"00051179"</f>
        <v>00051179</v>
      </c>
      <c r="E416" s="4" t="str">
        <f>"-"</f>
        <v>-</v>
      </c>
      <c r="F416" s="4" t="s">
        <v>171</v>
      </c>
    </row>
    <row r="417" spans="1:6" x14ac:dyDescent="0.25">
      <c r="A417" s="4" t="str">
        <f>"Automation in Construction"</f>
        <v>Automation in Construction</v>
      </c>
      <c r="B417" s="4" t="s">
        <v>6</v>
      </c>
      <c r="C417" s="4" t="str">
        <f t="shared" si="12"/>
        <v>-</v>
      </c>
      <c r="D417" s="4" t="str">
        <f>"09265805"</f>
        <v>09265805</v>
      </c>
      <c r="E417" s="4" t="str">
        <f>"-"</f>
        <v>-</v>
      </c>
      <c r="F417" s="4" t="s">
        <v>55</v>
      </c>
    </row>
    <row r="418" spans="1:6" x14ac:dyDescent="0.25">
      <c r="A418" s="4" t="str">
        <f>"Autonomous Agents and Multi-Agent Systems"</f>
        <v>Autonomous Agents and Multi-Agent Systems</v>
      </c>
      <c r="B418" s="4" t="s">
        <v>6</v>
      </c>
      <c r="C418" s="4" t="str">
        <f t="shared" si="12"/>
        <v>-</v>
      </c>
      <c r="D418" s="4" t="str">
        <f>"13872532"</f>
        <v>13872532</v>
      </c>
      <c r="E418" s="4" t="str">
        <f>"15737454"</f>
        <v>15737454</v>
      </c>
      <c r="F418" s="4" t="s">
        <v>57</v>
      </c>
    </row>
    <row r="419" spans="1:6" x14ac:dyDescent="0.25">
      <c r="A419" s="4" t="str">
        <f>"Autonomous Robots"</f>
        <v>Autonomous Robots</v>
      </c>
      <c r="B419" s="4" t="s">
        <v>6</v>
      </c>
      <c r="C419" s="4" t="str">
        <f t="shared" si="12"/>
        <v>-</v>
      </c>
      <c r="D419" s="4" t="str">
        <f>"09295593"</f>
        <v>09295593</v>
      </c>
      <c r="E419" s="4" t="str">
        <f>"15737527"</f>
        <v>15737527</v>
      </c>
      <c r="F419" s="4" t="s">
        <v>57</v>
      </c>
    </row>
    <row r="420" spans="1:6" x14ac:dyDescent="0.25">
      <c r="A420" s="4" t="str">
        <f>"AUTOTESTCON (Proceedings)"</f>
        <v>AUTOTESTCON (Proceedings)</v>
      </c>
      <c r="B420" s="4" t="s">
        <v>8</v>
      </c>
      <c r="C420" s="4" t="str">
        <f t="shared" si="12"/>
        <v>-</v>
      </c>
      <c r="D420" s="4" t="str">
        <f>"-"</f>
        <v>-</v>
      </c>
      <c r="E420" s="4" t="str">
        <f>"-"</f>
        <v>-</v>
      </c>
      <c r="F420" s="4" t="s">
        <v>105</v>
      </c>
    </row>
    <row r="421" spans="1:6" x14ac:dyDescent="0.25">
      <c r="A421" s="4" t="str">
        <f>"Aviation"</f>
        <v>Aviation</v>
      </c>
      <c r="B421" s="4" t="s">
        <v>6</v>
      </c>
      <c r="C421" s="4" t="str">
        <f t="shared" si="12"/>
        <v>-</v>
      </c>
      <c r="D421" s="4" t="str">
        <f>"16487788"</f>
        <v>16487788</v>
      </c>
      <c r="E421" s="4" t="str">
        <f>"18224180"</f>
        <v>18224180</v>
      </c>
      <c r="F421" s="4" t="s">
        <v>60</v>
      </c>
    </row>
    <row r="422" spans="1:6" x14ac:dyDescent="0.25">
      <c r="A422" s="4" t="str">
        <f>"Balisage Series on Markup Technologies"</f>
        <v>Balisage Series on Markup Technologies</v>
      </c>
      <c r="B422" s="4" t="s">
        <v>8</v>
      </c>
      <c r="C422" s="4" t="str">
        <f t="shared" si="12"/>
        <v>-</v>
      </c>
      <c r="D422" s="4" t="str">
        <f>"19472609"</f>
        <v>19472609</v>
      </c>
      <c r="E422" s="4" t="str">
        <f>"-"</f>
        <v>-</v>
      </c>
      <c r="F422" s="4" t="s">
        <v>172</v>
      </c>
    </row>
    <row r="423" spans="1:6" x14ac:dyDescent="0.25">
      <c r="A423" s="4" t="str">
        <f>"Baozha Yu Chongji/Explosion and Shock Waves"</f>
        <v>Baozha Yu Chongji/Explosion and Shock Waves</v>
      </c>
      <c r="B423" s="4" t="s">
        <v>6</v>
      </c>
      <c r="C423" s="4" t="str">
        <f t="shared" si="12"/>
        <v>-</v>
      </c>
      <c r="D423" s="4" t="str">
        <f>"10011455"</f>
        <v>10011455</v>
      </c>
      <c r="E423" s="4" t="str">
        <f>"-"</f>
        <v>-</v>
      </c>
      <c r="F423" s="4" t="s">
        <v>173</v>
      </c>
    </row>
    <row r="424" spans="1:6" x14ac:dyDescent="0.25">
      <c r="A424" s="4" t="str">
        <f>"Behaviour and Information Technology"</f>
        <v>Behaviour and Information Technology</v>
      </c>
      <c r="B424" s="4" t="s">
        <v>6</v>
      </c>
      <c r="C424" s="4" t="str">
        <f t="shared" si="12"/>
        <v>-</v>
      </c>
      <c r="D424" s="4" t="str">
        <f>"0144929X"</f>
        <v>0144929X</v>
      </c>
      <c r="E424" s="4" t="str">
        <f>"13623001"</f>
        <v>13623001</v>
      </c>
      <c r="F424" s="4" t="s">
        <v>60</v>
      </c>
    </row>
    <row r="425" spans="1:6" x14ac:dyDescent="0.25">
      <c r="A425" s="4" t="str">
        <f>"Beijing Hangkong Hangtian Daxue Xuebao/Journal of Beijing University of Aeronautics and Astronautics"</f>
        <v>Beijing Hangkong Hangtian Daxue Xuebao/Journal of Beijing University of Aeronautics and Astronautics</v>
      </c>
      <c r="B425" s="4" t="s">
        <v>6</v>
      </c>
      <c r="C425" s="4" t="str">
        <f t="shared" si="12"/>
        <v>-</v>
      </c>
      <c r="D425" s="4" t="str">
        <f>"10015965"</f>
        <v>10015965</v>
      </c>
      <c r="E425" s="4" t="str">
        <f>"-"</f>
        <v>-</v>
      </c>
      <c r="F425" s="4" t="s">
        <v>174</v>
      </c>
    </row>
    <row r="426" spans="1:6" x14ac:dyDescent="0.25">
      <c r="A426" s="4" t="str">
        <f>"Beijing Ligong Daxue Xuebao/Transaction of Beijing Institute of Technology"</f>
        <v>Beijing Ligong Daxue Xuebao/Transaction of Beijing Institute of Technology</v>
      </c>
      <c r="B426" s="4" t="s">
        <v>6</v>
      </c>
      <c r="C426" s="4" t="str">
        <f t="shared" si="12"/>
        <v>-</v>
      </c>
      <c r="D426" s="4" t="str">
        <f>"10010645"</f>
        <v>10010645</v>
      </c>
      <c r="E426" s="4" t="str">
        <f>"-"</f>
        <v>-</v>
      </c>
      <c r="F426" s="4" t="s">
        <v>175</v>
      </c>
    </row>
    <row r="427" spans="1:6" x14ac:dyDescent="0.25">
      <c r="A427" s="4" t="str">
        <f>"Beijing Youdian Daxue Xuebao/Journal of Beijing University of Posts and Telecommunications"</f>
        <v>Beijing Youdian Daxue Xuebao/Journal of Beijing University of Posts and Telecommunications</v>
      </c>
      <c r="B427" s="4" t="s">
        <v>6</v>
      </c>
      <c r="C427" s="4" t="str">
        <f t="shared" si="12"/>
        <v>-</v>
      </c>
      <c r="D427" s="4" t="str">
        <f>"10075321"</f>
        <v>10075321</v>
      </c>
      <c r="E427" s="4" t="str">
        <f>"-"</f>
        <v>-</v>
      </c>
      <c r="F427" s="4" t="s">
        <v>176</v>
      </c>
    </row>
    <row r="428" spans="1:6" x14ac:dyDescent="0.25">
      <c r="A428" s="4" t="str">
        <f>"Beilstein Journal of Nanotechnology"</f>
        <v>Beilstein Journal of Nanotechnology</v>
      </c>
      <c r="B428" s="4" t="s">
        <v>6</v>
      </c>
      <c r="C428" s="4" t="str">
        <f t="shared" si="12"/>
        <v>-</v>
      </c>
      <c r="D428" s="4" t="str">
        <f>"-"</f>
        <v>-</v>
      </c>
      <c r="E428" s="4" t="str">
        <f>"21904286"</f>
        <v>21904286</v>
      </c>
      <c r="F428" s="4" t="s">
        <v>177</v>
      </c>
    </row>
    <row r="429" spans="1:6" x14ac:dyDescent="0.25">
      <c r="A429" s="4" t="str">
        <f>"Belgian/Netherlands Artificial Intelligence Conference"</f>
        <v>Belgian/Netherlands Artificial Intelligence Conference</v>
      </c>
      <c r="B429" s="4" t="s">
        <v>8</v>
      </c>
      <c r="C429" s="4" t="str">
        <f t="shared" si="12"/>
        <v>-</v>
      </c>
      <c r="D429" s="4" t="str">
        <f>"15687805"</f>
        <v>15687805</v>
      </c>
      <c r="E429" s="4" t="str">
        <f>"-"</f>
        <v>-</v>
      </c>
      <c r="F429" s="4" t="s">
        <v>178</v>
      </c>
    </row>
    <row r="430" spans="1:6" x14ac:dyDescent="0.25">
      <c r="A430" s="4" t="str">
        <f>"Bell Labs Technical Journal"</f>
        <v>Bell Labs Technical Journal</v>
      </c>
      <c r="B430" s="4" t="s">
        <v>6</v>
      </c>
      <c r="C430" s="4" t="str">
        <f t="shared" si="12"/>
        <v>-</v>
      </c>
      <c r="D430" s="4" t="str">
        <f>"10897089"</f>
        <v>10897089</v>
      </c>
      <c r="E430" s="4" t="str">
        <f>"15387305"</f>
        <v>15387305</v>
      </c>
      <c r="F430" s="4" t="s">
        <v>105</v>
      </c>
    </row>
    <row r="431" spans="1:6" x14ac:dyDescent="0.25">
      <c r="A431" s="4" t="str">
        <f>"Berichte der Bunsengesellschaft/Physical Chemistry Chemical Physics"</f>
        <v>Berichte der Bunsengesellschaft/Physical Chemistry Chemical Physics</v>
      </c>
      <c r="B431" s="4" t="s">
        <v>6</v>
      </c>
      <c r="C431" s="4" t="str">
        <f t="shared" si="12"/>
        <v>-</v>
      </c>
      <c r="D431" s="4" t="str">
        <f>"0940483X"</f>
        <v>0940483X</v>
      </c>
      <c r="E431" s="4" t="str">
        <f>"-"</f>
        <v>-</v>
      </c>
      <c r="F431" s="4" t="s">
        <v>63</v>
      </c>
    </row>
    <row r="432" spans="1:6" x14ac:dyDescent="0.25">
      <c r="A432" s="4" t="str">
        <f>"Beton- und Stahlbetonbau"</f>
        <v>Beton- und Stahlbetonbau</v>
      </c>
      <c r="B432" s="4" t="s">
        <v>6</v>
      </c>
      <c r="C432" s="4" t="str">
        <f t="shared" si="12"/>
        <v>-</v>
      </c>
      <c r="D432" s="4" t="str">
        <f>"00059900"</f>
        <v>00059900</v>
      </c>
      <c r="E432" s="4" t="str">
        <f>"14371006"</f>
        <v>14371006</v>
      </c>
      <c r="F432" s="4" t="s">
        <v>179</v>
      </c>
    </row>
    <row r="433" spans="1:6" x14ac:dyDescent="0.25">
      <c r="A433" s="4" t="str">
        <f>"Betonwerk und Fertigteil-Technik/Concrete Plant and Precast Technology"</f>
        <v>Betonwerk und Fertigteil-Technik/Concrete Plant and Precast Technology</v>
      </c>
      <c r="B433" s="4" t="s">
        <v>22</v>
      </c>
      <c r="C433" s="4" t="str">
        <f t="shared" si="12"/>
        <v>-</v>
      </c>
      <c r="D433" s="4" t="str">
        <f>"03734331"</f>
        <v>03734331</v>
      </c>
      <c r="E433" s="4" t="str">
        <f>"-"</f>
        <v>-</v>
      </c>
      <c r="F433" s="4" t="s">
        <v>165</v>
      </c>
    </row>
    <row r="434" spans="1:6" x14ac:dyDescent="0.25">
      <c r="A434" s="4" t="str">
        <f>"Biennial IEEE International Nonvolatile Memory Technology Conference"</f>
        <v>Biennial IEEE International Nonvolatile Memory Technology Conference</v>
      </c>
      <c r="B434" s="4" t="s">
        <v>8</v>
      </c>
      <c r="C434" s="4" t="str">
        <f t="shared" si="12"/>
        <v>-</v>
      </c>
      <c r="D434" s="4" t="str">
        <f>"-"</f>
        <v>-</v>
      </c>
      <c r="E434" s="4" t="str">
        <f>"-"</f>
        <v>-</v>
      </c>
      <c r="F434" s="4" t="s">
        <v>105</v>
      </c>
    </row>
    <row r="435" spans="1:6" x14ac:dyDescent="0.25">
      <c r="A435" s="4" t="str">
        <f>"Biennial University/Government/Industry Microelectronics Symposium - Proceedings"</f>
        <v>Biennial University/Government/Industry Microelectronics Symposium - Proceedings</v>
      </c>
      <c r="B435" s="4" t="s">
        <v>8</v>
      </c>
      <c r="C435" s="4" t="str">
        <f t="shared" si="12"/>
        <v>-</v>
      </c>
      <c r="D435" s="4" t="str">
        <f>"07496877"</f>
        <v>07496877</v>
      </c>
      <c r="E435" s="4" t="str">
        <f>"-"</f>
        <v>-</v>
      </c>
      <c r="F435" s="4" t="s">
        <v>105</v>
      </c>
    </row>
    <row r="436" spans="1:6" x14ac:dyDescent="0.25">
      <c r="A436" s="4" t="str">
        <f>"Binggong Xuebao/Acta Armamentarii"</f>
        <v>Binggong Xuebao/Acta Armamentarii</v>
      </c>
      <c r="B436" s="4" t="s">
        <v>6</v>
      </c>
      <c r="C436" s="4" t="str">
        <f t="shared" si="12"/>
        <v>-</v>
      </c>
      <c r="D436" s="4" t="str">
        <f>"10001093"</f>
        <v>10001093</v>
      </c>
      <c r="E436" s="4" t="str">
        <f>"-"</f>
        <v>-</v>
      </c>
      <c r="F436" s="4" t="s">
        <v>180</v>
      </c>
    </row>
    <row r="437" spans="1:6" x14ac:dyDescent="0.25">
      <c r="A437" s="4" t="str">
        <f>"Biocatalysis and Biotransformation"</f>
        <v>Biocatalysis and Biotransformation</v>
      </c>
      <c r="B437" s="4" t="s">
        <v>6</v>
      </c>
      <c r="C437" s="4" t="str">
        <f t="shared" si="12"/>
        <v>-</v>
      </c>
      <c r="D437" s="4" t="str">
        <f>"10242422"</f>
        <v>10242422</v>
      </c>
      <c r="E437" s="4" t="str">
        <f>"10292446"</f>
        <v>10292446</v>
      </c>
      <c r="F437" s="4" t="s">
        <v>12</v>
      </c>
    </row>
    <row r="438" spans="1:6" x14ac:dyDescent="0.25">
      <c r="A438" s="4" t="str">
        <f>"Biochemical Engineering Journal"</f>
        <v>Biochemical Engineering Journal</v>
      </c>
      <c r="B438" s="4" t="s">
        <v>6</v>
      </c>
      <c r="C438" s="4" t="str">
        <f t="shared" si="12"/>
        <v>-</v>
      </c>
      <c r="D438" s="4" t="str">
        <f>"1369703X"</f>
        <v>1369703X</v>
      </c>
      <c r="E438" s="4" t="str">
        <f>"1873295X"</f>
        <v>1873295X</v>
      </c>
      <c r="F438" s="4" t="s">
        <v>55</v>
      </c>
    </row>
    <row r="439" spans="1:6" x14ac:dyDescent="0.25">
      <c r="A439" s="4" t="str">
        <f>"Biochemistry"</f>
        <v>Biochemistry</v>
      </c>
      <c r="B439" s="4" t="s">
        <v>6</v>
      </c>
      <c r="C439" s="4" t="str">
        <f t="shared" si="12"/>
        <v>-</v>
      </c>
      <c r="D439" s="4" t="str">
        <f>"00062960"</f>
        <v>00062960</v>
      </c>
      <c r="E439" s="4" t="str">
        <f>"15204995"</f>
        <v>15204995</v>
      </c>
      <c r="F439" s="4" t="s">
        <v>28</v>
      </c>
    </row>
    <row r="440" spans="1:6" x14ac:dyDescent="0.25">
      <c r="A440" s="4" t="str">
        <f>"Biochemistry and Cell Biology"</f>
        <v>Biochemistry and Cell Biology</v>
      </c>
      <c r="B440" s="4" t="s">
        <v>6</v>
      </c>
      <c r="C440" s="4" t="str">
        <f t="shared" si="12"/>
        <v>-</v>
      </c>
      <c r="D440" s="4" t="str">
        <f>"08298211"</f>
        <v>08298211</v>
      </c>
      <c r="E440" s="4" t="str">
        <f>"12086002"</f>
        <v>12086002</v>
      </c>
      <c r="F440" s="4" t="s">
        <v>181</v>
      </c>
    </row>
    <row r="441" spans="1:6" x14ac:dyDescent="0.25">
      <c r="A441" s="4" t="str">
        <f>"Biochip Journal"</f>
        <v>Biochip Journal</v>
      </c>
      <c r="B441" s="4" t="s">
        <v>6</v>
      </c>
      <c r="C441" s="4" t="str">
        <f t="shared" si="12"/>
        <v>-</v>
      </c>
      <c r="D441" s="4" t="str">
        <f>"19760280"</f>
        <v>19760280</v>
      </c>
      <c r="E441" s="4" t="str">
        <f>"20927843"</f>
        <v>20927843</v>
      </c>
      <c r="F441" s="4" t="s">
        <v>182</v>
      </c>
    </row>
    <row r="442" spans="1:6" x14ac:dyDescent="0.25">
      <c r="A442" s="4" t="str">
        <f>"Biocontrol Science"</f>
        <v>Biocontrol Science</v>
      </c>
      <c r="B442" s="4" t="s">
        <v>6</v>
      </c>
      <c r="C442" s="4" t="str">
        <f t="shared" si="12"/>
        <v>-</v>
      </c>
      <c r="D442" s="4" t="str">
        <f>"13424815"</f>
        <v>13424815</v>
      </c>
      <c r="E442" s="4" t="str">
        <f>"18840205"</f>
        <v>18840205</v>
      </c>
      <c r="F442" s="4" t="s">
        <v>183</v>
      </c>
    </row>
    <row r="443" spans="1:6" x14ac:dyDescent="0.25">
      <c r="A443" s="4" t="str">
        <f>"Biodegradation"</f>
        <v>Biodegradation</v>
      </c>
      <c r="B443" s="4" t="s">
        <v>6</v>
      </c>
      <c r="C443" s="4" t="str">
        <f t="shared" si="12"/>
        <v>-</v>
      </c>
      <c r="D443" s="4" t="str">
        <f>"09239820"</f>
        <v>09239820</v>
      </c>
      <c r="E443" s="4" t="str">
        <f>"15729729"</f>
        <v>15729729</v>
      </c>
      <c r="F443" s="4" t="s">
        <v>31</v>
      </c>
    </row>
    <row r="444" spans="1:6" x14ac:dyDescent="0.25">
      <c r="A444" s="4" t="str">
        <f>"Bioelectrochemistry"</f>
        <v>Bioelectrochemistry</v>
      </c>
      <c r="B444" s="4" t="s">
        <v>6</v>
      </c>
      <c r="C444" s="4" t="str">
        <f t="shared" si="12"/>
        <v>-</v>
      </c>
      <c r="D444" s="4" t="str">
        <f>"15675394"</f>
        <v>15675394</v>
      </c>
      <c r="E444" s="4" t="str">
        <f>"1878562X"</f>
        <v>1878562X</v>
      </c>
      <c r="F444" s="4" t="s">
        <v>55</v>
      </c>
    </row>
    <row r="445" spans="1:6" x14ac:dyDescent="0.25">
      <c r="A445" s="4" t="str">
        <f>"Bioenergy Research"</f>
        <v>Bioenergy Research</v>
      </c>
      <c r="B445" s="4" t="s">
        <v>6</v>
      </c>
      <c r="C445" s="4" t="str">
        <f t="shared" si="12"/>
        <v>-</v>
      </c>
      <c r="D445" s="4" t="str">
        <f>"19391234"</f>
        <v>19391234</v>
      </c>
      <c r="E445" s="4" t="str">
        <f>"19391242"</f>
        <v>19391242</v>
      </c>
      <c r="F445" s="4" t="s">
        <v>57</v>
      </c>
    </row>
    <row r="446" spans="1:6" x14ac:dyDescent="0.25">
      <c r="A446" s="4" t="str">
        <f>"Bioengineering, Proceedings of the Northeast Conference"</f>
        <v>Bioengineering, Proceedings of the Northeast Conference</v>
      </c>
      <c r="B446" s="4" t="s">
        <v>8</v>
      </c>
      <c r="C446" s="4" t="str">
        <f t="shared" si="12"/>
        <v>-</v>
      </c>
      <c r="D446" s="4" t="str">
        <f>"1071121X"</f>
        <v>1071121X</v>
      </c>
      <c r="E446" s="4" t="str">
        <f>"-"</f>
        <v>-</v>
      </c>
      <c r="F446" s="4" t="s">
        <v>105</v>
      </c>
    </row>
    <row r="447" spans="1:6" x14ac:dyDescent="0.25">
      <c r="A447" s="4" t="str">
        <f>"Biofabrication"</f>
        <v>Biofabrication</v>
      </c>
      <c r="B447" s="4" t="s">
        <v>6</v>
      </c>
      <c r="C447" s="4" t="str">
        <f t="shared" si="12"/>
        <v>-</v>
      </c>
      <c r="D447" s="4" t="str">
        <f>"17585082"</f>
        <v>17585082</v>
      </c>
      <c r="E447" s="4" t="str">
        <f>"17585090"</f>
        <v>17585090</v>
      </c>
      <c r="F447" s="4" t="s">
        <v>184</v>
      </c>
    </row>
    <row r="448" spans="1:6" x14ac:dyDescent="0.25">
      <c r="A448" s="4" t="str">
        <f>"Biofuels"</f>
        <v>Biofuels</v>
      </c>
      <c r="B448" s="4" t="s">
        <v>6</v>
      </c>
      <c r="C448" s="4" t="str">
        <f t="shared" si="12"/>
        <v>-</v>
      </c>
      <c r="D448" s="4" t="str">
        <f>"17597269"</f>
        <v>17597269</v>
      </c>
      <c r="E448" s="4" t="str">
        <f>"17597277"</f>
        <v>17597277</v>
      </c>
      <c r="F448" s="4" t="s">
        <v>60</v>
      </c>
    </row>
    <row r="449" spans="1:6" x14ac:dyDescent="0.25">
      <c r="A449" s="4" t="str">
        <f>"Biofuels, Bioproducts and Biorefining"</f>
        <v>Biofuels, Bioproducts and Biorefining</v>
      </c>
      <c r="B449" s="4" t="s">
        <v>6</v>
      </c>
      <c r="C449" s="4" t="str">
        <f t="shared" si="12"/>
        <v>-</v>
      </c>
      <c r="D449" s="4" t="str">
        <f>"1932104X"</f>
        <v>1932104X</v>
      </c>
      <c r="E449" s="4" t="str">
        <f>"19321031"</f>
        <v>19321031</v>
      </c>
      <c r="F449" s="4" t="s">
        <v>142</v>
      </c>
    </row>
    <row r="450" spans="1:6" x14ac:dyDescent="0.25">
      <c r="A450" s="4" t="str">
        <f>"Bioinspiration and Biomimetics"</f>
        <v>Bioinspiration and Biomimetics</v>
      </c>
      <c r="B450" s="4" t="s">
        <v>6</v>
      </c>
      <c r="C450" s="4" t="str">
        <f t="shared" si="12"/>
        <v>-</v>
      </c>
      <c r="D450" s="4" t="str">
        <f>"17483182"</f>
        <v>17483182</v>
      </c>
      <c r="E450" s="4" t="str">
        <f>"17483190"</f>
        <v>17483190</v>
      </c>
      <c r="F450" s="4" t="s">
        <v>184</v>
      </c>
    </row>
    <row r="451" spans="1:6" x14ac:dyDescent="0.25">
      <c r="A451" s="4" t="str">
        <f>"Bioinspired, Biomimetic and Nanobiomaterials"</f>
        <v>Bioinspired, Biomimetic and Nanobiomaterials</v>
      </c>
      <c r="B451" s="4" t="s">
        <v>6</v>
      </c>
      <c r="C451" s="4" t="str">
        <f t="shared" si="12"/>
        <v>-</v>
      </c>
      <c r="D451" s="4" t="str">
        <f>"20459858"</f>
        <v>20459858</v>
      </c>
      <c r="E451" s="4" t="str">
        <f>"20459866"</f>
        <v>20459866</v>
      </c>
      <c r="F451" s="4" t="s">
        <v>185</v>
      </c>
    </row>
    <row r="452" spans="1:6" x14ac:dyDescent="0.25">
      <c r="A452" s="4" t="str">
        <f>"Biological Cybernetics"</f>
        <v>Biological Cybernetics</v>
      </c>
      <c r="B452" s="4" t="s">
        <v>6</v>
      </c>
      <c r="C452" s="4" t="str">
        <f t="shared" si="12"/>
        <v>-</v>
      </c>
      <c r="D452" s="4" t="str">
        <f>"03401200"</f>
        <v>03401200</v>
      </c>
      <c r="E452" s="4" t="str">
        <f>"14320770"</f>
        <v>14320770</v>
      </c>
      <c r="F452" s="4" t="s">
        <v>42</v>
      </c>
    </row>
    <row r="453" spans="1:6" x14ac:dyDescent="0.25">
      <c r="A453" s="4" t="str">
        <f>"Biological Engineering Transactions"</f>
        <v>Biological Engineering Transactions</v>
      </c>
      <c r="B453" s="4" t="s">
        <v>6</v>
      </c>
      <c r="C453" s="4" t="str">
        <f t="shared" si="12"/>
        <v>-</v>
      </c>
      <c r="D453" s="4" t="str">
        <f>"19342799"</f>
        <v>19342799</v>
      </c>
      <c r="E453" s="4" t="str">
        <f>"-"</f>
        <v>-</v>
      </c>
      <c r="F453" s="4" t="s">
        <v>140</v>
      </c>
    </row>
    <row r="454" spans="1:6" x14ac:dyDescent="0.25">
      <c r="A454" s="4" t="str">
        <f>"Biologically Inspired Cognitive Architectures"</f>
        <v>Biologically Inspired Cognitive Architectures</v>
      </c>
      <c r="B454" s="4" t="s">
        <v>6</v>
      </c>
      <c r="C454" s="4" t="str">
        <f t="shared" si="12"/>
        <v>-</v>
      </c>
      <c r="D454" s="4" t="str">
        <f>"2212683X"</f>
        <v>2212683X</v>
      </c>
      <c r="E454" s="4" t="str">
        <f>"-"</f>
        <v>-</v>
      </c>
      <c r="F454" s="4" t="s">
        <v>55</v>
      </c>
    </row>
    <row r="455" spans="1:6" x14ac:dyDescent="0.25">
      <c r="A455" s="4" t="str">
        <f>"Biomacromolecules"</f>
        <v>Biomacromolecules</v>
      </c>
      <c r="B455" s="4" t="s">
        <v>6</v>
      </c>
      <c r="C455" s="4" t="str">
        <f t="shared" si="12"/>
        <v>-</v>
      </c>
      <c r="D455" s="4" t="str">
        <f>"15257797"</f>
        <v>15257797</v>
      </c>
      <c r="E455" s="4" t="str">
        <f>"15264602"</f>
        <v>15264602</v>
      </c>
      <c r="F455" s="4" t="s">
        <v>28</v>
      </c>
    </row>
    <row r="456" spans="1:6" x14ac:dyDescent="0.25">
      <c r="A456" s="4" t="str">
        <f>"Biomass and Bioenergy"</f>
        <v>Biomass and Bioenergy</v>
      </c>
      <c r="B456" s="4" t="s">
        <v>6</v>
      </c>
      <c r="C456" s="4" t="str">
        <f t="shared" si="12"/>
        <v>-</v>
      </c>
      <c r="D456" s="4" t="str">
        <f>"09619534"</f>
        <v>09619534</v>
      </c>
      <c r="E456" s="4" t="str">
        <f>"18732909"</f>
        <v>18732909</v>
      </c>
      <c r="F456" s="4" t="s">
        <v>19</v>
      </c>
    </row>
    <row r="457" spans="1:6" x14ac:dyDescent="0.25">
      <c r="A457" s="4" t="str">
        <f>"Biomass Conversion and Biorefinery"</f>
        <v>Biomass Conversion and Biorefinery</v>
      </c>
      <c r="B457" s="4" t="s">
        <v>6</v>
      </c>
      <c r="C457" s="4" t="str">
        <f t="shared" si="12"/>
        <v>-</v>
      </c>
      <c r="D457" s="4" t="str">
        <f>"21906815"</f>
        <v>21906815</v>
      </c>
      <c r="E457" s="4" t="str">
        <f>"21906823"</f>
        <v>21906823</v>
      </c>
      <c r="F457" s="4" t="s">
        <v>42</v>
      </c>
    </row>
    <row r="458" spans="1:6" x14ac:dyDescent="0.25">
      <c r="A458" s="4" t="str">
        <f>"Biomaterials"</f>
        <v>Biomaterials</v>
      </c>
      <c r="B458" s="4" t="s">
        <v>6</v>
      </c>
      <c r="C458" s="4" t="str">
        <f t="shared" si="12"/>
        <v>-</v>
      </c>
      <c r="D458" s="4" t="str">
        <f>"01429612"</f>
        <v>01429612</v>
      </c>
      <c r="E458" s="4" t="str">
        <f>"18785905"</f>
        <v>18785905</v>
      </c>
      <c r="F458" s="4" t="s">
        <v>19</v>
      </c>
    </row>
    <row r="459" spans="1:6" x14ac:dyDescent="0.25">
      <c r="A459" s="4" t="str">
        <f>"Biomaterials Science"</f>
        <v>Biomaterials Science</v>
      </c>
      <c r="B459" s="4" t="s">
        <v>6</v>
      </c>
      <c r="C459" s="4" t="str">
        <f t="shared" si="12"/>
        <v>-</v>
      </c>
      <c r="D459" s="4" t="str">
        <f>"20474830"</f>
        <v>20474830</v>
      </c>
      <c r="E459" s="4" t="str">
        <f>"20474849"</f>
        <v>20474849</v>
      </c>
      <c r="F459" s="4" t="s">
        <v>121</v>
      </c>
    </row>
    <row r="460" spans="1:6" x14ac:dyDescent="0.25">
      <c r="A460" s="4" t="str">
        <f>"Biomechanics and Modeling in Mechanobiology"</f>
        <v>Biomechanics and Modeling in Mechanobiology</v>
      </c>
      <c r="B460" s="4" t="s">
        <v>6</v>
      </c>
      <c r="C460" s="4" t="str">
        <f t="shared" si="12"/>
        <v>-</v>
      </c>
      <c r="D460" s="4" t="str">
        <f>"16177959"</f>
        <v>16177959</v>
      </c>
      <c r="E460" s="4" t="str">
        <f>"16177940"</f>
        <v>16177940</v>
      </c>
      <c r="F460" s="4" t="s">
        <v>42</v>
      </c>
    </row>
    <row r="461" spans="1:6" x14ac:dyDescent="0.25">
      <c r="A461" s="4" t="str">
        <f>"Biomedical Engineering"</f>
        <v>Biomedical Engineering</v>
      </c>
      <c r="B461" s="4" t="s">
        <v>6</v>
      </c>
      <c r="C461" s="4" t="str">
        <f t="shared" si="12"/>
        <v>-</v>
      </c>
      <c r="D461" s="4" t="str">
        <f>"00063398"</f>
        <v>00063398</v>
      </c>
      <c r="E461" s="4" t="str">
        <f>"15738256"</f>
        <v>15738256</v>
      </c>
      <c r="F461" s="4" t="s">
        <v>57</v>
      </c>
    </row>
    <row r="462" spans="1:6" x14ac:dyDescent="0.25">
      <c r="A462" s="4" t="str">
        <f>"Biomedical Engineering - Applications, Basis and Communications"</f>
        <v>Biomedical Engineering - Applications, Basis and Communications</v>
      </c>
      <c r="B462" s="4" t="s">
        <v>6</v>
      </c>
      <c r="C462" s="4" t="str">
        <f t="shared" si="12"/>
        <v>-</v>
      </c>
      <c r="D462" s="4" t="str">
        <f>"10162372"</f>
        <v>10162372</v>
      </c>
      <c r="E462" s="4" t="str">
        <f>"-"</f>
        <v>-</v>
      </c>
      <c r="F462" s="4" t="s">
        <v>157</v>
      </c>
    </row>
    <row r="463" spans="1:6" x14ac:dyDescent="0.25">
      <c r="A463" s="4" t="str">
        <f>"Biomedical Engineering Letters"</f>
        <v>Biomedical Engineering Letters</v>
      </c>
      <c r="B463" s="4" t="s">
        <v>6</v>
      </c>
      <c r="C463" s="4" t="str">
        <f t="shared" si="12"/>
        <v>-</v>
      </c>
      <c r="D463" s="4" t="str">
        <f>"20939868"</f>
        <v>20939868</v>
      </c>
      <c r="E463" s="4" t="str">
        <f>"2093985X"</f>
        <v>2093985X</v>
      </c>
      <c r="F463" s="4" t="s">
        <v>42</v>
      </c>
    </row>
    <row r="464" spans="1:6" x14ac:dyDescent="0.25">
      <c r="A464" s="4" t="str">
        <f>"BioMedical Engineering Online"</f>
        <v>BioMedical Engineering Online</v>
      </c>
      <c r="B464" s="4" t="s">
        <v>6</v>
      </c>
      <c r="C464" s="4" t="str">
        <f t="shared" si="12"/>
        <v>-</v>
      </c>
      <c r="D464" s="4" t="str">
        <f>"-"</f>
        <v>-</v>
      </c>
      <c r="E464" s="4" t="str">
        <f>"1475925X"</f>
        <v>1475925X</v>
      </c>
      <c r="F464" s="4" t="s">
        <v>186</v>
      </c>
    </row>
    <row r="465" spans="1:6" x14ac:dyDescent="0.25">
      <c r="A465" s="4" t="str">
        <f>"Biomedical Instrumentation and Technology"</f>
        <v>Biomedical Instrumentation and Technology</v>
      </c>
      <c r="B465" s="4" t="s">
        <v>6</v>
      </c>
      <c r="C465" s="4" t="str">
        <f t="shared" si="12"/>
        <v>-</v>
      </c>
      <c r="D465" s="4" t="str">
        <f>"08998205"</f>
        <v>08998205</v>
      </c>
      <c r="E465" s="4" t="str">
        <f>"19435967"</f>
        <v>19435967</v>
      </c>
      <c r="F465" s="4" t="s">
        <v>187</v>
      </c>
    </row>
    <row r="466" spans="1:6" x14ac:dyDescent="0.25">
      <c r="A466" s="4" t="str">
        <f>"Biomedical Materials (Bristol)"</f>
        <v>Biomedical Materials (Bristol)</v>
      </c>
      <c r="B466" s="4" t="s">
        <v>6</v>
      </c>
      <c r="C466" s="4" t="str">
        <f t="shared" si="12"/>
        <v>-</v>
      </c>
      <c r="D466" s="4" t="str">
        <f>"17486041"</f>
        <v>17486041</v>
      </c>
      <c r="E466" s="4" t="str">
        <f>"1748605X"</f>
        <v>1748605X</v>
      </c>
      <c r="F466" s="4" t="s">
        <v>184</v>
      </c>
    </row>
    <row r="467" spans="1:6" x14ac:dyDescent="0.25">
      <c r="A467" s="4" t="str">
        <f>"Bio-Medical Materials and Engineering"</f>
        <v>Bio-Medical Materials and Engineering</v>
      </c>
      <c r="B467" s="4" t="s">
        <v>6</v>
      </c>
      <c r="C467" s="4" t="str">
        <f t="shared" si="12"/>
        <v>-</v>
      </c>
      <c r="D467" s="4" t="str">
        <f>"09592989"</f>
        <v>09592989</v>
      </c>
      <c r="E467" s="4" t="str">
        <f>"18783619"</f>
        <v>18783619</v>
      </c>
      <c r="F467" s="4" t="s">
        <v>103</v>
      </c>
    </row>
    <row r="468" spans="1:6" x14ac:dyDescent="0.25">
      <c r="A468" s="4" t="str">
        <f>"Biomedical Microdevices"</f>
        <v>Biomedical Microdevices</v>
      </c>
      <c r="B468" s="4" t="s">
        <v>6</v>
      </c>
      <c r="C468" s="4" t="str">
        <f t="shared" si="12"/>
        <v>-</v>
      </c>
      <c r="D468" s="4" t="str">
        <f>"13872176"</f>
        <v>13872176</v>
      </c>
      <c r="E468" s="4" t="str">
        <f>"15728781"</f>
        <v>15728781</v>
      </c>
      <c r="F468" s="4" t="s">
        <v>57</v>
      </c>
    </row>
    <row r="469" spans="1:6" x14ac:dyDescent="0.25">
      <c r="A469" s="4" t="str">
        <f>"Biomedical Optics Express"</f>
        <v>Biomedical Optics Express</v>
      </c>
      <c r="B469" s="4" t="s">
        <v>6</v>
      </c>
      <c r="C469" s="4" t="str">
        <f t="shared" si="12"/>
        <v>-</v>
      </c>
      <c r="D469" s="4" t="str">
        <f>"-"</f>
        <v>-</v>
      </c>
      <c r="E469" s="4" t="str">
        <f>"21567085"</f>
        <v>21567085</v>
      </c>
      <c r="F469" s="4" t="s">
        <v>86</v>
      </c>
    </row>
    <row r="470" spans="1:6" x14ac:dyDescent="0.25">
      <c r="A470" s="4" t="str">
        <f>"Biomedical Sciences Instrumentation"</f>
        <v>Biomedical Sciences Instrumentation</v>
      </c>
      <c r="B470" s="4" t="s">
        <v>6</v>
      </c>
      <c r="C470" s="4" t="str">
        <f t="shared" si="12"/>
        <v>-</v>
      </c>
      <c r="D470" s="4" t="str">
        <f>"00678856"</f>
        <v>00678856</v>
      </c>
      <c r="E470" s="4" t="str">
        <f>"-"</f>
        <v>-</v>
      </c>
      <c r="F470" s="4" t="s">
        <v>188</v>
      </c>
    </row>
    <row r="471" spans="1:6" x14ac:dyDescent="0.25">
      <c r="A471" s="4" t="str">
        <f>"Biomedical Signal Processing and Control"</f>
        <v>Biomedical Signal Processing and Control</v>
      </c>
      <c r="B471" s="4" t="s">
        <v>6</v>
      </c>
      <c r="C471" s="4" t="str">
        <f t="shared" si="12"/>
        <v>-</v>
      </c>
      <c r="D471" s="4" t="str">
        <f>"17468094"</f>
        <v>17468094</v>
      </c>
      <c r="E471" s="4" t="str">
        <f>"17468108"</f>
        <v>17468108</v>
      </c>
      <c r="F471" s="4" t="s">
        <v>19</v>
      </c>
    </row>
    <row r="472" spans="1:6" x14ac:dyDescent="0.25">
      <c r="A472" s="4" t="str">
        <f>"Biomedizinische Technik"</f>
        <v>Biomedizinische Technik</v>
      </c>
      <c r="B472" s="4" t="s">
        <v>6</v>
      </c>
      <c r="C472" s="4" t="str">
        <f t="shared" si="12"/>
        <v>-</v>
      </c>
      <c r="D472" s="4" t="str">
        <f>"00135585"</f>
        <v>00135585</v>
      </c>
      <c r="E472" s="4" t="str">
        <f>"-"</f>
        <v>-</v>
      </c>
      <c r="F472" s="4" t="s">
        <v>189</v>
      </c>
    </row>
    <row r="473" spans="1:6" x14ac:dyDescent="0.25">
      <c r="A473" s="4" t="str">
        <f>"Biometric Technology Today"</f>
        <v>Biometric Technology Today</v>
      </c>
      <c r="B473" s="4" t="s">
        <v>22</v>
      </c>
      <c r="C473" s="4" t="str">
        <f t="shared" si="12"/>
        <v>-</v>
      </c>
      <c r="D473" s="4" t="str">
        <f>"09694765"</f>
        <v>09694765</v>
      </c>
      <c r="E473" s="4" t="str">
        <f>"-"</f>
        <v>-</v>
      </c>
      <c r="F473" s="4" t="s">
        <v>55</v>
      </c>
    </row>
    <row r="474" spans="1:6" x14ac:dyDescent="0.25">
      <c r="A474" s="4" t="str">
        <f>"Biomicrofluidics"</f>
        <v>Biomicrofluidics</v>
      </c>
      <c r="B474" s="4" t="s">
        <v>6</v>
      </c>
      <c r="C474" s="4" t="str">
        <f t="shared" si="12"/>
        <v>-</v>
      </c>
      <c r="D474" s="4" t="str">
        <f>"19321058"</f>
        <v>19321058</v>
      </c>
      <c r="E474" s="4" t="str">
        <f>"-"</f>
        <v>-</v>
      </c>
      <c r="F474" s="4" t="s">
        <v>108</v>
      </c>
    </row>
    <row r="475" spans="1:6" x14ac:dyDescent="0.25">
      <c r="A475" s="4" t="str">
        <f>"BioNanoScience"</f>
        <v>BioNanoScience</v>
      </c>
      <c r="B475" s="4" t="s">
        <v>6</v>
      </c>
      <c r="C475" s="4" t="str">
        <f t="shared" si="12"/>
        <v>-</v>
      </c>
      <c r="D475" s="4" t="str">
        <f>"21911630"</f>
        <v>21911630</v>
      </c>
      <c r="E475" s="4" t="str">
        <f>"21911649"</f>
        <v>21911649</v>
      </c>
      <c r="F475" s="4" t="s">
        <v>57</v>
      </c>
    </row>
    <row r="476" spans="1:6" x14ac:dyDescent="0.25">
      <c r="A476" s="4" t="str">
        <f>"Biophotonics International"</f>
        <v>Biophotonics International</v>
      </c>
      <c r="B476" s="4" t="s">
        <v>22</v>
      </c>
      <c r="C476" s="4" t="str">
        <f t="shared" si="12"/>
        <v>-</v>
      </c>
      <c r="D476" s="4" t="str">
        <f>"10818693"</f>
        <v>10818693</v>
      </c>
      <c r="E476" s="4" t="str">
        <f>"-"</f>
        <v>-</v>
      </c>
      <c r="F476" s="4" t="s">
        <v>190</v>
      </c>
    </row>
    <row r="477" spans="1:6" x14ac:dyDescent="0.25">
      <c r="A477" s="4" t="str">
        <f>"Biopolymers"</f>
        <v>Biopolymers</v>
      </c>
      <c r="B477" s="4" t="s">
        <v>6</v>
      </c>
      <c r="C477" s="4" t="str">
        <f t="shared" si="12"/>
        <v>-</v>
      </c>
      <c r="D477" s="4" t="str">
        <f>"00063525"</f>
        <v>00063525</v>
      </c>
      <c r="E477" s="4" t="str">
        <f>"10970282"</f>
        <v>10970282</v>
      </c>
      <c r="F477" s="4" t="s">
        <v>87</v>
      </c>
    </row>
    <row r="478" spans="1:6" x14ac:dyDescent="0.25">
      <c r="A478" s="4" t="str">
        <f>"Bioprocess and Biosystems Engineering"</f>
        <v>Bioprocess and Biosystems Engineering</v>
      </c>
      <c r="B478" s="4" t="s">
        <v>6</v>
      </c>
      <c r="C478" s="4" t="str">
        <f t="shared" si="12"/>
        <v>-</v>
      </c>
      <c r="D478" s="4" t="str">
        <f>"16157591"</f>
        <v>16157591</v>
      </c>
      <c r="E478" s="4" t="str">
        <f>"16157605"</f>
        <v>16157605</v>
      </c>
      <c r="F478" s="4" t="s">
        <v>42</v>
      </c>
    </row>
    <row r="479" spans="1:6" x14ac:dyDescent="0.25">
      <c r="A479" s="4" t="str">
        <f>"Bioremediation Journal"</f>
        <v>Bioremediation Journal</v>
      </c>
      <c r="B479" s="4" t="s">
        <v>6</v>
      </c>
      <c r="C479" s="4" t="str">
        <f t="shared" si="12"/>
        <v>-</v>
      </c>
      <c r="D479" s="4" t="str">
        <f>"10889868"</f>
        <v>10889868</v>
      </c>
      <c r="E479" s="4" t="str">
        <f>"15476529"</f>
        <v>15476529</v>
      </c>
      <c r="F479" s="4" t="s">
        <v>96</v>
      </c>
    </row>
    <row r="480" spans="1:6" x14ac:dyDescent="0.25">
      <c r="A480" s="4" t="str">
        <f>"Bioresource Technology"</f>
        <v>Bioresource Technology</v>
      </c>
      <c r="B480" s="4" t="s">
        <v>6</v>
      </c>
      <c r="C480" s="4" t="str">
        <f t="shared" ref="C480:C510" si="13">"-"</f>
        <v>-</v>
      </c>
      <c r="D480" s="4" t="str">
        <f>"09608524"</f>
        <v>09608524</v>
      </c>
      <c r="E480" s="4" t="str">
        <f>"18732976"</f>
        <v>18732976</v>
      </c>
      <c r="F480" s="4" t="s">
        <v>19</v>
      </c>
    </row>
    <row r="481" spans="1:6" x14ac:dyDescent="0.25">
      <c r="A481" s="4" t="str">
        <f>"BioResources"</f>
        <v>BioResources</v>
      </c>
      <c r="B481" s="4" t="s">
        <v>6</v>
      </c>
      <c r="C481" s="4" t="str">
        <f t="shared" si="13"/>
        <v>-</v>
      </c>
      <c r="D481" s="4" t="str">
        <f>"-"</f>
        <v>-</v>
      </c>
      <c r="E481" s="4" t="str">
        <f>"19302126"</f>
        <v>19302126</v>
      </c>
      <c r="F481" s="4" t="s">
        <v>191</v>
      </c>
    </row>
    <row r="482" spans="1:6" x14ac:dyDescent="0.25">
      <c r="A482" s="4" t="str">
        <f>"Bioscience, Biotechnology and Biochemistry"</f>
        <v>Bioscience, Biotechnology and Biochemistry</v>
      </c>
      <c r="B482" s="4" t="s">
        <v>6</v>
      </c>
      <c r="C482" s="4" t="str">
        <f t="shared" si="13"/>
        <v>-</v>
      </c>
      <c r="D482" s="4" t="str">
        <f>"09168451"</f>
        <v>09168451</v>
      </c>
      <c r="E482" s="4" t="str">
        <f>"13476947"</f>
        <v>13476947</v>
      </c>
      <c r="F482" s="4" t="s">
        <v>192</v>
      </c>
    </row>
    <row r="483" spans="1:6" x14ac:dyDescent="0.25">
      <c r="A483" s="4" t="str">
        <f>"Biosensors and Bioelectronics"</f>
        <v>Biosensors and Bioelectronics</v>
      </c>
      <c r="B483" s="4" t="s">
        <v>6</v>
      </c>
      <c r="C483" s="4" t="str">
        <f t="shared" si="13"/>
        <v>-</v>
      </c>
      <c r="D483" s="4" t="str">
        <f>"09565663"</f>
        <v>09565663</v>
      </c>
      <c r="E483" s="4" t="str">
        <f>"18734235"</f>
        <v>18734235</v>
      </c>
      <c r="F483" s="4" t="s">
        <v>19</v>
      </c>
    </row>
    <row r="484" spans="1:6" x14ac:dyDescent="0.25">
      <c r="A484" s="4" t="str">
        <f>"Biosystems Engineering"</f>
        <v>Biosystems Engineering</v>
      </c>
      <c r="B484" s="4" t="s">
        <v>6</v>
      </c>
      <c r="C484" s="4" t="str">
        <f t="shared" si="13"/>
        <v>-</v>
      </c>
      <c r="D484" s="4" t="str">
        <f>"15375110"</f>
        <v>15375110</v>
      </c>
      <c r="E484" s="4" t="str">
        <f>"-"</f>
        <v>-</v>
      </c>
      <c r="F484" s="4" t="s">
        <v>193</v>
      </c>
    </row>
    <row r="485" spans="1:6" x14ac:dyDescent="0.25">
      <c r="A485" s="4" t="str">
        <f>"Biotechnology"</f>
        <v>Biotechnology</v>
      </c>
      <c r="B485" s="4" t="s">
        <v>6</v>
      </c>
      <c r="C485" s="4" t="str">
        <f t="shared" si="13"/>
        <v>-</v>
      </c>
      <c r="D485" s="4" t="str">
        <f>"1682296X"</f>
        <v>1682296X</v>
      </c>
      <c r="E485" s="4" t="str">
        <f>"16822978"</f>
        <v>16822978</v>
      </c>
      <c r="F485" s="4" t="s">
        <v>194</v>
      </c>
    </row>
    <row r="486" spans="1:6" x14ac:dyDescent="0.25">
      <c r="A486" s="4" t="str">
        <f>"Biotechnology Advances"</f>
        <v>Biotechnology Advances</v>
      </c>
      <c r="B486" s="4" t="s">
        <v>6</v>
      </c>
      <c r="C486" s="4" t="str">
        <f t="shared" si="13"/>
        <v>-</v>
      </c>
      <c r="D486" s="4" t="str">
        <f>"07349750"</f>
        <v>07349750</v>
      </c>
      <c r="E486" s="4" t="str">
        <f>"-"</f>
        <v>-</v>
      </c>
      <c r="F486" s="4" t="s">
        <v>141</v>
      </c>
    </row>
    <row r="487" spans="1:6" x14ac:dyDescent="0.25">
      <c r="A487" s="4" t="str">
        <f>"Biotechnology and Applied Biochemistry"</f>
        <v>Biotechnology and Applied Biochemistry</v>
      </c>
      <c r="B487" s="4" t="s">
        <v>6</v>
      </c>
      <c r="C487" s="4" t="str">
        <f t="shared" si="13"/>
        <v>-</v>
      </c>
      <c r="D487" s="4" t="str">
        <f>"08854513"</f>
        <v>08854513</v>
      </c>
      <c r="E487" s="4" t="str">
        <f>"14708744"</f>
        <v>14708744</v>
      </c>
      <c r="F487" s="4" t="s">
        <v>195</v>
      </c>
    </row>
    <row r="488" spans="1:6" x14ac:dyDescent="0.25">
      <c r="A488" s="4" t="str">
        <f>"Biotechnology and Bioengineering"</f>
        <v>Biotechnology and Bioengineering</v>
      </c>
      <c r="B488" s="4" t="s">
        <v>6</v>
      </c>
      <c r="C488" s="4" t="str">
        <f t="shared" si="13"/>
        <v>-</v>
      </c>
      <c r="D488" s="4" t="str">
        <f>"00063592"</f>
        <v>00063592</v>
      </c>
      <c r="E488" s="4" t="str">
        <f>"10970290"</f>
        <v>10970290</v>
      </c>
      <c r="F488" s="4" t="s">
        <v>87</v>
      </c>
    </row>
    <row r="489" spans="1:6" x14ac:dyDescent="0.25">
      <c r="A489" s="4" t="str">
        <f>"Biotechnology and Bioprocess Engineering"</f>
        <v>Biotechnology and Bioprocess Engineering</v>
      </c>
      <c r="B489" s="4" t="s">
        <v>6</v>
      </c>
      <c r="C489" s="4" t="str">
        <f t="shared" si="13"/>
        <v>-</v>
      </c>
      <c r="D489" s="4" t="str">
        <f>"12268372"</f>
        <v>12268372</v>
      </c>
      <c r="E489" s="4" t="str">
        <f>"19763816"</f>
        <v>19763816</v>
      </c>
      <c r="F489" s="4" t="s">
        <v>196</v>
      </c>
    </row>
    <row r="490" spans="1:6" x14ac:dyDescent="0.25">
      <c r="A490" s="4" t="str">
        <f>"Biotechnology and Biotechnological Equipment"</f>
        <v>Biotechnology and Biotechnological Equipment</v>
      </c>
      <c r="B490" s="4" t="s">
        <v>6</v>
      </c>
      <c r="C490" s="4" t="str">
        <f t="shared" si="13"/>
        <v>-</v>
      </c>
      <c r="D490" s="4" t="str">
        <f>"13102818"</f>
        <v>13102818</v>
      </c>
      <c r="E490" s="4" t="str">
        <f>"-"</f>
        <v>-</v>
      </c>
      <c r="F490" s="4" t="s">
        <v>197</v>
      </c>
    </row>
    <row r="491" spans="1:6" x14ac:dyDescent="0.25">
      <c r="A491" s="4" t="str">
        <f>"Biotechnology for Biofuels"</f>
        <v>Biotechnology for Biofuels</v>
      </c>
      <c r="B491" s="4" t="s">
        <v>6</v>
      </c>
      <c r="C491" s="4" t="str">
        <f t="shared" si="13"/>
        <v>-</v>
      </c>
      <c r="D491" s="4" t="str">
        <f>"17546834"</f>
        <v>17546834</v>
      </c>
      <c r="E491" s="4" t="str">
        <f>"-"</f>
        <v>-</v>
      </c>
      <c r="F491" s="4" t="s">
        <v>186</v>
      </c>
    </row>
    <row r="492" spans="1:6" x14ac:dyDescent="0.25">
      <c r="A492" s="4" t="str">
        <f>"Biotechnology Journal"</f>
        <v>Biotechnology Journal</v>
      </c>
      <c r="B492" s="4" t="s">
        <v>6</v>
      </c>
      <c r="C492" s="4" t="str">
        <f t="shared" si="13"/>
        <v>-</v>
      </c>
      <c r="D492" s="4" t="str">
        <f>"18606768"</f>
        <v>18606768</v>
      </c>
      <c r="E492" s="4" t="str">
        <f>"18607314"</f>
        <v>18607314</v>
      </c>
      <c r="F492" s="4" t="s">
        <v>63</v>
      </c>
    </row>
    <row r="493" spans="1:6" x14ac:dyDescent="0.25">
      <c r="A493" s="4" t="str">
        <f>"Biotechnology Letters"</f>
        <v>Biotechnology Letters</v>
      </c>
      <c r="B493" s="4" t="s">
        <v>6</v>
      </c>
      <c r="C493" s="4" t="str">
        <f t="shared" si="13"/>
        <v>-</v>
      </c>
      <c r="D493" s="4" t="str">
        <f>"01415492"</f>
        <v>01415492</v>
      </c>
      <c r="E493" s="4" t="str">
        <f>"15736776"</f>
        <v>15736776</v>
      </c>
      <c r="F493" s="4" t="s">
        <v>31</v>
      </c>
    </row>
    <row r="494" spans="1:6" x14ac:dyDescent="0.25">
      <c r="A494" s="4" t="str">
        <f>"Biotechnology Progress"</f>
        <v>Biotechnology Progress</v>
      </c>
      <c r="B494" s="4" t="s">
        <v>6</v>
      </c>
      <c r="C494" s="4" t="str">
        <f t="shared" si="13"/>
        <v>-</v>
      </c>
      <c r="D494" s="4" t="str">
        <f>"87567938"</f>
        <v>87567938</v>
      </c>
      <c r="E494" s="4" t="str">
        <f>"15206033"</f>
        <v>15206033</v>
      </c>
      <c r="F494" s="4" t="s">
        <v>87</v>
      </c>
    </row>
    <row r="495" spans="1:6" x14ac:dyDescent="0.25">
      <c r="A495" s="4" t="str">
        <f>"Bled Workshops in Physics"</f>
        <v>Bled Workshops in Physics</v>
      </c>
      <c r="B495" s="4" t="s">
        <v>8</v>
      </c>
      <c r="C495" s="4" t="str">
        <f t="shared" si="13"/>
        <v>-</v>
      </c>
      <c r="D495" s="4" t="str">
        <f>"15804992"</f>
        <v>15804992</v>
      </c>
      <c r="E495" s="4" t="str">
        <f>"-"</f>
        <v>-</v>
      </c>
      <c r="F495" s="4" t="s">
        <v>198</v>
      </c>
    </row>
    <row r="496" spans="1:6" x14ac:dyDescent="0.25">
      <c r="A496" s="4" t="str">
        <f>"Blejske Delavnice iz Fizike - Bled Workshops in Physics"</f>
        <v>Blejske Delavnice iz Fizike - Bled Workshops in Physics</v>
      </c>
      <c r="B496" s="4" t="s">
        <v>8</v>
      </c>
      <c r="C496" s="4" t="str">
        <f t="shared" si="13"/>
        <v>-</v>
      </c>
      <c r="D496" s="4" t="str">
        <f>"15804992"</f>
        <v>15804992</v>
      </c>
      <c r="E496" s="4" t="str">
        <f>"-"</f>
        <v>-</v>
      </c>
      <c r="F496" s="4" t="s">
        <v>198</v>
      </c>
    </row>
    <row r="497" spans="1:6" x14ac:dyDescent="0.25">
      <c r="A497" s="4" t="str">
        <f>"BMC Bioinformatics"</f>
        <v>BMC Bioinformatics</v>
      </c>
      <c r="B497" s="4" t="s">
        <v>6</v>
      </c>
      <c r="C497" s="4" t="str">
        <f t="shared" si="13"/>
        <v>-</v>
      </c>
      <c r="D497" s="4" t="str">
        <f>"-"</f>
        <v>-</v>
      </c>
      <c r="E497" s="4" t="str">
        <f>"14712105"</f>
        <v>14712105</v>
      </c>
      <c r="F497" s="4" t="s">
        <v>186</v>
      </c>
    </row>
    <row r="498" spans="1:6" x14ac:dyDescent="0.25">
      <c r="A498" s="4" t="str">
        <f>"BMC Biotechnology"</f>
        <v>BMC Biotechnology</v>
      </c>
      <c r="B498" s="4" t="s">
        <v>6</v>
      </c>
      <c r="C498" s="4" t="str">
        <f t="shared" si="13"/>
        <v>-</v>
      </c>
      <c r="D498" s="4" t="str">
        <f>"-"</f>
        <v>-</v>
      </c>
      <c r="E498" s="4" t="str">
        <f>"14726750"</f>
        <v>14726750</v>
      </c>
      <c r="F498" s="4" t="s">
        <v>186</v>
      </c>
    </row>
    <row r="499" spans="1:6" x14ac:dyDescent="0.25">
      <c r="A499" s="4" t="str">
        <f>"Boletim Tecnico da PETROBRAS"</f>
        <v>Boletim Tecnico da PETROBRAS</v>
      </c>
      <c r="B499" s="4" t="s">
        <v>6</v>
      </c>
      <c r="C499" s="4" t="str">
        <f t="shared" si="13"/>
        <v>-</v>
      </c>
      <c r="D499" s="4" t="str">
        <f>"00066117"</f>
        <v>00066117</v>
      </c>
      <c r="E499" s="4" t="str">
        <f>"16766385"</f>
        <v>16766385</v>
      </c>
      <c r="F499" s="4" t="s">
        <v>199</v>
      </c>
    </row>
    <row r="500" spans="1:6" x14ac:dyDescent="0.25">
      <c r="A500" s="4" t="str">
        <f>"Boletim Tecnico da Producao de Petroleo"</f>
        <v>Boletim Tecnico da Producao de Petroleo</v>
      </c>
      <c r="B500" s="4" t="s">
        <v>6</v>
      </c>
      <c r="C500" s="4" t="str">
        <f t="shared" si="13"/>
        <v>-</v>
      </c>
      <c r="D500" s="4" t="str">
        <f>"18096751"</f>
        <v>18096751</v>
      </c>
      <c r="E500" s="4" t="str">
        <f>"-"</f>
        <v>-</v>
      </c>
      <c r="F500" s="4" t="s">
        <v>199</v>
      </c>
    </row>
    <row r="501" spans="1:6" x14ac:dyDescent="0.25">
      <c r="A501" s="4" t="str">
        <f>"Boletin de la Sociedad Espanola de Ceramica y Vidrio"</f>
        <v>Boletin de la Sociedad Espanola de Ceramica y Vidrio</v>
      </c>
      <c r="B501" s="4" t="s">
        <v>6</v>
      </c>
      <c r="C501" s="4" t="str">
        <f t="shared" si="13"/>
        <v>-</v>
      </c>
      <c r="D501" s="4" t="str">
        <f>"03663175"</f>
        <v>03663175</v>
      </c>
      <c r="E501" s="4" t="str">
        <f>"21730431"</f>
        <v>21730431</v>
      </c>
      <c r="F501" s="4" t="s">
        <v>200</v>
      </c>
    </row>
    <row r="502" spans="1:6" x14ac:dyDescent="0.25">
      <c r="A502" s="4" t="str">
        <f>"Boletin Tecnico/Technical Bulletin"</f>
        <v>Boletin Tecnico/Technical Bulletin</v>
      </c>
      <c r="B502" s="4" t="s">
        <v>6</v>
      </c>
      <c r="C502" s="4" t="str">
        <f t="shared" si="13"/>
        <v>-</v>
      </c>
      <c r="D502" s="4" t="str">
        <f>"0376723X"</f>
        <v>0376723X</v>
      </c>
      <c r="E502" s="4" t="str">
        <f>"-"</f>
        <v>-</v>
      </c>
      <c r="F502" s="4" t="s">
        <v>201</v>
      </c>
    </row>
    <row r="503" spans="1:6" x14ac:dyDescent="0.25">
      <c r="A503" s="4" t="str">
        <f>"Bolyai Society Mathematical Studies"</f>
        <v>Bolyai Society Mathematical Studies</v>
      </c>
      <c r="B503" s="4" t="s">
        <v>8</v>
      </c>
      <c r="C503" s="4" t="str">
        <f t="shared" si="13"/>
        <v>-</v>
      </c>
      <c r="D503" s="4" t="str">
        <f>"12174696"</f>
        <v>12174696</v>
      </c>
      <c r="E503" s="4" t="str">
        <f>"12174696"</f>
        <v>12174696</v>
      </c>
      <c r="F503" s="4" t="s">
        <v>162</v>
      </c>
    </row>
    <row r="504" spans="1:6" x14ac:dyDescent="0.25">
      <c r="A504" s="4" t="str">
        <f>"Boundary-Layer Meteorology"</f>
        <v>Boundary-Layer Meteorology</v>
      </c>
      <c r="B504" s="4" t="s">
        <v>6</v>
      </c>
      <c r="C504" s="4" t="str">
        <f t="shared" si="13"/>
        <v>-</v>
      </c>
      <c r="D504" s="4" t="str">
        <f>"00068314"</f>
        <v>00068314</v>
      </c>
      <c r="E504" s="4" t="str">
        <f>"15731472"</f>
        <v>15731472</v>
      </c>
      <c r="F504" s="4" t="s">
        <v>31</v>
      </c>
    </row>
    <row r="505" spans="1:6" x14ac:dyDescent="0.25">
      <c r="A505" s="4" t="str">
        <f>"Brand"</f>
        <v>Brand</v>
      </c>
      <c r="B505" s="4" t="s">
        <v>6</v>
      </c>
      <c r="C505" s="4" t="str">
        <f t="shared" si="13"/>
        <v>-</v>
      </c>
      <c r="D505" s="4" t="str">
        <f>"14750929"</f>
        <v>14750929</v>
      </c>
      <c r="E505" s="4" t="str">
        <f>"-"</f>
        <v>-</v>
      </c>
      <c r="F505" s="4" t="s">
        <v>202</v>
      </c>
    </row>
    <row r="506" spans="1:6" x14ac:dyDescent="0.25">
      <c r="A506" s="4" t="str">
        <f>"Brazilian Journal of Chemical Engineering"</f>
        <v>Brazilian Journal of Chemical Engineering</v>
      </c>
      <c r="B506" s="4" t="s">
        <v>6</v>
      </c>
      <c r="C506" s="4" t="str">
        <f t="shared" si="13"/>
        <v>-</v>
      </c>
      <c r="D506" s="4" t="str">
        <f>"01046632"</f>
        <v>01046632</v>
      </c>
      <c r="E506" s="4" t="str">
        <f>"-"</f>
        <v>-</v>
      </c>
      <c r="F506" s="4" t="s">
        <v>203</v>
      </c>
    </row>
    <row r="507" spans="1:6" x14ac:dyDescent="0.25">
      <c r="A507" s="4" t="str">
        <f>"Brazilian Symposium of Computer Graphic and Image Processing"</f>
        <v>Brazilian Symposium of Computer Graphic and Image Processing</v>
      </c>
      <c r="B507" s="4" t="s">
        <v>8</v>
      </c>
      <c r="C507" s="4" t="str">
        <f t="shared" si="13"/>
        <v>-</v>
      </c>
      <c r="D507" s="4" t="str">
        <f>"15301834"</f>
        <v>15301834</v>
      </c>
      <c r="E507" s="4" t="str">
        <f>"-"</f>
        <v>-</v>
      </c>
      <c r="F507" s="4" t="s">
        <v>9</v>
      </c>
    </row>
    <row r="508" spans="1:6" x14ac:dyDescent="0.25">
      <c r="A508" s="4" t="str">
        <f>"Brazilian Symposium on Computing System Engineering, SBESC"</f>
        <v>Brazilian Symposium on Computing System Engineering, SBESC</v>
      </c>
      <c r="B508" s="4" t="s">
        <v>8</v>
      </c>
      <c r="C508" s="4" t="str">
        <f t="shared" si="13"/>
        <v>-</v>
      </c>
      <c r="D508" s="4" t="str">
        <f>"23247886"</f>
        <v>23247886</v>
      </c>
      <c r="E508" s="4" t="str">
        <f>"23247894"</f>
        <v>23247894</v>
      </c>
      <c r="F508" s="4" t="s">
        <v>9</v>
      </c>
    </row>
    <row r="509" spans="1:6" x14ac:dyDescent="0.25">
      <c r="A509" s="4" t="str">
        <f>"Brazilian Symposium on Games and Digital Entertainment, SBGAMES"</f>
        <v>Brazilian Symposium on Games and Digital Entertainment, SBGAMES</v>
      </c>
      <c r="B509" s="4" t="s">
        <v>8</v>
      </c>
      <c r="C509" s="4" t="str">
        <f t="shared" si="13"/>
        <v>-</v>
      </c>
      <c r="D509" s="4" t="str">
        <f>"21596654"</f>
        <v>21596654</v>
      </c>
      <c r="E509" s="4" t="str">
        <f>"21596662"</f>
        <v>21596662</v>
      </c>
      <c r="F509" s="4" t="s">
        <v>9</v>
      </c>
    </row>
    <row r="510" spans="1:6" x14ac:dyDescent="0.25">
      <c r="A510" s="4" t="str">
        <f>"BrewingScience"</f>
        <v>BrewingScience</v>
      </c>
      <c r="B510" s="4" t="s">
        <v>6</v>
      </c>
      <c r="C510" s="4" t="str">
        <f t="shared" si="13"/>
        <v>-</v>
      </c>
      <c r="D510" s="4" t="str">
        <f>"18665195"</f>
        <v>18665195</v>
      </c>
      <c r="E510" s="4" t="str">
        <f>"-"</f>
        <v>-</v>
      </c>
      <c r="F510" s="4" t="s">
        <v>204</v>
      </c>
    </row>
    <row r="511" spans="1:6" x14ac:dyDescent="0.25">
      <c r="A511" s="4" t="s">
        <v>205</v>
      </c>
      <c r="B511" s="4" t="s">
        <v>6</v>
      </c>
      <c r="D511" s="4" t="s">
        <v>206</v>
      </c>
      <c r="F511" s="4" t="s">
        <v>207</v>
      </c>
    </row>
    <row r="512" spans="1:6" x14ac:dyDescent="0.25">
      <c r="A512" s="4" t="str">
        <f>"Bridge Construction"</f>
        <v>Bridge Construction</v>
      </c>
      <c r="B512" s="4" t="s">
        <v>6</v>
      </c>
      <c r="C512" s="4" t="str">
        <f t="shared" ref="C512:C520" si="14">"-"</f>
        <v>-</v>
      </c>
      <c r="D512" s="4" t="str">
        <f>"10034722"</f>
        <v>10034722</v>
      </c>
      <c r="E512" s="4" t="str">
        <f>"-"</f>
        <v>-</v>
      </c>
      <c r="F512" s="4" t="s">
        <v>208</v>
      </c>
    </row>
    <row r="513" spans="1:6" x14ac:dyDescent="0.25">
      <c r="A513" s="4" t="str">
        <f>"Bridge Structures"</f>
        <v>Bridge Structures</v>
      </c>
      <c r="B513" s="4" t="s">
        <v>6</v>
      </c>
      <c r="C513" s="4" t="str">
        <f t="shared" si="14"/>
        <v>-</v>
      </c>
      <c r="D513" s="4" t="str">
        <f>"15732487"</f>
        <v>15732487</v>
      </c>
      <c r="E513" s="4" t="str">
        <f>"17448999"</f>
        <v>17448999</v>
      </c>
      <c r="F513" s="4" t="s">
        <v>103</v>
      </c>
    </row>
    <row r="514" spans="1:6" x14ac:dyDescent="0.25">
      <c r="A514" s="4" t="str">
        <f>"British Journal of Educational Technology"</f>
        <v>British Journal of Educational Technology</v>
      </c>
      <c r="B514" s="4" t="s">
        <v>6</v>
      </c>
      <c r="C514" s="4" t="str">
        <f t="shared" si="14"/>
        <v>-</v>
      </c>
      <c r="D514" s="4" t="str">
        <f>"00071013"</f>
        <v>00071013</v>
      </c>
      <c r="E514" s="4" t="str">
        <f>"14678535"</f>
        <v>14678535</v>
      </c>
      <c r="F514" s="4" t="s">
        <v>209</v>
      </c>
    </row>
    <row r="515" spans="1:6" x14ac:dyDescent="0.25">
      <c r="A515" s="4" t="str">
        <f>"Bubble Science, Engineering and Technology"</f>
        <v>Bubble Science, Engineering and Technology</v>
      </c>
      <c r="B515" s="4" t="s">
        <v>6</v>
      </c>
      <c r="C515" s="4" t="str">
        <f t="shared" si="14"/>
        <v>-</v>
      </c>
      <c r="D515" s="4" t="str">
        <f>"17588960"</f>
        <v>17588960</v>
      </c>
      <c r="E515" s="4" t="str">
        <f>"17588979"</f>
        <v>17588979</v>
      </c>
      <c r="F515" s="4" t="s">
        <v>70</v>
      </c>
    </row>
    <row r="516" spans="1:6" x14ac:dyDescent="0.25">
      <c r="A516" s="4" t="str">
        <f>"Building Acoustics"</f>
        <v>Building Acoustics</v>
      </c>
      <c r="B516" s="4" t="s">
        <v>6</v>
      </c>
      <c r="C516" s="4" t="str">
        <f t="shared" si="14"/>
        <v>-</v>
      </c>
      <c r="D516" s="4" t="str">
        <f>"1351010X"</f>
        <v>1351010X</v>
      </c>
      <c r="E516" s="4" t="str">
        <f>"-"</f>
        <v>-</v>
      </c>
      <c r="F516" s="4" t="s">
        <v>58</v>
      </c>
    </row>
    <row r="517" spans="1:6" x14ac:dyDescent="0.25">
      <c r="A517" s="4" t="str">
        <f>"Building and Environment"</f>
        <v>Building and Environment</v>
      </c>
      <c r="B517" s="4" t="s">
        <v>6</v>
      </c>
      <c r="C517" s="4" t="str">
        <f t="shared" si="14"/>
        <v>-</v>
      </c>
      <c r="D517" s="4" t="str">
        <f>"03601323"</f>
        <v>03601323</v>
      </c>
      <c r="E517" s="4" t="str">
        <f>"-"</f>
        <v>-</v>
      </c>
      <c r="F517" s="4" t="s">
        <v>19</v>
      </c>
    </row>
    <row r="518" spans="1:6" x14ac:dyDescent="0.25">
      <c r="A518" s="4" t="str">
        <f>"Building Engineer"</f>
        <v>Building Engineer</v>
      </c>
      <c r="B518" s="4" t="s">
        <v>6</v>
      </c>
      <c r="C518" s="4" t="str">
        <f t="shared" si="14"/>
        <v>-</v>
      </c>
      <c r="D518" s="4" t="str">
        <f>"09698213"</f>
        <v>09698213</v>
      </c>
      <c r="E518" s="4" t="str">
        <f>"-"</f>
        <v>-</v>
      </c>
      <c r="F518" s="4" t="s">
        <v>210</v>
      </c>
    </row>
    <row r="519" spans="1:6" x14ac:dyDescent="0.25">
      <c r="A519" s="4" t="str">
        <f>"Building Research and Information"</f>
        <v>Building Research and Information</v>
      </c>
      <c r="B519" s="4" t="s">
        <v>6</v>
      </c>
      <c r="C519" s="4" t="str">
        <f t="shared" si="14"/>
        <v>-</v>
      </c>
      <c r="D519" s="4" t="str">
        <f>"09613218"</f>
        <v>09613218</v>
      </c>
      <c r="E519" s="4" t="str">
        <f>"14664321"</f>
        <v>14664321</v>
      </c>
      <c r="F519" s="4" t="s">
        <v>211</v>
      </c>
    </row>
    <row r="520" spans="1:6" x14ac:dyDescent="0.25">
      <c r="A520" s="4" t="str">
        <f>"Building Services Engineering Research and Technology"</f>
        <v>Building Services Engineering Research and Technology</v>
      </c>
      <c r="B520" s="4" t="s">
        <v>6</v>
      </c>
      <c r="C520" s="4" t="str">
        <f t="shared" si="14"/>
        <v>-</v>
      </c>
      <c r="D520" s="4" t="str">
        <f>"01436244"</f>
        <v>01436244</v>
      </c>
      <c r="E520" s="4" t="str">
        <f>"14770849"</f>
        <v>14770849</v>
      </c>
      <c r="F520" s="4" t="s">
        <v>212</v>
      </c>
    </row>
    <row r="521" spans="1:6" x14ac:dyDescent="0.25">
      <c r="A521" s="4" t="s">
        <v>213</v>
      </c>
      <c r="B521" s="4" t="s">
        <v>6</v>
      </c>
      <c r="D521" s="4" t="s">
        <v>214</v>
      </c>
      <c r="E521" s="4" t="s">
        <v>215</v>
      </c>
      <c r="F521" s="4" t="s">
        <v>216</v>
      </c>
    </row>
    <row r="522" spans="1:6" x14ac:dyDescent="0.25">
      <c r="A522" s="4" t="str">
        <f>"Bulk Solids Handling"</f>
        <v>Bulk Solids Handling</v>
      </c>
      <c r="B522" s="4" t="s">
        <v>6</v>
      </c>
      <c r="C522" s="4" t="str">
        <f t="shared" ref="C522:C585" si="15">"-"</f>
        <v>-</v>
      </c>
      <c r="D522" s="4" t="str">
        <f>"01739980"</f>
        <v>01739980</v>
      </c>
      <c r="E522" s="4" t="str">
        <f>"-"</f>
        <v>-</v>
      </c>
      <c r="F522" s="4" t="s">
        <v>217</v>
      </c>
    </row>
    <row r="523" spans="1:6" x14ac:dyDescent="0.25">
      <c r="A523" s="4" t="str">
        <f>"Bulletin de la Societe Royale des Sciences de Liege"</f>
        <v>Bulletin de la Societe Royale des Sciences de Liege</v>
      </c>
      <c r="B523" s="4" t="s">
        <v>6</v>
      </c>
      <c r="C523" s="4" t="str">
        <f t="shared" si="15"/>
        <v>-</v>
      </c>
      <c r="D523" s="4" t="str">
        <f>"-"</f>
        <v>-</v>
      </c>
      <c r="E523" s="4" t="str">
        <f>"17835720"</f>
        <v>17835720</v>
      </c>
      <c r="F523" s="4" t="s">
        <v>218</v>
      </c>
    </row>
    <row r="524" spans="1:6" x14ac:dyDescent="0.25">
      <c r="A524" s="4" t="str">
        <f>"Bulletin des Laboratoires des Ponts et Chaussees"</f>
        <v>Bulletin des Laboratoires des Ponts et Chaussees</v>
      </c>
      <c r="B524" s="4" t="s">
        <v>6</v>
      </c>
      <c r="C524" s="4" t="str">
        <f t="shared" si="15"/>
        <v>-</v>
      </c>
      <c r="D524" s="4" t="str">
        <f>"12691496"</f>
        <v>12691496</v>
      </c>
      <c r="E524" s="4" t="str">
        <f>"-"</f>
        <v>-</v>
      </c>
      <c r="F524" s="4" t="s">
        <v>219</v>
      </c>
    </row>
    <row r="525" spans="1:6" x14ac:dyDescent="0.25">
      <c r="A525" s="4" t="str">
        <f>"Bulletin fuer Angewandte Geologie"</f>
        <v>Bulletin fuer Angewandte Geologie</v>
      </c>
      <c r="B525" s="4" t="s">
        <v>6</v>
      </c>
      <c r="C525" s="4" t="str">
        <f t="shared" si="15"/>
        <v>-</v>
      </c>
      <c r="D525" s="4" t="str">
        <f>"14206846"</f>
        <v>14206846</v>
      </c>
      <c r="E525" s="4" t="str">
        <f>"-"</f>
        <v>-</v>
      </c>
      <c r="F525" s="4" t="s">
        <v>220</v>
      </c>
    </row>
    <row r="526" spans="1:6" x14ac:dyDescent="0.25">
      <c r="A526" s="4" t="str">
        <f>"Bulletin of Canadian Petroleum Geology"</f>
        <v>Bulletin of Canadian Petroleum Geology</v>
      </c>
      <c r="B526" s="4" t="s">
        <v>6</v>
      </c>
      <c r="C526" s="4" t="str">
        <f t="shared" si="15"/>
        <v>-</v>
      </c>
      <c r="D526" s="4" t="str">
        <f>"00074802"</f>
        <v>00074802</v>
      </c>
      <c r="E526" s="4" t="str">
        <f>"-"</f>
        <v>-</v>
      </c>
      <c r="F526" s="4" t="s">
        <v>221</v>
      </c>
    </row>
    <row r="527" spans="1:6" x14ac:dyDescent="0.25">
      <c r="A527" s="4" t="str">
        <f>"Bulletin of Chemical Reaction Engineering and Catalysis"</f>
        <v>Bulletin of Chemical Reaction Engineering and Catalysis</v>
      </c>
      <c r="B527" s="4" t="s">
        <v>6</v>
      </c>
      <c r="C527" s="4" t="str">
        <f t="shared" si="15"/>
        <v>-</v>
      </c>
      <c r="D527" s="4" t="str">
        <f>"19782993"</f>
        <v>19782993</v>
      </c>
      <c r="E527" s="4" t="str">
        <f>"-"</f>
        <v>-</v>
      </c>
      <c r="F527" s="4" t="s">
        <v>222</v>
      </c>
    </row>
    <row r="528" spans="1:6" x14ac:dyDescent="0.25">
      <c r="A528" s="4" t="str">
        <f>"Bulletin of Earthquake Engineering"</f>
        <v>Bulletin of Earthquake Engineering</v>
      </c>
      <c r="B528" s="4" t="s">
        <v>6</v>
      </c>
      <c r="C528" s="4" t="str">
        <f t="shared" si="15"/>
        <v>-</v>
      </c>
      <c r="D528" s="4" t="str">
        <f>"1570761X"</f>
        <v>1570761X</v>
      </c>
      <c r="E528" s="4" t="str">
        <f>"15731456"</f>
        <v>15731456</v>
      </c>
      <c r="F528" s="4" t="s">
        <v>31</v>
      </c>
    </row>
    <row r="529" spans="1:6" x14ac:dyDescent="0.25">
      <c r="A529" s="4" t="str">
        <f>"Bulletin of Engineering Geology and the Environment"</f>
        <v>Bulletin of Engineering Geology and the Environment</v>
      </c>
      <c r="B529" s="4" t="s">
        <v>6</v>
      </c>
      <c r="C529" s="4" t="str">
        <f t="shared" si="15"/>
        <v>-</v>
      </c>
      <c r="D529" s="4" t="str">
        <f>"14359529"</f>
        <v>14359529</v>
      </c>
      <c r="E529" s="4" t="str">
        <f>"-"</f>
        <v>-</v>
      </c>
      <c r="F529" s="4" t="s">
        <v>42</v>
      </c>
    </row>
    <row r="530" spans="1:6" x14ac:dyDescent="0.25">
      <c r="A530" s="4" t="str">
        <f>"Bulletin of Environmental Contamination and Toxicology"</f>
        <v>Bulletin of Environmental Contamination and Toxicology</v>
      </c>
      <c r="B530" s="4" t="s">
        <v>6</v>
      </c>
      <c r="C530" s="4" t="str">
        <f t="shared" si="15"/>
        <v>-</v>
      </c>
      <c r="D530" s="4" t="str">
        <f>"00074861"</f>
        <v>00074861</v>
      </c>
      <c r="E530" s="4" t="str">
        <f>"14320800"</f>
        <v>14320800</v>
      </c>
      <c r="F530" s="4" t="s">
        <v>57</v>
      </c>
    </row>
    <row r="531" spans="1:6" x14ac:dyDescent="0.25">
      <c r="A531" s="4" t="str">
        <f>"Bulletin of Japan Association for Fire Science and Engineering"</f>
        <v>Bulletin of Japan Association for Fire Science and Engineering</v>
      </c>
      <c r="B531" s="4" t="s">
        <v>6</v>
      </c>
      <c r="C531" s="4" t="str">
        <f t="shared" si="15"/>
        <v>-</v>
      </c>
      <c r="D531" s="4" t="str">
        <f>"05460794"</f>
        <v>05460794</v>
      </c>
      <c r="E531" s="4" t="str">
        <f>"18835600"</f>
        <v>18835600</v>
      </c>
      <c r="F531" s="4" t="s">
        <v>223</v>
      </c>
    </row>
    <row r="532" spans="1:6" x14ac:dyDescent="0.25">
      <c r="A532" s="4" t="str">
        <f>"Bulletin of Materials Science"</f>
        <v>Bulletin of Materials Science</v>
      </c>
      <c r="B532" s="4" t="s">
        <v>6</v>
      </c>
      <c r="C532" s="4" t="str">
        <f t="shared" si="15"/>
        <v>-</v>
      </c>
      <c r="D532" s="4" t="str">
        <f>"02504707"</f>
        <v>02504707</v>
      </c>
      <c r="E532" s="4" t="str">
        <f>"-"</f>
        <v>-</v>
      </c>
      <c r="F532" s="4" t="s">
        <v>224</v>
      </c>
    </row>
    <row r="533" spans="1:6" x14ac:dyDescent="0.25">
      <c r="A533" s="4" t="str">
        <f>"Bulletin of the American Meteorological Society"</f>
        <v>Bulletin of the American Meteorological Society</v>
      </c>
      <c r="B533" s="4" t="s">
        <v>6</v>
      </c>
      <c r="C533" s="4" t="str">
        <f t="shared" si="15"/>
        <v>-</v>
      </c>
      <c r="D533" s="4" t="str">
        <f>"00030007"</f>
        <v>00030007</v>
      </c>
      <c r="E533" s="4" t="str">
        <f>"-"</f>
        <v>-</v>
      </c>
      <c r="F533" s="4" t="s">
        <v>225</v>
      </c>
    </row>
    <row r="534" spans="1:6" x14ac:dyDescent="0.25">
      <c r="A534" s="4" t="str">
        <f>"Bulletin of the Chemical Society of Japan"</f>
        <v>Bulletin of the Chemical Society of Japan</v>
      </c>
      <c r="B534" s="4" t="s">
        <v>6</v>
      </c>
      <c r="C534" s="4" t="str">
        <f t="shared" si="15"/>
        <v>-</v>
      </c>
      <c r="D534" s="4" t="str">
        <f>"00092673"</f>
        <v>00092673</v>
      </c>
      <c r="E534" s="4" t="str">
        <f>"13480634"</f>
        <v>13480634</v>
      </c>
      <c r="F534" s="4" t="s">
        <v>226</v>
      </c>
    </row>
    <row r="535" spans="1:6" x14ac:dyDescent="0.25">
      <c r="A535" s="4" t="str">
        <f>"Bulletin of the European Association for Theoretical Computer Science"</f>
        <v>Bulletin of the European Association for Theoretical Computer Science</v>
      </c>
      <c r="B535" s="4" t="s">
        <v>6</v>
      </c>
      <c r="C535" s="4" t="str">
        <f t="shared" si="15"/>
        <v>-</v>
      </c>
      <c r="D535" s="4" t="str">
        <f>"02529742"</f>
        <v>02529742</v>
      </c>
      <c r="E535" s="4" t="str">
        <f>"-"</f>
        <v>-</v>
      </c>
      <c r="F535" s="4" t="s">
        <v>227</v>
      </c>
    </row>
    <row r="536" spans="1:6" x14ac:dyDescent="0.25">
      <c r="A536" s="4" t="str">
        <f>"Bulletin of the Geological Society of America"</f>
        <v>Bulletin of the Geological Society of America</v>
      </c>
      <c r="B536" s="4" t="s">
        <v>6</v>
      </c>
      <c r="C536" s="4" t="str">
        <f t="shared" si="15"/>
        <v>-</v>
      </c>
      <c r="D536" s="4" t="str">
        <f>"00167606"</f>
        <v>00167606</v>
      </c>
      <c r="E536" s="4" t="str">
        <f>"19432674"</f>
        <v>19432674</v>
      </c>
      <c r="F536" s="4" t="s">
        <v>228</v>
      </c>
    </row>
    <row r="537" spans="1:6" x14ac:dyDescent="0.25">
      <c r="A537" s="4" t="str">
        <f>"Bulletin of the International Dairy Federation"</f>
        <v>Bulletin of the International Dairy Federation</v>
      </c>
      <c r="B537" s="4" t="s">
        <v>8</v>
      </c>
      <c r="C537" s="4" t="str">
        <f t="shared" si="15"/>
        <v>-</v>
      </c>
      <c r="D537" s="4" t="str">
        <f>"02598434"</f>
        <v>02598434</v>
      </c>
      <c r="E537" s="4" t="str">
        <f>"-"</f>
        <v>-</v>
      </c>
      <c r="F537" s="4" t="s">
        <v>229</v>
      </c>
    </row>
    <row r="538" spans="1:6" x14ac:dyDescent="0.25">
      <c r="A538" s="4" t="str">
        <f>"Bulletin of the Korean Chemical Society"</f>
        <v>Bulletin of the Korean Chemical Society</v>
      </c>
      <c r="B538" s="4" t="s">
        <v>6</v>
      </c>
      <c r="C538" s="4" t="str">
        <f t="shared" si="15"/>
        <v>-</v>
      </c>
      <c r="D538" s="4" t="str">
        <f>"02532964"</f>
        <v>02532964</v>
      </c>
      <c r="E538" s="4" t="str">
        <f>"12295949"</f>
        <v>12295949</v>
      </c>
      <c r="F538" s="4" t="s">
        <v>230</v>
      </c>
    </row>
    <row r="539" spans="1:6" x14ac:dyDescent="0.25">
      <c r="A539" s="4" t="str">
        <f>"Bulletin of the Kyushu Institute of Technology - Pure and Applied Mathematics"</f>
        <v>Bulletin of the Kyushu Institute of Technology - Pure and Applied Mathematics</v>
      </c>
      <c r="B539" s="4" t="s">
        <v>6</v>
      </c>
      <c r="C539" s="4" t="str">
        <f t="shared" si="15"/>
        <v>-</v>
      </c>
      <c r="D539" s="4" t="str">
        <f>"13438670"</f>
        <v>13438670</v>
      </c>
      <c r="E539" s="4" t="str">
        <f>"-"</f>
        <v>-</v>
      </c>
      <c r="F539" s="4" t="s">
        <v>231</v>
      </c>
    </row>
    <row r="540" spans="1:6" x14ac:dyDescent="0.25">
      <c r="A540" s="4" t="str">
        <f>"Bulletin of the New Zealand Society for Earthquake Engineering"</f>
        <v>Bulletin of the New Zealand Society for Earthquake Engineering</v>
      </c>
      <c r="B540" s="4" t="s">
        <v>6</v>
      </c>
      <c r="C540" s="4" t="str">
        <f t="shared" si="15"/>
        <v>-</v>
      </c>
      <c r="D540" s="4" t="str">
        <f>"11749857"</f>
        <v>11749857</v>
      </c>
      <c r="E540" s="4" t="str">
        <f>"-"</f>
        <v>-</v>
      </c>
      <c r="F540" s="4" t="s">
        <v>232</v>
      </c>
    </row>
    <row r="541" spans="1:6" x14ac:dyDescent="0.25">
      <c r="A541" s="4" t="str">
        <f>"Bulletin of the Polish Academy of Sciences: Technical Sciences"</f>
        <v>Bulletin of the Polish Academy of Sciences: Technical Sciences</v>
      </c>
      <c r="B541" s="4" t="s">
        <v>6</v>
      </c>
      <c r="C541" s="4" t="str">
        <f t="shared" si="15"/>
        <v>-</v>
      </c>
      <c r="D541" s="4" t="str">
        <f>"02397528"</f>
        <v>02397528</v>
      </c>
      <c r="E541" s="4" t="str">
        <f>"-"</f>
        <v>-</v>
      </c>
      <c r="F541" s="4" t="s">
        <v>149</v>
      </c>
    </row>
    <row r="542" spans="1:6" x14ac:dyDescent="0.25">
      <c r="A542" s="4" t="str">
        <f>"Bulletin of the Russian Academy of Sciences: Physics"</f>
        <v>Bulletin of the Russian Academy of Sciences: Physics</v>
      </c>
      <c r="B542" s="4" t="s">
        <v>6</v>
      </c>
      <c r="C542" s="4" t="str">
        <f t="shared" si="15"/>
        <v>-</v>
      </c>
      <c r="D542" s="4" t="str">
        <f>"10628738"</f>
        <v>10628738</v>
      </c>
      <c r="E542" s="4" t="str">
        <f>"-"</f>
        <v>-</v>
      </c>
      <c r="F542" s="4" t="s">
        <v>145</v>
      </c>
    </row>
    <row r="543" spans="1:6" x14ac:dyDescent="0.25">
      <c r="A543" s="4" t="str">
        <f>"Bulletin of the Seismological Society of America"</f>
        <v>Bulletin of the Seismological Society of America</v>
      </c>
      <c r="B543" s="4" t="s">
        <v>6</v>
      </c>
      <c r="C543" s="4" t="str">
        <f t="shared" si="15"/>
        <v>-</v>
      </c>
      <c r="D543" s="4" t="str">
        <f>"00371106"</f>
        <v>00371106</v>
      </c>
      <c r="E543" s="4" t="str">
        <f>"19433573"</f>
        <v>19433573</v>
      </c>
      <c r="F543" s="4" t="s">
        <v>233</v>
      </c>
    </row>
    <row r="544" spans="1:6" x14ac:dyDescent="0.25">
      <c r="A544" s="4" t="str">
        <f>"Bulletin of the Technical Committee on Learning Technology"</f>
        <v>Bulletin of the Technical Committee on Learning Technology</v>
      </c>
      <c r="B544" s="4" t="s">
        <v>22</v>
      </c>
      <c r="C544" s="4" t="str">
        <f t="shared" si="15"/>
        <v>-</v>
      </c>
      <c r="D544" s="4" t="str">
        <f>"23060212"</f>
        <v>23060212</v>
      </c>
      <c r="E544" s="4" t="str">
        <f t="shared" ref="E544:E551" si="16">"-"</f>
        <v>-</v>
      </c>
      <c r="F544" s="4" t="s">
        <v>9</v>
      </c>
    </row>
    <row r="545" spans="1:6" x14ac:dyDescent="0.25">
      <c r="A545" s="4" t="str">
        <f>"C e Ca"</f>
        <v>C e Ca</v>
      </c>
      <c r="B545" s="4" t="s">
        <v>6</v>
      </c>
      <c r="C545" s="4" t="str">
        <f t="shared" si="15"/>
        <v>-</v>
      </c>
      <c r="D545" s="4" t="str">
        <f>"00456152"</f>
        <v>00456152</v>
      </c>
      <c r="E545" s="4" t="str">
        <f t="shared" si="16"/>
        <v>-</v>
      </c>
      <c r="F545" s="4" t="s">
        <v>234</v>
      </c>
    </row>
    <row r="546" spans="1:6" x14ac:dyDescent="0.25">
      <c r="A546" s="4" t="str">
        <f>"CAD Computer Aided Design"</f>
        <v>CAD Computer Aided Design</v>
      </c>
      <c r="B546" s="4" t="s">
        <v>6</v>
      </c>
      <c r="C546" s="4" t="str">
        <f t="shared" si="15"/>
        <v>-</v>
      </c>
      <c r="D546" s="4" t="str">
        <f>"00104485"</f>
        <v>00104485</v>
      </c>
      <c r="E546" s="4" t="str">
        <f t="shared" si="16"/>
        <v>-</v>
      </c>
      <c r="F546" s="4" t="s">
        <v>19</v>
      </c>
    </row>
    <row r="547" spans="1:6" x14ac:dyDescent="0.25">
      <c r="A547" s="4" t="str">
        <f>"Caikuang yu Anquan Gongcheng Xuebao/Journal of Mining and Safety Engineering"</f>
        <v>Caikuang yu Anquan Gongcheng Xuebao/Journal of Mining and Safety Engineering</v>
      </c>
      <c r="B547" s="4" t="s">
        <v>6</v>
      </c>
      <c r="C547" s="4" t="str">
        <f t="shared" si="15"/>
        <v>-</v>
      </c>
      <c r="D547" s="4" t="str">
        <f>"16733363"</f>
        <v>16733363</v>
      </c>
      <c r="E547" s="4" t="str">
        <f t="shared" si="16"/>
        <v>-</v>
      </c>
      <c r="F547" s="4" t="s">
        <v>235</v>
      </c>
    </row>
    <row r="548" spans="1:6" x14ac:dyDescent="0.25">
      <c r="A548" s="4" t="str">
        <f>"Cailiao Gongcheng/Journal of Materials Engineering"</f>
        <v>Cailiao Gongcheng/Journal of Materials Engineering</v>
      </c>
      <c r="B548" s="4" t="s">
        <v>6</v>
      </c>
      <c r="C548" s="4" t="str">
        <f t="shared" si="15"/>
        <v>-</v>
      </c>
      <c r="D548" s="4" t="str">
        <f>"10014381"</f>
        <v>10014381</v>
      </c>
      <c r="E548" s="4" t="str">
        <f t="shared" si="16"/>
        <v>-</v>
      </c>
      <c r="F548" s="4" t="s">
        <v>236</v>
      </c>
    </row>
    <row r="549" spans="1:6" x14ac:dyDescent="0.25">
      <c r="A549" s="4" t="str">
        <f>"Cailiao Yanjiu Xuebao/Chinese Journal of Materials Research"</f>
        <v>Cailiao Yanjiu Xuebao/Chinese Journal of Materials Research</v>
      </c>
      <c r="B549" s="4" t="s">
        <v>6</v>
      </c>
      <c r="C549" s="4" t="str">
        <f t="shared" si="15"/>
        <v>-</v>
      </c>
      <c r="D549" s="4" t="str">
        <f>"10053093"</f>
        <v>10053093</v>
      </c>
      <c r="E549" s="4" t="str">
        <f t="shared" si="16"/>
        <v>-</v>
      </c>
      <c r="F549" s="4" t="s">
        <v>237</v>
      </c>
    </row>
    <row r="550" spans="1:6" x14ac:dyDescent="0.25">
      <c r="A550" s="4" t="str">
        <f>"Calphad: Computer Coupling of Phase Diagrams and Thermochemistry"</f>
        <v>Calphad: Computer Coupling of Phase Diagrams and Thermochemistry</v>
      </c>
      <c r="B550" s="4" t="s">
        <v>6</v>
      </c>
      <c r="C550" s="4" t="str">
        <f t="shared" si="15"/>
        <v>-</v>
      </c>
      <c r="D550" s="4" t="str">
        <f>"03645916"</f>
        <v>03645916</v>
      </c>
      <c r="E550" s="4" t="str">
        <f t="shared" si="16"/>
        <v>-</v>
      </c>
      <c r="F550" s="4" t="s">
        <v>19</v>
      </c>
    </row>
    <row r="551" spans="1:6" x14ac:dyDescent="0.25">
      <c r="A551" s="4" t="str">
        <f>"Canadian Acoustics - Acoustique Canadienne"</f>
        <v>Canadian Acoustics - Acoustique Canadienne</v>
      </c>
      <c r="B551" s="4" t="s">
        <v>6</v>
      </c>
      <c r="C551" s="4" t="str">
        <f t="shared" si="15"/>
        <v>-</v>
      </c>
      <c r="D551" s="4" t="str">
        <f>"07116659"</f>
        <v>07116659</v>
      </c>
      <c r="E551" s="4" t="str">
        <f t="shared" si="16"/>
        <v>-</v>
      </c>
      <c r="F551" s="4" t="s">
        <v>238</v>
      </c>
    </row>
    <row r="552" spans="1:6" x14ac:dyDescent="0.25">
      <c r="A552" s="4" t="str">
        <f>"Canadian Aeronautics and Space Journal"</f>
        <v>Canadian Aeronautics and Space Journal</v>
      </c>
      <c r="B552" s="4" t="s">
        <v>6</v>
      </c>
      <c r="C552" s="4" t="str">
        <f t="shared" si="15"/>
        <v>-</v>
      </c>
      <c r="D552" s="4" t="str">
        <f>"00082821"</f>
        <v>00082821</v>
      </c>
      <c r="E552" s="4" t="str">
        <f>"17128005"</f>
        <v>17128005</v>
      </c>
      <c r="F552" s="4" t="s">
        <v>239</v>
      </c>
    </row>
    <row r="553" spans="1:6" x14ac:dyDescent="0.25">
      <c r="A553" s="4" t="str">
        <f>"Canadian Biosystems Engineering / Le Genie des biosystems au Canada"</f>
        <v>Canadian Biosystems Engineering / Le Genie des biosystems au Canada</v>
      </c>
      <c r="B553" s="4" t="s">
        <v>6</v>
      </c>
      <c r="C553" s="4" t="str">
        <f t="shared" si="15"/>
        <v>-</v>
      </c>
      <c r="D553" s="4" t="str">
        <f>"14929058"</f>
        <v>14929058</v>
      </c>
      <c r="E553" s="4" t="str">
        <f>"-"</f>
        <v>-</v>
      </c>
      <c r="F553" s="4" t="s">
        <v>240</v>
      </c>
    </row>
    <row r="554" spans="1:6" x14ac:dyDescent="0.25">
      <c r="A554" s="4" t="str">
        <f>"Canadian Conference on Electrical and Computer Engineering"</f>
        <v>Canadian Conference on Electrical and Computer Engineering</v>
      </c>
      <c r="B554" s="4" t="s">
        <v>8</v>
      </c>
      <c r="C554" s="4" t="str">
        <f t="shared" si="15"/>
        <v>-</v>
      </c>
      <c r="D554" s="4" t="str">
        <f>"08407789"</f>
        <v>08407789</v>
      </c>
      <c r="E554" s="4" t="str">
        <f>"-"</f>
        <v>-</v>
      </c>
      <c r="F554" s="4" t="s">
        <v>105</v>
      </c>
    </row>
    <row r="555" spans="1:6" x14ac:dyDescent="0.25">
      <c r="A555" s="4" t="str">
        <f>"Canadian Geotechnical Journal"</f>
        <v>Canadian Geotechnical Journal</v>
      </c>
      <c r="B555" s="4" t="s">
        <v>6</v>
      </c>
      <c r="C555" s="4" t="str">
        <f t="shared" si="15"/>
        <v>-</v>
      </c>
      <c r="D555" s="4" t="str">
        <f>"00083674"</f>
        <v>00083674</v>
      </c>
      <c r="E555" s="4" t="str">
        <f>"12086010"</f>
        <v>12086010</v>
      </c>
      <c r="F555" s="4" t="s">
        <v>181</v>
      </c>
    </row>
    <row r="556" spans="1:6" x14ac:dyDescent="0.25">
      <c r="A556" s="4" t="str">
        <f>"Canadian Journal of Chemical Engineering"</f>
        <v>Canadian Journal of Chemical Engineering</v>
      </c>
      <c r="B556" s="4" t="s">
        <v>6</v>
      </c>
      <c r="C556" s="4" t="str">
        <f t="shared" si="15"/>
        <v>-</v>
      </c>
      <c r="D556" s="4" t="str">
        <f>"00084034"</f>
        <v>00084034</v>
      </c>
      <c r="E556" s="4" t="str">
        <f>"1939019X"</f>
        <v>1939019X</v>
      </c>
      <c r="F556" s="4" t="s">
        <v>241</v>
      </c>
    </row>
    <row r="557" spans="1:6" x14ac:dyDescent="0.25">
      <c r="A557" s="4" t="str">
        <f>"Canadian Journal of Chemistry"</f>
        <v>Canadian Journal of Chemistry</v>
      </c>
      <c r="B557" s="4" t="s">
        <v>6</v>
      </c>
      <c r="C557" s="4" t="str">
        <f t="shared" si="15"/>
        <v>-</v>
      </c>
      <c r="D557" s="4" t="str">
        <f>"00084042"</f>
        <v>00084042</v>
      </c>
      <c r="E557" s="4" t="str">
        <f>"-"</f>
        <v>-</v>
      </c>
      <c r="F557" s="4" t="s">
        <v>181</v>
      </c>
    </row>
    <row r="558" spans="1:6" x14ac:dyDescent="0.25">
      <c r="A558" s="4" t="str">
        <f>"Canadian Journal of Civil Engineering"</f>
        <v>Canadian Journal of Civil Engineering</v>
      </c>
      <c r="B558" s="4" t="s">
        <v>6</v>
      </c>
      <c r="C558" s="4" t="str">
        <f t="shared" si="15"/>
        <v>-</v>
      </c>
      <c r="D558" s="4" t="str">
        <f>"03151468"</f>
        <v>03151468</v>
      </c>
      <c r="E558" s="4" t="str">
        <f>"12086029"</f>
        <v>12086029</v>
      </c>
      <c r="F558" s="4" t="s">
        <v>181</v>
      </c>
    </row>
    <row r="559" spans="1:6" x14ac:dyDescent="0.25">
      <c r="A559" s="4" t="str">
        <f>"Canadian Journal of Earth Sciences"</f>
        <v>Canadian Journal of Earth Sciences</v>
      </c>
      <c r="B559" s="4" t="s">
        <v>6</v>
      </c>
      <c r="C559" s="4" t="str">
        <f t="shared" si="15"/>
        <v>-</v>
      </c>
      <c r="D559" s="4" t="str">
        <f>"00084077"</f>
        <v>00084077</v>
      </c>
      <c r="E559" s="4" t="str">
        <f>"14803313"</f>
        <v>14803313</v>
      </c>
      <c r="F559" s="4" t="s">
        <v>181</v>
      </c>
    </row>
    <row r="560" spans="1:6" x14ac:dyDescent="0.25">
      <c r="A560" s="4" t="str">
        <f>"Canadian Journal of Electrical and Computer Engineering"</f>
        <v>Canadian Journal of Electrical and Computer Engineering</v>
      </c>
      <c r="B560" s="4" t="s">
        <v>6</v>
      </c>
      <c r="C560" s="4" t="str">
        <f t="shared" si="15"/>
        <v>-</v>
      </c>
      <c r="D560" s="4" t="str">
        <f>"08408688"</f>
        <v>08408688</v>
      </c>
      <c r="E560" s="4" t="str">
        <f>"-"</f>
        <v>-</v>
      </c>
      <c r="F560" s="4" t="s">
        <v>242</v>
      </c>
    </row>
    <row r="561" spans="1:6" x14ac:dyDescent="0.25">
      <c r="A561" s="4" t="str">
        <f>"Canadian Journal of Forest Research"</f>
        <v>Canadian Journal of Forest Research</v>
      </c>
      <c r="B561" s="4" t="s">
        <v>6</v>
      </c>
      <c r="C561" s="4" t="str">
        <f t="shared" si="15"/>
        <v>-</v>
      </c>
      <c r="D561" s="4" t="str">
        <f>"00455067"</f>
        <v>00455067</v>
      </c>
      <c r="E561" s="4" t="str">
        <f>"12086037"</f>
        <v>12086037</v>
      </c>
      <c r="F561" s="4" t="s">
        <v>181</v>
      </c>
    </row>
    <row r="562" spans="1:6" x14ac:dyDescent="0.25">
      <c r="A562" s="4" t="str">
        <f>"Canadian Journal of Physics"</f>
        <v>Canadian Journal of Physics</v>
      </c>
      <c r="B562" s="4" t="s">
        <v>6</v>
      </c>
      <c r="C562" s="4" t="str">
        <f t="shared" si="15"/>
        <v>-</v>
      </c>
      <c r="D562" s="4" t="str">
        <f>"00084204"</f>
        <v>00084204</v>
      </c>
      <c r="E562" s="4" t="str">
        <f>"-"</f>
        <v>-</v>
      </c>
      <c r="F562" s="4" t="s">
        <v>181</v>
      </c>
    </row>
    <row r="563" spans="1:6" x14ac:dyDescent="0.25">
      <c r="A563" s="4" t="str">
        <f>"Canadian Journal of Remote Sensing"</f>
        <v>Canadian Journal of Remote Sensing</v>
      </c>
      <c r="B563" s="4" t="s">
        <v>6</v>
      </c>
      <c r="C563" s="4" t="str">
        <f t="shared" si="15"/>
        <v>-</v>
      </c>
      <c r="D563" s="4" t="str">
        <f>"07038992"</f>
        <v>07038992</v>
      </c>
      <c r="E563" s="4" t="str">
        <f>"17127971"</f>
        <v>17127971</v>
      </c>
      <c r="F563" s="4" t="s">
        <v>96</v>
      </c>
    </row>
    <row r="564" spans="1:6" x14ac:dyDescent="0.25">
      <c r="A564" s="4" t="str">
        <f>"Canadian Metallurgical Quarterly"</f>
        <v>Canadian Metallurgical Quarterly</v>
      </c>
      <c r="B564" s="4" t="s">
        <v>6</v>
      </c>
      <c r="C564" s="4" t="str">
        <f t="shared" si="15"/>
        <v>-</v>
      </c>
      <c r="D564" s="4" t="str">
        <f>"00084433"</f>
        <v>00084433</v>
      </c>
      <c r="E564" s="4" t="str">
        <f>"18791395"</f>
        <v>18791395</v>
      </c>
      <c r="F564" s="4" t="s">
        <v>70</v>
      </c>
    </row>
    <row r="565" spans="1:6" x14ac:dyDescent="0.25">
      <c r="A565" s="4" t="str">
        <f>"Canadian Mineralogist"</f>
        <v>Canadian Mineralogist</v>
      </c>
      <c r="B565" s="4" t="s">
        <v>6</v>
      </c>
      <c r="C565" s="4" t="str">
        <f t="shared" si="15"/>
        <v>-</v>
      </c>
      <c r="D565" s="4" t="str">
        <f>"00084476"</f>
        <v>00084476</v>
      </c>
      <c r="E565" s="4" t="str">
        <f>"-"</f>
        <v>-</v>
      </c>
      <c r="F565" s="4" t="s">
        <v>243</v>
      </c>
    </row>
    <row r="566" spans="1:6" x14ac:dyDescent="0.25">
      <c r="A566" s="4" t="str">
        <f>"Canadian Mining Journal"</f>
        <v>Canadian Mining Journal</v>
      </c>
      <c r="B566" s="4" t="s">
        <v>22</v>
      </c>
      <c r="C566" s="4" t="str">
        <f t="shared" si="15"/>
        <v>-</v>
      </c>
      <c r="D566" s="4" t="str">
        <f>"00084492"</f>
        <v>00084492</v>
      </c>
      <c r="E566" s="4" t="str">
        <f>"19233418"</f>
        <v>19233418</v>
      </c>
      <c r="F566" s="4" t="s">
        <v>244</v>
      </c>
    </row>
    <row r="567" spans="1:6" x14ac:dyDescent="0.25">
      <c r="A567" s="4" t="str">
        <f>"Canadian Printer"</f>
        <v>Canadian Printer</v>
      </c>
      <c r="B567" s="4" t="s">
        <v>22</v>
      </c>
      <c r="C567" s="4" t="str">
        <f t="shared" si="15"/>
        <v>-</v>
      </c>
      <c r="D567" s="4" t="str">
        <f>"08490767"</f>
        <v>08490767</v>
      </c>
      <c r="E567" s="4" t="str">
        <f>"-"</f>
        <v>-</v>
      </c>
      <c r="F567" s="4" t="s">
        <v>245</v>
      </c>
    </row>
    <row r="568" spans="1:6" x14ac:dyDescent="0.25">
      <c r="A568" s="4" t="str">
        <f>"Canadian Water Resources Journal"</f>
        <v>Canadian Water Resources Journal</v>
      </c>
      <c r="B568" s="4" t="s">
        <v>6</v>
      </c>
      <c r="C568" s="4" t="str">
        <f t="shared" si="15"/>
        <v>-</v>
      </c>
      <c r="D568" s="4" t="str">
        <f>"07011784"</f>
        <v>07011784</v>
      </c>
      <c r="E568" s="4" t="str">
        <f>"-"</f>
        <v>-</v>
      </c>
      <c r="F568" s="4" t="s">
        <v>60</v>
      </c>
    </row>
    <row r="569" spans="1:6" x14ac:dyDescent="0.25">
      <c r="A569" s="4" t="str">
        <f>"Carbohydrate Polymers"</f>
        <v>Carbohydrate Polymers</v>
      </c>
      <c r="B569" s="4" t="s">
        <v>6</v>
      </c>
      <c r="C569" s="4" t="str">
        <f t="shared" si="15"/>
        <v>-</v>
      </c>
      <c r="D569" s="4" t="str">
        <f>"01448617"</f>
        <v>01448617</v>
      </c>
      <c r="E569" s="4" t="str">
        <f>"-"</f>
        <v>-</v>
      </c>
      <c r="F569" s="4" t="s">
        <v>19</v>
      </c>
    </row>
    <row r="570" spans="1:6" x14ac:dyDescent="0.25">
      <c r="A570" s="4" t="str">
        <f>"Carbohydrate Research"</f>
        <v>Carbohydrate Research</v>
      </c>
      <c r="B570" s="4" t="s">
        <v>6</v>
      </c>
      <c r="C570" s="4" t="str">
        <f t="shared" si="15"/>
        <v>-</v>
      </c>
      <c r="D570" s="4" t="str">
        <f>"00086215"</f>
        <v>00086215</v>
      </c>
      <c r="E570" s="4" t="str">
        <f>"1873426X"</f>
        <v>1873426X</v>
      </c>
      <c r="F570" s="4" t="s">
        <v>19</v>
      </c>
    </row>
    <row r="571" spans="1:6" x14ac:dyDescent="0.25">
      <c r="A571" s="4" t="str">
        <f>"Carbon"</f>
        <v>Carbon</v>
      </c>
      <c r="B571" s="4" t="s">
        <v>6</v>
      </c>
      <c r="C571" s="4" t="str">
        <f t="shared" si="15"/>
        <v>-</v>
      </c>
      <c r="D571" s="4" t="str">
        <f>"00086223"</f>
        <v>00086223</v>
      </c>
      <c r="E571" s="4" t="str">
        <f>"-"</f>
        <v>-</v>
      </c>
      <c r="F571" s="4" t="s">
        <v>19</v>
      </c>
    </row>
    <row r="572" spans="1:6" x14ac:dyDescent="0.25">
      <c r="A572" s="4" t="str">
        <f>"Carbon Management"</f>
        <v>Carbon Management</v>
      </c>
      <c r="B572" s="4" t="s">
        <v>6</v>
      </c>
      <c r="C572" s="4" t="str">
        <f t="shared" si="15"/>
        <v>-</v>
      </c>
      <c r="D572" s="4" t="str">
        <f>"17583004"</f>
        <v>17583004</v>
      </c>
      <c r="E572" s="4" t="str">
        <f>"17583012"</f>
        <v>17583012</v>
      </c>
      <c r="F572" s="4" t="s">
        <v>60</v>
      </c>
    </row>
    <row r="573" spans="1:6" x14ac:dyDescent="0.25">
      <c r="A573" s="4" t="str">
        <f>"Cardiovascular Engineering and Technology"</f>
        <v>Cardiovascular Engineering and Technology</v>
      </c>
      <c r="B573" s="4" t="s">
        <v>6</v>
      </c>
      <c r="C573" s="4" t="str">
        <f t="shared" si="15"/>
        <v>-</v>
      </c>
      <c r="D573" s="4" t="str">
        <f>"1869408X"</f>
        <v>1869408X</v>
      </c>
      <c r="E573" s="4" t="str">
        <f>"18694098"</f>
        <v>18694098</v>
      </c>
      <c r="F573" s="4" t="s">
        <v>57</v>
      </c>
    </row>
    <row r="574" spans="1:6" x14ac:dyDescent="0.25">
      <c r="A574" s="4" t="str">
        <f>"Carpathian Journal of Food Science and Technology"</f>
        <v>Carpathian Journal of Food Science and Technology</v>
      </c>
      <c r="B574" s="4" t="s">
        <v>6</v>
      </c>
      <c r="C574" s="4" t="str">
        <f t="shared" si="15"/>
        <v>-</v>
      </c>
      <c r="D574" s="4" t="str">
        <f>"20666845"</f>
        <v>20666845</v>
      </c>
      <c r="E574" s="4" t="str">
        <f>"-"</f>
        <v>-</v>
      </c>
      <c r="F574" s="4" t="s">
        <v>246</v>
      </c>
    </row>
    <row r="575" spans="1:6" x14ac:dyDescent="0.25">
      <c r="A575" s="4" t="str">
        <f>"Carreteras"</f>
        <v>Carreteras</v>
      </c>
      <c r="B575" s="4" t="s">
        <v>6</v>
      </c>
      <c r="C575" s="4" t="str">
        <f t="shared" si="15"/>
        <v>-</v>
      </c>
      <c r="D575" s="4" t="str">
        <f>"02126389"</f>
        <v>02126389</v>
      </c>
      <c r="E575" s="4" t="str">
        <f>"-"</f>
        <v>-</v>
      </c>
      <c r="F575" s="4" t="s">
        <v>247</v>
      </c>
    </row>
    <row r="576" spans="1:6" x14ac:dyDescent="0.25">
      <c r="A576" s="4" t="str">
        <f>"Cartography and Geographic Information Science"</f>
        <v>Cartography and Geographic Information Science</v>
      </c>
      <c r="B576" s="4" t="s">
        <v>6</v>
      </c>
      <c r="C576" s="4" t="str">
        <f t="shared" si="15"/>
        <v>-</v>
      </c>
      <c r="D576" s="4" t="str">
        <f>"15230406"</f>
        <v>15230406</v>
      </c>
      <c r="E576" s="4" t="str">
        <f>"15450465"</f>
        <v>15450465</v>
      </c>
      <c r="F576" s="4" t="s">
        <v>96</v>
      </c>
    </row>
    <row r="577" spans="1:6" x14ac:dyDescent="0.25">
      <c r="A577" s="4" t="str">
        <f>"Cartonnages Emballages Modernes"</f>
        <v>Cartonnages Emballages Modernes</v>
      </c>
      <c r="B577" s="4" t="s">
        <v>22</v>
      </c>
      <c r="C577" s="4" t="str">
        <f t="shared" si="15"/>
        <v>-</v>
      </c>
      <c r="D577" s="4" t="str">
        <f>"02478390"</f>
        <v>02478390</v>
      </c>
      <c r="E577" s="4" t="str">
        <f>"-"</f>
        <v>-</v>
      </c>
      <c r="F577" s="4" t="s">
        <v>248</v>
      </c>
    </row>
    <row r="578" spans="1:6" x14ac:dyDescent="0.25">
      <c r="A578" s="4" t="str">
        <f>"Case Studies in Thermal Engineering"</f>
        <v>Case Studies in Thermal Engineering</v>
      </c>
      <c r="B578" s="4" t="s">
        <v>6</v>
      </c>
      <c r="C578" s="4" t="str">
        <f t="shared" si="15"/>
        <v>-</v>
      </c>
      <c r="D578" s="4" t="str">
        <f>"2214157X"</f>
        <v>2214157X</v>
      </c>
      <c r="E578" s="4" t="str">
        <f>"-"</f>
        <v>-</v>
      </c>
      <c r="F578" s="4" t="s">
        <v>19</v>
      </c>
    </row>
    <row r="579" spans="1:6" x14ac:dyDescent="0.25">
      <c r="A579" s="4" t="str">
        <f>"Catalysis Communications"</f>
        <v>Catalysis Communications</v>
      </c>
      <c r="B579" s="4" t="s">
        <v>6</v>
      </c>
      <c r="C579" s="4" t="str">
        <f t="shared" si="15"/>
        <v>-</v>
      </c>
      <c r="D579" s="4" t="str">
        <f>"15667367"</f>
        <v>15667367</v>
      </c>
      <c r="E579" s="4" t="str">
        <f>"-"</f>
        <v>-</v>
      </c>
      <c r="F579" s="4" t="s">
        <v>55</v>
      </c>
    </row>
    <row r="580" spans="1:6" x14ac:dyDescent="0.25">
      <c r="A580" s="4" t="str">
        <f>"Catalysis in Industry"</f>
        <v>Catalysis in Industry</v>
      </c>
      <c r="B580" s="4" t="s">
        <v>6</v>
      </c>
      <c r="C580" s="4" t="str">
        <f t="shared" si="15"/>
        <v>-</v>
      </c>
      <c r="D580" s="4" t="str">
        <f>"20700504"</f>
        <v>20700504</v>
      </c>
      <c r="E580" s="4" t="str">
        <f>"20700555"</f>
        <v>20700555</v>
      </c>
      <c r="F580" s="4" t="s">
        <v>171</v>
      </c>
    </row>
    <row r="581" spans="1:6" x14ac:dyDescent="0.25">
      <c r="A581" s="4" t="str">
        <f>"Catalysis Letters"</f>
        <v>Catalysis Letters</v>
      </c>
      <c r="B581" s="4" t="s">
        <v>6</v>
      </c>
      <c r="C581" s="4" t="str">
        <f t="shared" si="15"/>
        <v>-</v>
      </c>
      <c r="D581" s="4" t="str">
        <f>"1011372X"</f>
        <v>1011372X</v>
      </c>
      <c r="E581" s="4" t="str">
        <f>"1572879X"</f>
        <v>1572879X</v>
      </c>
      <c r="F581" s="4" t="s">
        <v>57</v>
      </c>
    </row>
    <row r="582" spans="1:6" x14ac:dyDescent="0.25">
      <c r="A582" s="4" t="str">
        <f>"Catalysis Reviews - Science and Engineering"</f>
        <v>Catalysis Reviews - Science and Engineering</v>
      </c>
      <c r="B582" s="4" t="s">
        <v>6</v>
      </c>
      <c r="C582" s="4" t="str">
        <f t="shared" si="15"/>
        <v>-</v>
      </c>
      <c r="D582" s="4" t="str">
        <f>"01614940"</f>
        <v>01614940</v>
      </c>
      <c r="E582" s="4" t="str">
        <f>"15205703"</f>
        <v>15205703</v>
      </c>
      <c r="F582" s="4" t="s">
        <v>96</v>
      </c>
    </row>
    <row r="583" spans="1:6" x14ac:dyDescent="0.25">
      <c r="A583" s="4" t="str">
        <f>"Catalysis Science and Technology"</f>
        <v>Catalysis Science and Technology</v>
      </c>
      <c r="B583" s="4" t="s">
        <v>6</v>
      </c>
      <c r="C583" s="4" t="str">
        <f t="shared" si="15"/>
        <v>-</v>
      </c>
      <c r="D583" s="4" t="str">
        <f>"20444753"</f>
        <v>20444753</v>
      </c>
      <c r="E583" s="4" t="str">
        <f>"20444761"</f>
        <v>20444761</v>
      </c>
      <c r="F583" s="4" t="s">
        <v>121</v>
      </c>
    </row>
    <row r="584" spans="1:6" x14ac:dyDescent="0.25">
      <c r="A584" s="4" t="str">
        <f>"Catalysis Today"</f>
        <v>Catalysis Today</v>
      </c>
      <c r="B584" s="4" t="s">
        <v>6</v>
      </c>
      <c r="C584" s="4" t="str">
        <f t="shared" si="15"/>
        <v>-</v>
      </c>
      <c r="D584" s="4" t="str">
        <f>"09205861"</f>
        <v>09205861</v>
      </c>
      <c r="E584" s="4" t="str">
        <f>"-"</f>
        <v>-</v>
      </c>
      <c r="F584" s="4" t="s">
        <v>55</v>
      </c>
    </row>
    <row r="585" spans="1:6" x14ac:dyDescent="0.25">
      <c r="A585" s="4" t="str">
        <f>"CBMS-NSF Regional Conference Series in Applied Mathematics"</f>
        <v>CBMS-NSF Regional Conference Series in Applied Mathematics</v>
      </c>
      <c r="B585" s="4" t="s">
        <v>8</v>
      </c>
      <c r="C585" s="4" t="str">
        <f t="shared" si="15"/>
        <v>-</v>
      </c>
      <c r="D585" s="4" t="str">
        <f>"-"</f>
        <v>-</v>
      </c>
      <c r="E585" s="4" t="str">
        <f>"-"</f>
        <v>-</v>
      </c>
      <c r="F585" s="4" t="s">
        <v>249</v>
      </c>
    </row>
    <row r="586" spans="1:6" x14ac:dyDescent="0.25">
      <c r="A586" s="4" t="str">
        <f>"CEAS Aeronautical Journal"</f>
        <v>CEAS Aeronautical Journal</v>
      </c>
      <c r="B586" s="4" t="s">
        <v>6</v>
      </c>
      <c r="C586" s="4" t="str">
        <f t="shared" ref="C586:C597" si="17">"-"</f>
        <v>-</v>
      </c>
      <c r="D586" s="4" t="str">
        <f>"18695582"</f>
        <v>18695582</v>
      </c>
      <c r="E586" s="4" t="str">
        <f>"18695590"</f>
        <v>18695590</v>
      </c>
      <c r="F586" s="4" t="s">
        <v>43</v>
      </c>
    </row>
    <row r="587" spans="1:6" x14ac:dyDescent="0.25">
      <c r="A587" s="4" t="str">
        <f>"CEAS Space Journal"</f>
        <v>CEAS Space Journal</v>
      </c>
      <c r="B587" s="4" t="s">
        <v>6</v>
      </c>
      <c r="C587" s="4" t="str">
        <f t="shared" si="17"/>
        <v>-</v>
      </c>
      <c r="D587" s="4" t="str">
        <f>"18682502"</f>
        <v>18682502</v>
      </c>
      <c r="E587" s="4" t="str">
        <f>"18682510"</f>
        <v>18682510</v>
      </c>
      <c r="F587" s="4" t="s">
        <v>43</v>
      </c>
    </row>
    <row r="588" spans="1:6" x14ac:dyDescent="0.25">
      <c r="A588" s="4" t="str">
        <f>"Cehui Xuebao/Acta Geodaetica et Cartographica Sinica"</f>
        <v>Cehui Xuebao/Acta Geodaetica et Cartographica Sinica</v>
      </c>
      <c r="B588" s="4" t="s">
        <v>6</v>
      </c>
      <c r="C588" s="4" t="str">
        <f t="shared" si="17"/>
        <v>-</v>
      </c>
      <c r="D588" s="4" t="str">
        <f>"10011595"</f>
        <v>10011595</v>
      </c>
      <c r="E588" s="4" t="str">
        <f>"-"</f>
        <v>-</v>
      </c>
      <c r="F588" s="4" t="s">
        <v>250</v>
      </c>
    </row>
    <row r="589" spans="1:6" x14ac:dyDescent="0.25">
      <c r="A589" s="4" t="str">
        <f>"Cellular Polymers"</f>
        <v>Cellular Polymers</v>
      </c>
      <c r="B589" s="4" t="s">
        <v>6</v>
      </c>
      <c r="C589" s="4" t="str">
        <f t="shared" si="17"/>
        <v>-</v>
      </c>
      <c r="D589" s="4" t="str">
        <f>"02624893"</f>
        <v>02624893</v>
      </c>
      <c r="E589" s="4" t="str">
        <f>"14782421"</f>
        <v>14782421</v>
      </c>
      <c r="F589" s="4" t="s">
        <v>251</v>
      </c>
    </row>
    <row r="590" spans="1:6" x14ac:dyDescent="0.25">
      <c r="A590" s="4" t="str">
        <f>"Cellulose"</f>
        <v>Cellulose</v>
      </c>
      <c r="B590" s="4" t="s">
        <v>6</v>
      </c>
      <c r="C590" s="4" t="str">
        <f t="shared" si="17"/>
        <v>-</v>
      </c>
      <c r="D590" s="4" t="str">
        <f>"09690239"</f>
        <v>09690239</v>
      </c>
      <c r="E590" s="4" t="str">
        <f>"1572882X"</f>
        <v>1572882X</v>
      </c>
      <c r="F590" s="4" t="s">
        <v>31</v>
      </c>
    </row>
    <row r="591" spans="1:6" x14ac:dyDescent="0.25">
      <c r="A591" s="4" t="str">
        <f>"Cellulose Chemistry and Technology"</f>
        <v>Cellulose Chemistry and Technology</v>
      </c>
      <c r="B591" s="4" t="s">
        <v>6</v>
      </c>
      <c r="C591" s="4" t="str">
        <f t="shared" si="17"/>
        <v>-</v>
      </c>
      <c r="D591" s="4" t="str">
        <f>"05769787"</f>
        <v>05769787</v>
      </c>
      <c r="E591" s="4" t="str">
        <f t="shared" ref="E591:E599" si="18">"-"</f>
        <v>-</v>
      </c>
      <c r="F591" s="4" t="s">
        <v>252</v>
      </c>
    </row>
    <row r="592" spans="1:6" x14ac:dyDescent="0.25">
      <c r="A592" s="4" t="str">
        <f>"Celulosa Y Papel"</f>
        <v>Celulosa Y Papel</v>
      </c>
      <c r="B592" s="4" t="s">
        <v>22</v>
      </c>
      <c r="C592" s="4" t="str">
        <f t="shared" si="17"/>
        <v>-</v>
      </c>
      <c r="D592" s="4" t="str">
        <f>"07162308"</f>
        <v>07162308</v>
      </c>
      <c r="E592" s="4" t="str">
        <f t="shared" si="18"/>
        <v>-</v>
      </c>
      <c r="F592" s="4" t="s">
        <v>253</v>
      </c>
    </row>
    <row r="593" spans="1:6" x14ac:dyDescent="0.25">
      <c r="A593" s="4" t="str">
        <f>"Cement and Concrete Composites"</f>
        <v>Cement and Concrete Composites</v>
      </c>
      <c r="B593" s="4" t="s">
        <v>6</v>
      </c>
      <c r="C593" s="4" t="str">
        <f t="shared" si="17"/>
        <v>-</v>
      </c>
      <c r="D593" s="4" t="str">
        <f>"09589465"</f>
        <v>09589465</v>
      </c>
      <c r="E593" s="4" t="str">
        <f t="shared" si="18"/>
        <v>-</v>
      </c>
      <c r="F593" s="4" t="s">
        <v>19</v>
      </c>
    </row>
    <row r="594" spans="1:6" x14ac:dyDescent="0.25">
      <c r="A594" s="4" t="str">
        <f>"Cement and Concrete Research"</f>
        <v>Cement and Concrete Research</v>
      </c>
      <c r="B594" s="4" t="s">
        <v>6</v>
      </c>
      <c r="C594" s="4" t="str">
        <f t="shared" si="17"/>
        <v>-</v>
      </c>
      <c r="D594" s="4" t="str">
        <f>"00088846"</f>
        <v>00088846</v>
      </c>
      <c r="E594" s="4" t="str">
        <f t="shared" si="18"/>
        <v>-</v>
      </c>
      <c r="F594" s="4" t="s">
        <v>19</v>
      </c>
    </row>
    <row r="595" spans="1:6" x14ac:dyDescent="0.25">
      <c r="A595" s="4" t="str">
        <f>"Cement International"</f>
        <v>Cement International</v>
      </c>
      <c r="B595" s="4" t="s">
        <v>6</v>
      </c>
      <c r="C595" s="4" t="str">
        <f t="shared" si="17"/>
        <v>-</v>
      </c>
      <c r="D595" s="4" t="str">
        <f>"16106199"</f>
        <v>16106199</v>
      </c>
      <c r="E595" s="4" t="str">
        <f t="shared" si="18"/>
        <v>-</v>
      </c>
      <c r="F595" s="4" t="s">
        <v>254</v>
      </c>
    </row>
    <row r="596" spans="1:6" ht="30" x14ac:dyDescent="0.25">
      <c r="A596" s="4" t="str">
        <f>"Center for Research and Technology Development, (Publication) CRTD, American Society of Mechanical Engineers"</f>
        <v>Center for Research and Technology Development, (Publication) CRTD, American Society of Mechanical Engineers</v>
      </c>
      <c r="B596" s="4" t="s">
        <v>8</v>
      </c>
      <c r="C596" s="4" t="str">
        <f t="shared" si="17"/>
        <v>-</v>
      </c>
      <c r="D596" s="4" t="str">
        <f>"-"</f>
        <v>-</v>
      </c>
      <c r="E596" s="4" t="str">
        <f t="shared" si="18"/>
        <v>-</v>
      </c>
      <c r="F596" s="4" t="s">
        <v>73</v>
      </c>
    </row>
    <row r="597" spans="1:6" x14ac:dyDescent="0.25">
      <c r="A597" s="4" t="str">
        <f>"Central European Journal of Energetic Materials"</f>
        <v>Central European Journal of Energetic Materials</v>
      </c>
      <c r="B597" s="4" t="s">
        <v>6</v>
      </c>
      <c r="C597" s="4" t="str">
        <f t="shared" si="17"/>
        <v>-</v>
      </c>
      <c r="D597" s="4" t="str">
        <f>"17337178"</f>
        <v>17337178</v>
      </c>
      <c r="E597" s="4" t="str">
        <f t="shared" si="18"/>
        <v>-</v>
      </c>
      <c r="F597" s="4" t="s">
        <v>255</v>
      </c>
    </row>
    <row r="598" spans="1:6" x14ac:dyDescent="0.25">
      <c r="A598" s="4" t="str">
        <f>"Ceramic Engineering and Science Proceedings"</f>
        <v>Ceramic Engineering and Science Proceedings</v>
      </c>
      <c r="B598" s="4" t="s">
        <v>8</v>
      </c>
      <c r="C598" s="4" t="str">
        <f>"9781119040439"</f>
        <v>9781119040439</v>
      </c>
      <c r="D598" s="4" t="str">
        <f>"01966219"</f>
        <v>01966219</v>
      </c>
      <c r="E598" s="4" t="str">
        <f t="shared" si="18"/>
        <v>-</v>
      </c>
      <c r="F598" s="4" t="s">
        <v>256</v>
      </c>
    </row>
    <row r="599" spans="1:6" x14ac:dyDescent="0.25">
      <c r="A599" s="4" t="str">
        <f>"Ceramic Transactions"</f>
        <v>Ceramic Transactions</v>
      </c>
      <c r="B599" s="4" t="s">
        <v>29</v>
      </c>
      <c r="C599" s="4" t="str">
        <f t="shared" ref="C599:C622" si="19">"-"</f>
        <v>-</v>
      </c>
      <c r="D599" s="4" t="str">
        <f>"10421122"</f>
        <v>10421122</v>
      </c>
      <c r="E599" s="4" t="str">
        <f t="shared" si="18"/>
        <v>-</v>
      </c>
      <c r="F599" s="4" t="s">
        <v>256</v>
      </c>
    </row>
    <row r="600" spans="1:6" x14ac:dyDescent="0.25">
      <c r="A600" s="4" t="str">
        <f>"Ceramics - Silikaty"</f>
        <v>Ceramics - Silikaty</v>
      </c>
      <c r="B600" s="4" t="s">
        <v>6</v>
      </c>
      <c r="C600" s="4" t="str">
        <f t="shared" si="19"/>
        <v>-</v>
      </c>
      <c r="D600" s="4" t="str">
        <f>"08625468"</f>
        <v>08625468</v>
      </c>
      <c r="E600" s="4" t="str">
        <f>"18045847"</f>
        <v>18045847</v>
      </c>
      <c r="F600" s="4" t="s">
        <v>257</v>
      </c>
    </row>
    <row r="601" spans="1:6" x14ac:dyDescent="0.25">
      <c r="A601" s="4" t="str">
        <f>"Ceramics International"</f>
        <v>Ceramics International</v>
      </c>
      <c r="B601" s="4" t="s">
        <v>6</v>
      </c>
      <c r="C601" s="4" t="str">
        <f t="shared" si="19"/>
        <v>-</v>
      </c>
      <c r="D601" s="4" t="str">
        <f>"02728842"</f>
        <v>02728842</v>
      </c>
      <c r="E601" s="4" t="str">
        <f t="shared" ref="E601:E606" si="20">"-"</f>
        <v>-</v>
      </c>
      <c r="F601" s="4" t="s">
        <v>19</v>
      </c>
    </row>
    <row r="602" spans="1:6" x14ac:dyDescent="0.25">
      <c r="A602" s="4" t="str">
        <f>"Cereal Foods World"</f>
        <v>Cereal Foods World</v>
      </c>
      <c r="B602" s="4" t="s">
        <v>6</v>
      </c>
      <c r="C602" s="4" t="str">
        <f t="shared" si="19"/>
        <v>-</v>
      </c>
      <c r="D602" s="4" t="str">
        <f>"01466283"</f>
        <v>01466283</v>
      </c>
      <c r="E602" s="4" t="str">
        <f t="shared" si="20"/>
        <v>-</v>
      </c>
      <c r="F602" s="4" t="s">
        <v>258</v>
      </c>
    </row>
    <row r="603" spans="1:6" x14ac:dyDescent="0.25">
      <c r="A603" s="4" t="str">
        <f>"Cerevisia"</f>
        <v>Cerevisia</v>
      </c>
      <c r="B603" s="4" t="s">
        <v>6</v>
      </c>
      <c r="C603" s="4" t="str">
        <f t="shared" si="19"/>
        <v>-</v>
      </c>
      <c r="D603" s="4" t="str">
        <f>"13737163"</f>
        <v>13737163</v>
      </c>
      <c r="E603" s="4" t="str">
        <f t="shared" si="20"/>
        <v>-</v>
      </c>
      <c r="F603" s="4" t="s">
        <v>55</v>
      </c>
    </row>
    <row r="604" spans="1:6" x14ac:dyDescent="0.25">
      <c r="A604" s="4" t="str">
        <f>"CERN-Proceedings"</f>
        <v>CERN-Proceedings</v>
      </c>
      <c r="B604" s="4" t="s">
        <v>8</v>
      </c>
      <c r="C604" s="4" t="str">
        <f t="shared" si="19"/>
        <v>-</v>
      </c>
      <c r="D604" s="4" t="str">
        <f>"20788835"</f>
        <v>20788835</v>
      </c>
      <c r="E604" s="4" t="str">
        <f t="shared" si="20"/>
        <v>-</v>
      </c>
      <c r="F604" s="4" t="s">
        <v>259</v>
      </c>
    </row>
    <row r="605" spans="1:6" x14ac:dyDescent="0.25">
      <c r="A605" s="4" t="str">
        <f>"CEUR Workshop Proceedings"</f>
        <v>CEUR Workshop Proceedings</v>
      </c>
      <c r="B605" s="4" t="s">
        <v>8</v>
      </c>
      <c r="C605" s="4" t="str">
        <f t="shared" si="19"/>
        <v>-</v>
      </c>
      <c r="D605" s="4" t="str">
        <f>"16130073"</f>
        <v>16130073</v>
      </c>
      <c r="E605" s="4" t="str">
        <f t="shared" si="20"/>
        <v>-</v>
      </c>
      <c r="F605" s="4" t="s">
        <v>260</v>
      </c>
    </row>
    <row r="606" spans="1:6" x14ac:dyDescent="0.25">
      <c r="A606" s="4" t="str">
        <f>"Chaos, Solitons and Fractals"</f>
        <v>Chaos, Solitons and Fractals</v>
      </c>
      <c r="B606" s="4" t="s">
        <v>6</v>
      </c>
      <c r="C606" s="4" t="str">
        <f t="shared" si="19"/>
        <v>-</v>
      </c>
      <c r="D606" s="4" t="str">
        <f>"09600779"</f>
        <v>09600779</v>
      </c>
      <c r="E606" s="4" t="str">
        <f t="shared" si="20"/>
        <v>-</v>
      </c>
      <c r="F606" s="4" t="s">
        <v>19</v>
      </c>
    </row>
    <row r="607" spans="1:6" x14ac:dyDescent="0.25">
      <c r="A607" s="4" t="str">
        <f>"ChemCatChem"</f>
        <v>ChemCatChem</v>
      </c>
      <c r="B607" s="4" t="s">
        <v>6</v>
      </c>
      <c r="C607" s="4" t="str">
        <f t="shared" si="19"/>
        <v>-</v>
      </c>
      <c r="D607" s="4" t="str">
        <f>"18673880"</f>
        <v>18673880</v>
      </c>
      <c r="E607" s="4" t="str">
        <f>"18673899"</f>
        <v>18673899</v>
      </c>
      <c r="F607" s="4" t="s">
        <v>261</v>
      </c>
    </row>
    <row r="608" spans="1:6" x14ac:dyDescent="0.25">
      <c r="A608" s="4" t="str">
        <f>"ChemElectroChem"</f>
        <v>ChemElectroChem</v>
      </c>
      <c r="B608" s="4" t="s">
        <v>6</v>
      </c>
      <c r="C608" s="4" t="str">
        <f t="shared" si="19"/>
        <v>-</v>
      </c>
      <c r="D608" s="4" t="str">
        <f>"-"</f>
        <v>-</v>
      </c>
      <c r="E608" s="4" t="str">
        <f>"21960216"</f>
        <v>21960216</v>
      </c>
      <c r="F608" s="4" t="s">
        <v>63</v>
      </c>
    </row>
    <row r="609" spans="1:6" x14ac:dyDescent="0.25">
      <c r="A609" s="4" t="str">
        <f>"Chemical and Biochemical Engineering Quarterly"</f>
        <v>Chemical and Biochemical Engineering Quarterly</v>
      </c>
      <c r="B609" s="4" t="s">
        <v>6</v>
      </c>
      <c r="C609" s="4" t="str">
        <f t="shared" si="19"/>
        <v>-</v>
      </c>
      <c r="D609" s="4" t="str">
        <f>"03529568"</f>
        <v>03529568</v>
      </c>
      <c r="E609" s="4" t="str">
        <f>"-"</f>
        <v>-</v>
      </c>
      <c r="F609" s="4" t="s">
        <v>262</v>
      </c>
    </row>
    <row r="610" spans="1:6" x14ac:dyDescent="0.25">
      <c r="A610" s="4" t="str">
        <f>"Chemical and Petroleum Engineering"</f>
        <v>Chemical and Petroleum Engineering</v>
      </c>
      <c r="B610" s="4" t="s">
        <v>6</v>
      </c>
      <c r="C610" s="4" t="str">
        <f t="shared" si="19"/>
        <v>-</v>
      </c>
      <c r="D610" s="4" t="str">
        <f>"00092355"</f>
        <v>00092355</v>
      </c>
      <c r="E610" s="4" t="str">
        <f>"-"</f>
        <v>-</v>
      </c>
      <c r="F610" s="4" t="s">
        <v>57</v>
      </c>
    </row>
    <row r="611" spans="1:6" x14ac:dyDescent="0.25">
      <c r="A611" s="4" t="str">
        <f>"Chemical and Physical Processes in Combustion, Fall Technical Meeting, The Eastern States Section"</f>
        <v>Chemical and Physical Processes in Combustion, Fall Technical Meeting, The Eastern States Section</v>
      </c>
      <c r="B611" s="4" t="s">
        <v>8</v>
      </c>
      <c r="C611" s="4" t="str">
        <f t="shared" si="19"/>
        <v>-</v>
      </c>
      <c r="D611" s="4" t="str">
        <f>"02771128"</f>
        <v>02771128</v>
      </c>
      <c r="E611" s="4" t="str">
        <f>"-"</f>
        <v>-</v>
      </c>
      <c r="F611" s="4" t="s">
        <v>263</v>
      </c>
    </row>
    <row r="612" spans="1:6" x14ac:dyDescent="0.25">
      <c r="A612" s="4" t="str">
        <f>"Chemical and Process Engineering - Inzynieria Chemiczna i Procesowa"</f>
        <v>Chemical and Process Engineering - Inzynieria Chemiczna i Procesowa</v>
      </c>
      <c r="B612" s="4" t="s">
        <v>6</v>
      </c>
      <c r="C612" s="4" t="str">
        <f t="shared" si="19"/>
        <v>-</v>
      </c>
      <c r="D612" s="4" t="str">
        <f>"02086425"</f>
        <v>02086425</v>
      </c>
      <c r="E612" s="4" t="str">
        <f>"-"</f>
        <v>-</v>
      </c>
      <c r="F612" s="4" t="s">
        <v>49</v>
      </c>
    </row>
    <row r="613" spans="1:6" x14ac:dyDescent="0.25">
      <c r="A613" s="4" t="str">
        <f>"Chemical Engineering and Processing: Process Intensification"</f>
        <v>Chemical Engineering and Processing: Process Intensification</v>
      </c>
      <c r="B613" s="4" t="s">
        <v>6</v>
      </c>
      <c r="C613" s="4" t="str">
        <f t="shared" si="19"/>
        <v>-</v>
      </c>
      <c r="D613" s="4" t="str">
        <f>"02552701"</f>
        <v>02552701</v>
      </c>
      <c r="E613" s="4" t="str">
        <f>"-"</f>
        <v>-</v>
      </c>
      <c r="F613" s="4" t="s">
        <v>55</v>
      </c>
    </row>
    <row r="614" spans="1:6" x14ac:dyDescent="0.25">
      <c r="A614" s="4" t="str">
        <f>"Chemical Engineering and Technology"</f>
        <v>Chemical Engineering and Technology</v>
      </c>
      <c r="B614" s="4" t="s">
        <v>6</v>
      </c>
      <c r="C614" s="4" t="str">
        <f t="shared" si="19"/>
        <v>-</v>
      </c>
      <c r="D614" s="4" t="str">
        <f>"09307516"</f>
        <v>09307516</v>
      </c>
      <c r="E614" s="4" t="str">
        <f>"15214125"</f>
        <v>15214125</v>
      </c>
      <c r="F614" s="4" t="s">
        <v>63</v>
      </c>
    </row>
    <row r="615" spans="1:6" x14ac:dyDescent="0.25">
      <c r="A615" s="4" t="str">
        <f>"Chemical Engineering Communications"</f>
        <v>Chemical Engineering Communications</v>
      </c>
      <c r="B615" s="4" t="s">
        <v>6</v>
      </c>
      <c r="C615" s="4" t="str">
        <f t="shared" si="19"/>
        <v>-</v>
      </c>
      <c r="D615" s="4" t="str">
        <f>"00986445"</f>
        <v>00986445</v>
      </c>
      <c r="E615" s="4" t="str">
        <f>"15635201"</f>
        <v>15635201</v>
      </c>
      <c r="F615" s="4" t="s">
        <v>60</v>
      </c>
    </row>
    <row r="616" spans="1:6" x14ac:dyDescent="0.25">
      <c r="A616" s="4" t="str">
        <f>"Chemical Engineering Journal"</f>
        <v>Chemical Engineering Journal</v>
      </c>
      <c r="B616" s="4" t="s">
        <v>6</v>
      </c>
      <c r="C616" s="4" t="str">
        <f t="shared" si="19"/>
        <v>-</v>
      </c>
      <c r="D616" s="4" t="str">
        <f>"13858947"</f>
        <v>13858947</v>
      </c>
      <c r="E616" s="4" t="str">
        <f>"-"</f>
        <v>-</v>
      </c>
      <c r="F616" s="4" t="s">
        <v>55</v>
      </c>
    </row>
    <row r="617" spans="1:6" x14ac:dyDescent="0.25">
      <c r="A617" s="4" t="str">
        <f>"Chemical Engineering Progress"</f>
        <v>Chemical Engineering Progress</v>
      </c>
      <c r="B617" s="4" t="s">
        <v>22</v>
      </c>
      <c r="C617" s="4" t="str">
        <f t="shared" si="19"/>
        <v>-</v>
      </c>
      <c r="D617" s="4" t="str">
        <f>"03607275"</f>
        <v>03607275</v>
      </c>
      <c r="E617" s="4" t="str">
        <f>"-"</f>
        <v>-</v>
      </c>
      <c r="F617" s="4" t="s">
        <v>106</v>
      </c>
    </row>
    <row r="618" spans="1:6" x14ac:dyDescent="0.25">
      <c r="A618" s="4" t="str">
        <f>"Chemical Engineering Research and Design"</f>
        <v>Chemical Engineering Research and Design</v>
      </c>
      <c r="B618" s="4" t="s">
        <v>6</v>
      </c>
      <c r="C618" s="4" t="str">
        <f t="shared" si="19"/>
        <v>-</v>
      </c>
      <c r="D618" s="4" t="str">
        <f>"02638762"</f>
        <v>02638762</v>
      </c>
      <c r="E618" s="4" t="str">
        <f>"-"</f>
        <v>-</v>
      </c>
      <c r="F618" s="4" t="s">
        <v>264</v>
      </c>
    </row>
    <row r="619" spans="1:6" x14ac:dyDescent="0.25">
      <c r="A619" s="4" t="str">
        <f>"Chemical Engineering Science"</f>
        <v>Chemical Engineering Science</v>
      </c>
      <c r="B619" s="4" t="s">
        <v>6</v>
      </c>
      <c r="C619" s="4" t="str">
        <f t="shared" si="19"/>
        <v>-</v>
      </c>
      <c r="D619" s="4" t="str">
        <f>"00092509"</f>
        <v>00092509</v>
      </c>
      <c r="E619" s="4" t="str">
        <f>"-"</f>
        <v>-</v>
      </c>
      <c r="F619" s="4" t="s">
        <v>19</v>
      </c>
    </row>
    <row r="620" spans="1:6" x14ac:dyDescent="0.25">
      <c r="A620" s="4" t="str">
        <f>"Chemical Engineering Transactions"</f>
        <v>Chemical Engineering Transactions</v>
      </c>
      <c r="B620" s="4" t="s">
        <v>29</v>
      </c>
      <c r="C620" s="4" t="str">
        <f t="shared" si="19"/>
        <v>-</v>
      </c>
      <c r="D620" s="4" t="str">
        <f>"-"</f>
        <v>-</v>
      </c>
      <c r="E620" s="4" t="str">
        <f>"22839216"</f>
        <v>22839216</v>
      </c>
      <c r="F620" s="4" t="s">
        <v>265</v>
      </c>
    </row>
    <row r="621" spans="1:6" x14ac:dyDescent="0.25">
      <c r="A621" s="4" t="str">
        <f>"Chemical Fibers International"</f>
        <v>Chemical Fibers International</v>
      </c>
      <c r="B621" s="4" t="s">
        <v>22</v>
      </c>
      <c r="C621" s="4" t="str">
        <f t="shared" si="19"/>
        <v>-</v>
      </c>
      <c r="D621" s="4" t="str">
        <f>"14343584"</f>
        <v>14343584</v>
      </c>
      <c r="E621" s="4" t="str">
        <f>"-"</f>
        <v>-</v>
      </c>
      <c r="F621" s="4" t="s">
        <v>266</v>
      </c>
    </row>
    <row r="622" spans="1:6" x14ac:dyDescent="0.25">
      <c r="A622" s="4" t="str">
        <f>"Chemical Geology"</f>
        <v>Chemical Geology</v>
      </c>
      <c r="B622" s="4" t="s">
        <v>6</v>
      </c>
      <c r="C622" s="4" t="str">
        <f t="shared" si="19"/>
        <v>-</v>
      </c>
      <c r="D622" s="4" t="str">
        <f>"00092541"</f>
        <v>00092541</v>
      </c>
      <c r="E622" s="4" t="str">
        <f>"-"</f>
        <v>-</v>
      </c>
      <c r="F622" s="4" t="s">
        <v>55</v>
      </c>
    </row>
    <row r="623" spans="1:6" x14ac:dyDescent="0.25">
      <c r="A623" s="4" t="s">
        <v>267</v>
      </c>
      <c r="B623" s="4" t="s">
        <v>6</v>
      </c>
      <c r="D623" s="4" t="s">
        <v>268</v>
      </c>
      <c r="F623" s="4" t="s">
        <v>269</v>
      </c>
    </row>
    <row r="624" spans="1:6" x14ac:dyDescent="0.25">
      <c r="A624" s="4" t="str">
        <f>"Chemical Physics Letters"</f>
        <v>Chemical Physics Letters</v>
      </c>
      <c r="B624" s="4" t="s">
        <v>6</v>
      </c>
      <c r="C624" s="4" t="str">
        <f t="shared" ref="C624:C638" si="21">"-"</f>
        <v>-</v>
      </c>
      <c r="D624" s="4" t="str">
        <f>"00092614"</f>
        <v>00092614</v>
      </c>
      <c r="E624" s="4" t="str">
        <f>"-"</f>
        <v>-</v>
      </c>
      <c r="F624" s="4" t="s">
        <v>55</v>
      </c>
    </row>
    <row r="625" spans="1:6" x14ac:dyDescent="0.25">
      <c r="A625" s="4" t="str">
        <f>"Chemical Product and Process Modeling"</f>
        <v>Chemical Product and Process Modeling</v>
      </c>
      <c r="B625" s="4" t="s">
        <v>6</v>
      </c>
      <c r="C625" s="4" t="str">
        <f t="shared" si="21"/>
        <v>-</v>
      </c>
      <c r="D625" s="4" t="str">
        <f>"21946159"</f>
        <v>21946159</v>
      </c>
      <c r="E625" s="4" t="str">
        <f>"19342659"</f>
        <v>19342659</v>
      </c>
      <c r="F625" s="4" t="s">
        <v>189</v>
      </c>
    </row>
    <row r="626" spans="1:6" x14ac:dyDescent="0.25">
      <c r="A626" s="4" t="str">
        <f>"Chemical Reviews"</f>
        <v>Chemical Reviews</v>
      </c>
      <c r="B626" s="4" t="s">
        <v>6</v>
      </c>
      <c r="C626" s="4" t="str">
        <f t="shared" si="21"/>
        <v>-</v>
      </c>
      <c r="D626" s="4" t="str">
        <f>"00092665"</f>
        <v>00092665</v>
      </c>
      <c r="E626" s="4" t="str">
        <f>"15206890"</f>
        <v>15206890</v>
      </c>
      <c r="F626" s="4" t="s">
        <v>28</v>
      </c>
    </row>
    <row r="627" spans="1:6" x14ac:dyDescent="0.25">
      <c r="A627" s="4" t="str">
        <f>"Chemical Science"</f>
        <v>Chemical Science</v>
      </c>
      <c r="B627" s="4" t="s">
        <v>6</v>
      </c>
      <c r="C627" s="4" t="str">
        <f t="shared" si="21"/>
        <v>-</v>
      </c>
      <c r="D627" s="4" t="str">
        <f>"20416520"</f>
        <v>20416520</v>
      </c>
      <c r="E627" s="4" t="str">
        <f>"20416539"</f>
        <v>20416539</v>
      </c>
      <c r="F627" s="4" t="s">
        <v>121</v>
      </c>
    </row>
    <row r="628" spans="1:6" x14ac:dyDescent="0.25">
      <c r="A628" s="4" t="str">
        <f>"Chemical Vapor Deposition"</f>
        <v>Chemical Vapor Deposition</v>
      </c>
      <c r="B628" s="4" t="s">
        <v>6</v>
      </c>
      <c r="C628" s="4" t="str">
        <f t="shared" si="21"/>
        <v>-</v>
      </c>
      <c r="D628" s="4" t="str">
        <f>"09481907"</f>
        <v>09481907</v>
      </c>
      <c r="E628" s="4" t="str">
        <f>"15213862"</f>
        <v>15213862</v>
      </c>
      <c r="F628" s="4" t="s">
        <v>63</v>
      </c>
    </row>
    <row r="629" spans="1:6" x14ac:dyDescent="0.25">
      <c r="A629" s="4" t="str">
        <f>"Chemie-Ingenieur-Technik"</f>
        <v>Chemie-Ingenieur-Technik</v>
      </c>
      <c r="B629" s="4" t="s">
        <v>6</v>
      </c>
      <c r="C629" s="4" t="str">
        <f t="shared" si="21"/>
        <v>-</v>
      </c>
      <c r="D629" s="4" t="str">
        <f>"0009286X"</f>
        <v>0009286X</v>
      </c>
      <c r="E629" s="4" t="str">
        <f>"15222640"</f>
        <v>15222640</v>
      </c>
      <c r="F629" s="4" t="s">
        <v>63</v>
      </c>
    </row>
    <row r="630" spans="1:6" x14ac:dyDescent="0.25">
      <c r="A630" s="4" t="str">
        <f>"Chemik"</f>
        <v>Chemik</v>
      </c>
      <c r="B630" s="4" t="s">
        <v>6</v>
      </c>
      <c r="C630" s="4" t="str">
        <f t="shared" si="21"/>
        <v>-</v>
      </c>
      <c r="D630" s="4" t="str">
        <f>"00092886"</f>
        <v>00092886</v>
      </c>
      <c r="E630" s="4" t="str">
        <f>"-"</f>
        <v>-</v>
      </c>
      <c r="F630" s="4" t="s">
        <v>270</v>
      </c>
    </row>
    <row r="631" spans="1:6" x14ac:dyDescent="0.25">
      <c r="A631" s="4" t="str">
        <f>"Chemistry - A European Journal"</f>
        <v>Chemistry - A European Journal</v>
      </c>
      <c r="B631" s="4" t="s">
        <v>6</v>
      </c>
      <c r="C631" s="4" t="str">
        <f t="shared" si="21"/>
        <v>-</v>
      </c>
      <c r="D631" s="4" t="str">
        <f>"09476539"</f>
        <v>09476539</v>
      </c>
      <c r="E631" s="4" t="str">
        <f>"15213765"</f>
        <v>15213765</v>
      </c>
      <c r="F631" s="4" t="s">
        <v>63</v>
      </c>
    </row>
    <row r="632" spans="1:6" x14ac:dyDescent="0.25">
      <c r="A632" s="4" t="str">
        <f>"Chemistry - An Asian Journal"</f>
        <v>Chemistry - An Asian Journal</v>
      </c>
      <c r="B632" s="4" t="s">
        <v>6</v>
      </c>
      <c r="C632" s="4" t="str">
        <f t="shared" si="21"/>
        <v>-</v>
      </c>
      <c r="D632" s="4" t="str">
        <f>"18614728"</f>
        <v>18614728</v>
      </c>
      <c r="E632" s="4" t="str">
        <f>"1861471X"</f>
        <v>1861471X</v>
      </c>
      <c r="F632" s="4" t="s">
        <v>142</v>
      </c>
    </row>
    <row r="633" spans="1:6" x14ac:dyDescent="0.25">
      <c r="A633" s="4" t="str">
        <f>"Chemistry and Technology of Fuels and Oils"</f>
        <v>Chemistry and Technology of Fuels and Oils</v>
      </c>
      <c r="B633" s="4" t="s">
        <v>6</v>
      </c>
      <c r="C633" s="4" t="str">
        <f t="shared" si="21"/>
        <v>-</v>
      </c>
      <c r="D633" s="4" t="str">
        <f>"00093092"</f>
        <v>00093092</v>
      </c>
      <c r="E633" s="4" t="str">
        <f>"-"</f>
        <v>-</v>
      </c>
      <c r="F633" s="4" t="s">
        <v>57</v>
      </c>
    </row>
    <row r="634" spans="1:6" x14ac:dyDescent="0.25">
      <c r="A634" s="4" t="str">
        <f>"Chemistry of Materials"</f>
        <v>Chemistry of Materials</v>
      </c>
      <c r="B634" s="4" t="s">
        <v>6</v>
      </c>
      <c r="C634" s="4" t="str">
        <f t="shared" si="21"/>
        <v>-</v>
      </c>
      <c r="D634" s="4" t="str">
        <f>"08974756"</f>
        <v>08974756</v>
      </c>
      <c r="E634" s="4" t="str">
        <f>"15205002"</f>
        <v>15205002</v>
      </c>
      <c r="F634" s="4" t="s">
        <v>28</v>
      </c>
    </row>
    <row r="635" spans="1:6" x14ac:dyDescent="0.25">
      <c r="A635" s="4" t="str">
        <f>"Chemosphere"</f>
        <v>Chemosphere</v>
      </c>
      <c r="B635" s="4" t="s">
        <v>6</v>
      </c>
      <c r="C635" s="4" t="str">
        <f t="shared" si="21"/>
        <v>-</v>
      </c>
      <c r="D635" s="4" t="str">
        <f>"00456535"</f>
        <v>00456535</v>
      </c>
      <c r="E635" s="4" t="str">
        <f>"18791298"</f>
        <v>18791298</v>
      </c>
      <c r="F635" s="4" t="s">
        <v>19</v>
      </c>
    </row>
    <row r="636" spans="1:6" x14ac:dyDescent="0.25">
      <c r="A636" s="4" t="str">
        <f>"ChemSusChem"</f>
        <v>ChemSusChem</v>
      </c>
      <c r="B636" s="4" t="s">
        <v>6</v>
      </c>
      <c r="C636" s="4" t="str">
        <f t="shared" si="21"/>
        <v>-</v>
      </c>
      <c r="D636" s="4" t="str">
        <f>"18645631"</f>
        <v>18645631</v>
      </c>
      <c r="E636" s="4" t="str">
        <f>"1864564X"</f>
        <v>1864564X</v>
      </c>
      <c r="F636" s="4" t="s">
        <v>63</v>
      </c>
    </row>
    <row r="637" spans="1:6" x14ac:dyDescent="0.25">
      <c r="A637" s="4" t="str">
        <f>"China International Conference on Electricity Distribution, CICED"</f>
        <v>China International Conference on Electricity Distribution, CICED</v>
      </c>
      <c r="B637" s="4" t="s">
        <v>8</v>
      </c>
      <c r="C637" s="4" t="str">
        <f t="shared" si="21"/>
        <v>-</v>
      </c>
      <c r="D637" s="4" t="str">
        <f>"21617481"</f>
        <v>21617481</v>
      </c>
      <c r="E637" s="4" t="str">
        <f>"2161749X"</f>
        <v>2161749X</v>
      </c>
      <c r="F637" s="4" t="s">
        <v>9</v>
      </c>
    </row>
    <row r="638" spans="1:6" x14ac:dyDescent="0.25">
      <c r="A638" s="4" t="str">
        <f>"China Ocean Engineering"</f>
        <v>China Ocean Engineering</v>
      </c>
      <c r="B638" s="4" t="s">
        <v>6</v>
      </c>
      <c r="C638" s="4" t="str">
        <f t="shared" si="21"/>
        <v>-</v>
      </c>
      <c r="D638" s="4" t="str">
        <f>"08905487"</f>
        <v>08905487</v>
      </c>
      <c r="E638" s="4" t="str">
        <f>"-"</f>
        <v>-</v>
      </c>
      <c r="F638" s="4" t="s">
        <v>42</v>
      </c>
    </row>
    <row r="639" spans="1:6" x14ac:dyDescent="0.25">
      <c r="A639" s="4" t="s">
        <v>271</v>
      </c>
      <c r="B639" s="4" t="s">
        <v>6</v>
      </c>
      <c r="D639" s="4" t="s">
        <v>272</v>
      </c>
      <c r="F639" s="4" t="s">
        <v>273</v>
      </c>
    </row>
    <row r="640" spans="1:6" x14ac:dyDescent="0.25">
      <c r="A640" s="4" t="str">
        <f>"Chinese Control Conference, CCC"</f>
        <v>Chinese Control Conference, CCC</v>
      </c>
      <c r="B640" s="4" t="s">
        <v>8</v>
      </c>
      <c r="C640" s="4" t="str">
        <f t="shared" ref="C640:C648" si="22">"-"</f>
        <v>-</v>
      </c>
      <c r="D640" s="4" t="str">
        <f>"19341768"</f>
        <v>19341768</v>
      </c>
      <c r="E640" s="4" t="str">
        <f>"21612927"</f>
        <v>21612927</v>
      </c>
      <c r="F640" s="4" t="s">
        <v>9</v>
      </c>
    </row>
    <row r="641" spans="1:6" x14ac:dyDescent="0.25">
      <c r="A641" s="4" t="str">
        <f>"Chinese Journal of Aeronautics"</f>
        <v>Chinese Journal of Aeronautics</v>
      </c>
      <c r="B641" s="4" t="s">
        <v>6</v>
      </c>
      <c r="C641" s="4" t="str">
        <f t="shared" si="22"/>
        <v>-</v>
      </c>
      <c r="D641" s="4" t="str">
        <f>"10009361"</f>
        <v>10009361</v>
      </c>
      <c r="E641" s="4" t="str">
        <f>"-"</f>
        <v>-</v>
      </c>
      <c r="F641" s="4" t="s">
        <v>274</v>
      </c>
    </row>
    <row r="642" spans="1:6" x14ac:dyDescent="0.25">
      <c r="A642" s="4" t="str">
        <f>"Chinese Journal of Catalysis"</f>
        <v>Chinese Journal of Catalysis</v>
      </c>
      <c r="B642" s="4" t="s">
        <v>6</v>
      </c>
      <c r="C642" s="4" t="str">
        <f t="shared" si="22"/>
        <v>-</v>
      </c>
      <c r="D642" s="4" t="str">
        <f>"18722067"</f>
        <v>18722067</v>
      </c>
      <c r="E642" s="4" t="str">
        <f>"-"</f>
        <v>-</v>
      </c>
      <c r="F642" s="4" t="s">
        <v>37</v>
      </c>
    </row>
    <row r="643" spans="1:6" x14ac:dyDescent="0.25">
      <c r="A643" s="4" t="str">
        <f>"Chinese Journal of Chemical Engineering"</f>
        <v>Chinese Journal of Chemical Engineering</v>
      </c>
      <c r="B643" s="4" t="s">
        <v>6</v>
      </c>
      <c r="C643" s="4" t="str">
        <f t="shared" si="22"/>
        <v>-</v>
      </c>
      <c r="D643" s="4" t="str">
        <f>"10049541"</f>
        <v>10049541</v>
      </c>
      <c r="E643" s="4" t="str">
        <f>"-"</f>
        <v>-</v>
      </c>
      <c r="F643" s="4" t="s">
        <v>269</v>
      </c>
    </row>
    <row r="644" spans="1:6" x14ac:dyDescent="0.25">
      <c r="A644" s="4" t="str">
        <f>"Chinese Journal of Geochemistry"</f>
        <v>Chinese Journal of Geochemistry</v>
      </c>
      <c r="B644" s="4" t="s">
        <v>6</v>
      </c>
      <c r="C644" s="4" t="str">
        <f t="shared" si="22"/>
        <v>-</v>
      </c>
      <c r="D644" s="4" t="str">
        <f>"10009426"</f>
        <v>10009426</v>
      </c>
      <c r="E644" s="4" t="str">
        <f>"-"</f>
        <v>-</v>
      </c>
      <c r="F644" s="4" t="s">
        <v>37</v>
      </c>
    </row>
    <row r="645" spans="1:6" x14ac:dyDescent="0.25">
      <c r="A645" s="4" t="str">
        <f>"Chinese Journal of Geophysics (Acta Geophysica Sinica)"</f>
        <v>Chinese Journal of Geophysics (Acta Geophysica Sinica)</v>
      </c>
      <c r="B645" s="4" t="s">
        <v>6</v>
      </c>
      <c r="C645" s="4" t="str">
        <f t="shared" si="22"/>
        <v>-</v>
      </c>
      <c r="D645" s="4" t="str">
        <f>"00015733"</f>
        <v>00015733</v>
      </c>
      <c r="E645" s="4" t="str">
        <f>"08989591"</f>
        <v>08989591</v>
      </c>
      <c r="F645" s="4" t="s">
        <v>37</v>
      </c>
    </row>
    <row r="646" spans="1:6" x14ac:dyDescent="0.25">
      <c r="A646" s="4" t="str">
        <f>"Chinese Journal of Mechanical Engineering (English Edition)"</f>
        <v>Chinese Journal of Mechanical Engineering (English Edition)</v>
      </c>
      <c r="B646" s="4" t="s">
        <v>6</v>
      </c>
      <c r="C646" s="4" t="str">
        <f t="shared" si="22"/>
        <v>-</v>
      </c>
      <c r="D646" s="4" t="str">
        <f>"10009345"</f>
        <v>10009345</v>
      </c>
      <c r="E646" s="4" t="str">
        <f>"-"</f>
        <v>-</v>
      </c>
      <c r="F646" s="4" t="s">
        <v>273</v>
      </c>
    </row>
    <row r="647" spans="1:6" x14ac:dyDescent="0.25">
      <c r="A647" s="4" t="str">
        <f>"Chinese Optics Letters"</f>
        <v>Chinese Optics Letters</v>
      </c>
      <c r="B647" s="4" t="s">
        <v>6</v>
      </c>
      <c r="C647" s="4" t="str">
        <f t="shared" si="22"/>
        <v>-</v>
      </c>
      <c r="D647" s="4" t="str">
        <f>"16717694"</f>
        <v>16717694</v>
      </c>
      <c r="E647" s="4" t="str">
        <f>"-"</f>
        <v>-</v>
      </c>
      <c r="F647" s="4" t="s">
        <v>37</v>
      </c>
    </row>
    <row r="648" spans="1:6" x14ac:dyDescent="0.25">
      <c r="A648" s="4" t="str">
        <f>"Chinese Physics B"</f>
        <v>Chinese Physics B</v>
      </c>
      <c r="B648" s="4" t="s">
        <v>6</v>
      </c>
      <c r="C648" s="4" t="str">
        <f t="shared" si="22"/>
        <v>-</v>
      </c>
      <c r="D648" s="4" t="str">
        <f>"16741056"</f>
        <v>16741056</v>
      </c>
      <c r="E648" s="4" t="str">
        <f>"-"</f>
        <v>-</v>
      </c>
      <c r="F648" s="4" t="s">
        <v>184</v>
      </c>
    </row>
    <row r="649" spans="1:6" x14ac:dyDescent="0.25">
      <c r="A649" s="4" t="s">
        <v>275</v>
      </c>
      <c r="B649" s="4" t="s">
        <v>6</v>
      </c>
      <c r="D649" s="4" t="s">
        <v>276</v>
      </c>
      <c r="F649" s="4" t="s">
        <v>37</v>
      </c>
    </row>
    <row r="650" spans="1:6" x14ac:dyDescent="0.25">
      <c r="A650" s="4" t="str">
        <f>"Chuan Bo Li Xue/Journal of Ship Mechanics"</f>
        <v>Chuan Bo Li Xue/Journal of Ship Mechanics</v>
      </c>
      <c r="B650" s="4" t="s">
        <v>6</v>
      </c>
      <c r="C650" s="4" t="str">
        <f t="shared" ref="C650:C713" si="23">"-"</f>
        <v>-</v>
      </c>
      <c r="D650" s="4" t="str">
        <f>"10077294"</f>
        <v>10077294</v>
      </c>
      <c r="E650" s="4" t="str">
        <f>"-"</f>
        <v>-</v>
      </c>
      <c r="F650" s="4" t="s">
        <v>277</v>
      </c>
    </row>
    <row r="651" spans="1:6" x14ac:dyDescent="0.25">
      <c r="A651" s="4" t="str">
        <f>"Chung Cheng Ling Hsueh Pao/Journal of Chung Cheng Institute of Technology"</f>
        <v>Chung Cheng Ling Hsueh Pao/Journal of Chung Cheng Institute of Technology</v>
      </c>
      <c r="B651" s="4" t="s">
        <v>6</v>
      </c>
      <c r="C651" s="4" t="str">
        <f t="shared" si="23"/>
        <v>-</v>
      </c>
      <c r="D651" s="4" t="str">
        <f>"02556030"</f>
        <v>02556030</v>
      </c>
      <c r="E651" s="4" t="str">
        <f>"-"</f>
        <v>-</v>
      </c>
      <c r="F651" s="4" t="s">
        <v>278</v>
      </c>
    </row>
    <row r="652" spans="1:6" x14ac:dyDescent="0.25">
      <c r="A652" s="4" t="str">
        <f>"CIE International Conference of Radar Proceedings"</f>
        <v>CIE International Conference of Radar Proceedings</v>
      </c>
      <c r="B652" s="4" t="s">
        <v>8</v>
      </c>
      <c r="C652" s="4" t="str">
        <f t="shared" si="23"/>
        <v>-</v>
      </c>
      <c r="D652" s="4" t="str">
        <f>"-"</f>
        <v>-</v>
      </c>
      <c r="E652" s="4" t="str">
        <f>"-"</f>
        <v>-</v>
      </c>
      <c r="F652" s="4" t="s">
        <v>105</v>
      </c>
    </row>
    <row r="653" spans="1:6" x14ac:dyDescent="0.25">
      <c r="A653" s="4" t="str">
        <f>"Ciencia e Tecnologia dos Materiais"</f>
        <v>Ciencia e Tecnologia dos Materiais</v>
      </c>
      <c r="B653" s="4" t="s">
        <v>6</v>
      </c>
      <c r="C653" s="4" t="str">
        <f t="shared" si="23"/>
        <v>-</v>
      </c>
      <c r="D653" s="4" t="str">
        <f>"08708312"</f>
        <v>08708312</v>
      </c>
      <c r="E653" s="4" t="str">
        <f>"-"</f>
        <v>-</v>
      </c>
      <c r="F653" s="4" t="s">
        <v>55</v>
      </c>
    </row>
    <row r="654" spans="1:6" x14ac:dyDescent="0.25">
      <c r="A654" s="4" t="str">
        <f>"Ciencia y Engenharia/ Science and Engineering Journal"</f>
        <v>Ciencia y Engenharia/ Science and Engineering Journal</v>
      </c>
      <c r="B654" s="4" t="s">
        <v>6</v>
      </c>
      <c r="C654" s="4" t="str">
        <f t="shared" si="23"/>
        <v>-</v>
      </c>
      <c r="D654" s="4" t="str">
        <f>"0103944X"</f>
        <v>0103944X</v>
      </c>
      <c r="E654" s="4" t="str">
        <f>"19834071"</f>
        <v>19834071</v>
      </c>
      <c r="F654" s="4" t="s">
        <v>279</v>
      </c>
    </row>
    <row r="655" spans="1:6" x14ac:dyDescent="0.25">
      <c r="A655" s="4" t="str">
        <f>"Circuit World"</f>
        <v>Circuit World</v>
      </c>
      <c r="B655" s="4" t="s">
        <v>6</v>
      </c>
      <c r="C655" s="4" t="str">
        <f t="shared" si="23"/>
        <v>-</v>
      </c>
      <c r="D655" s="4" t="str">
        <f>"03056120"</f>
        <v>03056120</v>
      </c>
      <c r="E655" s="4" t="str">
        <f>"-"</f>
        <v>-</v>
      </c>
      <c r="F655" s="4" t="s">
        <v>110</v>
      </c>
    </row>
    <row r="656" spans="1:6" x14ac:dyDescent="0.25">
      <c r="A656" s="4" t="str">
        <f>"Circuits, Systems, and Signal Processing"</f>
        <v>Circuits, Systems, and Signal Processing</v>
      </c>
      <c r="B656" s="4" t="s">
        <v>6</v>
      </c>
      <c r="C656" s="4" t="str">
        <f t="shared" si="23"/>
        <v>-</v>
      </c>
      <c r="D656" s="4" t="str">
        <f>"0278081X"</f>
        <v>0278081X</v>
      </c>
      <c r="E656" s="4" t="str">
        <f>"15315878"</f>
        <v>15315878</v>
      </c>
      <c r="F656" s="4" t="s">
        <v>280</v>
      </c>
    </row>
    <row r="657" spans="1:6" x14ac:dyDescent="0.25">
      <c r="A657" s="4" t="str">
        <f>"CIRP Annals - Manufacturing Technology"</f>
        <v>CIRP Annals - Manufacturing Technology</v>
      </c>
      <c r="B657" s="4" t="s">
        <v>6</v>
      </c>
      <c r="C657" s="4" t="str">
        <f t="shared" si="23"/>
        <v>-</v>
      </c>
      <c r="D657" s="4" t="str">
        <f>"00078506"</f>
        <v>00078506</v>
      </c>
      <c r="E657" s="4" t="str">
        <f>"17260604"</f>
        <v>17260604</v>
      </c>
      <c r="F657" s="4" t="s">
        <v>281</v>
      </c>
    </row>
    <row r="658" spans="1:6" x14ac:dyDescent="0.25">
      <c r="A658" s="4" t="str">
        <f>"CIRP Journal of Manufacturing Science and Technology"</f>
        <v>CIRP Journal of Manufacturing Science and Technology</v>
      </c>
      <c r="B658" s="4" t="s">
        <v>6</v>
      </c>
      <c r="C658" s="4" t="str">
        <f t="shared" si="23"/>
        <v>-</v>
      </c>
      <c r="D658" s="4" t="str">
        <f>"17555817"</f>
        <v>17555817</v>
      </c>
      <c r="E658" s="4" t="str">
        <f>"-"</f>
        <v>-</v>
      </c>
      <c r="F658" s="4" t="s">
        <v>19</v>
      </c>
    </row>
    <row r="659" spans="1:6" x14ac:dyDescent="0.25">
      <c r="A659" s="4" t="str">
        <f>"Civil Engineering and Environmental Systems"</f>
        <v>Civil Engineering and Environmental Systems</v>
      </c>
      <c r="B659" s="4" t="s">
        <v>6</v>
      </c>
      <c r="C659" s="4" t="str">
        <f t="shared" si="23"/>
        <v>-</v>
      </c>
      <c r="D659" s="4" t="str">
        <f>"10286608"</f>
        <v>10286608</v>
      </c>
      <c r="E659" s="4" t="str">
        <f>"10290249"</f>
        <v>10290249</v>
      </c>
      <c r="F659" s="4" t="s">
        <v>60</v>
      </c>
    </row>
    <row r="660" spans="1:6" x14ac:dyDescent="0.25">
      <c r="A660" s="4" t="str">
        <f>"Civil Engineering Journal"</f>
        <v>Civil Engineering Journal</v>
      </c>
      <c r="B660" s="4" t="s">
        <v>6</v>
      </c>
      <c r="C660" s="4" t="str">
        <f t="shared" si="23"/>
        <v>-</v>
      </c>
      <c r="D660" s="4" t="str">
        <f>"12104027"</f>
        <v>12104027</v>
      </c>
      <c r="E660" s="4" t="str">
        <f>"18052576"</f>
        <v>18052576</v>
      </c>
      <c r="F660" s="4" t="s">
        <v>282</v>
      </c>
    </row>
    <row r="661" spans="1:6" x14ac:dyDescent="0.25">
      <c r="A661" s="4" t="str">
        <f>"Civil-Comp Proceedings"</f>
        <v>Civil-Comp Proceedings</v>
      </c>
      <c r="B661" s="4" t="s">
        <v>6</v>
      </c>
      <c r="C661" s="4" t="str">
        <f t="shared" si="23"/>
        <v>-</v>
      </c>
      <c r="D661" s="4" t="str">
        <f>"17593433"</f>
        <v>17593433</v>
      </c>
      <c r="E661" s="4" t="str">
        <f>"-"</f>
        <v>-</v>
      </c>
      <c r="F661" s="4" t="s">
        <v>283</v>
      </c>
    </row>
    <row r="662" spans="1:6" x14ac:dyDescent="0.25">
      <c r="A662" s="4" t="str">
        <f>"Clay Minerals"</f>
        <v>Clay Minerals</v>
      </c>
      <c r="B662" s="4" t="s">
        <v>6</v>
      </c>
      <c r="C662" s="4" t="str">
        <f t="shared" si="23"/>
        <v>-</v>
      </c>
      <c r="D662" s="4" t="str">
        <f>"00098558"</f>
        <v>00098558</v>
      </c>
      <c r="E662" s="4" t="str">
        <f>"14718030"</f>
        <v>14718030</v>
      </c>
      <c r="F662" s="4" t="s">
        <v>284</v>
      </c>
    </row>
    <row r="663" spans="1:6" x14ac:dyDescent="0.25">
      <c r="A663" s="4" t="str">
        <f>"Clays and Clay Minerals"</f>
        <v>Clays and Clay Minerals</v>
      </c>
      <c r="B663" s="4" t="s">
        <v>6</v>
      </c>
      <c r="C663" s="4" t="str">
        <f t="shared" si="23"/>
        <v>-</v>
      </c>
      <c r="D663" s="4" t="str">
        <f>"00098604"</f>
        <v>00098604</v>
      </c>
      <c r="E663" s="4" t="str">
        <f>"15528367"</f>
        <v>15528367</v>
      </c>
      <c r="F663" s="4" t="s">
        <v>285</v>
      </c>
    </row>
    <row r="664" spans="1:6" x14ac:dyDescent="0.25">
      <c r="A664" s="4" t="str">
        <f>"Clean Technologies and Environmental Policy"</f>
        <v>Clean Technologies and Environmental Policy</v>
      </c>
      <c r="B664" s="4" t="s">
        <v>6</v>
      </c>
      <c r="C664" s="4" t="str">
        <f t="shared" si="23"/>
        <v>-</v>
      </c>
      <c r="D664" s="4" t="str">
        <f>"1618954X"</f>
        <v>1618954X</v>
      </c>
      <c r="E664" s="4" t="str">
        <f>"16189558"</f>
        <v>16189558</v>
      </c>
      <c r="F664" s="4" t="s">
        <v>42</v>
      </c>
    </row>
    <row r="665" spans="1:6" x14ac:dyDescent="0.25">
      <c r="A665" s="4" t="str">
        <f>"Cleanroom Technology"</f>
        <v>Cleanroom Technology</v>
      </c>
      <c r="B665" s="4" t="s">
        <v>22</v>
      </c>
      <c r="C665" s="4" t="str">
        <f t="shared" si="23"/>
        <v>-</v>
      </c>
      <c r="D665" s="4" t="str">
        <f>"13655531"</f>
        <v>13655531</v>
      </c>
      <c r="E665" s="4" t="str">
        <f>"-"</f>
        <v>-</v>
      </c>
      <c r="F665" s="4" t="s">
        <v>286</v>
      </c>
    </row>
    <row r="666" spans="1:6" x14ac:dyDescent="0.25">
      <c r="A666" s="4" t="str">
        <f>"Climatic Change"</f>
        <v>Climatic Change</v>
      </c>
      <c r="B666" s="4" t="s">
        <v>6</v>
      </c>
      <c r="C666" s="4" t="str">
        <f t="shared" si="23"/>
        <v>-</v>
      </c>
      <c r="D666" s="4" t="str">
        <f>"01650009"</f>
        <v>01650009</v>
      </c>
      <c r="E666" s="4" t="str">
        <f>"15731480"</f>
        <v>15731480</v>
      </c>
      <c r="F666" s="4" t="s">
        <v>31</v>
      </c>
    </row>
    <row r="667" spans="1:6" x14ac:dyDescent="0.25">
      <c r="A667" s="4" t="str">
        <f>"Clinical Biomechanics"</f>
        <v>Clinical Biomechanics</v>
      </c>
      <c r="B667" s="4" t="s">
        <v>6</v>
      </c>
      <c r="C667" s="4" t="str">
        <f t="shared" si="23"/>
        <v>-</v>
      </c>
      <c r="D667" s="4" t="str">
        <f>"02680033"</f>
        <v>02680033</v>
      </c>
      <c r="E667" s="4" t="str">
        <f>"18791271"</f>
        <v>18791271</v>
      </c>
      <c r="F667" s="4" t="s">
        <v>19</v>
      </c>
    </row>
    <row r="668" spans="1:6" x14ac:dyDescent="0.25">
      <c r="A668" s="4" t="str">
        <f>"Clinical Imaging"</f>
        <v>Clinical Imaging</v>
      </c>
      <c r="B668" s="4" t="s">
        <v>6</v>
      </c>
      <c r="C668" s="4" t="str">
        <f t="shared" si="23"/>
        <v>-</v>
      </c>
      <c r="D668" s="4" t="str">
        <f>"08997071"</f>
        <v>08997071</v>
      </c>
      <c r="E668" s="4" t="str">
        <f>"18734499"</f>
        <v>18734499</v>
      </c>
      <c r="F668" s="4" t="s">
        <v>141</v>
      </c>
    </row>
    <row r="669" spans="1:6" x14ac:dyDescent="0.25">
      <c r="A669" s="4" t="str">
        <f>"Cluster Computing"</f>
        <v>Cluster Computing</v>
      </c>
      <c r="B669" s="4" t="s">
        <v>6</v>
      </c>
      <c r="C669" s="4" t="str">
        <f t="shared" si="23"/>
        <v>-</v>
      </c>
      <c r="D669" s="4" t="str">
        <f>"13867857"</f>
        <v>13867857</v>
      </c>
      <c r="E669" s="4" t="str">
        <f>"15737543"</f>
        <v>15737543</v>
      </c>
      <c r="F669" s="4" t="s">
        <v>57</v>
      </c>
    </row>
    <row r="670" spans="1:6" x14ac:dyDescent="0.25">
      <c r="A670" s="4" t="str">
        <f>"CMES - Computer Modeling in Engineering and Sciences"</f>
        <v>CMES - Computer Modeling in Engineering and Sciences</v>
      </c>
      <c r="B670" s="4" t="s">
        <v>6</v>
      </c>
      <c r="C670" s="4" t="str">
        <f t="shared" si="23"/>
        <v>-</v>
      </c>
      <c r="D670" s="4" t="str">
        <f>"15261492"</f>
        <v>15261492</v>
      </c>
      <c r="E670" s="4" t="str">
        <f>"-"</f>
        <v>-</v>
      </c>
      <c r="F670" s="4" t="s">
        <v>287</v>
      </c>
    </row>
    <row r="671" spans="1:6" x14ac:dyDescent="0.25">
      <c r="A671" s="4" t="str">
        <f>"Coastal Engineering"</f>
        <v>Coastal Engineering</v>
      </c>
      <c r="B671" s="4" t="s">
        <v>6</v>
      </c>
      <c r="C671" s="4" t="str">
        <f t="shared" si="23"/>
        <v>-</v>
      </c>
      <c r="D671" s="4" t="str">
        <f>"03783839"</f>
        <v>03783839</v>
      </c>
      <c r="E671" s="4" t="str">
        <f>"-"</f>
        <v>-</v>
      </c>
      <c r="F671" s="4" t="s">
        <v>55</v>
      </c>
    </row>
    <row r="672" spans="1:6" x14ac:dyDescent="0.25">
      <c r="A672" s="4" t="str">
        <f>"Coastal Engineering Journal"</f>
        <v>Coastal Engineering Journal</v>
      </c>
      <c r="B672" s="4" t="s">
        <v>6</v>
      </c>
      <c r="C672" s="4" t="str">
        <f t="shared" si="23"/>
        <v>-</v>
      </c>
      <c r="D672" s="4" t="str">
        <f>"05785634"</f>
        <v>05785634</v>
      </c>
      <c r="E672" s="4" t="str">
        <f>"-"</f>
        <v>-</v>
      </c>
      <c r="F672" s="4" t="s">
        <v>157</v>
      </c>
    </row>
    <row r="673" spans="1:6" x14ac:dyDescent="0.25">
      <c r="A673" s="4" t="str">
        <f>"Coastal Management"</f>
        <v>Coastal Management</v>
      </c>
      <c r="B673" s="4" t="s">
        <v>6</v>
      </c>
      <c r="C673" s="4" t="str">
        <f t="shared" si="23"/>
        <v>-</v>
      </c>
      <c r="D673" s="4" t="str">
        <f>"08920753"</f>
        <v>08920753</v>
      </c>
      <c r="E673" s="4" t="str">
        <f>"15210421"</f>
        <v>15210421</v>
      </c>
      <c r="F673" s="4" t="s">
        <v>60</v>
      </c>
    </row>
    <row r="674" spans="1:6" x14ac:dyDescent="0.25">
      <c r="A674" s="4" t="str">
        <f>"Coating International"</f>
        <v>Coating International</v>
      </c>
      <c r="B674" s="4" t="s">
        <v>22</v>
      </c>
      <c r="C674" s="4" t="str">
        <f t="shared" si="23"/>
        <v>-</v>
      </c>
      <c r="D674" s="4" t="str">
        <f>"05908450"</f>
        <v>05908450</v>
      </c>
      <c r="E674" s="4" t="str">
        <f>"-"</f>
        <v>-</v>
      </c>
      <c r="F674" s="4" t="s">
        <v>288</v>
      </c>
    </row>
    <row r="675" spans="1:6" x14ac:dyDescent="0.25">
      <c r="A675" s="4" t="str">
        <f>"Cognition, Technology and Work"</f>
        <v>Cognition, Technology and Work</v>
      </c>
      <c r="B675" s="4" t="s">
        <v>6</v>
      </c>
      <c r="C675" s="4" t="str">
        <f t="shared" si="23"/>
        <v>-</v>
      </c>
      <c r="D675" s="4" t="str">
        <f>"14355558"</f>
        <v>14355558</v>
      </c>
      <c r="E675" s="4" t="str">
        <f>"14355566"</f>
        <v>14355566</v>
      </c>
      <c r="F675" s="4" t="s">
        <v>62</v>
      </c>
    </row>
    <row r="676" spans="1:6" x14ac:dyDescent="0.25">
      <c r="A676" s="4" t="str">
        <f>"Cognitive Computation"</f>
        <v>Cognitive Computation</v>
      </c>
      <c r="B676" s="4" t="s">
        <v>6</v>
      </c>
      <c r="C676" s="4" t="str">
        <f t="shared" si="23"/>
        <v>-</v>
      </c>
      <c r="D676" s="4" t="str">
        <f>"18669956"</f>
        <v>18669956</v>
      </c>
      <c r="E676" s="4" t="str">
        <f>"18669964"</f>
        <v>18669964</v>
      </c>
      <c r="F676" s="4" t="s">
        <v>57</v>
      </c>
    </row>
    <row r="677" spans="1:6" x14ac:dyDescent="0.25">
      <c r="A677" s="4" t="str">
        <f>"Cognitive Systems Research"</f>
        <v>Cognitive Systems Research</v>
      </c>
      <c r="B677" s="4" t="s">
        <v>6</v>
      </c>
      <c r="C677" s="4" t="str">
        <f t="shared" si="23"/>
        <v>-</v>
      </c>
      <c r="D677" s="4" t="str">
        <f>"-"</f>
        <v>-</v>
      </c>
      <c r="E677" s="4" t="str">
        <f>"13890417"</f>
        <v>13890417</v>
      </c>
      <c r="F677" s="4" t="s">
        <v>55</v>
      </c>
    </row>
    <row r="678" spans="1:6" x14ac:dyDescent="0.25">
      <c r="A678" s="4" t="str">
        <f>"Cognitive Technologies"</f>
        <v>Cognitive Technologies</v>
      </c>
      <c r="B678" s="4" t="s">
        <v>29</v>
      </c>
      <c r="C678" s="4" t="str">
        <f t="shared" si="23"/>
        <v>-</v>
      </c>
      <c r="D678" s="4" t="str">
        <f>"16112482"</f>
        <v>16112482</v>
      </c>
      <c r="E678" s="4" t="str">
        <f>"-"</f>
        <v>-</v>
      </c>
      <c r="F678" s="4" t="s">
        <v>42</v>
      </c>
    </row>
    <row r="679" spans="1:6" x14ac:dyDescent="0.25">
      <c r="A679" s="4" t="str">
        <f>"Coke and Chemistry"</f>
        <v>Coke and Chemistry</v>
      </c>
      <c r="B679" s="4" t="s">
        <v>6</v>
      </c>
      <c r="C679" s="4" t="str">
        <f t="shared" si="23"/>
        <v>-</v>
      </c>
      <c r="D679" s="4" t="str">
        <f>"1068364X"</f>
        <v>1068364X</v>
      </c>
      <c r="E679" s="4" t="str">
        <f>"19348398"</f>
        <v>19348398</v>
      </c>
      <c r="F679" s="4" t="s">
        <v>145</v>
      </c>
    </row>
    <row r="680" spans="1:6" x14ac:dyDescent="0.25">
      <c r="A680" s="4" t="str">
        <f>"Cold Regions Science and Technology"</f>
        <v>Cold Regions Science and Technology</v>
      </c>
      <c r="B680" s="4" t="s">
        <v>6</v>
      </c>
      <c r="C680" s="4" t="str">
        <f t="shared" si="23"/>
        <v>-</v>
      </c>
      <c r="D680" s="4" t="str">
        <f>"0165232X"</f>
        <v>0165232X</v>
      </c>
      <c r="E680" s="4" t="str">
        <f>"-"</f>
        <v>-</v>
      </c>
      <c r="F680" s="4" t="s">
        <v>55</v>
      </c>
    </row>
    <row r="681" spans="1:6" x14ac:dyDescent="0.25">
      <c r="A681" s="4" t="str">
        <f>"Collection of Technical Papers - AIAA Applied Aerodynamics Conference"</f>
        <v>Collection of Technical Papers - AIAA Applied Aerodynamics Conference</v>
      </c>
      <c r="B681" s="4" t="s">
        <v>8</v>
      </c>
      <c r="C681" s="4" t="str">
        <f t="shared" si="23"/>
        <v>-</v>
      </c>
      <c r="D681" s="4" t="str">
        <f>"10485953"</f>
        <v>10485953</v>
      </c>
      <c r="E681" s="4" t="str">
        <f>"-"</f>
        <v>-</v>
      </c>
      <c r="F681" s="4" t="s">
        <v>104</v>
      </c>
    </row>
    <row r="682" spans="1:6" ht="30" x14ac:dyDescent="0.25">
      <c r="A682" s="4" t="str">
        <f>"Collection of Technical Papers - AIAA/ASME/ASCE/AHS/ASC Structures, Structural Dynamics and Materials Conference"</f>
        <v>Collection of Technical Papers - AIAA/ASME/ASCE/AHS/ASC Structures, Structural Dynamics and Materials Conference</v>
      </c>
      <c r="B682" s="4" t="s">
        <v>8</v>
      </c>
      <c r="C682" s="4" t="str">
        <f t="shared" si="23"/>
        <v>-</v>
      </c>
      <c r="D682" s="4" t="str">
        <f>"02734508"</f>
        <v>02734508</v>
      </c>
      <c r="E682" s="4" t="str">
        <f>"-"</f>
        <v>-</v>
      </c>
      <c r="F682" s="4" t="s">
        <v>104</v>
      </c>
    </row>
    <row r="683" spans="1:6" x14ac:dyDescent="0.25">
      <c r="A683" s="4" t="str">
        <f>"Colloid and Polymer Science"</f>
        <v>Colloid and Polymer Science</v>
      </c>
      <c r="B683" s="4" t="s">
        <v>6</v>
      </c>
      <c r="C683" s="4" t="str">
        <f t="shared" si="23"/>
        <v>-</v>
      </c>
      <c r="D683" s="4" t="str">
        <f>"0303402X"</f>
        <v>0303402X</v>
      </c>
      <c r="E683" s="4" t="str">
        <f>"14351536"</f>
        <v>14351536</v>
      </c>
      <c r="F683" s="4" t="s">
        <v>42</v>
      </c>
    </row>
    <row r="684" spans="1:6" x14ac:dyDescent="0.25">
      <c r="A684" s="4" t="str">
        <f>"Colloid Journal"</f>
        <v>Colloid Journal</v>
      </c>
      <c r="B684" s="4" t="s">
        <v>6</v>
      </c>
      <c r="C684" s="4" t="str">
        <f t="shared" si="23"/>
        <v>-</v>
      </c>
      <c r="D684" s="4" t="str">
        <f>"1061933X"</f>
        <v>1061933X</v>
      </c>
      <c r="E684" s="4" t="str">
        <f>"-"</f>
        <v>-</v>
      </c>
      <c r="F684" s="4" t="s">
        <v>171</v>
      </c>
    </row>
    <row r="685" spans="1:6" x14ac:dyDescent="0.25">
      <c r="A685" s="4" t="str">
        <f>"Colloids and Surfaces A: Physicochemical and Engineering Aspects"</f>
        <v>Colloids and Surfaces A: Physicochemical and Engineering Aspects</v>
      </c>
      <c r="B685" s="4" t="s">
        <v>6</v>
      </c>
      <c r="C685" s="4" t="str">
        <f t="shared" si="23"/>
        <v>-</v>
      </c>
      <c r="D685" s="4" t="str">
        <f>"09277757"</f>
        <v>09277757</v>
      </c>
      <c r="E685" s="4" t="str">
        <f>"18734359"</f>
        <v>18734359</v>
      </c>
      <c r="F685" s="4" t="s">
        <v>55</v>
      </c>
    </row>
    <row r="686" spans="1:6" x14ac:dyDescent="0.25">
      <c r="A686" s="4" t="str">
        <f>"Colloids and Surfaces B: Biointerfaces"</f>
        <v>Colloids and Surfaces B: Biointerfaces</v>
      </c>
      <c r="B686" s="4" t="s">
        <v>6</v>
      </c>
      <c r="C686" s="4" t="str">
        <f t="shared" si="23"/>
        <v>-</v>
      </c>
      <c r="D686" s="4" t="str">
        <f>"09277765"</f>
        <v>09277765</v>
      </c>
      <c r="E686" s="4" t="str">
        <f>"18734367"</f>
        <v>18734367</v>
      </c>
      <c r="F686" s="4" t="s">
        <v>55</v>
      </c>
    </row>
    <row r="687" spans="1:6" x14ac:dyDescent="0.25">
      <c r="A687" s="4" t="str">
        <f>"Colloquium in Information Science and Technology, CIST"</f>
        <v>Colloquium in Information Science and Technology, CIST</v>
      </c>
      <c r="B687" s="4" t="s">
        <v>8</v>
      </c>
      <c r="C687" s="4" t="str">
        <f t="shared" si="23"/>
        <v>-</v>
      </c>
      <c r="D687" s="4" t="str">
        <f>"2327185X"</f>
        <v>2327185X</v>
      </c>
      <c r="E687" s="4" t="str">
        <f>"23271884"</f>
        <v>23271884</v>
      </c>
      <c r="F687" s="4" t="s">
        <v>105</v>
      </c>
    </row>
    <row r="688" spans="1:6" x14ac:dyDescent="0.25">
      <c r="A688" s="4" t="str">
        <f>"Color Research and Application"</f>
        <v>Color Research and Application</v>
      </c>
      <c r="B688" s="4" t="s">
        <v>6</v>
      </c>
      <c r="C688" s="4" t="str">
        <f t="shared" si="23"/>
        <v>-</v>
      </c>
      <c r="D688" s="4" t="str">
        <f>"03612317"</f>
        <v>03612317</v>
      </c>
      <c r="E688" s="4" t="str">
        <f>"15206378"</f>
        <v>15206378</v>
      </c>
      <c r="F688" s="4" t="s">
        <v>87</v>
      </c>
    </row>
    <row r="689" spans="1:6" x14ac:dyDescent="0.25">
      <c r="A689" s="4" t="str">
        <f>"Coloration Technology"</f>
        <v>Coloration Technology</v>
      </c>
      <c r="B689" s="4" t="s">
        <v>6</v>
      </c>
      <c r="C689" s="4" t="str">
        <f t="shared" si="23"/>
        <v>-</v>
      </c>
      <c r="D689" s="4" t="str">
        <f>"14723581"</f>
        <v>14723581</v>
      </c>
      <c r="E689" s="4" t="str">
        <f>"14784408"</f>
        <v>14784408</v>
      </c>
      <c r="F689" s="4" t="s">
        <v>209</v>
      </c>
    </row>
    <row r="690" spans="1:6" x14ac:dyDescent="0.25">
      <c r="A690" s="4" t="str">
        <f>"Combinatorics Probability and Computing"</f>
        <v>Combinatorics Probability and Computing</v>
      </c>
      <c r="B690" s="4" t="s">
        <v>6</v>
      </c>
      <c r="C690" s="4" t="str">
        <f t="shared" si="23"/>
        <v>-</v>
      </c>
      <c r="D690" s="4" t="str">
        <f>"09635483"</f>
        <v>09635483</v>
      </c>
      <c r="E690" s="4" t="str">
        <f>"14692163"</f>
        <v>14692163</v>
      </c>
      <c r="F690" s="4" t="s">
        <v>152</v>
      </c>
    </row>
    <row r="691" spans="1:6" x14ac:dyDescent="0.25">
      <c r="A691" s="4" t="str">
        <f>"Combustion and Flame"</f>
        <v>Combustion and Flame</v>
      </c>
      <c r="B691" s="4" t="s">
        <v>6</v>
      </c>
      <c r="C691" s="4" t="str">
        <f t="shared" si="23"/>
        <v>-</v>
      </c>
      <c r="D691" s="4" t="str">
        <f>"00102180"</f>
        <v>00102180</v>
      </c>
      <c r="E691" s="4" t="str">
        <f>"15562921"</f>
        <v>15562921</v>
      </c>
      <c r="F691" s="4" t="s">
        <v>141</v>
      </c>
    </row>
    <row r="692" spans="1:6" x14ac:dyDescent="0.25">
      <c r="A692" s="4" t="str">
        <f>"Combustion Science and Technology"</f>
        <v>Combustion Science and Technology</v>
      </c>
      <c r="B692" s="4" t="s">
        <v>6</v>
      </c>
      <c r="C692" s="4" t="str">
        <f t="shared" si="23"/>
        <v>-</v>
      </c>
      <c r="D692" s="4" t="str">
        <f>"00102202"</f>
        <v>00102202</v>
      </c>
      <c r="E692" s="4" t="str">
        <f>"1563521X"</f>
        <v>1563521X</v>
      </c>
      <c r="F692" s="4" t="s">
        <v>96</v>
      </c>
    </row>
    <row r="693" spans="1:6" x14ac:dyDescent="0.25">
      <c r="A693" s="4" t="str">
        <f>"Combustion Theory and Modelling"</f>
        <v>Combustion Theory and Modelling</v>
      </c>
      <c r="B693" s="4" t="s">
        <v>6</v>
      </c>
      <c r="C693" s="4" t="str">
        <f t="shared" si="23"/>
        <v>-</v>
      </c>
      <c r="D693" s="4" t="str">
        <f>"13647830"</f>
        <v>13647830</v>
      </c>
      <c r="E693" s="4" t="str">
        <f>"17413559"</f>
        <v>17413559</v>
      </c>
      <c r="F693" s="4" t="s">
        <v>60</v>
      </c>
    </row>
    <row r="694" spans="1:6" x14ac:dyDescent="0.25">
      <c r="A694" s="4" t="str">
        <f>"Combustion, Explosion and Shock Waves"</f>
        <v>Combustion, Explosion and Shock Waves</v>
      </c>
      <c r="B694" s="4" t="s">
        <v>6</v>
      </c>
      <c r="C694" s="4" t="str">
        <f t="shared" si="23"/>
        <v>-</v>
      </c>
      <c r="D694" s="4" t="str">
        <f>"00105082"</f>
        <v>00105082</v>
      </c>
      <c r="E694" s="4" t="str">
        <f>"15738345"</f>
        <v>15738345</v>
      </c>
      <c r="F694" s="4" t="s">
        <v>57</v>
      </c>
    </row>
    <row r="695" spans="1:6" x14ac:dyDescent="0.25">
      <c r="A695" s="4" t="str">
        <f>"Communications in Computer and Information Science"</f>
        <v>Communications in Computer and Information Science</v>
      </c>
      <c r="B695" s="4" t="s">
        <v>29</v>
      </c>
      <c r="C695" s="4" t="str">
        <f t="shared" si="23"/>
        <v>-</v>
      </c>
      <c r="D695" s="4" t="str">
        <f>"18650929"</f>
        <v>18650929</v>
      </c>
      <c r="E695" s="4" t="str">
        <f>"-"</f>
        <v>-</v>
      </c>
      <c r="F695" s="4" t="s">
        <v>42</v>
      </c>
    </row>
    <row r="696" spans="1:6" x14ac:dyDescent="0.25">
      <c r="A696" s="4" t="str">
        <f>"Communications in Nonlinear Science and Numerical Simulation"</f>
        <v>Communications in Nonlinear Science and Numerical Simulation</v>
      </c>
      <c r="B696" s="4" t="s">
        <v>6</v>
      </c>
      <c r="C696" s="4" t="str">
        <f t="shared" si="23"/>
        <v>-</v>
      </c>
      <c r="D696" s="4" t="str">
        <f>"10075704"</f>
        <v>10075704</v>
      </c>
      <c r="E696" s="4" t="str">
        <f>"-"</f>
        <v>-</v>
      </c>
      <c r="F696" s="4" t="s">
        <v>55</v>
      </c>
    </row>
    <row r="697" spans="1:6" x14ac:dyDescent="0.25">
      <c r="A697" s="4" t="str">
        <f>"Communications in Statistics - Theory and Methods"</f>
        <v>Communications in Statistics - Theory and Methods</v>
      </c>
      <c r="B697" s="4" t="s">
        <v>6</v>
      </c>
      <c r="C697" s="4" t="str">
        <f t="shared" si="23"/>
        <v>-</v>
      </c>
      <c r="D697" s="4" t="str">
        <f>"03610926"</f>
        <v>03610926</v>
      </c>
      <c r="E697" s="4" t="str">
        <f>"1532415X"</f>
        <v>1532415X</v>
      </c>
      <c r="F697" s="4" t="s">
        <v>96</v>
      </c>
    </row>
    <row r="698" spans="1:6" x14ac:dyDescent="0.25">
      <c r="A698" s="4" t="str">
        <f>"Communications in Statistics: Simulation and Computation"</f>
        <v>Communications in Statistics: Simulation and Computation</v>
      </c>
      <c r="B698" s="4" t="s">
        <v>6</v>
      </c>
      <c r="C698" s="4" t="str">
        <f t="shared" si="23"/>
        <v>-</v>
      </c>
      <c r="D698" s="4" t="str">
        <f>"03610918"</f>
        <v>03610918</v>
      </c>
      <c r="E698" s="4" t="str">
        <f>"15324141"</f>
        <v>15324141</v>
      </c>
      <c r="F698" s="4" t="s">
        <v>96</v>
      </c>
    </row>
    <row r="699" spans="1:6" x14ac:dyDescent="0.25">
      <c r="A699" s="4" t="str">
        <f>"Communications of the ACM"</f>
        <v>Communications of the ACM</v>
      </c>
      <c r="B699" s="4" t="s">
        <v>6</v>
      </c>
      <c r="C699" s="4" t="str">
        <f t="shared" si="23"/>
        <v>-</v>
      </c>
      <c r="D699" s="4" t="str">
        <f>"00010782"</f>
        <v>00010782</v>
      </c>
      <c r="E699" s="4" t="str">
        <f>"15577317"</f>
        <v>15577317</v>
      </c>
      <c r="F699" s="4" t="s">
        <v>21</v>
      </c>
    </row>
    <row r="700" spans="1:6" x14ac:dyDescent="0.25">
      <c r="A700" s="4" t="str">
        <f>"Communications of the Association for Information Systems"</f>
        <v>Communications of the Association for Information Systems</v>
      </c>
      <c r="B700" s="4" t="s">
        <v>6</v>
      </c>
      <c r="C700" s="4" t="str">
        <f t="shared" si="23"/>
        <v>-</v>
      </c>
      <c r="D700" s="4" t="str">
        <f>"15293181"</f>
        <v>15293181</v>
      </c>
      <c r="E700" s="4" t="str">
        <f>"-"</f>
        <v>-</v>
      </c>
      <c r="F700" s="4" t="s">
        <v>289</v>
      </c>
    </row>
    <row r="701" spans="1:6" ht="30" x14ac:dyDescent="0.25">
      <c r="A701" s="4" t="str">
        <f>"COMPEL - The International Journal for Computation and Mathematics in Electrical and Electronic Engineering"</f>
        <v>COMPEL - The International Journal for Computation and Mathematics in Electrical and Electronic Engineering</v>
      </c>
      <c r="B701" s="4" t="s">
        <v>6</v>
      </c>
      <c r="C701" s="4" t="str">
        <f t="shared" si="23"/>
        <v>-</v>
      </c>
      <c r="D701" s="4" t="str">
        <f>"03321649"</f>
        <v>03321649</v>
      </c>
      <c r="E701" s="4" t="str">
        <f>"-"</f>
        <v>-</v>
      </c>
      <c r="F701" s="4" t="s">
        <v>110</v>
      </c>
    </row>
    <row r="702" spans="1:6" x14ac:dyDescent="0.25">
      <c r="A702" s="4" t="str">
        <f>"Complex Systems"</f>
        <v>Complex Systems</v>
      </c>
      <c r="B702" s="4" t="s">
        <v>6</v>
      </c>
      <c r="C702" s="4" t="str">
        <f t="shared" si="23"/>
        <v>-</v>
      </c>
      <c r="D702" s="4" t="str">
        <f>"08912513"</f>
        <v>08912513</v>
      </c>
      <c r="E702" s="4" t="str">
        <f>"-"</f>
        <v>-</v>
      </c>
      <c r="F702" s="4" t="s">
        <v>290</v>
      </c>
    </row>
    <row r="703" spans="1:6" x14ac:dyDescent="0.25">
      <c r="A703" s="4" t="str">
        <f>"Composite Interfaces"</f>
        <v>Composite Interfaces</v>
      </c>
      <c r="B703" s="4" t="s">
        <v>6</v>
      </c>
      <c r="C703" s="4" t="str">
        <f t="shared" si="23"/>
        <v>-</v>
      </c>
      <c r="D703" s="4" t="str">
        <f>"09276440"</f>
        <v>09276440</v>
      </c>
      <c r="E703" s="4" t="str">
        <f>"15685543"</f>
        <v>15685543</v>
      </c>
      <c r="F703" s="4" t="s">
        <v>60</v>
      </c>
    </row>
    <row r="704" spans="1:6" x14ac:dyDescent="0.25">
      <c r="A704" s="4" t="str">
        <f>"Composite Structures"</f>
        <v>Composite Structures</v>
      </c>
      <c r="B704" s="4" t="s">
        <v>6</v>
      </c>
      <c r="C704" s="4" t="str">
        <f t="shared" si="23"/>
        <v>-</v>
      </c>
      <c r="D704" s="4" t="str">
        <f>"02638223"</f>
        <v>02638223</v>
      </c>
      <c r="E704" s="4" t="str">
        <f>"-"</f>
        <v>-</v>
      </c>
      <c r="F704" s="4" t="s">
        <v>19</v>
      </c>
    </row>
    <row r="705" spans="1:6" x14ac:dyDescent="0.25">
      <c r="A705" s="4" t="str">
        <f>"Composites Part A: Applied Science and Manufacturing"</f>
        <v>Composites Part A: Applied Science and Manufacturing</v>
      </c>
      <c r="B705" s="4" t="s">
        <v>6</v>
      </c>
      <c r="C705" s="4" t="str">
        <f t="shared" si="23"/>
        <v>-</v>
      </c>
      <c r="D705" s="4" t="str">
        <f>"1359835X"</f>
        <v>1359835X</v>
      </c>
      <c r="E705" s="4" t="str">
        <f>"-"</f>
        <v>-</v>
      </c>
      <c r="F705" s="4" t="s">
        <v>19</v>
      </c>
    </row>
    <row r="706" spans="1:6" x14ac:dyDescent="0.25">
      <c r="A706" s="4" t="str">
        <f>"Composites Part B: Engineering"</f>
        <v>Composites Part B: Engineering</v>
      </c>
      <c r="B706" s="4" t="s">
        <v>6</v>
      </c>
      <c r="C706" s="4" t="str">
        <f t="shared" si="23"/>
        <v>-</v>
      </c>
      <c r="D706" s="4" t="str">
        <f>"13598368"</f>
        <v>13598368</v>
      </c>
      <c r="E706" s="4" t="str">
        <f>"-"</f>
        <v>-</v>
      </c>
      <c r="F706" s="4" t="s">
        <v>19</v>
      </c>
    </row>
    <row r="707" spans="1:6" x14ac:dyDescent="0.25">
      <c r="A707" s="4" t="str">
        <f>"Composites Science and Technology"</f>
        <v>Composites Science and Technology</v>
      </c>
      <c r="B707" s="4" t="s">
        <v>6</v>
      </c>
      <c r="C707" s="4" t="str">
        <f t="shared" si="23"/>
        <v>-</v>
      </c>
      <c r="D707" s="4" t="str">
        <f>"02663538"</f>
        <v>02663538</v>
      </c>
      <c r="E707" s="4" t="str">
        <f>"-"</f>
        <v>-</v>
      </c>
      <c r="F707" s="4" t="s">
        <v>19</v>
      </c>
    </row>
    <row r="708" spans="1:6" x14ac:dyDescent="0.25">
      <c r="A708" s="4" t="str">
        <f>"Composites: Mechanics, Computations, Applications"</f>
        <v>Composites: Mechanics, Computations, Applications</v>
      </c>
      <c r="B708" s="4" t="s">
        <v>6</v>
      </c>
      <c r="C708" s="4" t="str">
        <f t="shared" si="23"/>
        <v>-</v>
      </c>
      <c r="D708" s="4" t="str">
        <f>"21522057"</f>
        <v>21522057</v>
      </c>
      <c r="E708" s="4" t="str">
        <f>"21522073"</f>
        <v>21522073</v>
      </c>
      <c r="F708" s="4" t="s">
        <v>69</v>
      </c>
    </row>
    <row r="709" spans="1:6" x14ac:dyDescent="0.25">
      <c r="A709" s="4" t="str">
        <f>"Compost Science and Utilization"</f>
        <v>Compost Science and Utilization</v>
      </c>
      <c r="B709" s="4" t="s">
        <v>6</v>
      </c>
      <c r="C709" s="4" t="str">
        <f t="shared" si="23"/>
        <v>-</v>
      </c>
      <c r="D709" s="4" t="str">
        <f>"1065657X"</f>
        <v>1065657X</v>
      </c>
      <c r="E709" s="4" t="str">
        <f>"-"</f>
        <v>-</v>
      </c>
      <c r="F709" s="4" t="s">
        <v>96</v>
      </c>
    </row>
    <row r="710" spans="1:6" x14ac:dyDescent="0.25">
      <c r="A710" s="4" t="str">
        <f>"Comprehensive Reviews in Food Science and Food Safety"</f>
        <v>Comprehensive Reviews in Food Science and Food Safety</v>
      </c>
      <c r="B710" s="4" t="s">
        <v>6</v>
      </c>
      <c r="C710" s="4" t="str">
        <f t="shared" si="23"/>
        <v>-</v>
      </c>
      <c r="D710" s="4" t="str">
        <f>"-"</f>
        <v>-</v>
      </c>
      <c r="E710" s="4" t="str">
        <f>"15414337"</f>
        <v>15414337</v>
      </c>
      <c r="F710" s="4" t="s">
        <v>291</v>
      </c>
    </row>
    <row r="711" spans="1:6" x14ac:dyDescent="0.25">
      <c r="A711" s="4" t="str">
        <f>"Computational and Mathematical Organization Theory"</f>
        <v>Computational and Mathematical Organization Theory</v>
      </c>
      <c r="B711" s="4" t="s">
        <v>6</v>
      </c>
      <c r="C711" s="4" t="str">
        <f t="shared" si="23"/>
        <v>-</v>
      </c>
      <c r="D711" s="4" t="str">
        <f>"1381298X"</f>
        <v>1381298X</v>
      </c>
      <c r="E711" s="4" t="str">
        <f>"15729346"</f>
        <v>15729346</v>
      </c>
      <c r="F711" s="4" t="s">
        <v>57</v>
      </c>
    </row>
    <row r="712" spans="1:6" x14ac:dyDescent="0.25">
      <c r="A712" s="4" t="str">
        <f>"Computational Biology and Chemistry"</f>
        <v>Computational Biology and Chemistry</v>
      </c>
      <c r="B712" s="4" t="s">
        <v>6</v>
      </c>
      <c r="C712" s="4" t="str">
        <f t="shared" si="23"/>
        <v>-</v>
      </c>
      <c r="D712" s="4" t="str">
        <f>"14769271"</f>
        <v>14769271</v>
      </c>
      <c r="E712" s="4" t="str">
        <f>"-"</f>
        <v>-</v>
      </c>
      <c r="F712" s="4" t="s">
        <v>19</v>
      </c>
    </row>
    <row r="713" spans="1:6" x14ac:dyDescent="0.25">
      <c r="A713" s="4" t="str">
        <f>"Computational Geometry: Theory and Applications"</f>
        <v>Computational Geometry: Theory and Applications</v>
      </c>
      <c r="B713" s="4" t="s">
        <v>6</v>
      </c>
      <c r="C713" s="4" t="str">
        <f t="shared" si="23"/>
        <v>-</v>
      </c>
      <c r="D713" s="4" t="str">
        <f>"09257721"</f>
        <v>09257721</v>
      </c>
      <c r="E713" s="4" t="str">
        <f>"-"</f>
        <v>-</v>
      </c>
      <c r="F713" s="4" t="s">
        <v>55</v>
      </c>
    </row>
    <row r="714" spans="1:6" x14ac:dyDescent="0.25">
      <c r="A714" s="4" t="str">
        <f>"Computational Intelligence"</f>
        <v>Computational Intelligence</v>
      </c>
      <c r="B714" s="4" t="s">
        <v>6</v>
      </c>
      <c r="C714" s="4" t="str">
        <f t="shared" ref="C714:C777" si="24">"-"</f>
        <v>-</v>
      </c>
      <c r="D714" s="4" t="str">
        <f>"08247935"</f>
        <v>08247935</v>
      </c>
      <c r="E714" s="4" t="str">
        <f>"14678640"</f>
        <v>14678640</v>
      </c>
      <c r="F714" s="4" t="s">
        <v>291</v>
      </c>
    </row>
    <row r="715" spans="1:6" x14ac:dyDescent="0.25">
      <c r="A715" s="4" t="str">
        <f>"Computational Intelligence and Neuroscience"</f>
        <v>Computational Intelligence and Neuroscience</v>
      </c>
      <c r="B715" s="4" t="s">
        <v>6</v>
      </c>
      <c r="C715" s="4" t="str">
        <f t="shared" si="24"/>
        <v>-</v>
      </c>
      <c r="D715" s="4" t="str">
        <f>"16875265"</f>
        <v>16875265</v>
      </c>
      <c r="E715" s="4" t="str">
        <f>"16875273"</f>
        <v>16875273</v>
      </c>
      <c r="F715" s="4" t="s">
        <v>54</v>
      </c>
    </row>
    <row r="716" spans="1:6" x14ac:dyDescent="0.25">
      <c r="A716" s="4" t="str">
        <f>"Computational Linguistics in the Netherlands Journal"</f>
        <v>Computational Linguistics in the Netherlands Journal</v>
      </c>
      <c r="B716" s="4" t="s">
        <v>8</v>
      </c>
      <c r="C716" s="4" t="str">
        <f t="shared" si="24"/>
        <v>-</v>
      </c>
      <c r="D716" s="4" t="str">
        <f>"22114009"</f>
        <v>22114009</v>
      </c>
      <c r="E716" s="4" t="str">
        <f>"-"</f>
        <v>-</v>
      </c>
      <c r="F716" s="4" t="s">
        <v>292</v>
      </c>
    </row>
    <row r="717" spans="1:6" x14ac:dyDescent="0.25">
      <c r="A717" s="4" t="str">
        <f>"Computational Materials Science"</f>
        <v>Computational Materials Science</v>
      </c>
      <c r="B717" s="4" t="s">
        <v>6</v>
      </c>
      <c r="C717" s="4" t="str">
        <f t="shared" si="24"/>
        <v>-</v>
      </c>
      <c r="D717" s="4" t="str">
        <f>"09270256"</f>
        <v>09270256</v>
      </c>
      <c r="E717" s="4" t="str">
        <f>"-"</f>
        <v>-</v>
      </c>
      <c r="F717" s="4" t="s">
        <v>55</v>
      </c>
    </row>
    <row r="718" spans="1:6" x14ac:dyDescent="0.25">
      <c r="A718" s="4" t="str">
        <f>"Computational Mechanics"</f>
        <v>Computational Mechanics</v>
      </c>
      <c r="B718" s="4" t="s">
        <v>6</v>
      </c>
      <c r="C718" s="4" t="str">
        <f t="shared" si="24"/>
        <v>-</v>
      </c>
      <c r="D718" s="4" t="str">
        <f>"01787675"</f>
        <v>01787675</v>
      </c>
      <c r="E718" s="4" t="str">
        <f>"-"</f>
        <v>-</v>
      </c>
      <c r="F718" s="4" t="s">
        <v>42</v>
      </c>
    </row>
    <row r="719" spans="1:6" x14ac:dyDescent="0.25">
      <c r="A719" s="4" t="str">
        <f>"Computational Methods in Applied Mathematics"</f>
        <v>Computational Methods in Applied Mathematics</v>
      </c>
      <c r="B719" s="4" t="s">
        <v>6</v>
      </c>
      <c r="C719" s="4" t="str">
        <f t="shared" si="24"/>
        <v>-</v>
      </c>
      <c r="D719" s="4" t="str">
        <f>"16094840"</f>
        <v>16094840</v>
      </c>
      <c r="E719" s="4" t="str">
        <f>"16099389"</f>
        <v>16099389</v>
      </c>
      <c r="F719" s="4" t="s">
        <v>189</v>
      </c>
    </row>
    <row r="720" spans="1:6" x14ac:dyDescent="0.25">
      <c r="A720" s="4" t="str">
        <f>"Computational Optimization and Applications"</f>
        <v>Computational Optimization and Applications</v>
      </c>
      <c r="B720" s="4" t="s">
        <v>6</v>
      </c>
      <c r="C720" s="4" t="str">
        <f t="shared" si="24"/>
        <v>-</v>
      </c>
      <c r="D720" s="4" t="str">
        <f>"09266003"</f>
        <v>09266003</v>
      </c>
      <c r="E720" s="4" t="str">
        <f>"15732894"</f>
        <v>15732894</v>
      </c>
      <c r="F720" s="4" t="s">
        <v>57</v>
      </c>
    </row>
    <row r="721" spans="1:6" x14ac:dyDescent="0.25">
      <c r="A721" s="4" t="str">
        <f>"Computational Science and Discovery"</f>
        <v>Computational Science and Discovery</v>
      </c>
      <c r="B721" s="4" t="s">
        <v>6</v>
      </c>
      <c r="C721" s="4" t="str">
        <f t="shared" si="24"/>
        <v>-</v>
      </c>
      <c r="D721" s="4" t="str">
        <f>"17494680"</f>
        <v>17494680</v>
      </c>
      <c r="E721" s="4" t="str">
        <f>"17494699"</f>
        <v>17494699</v>
      </c>
      <c r="F721" s="4" t="s">
        <v>184</v>
      </c>
    </row>
    <row r="722" spans="1:6" x14ac:dyDescent="0.25">
      <c r="A722" s="4" t="str">
        <f>"Computational Statistics and Data Analysis"</f>
        <v>Computational Statistics and Data Analysis</v>
      </c>
      <c r="B722" s="4" t="s">
        <v>6</v>
      </c>
      <c r="C722" s="4" t="str">
        <f t="shared" si="24"/>
        <v>-</v>
      </c>
      <c r="D722" s="4" t="str">
        <f>"01679473"</f>
        <v>01679473</v>
      </c>
      <c r="E722" s="4" t="str">
        <f>"-"</f>
        <v>-</v>
      </c>
      <c r="F722" s="4" t="s">
        <v>55</v>
      </c>
    </row>
    <row r="723" spans="1:6" x14ac:dyDescent="0.25">
      <c r="A723" s="4" t="str">
        <f>"Computational Thermal Sciences"</f>
        <v>Computational Thermal Sciences</v>
      </c>
      <c r="B723" s="4" t="s">
        <v>6</v>
      </c>
      <c r="C723" s="4" t="str">
        <f t="shared" si="24"/>
        <v>-</v>
      </c>
      <c r="D723" s="4" t="str">
        <f>"19402503"</f>
        <v>19402503</v>
      </c>
      <c r="E723" s="4" t="str">
        <f>"19402554"</f>
        <v>19402554</v>
      </c>
      <c r="F723" s="4" t="s">
        <v>69</v>
      </c>
    </row>
    <row r="724" spans="1:6" x14ac:dyDescent="0.25">
      <c r="A724" s="4" t="str">
        <f>"Computer"</f>
        <v>Computer</v>
      </c>
      <c r="B724" s="4" t="s">
        <v>22</v>
      </c>
      <c r="C724" s="4" t="str">
        <f t="shared" si="24"/>
        <v>-</v>
      </c>
      <c r="D724" s="4" t="str">
        <f>"00189162"</f>
        <v>00189162</v>
      </c>
      <c r="E724" s="4" t="str">
        <f>"-"</f>
        <v>-</v>
      </c>
      <c r="F724" s="4" t="s">
        <v>9</v>
      </c>
    </row>
    <row r="725" spans="1:6" x14ac:dyDescent="0.25">
      <c r="A725" s="4" t="str">
        <f>"Computer Aided Geometric Design"</f>
        <v>Computer Aided Geometric Design</v>
      </c>
      <c r="B725" s="4" t="s">
        <v>6</v>
      </c>
      <c r="C725" s="4" t="str">
        <f t="shared" si="24"/>
        <v>-</v>
      </c>
      <c r="D725" s="4" t="str">
        <f>"01678396"</f>
        <v>01678396</v>
      </c>
      <c r="E725" s="4" t="str">
        <f>"-"</f>
        <v>-</v>
      </c>
      <c r="F725" s="4" t="s">
        <v>55</v>
      </c>
    </row>
    <row r="726" spans="1:6" x14ac:dyDescent="0.25">
      <c r="A726" s="4" t="str">
        <f>"Computer Animation and Virtual Worlds"</f>
        <v>Computer Animation and Virtual Worlds</v>
      </c>
      <c r="B726" s="4" t="s">
        <v>6</v>
      </c>
      <c r="C726" s="4" t="str">
        <f t="shared" si="24"/>
        <v>-</v>
      </c>
      <c r="D726" s="4" t="str">
        <f>"15464261"</f>
        <v>15464261</v>
      </c>
      <c r="E726" s="4" t="str">
        <f>"1546427X"</f>
        <v>1546427X</v>
      </c>
      <c r="F726" s="4" t="s">
        <v>142</v>
      </c>
    </row>
    <row r="727" spans="1:6" x14ac:dyDescent="0.25">
      <c r="A727" s="4" t="str">
        <f>"Computer Animation, Conference Proceedings"</f>
        <v>Computer Animation, Conference Proceedings</v>
      </c>
      <c r="B727" s="4" t="s">
        <v>8</v>
      </c>
      <c r="C727" s="4" t="str">
        <f t="shared" si="24"/>
        <v>-</v>
      </c>
      <c r="D727" s="4" t="str">
        <f>"-"</f>
        <v>-</v>
      </c>
      <c r="E727" s="4" t="str">
        <f>"-"</f>
        <v>-</v>
      </c>
      <c r="F727" s="4" t="s">
        <v>105</v>
      </c>
    </row>
    <row r="728" spans="1:6" x14ac:dyDescent="0.25">
      <c r="A728" s="4" t="str">
        <f>"Computer Applications in Engineering Education"</f>
        <v>Computer Applications in Engineering Education</v>
      </c>
      <c r="B728" s="4" t="s">
        <v>6</v>
      </c>
      <c r="C728" s="4" t="str">
        <f t="shared" si="24"/>
        <v>-</v>
      </c>
      <c r="D728" s="4" t="str">
        <f>"10613773"</f>
        <v>10613773</v>
      </c>
      <c r="E728" s="4" t="str">
        <f>"10990542"</f>
        <v>10990542</v>
      </c>
      <c r="F728" s="4" t="s">
        <v>87</v>
      </c>
    </row>
    <row r="729" spans="1:6" x14ac:dyDescent="0.25">
      <c r="A729" s="4" t="str">
        <f>"Computer Communication Review"</f>
        <v>Computer Communication Review</v>
      </c>
      <c r="B729" s="4" t="s">
        <v>8</v>
      </c>
      <c r="C729" s="4" t="str">
        <f t="shared" si="24"/>
        <v>-</v>
      </c>
      <c r="D729" s="4" t="str">
        <f>"01464833"</f>
        <v>01464833</v>
      </c>
      <c r="E729" s="4" t="str">
        <f>"19435819"</f>
        <v>19435819</v>
      </c>
      <c r="F729" s="4" t="s">
        <v>21</v>
      </c>
    </row>
    <row r="730" spans="1:6" x14ac:dyDescent="0.25">
      <c r="A730" s="4" t="str">
        <f>"Computer Communications"</f>
        <v>Computer Communications</v>
      </c>
      <c r="B730" s="4" t="s">
        <v>6</v>
      </c>
      <c r="C730" s="4" t="str">
        <f t="shared" si="24"/>
        <v>-</v>
      </c>
      <c r="D730" s="4" t="str">
        <f>"01403664"</f>
        <v>01403664</v>
      </c>
      <c r="E730" s="4" t="str">
        <f>"-"</f>
        <v>-</v>
      </c>
      <c r="F730" s="4" t="s">
        <v>55</v>
      </c>
    </row>
    <row r="731" spans="1:6" x14ac:dyDescent="0.25">
      <c r="A731" s="4" t="str">
        <f>"Computer Fraud and Security"</f>
        <v>Computer Fraud and Security</v>
      </c>
      <c r="B731" s="4" t="s">
        <v>6</v>
      </c>
      <c r="C731" s="4" t="str">
        <f t="shared" si="24"/>
        <v>-</v>
      </c>
      <c r="D731" s="4" t="str">
        <f>"13613723"</f>
        <v>13613723</v>
      </c>
      <c r="E731" s="4" t="str">
        <f>"-"</f>
        <v>-</v>
      </c>
      <c r="F731" s="4" t="s">
        <v>19</v>
      </c>
    </row>
    <row r="732" spans="1:6" x14ac:dyDescent="0.25">
      <c r="A732" s="4" t="str">
        <f>"Computer Graphics (ACM)"</f>
        <v>Computer Graphics (ACM)</v>
      </c>
      <c r="B732" s="4" t="s">
        <v>22</v>
      </c>
      <c r="C732" s="4" t="str">
        <f t="shared" si="24"/>
        <v>-</v>
      </c>
      <c r="D732" s="4" t="str">
        <f>"00978930"</f>
        <v>00978930</v>
      </c>
      <c r="E732" s="4" t="str">
        <f>"-"</f>
        <v>-</v>
      </c>
      <c r="F732" s="4" t="s">
        <v>21</v>
      </c>
    </row>
    <row r="733" spans="1:6" x14ac:dyDescent="0.25">
      <c r="A733" s="4" t="str">
        <f>"Computer Graphics Forum"</f>
        <v>Computer Graphics Forum</v>
      </c>
      <c r="B733" s="4" t="s">
        <v>6</v>
      </c>
      <c r="C733" s="4" t="str">
        <f t="shared" si="24"/>
        <v>-</v>
      </c>
      <c r="D733" s="4" t="str">
        <f>"01677055"</f>
        <v>01677055</v>
      </c>
      <c r="E733" s="4" t="str">
        <f>"14678659"</f>
        <v>14678659</v>
      </c>
      <c r="F733" s="4" t="s">
        <v>209</v>
      </c>
    </row>
    <row r="734" spans="1:6" x14ac:dyDescent="0.25">
      <c r="A734" s="4" t="str">
        <f>"Computer Journal"</f>
        <v>Computer Journal</v>
      </c>
      <c r="B734" s="4" t="s">
        <v>6</v>
      </c>
      <c r="C734" s="4" t="str">
        <f t="shared" si="24"/>
        <v>-</v>
      </c>
      <c r="D734" s="4" t="str">
        <f>"00104620"</f>
        <v>00104620</v>
      </c>
      <c r="E734" s="4" t="str">
        <f>"14602067"</f>
        <v>14602067</v>
      </c>
      <c r="F734" s="4" t="s">
        <v>126</v>
      </c>
    </row>
    <row r="735" spans="1:6" x14ac:dyDescent="0.25">
      <c r="A735" s="4" t="str">
        <f>"Computer Languages, Systems and Structures"</f>
        <v>Computer Languages, Systems and Structures</v>
      </c>
      <c r="B735" s="4" t="s">
        <v>6</v>
      </c>
      <c r="C735" s="4" t="str">
        <f t="shared" si="24"/>
        <v>-</v>
      </c>
      <c r="D735" s="4" t="str">
        <f>"14778424"</f>
        <v>14778424</v>
      </c>
      <c r="E735" s="4" t="str">
        <f>"-"</f>
        <v>-</v>
      </c>
      <c r="F735" s="4" t="s">
        <v>19</v>
      </c>
    </row>
    <row r="736" spans="1:6" x14ac:dyDescent="0.25">
      <c r="A736" s="4" t="str">
        <f>"Computer Law and Security Review"</f>
        <v>Computer Law and Security Review</v>
      </c>
      <c r="B736" s="4" t="s">
        <v>6</v>
      </c>
      <c r="C736" s="4" t="str">
        <f t="shared" si="24"/>
        <v>-</v>
      </c>
      <c r="D736" s="4" t="str">
        <f>"02673649"</f>
        <v>02673649</v>
      </c>
      <c r="E736" s="4" t="str">
        <f>"-"</f>
        <v>-</v>
      </c>
      <c r="F736" s="4" t="s">
        <v>19</v>
      </c>
    </row>
    <row r="737" spans="1:6" x14ac:dyDescent="0.25">
      <c r="A737" s="4" t="str">
        <f>"Computer Methods and Programs in Biomedicine"</f>
        <v>Computer Methods and Programs in Biomedicine</v>
      </c>
      <c r="B737" s="4" t="s">
        <v>6</v>
      </c>
      <c r="C737" s="4" t="str">
        <f t="shared" si="24"/>
        <v>-</v>
      </c>
      <c r="D737" s="4" t="str">
        <f>"01692607"</f>
        <v>01692607</v>
      </c>
      <c r="E737" s="4" t="str">
        <f>"18727565"</f>
        <v>18727565</v>
      </c>
      <c r="F737" s="4" t="s">
        <v>293</v>
      </c>
    </row>
    <row r="738" spans="1:6" x14ac:dyDescent="0.25">
      <c r="A738" s="4" t="str">
        <f>"Computer Methods in Applied Mechanics and Engineering"</f>
        <v>Computer Methods in Applied Mechanics and Engineering</v>
      </c>
      <c r="B738" s="4" t="s">
        <v>6</v>
      </c>
      <c r="C738" s="4" t="str">
        <f t="shared" si="24"/>
        <v>-</v>
      </c>
      <c r="D738" s="4" t="str">
        <f>"00457825"</f>
        <v>00457825</v>
      </c>
      <c r="E738" s="4" t="str">
        <f>"-"</f>
        <v>-</v>
      </c>
      <c r="F738" s="4" t="s">
        <v>55</v>
      </c>
    </row>
    <row r="739" spans="1:6" x14ac:dyDescent="0.25">
      <c r="A739" s="4" t="str">
        <f>"Computer Methods in Biomechanics and Biomedical Engineering"</f>
        <v>Computer Methods in Biomechanics and Biomedical Engineering</v>
      </c>
      <c r="B739" s="4" t="s">
        <v>6</v>
      </c>
      <c r="C739" s="4" t="str">
        <f t="shared" si="24"/>
        <v>-</v>
      </c>
      <c r="D739" s="4" t="str">
        <f>"10255842"</f>
        <v>10255842</v>
      </c>
      <c r="E739" s="4" t="str">
        <f>"14768259"</f>
        <v>14768259</v>
      </c>
      <c r="F739" s="4" t="s">
        <v>60</v>
      </c>
    </row>
    <row r="740" spans="1:6" x14ac:dyDescent="0.25">
      <c r="A740" s="4" t="str">
        <f>"Computer Music Journal"</f>
        <v>Computer Music Journal</v>
      </c>
      <c r="B740" s="4" t="s">
        <v>6</v>
      </c>
      <c r="C740" s="4" t="str">
        <f t="shared" si="24"/>
        <v>-</v>
      </c>
      <c r="D740" s="4" t="str">
        <f>"01489267"</f>
        <v>01489267</v>
      </c>
      <c r="E740" s="4" t="str">
        <f>"15315169"</f>
        <v>15315169</v>
      </c>
      <c r="F740" s="4" t="s">
        <v>153</v>
      </c>
    </row>
    <row r="741" spans="1:6" x14ac:dyDescent="0.25">
      <c r="A741" s="4" t="str">
        <f>"Computer Networks"</f>
        <v>Computer Networks</v>
      </c>
      <c r="B741" s="4" t="s">
        <v>6</v>
      </c>
      <c r="C741" s="4" t="str">
        <f t="shared" si="24"/>
        <v>-</v>
      </c>
      <c r="D741" s="4" t="str">
        <f>"13891286"</f>
        <v>13891286</v>
      </c>
      <c r="E741" s="4" t="str">
        <f>"-"</f>
        <v>-</v>
      </c>
      <c r="F741" s="4" t="s">
        <v>55</v>
      </c>
    </row>
    <row r="742" spans="1:6" x14ac:dyDescent="0.25">
      <c r="A742" s="4" t="str">
        <f>"Computer Optics"</f>
        <v>Computer Optics</v>
      </c>
      <c r="B742" s="4" t="s">
        <v>6</v>
      </c>
      <c r="C742" s="4" t="str">
        <f t="shared" si="24"/>
        <v>-</v>
      </c>
      <c r="D742" s="4" t="str">
        <f>"01342452"</f>
        <v>01342452</v>
      </c>
      <c r="E742" s="4" t="str">
        <f>"-"</f>
        <v>-</v>
      </c>
      <c r="F742" s="4" t="s">
        <v>294</v>
      </c>
    </row>
    <row r="743" spans="1:6" x14ac:dyDescent="0.25">
      <c r="A743" s="4" t="str">
        <f>"Computer Physics Communications"</f>
        <v>Computer Physics Communications</v>
      </c>
      <c r="B743" s="4" t="s">
        <v>6</v>
      </c>
      <c r="C743" s="4" t="str">
        <f t="shared" si="24"/>
        <v>-</v>
      </c>
      <c r="D743" s="4" t="str">
        <f>"00104655"</f>
        <v>00104655</v>
      </c>
      <c r="E743" s="4" t="str">
        <f>"-"</f>
        <v>-</v>
      </c>
      <c r="F743" s="4" t="s">
        <v>55</v>
      </c>
    </row>
    <row r="744" spans="1:6" x14ac:dyDescent="0.25">
      <c r="A744" s="4" t="str">
        <f>"Computer Science - Research and Development"</f>
        <v>Computer Science - Research and Development</v>
      </c>
      <c r="B744" s="4" t="s">
        <v>6</v>
      </c>
      <c r="C744" s="4" t="str">
        <f t="shared" si="24"/>
        <v>-</v>
      </c>
      <c r="D744" s="4" t="str">
        <f>"18652034"</f>
        <v>18652034</v>
      </c>
      <c r="E744" s="4" t="str">
        <f>"18652042"</f>
        <v>18652042</v>
      </c>
      <c r="F744" s="4" t="s">
        <v>42</v>
      </c>
    </row>
    <row r="745" spans="1:6" x14ac:dyDescent="0.25">
      <c r="A745" s="4" t="str">
        <f>"Computer Science Review"</f>
        <v>Computer Science Review</v>
      </c>
      <c r="B745" s="4" t="s">
        <v>6</v>
      </c>
      <c r="C745" s="4" t="str">
        <f t="shared" si="24"/>
        <v>-</v>
      </c>
      <c r="D745" s="4" t="str">
        <f>"15740137"</f>
        <v>15740137</v>
      </c>
      <c r="E745" s="4" t="str">
        <f>"-"</f>
        <v>-</v>
      </c>
      <c r="F745" s="4" t="s">
        <v>293</v>
      </c>
    </row>
    <row r="746" spans="1:6" x14ac:dyDescent="0.25">
      <c r="A746" s="4" t="str">
        <f>"Computer Software"</f>
        <v>Computer Software</v>
      </c>
      <c r="B746" s="4" t="s">
        <v>6</v>
      </c>
      <c r="C746" s="4" t="str">
        <f t="shared" si="24"/>
        <v>-</v>
      </c>
      <c r="D746" s="4" t="str">
        <f>"02896540"</f>
        <v>02896540</v>
      </c>
      <c r="E746" s="4" t="str">
        <f>"-"</f>
        <v>-</v>
      </c>
      <c r="F746" s="4" t="s">
        <v>295</v>
      </c>
    </row>
    <row r="747" spans="1:6" x14ac:dyDescent="0.25">
      <c r="A747" s="4" t="str">
        <f>"Computer Speech and Language"</f>
        <v>Computer Speech and Language</v>
      </c>
      <c r="B747" s="4" t="s">
        <v>6</v>
      </c>
      <c r="C747" s="4" t="str">
        <f t="shared" si="24"/>
        <v>-</v>
      </c>
      <c r="D747" s="4" t="str">
        <f>"08852308"</f>
        <v>08852308</v>
      </c>
      <c r="E747" s="4" t="str">
        <f>"10958363"</f>
        <v>10958363</v>
      </c>
      <c r="F747" s="4" t="s">
        <v>193</v>
      </c>
    </row>
    <row r="748" spans="1:6" x14ac:dyDescent="0.25">
      <c r="A748" s="4" t="str">
        <f>"Computer Standards and Interfaces"</f>
        <v>Computer Standards and Interfaces</v>
      </c>
      <c r="B748" s="4" t="s">
        <v>6</v>
      </c>
      <c r="C748" s="4" t="str">
        <f t="shared" si="24"/>
        <v>-</v>
      </c>
      <c r="D748" s="4" t="str">
        <f>"09205489"</f>
        <v>09205489</v>
      </c>
      <c r="E748" s="4" t="str">
        <f>"-"</f>
        <v>-</v>
      </c>
      <c r="F748" s="4" t="s">
        <v>55</v>
      </c>
    </row>
    <row r="749" spans="1:6" x14ac:dyDescent="0.25">
      <c r="A749" s="4" t="str">
        <f>"Computer Supported Cooperative Work: CSCW: An International Journal"</f>
        <v>Computer Supported Cooperative Work: CSCW: An International Journal</v>
      </c>
      <c r="B749" s="4" t="s">
        <v>6</v>
      </c>
      <c r="C749" s="4" t="str">
        <f t="shared" si="24"/>
        <v>-</v>
      </c>
      <c r="D749" s="4" t="str">
        <f>"09259724"</f>
        <v>09259724</v>
      </c>
      <c r="E749" s="4" t="str">
        <f>"15737551"</f>
        <v>15737551</v>
      </c>
      <c r="F749" s="4" t="s">
        <v>31</v>
      </c>
    </row>
    <row r="750" spans="1:6" x14ac:dyDescent="0.25">
      <c r="A750" s="4" t="str">
        <f>"Computer Systems Science and Engineering"</f>
        <v>Computer Systems Science and Engineering</v>
      </c>
      <c r="B750" s="4" t="s">
        <v>6</v>
      </c>
      <c r="C750" s="4" t="str">
        <f t="shared" si="24"/>
        <v>-</v>
      </c>
      <c r="D750" s="4" t="str">
        <f>"02676192"</f>
        <v>02676192</v>
      </c>
      <c r="E750" s="4" t="str">
        <f>"-"</f>
        <v>-</v>
      </c>
      <c r="F750" s="4" t="s">
        <v>296</v>
      </c>
    </row>
    <row r="751" spans="1:6" x14ac:dyDescent="0.25">
      <c r="A751" s="4" t="str">
        <f>"Computer Vision and Image Understanding"</f>
        <v>Computer Vision and Image Understanding</v>
      </c>
      <c r="B751" s="4" t="s">
        <v>6</v>
      </c>
      <c r="C751" s="4" t="str">
        <f t="shared" si="24"/>
        <v>-</v>
      </c>
      <c r="D751" s="4" t="str">
        <f>"10773142"</f>
        <v>10773142</v>
      </c>
      <c r="E751" s="4" t="str">
        <f>"1090235X"</f>
        <v>1090235X</v>
      </c>
      <c r="F751" s="4" t="s">
        <v>71</v>
      </c>
    </row>
    <row r="752" spans="1:6" x14ac:dyDescent="0.25">
      <c r="A752" s="4" t="str">
        <f>"Computer-Aided Civil and Infrastructure Engineering"</f>
        <v>Computer-Aided Civil and Infrastructure Engineering</v>
      </c>
      <c r="B752" s="4" t="s">
        <v>6</v>
      </c>
      <c r="C752" s="4" t="str">
        <f t="shared" si="24"/>
        <v>-</v>
      </c>
      <c r="D752" s="4" t="str">
        <f>"10939687"</f>
        <v>10939687</v>
      </c>
      <c r="E752" s="4" t="str">
        <f>"14678667"</f>
        <v>14678667</v>
      </c>
      <c r="F752" s="4" t="s">
        <v>291</v>
      </c>
    </row>
    <row r="753" spans="1:6" x14ac:dyDescent="0.25">
      <c r="A753" s="4" t="str">
        <f>"Computer-Aided Design and Applications"</f>
        <v>Computer-Aided Design and Applications</v>
      </c>
      <c r="B753" s="4" t="s">
        <v>6</v>
      </c>
      <c r="C753" s="4" t="str">
        <f t="shared" si="24"/>
        <v>-</v>
      </c>
      <c r="D753" s="4" t="str">
        <f>"16864360"</f>
        <v>16864360</v>
      </c>
      <c r="E753" s="4" t="str">
        <f>"-"</f>
        <v>-</v>
      </c>
      <c r="F753" s="4" t="s">
        <v>96</v>
      </c>
    </row>
    <row r="754" spans="1:6" x14ac:dyDescent="0.25">
      <c r="A754" s="4" t="str">
        <f>"Computerized Medical Imaging and Graphics"</f>
        <v>Computerized Medical Imaging and Graphics</v>
      </c>
      <c r="B754" s="4" t="s">
        <v>6</v>
      </c>
      <c r="C754" s="4" t="str">
        <f t="shared" si="24"/>
        <v>-</v>
      </c>
      <c r="D754" s="4" t="str">
        <f>"08956111"</f>
        <v>08956111</v>
      </c>
      <c r="E754" s="4" t="str">
        <f>"18790771"</f>
        <v>18790771</v>
      </c>
      <c r="F754" s="4" t="s">
        <v>19</v>
      </c>
    </row>
    <row r="755" spans="1:6" x14ac:dyDescent="0.25">
      <c r="A755" s="4" t="str">
        <f>"Computers and Chemical Engineering"</f>
        <v>Computers and Chemical Engineering</v>
      </c>
      <c r="B755" s="4" t="s">
        <v>6</v>
      </c>
      <c r="C755" s="4" t="str">
        <f t="shared" si="24"/>
        <v>-</v>
      </c>
      <c r="D755" s="4" t="str">
        <f>"00981354"</f>
        <v>00981354</v>
      </c>
      <c r="E755" s="4" t="str">
        <f t="shared" ref="E755:E761" si="25">"-"</f>
        <v>-</v>
      </c>
      <c r="F755" s="4" t="s">
        <v>19</v>
      </c>
    </row>
    <row r="756" spans="1:6" x14ac:dyDescent="0.25">
      <c r="A756" s="4" t="str">
        <f>"Computers and Concrete"</f>
        <v>Computers and Concrete</v>
      </c>
      <c r="B756" s="4" t="s">
        <v>6</v>
      </c>
      <c r="C756" s="4" t="str">
        <f t="shared" si="24"/>
        <v>-</v>
      </c>
      <c r="D756" s="4" t="str">
        <f>"15988198"</f>
        <v>15988198</v>
      </c>
      <c r="E756" s="4" t="str">
        <f t="shared" si="25"/>
        <v>-</v>
      </c>
      <c r="F756" s="4" t="s">
        <v>297</v>
      </c>
    </row>
    <row r="757" spans="1:6" x14ac:dyDescent="0.25">
      <c r="A757" s="4" t="str">
        <f>"Computers and Education"</f>
        <v>Computers and Education</v>
      </c>
      <c r="B757" s="4" t="s">
        <v>6</v>
      </c>
      <c r="C757" s="4" t="str">
        <f t="shared" si="24"/>
        <v>-</v>
      </c>
      <c r="D757" s="4" t="str">
        <f>"03601315"</f>
        <v>03601315</v>
      </c>
      <c r="E757" s="4" t="str">
        <f t="shared" si="25"/>
        <v>-</v>
      </c>
      <c r="F757" s="4" t="s">
        <v>19</v>
      </c>
    </row>
    <row r="758" spans="1:6" x14ac:dyDescent="0.25">
      <c r="A758" s="4" t="str">
        <f>"Computers and Electrical Engineering"</f>
        <v>Computers and Electrical Engineering</v>
      </c>
      <c r="B758" s="4" t="s">
        <v>6</v>
      </c>
      <c r="C758" s="4" t="str">
        <f t="shared" si="24"/>
        <v>-</v>
      </c>
      <c r="D758" s="4" t="str">
        <f>"00457906"</f>
        <v>00457906</v>
      </c>
      <c r="E758" s="4" t="str">
        <f t="shared" si="25"/>
        <v>-</v>
      </c>
      <c r="F758" s="4" t="s">
        <v>19</v>
      </c>
    </row>
    <row r="759" spans="1:6" x14ac:dyDescent="0.25">
      <c r="A759" s="4" t="str">
        <f>"Computers and Electronics in Agriculture"</f>
        <v>Computers and Electronics in Agriculture</v>
      </c>
      <c r="B759" s="4" t="s">
        <v>6</v>
      </c>
      <c r="C759" s="4" t="str">
        <f t="shared" si="24"/>
        <v>-</v>
      </c>
      <c r="D759" s="4" t="str">
        <f>"01681699"</f>
        <v>01681699</v>
      </c>
      <c r="E759" s="4" t="str">
        <f t="shared" si="25"/>
        <v>-</v>
      </c>
      <c r="F759" s="4" t="s">
        <v>55</v>
      </c>
    </row>
    <row r="760" spans="1:6" x14ac:dyDescent="0.25">
      <c r="A760" s="4" t="str">
        <f>"Computers and Fluids"</f>
        <v>Computers and Fluids</v>
      </c>
      <c r="B760" s="4" t="s">
        <v>6</v>
      </c>
      <c r="C760" s="4" t="str">
        <f t="shared" si="24"/>
        <v>-</v>
      </c>
      <c r="D760" s="4" t="str">
        <f>"00457930"</f>
        <v>00457930</v>
      </c>
      <c r="E760" s="4" t="str">
        <f t="shared" si="25"/>
        <v>-</v>
      </c>
      <c r="F760" s="4" t="s">
        <v>19</v>
      </c>
    </row>
    <row r="761" spans="1:6" x14ac:dyDescent="0.25">
      <c r="A761" s="4" t="str">
        <f>"Computers and Geosciences"</f>
        <v>Computers and Geosciences</v>
      </c>
      <c r="B761" s="4" t="s">
        <v>6</v>
      </c>
      <c r="C761" s="4" t="str">
        <f t="shared" si="24"/>
        <v>-</v>
      </c>
      <c r="D761" s="4" t="str">
        <f>"00983004"</f>
        <v>00983004</v>
      </c>
      <c r="E761" s="4" t="str">
        <f t="shared" si="25"/>
        <v>-</v>
      </c>
      <c r="F761" s="4" t="s">
        <v>19</v>
      </c>
    </row>
    <row r="762" spans="1:6" x14ac:dyDescent="0.25">
      <c r="A762" s="4" t="str">
        <f>"Computers and Geotechnics"</f>
        <v>Computers and Geotechnics</v>
      </c>
      <c r="B762" s="4" t="s">
        <v>6</v>
      </c>
      <c r="C762" s="4" t="str">
        <f t="shared" si="24"/>
        <v>-</v>
      </c>
      <c r="D762" s="4" t="str">
        <f>"0266352X"</f>
        <v>0266352X</v>
      </c>
      <c r="E762" s="4" t="str">
        <f>"18737633"</f>
        <v>18737633</v>
      </c>
      <c r="F762" s="4" t="s">
        <v>19</v>
      </c>
    </row>
    <row r="763" spans="1:6" x14ac:dyDescent="0.25">
      <c r="A763" s="4" t="str">
        <f>"Computers and Graphics (Pergamon)"</f>
        <v>Computers and Graphics (Pergamon)</v>
      </c>
      <c r="B763" s="4" t="s">
        <v>6</v>
      </c>
      <c r="C763" s="4" t="str">
        <f t="shared" si="24"/>
        <v>-</v>
      </c>
      <c r="D763" s="4" t="str">
        <f>"00978493"</f>
        <v>00978493</v>
      </c>
      <c r="E763" s="4" t="str">
        <f t="shared" ref="E763:E768" si="26">"-"</f>
        <v>-</v>
      </c>
      <c r="F763" s="4" t="s">
        <v>19</v>
      </c>
    </row>
    <row r="764" spans="1:6" x14ac:dyDescent="0.25">
      <c r="A764" s="4" t="str">
        <f>"Computers and Industrial Engineering"</f>
        <v>Computers and Industrial Engineering</v>
      </c>
      <c r="B764" s="4" t="s">
        <v>6</v>
      </c>
      <c r="C764" s="4" t="str">
        <f t="shared" si="24"/>
        <v>-</v>
      </c>
      <c r="D764" s="4" t="str">
        <f>"03608352"</f>
        <v>03608352</v>
      </c>
      <c r="E764" s="4" t="str">
        <f t="shared" si="26"/>
        <v>-</v>
      </c>
      <c r="F764" s="4" t="s">
        <v>19</v>
      </c>
    </row>
    <row r="765" spans="1:6" x14ac:dyDescent="0.25">
      <c r="A765" s="4" t="str">
        <f>"Computers and Mathematics with Applications"</f>
        <v>Computers and Mathematics with Applications</v>
      </c>
      <c r="B765" s="4" t="s">
        <v>6</v>
      </c>
      <c r="C765" s="4" t="str">
        <f t="shared" si="24"/>
        <v>-</v>
      </c>
      <c r="D765" s="4" t="str">
        <f>"08981221"</f>
        <v>08981221</v>
      </c>
      <c r="E765" s="4" t="str">
        <f t="shared" si="26"/>
        <v>-</v>
      </c>
      <c r="F765" s="4" t="s">
        <v>19</v>
      </c>
    </row>
    <row r="766" spans="1:6" x14ac:dyDescent="0.25">
      <c r="A766" s="4" t="str">
        <f>"Computers and Operations Research"</f>
        <v>Computers and Operations Research</v>
      </c>
      <c r="B766" s="4" t="s">
        <v>6</v>
      </c>
      <c r="C766" s="4" t="str">
        <f t="shared" si="24"/>
        <v>-</v>
      </c>
      <c r="D766" s="4" t="str">
        <f>"03050548"</f>
        <v>03050548</v>
      </c>
      <c r="E766" s="4" t="str">
        <f t="shared" si="26"/>
        <v>-</v>
      </c>
      <c r="F766" s="4" t="s">
        <v>19</v>
      </c>
    </row>
    <row r="767" spans="1:6" x14ac:dyDescent="0.25">
      <c r="A767" s="4" t="str">
        <f>"Computers and Security"</f>
        <v>Computers and Security</v>
      </c>
      <c r="B767" s="4" t="s">
        <v>6</v>
      </c>
      <c r="C767" s="4" t="str">
        <f t="shared" si="24"/>
        <v>-</v>
      </c>
      <c r="D767" s="4" t="str">
        <f>"01674048"</f>
        <v>01674048</v>
      </c>
      <c r="E767" s="4" t="str">
        <f t="shared" si="26"/>
        <v>-</v>
      </c>
      <c r="F767" s="4" t="s">
        <v>19</v>
      </c>
    </row>
    <row r="768" spans="1:6" x14ac:dyDescent="0.25">
      <c r="A768" s="4" t="str">
        <f>"Computers and Structures"</f>
        <v>Computers and Structures</v>
      </c>
      <c r="B768" s="4" t="s">
        <v>6</v>
      </c>
      <c r="C768" s="4" t="str">
        <f t="shared" si="24"/>
        <v>-</v>
      </c>
      <c r="D768" s="4" t="str">
        <f>"00457949"</f>
        <v>00457949</v>
      </c>
      <c r="E768" s="4" t="str">
        <f t="shared" si="26"/>
        <v>-</v>
      </c>
      <c r="F768" s="4" t="s">
        <v>19</v>
      </c>
    </row>
    <row r="769" spans="1:6" x14ac:dyDescent="0.25">
      <c r="A769" s="4" t="str">
        <f>"Computers in Biology and Medicine"</f>
        <v>Computers in Biology and Medicine</v>
      </c>
      <c r="B769" s="4" t="s">
        <v>6</v>
      </c>
      <c r="C769" s="4" t="str">
        <f t="shared" si="24"/>
        <v>-</v>
      </c>
      <c r="D769" s="4" t="str">
        <f>"00104825"</f>
        <v>00104825</v>
      </c>
      <c r="E769" s="4" t="str">
        <f>"18790534"</f>
        <v>18790534</v>
      </c>
      <c r="F769" s="4" t="s">
        <v>19</v>
      </c>
    </row>
    <row r="770" spans="1:6" x14ac:dyDescent="0.25">
      <c r="A770" s="4" t="str">
        <f>"Computers in Education Journal"</f>
        <v>Computers in Education Journal</v>
      </c>
      <c r="B770" s="4" t="s">
        <v>6</v>
      </c>
      <c r="C770" s="4" t="str">
        <f t="shared" si="24"/>
        <v>-</v>
      </c>
      <c r="D770" s="4" t="str">
        <f>"10693769"</f>
        <v>10693769</v>
      </c>
      <c r="E770" s="4" t="str">
        <f>"-"</f>
        <v>-</v>
      </c>
      <c r="F770" s="4" t="s">
        <v>78</v>
      </c>
    </row>
    <row r="771" spans="1:6" x14ac:dyDescent="0.25">
      <c r="A771" s="4" t="str">
        <f>"Computers in Entertainment"</f>
        <v>Computers in Entertainment</v>
      </c>
      <c r="B771" s="4" t="s">
        <v>6</v>
      </c>
      <c r="C771" s="4" t="str">
        <f t="shared" si="24"/>
        <v>-</v>
      </c>
      <c r="D771" s="4" t="str">
        <f>"15443574"</f>
        <v>15443574</v>
      </c>
      <c r="E771" s="4" t="str">
        <f>"15443981"</f>
        <v>15443981</v>
      </c>
      <c r="F771" s="4" t="s">
        <v>21</v>
      </c>
    </row>
    <row r="772" spans="1:6" x14ac:dyDescent="0.25">
      <c r="A772" s="4" t="str">
        <f>"Computers in Human Behavior"</f>
        <v>Computers in Human Behavior</v>
      </c>
      <c r="B772" s="4" t="s">
        <v>6</v>
      </c>
      <c r="C772" s="4" t="str">
        <f t="shared" si="24"/>
        <v>-</v>
      </c>
      <c r="D772" s="4" t="str">
        <f>"07475632"</f>
        <v>07475632</v>
      </c>
      <c r="E772" s="4" t="str">
        <f>"-"</f>
        <v>-</v>
      </c>
      <c r="F772" s="4" t="s">
        <v>19</v>
      </c>
    </row>
    <row r="773" spans="1:6" x14ac:dyDescent="0.25">
      <c r="A773" s="4" t="str">
        <f>"Computers in Industry"</f>
        <v>Computers in Industry</v>
      </c>
      <c r="B773" s="4" t="s">
        <v>6</v>
      </c>
      <c r="C773" s="4" t="str">
        <f t="shared" si="24"/>
        <v>-</v>
      </c>
      <c r="D773" s="4" t="str">
        <f>"01663615"</f>
        <v>01663615</v>
      </c>
      <c r="E773" s="4" t="str">
        <f>"-"</f>
        <v>-</v>
      </c>
      <c r="F773" s="4" t="s">
        <v>55</v>
      </c>
    </row>
    <row r="774" spans="1:6" x14ac:dyDescent="0.25">
      <c r="A774" s="4" t="str">
        <f>"Computers in the Schools"</f>
        <v>Computers in the Schools</v>
      </c>
      <c r="B774" s="4" t="s">
        <v>6</v>
      </c>
      <c r="C774" s="4" t="str">
        <f t="shared" si="24"/>
        <v>-</v>
      </c>
      <c r="D774" s="4" t="str">
        <f>"07380569"</f>
        <v>07380569</v>
      </c>
      <c r="E774" s="4" t="str">
        <f>"15287033"</f>
        <v>15287033</v>
      </c>
      <c r="F774" s="4" t="s">
        <v>211</v>
      </c>
    </row>
    <row r="775" spans="1:6" x14ac:dyDescent="0.25">
      <c r="A775" s="4" t="str">
        <f>"Computers, Environment and Urban Systems"</f>
        <v>Computers, Environment and Urban Systems</v>
      </c>
      <c r="B775" s="4" t="s">
        <v>6</v>
      </c>
      <c r="C775" s="4" t="str">
        <f t="shared" si="24"/>
        <v>-</v>
      </c>
      <c r="D775" s="4" t="str">
        <f>"01989715"</f>
        <v>01989715</v>
      </c>
      <c r="E775" s="4" t="str">
        <f>"-"</f>
        <v>-</v>
      </c>
      <c r="F775" s="4" t="s">
        <v>19</v>
      </c>
    </row>
    <row r="776" spans="1:6" x14ac:dyDescent="0.25">
      <c r="A776" s="4" t="str">
        <f>"Computers, Materials and Continua"</f>
        <v>Computers, Materials and Continua</v>
      </c>
      <c r="B776" s="4" t="s">
        <v>6</v>
      </c>
      <c r="C776" s="4" t="str">
        <f t="shared" si="24"/>
        <v>-</v>
      </c>
      <c r="D776" s="4" t="str">
        <f>"15462218"</f>
        <v>15462218</v>
      </c>
      <c r="E776" s="4" t="str">
        <f>"15462226"</f>
        <v>15462226</v>
      </c>
      <c r="F776" s="4" t="s">
        <v>287</v>
      </c>
    </row>
    <row r="777" spans="1:6" x14ac:dyDescent="0.25">
      <c r="A777" s="4" t="str">
        <f>"Computer-Supported Collaborative Learning Conference, CSCL"</f>
        <v>Computer-Supported Collaborative Learning Conference, CSCL</v>
      </c>
      <c r="B777" s="4" t="s">
        <v>8</v>
      </c>
      <c r="C777" s="4" t="str">
        <f t="shared" si="24"/>
        <v>-</v>
      </c>
      <c r="D777" s="4" t="str">
        <f>"15734552"</f>
        <v>15734552</v>
      </c>
      <c r="E777" s="4" t="str">
        <f>"-"</f>
        <v>-</v>
      </c>
      <c r="F777" s="4" t="s">
        <v>298</v>
      </c>
    </row>
    <row r="778" spans="1:6" x14ac:dyDescent="0.25">
      <c r="A778" s="4" t="str">
        <f>"Computing"</f>
        <v>Computing</v>
      </c>
      <c r="B778" s="4" t="s">
        <v>6</v>
      </c>
      <c r="C778" s="4" t="str">
        <f t="shared" ref="C778:E841" si="27">"-"</f>
        <v>-</v>
      </c>
      <c r="D778" s="4" t="str">
        <f>"0010485X"</f>
        <v>0010485X</v>
      </c>
      <c r="E778" s="4" t="str">
        <f>"-"</f>
        <v>-</v>
      </c>
      <c r="F778" s="4" t="s">
        <v>43</v>
      </c>
    </row>
    <row r="779" spans="1:6" x14ac:dyDescent="0.25">
      <c r="A779" s="4" t="str">
        <f>"Computing and Informatics"</f>
        <v>Computing and Informatics</v>
      </c>
      <c r="B779" s="4" t="s">
        <v>6</v>
      </c>
      <c r="C779" s="4" t="str">
        <f t="shared" si="27"/>
        <v>-</v>
      </c>
      <c r="D779" s="4" t="str">
        <f>"13359150"</f>
        <v>13359150</v>
      </c>
      <c r="E779" s="4" t="str">
        <f>"-"</f>
        <v>-</v>
      </c>
      <c r="F779" s="4" t="s">
        <v>299</v>
      </c>
    </row>
    <row r="780" spans="1:6" x14ac:dyDescent="0.25">
      <c r="A780" s="4" t="str">
        <f>"Computing and Visualization in Science"</f>
        <v>Computing and Visualization in Science</v>
      </c>
      <c r="B780" s="4" t="s">
        <v>6</v>
      </c>
      <c r="C780" s="4" t="str">
        <f t="shared" si="27"/>
        <v>-</v>
      </c>
      <c r="D780" s="4" t="str">
        <f>"14329360"</f>
        <v>14329360</v>
      </c>
      <c r="E780" s="4" t="str">
        <f>"14330369"</f>
        <v>14330369</v>
      </c>
      <c r="F780" s="4" t="s">
        <v>42</v>
      </c>
    </row>
    <row r="781" spans="1:6" x14ac:dyDescent="0.25">
      <c r="A781" s="4" t="str">
        <f>"Computing in Cardiology"</f>
        <v>Computing in Cardiology</v>
      </c>
      <c r="B781" s="4" t="s">
        <v>8</v>
      </c>
      <c r="C781" s="4" t="str">
        <f t="shared" si="27"/>
        <v>-</v>
      </c>
      <c r="D781" s="4" t="str">
        <f>"23258861"</f>
        <v>23258861</v>
      </c>
      <c r="E781" s="4" t="str">
        <f>"2325887X"</f>
        <v>2325887X</v>
      </c>
      <c r="F781" s="4" t="s">
        <v>9</v>
      </c>
    </row>
    <row r="782" spans="1:6" x14ac:dyDescent="0.25">
      <c r="A782" s="4" t="str">
        <f>"Computing in Science and Engineering"</f>
        <v>Computing in Science and Engineering</v>
      </c>
      <c r="B782" s="4" t="s">
        <v>6</v>
      </c>
      <c r="C782" s="4" t="str">
        <f t="shared" si="27"/>
        <v>-</v>
      </c>
      <c r="D782" s="4" t="str">
        <f>"15219615"</f>
        <v>15219615</v>
      </c>
      <c r="E782" s="4" t="str">
        <f>"-"</f>
        <v>-</v>
      </c>
      <c r="F782" s="4" t="s">
        <v>9</v>
      </c>
    </row>
    <row r="783" spans="1:6" x14ac:dyDescent="0.25">
      <c r="A783" s="4" t="str">
        <f>"CONCAWE Review"</f>
        <v>CONCAWE Review</v>
      </c>
      <c r="B783" s="4" t="s">
        <v>6</v>
      </c>
      <c r="C783" s="4" t="str">
        <f t="shared" si="27"/>
        <v>-</v>
      </c>
      <c r="D783" s="4" t="str">
        <f>"10277358"</f>
        <v>10277358</v>
      </c>
      <c r="E783" s="4" t="str">
        <f>"-"</f>
        <v>-</v>
      </c>
      <c r="F783" s="4" t="s">
        <v>300</v>
      </c>
    </row>
    <row r="784" spans="1:6" x14ac:dyDescent="0.25">
      <c r="A784" s="4" t="str">
        <f>"Concurrency Computation "</f>
        <v xml:space="preserve">Concurrency Computation </v>
      </c>
      <c r="B784" s="4" t="s">
        <v>6</v>
      </c>
      <c r="C784" s="4" t="str">
        <f t="shared" si="27"/>
        <v>-</v>
      </c>
      <c r="D784" s="4" t="str">
        <f>"15320626"</f>
        <v>15320626</v>
      </c>
      <c r="E784" s="4" t="str">
        <f>"15320634"</f>
        <v>15320634</v>
      </c>
      <c r="F784" s="4" t="s">
        <v>142</v>
      </c>
    </row>
    <row r="785" spans="1:6" x14ac:dyDescent="0.25">
      <c r="A785" s="4" t="str">
        <f>"Concurrent Engineering Research and Applications"</f>
        <v>Concurrent Engineering Research and Applications</v>
      </c>
      <c r="B785" s="4" t="s">
        <v>6</v>
      </c>
      <c r="C785" s="4" t="str">
        <f t="shared" si="27"/>
        <v>-</v>
      </c>
      <c r="D785" s="4" t="str">
        <f>"1063293X"</f>
        <v>1063293X</v>
      </c>
      <c r="E785" s="4" t="str">
        <f>"15312003"</f>
        <v>15312003</v>
      </c>
      <c r="F785" s="4" t="s">
        <v>212</v>
      </c>
    </row>
    <row r="786" spans="1:6" x14ac:dyDescent="0.25">
      <c r="A786" s="4" t="str">
        <f>"Concurrent Systems Engineering Series"</f>
        <v>Concurrent Systems Engineering Series</v>
      </c>
      <c r="B786" s="4" t="s">
        <v>29</v>
      </c>
      <c r="C786" s="4" t="str">
        <f t="shared" si="27"/>
        <v>-</v>
      </c>
      <c r="D786" s="4" t="str">
        <f>"13837575"</f>
        <v>13837575</v>
      </c>
      <c r="E786" s="4" t="str">
        <f>"-"</f>
        <v>-</v>
      </c>
      <c r="F786" s="4" t="s">
        <v>103</v>
      </c>
    </row>
    <row r="787" spans="1:6" x14ac:dyDescent="0.25">
      <c r="A787" s="4" t="str">
        <f>"Conference Digest - IEEE International Semiconductor Laser Conference"</f>
        <v>Conference Digest - IEEE International Semiconductor Laser Conference</v>
      </c>
      <c r="B787" s="4" t="s">
        <v>8</v>
      </c>
      <c r="C787" s="4" t="str">
        <f t="shared" si="27"/>
        <v>-</v>
      </c>
      <c r="D787" s="4" t="str">
        <f>"08999406"</f>
        <v>08999406</v>
      </c>
      <c r="E787" s="4" t="str">
        <f>"-"</f>
        <v>-</v>
      </c>
      <c r="F787" s="4" t="s">
        <v>105</v>
      </c>
    </row>
    <row r="788" spans="1:6" x14ac:dyDescent="0.25">
      <c r="A788" s="4" t="str">
        <f>"Conference of Open Innovation Association, FRUCT"</f>
        <v>Conference of Open Innovation Association, FRUCT</v>
      </c>
      <c r="B788" s="4" t="s">
        <v>8</v>
      </c>
      <c r="C788" s="4" t="str">
        <f t="shared" si="27"/>
        <v>-</v>
      </c>
      <c r="D788" s="4" t="str">
        <f>"23057254"</f>
        <v>23057254</v>
      </c>
      <c r="E788" s="4" t="str">
        <f>"-"</f>
        <v>-</v>
      </c>
      <c r="F788" s="4" t="s">
        <v>9</v>
      </c>
    </row>
    <row r="789" spans="1:6" x14ac:dyDescent="0.25">
      <c r="A789" s="4" t="str">
        <f>"Conference on Control and Fault-Tolerant Systems, SysTol"</f>
        <v>Conference on Control and Fault-Tolerant Systems, SysTol</v>
      </c>
      <c r="B789" s="4" t="s">
        <v>8</v>
      </c>
      <c r="C789" s="4" t="str">
        <f t="shared" si="27"/>
        <v>-</v>
      </c>
      <c r="D789" s="4" t="str">
        <f>"21621195"</f>
        <v>21621195</v>
      </c>
      <c r="E789" s="4" t="str">
        <f>"21621209"</f>
        <v>21621209</v>
      </c>
      <c r="F789" s="4" t="s">
        <v>9</v>
      </c>
    </row>
    <row r="790" spans="1:6" x14ac:dyDescent="0.25">
      <c r="A790" s="4" t="str">
        <f>"Conference on Data Mining and Optimization"</f>
        <v>Conference on Data Mining and Optimization</v>
      </c>
      <c r="B790" s="4" t="s">
        <v>8</v>
      </c>
      <c r="C790" s="4" t="str">
        <f t="shared" si="27"/>
        <v>-</v>
      </c>
      <c r="D790" s="4" t="str">
        <f>"21556938"</f>
        <v>21556938</v>
      </c>
      <c r="E790" s="4" t="str">
        <f>"21556946"</f>
        <v>21556946</v>
      </c>
      <c r="F790" s="4" t="s">
        <v>9</v>
      </c>
    </row>
    <row r="791" spans="1:6" x14ac:dyDescent="0.25">
      <c r="A791" s="4" t="str">
        <f>"Conference on Design and Architectures for Signal and Image Processing, DASIP"</f>
        <v>Conference on Design and Architectures for Signal and Image Processing, DASIP</v>
      </c>
      <c r="B791" s="4" t="s">
        <v>8</v>
      </c>
      <c r="C791" s="4" t="str">
        <f t="shared" si="27"/>
        <v>-</v>
      </c>
      <c r="D791" s="4" t="str">
        <f>"21649766"</f>
        <v>21649766</v>
      </c>
      <c r="E791" s="4" t="str">
        <f>"-"</f>
        <v>-</v>
      </c>
      <c r="F791" s="4" t="s">
        <v>9</v>
      </c>
    </row>
    <row r="792" spans="1:6" x14ac:dyDescent="0.25">
      <c r="A792" s="4" t="str">
        <f>"Conference on Human Factors in Computing Systems - Proceedings"</f>
        <v>Conference on Human Factors in Computing Systems - Proceedings</v>
      </c>
      <c r="B792" s="4" t="s">
        <v>8</v>
      </c>
      <c r="C792" s="4" t="str">
        <f t="shared" si="27"/>
        <v>-</v>
      </c>
      <c r="D792" s="4" t="str">
        <f>"-"</f>
        <v>-</v>
      </c>
      <c r="E792" s="4" t="str">
        <f>"-"</f>
        <v>-</v>
      </c>
      <c r="F792" s="4" t="s">
        <v>21</v>
      </c>
    </row>
    <row r="793" spans="1:6" x14ac:dyDescent="0.25">
      <c r="A793" s="4" t="str">
        <f>"Conference on Lasers and Electro-Optics Europe - Technical Digest"</f>
        <v>Conference on Lasers and Electro-Optics Europe - Technical Digest</v>
      </c>
      <c r="B793" s="4" t="s">
        <v>8</v>
      </c>
      <c r="C793" s="4" t="str">
        <f t="shared" si="27"/>
        <v>-</v>
      </c>
      <c r="D793" s="4" t="str">
        <f>"-"</f>
        <v>-</v>
      </c>
      <c r="E793" s="4" t="str">
        <f>"-"</f>
        <v>-</v>
      </c>
      <c r="F793" s="4" t="s">
        <v>105</v>
      </c>
    </row>
    <row r="794" spans="1:6" x14ac:dyDescent="0.25">
      <c r="A794" s="4" t="str">
        <f>"Conference on Millimeter-Wave and Terahertz Technologies, MMWaTT"</f>
        <v>Conference on Millimeter-Wave and Terahertz Technologies, MMWaTT</v>
      </c>
      <c r="B794" s="4" t="s">
        <v>8</v>
      </c>
      <c r="C794" s="4" t="str">
        <f t="shared" si="27"/>
        <v>-</v>
      </c>
      <c r="D794" s="4" t="str">
        <f>"21570965"</f>
        <v>21570965</v>
      </c>
      <c r="E794" s="4" t="str">
        <f>"21570973"</f>
        <v>21570973</v>
      </c>
      <c r="F794" s="4" t="s">
        <v>105</v>
      </c>
    </row>
    <row r="795" spans="1:6" x14ac:dyDescent="0.25">
      <c r="A795" s="4" t="str">
        <f>"Conference on Optical Fiber Communication, Technical Digest Series"</f>
        <v>Conference on Optical Fiber Communication, Technical Digest Series</v>
      </c>
      <c r="B795" s="4" t="s">
        <v>8</v>
      </c>
      <c r="C795" s="4" t="str">
        <f t="shared" si="27"/>
        <v>-</v>
      </c>
      <c r="D795" s="4" t="str">
        <f t="shared" si="27"/>
        <v>-</v>
      </c>
      <c r="E795" s="4" t="str">
        <f t="shared" si="27"/>
        <v>-</v>
      </c>
      <c r="F795" s="4" t="s">
        <v>105</v>
      </c>
    </row>
    <row r="796" spans="1:6" x14ac:dyDescent="0.25">
      <c r="A796" s="4" t="str">
        <f>"Conference on Optoelectronic and Microelectronic Materials and Devices, Proceedings, COMMAD"</f>
        <v>Conference on Optoelectronic and Microelectronic Materials and Devices, Proceedings, COMMAD</v>
      </c>
      <c r="B796" s="4" t="s">
        <v>8</v>
      </c>
      <c r="C796" s="4" t="str">
        <f t="shared" si="27"/>
        <v>-</v>
      </c>
      <c r="D796" s="4" t="str">
        <f t="shared" si="27"/>
        <v>-</v>
      </c>
      <c r="E796" s="4" t="str">
        <f t="shared" si="27"/>
        <v>-</v>
      </c>
      <c r="F796" s="4" t="s">
        <v>105</v>
      </c>
    </row>
    <row r="797" spans="1:6" x14ac:dyDescent="0.25">
      <c r="A797" s="4" t="str">
        <f>"Conference on Quantum Electronics and Laser Science (QELS) - Technical Digest Series"</f>
        <v>Conference on Quantum Electronics and Laser Science (QELS) - Technical Digest Series</v>
      </c>
      <c r="B797" s="4" t="s">
        <v>8</v>
      </c>
      <c r="C797" s="4" t="str">
        <f t="shared" si="27"/>
        <v>-</v>
      </c>
      <c r="D797" s="4" t="str">
        <f t="shared" si="27"/>
        <v>-</v>
      </c>
      <c r="E797" s="4" t="str">
        <f t="shared" si="27"/>
        <v>-</v>
      </c>
      <c r="F797" s="4" t="s">
        <v>105</v>
      </c>
    </row>
    <row r="798" spans="1:6" x14ac:dyDescent="0.25">
      <c r="A798" s="4" t="str">
        <f>"Conference Proceedings - IEEE Applied Power Electronics Conference and Exposition - APEC"</f>
        <v>Conference Proceedings - IEEE Applied Power Electronics Conference and Exposition - APEC</v>
      </c>
      <c r="B798" s="4" t="s">
        <v>8</v>
      </c>
      <c r="C798" s="4" t="str">
        <f t="shared" si="27"/>
        <v>-</v>
      </c>
      <c r="D798" s="4" t="str">
        <f t="shared" si="27"/>
        <v>-</v>
      </c>
      <c r="E798" s="4" t="str">
        <f t="shared" si="27"/>
        <v>-</v>
      </c>
      <c r="F798" s="4" t="s">
        <v>105</v>
      </c>
    </row>
    <row r="799" spans="1:6" x14ac:dyDescent="0.25">
      <c r="A799" s="4" t="str">
        <f>"Conference Proceedings - IEEE International Conference on Systems, Man and Cybernetics"</f>
        <v>Conference Proceedings - IEEE International Conference on Systems, Man and Cybernetics</v>
      </c>
      <c r="B799" s="4" t="s">
        <v>8</v>
      </c>
      <c r="C799" s="4" t="str">
        <f t="shared" si="27"/>
        <v>-</v>
      </c>
      <c r="D799" s="4" t="str">
        <f>"1062922X"</f>
        <v>1062922X</v>
      </c>
      <c r="E799" s="4" t="str">
        <f t="shared" si="27"/>
        <v>-</v>
      </c>
      <c r="F799" s="4" t="s">
        <v>105</v>
      </c>
    </row>
    <row r="800" spans="1:6" x14ac:dyDescent="0.25">
      <c r="A800" s="4" t="str">
        <f>"Conference Proceedings - IEEE SOUTHEASTCON"</f>
        <v>Conference Proceedings - IEEE SOUTHEASTCON</v>
      </c>
      <c r="B800" s="4" t="s">
        <v>8</v>
      </c>
      <c r="C800" s="4" t="str">
        <f t="shared" si="27"/>
        <v>-</v>
      </c>
      <c r="D800" s="4" t="str">
        <f>"07347502"</f>
        <v>07347502</v>
      </c>
      <c r="E800" s="4" t="str">
        <f t="shared" si="27"/>
        <v>-</v>
      </c>
      <c r="F800" s="4" t="s">
        <v>105</v>
      </c>
    </row>
    <row r="801" spans="1:6" x14ac:dyDescent="0.25">
      <c r="A801" s="4" t="str">
        <f>"Conference Proceedings - International Conference on Indium Phosphide and Related Materials"</f>
        <v>Conference Proceedings - International Conference on Indium Phosphide and Related Materials</v>
      </c>
      <c r="B801" s="4" t="s">
        <v>8</v>
      </c>
      <c r="C801" s="4" t="str">
        <f t="shared" si="27"/>
        <v>-</v>
      </c>
      <c r="D801" s="4" t="str">
        <f>"10928669"</f>
        <v>10928669</v>
      </c>
      <c r="E801" s="4" t="str">
        <f t="shared" si="27"/>
        <v>-</v>
      </c>
      <c r="F801" s="4" t="s">
        <v>105</v>
      </c>
    </row>
    <row r="802" spans="1:6" x14ac:dyDescent="0.25">
      <c r="A802" s="4" t="str">
        <f>"Conference Proceedings - Lasers and Electro-Optics Society Annual Meeting-LEOS"</f>
        <v>Conference Proceedings - Lasers and Electro-Optics Society Annual Meeting-LEOS</v>
      </c>
      <c r="B802" s="4" t="s">
        <v>8</v>
      </c>
      <c r="C802" s="4" t="str">
        <f t="shared" si="27"/>
        <v>-</v>
      </c>
      <c r="D802" s="4" t="str">
        <f>"10928081"</f>
        <v>10928081</v>
      </c>
      <c r="E802" s="4" t="str">
        <f t="shared" si="27"/>
        <v>-</v>
      </c>
      <c r="F802" s="4" t="s">
        <v>105</v>
      </c>
    </row>
    <row r="803" spans="1:6" x14ac:dyDescent="0.25">
      <c r="A803" s="4" t="str">
        <f>"Conference Proceedings from the International Symposium for Testing and Failure Analysis"</f>
        <v>Conference Proceedings from the International Symposium for Testing and Failure Analysis</v>
      </c>
      <c r="B803" s="4" t="s">
        <v>8</v>
      </c>
      <c r="C803" s="4" t="str">
        <f t="shared" si="27"/>
        <v>-</v>
      </c>
      <c r="D803" s="4" t="str">
        <f>"-"</f>
        <v>-</v>
      </c>
      <c r="E803" s="4" t="str">
        <f t="shared" si="27"/>
        <v>-</v>
      </c>
      <c r="F803" s="4" t="s">
        <v>65</v>
      </c>
    </row>
    <row r="804" spans="1:6" x14ac:dyDescent="0.25">
      <c r="A804" s="4" t="str">
        <f>"Conference Proceedings of the EUROMICRO"</f>
        <v>Conference Proceedings of the EUROMICRO</v>
      </c>
      <c r="B804" s="4" t="s">
        <v>8</v>
      </c>
      <c r="C804" s="4" t="str">
        <f t="shared" si="27"/>
        <v>-</v>
      </c>
      <c r="D804" s="4" t="str">
        <f>"10896503"</f>
        <v>10896503</v>
      </c>
      <c r="E804" s="4" t="str">
        <f t="shared" si="27"/>
        <v>-</v>
      </c>
      <c r="F804" s="4" t="s">
        <v>9</v>
      </c>
    </row>
    <row r="805" spans="1:6" ht="30" x14ac:dyDescent="0.25">
      <c r="A805" s="4" t="str">
        <f>"Conference Proceedings of the IEEE International Performance, Computing, and Communications Conference"</f>
        <v>Conference Proceedings of the IEEE International Performance, Computing, and Communications Conference</v>
      </c>
      <c r="B805" s="4" t="s">
        <v>8</v>
      </c>
      <c r="C805" s="4" t="str">
        <f t="shared" si="27"/>
        <v>-</v>
      </c>
      <c r="D805" s="4" t="str">
        <f>"10972641"</f>
        <v>10972641</v>
      </c>
      <c r="E805" s="4" t="str">
        <f t="shared" si="27"/>
        <v>-</v>
      </c>
      <c r="F805" s="4" t="s">
        <v>105</v>
      </c>
    </row>
    <row r="806" spans="1:6" x14ac:dyDescent="0.25">
      <c r="A806" s="4" t="str">
        <f>"Conference Proceedings of the Institute of Marine Engineering, Science and Technology - Part D"</f>
        <v>Conference Proceedings of the Institute of Marine Engineering, Science and Technology - Part D</v>
      </c>
      <c r="B806" s="4" t="s">
        <v>8</v>
      </c>
      <c r="C806" s="4" t="str">
        <f t="shared" si="27"/>
        <v>-</v>
      </c>
      <c r="D806" s="4" t="str">
        <f>"-"</f>
        <v>-</v>
      </c>
      <c r="E806" s="4" t="str">
        <f t="shared" si="27"/>
        <v>-</v>
      </c>
      <c r="F806" s="4" t="s">
        <v>301</v>
      </c>
    </row>
    <row r="807" spans="1:6" x14ac:dyDescent="0.25">
      <c r="A807" s="4" t="str">
        <f>"Conference Proceedings of the International Symposium on Signals, Systems and Electronics"</f>
        <v>Conference Proceedings of the International Symposium on Signals, Systems and Electronics</v>
      </c>
      <c r="B807" s="4" t="s">
        <v>8</v>
      </c>
      <c r="C807" s="4" t="str">
        <f t="shared" si="27"/>
        <v>-</v>
      </c>
      <c r="D807" s="4" t="str">
        <f>"21610819"</f>
        <v>21610819</v>
      </c>
      <c r="E807" s="4" t="str">
        <f>"21610827"</f>
        <v>21610827</v>
      </c>
      <c r="F807" s="4" t="s">
        <v>105</v>
      </c>
    </row>
    <row r="808" spans="1:6" x14ac:dyDescent="0.25">
      <c r="A808" s="4" t="str">
        <f>"Conference Proceedings of the Society for Experimental Mechanics Series"</f>
        <v>Conference Proceedings of the Society for Experimental Mechanics Series</v>
      </c>
      <c r="B808" s="4" t="s">
        <v>8</v>
      </c>
      <c r="C808" s="4" t="str">
        <f t="shared" si="27"/>
        <v>-</v>
      </c>
      <c r="D808" s="4" t="str">
        <f>"21915644"</f>
        <v>21915644</v>
      </c>
      <c r="E808" s="4" t="str">
        <f>"21915652"</f>
        <v>21915652</v>
      </c>
      <c r="F808" s="4" t="s">
        <v>57</v>
      </c>
    </row>
    <row r="809" spans="1:6" x14ac:dyDescent="0.25">
      <c r="A809" s="4" t="str">
        <f>"Conference Record - Asilomar Conference on Signals, Systems and Computers"</f>
        <v>Conference Record - Asilomar Conference on Signals, Systems and Computers</v>
      </c>
      <c r="B809" s="4" t="s">
        <v>8</v>
      </c>
      <c r="C809" s="4" t="str">
        <f t="shared" si="27"/>
        <v>-</v>
      </c>
      <c r="D809" s="4" t="str">
        <f>"10586393"</f>
        <v>10586393</v>
      </c>
      <c r="E809" s="4" t="str">
        <f t="shared" ref="E809:E818" si="28">"-"</f>
        <v>-</v>
      </c>
      <c r="F809" s="4" t="s">
        <v>9</v>
      </c>
    </row>
    <row r="810" spans="1:6" x14ac:dyDescent="0.25">
      <c r="A810" s="4" t="str">
        <f>"Conference Record - IAS Annual Meeting (IEEE Industry Applications Society)"</f>
        <v>Conference Record - IAS Annual Meeting (IEEE Industry Applications Society)</v>
      </c>
      <c r="B810" s="4" t="s">
        <v>8</v>
      </c>
      <c r="C810" s="4" t="str">
        <f t="shared" si="27"/>
        <v>-</v>
      </c>
      <c r="D810" s="4" t="str">
        <f>"01972618"</f>
        <v>01972618</v>
      </c>
      <c r="E810" s="4" t="str">
        <f t="shared" si="28"/>
        <v>-</v>
      </c>
      <c r="F810" s="4" t="s">
        <v>105</v>
      </c>
    </row>
    <row r="811" spans="1:6" x14ac:dyDescent="0.25">
      <c r="A811" s="4" t="str">
        <f>"Conference Record - IEEE Instrumentation and Measurement Technology Conference"</f>
        <v>Conference Record - IEEE Instrumentation and Measurement Technology Conference</v>
      </c>
      <c r="B811" s="4" t="s">
        <v>8</v>
      </c>
      <c r="C811" s="4" t="str">
        <f t="shared" si="27"/>
        <v>-</v>
      </c>
      <c r="D811" s="4" t="str">
        <f>"10915281"</f>
        <v>10915281</v>
      </c>
      <c r="E811" s="4" t="str">
        <f t="shared" si="28"/>
        <v>-</v>
      </c>
      <c r="F811" s="4" t="s">
        <v>105</v>
      </c>
    </row>
    <row r="812" spans="1:6" x14ac:dyDescent="0.25">
      <c r="A812" s="4" t="str">
        <f>"Conference Record - Industrial and Commercial Power Systems Technical Conference"</f>
        <v>Conference Record - Industrial and Commercial Power Systems Technical Conference</v>
      </c>
      <c r="B812" s="4" t="s">
        <v>8</v>
      </c>
      <c r="C812" s="4" t="str">
        <f t="shared" si="27"/>
        <v>-</v>
      </c>
      <c r="D812" s="4" t="str">
        <f>"-"</f>
        <v>-</v>
      </c>
      <c r="E812" s="4" t="str">
        <f t="shared" si="28"/>
        <v>-</v>
      </c>
      <c r="F812" s="4" t="s">
        <v>105</v>
      </c>
    </row>
    <row r="813" spans="1:6" x14ac:dyDescent="0.25">
      <c r="A813" s="4" t="str">
        <f>"Conference Record of IEEE International Symposium on Electrical Insulation"</f>
        <v>Conference Record of IEEE International Symposium on Electrical Insulation</v>
      </c>
      <c r="B813" s="4" t="s">
        <v>8</v>
      </c>
      <c r="C813" s="4" t="str">
        <f t="shared" si="27"/>
        <v>-</v>
      </c>
      <c r="D813" s="4" t="str">
        <f>"01642006"</f>
        <v>01642006</v>
      </c>
      <c r="E813" s="4" t="str">
        <f t="shared" si="28"/>
        <v>-</v>
      </c>
      <c r="F813" s="4" t="s">
        <v>105</v>
      </c>
    </row>
    <row r="814" spans="1:6" x14ac:dyDescent="0.25">
      <c r="A814" s="4" t="str">
        <f>"Conference Record of the Annual ACM Symposium on Principles of Programming Languages"</f>
        <v>Conference Record of the Annual ACM Symposium on Principles of Programming Languages</v>
      </c>
      <c r="B814" s="4" t="s">
        <v>8</v>
      </c>
      <c r="C814" s="4" t="str">
        <f t="shared" si="27"/>
        <v>-</v>
      </c>
      <c r="D814" s="4" t="str">
        <f>"07308566"</f>
        <v>07308566</v>
      </c>
      <c r="E814" s="4" t="str">
        <f t="shared" si="28"/>
        <v>-</v>
      </c>
      <c r="F814" s="4" t="s">
        <v>21</v>
      </c>
    </row>
    <row r="815" spans="1:6" x14ac:dyDescent="0.25">
      <c r="A815" s="4" t="str">
        <f>"Conference Record of the IEEE Photovoltaic Specialists Conference"</f>
        <v>Conference Record of the IEEE Photovoltaic Specialists Conference</v>
      </c>
      <c r="B815" s="4" t="s">
        <v>8</v>
      </c>
      <c r="C815" s="4" t="str">
        <f t="shared" si="27"/>
        <v>-</v>
      </c>
      <c r="D815" s="4" t="str">
        <f>"01608371"</f>
        <v>01608371</v>
      </c>
      <c r="E815" s="4" t="str">
        <f t="shared" si="28"/>
        <v>-</v>
      </c>
      <c r="F815" s="4" t="s">
        <v>105</v>
      </c>
    </row>
    <row r="816" spans="1:6" x14ac:dyDescent="0.25">
      <c r="A816" s="4" t="str">
        <f>"Conference Record of the International Power Modulator Symposium and High Voltage Workshop"</f>
        <v>Conference Record of the International Power Modulator Symposium and High Voltage Workshop</v>
      </c>
      <c r="B816" s="4" t="s">
        <v>8</v>
      </c>
      <c r="C816" s="4" t="str">
        <f t="shared" si="27"/>
        <v>-</v>
      </c>
      <c r="D816" s="4" t="str">
        <f>"10768467"</f>
        <v>10768467</v>
      </c>
      <c r="E816" s="4" t="str">
        <f t="shared" si="28"/>
        <v>-</v>
      </c>
      <c r="F816" s="4" t="s">
        <v>105</v>
      </c>
    </row>
    <row r="817" spans="1:6" x14ac:dyDescent="0.25">
      <c r="A817" s="4" t="str">
        <f>"Conferences in Research and Practice in Information Technology Series"</f>
        <v>Conferences in Research and Practice in Information Technology Series</v>
      </c>
      <c r="B817" s="4" t="s">
        <v>8</v>
      </c>
      <c r="C817" s="4" t="str">
        <f t="shared" si="27"/>
        <v>-</v>
      </c>
      <c r="D817" s="4" t="str">
        <f>"14451336"</f>
        <v>14451336</v>
      </c>
      <c r="E817" s="4" t="str">
        <f t="shared" si="28"/>
        <v>-</v>
      </c>
      <c r="F817" s="4" t="s">
        <v>302</v>
      </c>
    </row>
    <row r="818" spans="1:6" x14ac:dyDescent="0.25">
      <c r="A818" s="4" t="str">
        <f>"Congress on Computing in Civil Engineering, Proceedings"</f>
        <v>Congress on Computing in Civil Engineering, Proceedings</v>
      </c>
      <c r="B818" s="4" t="s">
        <v>8</v>
      </c>
      <c r="C818" s="4" t="str">
        <f t="shared" si="27"/>
        <v>-</v>
      </c>
      <c r="D818" s="4" t="str">
        <f>"-"</f>
        <v>-</v>
      </c>
      <c r="E818" s="4" t="str">
        <f t="shared" si="28"/>
        <v>-</v>
      </c>
      <c r="F818" s="4" t="s">
        <v>111</v>
      </c>
    </row>
    <row r="819" spans="1:6" x14ac:dyDescent="0.25">
      <c r="A819" s="4" t="str">
        <f>"Connection Science"</f>
        <v>Connection Science</v>
      </c>
      <c r="B819" s="4" t="s">
        <v>6</v>
      </c>
      <c r="C819" s="4" t="str">
        <f t="shared" si="27"/>
        <v>-</v>
      </c>
      <c r="D819" s="4" t="str">
        <f>"09540091"</f>
        <v>09540091</v>
      </c>
      <c r="E819" s="4" t="str">
        <f>"13600494"</f>
        <v>13600494</v>
      </c>
      <c r="F819" s="4" t="s">
        <v>60</v>
      </c>
    </row>
    <row r="820" spans="1:6" x14ac:dyDescent="0.25">
      <c r="A820" s="4" t="str">
        <f>"Constraints"</f>
        <v>Constraints</v>
      </c>
      <c r="B820" s="4" t="s">
        <v>6</v>
      </c>
      <c r="C820" s="4" t="str">
        <f t="shared" si="27"/>
        <v>-</v>
      </c>
      <c r="D820" s="4" t="str">
        <f>"13837133"</f>
        <v>13837133</v>
      </c>
      <c r="E820" s="4" t="str">
        <f>"15729354"</f>
        <v>15729354</v>
      </c>
      <c r="F820" s="4" t="s">
        <v>57</v>
      </c>
    </row>
    <row r="821" spans="1:6" x14ac:dyDescent="0.25">
      <c r="A821" s="4" t="str">
        <f>"Construction and Building Materials"</f>
        <v>Construction and Building Materials</v>
      </c>
      <c r="B821" s="4" t="s">
        <v>6</v>
      </c>
      <c r="C821" s="4" t="str">
        <f t="shared" si="27"/>
        <v>-</v>
      </c>
      <c r="D821" s="4" t="str">
        <f>"09500618"</f>
        <v>09500618</v>
      </c>
      <c r="E821" s="4" t="str">
        <f>"-"</f>
        <v>-</v>
      </c>
      <c r="F821" s="4" t="s">
        <v>19</v>
      </c>
    </row>
    <row r="822" spans="1:6" x14ac:dyDescent="0.25">
      <c r="A822" s="4" t="str">
        <f>"Construction Management and Economics"</f>
        <v>Construction Management and Economics</v>
      </c>
      <c r="B822" s="4" t="s">
        <v>6</v>
      </c>
      <c r="C822" s="4" t="str">
        <f t="shared" si="27"/>
        <v>-</v>
      </c>
      <c r="D822" s="4" t="str">
        <f>"01446193"</f>
        <v>01446193</v>
      </c>
      <c r="E822" s="4" t="str">
        <f>"1466433X"</f>
        <v>1466433X</v>
      </c>
      <c r="F822" s="4" t="s">
        <v>211</v>
      </c>
    </row>
    <row r="823" spans="1:6" x14ac:dyDescent="0.25">
      <c r="A823" s="4" t="str">
        <f>"Continuum Mechanics and Thermodynamics"</f>
        <v>Continuum Mechanics and Thermodynamics</v>
      </c>
      <c r="B823" s="4" t="s">
        <v>6</v>
      </c>
      <c r="C823" s="4" t="str">
        <f t="shared" si="27"/>
        <v>-</v>
      </c>
      <c r="D823" s="4" t="str">
        <f>"09351175"</f>
        <v>09351175</v>
      </c>
      <c r="E823" s="4" t="str">
        <f t="shared" ref="E823:E828" si="29">"-"</f>
        <v>-</v>
      </c>
      <c r="F823" s="4" t="s">
        <v>57</v>
      </c>
    </row>
    <row r="824" spans="1:6" x14ac:dyDescent="0.25">
      <c r="A824" s="4" t="str">
        <f>"Contribution - University of California, Water Resources Center"</f>
        <v>Contribution - University of California, Water Resources Center</v>
      </c>
      <c r="B824" s="4" t="s">
        <v>6</v>
      </c>
      <c r="C824" s="4" t="str">
        <f t="shared" si="27"/>
        <v>-</v>
      </c>
      <c r="D824" s="4" t="str">
        <f>"05754941"</f>
        <v>05754941</v>
      </c>
      <c r="E824" s="4" t="str">
        <f t="shared" si="29"/>
        <v>-</v>
      </c>
      <c r="F824" s="4" t="s">
        <v>303</v>
      </c>
    </row>
    <row r="825" spans="1:6" x14ac:dyDescent="0.25">
      <c r="A825" s="4" t="str">
        <f>"Control"</f>
        <v>Control</v>
      </c>
      <c r="B825" s="4" t="s">
        <v>22</v>
      </c>
      <c r="C825" s="4" t="str">
        <f t="shared" si="27"/>
        <v>-</v>
      </c>
      <c r="D825" s="4" t="str">
        <f>"10495541"</f>
        <v>10495541</v>
      </c>
      <c r="E825" s="4" t="str">
        <f t="shared" si="29"/>
        <v>-</v>
      </c>
      <c r="F825" s="4" t="s">
        <v>304</v>
      </c>
    </row>
    <row r="826" spans="1:6" x14ac:dyDescent="0.25">
      <c r="A826" s="4" t="str">
        <f>"Control and Intelligent Systems"</f>
        <v>Control and Intelligent Systems</v>
      </c>
      <c r="B826" s="4" t="s">
        <v>6</v>
      </c>
      <c r="C826" s="4" t="str">
        <f t="shared" si="27"/>
        <v>-</v>
      </c>
      <c r="D826" s="4" t="str">
        <f>"14801752"</f>
        <v>14801752</v>
      </c>
      <c r="E826" s="4" t="str">
        <f t="shared" si="29"/>
        <v>-</v>
      </c>
      <c r="F826" s="4" t="s">
        <v>305</v>
      </c>
    </row>
    <row r="827" spans="1:6" x14ac:dyDescent="0.25">
      <c r="A827" s="4" t="str">
        <f>"Control Engineering Practice"</f>
        <v>Control Engineering Practice</v>
      </c>
      <c r="B827" s="4" t="s">
        <v>6</v>
      </c>
      <c r="C827" s="4" t="str">
        <f t="shared" si="27"/>
        <v>-</v>
      </c>
      <c r="D827" s="4" t="str">
        <f>"09670661"</f>
        <v>09670661</v>
      </c>
      <c r="E827" s="4" t="str">
        <f t="shared" si="29"/>
        <v>-</v>
      </c>
      <c r="F827" s="4" t="s">
        <v>19</v>
      </c>
    </row>
    <row r="828" spans="1:6" x14ac:dyDescent="0.25">
      <c r="A828" s="4" t="str">
        <f>"Control Systems, Preprints, Conference"</f>
        <v>Control Systems, Preprints, Conference</v>
      </c>
      <c r="B828" s="4" t="s">
        <v>8</v>
      </c>
      <c r="C828" s="4" t="str">
        <f t="shared" si="27"/>
        <v>-</v>
      </c>
      <c r="D828" s="4" t="str">
        <f>"-"</f>
        <v>-</v>
      </c>
      <c r="E828" s="4" t="str">
        <f t="shared" si="29"/>
        <v>-</v>
      </c>
      <c r="F828" s="4" t="s">
        <v>306</v>
      </c>
    </row>
    <row r="829" spans="1:6" x14ac:dyDescent="0.25">
      <c r="A829" s="4" t="str">
        <f>"Control Theory and Technology"</f>
        <v>Control Theory and Technology</v>
      </c>
      <c r="B829" s="4" t="s">
        <v>6</v>
      </c>
      <c r="C829" s="4" t="str">
        <f t="shared" si="27"/>
        <v>-</v>
      </c>
      <c r="D829" s="4" t="str">
        <f>"20956983"</f>
        <v>20956983</v>
      </c>
      <c r="E829" s="4" t="str">
        <f>"21980942"</f>
        <v>21980942</v>
      </c>
      <c r="F829" s="4" t="s">
        <v>307</v>
      </c>
    </row>
    <row r="830" spans="1:6" x14ac:dyDescent="0.25">
      <c r="A830" s="4" t="str">
        <f>"Converter"</f>
        <v>Converter</v>
      </c>
      <c r="B830" s="4" t="s">
        <v>22</v>
      </c>
      <c r="C830" s="4" t="str">
        <f t="shared" si="27"/>
        <v>-</v>
      </c>
      <c r="D830" s="4" t="str">
        <f>"00108189"</f>
        <v>00108189</v>
      </c>
      <c r="E830" s="4" t="str">
        <f>"-"</f>
        <v>-</v>
      </c>
      <c r="F830" s="4" t="s">
        <v>308</v>
      </c>
    </row>
    <row r="831" spans="1:6" x14ac:dyDescent="0.25">
      <c r="A831" s="4" t="str">
        <f>"Corrosion"</f>
        <v>Corrosion</v>
      </c>
      <c r="B831" s="4" t="s">
        <v>6</v>
      </c>
      <c r="C831" s="4" t="str">
        <f t="shared" si="27"/>
        <v>-</v>
      </c>
      <c r="D831" s="4" t="str">
        <f>"00109312"</f>
        <v>00109312</v>
      </c>
      <c r="E831" s="4" t="str">
        <f>"-"</f>
        <v>-</v>
      </c>
      <c r="F831" s="4" t="s">
        <v>309</v>
      </c>
    </row>
    <row r="832" spans="1:6" x14ac:dyDescent="0.25">
      <c r="A832" s="4" t="str">
        <f>"Corrosion and Materials"</f>
        <v>Corrosion and Materials</v>
      </c>
      <c r="B832" s="4" t="s">
        <v>6</v>
      </c>
      <c r="C832" s="4" t="str">
        <f t="shared" si="27"/>
        <v>-</v>
      </c>
      <c r="D832" s="4" t="str">
        <f>"13261932"</f>
        <v>13261932</v>
      </c>
      <c r="E832" s="4" t="str">
        <f>"-"</f>
        <v>-</v>
      </c>
      <c r="F832" s="4" t="s">
        <v>310</v>
      </c>
    </row>
    <row r="833" spans="1:6" x14ac:dyDescent="0.25">
      <c r="A833" s="4" t="str">
        <f>"Corrosion Engineering Science and Technology"</f>
        <v>Corrosion Engineering Science and Technology</v>
      </c>
      <c r="B833" s="4" t="s">
        <v>6</v>
      </c>
      <c r="C833" s="4" t="str">
        <f t="shared" si="27"/>
        <v>-</v>
      </c>
      <c r="D833" s="4" t="str">
        <f>"1478422X"</f>
        <v>1478422X</v>
      </c>
      <c r="E833" s="4" t="str">
        <f>"17432782"</f>
        <v>17432782</v>
      </c>
      <c r="F833" s="4" t="s">
        <v>70</v>
      </c>
    </row>
    <row r="834" spans="1:6" x14ac:dyDescent="0.25">
      <c r="A834" s="4" t="str">
        <f>"Corrosion Reviews"</f>
        <v>Corrosion Reviews</v>
      </c>
      <c r="B834" s="4" t="s">
        <v>6</v>
      </c>
      <c r="C834" s="4" t="str">
        <f t="shared" si="27"/>
        <v>-</v>
      </c>
      <c r="D834" s="4" t="str">
        <f>"03346005"</f>
        <v>03346005</v>
      </c>
      <c r="E834" s="4" t="str">
        <f>"-"</f>
        <v>-</v>
      </c>
      <c r="F834" s="4" t="s">
        <v>189</v>
      </c>
    </row>
    <row r="835" spans="1:6" x14ac:dyDescent="0.25">
      <c r="A835" s="4" t="str">
        <f>"Corrosion Science"</f>
        <v>Corrosion Science</v>
      </c>
      <c r="B835" s="4" t="s">
        <v>6</v>
      </c>
      <c r="C835" s="4" t="str">
        <f t="shared" si="27"/>
        <v>-</v>
      </c>
      <c r="D835" s="4" t="str">
        <f>"0010938X"</f>
        <v>0010938X</v>
      </c>
      <c r="E835" s="4" t="str">
        <f>"-"</f>
        <v>-</v>
      </c>
      <c r="F835" s="4" t="s">
        <v>19</v>
      </c>
    </row>
    <row r="836" spans="1:6" x14ac:dyDescent="0.25">
      <c r="A836" s="4" t="str">
        <f>"CPEM Digest (Conference on Precision Electromagnetic Measurements)"</f>
        <v>CPEM Digest (Conference on Precision Electromagnetic Measurements)</v>
      </c>
      <c r="B836" s="4" t="s">
        <v>8</v>
      </c>
      <c r="C836" s="4" t="str">
        <f t="shared" si="27"/>
        <v>-</v>
      </c>
      <c r="D836" s="4" t="str">
        <f>"05891485"</f>
        <v>05891485</v>
      </c>
      <c r="E836" s="4" t="str">
        <f>"-"</f>
        <v>-</v>
      </c>
      <c r="F836" s="4" t="s">
        <v>105</v>
      </c>
    </row>
    <row r="837" spans="1:6" x14ac:dyDescent="0.25">
      <c r="A837" s="4" t="str">
        <f>"Critical Reviews in Analytical Chemistry"</f>
        <v>Critical Reviews in Analytical Chemistry</v>
      </c>
      <c r="B837" s="4" t="s">
        <v>6</v>
      </c>
      <c r="C837" s="4" t="str">
        <f t="shared" si="27"/>
        <v>-</v>
      </c>
      <c r="D837" s="4" t="str">
        <f>"10408347"</f>
        <v>10408347</v>
      </c>
      <c r="E837" s="4" t="str">
        <f>"15476510"</f>
        <v>15476510</v>
      </c>
      <c r="F837" s="4" t="s">
        <v>60</v>
      </c>
    </row>
    <row r="838" spans="1:6" x14ac:dyDescent="0.25">
      <c r="A838" s="4" t="str">
        <f>"Critical Reviews in Biomedical Engineering"</f>
        <v>Critical Reviews in Biomedical Engineering</v>
      </c>
      <c r="B838" s="4" t="s">
        <v>6</v>
      </c>
      <c r="C838" s="4" t="str">
        <f t="shared" si="27"/>
        <v>-</v>
      </c>
      <c r="D838" s="4" t="str">
        <f>"0278940X"</f>
        <v>0278940X</v>
      </c>
      <c r="E838" s="4" t="str">
        <f>"-"</f>
        <v>-</v>
      </c>
      <c r="F838" s="4" t="s">
        <v>69</v>
      </c>
    </row>
    <row r="839" spans="1:6" x14ac:dyDescent="0.25">
      <c r="A839" s="4" t="str">
        <f>"Critical Reviews in Biotechnology"</f>
        <v>Critical Reviews in Biotechnology</v>
      </c>
      <c r="B839" s="4" t="s">
        <v>6</v>
      </c>
      <c r="C839" s="4" t="str">
        <f t="shared" si="27"/>
        <v>-</v>
      </c>
      <c r="D839" s="4" t="str">
        <f>"07388551"</f>
        <v>07388551</v>
      </c>
      <c r="E839" s="4" t="str">
        <f>"15497801"</f>
        <v>15497801</v>
      </c>
      <c r="F839" s="4" t="s">
        <v>12</v>
      </c>
    </row>
    <row r="840" spans="1:6" x14ac:dyDescent="0.25">
      <c r="A840" s="4" t="str">
        <f>"Critical Reviews in Environmental Science and Technology"</f>
        <v>Critical Reviews in Environmental Science and Technology</v>
      </c>
      <c r="B840" s="4" t="s">
        <v>6</v>
      </c>
      <c r="C840" s="4" t="str">
        <f t="shared" si="27"/>
        <v>-</v>
      </c>
      <c r="D840" s="4" t="str">
        <f>"10643389"</f>
        <v>10643389</v>
      </c>
      <c r="E840" s="4" t="str">
        <f>"15476537"</f>
        <v>15476537</v>
      </c>
      <c r="F840" s="4" t="s">
        <v>96</v>
      </c>
    </row>
    <row r="841" spans="1:6" x14ac:dyDescent="0.25">
      <c r="A841" s="4" t="str">
        <f>"Critical Reviews in Food Science and Nutrition"</f>
        <v>Critical Reviews in Food Science and Nutrition</v>
      </c>
      <c r="B841" s="4" t="s">
        <v>6</v>
      </c>
      <c r="C841" s="4" t="str">
        <f t="shared" si="27"/>
        <v>-</v>
      </c>
      <c r="D841" s="4" t="str">
        <f>"10408398"</f>
        <v>10408398</v>
      </c>
      <c r="E841" s="4" t="str">
        <f>"15497852"</f>
        <v>15497852</v>
      </c>
      <c r="F841" s="4" t="s">
        <v>96</v>
      </c>
    </row>
    <row r="842" spans="1:6" x14ac:dyDescent="0.25">
      <c r="A842" s="4" t="str">
        <f>"Critical Reviews in Solid State and Materials Sciences"</f>
        <v>Critical Reviews in Solid State and Materials Sciences</v>
      </c>
      <c r="B842" s="4" t="s">
        <v>6</v>
      </c>
      <c r="C842" s="4" t="str">
        <f t="shared" ref="C842:C880" si="30">"-"</f>
        <v>-</v>
      </c>
      <c r="D842" s="4" t="str">
        <f>"10408436"</f>
        <v>10408436</v>
      </c>
      <c r="E842" s="4" t="str">
        <f>"15476561"</f>
        <v>15476561</v>
      </c>
      <c r="F842" s="4" t="s">
        <v>96</v>
      </c>
    </row>
    <row r="843" spans="1:6" x14ac:dyDescent="0.25">
      <c r="A843" s="4" t="str">
        <f>"Croatian Journal of Forest Engineering"</f>
        <v>Croatian Journal of Forest Engineering</v>
      </c>
      <c r="B843" s="4" t="s">
        <v>6</v>
      </c>
      <c r="C843" s="4" t="str">
        <f t="shared" si="30"/>
        <v>-</v>
      </c>
      <c r="D843" s="4" t="str">
        <f>"18455719"</f>
        <v>18455719</v>
      </c>
      <c r="E843" s="4" t="str">
        <f>"-"</f>
        <v>-</v>
      </c>
      <c r="F843" s="4" t="s">
        <v>311</v>
      </c>
    </row>
    <row r="844" spans="1:6" x14ac:dyDescent="0.25">
      <c r="A844" s="4" t="str">
        <f>"CrossTalk"</f>
        <v>CrossTalk</v>
      </c>
      <c r="B844" s="4" t="s">
        <v>6</v>
      </c>
      <c r="C844" s="4" t="str">
        <f t="shared" si="30"/>
        <v>-</v>
      </c>
      <c r="D844" s="4" t="str">
        <f>"-"</f>
        <v>-</v>
      </c>
      <c r="E844" s="4" t="str">
        <f>"-"</f>
        <v>-</v>
      </c>
      <c r="F844" s="4" t="s">
        <v>312</v>
      </c>
    </row>
    <row r="845" spans="1:6" x14ac:dyDescent="0.25">
      <c r="A845" s="4" t="str">
        <f>"Cryogenics"</f>
        <v>Cryogenics</v>
      </c>
      <c r="B845" s="4" t="s">
        <v>6</v>
      </c>
      <c r="C845" s="4" t="str">
        <f t="shared" si="30"/>
        <v>-</v>
      </c>
      <c r="D845" s="4" t="str">
        <f>"00112275"</f>
        <v>00112275</v>
      </c>
      <c r="E845" s="4" t="str">
        <f>"-"</f>
        <v>-</v>
      </c>
      <c r="F845" s="4" t="s">
        <v>19</v>
      </c>
    </row>
    <row r="846" spans="1:6" x14ac:dyDescent="0.25">
      <c r="A846" s="4" t="str">
        <f>"Crystal Growth and Design"</f>
        <v>Crystal Growth and Design</v>
      </c>
      <c r="B846" s="4" t="s">
        <v>6</v>
      </c>
      <c r="C846" s="4" t="str">
        <f t="shared" si="30"/>
        <v>-</v>
      </c>
      <c r="D846" s="4" t="str">
        <f>"15287483"</f>
        <v>15287483</v>
      </c>
      <c r="E846" s="4" t="str">
        <f>"15287505"</f>
        <v>15287505</v>
      </c>
      <c r="F846" s="4" t="s">
        <v>28</v>
      </c>
    </row>
    <row r="847" spans="1:6" x14ac:dyDescent="0.25">
      <c r="A847" s="4" t="str">
        <f>"Crystal Research and Technology"</f>
        <v>Crystal Research and Technology</v>
      </c>
      <c r="B847" s="4" t="s">
        <v>6</v>
      </c>
      <c r="C847" s="4" t="str">
        <f t="shared" si="30"/>
        <v>-</v>
      </c>
      <c r="D847" s="4" t="str">
        <f>"02321300"</f>
        <v>02321300</v>
      </c>
      <c r="E847" s="4" t="str">
        <f>"15214079"</f>
        <v>15214079</v>
      </c>
      <c r="F847" s="4" t="s">
        <v>63</v>
      </c>
    </row>
    <row r="848" spans="1:6" x14ac:dyDescent="0.25">
      <c r="A848" s="4" t="str">
        <f>"Crystallography Reports"</f>
        <v>Crystallography Reports</v>
      </c>
      <c r="B848" s="4" t="s">
        <v>6</v>
      </c>
      <c r="C848" s="4" t="str">
        <f t="shared" si="30"/>
        <v>-</v>
      </c>
      <c r="D848" s="4" t="str">
        <f>"10637745"</f>
        <v>10637745</v>
      </c>
      <c r="E848" s="4" t="str">
        <f>"-"</f>
        <v>-</v>
      </c>
      <c r="F848" s="4" t="s">
        <v>24</v>
      </c>
    </row>
    <row r="849" spans="1:6" x14ac:dyDescent="0.25">
      <c r="A849" s="4" t="str">
        <f>"Crystallography Reviews"</f>
        <v>Crystallography Reviews</v>
      </c>
      <c r="B849" s="4" t="s">
        <v>6</v>
      </c>
      <c r="C849" s="4" t="str">
        <f t="shared" si="30"/>
        <v>-</v>
      </c>
      <c r="D849" s="4" t="str">
        <f>"0889311X"</f>
        <v>0889311X</v>
      </c>
      <c r="E849" s="4" t="str">
        <f>"14763508"</f>
        <v>14763508</v>
      </c>
      <c r="F849" s="4" t="s">
        <v>60</v>
      </c>
    </row>
    <row r="850" spans="1:6" x14ac:dyDescent="0.25">
      <c r="A850" s="4" t="str">
        <f>"CTBUH Journal"</f>
        <v>CTBUH Journal</v>
      </c>
      <c r="B850" s="4" t="s">
        <v>6</v>
      </c>
      <c r="C850" s="4" t="str">
        <f t="shared" si="30"/>
        <v>-</v>
      </c>
      <c r="D850" s="4" t="str">
        <f>"19461186"</f>
        <v>19461186</v>
      </c>
      <c r="E850" s="4" t="str">
        <f>"19461194"</f>
        <v>19461194</v>
      </c>
      <c r="F850" s="4" t="s">
        <v>313</v>
      </c>
    </row>
    <row r="851" spans="1:6" x14ac:dyDescent="0.25">
      <c r="A851" s="4" t="str">
        <f>"CTIT workshop proceedings series"</f>
        <v>CTIT workshop proceedings series</v>
      </c>
      <c r="B851" s="4" t="s">
        <v>8</v>
      </c>
      <c r="C851" s="4" t="str">
        <f t="shared" si="30"/>
        <v>-</v>
      </c>
      <c r="D851" s="4" t="str">
        <f>"15740846"</f>
        <v>15740846</v>
      </c>
      <c r="E851" s="4" t="str">
        <f>"-"</f>
        <v>-</v>
      </c>
      <c r="F851" s="4" t="s">
        <v>314</v>
      </c>
    </row>
    <row r="852" spans="1:6" x14ac:dyDescent="0.25">
      <c r="A852" s="4" t="str">
        <f>"CTyF - Ciencia, Tecnologia y Futuro"</f>
        <v>CTyF - Ciencia, Tecnologia y Futuro</v>
      </c>
      <c r="B852" s="4" t="s">
        <v>6</v>
      </c>
      <c r="C852" s="4" t="str">
        <f t="shared" si="30"/>
        <v>-</v>
      </c>
      <c r="D852" s="4" t="str">
        <f>"01225383"</f>
        <v>01225383</v>
      </c>
      <c r="E852" s="4" t="str">
        <f>"-"</f>
        <v>-</v>
      </c>
      <c r="F852" s="4" t="s">
        <v>315</v>
      </c>
    </row>
    <row r="853" spans="1:6" x14ac:dyDescent="0.25">
      <c r="A853" s="4" t="str">
        <f>"Current Applied Physics"</f>
        <v>Current Applied Physics</v>
      </c>
      <c r="B853" s="4" t="s">
        <v>6</v>
      </c>
      <c r="C853" s="4" t="str">
        <f t="shared" si="30"/>
        <v>-</v>
      </c>
      <c r="D853" s="4" t="str">
        <f>"15671739"</f>
        <v>15671739</v>
      </c>
      <c r="E853" s="4" t="str">
        <f>"-"</f>
        <v>-</v>
      </c>
      <c r="F853" s="4" t="s">
        <v>55</v>
      </c>
    </row>
    <row r="854" spans="1:6" x14ac:dyDescent="0.25">
      <c r="A854" s="4" t="str">
        <f>"Current Nanoscience"</f>
        <v>Current Nanoscience</v>
      </c>
      <c r="B854" s="4" t="s">
        <v>6</v>
      </c>
      <c r="C854" s="4" t="str">
        <f t="shared" si="30"/>
        <v>-</v>
      </c>
      <c r="D854" s="4" t="str">
        <f>"15734137"</f>
        <v>15734137</v>
      </c>
      <c r="E854" s="4" t="str">
        <f>"18756786"</f>
        <v>18756786</v>
      </c>
      <c r="F854" s="4" t="s">
        <v>316</v>
      </c>
    </row>
    <row r="855" spans="1:6" x14ac:dyDescent="0.25">
      <c r="A855" s="4" t="str">
        <f>"Current Opinion in Biotechnology"</f>
        <v>Current Opinion in Biotechnology</v>
      </c>
      <c r="B855" s="4" t="s">
        <v>6</v>
      </c>
      <c r="C855" s="4" t="str">
        <f t="shared" si="30"/>
        <v>-</v>
      </c>
      <c r="D855" s="4" t="str">
        <f>"09581669"</f>
        <v>09581669</v>
      </c>
      <c r="E855" s="4" t="str">
        <f>"18790429"</f>
        <v>18790429</v>
      </c>
      <c r="F855" s="4" t="s">
        <v>19</v>
      </c>
    </row>
    <row r="856" spans="1:6" x14ac:dyDescent="0.25">
      <c r="A856" s="4" t="str">
        <f>"Current Opinion in Chemical Engineering"</f>
        <v>Current Opinion in Chemical Engineering</v>
      </c>
      <c r="B856" s="4" t="s">
        <v>6</v>
      </c>
      <c r="C856" s="4" t="str">
        <f t="shared" si="30"/>
        <v>-</v>
      </c>
      <c r="D856" s="4" t="str">
        <f>"-"</f>
        <v>-</v>
      </c>
      <c r="E856" s="4" t="str">
        <f>"22113398"</f>
        <v>22113398</v>
      </c>
      <c r="F856" s="4" t="s">
        <v>19</v>
      </c>
    </row>
    <row r="857" spans="1:6" x14ac:dyDescent="0.25">
      <c r="A857" s="4" t="str">
        <f>"Current Opinion in Colloid and Interface Science"</f>
        <v>Current Opinion in Colloid and Interface Science</v>
      </c>
      <c r="B857" s="4" t="s">
        <v>6</v>
      </c>
      <c r="C857" s="4" t="str">
        <f t="shared" si="30"/>
        <v>-</v>
      </c>
      <c r="D857" s="4" t="str">
        <f>"13590294"</f>
        <v>13590294</v>
      </c>
      <c r="E857" s="4" t="str">
        <f>"18790399"</f>
        <v>18790399</v>
      </c>
      <c r="F857" s="4" t="s">
        <v>19</v>
      </c>
    </row>
    <row r="858" spans="1:6" x14ac:dyDescent="0.25">
      <c r="A858" s="4" t="str">
        <f>"Current Opinion in Solid State and Materials Science"</f>
        <v>Current Opinion in Solid State and Materials Science</v>
      </c>
      <c r="B858" s="4" t="s">
        <v>6</v>
      </c>
      <c r="C858" s="4" t="str">
        <f t="shared" si="30"/>
        <v>-</v>
      </c>
      <c r="D858" s="4" t="str">
        <f>"13590286"</f>
        <v>13590286</v>
      </c>
      <c r="E858" s="4" t="str">
        <f>"-"</f>
        <v>-</v>
      </c>
      <c r="F858" s="4" t="s">
        <v>19</v>
      </c>
    </row>
    <row r="859" spans="1:6" x14ac:dyDescent="0.25">
      <c r="A859" s="4" t="str">
        <f>"Cybernetics and Information Technologies"</f>
        <v>Cybernetics and Information Technologies</v>
      </c>
      <c r="B859" s="4" t="s">
        <v>6</v>
      </c>
      <c r="C859" s="4" t="str">
        <f t="shared" si="30"/>
        <v>-</v>
      </c>
      <c r="D859" s="4" t="str">
        <f>"13119702"</f>
        <v>13119702</v>
      </c>
      <c r="E859" s="4" t="str">
        <f>"13144081"</f>
        <v>13144081</v>
      </c>
      <c r="F859" s="4" t="s">
        <v>317</v>
      </c>
    </row>
    <row r="860" spans="1:6" x14ac:dyDescent="0.25">
      <c r="A860" s="4" t="str">
        <f>"Cybernetics and Systems"</f>
        <v>Cybernetics and Systems</v>
      </c>
      <c r="B860" s="4" t="s">
        <v>6</v>
      </c>
      <c r="C860" s="4" t="str">
        <f t="shared" si="30"/>
        <v>-</v>
      </c>
      <c r="D860" s="4" t="str">
        <f>"01969722"</f>
        <v>01969722</v>
      </c>
      <c r="E860" s="4" t="str">
        <f>"10876553"</f>
        <v>10876553</v>
      </c>
      <c r="F860" s="4" t="s">
        <v>96</v>
      </c>
    </row>
    <row r="861" spans="1:6" x14ac:dyDescent="0.25">
      <c r="A861" s="4" t="str">
        <f>"Cybernetics and Systems Analysis"</f>
        <v>Cybernetics and Systems Analysis</v>
      </c>
      <c r="B861" s="4" t="s">
        <v>6</v>
      </c>
      <c r="C861" s="4" t="str">
        <f t="shared" si="30"/>
        <v>-</v>
      </c>
      <c r="D861" s="4" t="str">
        <f>"10600396"</f>
        <v>10600396</v>
      </c>
      <c r="E861" s="4" t="str">
        <f>"15738337"</f>
        <v>15738337</v>
      </c>
      <c r="F861" s="4" t="s">
        <v>57</v>
      </c>
    </row>
    <row r="862" spans="1:6" x14ac:dyDescent="0.25">
      <c r="A862" s="4" t="str">
        <f>"CYTA - Journal of Food"</f>
        <v>CYTA - Journal of Food</v>
      </c>
      <c r="B862" s="4" t="s">
        <v>6</v>
      </c>
      <c r="C862" s="4" t="str">
        <f t="shared" si="30"/>
        <v>-</v>
      </c>
      <c r="D862" s="4" t="str">
        <f>"19476337"</f>
        <v>19476337</v>
      </c>
      <c r="E862" s="4" t="str">
        <f>"19476345"</f>
        <v>19476345</v>
      </c>
      <c r="F862" s="4" t="s">
        <v>60</v>
      </c>
    </row>
    <row r="863" spans="1:6" x14ac:dyDescent="0.25">
      <c r="A863" s="4" t="str">
        <f>"Czech Journal of Food Sciences"</f>
        <v>Czech Journal of Food Sciences</v>
      </c>
      <c r="B863" s="4" t="s">
        <v>6</v>
      </c>
      <c r="C863" s="4" t="str">
        <f t="shared" si="30"/>
        <v>-</v>
      </c>
      <c r="D863" s="4" t="str">
        <f>"12121800"</f>
        <v>12121800</v>
      </c>
      <c r="E863" s="4" t="str">
        <f>"-"</f>
        <v>-</v>
      </c>
      <c r="F863" s="4" t="s">
        <v>318</v>
      </c>
    </row>
    <row r="864" spans="1:6" x14ac:dyDescent="0.25">
      <c r="A864" s="4" t="str">
        <f>"Dairy Science and Technology"</f>
        <v>Dairy Science and Technology</v>
      </c>
      <c r="B864" s="4" t="s">
        <v>6</v>
      </c>
      <c r="C864" s="4" t="str">
        <f t="shared" si="30"/>
        <v>-</v>
      </c>
      <c r="D864" s="4" t="str">
        <f>"19585586"</f>
        <v>19585586</v>
      </c>
      <c r="E864" s="4" t="str">
        <f>"19585594"</f>
        <v>19585594</v>
      </c>
      <c r="F864" s="4" t="s">
        <v>123</v>
      </c>
    </row>
    <row r="865" spans="1:6" x14ac:dyDescent="0.25">
      <c r="A865" s="4" t="str">
        <f>"Dalton Transactions"</f>
        <v>Dalton Transactions</v>
      </c>
      <c r="B865" s="4" t="s">
        <v>6</v>
      </c>
      <c r="C865" s="4" t="str">
        <f t="shared" si="30"/>
        <v>-</v>
      </c>
      <c r="D865" s="4" t="str">
        <f>"14779226"</f>
        <v>14779226</v>
      </c>
      <c r="E865" s="4" t="str">
        <f>"14779234"</f>
        <v>14779234</v>
      </c>
      <c r="F865" s="4" t="s">
        <v>121</v>
      </c>
    </row>
    <row r="866" spans="1:6" x14ac:dyDescent="0.25">
      <c r="A866" s="4" t="str">
        <f>"Dams and Reservoirs"</f>
        <v>Dams and Reservoirs</v>
      </c>
      <c r="B866" s="4" t="s">
        <v>6</v>
      </c>
      <c r="C866" s="4" t="str">
        <f t="shared" si="30"/>
        <v>-</v>
      </c>
      <c r="D866" s="4" t="str">
        <f>"13681494"</f>
        <v>13681494</v>
      </c>
      <c r="E866" s="4" t="str">
        <f>"17568404"</f>
        <v>17568404</v>
      </c>
      <c r="F866" s="4" t="s">
        <v>74</v>
      </c>
    </row>
    <row r="867" spans="1:6" x14ac:dyDescent="0.25">
      <c r="A867" s="4" t="str">
        <f>"Data and Knowledge Engineering"</f>
        <v>Data and Knowledge Engineering</v>
      </c>
      <c r="B867" s="4" t="s">
        <v>6</v>
      </c>
      <c r="C867" s="4" t="str">
        <f t="shared" si="30"/>
        <v>-</v>
      </c>
      <c r="D867" s="4" t="str">
        <f>"0169023X"</f>
        <v>0169023X</v>
      </c>
      <c r="E867" s="4" t="str">
        <f>"-"</f>
        <v>-</v>
      </c>
      <c r="F867" s="4" t="s">
        <v>55</v>
      </c>
    </row>
    <row r="868" spans="1:6" x14ac:dyDescent="0.25">
      <c r="A868" s="4" t="str">
        <f>"Data Base for Advances in Information Systems"</f>
        <v>Data Base for Advances in Information Systems</v>
      </c>
      <c r="B868" s="4" t="s">
        <v>6</v>
      </c>
      <c r="C868" s="4" t="str">
        <f t="shared" si="30"/>
        <v>-</v>
      </c>
      <c r="D868" s="4" t="str">
        <f>"00950033"</f>
        <v>00950033</v>
      </c>
      <c r="E868" s="4" t="str">
        <f>"-"</f>
        <v>-</v>
      </c>
      <c r="F868" s="4" t="s">
        <v>21</v>
      </c>
    </row>
    <row r="869" spans="1:6" x14ac:dyDescent="0.25">
      <c r="A869" s="4" t="str">
        <f>"Data Compression Conference Proceedings"</f>
        <v>Data Compression Conference Proceedings</v>
      </c>
      <c r="B869" s="4" t="s">
        <v>8</v>
      </c>
      <c r="C869" s="4" t="str">
        <f t="shared" si="30"/>
        <v>-</v>
      </c>
      <c r="D869" s="4" t="str">
        <f>"10680314"</f>
        <v>10680314</v>
      </c>
      <c r="E869" s="4" t="str">
        <f>"-"</f>
        <v>-</v>
      </c>
      <c r="F869" s="4" t="s">
        <v>105</v>
      </c>
    </row>
    <row r="870" spans="1:6" x14ac:dyDescent="0.25">
      <c r="A870" s="4" t="str">
        <f>"Data Mining and Knowledge Discovery"</f>
        <v>Data Mining and Knowledge Discovery</v>
      </c>
      <c r="B870" s="4" t="s">
        <v>6</v>
      </c>
      <c r="C870" s="4" t="str">
        <f t="shared" si="30"/>
        <v>-</v>
      </c>
      <c r="D870" s="4" t="str">
        <f>"13845810"</f>
        <v>13845810</v>
      </c>
      <c r="E870" s="4" t="str">
        <f>"1573756X"</f>
        <v>1573756X</v>
      </c>
      <c r="F870" s="4" t="s">
        <v>57</v>
      </c>
    </row>
    <row r="871" spans="1:6" x14ac:dyDescent="0.25">
      <c r="A871" s="4" t="str">
        <f>"Data Science Journal"</f>
        <v>Data Science Journal</v>
      </c>
      <c r="B871" s="4" t="s">
        <v>6</v>
      </c>
      <c r="C871" s="4" t="str">
        <f t="shared" si="30"/>
        <v>-</v>
      </c>
      <c r="D871" s="4" t="str">
        <f>"-"</f>
        <v>-</v>
      </c>
      <c r="E871" s="4" t="str">
        <f>"16831470"</f>
        <v>16831470</v>
      </c>
      <c r="F871" s="4" t="s">
        <v>319</v>
      </c>
    </row>
    <row r="872" spans="1:6" x14ac:dyDescent="0.25">
      <c r="A872" s="4" t="str">
        <f>"Decision Support Systems"</f>
        <v>Decision Support Systems</v>
      </c>
      <c r="B872" s="4" t="s">
        <v>6</v>
      </c>
      <c r="C872" s="4" t="str">
        <f t="shared" si="30"/>
        <v>-</v>
      </c>
      <c r="D872" s="4" t="str">
        <f>"01679236"</f>
        <v>01679236</v>
      </c>
      <c r="E872" s="4" t="str">
        <f>"-"</f>
        <v>-</v>
      </c>
      <c r="F872" s="4" t="s">
        <v>55</v>
      </c>
    </row>
    <row r="873" spans="1:6" x14ac:dyDescent="0.25">
      <c r="A873" s="4" t="str">
        <f>"Deep-Sea Research Part I: Oceanographic Research Papers"</f>
        <v>Deep-Sea Research Part I: Oceanographic Research Papers</v>
      </c>
      <c r="B873" s="4" t="s">
        <v>6</v>
      </c>
      <c r="C873" s="4" t="str">
        <f t="shared" si="30"/>
        <v>-</v>
      </c>
      <c r="D873" s="4" t="str">
        <f>"09670637"</f>
        <v>09670637</v>
      </c>
      <c r="E873" s="4" t="str">
        <f>"-"</f>
        <v>-</v>
      </c>
      <c r="F873" s="4" t="s">
        <v>19</v>
      </c>
    </row>
    <row r="874" spans="1:6" x14ac:dyDescent="0.25">
      <c r="A874" s="4" t="str">
        <f>"Deep-Sea Research Part II: Topical Studies in Oceanography"</f>
        <v>Deep-Sea Research Part II: Topical Studies in Oceanography</v>
      </c>
      <c r="B874" s="4" t="s">
        <v>6</v>
      </c>
      <c r="C874" s="4" t="str">
        <f t="shared" si="30"/>
        <v>-</v>
      </c>
      <c r="D874" s="4" t="str">
        <f>"09670645"</f>
        <v>09670645</v>
      </c>
      <c r="E874" s="4" t="str">
        <f>"-"</f>
        <v>-</v>
      </c>
      <c r="F874" s="4" t="s">
        <v>19</v>
      </c>
    </row>
    <row r="875" spans="1:6" x14ac:dyDescent="0.25">
      <c r="A875" s="4" t="str">
        <f>"Defect and Diffusion Forum"</f>
        <v>Defect and Diffusion Forum</v>
      </c>
      <c r="B875" s="4" t="s">
        <v>29</v>
      </c>
      <c r="C875" s="4" t="str">
        <f t="shared" si="30"/>
        <v>-</v>
      </c>
      <c r="D875" s="4" t="str">
        <f>"10120386"</f>
        <v>10120386</v>
      </c>
      <c r="E875" s="4" t="str">
        <f>"-"</f>
        <v>-</v>
      </c>
      <c r="F875" s="4" t="s">
        <v>320</v>
      </c>
    </row>
    <row r="876" spans="1:6" x14ac:dyDescent="0.25">
      <c r="A876" s="4" t="str">
        <f>"Defence Science Journal"</f>
        <v>Defence Science Journal</v>
      </c>
      <c r="B876" s="4" t="s">
        <v>6</v>
      </c>
      <c r="C876" s="4" t="str">
        <f t="shared" si="30"/>
        <v>-</v>
      </c>
      <c r="D876" s="4" t="str">
        <f>"0011748X"</f>
        <v>0011748X</v>
      </c>
      <c r="E876" s="4" t="str">
        <f>"0976464X"</f>
        <v>0976464X</v>
      </c>
      <c r="F876" s="4" t="s">
        <v>321</v>
      </c>
    </row>
    <row r="877" spans="1:6" x14ac:dyDescent="0.25">
      <c r="A877" s="4" t="str">
        <f>"Dental Materials"</f>
        <v>Dental Materials</v>
      </c>
      <c r="B877" s="4" t="s">
        <v>6</v>
      </c>
      <c r="C877" s="4" t="str">
        <f t="shared" si="30"/>
        <v>-</v>
      </c>
      <c r="D877" s="4" t="str">
        <f>"01095641"</f>
        <v>01095641</v>
      </c>
      <c r="E877" s="4" t="str">
        <f>"-"</f>
        <v>-</v>
      </c>
      <c r="F877" s="4" t="s">
        <v>141</v>
      </c>
    </row>
    <row r="878" spans="1:6" x14ac:dyDescent="0.25">
      <c r="A878" s="4" t="str">
        <f>"Dental Materials Journal"</f>
        <v>Dental Materials Journal</v>
      </c>
      <c r="B878" s="4" t="s">
        <v>6</v>
      </c>
      <c r="C878" s="4" t="str">
        <f t="shared" si="30"/>
        <v>-</v>
      </c>
      <c r="D878" s="4" t="str">
        <f>"02874547"</f>
        <v>02874547</v>
      </c>
      <c r="E878" s="4" t="str">
        <f>"18811361"</f>
        <v>18811361</v>
      </c>
      <c r="F878" s="4" t="s">
        <v>322</v>
      </c>
    </row>
    <row r="879" spans="1:6" x14ac:dyDescent="0.25">
      <c r="A879" s="4" t="str">
        <f>"Desalination"</f>
        <v>Desalination</v>
      </c>
      <c r="B879" s="4" t="s">
        <v>6</v>
      </c>
      <c r="C879" s="4" t="str">
        <f t="shared" si="30"/>
        <v>-</v>
      </c>
      <c r="D879" s="4" t="str">
        <f>"00119164"</f>
        <v>00119164</v>
      </c>
      <c r="E879" s="4" t="str">
        <f>"-"</f>
        <v>-</v>
      </c>
      <c r="F879" s="4" t="s">
        <v>55</v>
      </c>
    </row>
    <row r="880" spans="1:6" x14ac:dyDescent="0.25">
      <c r="A880" s="4" t="str">
        <f>"Design Automation for Embedded Systems"</f>
        <v>Design Automation for Embedded Systems</v>
      </c>
      <c r="B880" s="4" t="s">
        <v>6</v>
      </c>
      <c r="C880" s="4" t="str">
        <f t="shared" si="30"/>
        <v>-</v>
      </c>
      <c r="D880" s="4" t="str">
        <f>"09295585"</f>
        <v>09295585</v>
      </c>
      <c r="E880" s="4" t="str">
        <f>"15728080"</f>
        <v>15728080</v>
      </c>
      <c r="F880" s="4" t="s">
        <v>57</v>
      </c>
    </row>
    <row r="881" spans="1:6" x14ac:dyDescent="0.25">
      <c r="A881" s="4" t="s">
        <v>323</v>
      </c>
      <c r="B881" s="4" t="s">
        <v>6</v>
      </c>
      <c r="C881" s="4" t="s">
        <v>324</v>
      </c>
      <c r="D881" s="4" t="s">
        <v>325</v>
      </c>
      <c r="E881" s="4" t="s">
        <v>326</v>
      </c>
      <c r="F881" s="4" t="s">
        <v>327</v>
      </c>
    </row>
    <row r="882" spans="1:6" x14ac:dyDescent="0.25">
      <c r="A882" s="4" t="str">
        <f>"Design Studies"</f>
        <v>Design Studies</v>
      </c>
      <c r="B882" s="4" t="s">
        <v>6</v>
      </c>
      <c r="C882" s="4" t="str">
        <f t="shared" ref="C882:C945" si="31">"-"</f>
        <v>-</v>
      </c>
      <c r="D882" s="4" t="str">
        <f>"0142694X"</f>
        <v>0142694X</v>
      </c>
      <c r="E882" s="4" t="str">
        <f>"-"</f>
        <v>-</v>
      </c>
      <c r="F882" s="4" t="s">
        <v>19</v>
      </c>
    </row>
    <row r="883" spans="1:6" x14ac:dyDescent="0.25">
      <c r="A883" s="4" t="str">
        <f>"Designed Monomers and Polymers"</f>
        <v>Designed Monomers and Polymers</v>
      </c>
      <c r="B883" s="4" t="s">
        <v>6</v>
      </c>
      <c r="C883" s="4" t="str">
        <f t="shared" si="31"/>
        <v>-</v>
      </c>
      <c r="D883" s="4" t="str">
        <f>"1385772X"</f>
        <v>1385772X</v>
      </c>
      <c r="E883" s="4" t="str">
        <f>"15685551"</f>
        <v>15685551</v>
      </c>
      <c r="F883" s="4" t="s">
        <v>60</v>
      </c>
    </row>
    <row r="884" spans="1:6" x14ac:dyDescent="0.25">
      <c r="A884" s="4" t="str">
        <f>"Designs, Codes, and Cryptography"</f>
        <v>Designs, Codes, and Cryptography</v>
      </c>
      <c r="B884" s="4" t="s">
        <v>6</v>
      </c>
      <c r="C884" s="4" t="str">
        <f t="shared" si="31"/>
        <v>-</v>
      </c>
      <c r="D884" s="4" t="str">
        <f>"09251022"</f>
        <v>09251022</v>
      </c>
      <c r="E884" s="4" t="str">
        <f>"15737586"</f>
        <v>15737586</v>
      </c>
      <c r="F884" s="4" t="s">
        <v>57</v>
      </c>
    </row>
    <row r="885" spans="1:6" x14ac:dyDescent="0.25">
      <c r="A885" s="4" t="str">
        <f>"Deutsche Gesellschaft fur Medizinische Informatik, Biometrie und Epidemiologie e.V. (GMDS)"</f>
        <v>Deutsche Gesellschaft fur Medizinische Informatik, Biometrie und Epidemiologie e.V. (GMDS)</v>
      </c>
      <c r="B885" s="4" t="s">
        <v>8</v>
      </c>
      <c r="C885" s="4" t="str">
        <f t="shared" si="31"/>
        <v>-</v>
      </c>
      <c r="D885" s="4" t="str">
        <f>"18608779"</f>
        <v>18608779</v>
      </c>
      <c r="E885" s="4" t="str">
        <f>"18609171"</f>
        <v>18609171</v>
      </c>
      <c r="F885" s="4" t="s">
        <v>328</v>
      </c>
    </row>
    <row r="886" spans="1:6" x14ac:dyDescent="0.25">
      <c r="A886" s="4" t="str">
        <f>"Device Research Conference - Conference Digest, DRC"</f>
        <v>Device Research Conference - Conference Digest, DRC</v>
      </c>
      <c r="B886" s="4" t="s">
        <v>8</v>
      </c>
      <c r="C886" s="4" t="str">
        <f t="shared" si="31"/>
        <v>-</v>
      </c>
      <c r="D886" s="4" t="str">
        <f>"15483770"</f>
        <v>15483770</v>
      </c>
      <c r="E886" s="4" t="str">
        <f t="shared" ref="E886:E899" si="32">"-"</f>
        <v>-</v>
      </c>
      <c r="F886" s="4" t="s">
        <v>105</v>
      </c>
    </row>
    <row r="887" spans="1:6" x14ac:dyDescent="0.25">
      <c r="A887" s="4" t="str">
        <f>"Diagnostyka"</f>
        <v>Diagnostyka</v>
      </c>
      <c r="B887" s="4" t="s">
        <v>6</v>
      </c>
      <c r="C887" s="4" t="str">
        <f t="shared" si="31"/>
        <v>-</v>
      </c>
      <c r="D887" s="4" t="str">
        <f>"16416414"</f>
        <v>16416414</v>
      </c>
      <c r="E887" s="4" t="str">
        <f t="shared" si="32"/>
        <v>-</v>
      </c>
      <c r="F887" s="4" t="s">
        <v>329</v>
      </c>
    </row>
    <row r="888" spans="1:6" x14ac:dyDescent="0.25">
      <c r="A888" s="4" t="str">
        <f>"Diamond and Related Materials"</f>
        <v>Diamond and Related Materials</v>
      </c>
      <c r="B888" s="4" t="s">
        <v>6</v>
      </c>
      <c r="C888" s="4" t="str">
        <f t="shared" si="31"/>
        <v>-</v>
      </c>
      <c r="D888" s="4" t="str">
        <f>"09259635"</f>
        <v>09259635</v>
      </c>
      <c r="E888" s="4" t="str">
        <f t="shared" si="32"/>
        <v>-</v>
      </c>
      <c r="F888" s="4" t="s">
        <v>19</v>
      </c>
    </row>
    <row r="889" spans="1:6" x14ac:dyDescent="0.25">
      <c r="A889" s="4" t="str">
        <f>"Diangong Jishu Xuebao/Transactions of China Electrotechnical Society"</f>
        <v>Diangong Jishu Xuebao/Transactions of China Electrotechnical Society</v>
      </c>
      <c r="B889" s="4" t="s">
        <v>6</v>
      </c>
      <c r="C889" s="4" t="str">
        <f t="shared" si="31"/>
        <v>-</v>
      </c>
      <c r="D889" s="4" t="str">
        <f>"10006753"</f>
        <v>10006753</v>
      </c>
      <c r="E889" s="4" t="str">
        <f t="shared" si="32"/>
        <v>-</v>
      </c>
      <c r="F889" s="4" t="s">
        <v>330</v>
      </c>
    </row>
    <row r="890" spans="1:6" x14ac:dyDescent="0.25">
      <c r="A890" s="4" t="str">
        <f>"Dianji yu Kongzhi Xuebao/Electric Machines and Control"</f>
        <v>Dianji yu Kongzhi Xuebao/Electric Machines and Control</v>
      </c>
      <c r="B890" s="4" t="s">
        <v>6</v>
      </c>
      <c r="C890" s="4" t="str">
        <f t="shared" si="31"/>
        <v>-</v>
      </c>
      <c r="D890" s="4" t="str">
        <f>"1007449X"</f>
        <v>1007449X</v>
      </c>
      <c r="E890" s="4" t="str">
        <f t="shared" si="32"/>
        <v>-</v>
      </c>
      <c r="F890" s="4" t="s">
        <v>331</v>
      </c>
    </row>
    <row r="891" spans="1:6" x14ac:dyDescent="0.25">
      <c r="A891" s="4" t="str">
        <f>"Dianli Xitong Zidonghua/Automation of Electric Power Systems"</f>
        <v>Dianli Xitong Zidonghua/Automation of Electric Power Systems</v>
      </c>
      <c r="B891" s="4" t="s">
        <v>6</v>
      </c>
      <c r="C891" s="4" t="str">
        <f t="shared" si="31"/>
        <v>-</v>
      </c>
      <c r="D891" s="4" t="str">
        <f>"10001026"</f>
        <v>10001026</v>
      </c>
      <c r="E891" s="4" t="str">
        <f t="shared" si="32"/>
        <v>-</v>
      </c>
      <c r="F891" s="4" t="s">
        <v>332</v>
      </c>
    </row>
    <row r="892" spans="1:6" x14ac:dyDescent="0.25">
      <c r="A892" s="4" t="str">
        <f>"Dianli Zidonghua Shebei/Electric Power Automation Equipment"</f>
        <v>Dianli Zidonghua Shebei/Electric Power Automation Equipment</v>
      </c>
      <c r="B892" s="4" t="s">
        <v>6</v>
      </c>
      <c r="C892" s="4" t="str">
        <f t="shared" si="31"/>
        <v>-</v>
      </c>
      <c r="D892" s="4" t="str">
        <f>"10066047"</f>
        <v>10066047</v>
      </c>
      <c r="E892" s="4" t="str">
        <f t="shared" si="32"/>
        <v>-</v>
      </c>
      <c r="F892" s="4" t="s">
        <v>333</v>
      </c>
    </row>
    <row r="893" spans="1:6" x14ac:dyDescent="0.25">
      <c r="A893" s="4" t="str">
        <f>"Dianwang Jishu/Power System Technology"</f>
        <v>Dianwang Jishu/Power System Technology</v>
      </c>
      <c r="B893" s="4" t="s">
        <v>6</v>
      </c>
      <c r="C893" s="4" t="str">
        <f t="shared" si="31"/>
        <v>-</v>
      </c>
      <c r="D893" s="4" t="str">
        <f>"10003673"</f>
        <v>10003673</v>
      </c>
      <c r="E893" s="4" t="str">
        <f t="shared" si="32"/>
        <v>-</v>
      </c>
      <c r="F893" s="4" t="s">
        <v>334</v>
      </c>
    </row>
    <row r="894" spans="1:6" x14ac:dyDescent="0.25">
      <c r="A894" s="4" t="str">
        <f>"Dianzi Keji Daxue Xuebao/Journal of the University of Electronic Science and Technology of China"</f>
        <v>Dianzi Keji Daxue Xuebao/Journal of the University of Electronic Science and Technology of China</v>
      </c>
      <c r="B894" s="4" t="s">
        <v>6</v>
      </c>
      <c r="C894" s="4" t="str">
        <f t="shared" si="31"/>
        <v>-</v>
      </c>
      <c r="D894" s="4" t="str">
        <f>"10010548"</f>
        <v>10010548</v>
      </c>
      <c r="E894" s="4" t="str">
        <f t="shared" si="32"/>
        <v>-</v>
      </c>
      <c r="F894" s="4" t="s">
        <v>335</v>
      </c>
    </row>
    <row r="895" spans="1:6" x14ac:dyDescent="0.25">
      <c r="A895" s="4" t="str">
        <f>"Dianzi Yu Xinxi Xuebao/Journal of Electronics and Information Technology"</f>
        <v>Dianzi Yu Xinxi Xuebao/Journal of Electronics and Information Technology</v>
      </c>
      <c r="B895" s="4" t="s">
        <v>6</v>
      </c>
      <c r="C895" s="4" t="str">
        <f t="shared" si="31"/>
        <v>-</v>
      </c>
      <c r="D895" s="4" t="str">
        <f>"10095896"</f>
        <v>10095896</v>
      </c>
      <c r="E895" s="4" t="str">
        <f t="shared" si="32"/>
        <v>-</v>
      </c>
      <c r="F895" s="4" t="s">
        <v>37</v>
      </c>
    </row>
    <row r="896" spans="1:6" x14ac:dyDescent="0.25">
      <c r="A896" s="4" t="str">
        <f>"Digest of Papers - IEEE Radio Frequency Integrated Circuits Symposium"</f>
        <v>Digest of Papers - IEEE Radio Frequency Integrated Circuits Symposium</v>
      </c>
      <c r="B896" s="4" t="s">
        <v>8</v>
      </c>
      <c r="C896" s="4" t="str">
        <f t="shared" si="31"/>
        <v>-</v>
      </c>
      <c r="D896" s="4" t="str">
        <f>"15292517"</f>
        <v>15292517</v>
      </c>
      <c r="E896" s="4" t="str">
        <f t="shared" si="32"/>
        <v>-</v>
      </c>
      <c r="F896" s="4" t="s">
        <v>105</v>
      </c>
    </row>
    <row r="897" spans="1:6" x14ac:dyDescent="0.25">
      <c r="A897" s="4" t="str">
        <f>"Digest of Papers - IEEE Symposium on Mass Storage Systems"</f>
        <v>Digest of Papers - IEEE Symposium on Mass Storage Systems</v>
      </c>
      <c r="B897" s="4" t="s">
        <v>8</v>
      </c>
      <c r="C897" s="4" t="str">
        <f t="shared" si="31"/>
        <v>-</v>
      </c>
      <c r="D897" s="4" t="str">
        <f>"10519173"</f>
        <v>10519173</v>
      </c>
      <c r="E897" s="4" t="str">
        <f t="shared" si="32"/>
        <v>-</v>
      </c>
      <c r="F897" s="4" t="s">
        <v>105</v>
      </c>
    </row>
    <row r="898" spans="1:6" x14ac:dyDescent="0.25">
      <c r="A898" s="4" t="str">
        <f>"Digest of Technical Papers - IEEE International Conference on Consumer Electronics"</f>
        <v>Digest of Technical Papers - IEEE International Conference on Consumer Electronics</v>
      </c>
      <c r="B898" s="4" t="s">
        <v>8</v>
      </c>
      <c r="C898" s="4" t="str">
        <f t="shared" si="31"/>
        <v>-</v>
      </c>
      <c r="D898" s="4" t="str">
        <f>"0747668X"</f>
        <v>0747668X</v>
      </c>
      <c r="E898" s="4" t="str">
        <f t="shared" si="32"/>
        <v>-</v>
      </c>
      <c r="F898" s="4" t="s">
        <v>105</v>
      </c>
    </row>
    <row r="899" spans="1:6" x14ac:dyDescent="0.25">
      <c r="A899" s="4" t="str">
        <f>"Digest of Technical Papers - IEEE International Solid-State Circuits Conference"</f>
        <v>Digest of Technical Papers - IEEE International Solid-State Circuits Conference</v>
      </c>
      <c r="B899" s="4" t="s">
        <v>8</v>
      </c>
      <c r="C899" s="4" t="str">
        <f t="shared" si="31"/>
        <v>-</v>
      </c>
      <c r="D899" s="4" t="str">
        <f>"01936530"</f>
        <v>01936530</v>
      </c>
      <c r="E899" s="4" t="str">
        <f t="shared" si="32"/>
        <v>-</v>
      </c>
      <c r="F899" s="4" t="s">
        <v>105</v>
      </c>
    </row>
    <row r="900" spans="1:6" x14ac:dyDescent="0.25">
      <c r="A900" s="4" t="str">
        <f>"Digest of Technical Papers - SID International Symposium"</f>
        <v>Digest of Technical Papers - SID International Symposium</v>
      </c>
      <c r="B900" s="4" t="s">
        <v>8</v>
      </c>
      <c r="C900" s="4" t="str">
        <f t="shared" si="31"/>
        <v>-</v>
      </c>
      <c r="D900" s="4" t="str">
        <f>"0097966X"</f>
        <v>0097966X</v>
      </c>
      <c r="E900" s="4" t="str">
        <f>"21680159"</f>
        <v>21680159</v>
      </c>
      <c r="F900" s="4" t="s">
        <v>209</v>
      </c>
    </row>
    <row r="901" spans="1:6" x14ac:dyDescent="0.25">
      <c r="A901" s="4" t="str">
        <f>"Digest of Technical Papers - Symposium on VLSI Technology"</f>
        <v>Digest of Technical Papers - Symposium on VLSI Technology</v>
      </c>
      <c r="B901" s="4" t="s">
        <v>8</v>
      </c>
      <c r="C901" s="4" t="str">
        <f t="shared" si="31"/>
        <v>-</v>
      </c>
      <c r="D901" s="4" t="str">
        <f>"07431562"</f>
        <v>07431562</v>
      </c>
      <c r="E901" s="4" t="str">
        <f>"-"</f>
        <v>-</v>
      </c>
      <c r="F901" s="4" t="s">
        <v>105</v>
      </c>
    </row>
    <row r="902" spans="1:6" x14ac:dyDescent="0.25">
      <c r="A902" s="4" t="str">
        <f>"Digest of Technical Papers-IEEE International Pulsed Power Conference"</f>
        <v>Digest of Technical Papers-IEEE International Pulsed Power Conference</v>
      </c>
      <c r="B902" s="4" t="s">
        <v>8</v>
      </c>
      <c r="C902" s="4" t="str">
        <f t="shared" si="31"/>
        <v>-</v>
      </c>
      <c r="D902" s="4" t="str">
        <f>"-"</f>
        <v>-</v>
      </c>
      <c r="E902" s="4" t="str">
        <f>"-"</f>
        <v>-</v>
      </c>
      <c r="F902" s="4" t="s">
        <v>105</v>
      </c>
    </row>
    <row r="903" spans="1:6" x14ac:dyDescent="0.25">
      <c r="A903" s="4" t="str">
        <f>"Digests of the Intermag Conference"</f>
        <v>Digests of the Intermag Conference</v>
      </c>
      <c r="B903" s="4" t="s">
        <v>8</v>
      </c>
      <c r="C903" s="4" t="str">
        <f t="shared" si="31"/>
        <v>-</v>
      </c>
      <c r="D903" s="4" t="str">
        <f>"00746843"</f>
        <v>00746843</v>
      </c>
      <c r="E903" s="4" t="str">
        <f>"-"</f>
        <v>-</v>
      </c>
      <c r="F903" s="4" t="s">
        <v>105</v>
      </c>
    </row>
    <row r="904" spans="1:6" x14ac:dyDescent="0.25">
      <c r="A904" s="4" t="str">
        <f>"Digital Creativity"</f>
        <v>Digital Creativity</v>
      </c>
      <c r="B904" s="4" t="s">
        <v>6</v>
      </c>
      <c r="C904" s="4" t="str">
        <f t="shared" si="31"/>
        <v>-</v>
      </c>
      <c r="D904" s="4" t="str">
        <f>"14626268"</f>
        <v>14626268</v>
      </c>
      <c r="E904" s="4" t="str">
        <f>"17443806"</f>
        <v>17443806</v>
      </c>
      <c r="F904" s="4" t="s">
        <v>211</v>
      </c>
    </row>
    <row r="905" spans="1:6" x14ac:dyDescent="0.25">
      <c r="A905" s="4" t="str">
        <f>"Digital Investigation"</f>
        <v>Digital Investigation</v>
      </c>
      <c r="B905" s="4" t="s">
        <v>6</v>
      </c>
      <c r="C905" s="4" t="str">
        <f t="shared" si="31"/>
        <v>-</v>
      </c>
      <c r="D905" s="4" t="str">
        <f>"17422876"</f>
        <v>17422876</v>
      </c>
      <c r="E905" s="4" t="str">
        <f>"-"</f>
        <v>-</v>
      </c>
      <c r="F905" s="4" t="s">
        <v>19</v>
      </c>
    </row>
    <row r="906" spans="1:6" x14ac:dyDescent="0.25">
      <c r="A906" s="4" t="str">
        <f>"Digital Signal Processing: A Review Journal"</f>
        <v>Digital Signal Processing: A Review Journal</v>
      </c>
      <c r="B906" s="4" t="s">
        <v>6</v>
      </c>
      <c r="C906" s="4" t="str">
        <f t="shared" si="31"/>
        <v>-</v>
      </c>
      <c r="D906" s="4" t="str">
        <f>"10512004"</f>
        <v>10512004</v>
      </c>
      <c r="E906" s="4" t="str">
        <f>"-"</f>
        <v>-</v>
      </c>
      <c r="F906" s="4" t="s">
        <v>141</v>
      </c>
    </row>
    <row r="907" spans="1:6" x14ac:dyDescent="0.25">
      <c r="A907" s="4" t="str">
        <f>"Diqiu Kexue - Zhongguo Dizhi Daxue Xuebao/Earth Science - Journal of China University of Geosciences"</f>
        <v>Diqiu Kexue - Zhongguo Dizhi Daxue Xuebao/Earth Science - Journal of China University of Geosciences</v>
      </c>
      <c r="B907" s="4" t="s">
        <v>6</v>
      </c>
      <c r="C907" s="4" t="str">
        <f t="shared" si="31"/>
        <v>-</v>
      </c>
      <c r="D907" s="4" t="str">
        <f>"10002383"</f>
        <v>10002383</v>
      </c>
      <c r="E907" s="4" t="str">
        <f>"-"</f>
        <v>-</v>
      </c>
      <c r="F907" s="4" t="s">
        <v>336</v>
      </c>
    </row>
    <row r="908" spans="1:6" x14ac:dyDescent="0.25">
      <c r="A908" s="4" t="str">
        <f>"Discrete Applied Mathematics"</f>
        <v>Discrete Applied Mathematics</v>
      </c>
      <c r="B908" s="4" t="s">
        <v>6</v>
      </c>
      <c r="C908" s="4" t="str">
        <f t="shared" si="31"/>
        <v>-</v>
      </c>
      <c r="D908" s="4" t="str">
        <f>"0166218X"</f>
        <v>0166218X</v>
      </c>
      <c r="E908" s="4" t="str">
        <f>"-"</f>
        <v>-</v>
      </c>
      <c r="F908" s="4" t="s">
        <v>55</v>
      </c>
    </row>
    <row r="909" spans="1:6" x14ac:dyDescent="0.25">
      <c r="A909" s="4" t="str">
        <f>"Discrete Event Dynamic Systems: Theory and Applications"</f>
        <v>Discrete Event Dynamic Systems: Theory and Applications</v>
      </c>
      <c r="B909" s="4" t="s">
        <v>6</v>
      </c>
      <c r="C909" s="4" t="str">
        <f t="shared" si="31"/>
        <v>-</v>
      </c>
      <c r="D909" s="4" t="str">
        <f>"09246703"</f>
        <v>09246703</v>
      </c>
      <c r="E909" s="4" t="str">
        <f>"15737594"</f>
        <v>15737594</v>
      </c>
      <c r="F909" s="4" t="s">
        <v>57</v>
      </c>
    </row>
    <row r="910" spans="1:6" x14ac:dyDescent="0.25">
      <c r="A910" s="4" t="str">
        <f>"Discrete Mathematics and Applications"</f>
        <v>Discrete Mathematics and Applications</v>
      </c>
      <c r="B910" s="4" t="s">
        <v>6</v>
      </c>
      <c r="C910" s="4" t="str">
        <f t="shared" si="31"/>
        <v>-</v>
      </c>
      <c r="D910" s="4" t="str">
        <f>"09249265"</f>
        <v>09249265</v>
      </c>
      <c r="E910" s="4" t="str">
        <f>"-"</f>
        <v>-</v>
      </c>
      <c r="F910" s="4" t="s">
        <v>189</v>
      </c>
    </row>
    <row r="911" spans="1:6" x14ac:dyDescent="0.25">
      <c r="A911" s="4" t="str">
        <f>"Discrete Mathematics and Theoretical Computer Science"</f>
        <v>Discrete Mathematics and Theoretical Computer Science</v>
      </c>
      <c r="B911" s="4" t="s">
        <v>6</v>
      </c>
      <c r="C911" s="4" t="str">
        <f t="shared" si="31"/>
        <v>-</v>
      </c>
      <c r="D911" s="4" t="str">
        <f>"14627264"</f>
        <v>14627264</v>
      </c>
      <c r="E911" s="4" t="str">
        <f>"13658050"</f>
        <v>13658050</v>
      </c>
      <c r="F911" s="4" t="s">
        <v>337</v>
      </c>
    </row>
    <row r="912" spans="1:6" x14ac:dyDescent="0.25">
      <c r="A912" s="4" t="str">
        <f>"Discrete Optimization"</f>
        <v>Discrete Optimization</v>
      </c>
      <c r="B912" s="4" t="s">
        <v>6</v>
      </c>
      <c r="C912" s="4" t="str">
        <f t="shared" si="31"/>
        <v>-</v>
      </c>
      <c r="D912" s="4" t="str">
        <f>"15725286"</f>
        <v>15725286</v>
      </c>
      <c r="E912" s="4" t="str">
        <f>"-"</f>
        <v>-</v>
      </c>
      <c r="F912" s="4" t="s">
        <v>55</v>
      </c>
    </row>
    <row r="913" spans="1:6" x14ac:dyDescent="0.25">
      <c r="A913" s="4" t="str">
        <f>"Displays"</f>
        <v>Displays</v>
      </c>
      <c r="B913" s="4" t="s">
        <v>6</v>
      </c>
      <c r="C913" s="4" t="str">
        <f t="shared" si="31"/>
        <v>-</v>
      </c>
      <c r="D913" s="4" t="str">
        <f>"01419382"</f>
        <v>01419382</v>
      </c>
      <c r="E913" s="4" t="str">
        <f>"-"</f>
        <v>-</v>
      </c>
      <c r="F913" s="4" t="s">
        <v>55</v>
      </c>
    </row>
    <row r="914" spans="1:6" x14ac:dyDescent="0.25">
      <c r="A914" s="4" t="str">
        <f>"Distributed and Parallel Databases"</f>
        <v>Distributed and Parallel Databases</v>
      </c>
      <c r="B914" s="4" t="s">
        <v>6</v>
      </c>
      <c r="C914" s="4" t="str">
        <f t="shared" si="31"/>
        <v>-</v>
      </c>
      <c r="D914" s="4" t="str">
        <f>"09268782"</f>
        <v>09268782</v>
      </c>
      <c r="E914" s="4" t="str">
        <f>"15737578"</f>
        <v>15737578</v>
      </c>
      <c r="F914" s="4" t="s">
        <v>57</v>
      </c>
    </row>
    <row r="915" spans="1:6" x14ac:dyDescent="0.25">
      <c r="A915" s="4" t="str">
        <f>"Distributed Computing"</f>
        <v>Distributed Computing</v>
      </c>
      <c r="B915" s="4" t="s">
        <v>6</v>
      </c>
      <c r="C915" s="4" t="str">
        <f t="shared" si="31"/>
        <v>-</v>
      </c>
      <c r="D915" s="4" t="str">
        <f>"01782770"</f>
        <v>01782770</v>
      </c>
      <c r="E915" s="4" t="str">
        <f>"-"</f>
        <v>-</v>
      </c>
      <c r="F915" s="4" t="s">
        <v>42</v>
      </c>
    </row>
    <row r="916" spans="1:6" x14ac:dyDescent="0.25">
      <c r="A916" s="4" t="str">
        <f>"Distributed Generation and Alternative Energy Journal"</f>
        <v>Distributed Generation and Alternative Energy Journal</v>
      </c>
      <c r="B916" s="4" t="s">
        <v>6</v>
      </c>
      <c r="C916" s="4" t="str">
        <f t="shared" si="31"/>
        <v>-</v>
      </c>
      <c r="D916" s="4" t="str">
        <f>"21563306"</f>
        <v>21563306</v>
      </c>
      <c r="E916" s="4" t="str">
        <f>"21566550"</f>
        <v>21566550</v>
      </c>
      <c r="F916" s="4" t="s">
        <v>96</v>
      </c>
    </row>
    <row r="917" spans="1:6" x14ac:dyDescent="0.25">
      <c r="A917" s="4" t="str">
        <f>"Dizhen Dizhi"</f>
        <v>Dizhen Dizhi</v>
      </c>
      <c r="B917" s="4" t="s">
        <v>6</v>
      </c>
      <c r="C917" s="4" t="str">
        <f t="shared" si="31"/>
        <v>-</v>
      </c>
      <c r="D917" s="4" t="str">
        <f>"02534967"</f>
        <v>02534967</v>
      </c>
      <c r="E917" s="4" t="str">
        <f t="shared" ref="E917:E927" si="33">"-"</f>
        <v>-</v>
      </c>
      <c r="F917" s="4" t="s">
        <v>338</v>
      </c>
    </row>
    <row r="918" spans="1:6" x14ac:dyDescent="0.25">
      <c r="A918" s="4" t="str">
        <f>"DLR Deutsches Zentrum fur Luft- und Raumfahrt e.V. - Forschungsberichte"</f>
        <v>DLR Deutsches Zentrum fur Luft- und Raumfahrt e.V. - Forschungsberichte</v>
      </c>
      <c r="B918" s="4" t="s">
        <v>29</v>
      </c>
      <c r="C918" s="4" t="str">
        <f t="shared" si="31"/>
        <v>-</v>
      </c>
      <c r="D918" s="4" t="str">
        <f>"14348454"</f>
        <v>14348454</v>
      </c>
      <c r="E918" s="4" t="str">
        <f t="shared" si="33"/>
        <v>-</v>
      </c>
      <c r="F918" s="4" t="s">
        <v>339</v>
      </c>
    </row>
    <row r="919" spans="1:6" x14ac:dyDescent="0.25">
      <c r="A919" s="4" t="str">
        <f>"DLR-Mitteilung"</f>
        <v>DLR-Mitteilung</v>
      </c>
      <c r="B919" s="4" t="s">
        <v>6</v>
      </c>
      <c r="C919" s="4" t="str">
        <f t="shared" si="31"/>
        <v>-</v>
      </c>
      <c r="D919" s="4" t="str">
        <f>"14348462"</f>
        <v>14348462</v>
      </c>
      <c r="E919" s="4" t="str">
        <f t="shared" si="33"/>
        <v>-</v>
      </c>
      <c r="F919" s="4" t="s">
        <v>339</v>
      </c>
    </row>
    <row r="920" spans="1:6" x14ac:dyDescent="0.25">
      <c r="A920" s="4" t="str">
        <f>"Doklady Akademii Nauk"</f>
        <v>Doklady Akademii Nauk</v>
      </c>
      <c r="B920" s="4" t="s">
        <v>6</v>
      </c>
      <c r="C920" s="4" t="str">
        <f t="shared" si="31"/>
        <v>-</v>
      </c>
      <c r="D920" s="4" t="str">
        <f>"08695652"</f>
        <v>08695652</v>
      </c>
      <c r="E920" s="4" t="str">
        <f t="shared" si="33"/>
        <v>-</v>
      </c>
      <c r="F920" s="4" t="s">
        <v>340</v>
      </c>
    </row>
    <row r="921" spans="1:6" x14ac:dyDescent="0.25">
      <c r="A921" s="4" t="str">
        <f>"Doklady Earth Sciences"</f>
        <v>Doklady Earth Sciences</v>
      </c>
      <c r="B921" s="4" t="s">
        <v>6</v>
      </c>
      <c r="C921" s="4" t="str">
        <f t="shared" si="31"/>
        <v>-</v>
      </c>
      <c r="D921" s="4" t="str">
        <f>"1028334X"</f>
        <v>1028334X</v>
      </c>
      <c r="E921" s="4" t="str">
        <f t="shared" si="33"/>
        <v>-</v>
      </c>
      <c r="F921" s="4" t="s">
        <v>24</v>
      </c>
    </row>
    <row r="922" spans="1:6" x14ac:dyDescent="0.25">
      <c r="A922" s="4" t="str">
        <f>"Doklady Physics"</f>
        <v>Doklady Physics</v>
      </c>
      <c r="B922" s="4" t="s">
        <v>6</v>
      </c>
      <c r="C922" s="4" t="str">
        <f t="shared" si="31"/>
        <v>-</v>
      </c>
      <c r="D922" s="4" t="str">
        <f>"10283358"</f>
        <v>10283358</v>
      </c>
      <c r="E922" s="4" t="str">
        <f t="shared" si="33"/>
        <v>-</v>
      </c>
      <c r="F922" s="4" t="s">
        <v>24</v>
      </c>
    </row>
    <row r="923" spans="1:6" x14ac:dyDescent="0.25">
      <c r="A923" s="4" t="str">
        <f>"Doktorsavhandlingar vid Chalmers Tekniska Hogskola"</f>
        <v>Doktorsavhandlingar vid Chalmers Tekniska Hogskola</v>
      </c>
      <c r="B923" s="4" t="s">
        <v>29</v>
      </c>
      <c r="C923" s="4" t="str">
        <f t="shared" si="31"/>
        <v>-</v>
      </c>
      <c r="D923" s="4" t="str">
        <f>"0346718X"</f>
        <v>0346718X</v>
      </c>
      <c r="E923" s="4" t="str">
        <f t="shared" si="33"/>
        <v>-</v>
      </c>
      <c r="F923" s="4" t="s">
        <v>341</v>
      </c>
    </row>
    <row r="924" spans="1:6" x14ac:dyDescent="0.25">
      <c r="A924" s="4" t="str">
        <f>"DOLAP: Proceedings of the ACM International Workshop on Data Warehousing and OLAP"</f>
        <v>DOLAP: Proceedings of the ACM International Workshop on Data Warehousing and OLAP</v>
      </c>
      <c r="B924" s="4" t="s">
        <v>8</v>
      </c>
      <c r="C924" s="4" t="str">
        <f t="shared" si="31"/>
        <v>-</v>
      </c>
      <c r="D924" s="4" t="str">
        <f>"-"</f>
        <v>-</v>
      </c>
      <c r="E924" s="4" t="str">
        <f t="shared" si="33"/>
        <v>-</v>
      </c>
      <c r="F924" s="4" t="s">
        <v>21</v>
      </c>
    </row>
    <row r="925" spans="1:6" x14ac:dyDescent="0.25">
      <c r="A925" s="4" t="str">
        <f>"Dongbei Daxue Xuebao/Journal of Northeastern University"</f>
        <v>Dongbei Daxue Xuebao/Journal of Northeastern University</v>
      </c>
      <c r="B925" s="4" t="s">
        <v>6</v>
      </c>
      <c r="C925" s="4" t="str">
        <f t="shared" si="31"/>
        <v>-</v>
      </c>
      <c r="D925" s="4" t="str">
        <f>"10053026"</f>
        <v>10053026</v>
      </c>
      <c r="E925" s="4" t="str">
        <f t="shared" si="33"/>
        <v>-</v>
      </c>
      <c r="F925" s="4" t="s">
        <v>342</v>
      </c>
    </row>
    <row r="926" spans="1:6" x14ac:dyDescent="0.25">
      <c r="A926" s="4" t="str">
        <f>"Dongnan Daxue Xuebao (Ziran Kexue Ban)/Journal of Southeast University (Natural Science Edition)"</f>
        <v>Dongnan Daxue Xuebao (Ziran Kexue Ban)/Journal of Southeast University (Natural Science Edition)</v>
      </c>
      <c r="B926" s="4" t="s">
        <v>6</v>
      </c>
      <c r="C926" s="4" t="str">
        <f t="shared" si="31"/>
        <v>-</v>
      </c>
      <c r="D926" s="4" t="str">
        <f>"10010505"</f>
        <v>10010505</v>
      </c>
      <c r="E926" s="4" t="str">
        <f t="shared" si="33"/>
        <v>-</v>
      </c>
      <c r="F926" s="4" t="s">
        <v>343</v>
      </c>
    </row>
    <row r="927" spans="1:6" x14ac:dyDescent="0.25">
      <c r="A927" s="4" t="str">
        <f>"Drvna Industrija"</f>
        <v>Drvna Industrija</v>
      </c>
      <c r="B927" s="4" t="s">
        <v>6</v>
      </c>
      <c r="C927" s="4" t="str">
        <f t="shared" si="31"/>
        <v>-</v>
      </c>
      <c r="D927" s="4" t="str">
        <f>"00126772"</f>
        <v>00126772</v>
      </c>
      <c r="E927" s="4" t="str">
        <f t="shared" si="33"/>
        <v>-</v>
      </c>
      <c r="F927" s="4" t="s">
        <v>344</v>
      </c>
    </row>
    <row r="928" spans="1:6" x14ac:dyDescent="0.25">
      <c r="A928" s="4" t="str">
        <f>"Drying Technology"</f>
        <v>Drying Technology</v>
      </c>
      <c r="B928" s="4" t="s">
        <v>6</v>
      </c>
      <c r="C928" s="4" t="str">
        <f t="shared" si="31"/>
        <v>-</v>
      </c>
      <c r="D928" s="4" t="str">
        <f>"07373937"</f>
        <v>07373937</v>
      </c>
      <c r="E928" s="4" t="str">
        <f>"15322300"</f>
        <v>15322300</v>
      </c>
      <c r="F928" s="4" t="s">
        <v>96</v>
      </c>
    </row>
    <row r="929" spans="1:6" x14ac:dyDescent="0.25">
      <c r="A929" s="4" t="str">
        <f>"Dyes and Pigments"</f>
        <v>Dyes and Pigments</v>
      </c>
      <c r="B929" s="4" t="s">
        <v>6</v>
      </c>
      <c r="C929" s="4" t="str">
        <f t="shared" si="31"/>
        <v>-</v>
      </c>
      <c r="D929" s="4" t="str">
        <f>"01437208"</f>
        <v>01437208</v>
      </c>
      <c r="E929" s="4" t="str">
        <f>"18733743"</f>
        <v>18733743</v>
      </c>
      <c r="F929" s="4" t="s">
        <v>19</v>
      </c>
    </row>
    <row r="930" spans="1:6" x14ac:dyDescent="0.25">
      <c r="A930" s="4" t="str">
        <f>"Dynamical Systems"</f>
        <v>Dynamical Systems</v>
      </c>
      <c r="B930" s="4" t="s">
        <v>6</v>
      </c>
      <c r="C930" s="4" t="str">
        <f t="shared" si="31"/>
        <v>-</v>
      </c>
      <c r="D930" s="4" t="str">
        <f>"14689367"</f>
        <v>14689367</v>
      </c>
      <c r="E930" s="4" t="str">
        <f>"14689375"</f>
        <v>14689375</v>
      </c>
      <c r="F930" s="4" t="s">
        <v>60</v>
      </c>
    </row>
    <row r="931" spans="1:6" x14ac:dyDescent="0.25">
      <c r="A931" s="4" t="str">
        <f>"Dynamics of Atmospheres and Oceans"</f>
        <v>Dynamics of Atmospheres and Oceans</v>
      </c>
      <c r="B931" s="4" t="s">
        <v>6</v>
      </c>
      <c r="C931" s="4" t="str">
        <f t="shared" si="31"/>
        <v>-</v>
      </c>
      <c r="D931" s="4" t="str">
        <f>"03770265"</f>
        <v>03770265</v>
      </c>
      <c r="E931" s="4" t="str">
        <f>"-"</f>
        <v>-</v>
      </c>
      <c r="F931" s="4" t="s">
        <v>19</v>
      </c>
    </row>
    <row r="932" spans="1:6" x14ac:dyDescent="0.25">
      <c r="A932" s="4" t="str">
        <f>"Earth and Planetary Science Letters"</f>
        <v>Earth and Planetary Science Letters</v>
      </c>
      <c r="B932" s="4" t="s">
        <v>6</v>
      </c>
      <c r="C932" s="4" t="str">
        <f t="shared" si="31"/>
        <v>-</v>
      </c>
      <c r="D932" s="4" t="str">
        <f>"0012821X"</f>
        <v>0012821X</v>
      </c>
      <c r="E932" s="4" t="str">
        <f>"-"</f>
        <v>-</v>
      </c>
      <c r="F932" s="4" t="s">
        <v>55</v>
      </c>
    </row>
    <row r="933" spans="1:6" x14ac:dyDescent="0.25">
      <c r="A933" s="4" t="str">
        <f>"Earth Interactions"</f>
        <v>Earth Interactions</v>
      </c>
      <c r="B933" s="4" t="s">
        <v>6</v>
      </c>
      <c r="C933" s="4" t="str">
        <f t="shared" si="31"/>
        <v>-</v>
      </c>
      <c r="D933" s="4" t="str">
        <f>"00030007"</f>
        <v>00030007</v>
      </c>
      <c r="E933" s="4" t="str">
        <f>"10873562"</f>
        <v>10873562</v>
      </c>
      <c r="F933" s="4" t="s">
        <v>225</v>
      </c>
    </row>
    <row r="934" spans="1:6" x14ac:dyDescent="0.25">
      <c r="A934" s="4" t="str">
        <f>"Earth Science Frontiers"</f>
        <v>Earth Science Frontiers</v>
      </c>
      <c r="B934" s="4" t="s">
        <v>6</v>
      </c>
      <c r="C934" s="4" t="str">
        <f t="shared" si="31"/>
        <v>-</v>
      </c>
      <c r="D934" s="4" t="str">
        <f>"10052321"</f>
        <v>10052321</v>
      </c>
      <c r="E934" s="4" t="str">
        <f>"-"</f>
        <v>-</v>
      </c>
      <c r="F934" s="4" t="s">
        <v>345</v>
      </c>
    </row>
    <row r="935" spans="1:6" x14ac:dyDescent="0.25">
      <c r="A935" s="4" t="str">
        <f>"Earth Surface Processes and Landforms"</f>
        <v>Earth Surface Processes and Landforms</v>
      </c>
      <c r="B935" s="4" t="s">
        <v>6</v>
      </c>
      <c r="C935" s="4" t="str">
        <f t="shared" si="31"/>
        <v>-</v>
      </c>
      <c r="D935" s="4" t="str">
        <f>"01979337"</f>
        <v>01979337</v>
      </c>
      <c r="E935" s="4" t="str">
        <f>"10969837"</f>
        <v>10969837</v>
      </c>
      <c r="F935" s="4" t="s">
        <v>142</v>
      </c>
    </row>
    <row r="936" spans="1:6" x14ac:dyDescent="0.25">
      <c r="A936" s="4" t="str">
        <f>"Earth System Dynamics"</f>
        <v>Earth System Dynamics</v>
      </c>
      <c r="B936" s="4" t="s">
        <v>6</v>
      </c>
      <c r="C936" s="4" t="str">
        <f t="shared" si="31"/>
        <v>-</v>
      </c>
      <c r="D936" s="4" t="str">
        <f>"21904979"</f>
        <v>21904979</v>
      </c>
      <c r="E936" s="4" t="str">
        <f>"21904987"</f>
        <v>21904987</v>
      </c>
      <c r="F936" s="4" t="s">
        <v>89</v>
      </c>
    </row>
    <row r="937" spans="1:6" x14ac:dyDescent="0.25">
      <c r="A937" s="4" t="str">
        <f>"Earthquake and Structures"</f>
        <v>Earthquake and Structures</v>
      </c>
      <c r="B937" s="4" t="s">
        <v>6</v>
      </c>
      <c r="C937" s="4" t="str">
        <f t="shared" si="31"/>
        <v>-</v>
      </c>
      <c r="D937" s="4" t="str">
        <f>"20927614"</f>
        <v>20927614</v>
      </c>
      <c r="E937" s="4" t="str">
        <f>"20927622"</f>
        <v>20927622</v>
      </c>
      <c r="F937" s="4" t="s">
        <v>297</v>
      </c>
    </row>
    <row r="938" spans="1:6" x14ac:dyDescent="0.25">
      <c r="A938" s="4" t="str">
        <f>"Earthquake Engineering and Engineering Vibration"</f>
        <v>Earthquake Engineering and Engineering Vibration</v>
      </c>
      <c r="B938" s="4" t="s">
        <v>6</v>
      </c>
      <c r="C938" s="4" t="str">
        <f t="shared" si="31"/>
        <v>-</v>
      </c>
      <c r="D938" s="4" t="str">
        <f>"16713664"</f>
        <v>16713664</v>
      </c>
      <c r="E938" s="4" t="str">
        <f>"-"</f>
        <v>-</v>
      </c>
      <c r="F938" s="4" t="s">
        <v>346</v>
      </c>
    </row>
    <row r="939" spans="1:6" x14ac:dyDescent="0.25">
      <c r="A939" s="4" t="str">
        <f>"Earthquake Engineering and Structural Dynamics"</f>
        <v>Earthquake Engineering and Structural Dynamics</v>
      </c>
      <c r="B939" s="4" t="s">
        <v>6</v>
      </c>
      <c r="C939" s="4" t="str">
        <f t="shared" si="31"/>
        <v>-</v>
      </c>
      <c r="D939" s="4" t="str">
        <f>"00988847"</f>
        <v>00988847</v>
      </c>
      <c r="E939" s="4" t="str">
        <f>"10969845"</f>
        <v>10969845</v>
      </c>
      <c r="F939" s="4" t="s">
        <v>142</v>
      </c>
    </row>
    <row r="940" spans="1:6" x14ac:dyDescent="0.25">
      <c r="A940" s="4" t="str">
        <f>"Earthquake Spectra"</f>
        <v>Earthquake Spectra</v>
      </c>
      <c r="B940" s="4" t="s">
        <v>6</v>
      </c>
      <c r="C940" s="4" t="str">
        <f t="shared" si="31"/>
        <v>-</v>
      </c>
      <c r="D940" s="4" t="str">
        <f>"87552930"</f>
        <v>87552930</v>
      </c>
      <c r="E940" s="4" t="str">
        <f>"-"</f>
        <v>-</v>
      </c>
      <c r="F940" s="4" t="s">
        <v>347</v>
      </c>
    </row>
    <row r="941" spans="1:6" x14ac:dyDescent="0.25">
      <c r="A941" s="4" t="str">
        <f>"EAS Publications Series"</f>
        <v>EAS Publications Series</v>
      </c>
      <c r="B941" s="4" t="s">
        <v>29</v>
      </c>
      <c r="C941" s="4" t="str">
        <f t="shared" si="31"/>
        <v>-</v>
      </c>
      <c r="D941" s="4" t="str">
        <f>"16334760"</f>
        <v>16334760</v>
      </c>
      <c r="E941" s="4" t="str">
        <f>"16381963"</f>
        <v>16381963</v>
      </c>
      <c r="F941" s="4" t="s">
        <v>161</v>
      </c>
    </row>
    <row r="942" spans="1:6" x14ac:dyDescent="0.25">
      <c r="A942" s="4" t="str">
        <f>"eb - Elektrische Bahnen"</f>
        <v>eb - Elektrische Bahnen</v>
      </c>
      <c r="B942" s="4" t="s">
        <v>22</v>
      </c>
      <c r="C942" s="4" t="str">
        <f t="shared" si="31"/>
        <v>-</v>
      </c>
      <c r="D942" s="4" t="str">
        <f>"00135437"</f>
        <v>00135437</v>
      </c>
      <c r="E942" s="4" t="str">
        <f>"-"</f>
        <v>-</v>
      </c>
      <c r="F942" s="4" t="s">
        <v>348</v>
      </c>
    </row>
    <row r="943" spans="1:6" x14ac:dyDescent="0.25">
      <c r="A943" s="4" t="str">
        <f>"EBU Technical Review"</f>
        <v>EBU Technical Review</v>
      </c>
      <c r="B943" s="4" t="s">
        <v>22</v>
      </c>
      <c r="C943" s="4" t="str">
        <f t="shared" si="31"/>
        <v>-</v>
      </c>
      <c r="D943" s="4" t="str">
        <f>"-"</f>
        <v>-</v>
      </c>
      <c r="E943" s="4" t="str">
        <f>"16091469"</f>
        <v>16091469</v>
      </c>
      <c r="F943" s="4" t="s">
        <v>349</v>
      </c>
    </row>
    <row r="944" spans="1:6" x14ac:dyDescent="0.25">
      <c r="A944" s="4" t="str">
        <f>"ECN Electronic Component News"</f>
        <v>ECN Electronic Component News</v>
      </c>
      <c r="B944" s="4" t="s">
        <v>22</v>
      </c>
      <c r="C944" s="4" t="str">
        <f t="shared" si="31"/>
        <v>-</v>
      </c>
      <c r="D944" s="4" t="str">
        <f>"15233081"</f>
        <v>15233081</v>
      </c>
      <c r="E944" s="4" t="str">
        <f>"-"</f>
        <v>-</v>
      </c>
      <c r="F944" s="4" t="s">
        <v>350</v>
      </c>
    </row>
    <row r="945" spans="1:6" x14ac:dyDescent="0.25">
      <c r="A945" s="4" t="str">
        <f>"Ecohydrology"</f>
        <v>Ecohydrology</v>
      </c>
      <c r="B945" s="4" t="s">
        <v>6</v>
      </c>
      <c r="C945" s="4" t="str">
        <f t="shared" si="31"/>
        <v>-</v>
      </c>
      <c r="D945" s="4" t="str">
        <f>"19360584"</f>
        <v>19360584</v>
      </c>
      <c r="E945" s="4" t="str">
        <f>"19360592"</f>
        <v>19360592</v>
      </c>
      <c r="F945" s="4" t="s">
        <v>142</v>
      </c>
    </row>
    <row r="946" spans="1:6" x14ac:dyDescent="0.25">
      <c r="A946" s="4" t="str">
        <f>"Ecological Engineering"</f>
        <v>Ecological Engineering</v>
      </c>
      <c r="B946" s="4" t="s">
        <v>6</v>
      </c>
      <c r="C946" s="4" t="str">
        <f t="shared" ref="C946:C956" si="34">"-"</f>
        <v>-</v>
      </c>
      <c r="D946" s="4" t="str">
        <f>"09258574"</f>
        <v>09258574</v>
      </c>
      <c r="E946" s="4" t="str">
        <f>"-"</f>
        <v>-</v>
      </c>
      <c r="F946" s="4" t="s">
        <v>55</v>
      </c>
    </row>
    <row r="947" spans="1:6" x14ac:dyDescent="0.25">
      <c r="A947" s="4" t="str">
        <f>"Ecological Indicators"</f>
        <v>Ecological Indicators</v>
      </c>
      <c r="B947" s="4" t="s">
        <v>6</v>
      </c>
      <c r="C947" s="4" t="str">
        <f t="shared" si="34"/>
        <v>-</v>
      </c>
      <c r="D947" s="4" t="str">
        <f>"1470160X"</f>
        <v>1470160X</v>
      </c>
      <c r="E947" s="4" t="str">
        <f>"-"</f>
        <v>-</v>
      </c>
      <c r="F947" s="4" t="s">
        <v>55</v>
      </c>
    </row>
    <row r="948" spans="1:6" x14ac:dyDescent="0.25">
      <c r="A948" s="4" t="str">
        <f>"Ecological Modelling"</f>
        <v>Ecological Modelling</v>
      </c>
      <c r="B948" s="4" t="s">
        <v>6</v>
      </c>
      <c r="C948" s="4" t="str">
        <f t="shared" si="34"/>
        <v>-</v>
      </c>
      <c r="D948" s="4" t="str">
        <f>"03043800"</f>
        <v>03043800</v>
      </c>
      <c r="E948" s="4" t="str">
        <f>"-"</f>
        <v>-</v>
      </c>
      <c r="F948" s="4" t="s">
        <v>55</v>
      </c>
    </row>
    <row r="949" spans="1:6" x14ac:dyDescent="0.25">
      <c r="A949" s="4" t="str">
        <f>"Ecological Processes"</f>
        <v>Ecological Processes</v>
      </c>
      <c r="B949" s="4" t="s">
        <v>6</v>
      </c>
      <c r="C949" s="4" t="str">
        <f t="shared" si="34"/>
        <v>-</v>
      </c>
      <c r="D949" s="4" t="str">
        <f>"-"</f>
        <v>-</v>
      </c>
      <c r="E949" s="4" t="str">
        <f>"21921709"</f>
        <v>21921709</v>
      </c>
      <c r="F949" s="4" t="s">
        <v>42</v>
      </c>
    </row>
    <row r="950" spans="1:6" x14ac:dyDescent="0.25">
      <c r="A950" s="4" t="str">
        <f>"Ecology and Civil Engineering"</f>
        <v>Ecology and Civil Engineering</v>
      </c>
      <c r="B950" s="4" t="s">
        <v>6</v>
      </c>
      <c r="C950" s="4" t="str">
        <f t="shared" si="34"/>
        <v>-</v>
      </c>
      <c r="D950" s="4" t="str">
        <f>"13443755"</f>
        <v>13443755</v>
      </c>
      <c r="E950" s="4" t="str">
        <f>"18825974"</f>
        <v>18825974</v>
      </c>
      <c r="F950" s="4" t="s">
        <v>351</v>
      </c>
    </row>
    <row r="951" spans="1:6" x14ac:dyDescent="0.25">
      <c r="A951" s="4" t="str">
        <f>"Economic Geology"</f>
        <v>Economic Geology</v>
      </c>
      <c r="B951" s="4" t="s">
        <v>6</v>
      </c>
      <c r="C951" s="4" t="str">
        <f t="shared" si="34"/>
        <v>-</v>
      </c>
      <c r="D951" s="4" t="str">
        <f>"03610128"</f>
        <v>03610128</v>
      </c>
      <c r="E951" s="4" t="str">
        <f>"15540774"</f>
        <v>15540774</v>
      </c>
      <c r="F951" s="4" t="s">
        <v>352</v>
      </c>
    </row>
    <row r="952" spans="1:6" x14ac:dyDescent="0.25">
      <c r="A952" s="4" t="str">
        <f>"EContent"</f>
        <v>EContent</v>
      </c>
      <c r="B952" s="4" t="s">
        <v>22</v>
      </c>
      <c r="C952" s="4" t="str">
        <f t="shared" si="34"/>
        <v>-</v>
      </c>
      <c r="D952" s="4" t="str">
        <f>"15252531"</f>
        <v>15252531</v>
      </c>
      <c r="E952" s="4" t="str">
        <f>"-"</f>
        <v>-</v>
      </c>
      <c r="F952" s="4" t="s">
        <v>353</v>
      </c>
    </row>
    <row r="953" spans="1:6" x14ac:dyDescent="0.25">
      <c r="A953" s="4" t="str">
        <f>"eCrime Researchers Summit, eCrime"</f>
        <v>eCrime Researchers Summit, eCrime</v>
      </c>
      <c r="B953" s="4" t="s">
        <v>8</v>
      </c>
      <c r="C953" s="4" t="str">
        <f t="shared" si="34"/>
        <v>-</v>
      </c>
      <c r="D953" s="4" t="str">
        <f>"21591237"</f>
        <v>21591237</v>
      </c>
      <c r="E953" s="4" t="str">
        <f>"21591245"</f>
        <v>21591245</v>
      </c>
      <c r="F953" s="4" t="s">
        <v>9</v>
      </c>
    </row>
    <row r="954" spans="1:6" x14ac:dyDescent="0.25">
      <c r="A954" s="4" t="str">
        <f>"ECS Electrochemistry Letters"</f>
        <v>ECS Electrochemistry Letters</v>
      </c>
      <c r="B954" s="4" t="s">
        <v>6</v>
      </c>
      <c r="C954" s="4" t="str">
        <f t="shared" si="34"/>
        <v>-</v>
      </c>
      <c r="D954" s="4" t="str">
        <f>"21628726"</f>
        <v>21628726</v>
      </c>
      <c r="E954" s="4" t="str">
        <f>"21628734"</f>
        <v>21628734</v>
      </c>
      <c r="F954" s="4" t="s">
        <v>354</v>
      </c>
    </row>
    <row r="955" spans="1:6" x14ac:dyDescent="0.25">
      <c r="A955" s="4" t="str">
        <f>"ECS Journal of Solid State Science and Technology"</f>
        <v>ECS Journal of Solid State Science and Technology</v>
      </c>
      <c r="B955" s="4" t="s">
        <v>6</v>
      </c>
      <c r="C955" s="4" t="str">
        <f t="shared" si="34"/>
        <v>-</v>
      </c>
      <c r="D955" s="4" t="str">
        <f>"21628769"</f>
        <v>21628769</v>
      </c>
      <c r="E955" s="4" t="str">
        <f>"21628777"</f>
        <v>21628777</v>
      </c>
      <c r="F955" s="4" t="s">
        <v>354</v>
      </c>
    </row>
    <row r="956" spans="1:6" x14ac:dyDescent="0.25">
      <c r="A956" s="4" t="str">
        <f>"ECS Solid State Letters"</f>
        <v>ECS Solid State Letters</v>
      </c>
      <c r="B956" s="4" t="s">
        <v>6</v>
      </c>
      <c r="C956" s="4" t="str">
        <f t="shared" si="34"/>
        <v>-</v>
      </c>
      <c r="D956" s="4" t="str">
        <f>"21628742"</f>
        <v>21628742</v>
      </c>
      <c r="E956" s="4" t="str">
        <f>"21628750"</f>
        <v>21628750</v>
      </c>
      <c r="F956" s="4" t="s">
        <v>354</v>
      </c>
    </row>
    <row r="957" spans="1:6" x14ac:dyDescent="0.25">
      <c r="A957" s="4" t="str">
        <f>"ECS Transactions"</f>
        <v>ECS Transactions</v>
      </c>
      <c r="B957" s="4" t="s">
        <v>8</v>
      </c>
      <c r="C957" s="4" t="str">
        <f>"9781607685395"</f>
        <v>9781607685395</v>
      </c>
      <c r="D957" s="4" t="str">
        <f>"19385862"</f>
        <v>19385862</v>
      </c>
      <c r="E957" s="4" t="str">
        <f>"19386737"</f>
        <v>19386737</v>
      </c>
      <c r="F957" s="4" t="s">
        <v>354</v>
      </c>
    </row>
    <row r="958" spans="1:6" x14ac:dyDescent="0.25">
      <c r="A958" s="4" t="str">
        <f>"EDN"</f>
        <v>EDN</v>
      </c>
      <c r="B958" s="4" t="s">
        <v>22</v>
      </c>
      <c r="C958" s="4" t="str">
        <f t="shared" ref="C958:C1021" si="35">"-"</f>
        <v>-</v>
      </c>
      <c r="D958" s="4" t="str">
        <f>"00127515"</f>
        <v>00127515</v>
      </c>
      <c r="E958" s="4" t="str">
        <f t="shared" ref="E958:E964" si="36">"-"</f>
        <v>-</v>
      </c>
      <c r="F958" s="4" t="s">
        <v>355</v>
      </c>
    </row>
    <row r="959" spans="1:6" x14ac:dyDescent="0.25">
      <c r="A959" s="4" t="str">
        <f>"Education for Chemical Engineers"</f>
        <v>Education for Chemical Engineers</v>
      </c>
      <c r="B959" s="4" t="s">
        <v>6</v>
      </c>
      <c r="C959" s="4" t="str">
        <f t="shared" si="35"/>
        <v>-</v>
      </c>
      <c r="D959" s="4" t="str">
        <f>"17497728"</f>
        <v>17497728</v>
      </c>
      <c r="E959" s="4" t="str">
        <f t="shared" si="36"/>
        <v>-</v>
      </c>
      <c r="F959" s="4" t="s">
        <v>55</v>
      </c>
    </row>
    <row r="960" spans="1:6" x14ac:dyDescent="0.25">
      <c r="A960" s="4" t="str">
        <f>"Education for Information"</f>
        <v>Education for Information</v>
      </c>
      <c r="B960" s="4" t="s">
        <v>6</v>
      </c>
      <c r="C960" s="4" t="str">
        <f t="shared" si="35"/>
        <v>-</v>
      </c>
      <c r="D960" s="4" t="str">
        <f>"01678329"</f>
        <v>01678329</v>
      </c>
      <c r="E960" s="4" t="str">
        <f t="shared" si="36"/>
        <v>-</v>
      </c>
      <c r="F960" s="4" t="s">
        <v>103</v>
      </c>
    </row>
    <row r="961" spans="1:6" x14ac:dyDescent="0.25">
      <c r="A961" s="4" t="str">
        <f>"EE: Evaluation Engineering"</f>
        <v>EE: Evaluation Engineering</v>
      </c>
      <c r="B961" s="4" t="s">
        <v>22</v>
      </c>
      <c r="C961" s="4" t="str">
        <f t="shared" si="35"/>
        <v>-</v>
      </c>
      <c r="D961" s="4" t="str">
        <f>"01490370"</f>
        <v>01490370</v>
      </c>
      <c r="E961" s="4" t="str">
        <f t="shared" si="36"/>
        <v>-</v>
      </c>
      <c r="F961" s="4" t="s">
        <v>356</v>
      </c>
    </row>
    <row r="962" spans="1:6" x14ac:dyDescent="0.25">
      <c r="A962" s="4" t="str">
        <f>"EEA - Electrotehnica, Electronica, Automatica"</f>
        <v>EEA - Electrotehnica, Electronica, Automatica</v>
      </c>
      <c r="B962" s="4" t="s">
        <v>6</v>
      </c>
      <c r="C962" s="4" t="str">
        <f t="shared" si="35"/>
        <v>-</v>
      </c>
      <c r="D962" s="4" t="str">
        <f>"15825175"</f>
        <v>15825175</v>
      </c>
      <c r="E962" s="4" t="str">
        <f t="shared" si="36"/>
        <v>-</v>
      </c>
      <c r="F962" s="4" t="s">
        <v>357</v>
      </c>
    </row>
    <row r="963" spans="1:6" x14ac:dyDescent="0.25">
      <c r="A963" s="4" t="str">
        <f>"EFI News"</f>
        <v>EFI News</v>
      </c>
      <c r="B963" s="4" t="s">
        <v>22</v>
      </c>
      <c r="C963" s="4" t="str">
        <f t="shared" si="35"/>
        <v>-</v>
      </c>
      <c r="D963" s="4" t="str">
        <f>"12367850"</f>
        <v>12367850</v>
      </c>
      <c r="E963" s="4" t="str">
        <f t="shared" si="36"/>
        <v>-</v>
      </c>
      <c r="F963" s="4" t="s">
        <v>358</v>
      </c>
    </row>
    <row r="964" spans="1:6" x14ac:dyDescent="0.25">
      <c r="A964" s="4" t="str">
        <f>"EG Workshop on Computational Aesthetics in Graphics, Visualization and Imaging"</f>
        <v>EG Workshop on Computational Aesthetics in Graphics, Visualization and Imaging</v>
      </c>
      <c r="B964" s="4" t="s">
        <v>8</v>
      </c>
      <c r="C964" s="4" t="str">
        <f t="shared" si="35"/>
        <v>-</v>
      </c>
      <c r="D964" s="4" t="str">
        <f>"18160859"</f>
        <v>18160859</v>
      </c>
      <c r="E964" s="4" t="str">
        <f t="shared" si="36"/>
        <v>-</v>
      </c>
      <c r="F964" s="4" t="s">
        <v>23</v>
      </c>
    </row>
    <row r="965" spans="1:6" x14ac:dyDescent="0.25">
      <c r="A965" s="4" t="str">
        <f>"E-Informatica Software Engineering Journal"</f>
        <v>E-Informatica Software Engineering Journal</v>
      </c>
      <c r="B965" s="4" t="s">
        <v>6</v>
      </c>
      <c r="C965" s="4" t="str">
        <f t="shared" si="35"/>
        <v>-</v>
      </c>
      <c r="D965" s="4" t="str">
        <f>"18977979"</f>
        <v>18977979</v>
      </c>
      <c r="E965" s="4" t="str">
        <f>"20844840"</f>
        <v>20844840</v>
      </c>
      <c r="F965" s="4" t="s">
        <v>359</v>
      </c>
    </row>
    <row r="966" spans="1:6" x14ac:dyDescent="0.25">
      <c r="A966" s="4" t="str">
        <f>"e-Journal of Surface Science and Nanotechnology"</f>
        <v>e-Journal of Surface Science and Nanotechnology</v>
      </c>
      <c r="B966" s="4" t="s">
        <v>6</v>
      </c>
      <c r="C966" s="4" t="str">
        <f t="shared" si="35"/>
        <v>-</v>
      </c>
      <c r="D966" s="4" t="str">
        <f>"-"</f>
        <v>-</v>
      </c>
      <c r="E966" s="4" t="str">
        <f>"13480391"</f>
        <v>13480391</v>
      </c>
      <c r="F966" s="4" t="s">
        <v>360</v>
      </c>
    </row>
    <row r="967" spans="1:6" x14ac:dyDescent="0.25">
      <c r="A967" s="4" t="str">
        <f>"Electric Power Components and Systems"</f>
        <v>Electric Power Components and Systems</v>
      </c>
      <c r="B967" s="4" t="s">
        <v>6</v>
      </c>
      <c r="C967" s="4" t="str">
        <f t="shared" si="35"/>
        <v>-</v>
      </c>
      <c r="D967" s="4" t="str">
        <f>"15325008"</f>
        <v>15325008</v>
      </c>
      <c r="E967" s="4" t="str">
        <f>"15325016"</f>
        <v>15325016</v>
      </c>
      <c r="F967" s="4" t="s">
        <v>96</v>
      </c>
    </row>
    <row r="968" spans="1:6" x14ac:dyDescent="0.25">
      <c r="A968" s="4" t="str">
        <f>"Electric Power Systems Research"</f>
        <v>Electric Power Systems Research</v>
      </c>
      <c r="B968" s="4" t="s">
        <v>6</v>
      </c>
      <c r="C968" s="4" t="str">
        <f t="shared" si="35"/>
        <v>-</v>
      </c>
      <c r="D968" s="4" t="str">
        <f>"03787796"</f>
        <v>03787796</v>
      </c>
      <c r="E968" s="4" t="str">
        <f>"-"</f>
        <v>-</v>
      </c>
      <c r="F968" s="4" t="s">
        <v>19</v>
      </c>
    </row>
    <row r="969" spans="1:6" x14ac:dyDescent="0.25">
      <c r="A969" s="4" t="str">
        <f>"Electrical Contacts, Proceedings of the Annual Holm Conference on Electrical Contacts"</f>
        <v>Electrical Contacts, Proceedings of the Annual Holm Conference on Electrical Contacts</v>
      </c>
      <c r="B969" s="4" t="s">
        <v>8</v>
      </c>
      <c r="C969" s="4" t="str">
        <f t="shared" si="35"/>
        <v>-</v>
      </c>
      <c r="D969" s="4" t="str">
        <f>"03614395"</f>
        <v>03614395</v>
      </c>
      <c r="E969" s="4" t="str">
        <f>"-"</f>
        <v>-</v>
      </c>
      <c r="F969" s="4" t="s">
        <v>105</v>
      </c>
    </row>
    <row r="970" spans="1:6" x14ac:dyDescent="0.25">
      <c r="A970" s="4" t="str">
        <f>"Electrical Engineering"</f>
        <v>Electrical Engineering</v>
      </c>
      <c r="B970" s="4" t="s">
        <v>6</v>
      </c>
      <c r="C970" s="4" t="str">
        <f t="shared" si="35"/>
        <v>-</v>
      </c>
      <c r="D970" s="4" t="str">
        <f>"09487921"</f>
        <v>09487921</v>
      </c>
      <c r="E970" s="4" t="str">
        <f>"14320487"</f>
        <v>14320487</v>
      </c>
      <c r="F970" s="4" t="s">
        <v>42</v>
      </c>
    </row>
    <row r="971" spans="1:6" x14ac:dyDescent="0.25">
      <c r="A971" s="4" t="str">
        <f>"Electrical Engineering in Japan (English translation of Denki Gakkai Ronbunshi)"</f>
        <v>Electrical Engineering in Japan (English translation of Denki Gakkai Ronbunshi)</v>
      </c>
      <c r="B971" s="4" t="s">
        <v>6</v>
      </c>
      <c r="C971" s="4" t="str">
        <f t="shared" si="35"/>
        <v>-</v>
      </c>
      <c r="D971" s="4" t="str">
        <f>"04247760"</f>
        <v>04247760</v>
      </c>
      <c r="E971" s="4" t="str">
        <f>"15206416"</f>
        <v>15206416</v>
      </c>
      <c r="F971" s="4" t="s">
        <v>87</v>
      </c>
    </row>
    <row r="972" spans="1:6" x14ac:dyDescent="0.25">
      <c r="A972" s="4" t="str">
        <f>"Electrical Overstress/Electrostatic Discharge Symposium Proceedings"</f>
        <v>Electrical Overstress/Electrostatic Discharge Symposium Proceedings</v>
      </c>
      <c r="B972" s="4" t="s">
        <v>8</v>
      </c>
      <c r="C972" s="4" t="str">
        <f t="shared" si="35"/>
        <v>-</v>
      </c>
      <c r="D972" s="4" t="str">
        <f>"07395159"</f>
        <v>07395159</v>
      </c>
      <c r="E972" s="4" t="str">
        <f>"-"</f>
        <v>-</v>
      </c>
      <c r="F972" s="4" t="s">
        <v>361</v>
      </c>
    </row>
    <row r="973" spans="1:6" x14ac:dyDescent="0.25">
      <c r="A973" s="4" t="str">
        <f>"Electrical Systems for Aircraft, Railway and Ship Propulsion, ESARS"</f>
        <v>Electrical Systems for Aircraft, Railway and Ship Propulsion, ESARS</v>
      </c>
      <c r="B973" s="4" t="s">
        <v>8</v>
      </c>
      <c r="C973" s="4" t="str">
        <f t="shared" si="35"/>
        <v>-</v>
      </c>
      <c r="D973" s="4" t="str">
        <f>"21659400"</f>
        <v>21659400</v>
      </c>
      <c r="E973" s="4" t="str">
        <f>"21659427"</f>
        <v>21659427</v>
      </c>
      <c r="F973" s="4" t="s">
        <v>9</v>
      </c>
    </row>
    <row r="974" spans="1:6" x14ac:dyDescent="0.25">
      <c r="A974" s="4" t="str">
        <f>"Electro International, Conference Proceedings"</f>
        <v>Electro International, Conference Proceedings</v>
      </c>
      <c r="B974" s="4" t="s">
        <v>8</v>
      </c>
      <c r="C974" s="4" t="str">
        <f t="shared" si="35"/>
        <v>-</v>
      </c>
      <c r="D974" s="4" t="str">
        <f>"-"</f>
        <v>-</v>
      </c>
      <c r="E974" s="4" t="str">
        <f>"-"</f>
        <v>-</v>
      </c>
      <c r="F974" s="4" t="s">
        <v>105</v>
      </c>
    </row>
    <row r="975" spans="1:6" x14ac:dyDescent="0.25">
      <c r="A975" s="4" t="str">
        <f>"Electrochemical Society Interface"</f>
        <v>Electrochemical Society Interface</v>
      </c>
      <c r="B975" s="4" t="s">
        <v>6</v>
      </c>
      <c r="C975" s="4" t="str">
        <f t="shared" si="35"/>
        <v>-</v>
      </c>
      <c r="D975" s="4" t="str">
        <f>"10648208"</f>
        <v>10648208</v>
      </c>
      <c r="E975" s="4" t="str">
        <f>"19448783"</f>
        <v>19448783</v>
      </c>
      <c r="F975" s="4" t="s">
        <v>354</v>
      </c>
    </row>
    <row r="976" spans="1:6" x14ac:dyDescent="0.25">
      <c r="A976" s="4" t="str">
        <f>"Electrochemistry"</f>
        <v>Electrochemistry</v>
      </c>
      <c r="B976" s="4" t="s">
        <v>6</v>
      </c>
      <c r="C976" s="4" t="str">
        <f t="shared" si="35"/>
        <v>-</v>
      </c>
      <c r="D976" s="4" t="str">
        <f>"13443542"</f>
        <v>13443542</v>
      </c>
      <c r="E976" s="4" t="str">
        <f>"21862451"</f>
        <v>21862451</v>
      </c>
      <c r="F976" s="4" t="s">
        <v>362</v>
      </c>
    </row>
    <row r="977" spans="1:6" x14ac:dyDescent="0.25">
      <c r="A977" s="4" t="str">
        <f>"Electrochemistry Communications"</f>
        <v>Electrochemistry Communications</v>
      </c>
      <c r="B977" s="4" t="s">
        <v>6</v>
      </c>
      <c r="C977" s="4" t="str">
        <f t="shared" si="35"/>
        <v>-</v>
      </c>
      <c r="D977" s="4" t="str">
        <f>"13882481"</f>
        <v>13882481</v>
      </c>
      <c r="E977" s="4" t="str">
        <f>"-"</f>
        <v>-</v>
      </c>
      <c r="F977" s="4" t="s">
        <v>141</v>
      </c>
    </row>
    <row r="978" spans="1:6" x14ac:dyDescent="0.25">
      <c r="A978" s="4" t="str">
        <f>"Electrochimica Acta"</f>
        <v>Electrochimica Acta</v>
      </c>
      <c r="B978" s="4" t="s">
        <v>6</v>
      </c>
      <c r="C978" s="4" t="str">
        <f t="shared" si="35"/>
        <v>-</v>
      </c>
      <c r="D978" s="4" t="str">
        <f>"00134686"</f>
        <v>00134686</v>
      </c>
      <c r="E978" s="4" t="str">
        <f>"-"</f>
        <v>-</v>
      </c>
      <c r="F978" s="4" t="s">
        <v>19</v>
      </c>
    </row>
    <row r="979" spans="1:6" x14ac:dyDescent="0.25">
      <c r="A979" s="4" t="str">
        <f>"Electromagnetic Biology and Medicine"</f>
        <v>Electromagnetic Biology and Medicine</v>
      </c>
      <c r="B979" s="4" t="s">
        <v>6</v>
      </c>
      <c r="C979" s="4" t="str">
        <f t="shared" si="35"/>
        <v>-</v>
      </c>
      <c r="D979" s="4" t="str">
        <f>"15368378"</f>
        <v>15368378</v>
      </c>
      <c r="E979" s="4" t="str">
        <f>"15368386"</f>
        <v>15368386</v>
      </c>
      <c r="F979" s="4" t="s">
        <v>12</v>
      </c>
    </row>
    <row r="980" spans="1:6" x14ac:dyDescent="0.25">
      <c r="A980" s="4" t="str">
        <f>"Electromagnetics"</f>
        <v>Electromagnetics</v>
      </c>
      <c r="B980" s="4" t="s">
        <v>6</v>
      </c>
      <c r="C980" s="4" t="str">
        <f t="shared" si="35"/>
        <v>-</v>
      </c>
      <c r="D980" s="4" t="str">
        <f>"02726343"</f>
        <v>02726343</v>
      </c>
      <c r="E980" s="4" t="str">
        <f>"1532527X"</f>
        <v>1532527X</v>
      </c>
      <c r="F980" s="4" t="s">
        <v>96</v>
      </c>
    </row>
    <row r="981" spans="1:6" x14ac:dyDescent="0.25">
      <c r="A981" s="4" t="str">
        <f>"Electronic Commerce Research and Applications"</f>
        <v>Electronic Commerce Research and Applications</v>
      </c>
      <c r="B981" s="4" t="s">
        <v>6</v>
      </c>
      <c r="C981" s="4" t="str">
        <f t="shared" si="35"/>
        <v>-</v>
      </c>
      <c r="D981" s="4" t="str">
        <f>"15674223"</f>
        <v>15674223</v>
      </c>
      <c r="E981" s="4" t="str">
        <f>"-"</f>
        <v>-</v>
      </c>
      <c r="F981" s="4" t="s">
        <v>55</v>
      </c>
    </row>
    <row r="982" spans="1:6" x14ac:dyDescent="0.25">
      <c r="A982" s="4" t="str">
        <f>"Electronic Device Failure Analysis"</f>
        <v>Electronic Device Failure Analysis</v>
      </c>
      <c r="B982" s="4" t="s">
        <v>6</v>
      </c>
      <c r="C982" s="4" t="str">
        <f t="shared" si="35"/>
        <v>-</v>
      </c>
      <c r="D982" s="4" t="str">
        <f>"15370755"</f>
        <v>15370755</v>
      </c>
      <c r="E982" s="4" t="str">
        <f>"-"</f>
        <v>-</v>
      </c>
      <c r="F982" s="4" t="s">
        <v>65</v>
      </c>
    </row>
    <row r="983" spans="1:6" x14ac:dyDescent="0.25">
      <c r="A983" s="4" t="str">
        <f>"Electronic Journal of Biotechnology"</f>
        <v>Electronic Journal of Biotechnology</v>
      </c>
      <c r="B983" s="4" t="s">
        <v>6</v>
      </c>
      <c r="C983" s="4" t="str">
        <f t="shared" si="35"/>
        <v>-</v>
      </c>
      <c r="D983" s="4" t="str">
        <f>"-"</f>
        <v>-</v>
      </c>
      <c r="E983" s="4" t="str">
        <f>"07173458"</f>
        <v>07173458</v>
      </c>
      <c r="F983" s="4" t="s">
        <v>363</v>
      </c>
    </row>
    <row r="984" spans="1:6" x14ac:dyDescent="0.25">
      <c r="A984" s="4" t="str">
        <f>"Electronic Journal of Geotechnical Engineering"</f>
        <v>Electronic Journal of Geotechnical Engineering</v>
      </c>
      <c r="B984" s="4" t="s">
        <v>6</v>
      </c>
      <c r="C984" s="4" t="str">
        <f t="shared" si="35"/>
        <v>-</v>
      </c>
      <c r="D984" s="4" t="str">
        <f>"-"</f>
        <v>-</v>
      </c>
      <c r="E984" s="4" t="str">
        <f>"10893032"</f>
        <v>10893032</v>
      </c>
      <c r="F984" s="4" t="s">
        <v>364</v>
      </c>
    </row>
    <row r="985" spans="1:6" x14ac:dyDescent="0.25">
      <c r="A985" s="4" t="str">
        <f>"Electronic Journal of Structural Engineering"</f>
        <v>Electronic Journal of Structural Engineering</v>
      </c>
      <c r="B985" s="4" t="s">
        <v>6</v>
      </c>
      <c r="C985" s="4" t="str">
        <f t="shared" si="35"/>
        <v>-</v>
      </c>
      <c r="D985" s="4" t="str">
        <f>"-"</f>
        <v>-</v>
      </c>
      <c r="E985" s="4" t="str">
        <f>"14439255"</f>
        <v>14439255</v>
      </c>
      <c r="F985" s="4" t="s">
        <v>365</v>
      </c>
    </row>
    <row r="986" spans="1:6" x14ac:dyDescent="0.25">
      <c r="A986" s="4" t="str">
        <f>"Electronic Materials Letters"</f>
        <v>Electronic Materials Letters</v>
      </c>
      <c r="B986" s="4" t="s">
        <v>6</v>
      </c>
      <c r="C986" s="4" t="str">
        <f t="shared" si="35"/>
        <v>-</v>
      </c>
      <c r="D986" s="4" t="str">
        <f>"17388090"</f>
        <v>17388090</v>
      </c>
      <c r="E986" s="4" t="str">
        <f>"20936788"</f>
        <v>20936788</v>
      </c>
      <c r="F986" s="4" t="s">
        <v>162</v>
      </c>
    </row>
    <row r="987" spans="1:6" x14ac:dyDescent="0.25">
      <c r="A987" s="4" t="str">
        <f>"Electronic Notes in Theoretical Computer Science"</f>
        <v>Electronic Notes in Theoretical Computer Science</v>
      </c>
      <c r="B987" s="4" t="s">
        <v>6</v>
      </c>
      <c r="C987" s="4" t="str">
        <f t="shared" si="35"/>
        <v>-</v>
      </c>
      <c r="D987" s="4" t="str">
        <f>"15710661"</f>
        <v>15710661</v>
      </c>
      <c r="E987" s="4" t="str">
        <f>"-"</f>
        <v>-</v>
      </c>
      <c r="F987" s="4" t="s">
        <v>55</v>
      </c>
    </row>
    <row r="988" spans="1:6" x14ac:dyDescent="0.25">
      <c r="A988" s="4" t="str">
        <f>"Electronic Proceedings in Theoretical Computer Science, EPTCS"</f>
        <v>Electronic Proceedings in Theoretical Computer Science, EPTCS</v>
      </c>
      <c r="B988" s="4" t="s">
        <v>8</v>
      </c>
      <c r="C988" s="4" t="str">
        <f t="shared" si="35"/>
        <v>-</v>
      </c>
      <c r="D988" s="4" t="str">
        <f>"20752180"</f>
        <v>20752180</v>
      </c>
      <c r="E988" s="4" t="str">
        <f>"-"</f>
        <v>-</v>
      </c>
      <c r="F988" s="4" t="s">
        <v>366</v>
      </c>
    </row>
    <row r="989" spans="1:6" x14ac:dyDescent="0.25">
      <c r="A989" s="4" t="str">
        <f>"Electronic Products"</f>
        <v>Electronic Products</v>
      </c>
      <c r="B989" s="4" t="s">
        <v>22</v>
      </c>
      <c r="C989" s="4" t="str">
        <f t="shared" si="35"/>
        <v>-</v>
      </c>
      <c r="D989" s="4" t="str">
        <f>"00134953"</f>
        <v>00134953</v>
      </c>
      <c r="E989" s="4" t="str">
        <f>"-"</f>
        <v>-</v>
      </c>
      <c r="F989" s="4" t="s">
        <v>367</v>
      </c>
    </row>
    <row r="990" spans="1:6" x14ac:dyDescent="0.25">
      <c r="A990" s="4" t="str">
        <f>"Electronic Transactions on Numerical Analysis"</f>
        <v>Electronic Transactions on Numerical Analysis</v>
      </c>
      <c r="B990" s="4" t="s">
        <v>6</v>
      </c>
      <c r="C990" s="4" t="str">
        <f t="shared" si="35"/>
        <v>-</v>
      </c>
      <c r="D990" s="4" t="str">
        <f>"-"</f>
        <v>-</v>
      </c>
      <c r="E990" s="4" t="str">
        <f>"10689613"</f>
        <v>10689613</v>
      </c>
      <c r="F990" s="4" t="s">
        <v>368</v>
      </c>
    </row>
    <row r="991" spans="1:6" x14ac:dyDescent="0.25">
      <c r="A991" s="4" t="str">
        <f>"Electronics"</f>
        <v>Electronics</v>
      </c>
      <c r="B991" s="4" t="s">
        <v>6</v>
      </c>
      <c r="C991" s="4" t="str">
        <f t="shared" si="35"/>
        <v>-</v>
      </c>
      <c r="D991" s="4" t="str">
        <f>"14505843"</f>
        <v>14505843</v>
      </c>
      <c r="E991" s="4" t="str">
        <f>"-"</f>
        <v>-</v>
      </c>
      <c r="F991" s="4" t="s">
        <v>369</v>
      </c>
    </row>
    <row r="992" spans="1:6" x14ac:dyDescent="0.25">
      <c r="A992" s="4" t="str">
        <f>"Electronics and Communications in Japan"</f>
        <v>Electronics and Communications in Japan</v>
      </c>
      <c r="B992" s="4" t="s">
        <v>6</v>
      </c>
      <c r="C992" s="4" t="str">
        <f t="shared" si="35"/>
        <v>-</v>
      </c>
      <c r="D992" s="4" t="str">
        <f>"19429533"</f>
        <v>19429533</v>
      </c>
      <c r="E992" s="4" t="str">
        <f>"19429541"</f>
        <v>19429541</v>
      </c>
      <c r="F992" s="4" t="s">
        <v>241</v>
      </c>
    </row>
    <row r="993" spans="1:6" x14ac:dyDescent="0.25">
      <c r="A993" s="4" t="str">
        <f>"Electronics Letters"</f>
        <v>Electronics Letters</v>
      </c>
      <c r="B993" s="4" t="s">
        <v>6</v>
      </c>
      <c r="C993" s="4" t="str">
        <f t="shared" si="35"/>
        <v>-</v>
      </c>
      <c r="D993" s="4" t="str">
        <f>"00135194"</f>
        <v>00135194</v>
      </c>
      <c r="E993" s="4" t="str">
        <f>"-"</f>
        <v>-</v>
      </c>
      <c r="F993" s="4" t="s">
        <v>370</v>
      </c>
    </row>
    <row r="994" spans="1:6" x14ac:dyDescent="0.25">
      <c r="A994" s="4" t="str">
        <f>"Electronics World"</f>
        <v>Electronics World</v>
      </c>
      <c r="B994" s="4" t="s">
        <v>22</v>
      </c>
      <c r="C994" s="4" t="str">
        <f t="shared" si="35"/>
        <v>-</v>
      </c>
      <c r="D994" s="4" t="str">
        <f>"13654675"</f>
        <v>13654675</v>
      </c>
      <c r="E994" s="4" t="str">
        <f>"-"</f>
        <v>-</v>
      </c>
      <c r="F994" s="4" t="s">
        <v>371</v>
      </c>
    </row>
    <row r="995" spans="1:6" x14ac:dyDescent="0.25">
      <c r="A995" s="4" t="str">
        <f>"Elektrotechnik und Informationstechnik"</f>
        <v>Elektrotechnik und Informationstechnik</v>
      </c>
      <c r="B995" s="4" t="s">
        <v>6</v>
      </c>
      <c r="C995" s="4" t="str">
        <f t="shared" si="35"/>
        <v>-</v>
      </c>
      <c r="D995" s="4" t="str">
        <f>"0932383X"</f>
        <v>0932383X</v>
      </c>
      <c r="E995" s="4" t="str">
        <f>"-"</f>
        <v>-</v>
      </c>
      <c r="F995" s="4" t="s">
        <v>43</v>
      </c>
    </row>
    <row r="996" spans="1:6" x14ac:dyDescent="0.25">
      <c r="A996" s="4" t="str">
        <f>"Elektrotehniski Vestnik/Electrotechnical Review"</f>
        <v>Elektrotehniski Vestnik/Electrotechnical Review</v>
      </c>
      <c r="B996" s="4" t="s">
        <v>6</v>
      </c>
      <c r="C996" s="4" t="str">
        <f t="shared" si="35"/>
        <v>-</v>
      </c>
      <c r="D996" s="4" t="str">
        <f>"00135852"</f>
        <v>00135852</v>
      </c>
      <c r="E996" s="4" t="str">
        <f>"22323228"</f>
        <v>22323228</v>
      </c>
      <c r="F996" s="4" t="s">
        <v>372</v>
      </c>
    </row>
    <row r="997" spans="1:6" x14ac:dyDescent="0.25">
      <c r="A997" s="4" t="str">
        <f>"Elektrowaerme International"</f>
        <v>Elektrowaerme International</v>
      </c>
      <c r="B997" s="4" t="s">
        <v>22</v>
      </c>
      <c r="C997" s="4" t="str">
        <f t="shared" si="35"/>
        <v>-</v>
      </c>
      <c r="D997" s="4" t="str">
        <f>"03403521"</f>
        <v>03403521</v>
      </c>
      <c r="E997" s="4" t="str">
        <f>"-"</f>
        <v>-</v>
      </c>
      <c r="F997" s="4" t="s">
        <v>348</v>
      </c>
    </row>
    <row r="998" spans="1:6" x14ac:dyDescent="0.25">
      <c r="A998" s="4" t="str">
        <f>"eLmL - International Conference on Mobile, Hybrid, and On-line Learning"</f>
        <v>eLmL - International Conference on Mobile, Hybrid, and On-line Learning</v>
      </c>
      <c r="B998" s="4" t="s">
        <v>8</v>
      </c>
      <c r="C998" s="4" t="str">
        <f t="shared" si="35"/>
        <v>-</v>
      </c>
      <c r="D998" s="4" t="str">
        <f>"23084367"</f>
        <v>23084367</v>
      </c>
      <c r="E998" s="4" t="str">
        <f>"-"</f>
        <v>-</v>
      </c>
      <c r="F998" s="4" t="s">
        <v>373</v>
      </c>
    </row>
    <row r="999" spans="1:6" x14ac:dyDescent="0.25">
      <c r="A999" s="4" t="str">
        <f>"Emerging Materials Research"</f>
        <v>Emerging Materials Research</v>
      </c>
      <c r="B999" s="4" t="s">
        <v>6</v>
      </c>
      <c r="C999" s="4" t="str">
        <f t="shared" si="35"/>
        <v>-</v>
      </c>
      <c r="D999" s="4" t="str">
        <f>"20460147"</f>
        <v>20460147</v>
      </c>
      <c r="E999" s="4" t="str">
        <f>"20460155"</f>
        <v>20460155</v>
      </c>
      <c r="F999" s="4" t="s">
        <v>74</v>
      </c>
    </row>
    <row r="1000" spans="1:6" x14ac:dyDescent="0.25">
      <c r="A1000" s="4" t="str">
        <f>"EMJ - Engineering Management Journal"</f>
        <v>EMJ - Engineering Management Journal</v>
      </c>
      <c r="B1000" s="4" t="s">
        <v>6</v>
      </c>
      <c r="C1000" s="4" t="str">
        <f t="shared" si="35"/>
        <v>-</v>
      </c>
      <c r="D1000" s="4" t="str">
        <f>"10429247"</f>
        <v>10429247</v>
      </c>
      <c r="E1000" s="4" t="str">
        <f>"-"</f>
        <v>-</v>
      </c>
      <c r="F1000" s="4" t="s">
        <v>60</v>
      </c>
    </row>
    <row r="1001" spans="1:6" x14ac:dyDescent="0.25">
      <c r="A1001" s="4" t="str">
        <f>"Empirical Software Engineering"</f>
        <v>Empirical Software Engineering</v>
      </c>
      <c r="B1001" s="4" t="s">
        <v>6</v>
      </c>
      <c r="C1001" s="4" t="str">
        <f t="shared" si="35"/>
        <v>-</v>
      </c>
      <c r="D1001" s="4" t="str">
        <f>"13823256"</f>
        <v>13823256</v>
      </c>
      <c r="E1001" s="4" t="str">
        <f>"15737616"</f>
        <v>15737616</v>
      </c>
      <c r="F1001" s="4" t="s">
        <v>57</v>
      </c>
    </row>
    <row r="1002" spans="1:6" x14ac:dyDescent="0.25">
      <c r="A1002" s="4" t="str">
        <f>"Energies"</f>
        <v>Energies</v>
      </c>
      <c r="B1002" s="4" t="s">
        <v>6</v>
      </c>
      <c r="C1002" s="4" t="str">
        <f t="shared" si="35"/>
        <v>-</v>
      </c>
      <c r="D1002" s="4" t="str">
        <f>"-"</f>
        <v>-</v>
      </c>
      <c r="E1002" s="4" t="str">
        <f>"19961073"</f>
        <v>19961073</v>
      </c>
      <c r="F1002" s="4" t="s">
        <v>114</v>
      </c>
    </row>
    <row r="1003" spans="1:6" x14ac:dyDescent="0.25">
      <c r="A1003" s="4" t="str">
        <f>"Energy"</f>
        <v>Energy</v>
      </c>
      <c r="B1003" s="4" t="s">
        <v>6</v>
      </c>
      <c r="C1003" s="4" t="str">
        <f t="shared" si="35"/>
        <v>-</v>
      </c>
      <c r="D1003" s="4" t="str">
        <f>"03605442"</f>
        <v>03605442</v>
      </c>
      <c r="E1003" s="4" t="str">
        <f>"-"</f>
        <v>-</v>
      </c>
      <c r="F1003" s="4" t="s">
        <v>19</v>
      </c>
    </row>
    <row r="1004" spans="1:6" x14ac:dyDescent="0.25">
      <c r="A1004" s="4" t="str">
        <f>"Energy and Buildings"</f>
        <v>Energy and Buildings</v>
      </c>
      <c r="B1004" s="4" t="s">
        <v>6</v>
      </c>
      <c r="C1004" s="4" t="str">
        <f t="shared" si="35"/>
        <v>-</v>
      </c>
      <c r="D1004" s="4" t="str">
        <f>"03787788"</f>
        <v>03787788</v>
      </c>
      <c r="E1004" s="4" t="str">
        <f>"-"</f>
        <v>-</v>
      </c>
      <c r="F1004" s="4" t="s">
        <v>19</v>
      </c>
    </row>
    <row r="1005" spans="1:6" x14ac:dyDescent="0.25">
      <c r="A1005" s="4" t="str">
        <f>"Energy and Environment"</f>
        <v>Energy and Environment</v>
      </c>
      <c r="B1005" s="4" t="s">
        <v>6</v>
      </c>
      <c r="C1005" s="4" t="str">
        <f t="shared" si="35"/>
        <v>-</v>
      </c>
      <c r="D1005" s="4" t="str">
        <f>"0958305X"</f>
        <v>0958305X</v>
      </c>
      <c r="E1005" s="4" t="str">
        <f>"-"</f>
        <v>-</v>
      </c>
      <c r="F1005" s="4" t="s">
        <v>58</v>
      </c>
    </row>
    <row r="1006" spans="1:6" x14ac:dyDescent="0.25">
      <c r="A1006" s="4" t="str">
        <f>"Energy and Environmental Science"</f>
        <v>Energy and Environmental Science</v>
      </c>
      <c r="B1006" s="4" t="s">
        <v>6</v>
      </c>
      <c r="C1006" s="4" t="str">
        <f t="shared" si="35"/>
        <v>-</v>
      </c>
      <c r="D1006" s="4" t="str">
        <f>"17545692"</f>
        <v>17545692</v>
      </c>
      <c r="E1006" s="4" t="str">
        <f>"17545706"</f>
        <v>17545706</v>
      </c>
      <c r="F1006" s="4" t="s">
        <v>121</v>
      </c>
    </row>
    <row r="1007" spans="1:6" x14ac:dyDescent="0.25">
      <c r="A1007" s="4" t="str">
        <f>"Energy and Fuels"</f>
        <v>Energy and Fuels</v>
      </c>
      <c r="B1007" s="4" t="s">
        <v>6</v>
      </c>
      <c r="C1007" s="4" t="str">
        <f t="shared" si="35"/>
        <v>-</v>
      </c>
      <c r="D1007" s="4" t="str">
        <f>"08870624"</f>
        <v>08870624</v>
      </c>
      <c r="E1007" s="4" t="str">
        <f>"15205029"</f>
        <v>15205029</v>
      </c>
      <c r="F1007" s="4" t="s">
        <v>28</v>
      </c>
    </row>
    <row r="1008" spans="1:6" x14ac:dyDescent="0.25">
      <c r="A1008" s="4" t="str">
        <f>"Energy Conversion and Management"</f>
        <v>Energy Conversion and Management</v>
      </c>
      <c r="B1008" s="4" t="s">
        <v>6</v>
      </c>
      <c r="C1008" s="4" t="str">
        <f t="shared" si="35"/>
        <v>-</v>
      </c>
      <c r="D1008" s="4" t="str">
        <f>"01968904"</f>
        <v>01968904</v>
      </c>
      <c r="E1008" s="4" t="str">
        <f>"-"</f>
        <v>-</v>
      </c>
      <c r="F1008" s="4" t="s">
        <v>19</v>
      </c>
    </row>
    <row r="1009" spans="1:6" x14ac:dyDescent="0.25">
      <c r="A1009" s="4" t="str">
        <f>"Energy Economics"</f>
        <v>Energy Economics</v>
      </c>
      <c r="B1009" s="4" t="s">
        <v>6</v>
      </c>
      <c r="C1009" s="4" t="str">
        <f t="shared" si="35"/>
        <v>-</v>
      </c>
      <c r="D1009" s="4" t="str">
        <f>"01409883"</f>
        <v>01409883</v>
      </c>
      <c r="E1009" s="4" t="str">
        <f>"-"</f>
        <v>-</v>
      </c>
      <c r="F1009" s="4" t="s">
        <v>55</v>
      </c>
    </row>
    <row r="1010" spans="1:6" x14ac:dyDescent="0.25">
      <c r="A1010" s="4" t="str">
        <f>"Energy Efficiency"</f>
        <v>Energy Efficiency</v>
      </c>
      <c r="B1010" s="4" t="s">
        <v>6</v>
      </c>
      <c r="C1010" s="4" t="str">
        <f t="shared" si="35"/>
        <v>-</v>
      </c>
      <c r="D1010" s="4" t="str">
        <f>"1570646X"</f>
        <v>1570646X</v>
      </c>
      <c r="E1010" s="4" t="str">
        <f>"15706478"</f>
        <v>15706478</v>
      </c>
      <c r="F1010" s="4" t="s">
        <v>31</v>
      </c>
    </row>
    <row r="1011" spans="1:6" x14ac:dyDescent="0.25">
      <c r="A1011" s="4" t="str">
        <f>"Energy Engineering: Journal of the Association of Energy Engineering"</f>
        <v>Energy Engineering: Journal of the Association of Energy Engineering</v>
      </c>
      <c r="B1011" s="4" t="s">
        <v>6</v>
      </c>
      <c r="C1011" s="4" t="str">
        <f t="shared" si="35"/>
        <v>-</v>
      </c>
      <c r="D1011" s="4" t="str">
        <f>"01998595"</f>
        <v>01998595</v>
      </c>
      <c r="E1011" s="4" t="str">
        <f>"15460118"</f>
        <v>15460118</v>
      </c>
      <c r="F1011" s="4" t="s">
        <v>96</v>
      </c>
    </row>
    <row r="1012" spans="1:6" x14ac:dyDescent="0.25">
      <c r="A1012" s="4" t="str">
        <f>"Energy Exploration and Exploitation"</f>
        <v>Energy Exploration and Exploitation</v>
      </c>
      <c r="B1012" s="4" t="s">
        <v>6</v>
      </c>
      <c r="C1012" s="4" t="str">
        <f t="shared" si="35"/>
        <v>-</v>
      </c>
      <c r="D1012" s="4" t="str">
        <f>"01445987"</f>
        <v>01445987</v>
      </c>
      <c r="E1012" s="4" t="str">
        <f>"20484054"</f>
        <v>20484054</v>
      </c>
      <c r="F1012" s="4" t="s">
        <v>58</v>
      </c>
    </row>
    <row r="1013" spans="1:6" x14ac:dyDescent="0.25">
      <c r="A1013" s="4" t="str">
        <f>"Energy Materials: Materials Science and Engineering for Energy Systems"</f>
        <v>Energy Materials: Materials Science and Engineering for Energy Systems</v>
      </c>
      <c r="B1013" s="4" t="s">
        <v>6</v>
      </c>
      <c r="C1013" s="4" t="str">
        <f t="shared" si="35"/>
        <v>-</v>
      </c>
      <c r="D1013" s="4" t="str">
        <f>"17489237"</f>
        <v>17489237</v>
      </c>
      <c r="E1013" s="4" t="str">
        <f>"17489245"</f>
        <v>17489245</v>
      </c>
      <c r="F1013" s="4" t="s">
        <v>70</v>
      </c>
    </row>
    <row r="1014" spans="1:6" x14ac:dyDescent="0.25">
      <c r="A1014" s="4" t="str">
        <f>"Energy Policy"</f>
        <v>Energy Policy</v>
      </c>
      <c r="B1014" s="4" t="s">
        <v>6</v>
      </c>
      <c r="C1014" s="4" t="str">
        <f t="shared" si="35"/>
        <v>-</v>
      </c>
      <c r="D1014" s="4" t="str">
        <f>"03014215"</f>
        <v>03014215</v>
      </c>
      <c r="E1014" s="4" t="str">
        <f>"-"</f>
        <v>-</v>
      </c>
      <c r="F1014" s="4" t="s">
        <v>19</v>
      </c>
    </row>
    <row r="1015" spans="1:6" x14ac:dyDescent="0.25">
      <c r="A1015" s="4" t="str">
        <f>"Energy Procedia"</f>
        <v>Energy Procedia</v>
      </c>
      <c r="B1015" s="4" t="s">
        <v>8</v>
      </c>
      <c r="C1015" s="4" t="str">
        <f t="shared" si="35"/>
        <v>-</v>
      </c>
      <c r="D1015" s="4" t="str">
        <f>"18766102"</f>
        <v>18766102</v>
      </c>
      <c r="E1015" s="4" t="str">
        <f>"-"</f>
        <v>-</v>
      </c>
      <c r="F1015" s="4" t="s">
        <v>19</v>
      </c>
    </row>
    <row r="1016" spans="1:6" x14ac:dyDescent="0.25">
      <c r="A1016" s="4" t="str">
        <f>"Energy Science and Engineering"</f>
        <v>Energy Science and Engineering</v>
      </c>
      <c r="B1016" s="4" t="s">
        <v>6</v>
      </c>
      <c r="C1016" s="4" t="str">
        <f t="shared" si="35"/>
        <v>-</v>
      </c>
      <c r="D1016" s="4" t="str">
        <f>"-"</f>
        <v>-</v>
      </c>
      <c r="E1016" s="4" t="str">
        <f>"20500505"</f>
        <v>20500505</v>
      </c>
      <c r="F1016" s="4" t="s">
        <v>142</v>
      </c>
    </row>
    <row r="1017" spans="1:6" x14ac:dyDescent="0.25">
      <c r="A1017" s="4" t="str">
        <f>"Energy Sources, Part A: Recovery, Utilization and Environmental Effects"</f>
        <v>Energy Sources, Part A: Recovery, Utilization and Environmental Effects</v>
      </c>
      <c r="B1017" s="4" t="s">
        <v>6</v>
      </c>
      <c r="C1017" s="4" t="str">
        <f t="shared" si="35"/>
        <v>-</v>
      </c>
      <c r="D1017" s="4" t="str">
        <f>"15567036"</f>
        <v>15567036</v>
      </c>
      <c r="E1017" s="4" t="str">
        <f>"15567230"</f>
        <v>15567230</v>
      </c>
      <c r="F1017" s="4" t="s">
        <v>96</v>
      </c>
    </row>
    <row r="1018" spans="1:6" x14ac:dyDescent="0.25">
      <c r="A1018" s="4" t="str">
        <f>"Energy Sources, Part B: Economics, Planning and Policy"</f>
        <v>Energy Sources, Part B: Economics, Planning and Policy</v>
      </c>
      <c r="B1018" s="4" t="s">
        <v>6</v>
      </c>
      <c r="C1018" s="4" t="str">
        <f t="shared" si="35"/>
        <v>-</v>
      </c>
      <c r="D1018" s="4" t="str">
        <f>"15567249"</f>
        <v>15567249</v>
      </c>
      <c r="E1018" s="4" t="str">
        <f>"15567257"</f>
        <v>15567257</v>
      </c>
      <c r="F1018" s="4" t="s">
        <v>96</v>
      </c>
    </row>
    <row r="1019" spans="1:6" x14ac:dyDescent="0.25">
      <c r="A1019" s="4" t="str">
        <f>"Energy Strategy Reviews"</f>
        <v>Energy Strategy Reviews</v>
      </c>
      <c r="B1019" s="4" t="s">
        <v>6</v>
      </c>
      <c r="C1019" s="4" t="str">
        <f t="shared" si="35"/>
        <v>-</v>
      </c>
      <c r="D1019" s="4" t="str">
        <f>"2211467X"</f>
        <v>2211467X</v>
      </c>
      <c r="E1019" s="4" t="str">
        <f>"-"</f>
        <v>-</v>
      </c>
      <c r="F1019" s="4" t="s">
        <v>19</v>
      </c>
    </row>
    <row r="1020" spans="1:6" x14ac:dyDescent="0.25">
      <c r="A1020" s="4" t="str">
        <f>"Energy Systems"</f>
        <v>Energy Systems</v>
      </c>
      <c r="B1020" s="4" t="s">
        <v>6</v>
      </c>
      <c r="C1020" s="4" t="str">
        <f t="shared" si="35"/>
        <v>-</v>
      </c>
      <c r="D1020" s="4" t="str">
        <f>"18683967"</f>
        <v>18683967</v>
      </c>
      <c r="E1020" s="4" t="str">
        <f>"18683975"</f>
        <v>18683975</v>
      </c>
      <c r="F1020" s="4" t="s">
        <v>42</v>
      </c>
    </row>
    <row r="1021" spans="1:6" x14ac:dyDescent="0.25">
      <c r="A1021" s="4" t="str">
        <f>"Energy Technology"</f>
        <v>Energy Technology</v>
      </c>
      <c r="B1021" s="4" t="s">
        <v>6</v>
      </c>
      <c r="C1021" s="4" t="str">
        <f t="shared" si="35"/>
        <v>-</v>
      </c>
      <c r="D1021" s="4" t="str">
        <f>"21944288"</f>
        <v>21944288</v>
      </c>
      <c r="E1021" s="4" t="str">
        <f>"21944296"</f>
        <v>21944296</v>
      </c>
      <c r="F1021" s="4" t="s">
        <v>63</v>
      </c>
    </row>
    <row r="1022" spans="1:6" x14ac:dyDescent="0.25">
      <c r="A1022" s="4" t="str">
        <f>"Energy, Sustainability and Society"</f>
        <v>Energy, Sustainability and Society</v>
      </c>
      <c r="B1022" s="4" t="s">
        <v>6</v>
      </c>
      <c r="C1022" s="4" t="str">
        <f t="shared" ref="C1022:C1085" si="37">"-"</f>
        <v>-</v>
      </c>
      <c r="D1022" s="4" t="str">
        <f>"-"</f>
        <v>-</v>
      </c>
      <c r="E1022" s="4" t="str">
        <f>"21920567"</f>
        <v>21920567</v>
      </c>
      <c r="F1022" s="4" t="s">
        <v>42</v>
      </c>
    </row>
    <row r="1023" spans="1:6" x14ac:dyDescent="0.25">
      <c r="A1023" s="4" t="str">
        <f>"Engineer"</f>
        <v>Engineer</v>
      </c>
      <c r="B1023" s="4" t="s">
        <v>22</v>
      </c>
      <c r="C1023" s="4" t="str">
        <f t="shared" si="37"/>
        <v>-</v>
      </c>
      <c r="D1023" s="4" t="str">
        <f>"00137758"</f>
        <v>00137758</v>
      </c>
      <c r="E1023" s="4" t="str">
        <f t="shared" ref="E1023:E1030" si="38">"-"</f>
        <v>-</v>
      </c>
      <c r="F1023" s="4" t="s">
        <v>374</v>
      </c>
    </row>
    <row r="1024" spans="1:6" x14ac:dyDescent="0.25">
      <c r="A1024" s="4" t="str">
        <f>"Engineered Systems"</f>
        <v>Engineered Systems</v>
      </c>
      <c r="B1024" s="4" t="s">
        <v>22</v>
      </c>
      <c r="C1024" s="4" t="str">
        <f t="shared" si="37"/>
        <v>-</v>
      </c>
      <c r="D1024" s="4" t="str">
        <f>"08919976"</f>
        <v>08919976</v>
      </c>
      <c r="E1024" s="4" t="str">
        <f t="shared" si="38"/>
        <v>-</v>
      </c>
      <c r="F1024" s="4" t="s">
        <v>375</v>
      </c>
    </row>
    <row r="1025" spans="1:6" x14ac:dyDescent="0.25">
      <c r="A1025" s="4" t="str">
        <f>"Engineering"</f>
        <v>Engineering</v>
      </c>
      <c r="B1025" s="4" t="s">
        <v>6</v>
      </c>
      <c r="C1025" s="4" t="str">
        <f t="shared" si="37"/>
        <v>-</v>
      </c>
      <c r="D1025" s="4" t="str">
        <f>"00137782"</f>
        <v>00137782</v>
      </c>
      <c r="E1025" s="4" t="str">
        <f t="shared" si="38"/>
        <v>-</v>
      </c>
      <c r="F1025" s="4" t="s">
        <v>376</v>
      </c>
    </row>
    <row r="1026" spans="1:6" x14ac:dyDescent="0.25">
      <c r="A1026" s="4" t="str">
        <f>"Engineering Analysis with Boundary Elements"</f>
        <v>Engineering Analysis with Boundary Elements</v>
      </c>
      <c r="B1026" s="4" t="s">
        <v>6</v>
      </c>
      <c r="C1026" s="4" t="str">
        <f t="shared" si="37"/>
        <v>-</v>
      </c>
      <c r="D1026" s="4" t="str">
        <f>"09557997"</f>
        <v>09557997</v>
      </c>
      <c r="E1026" s="4" t="str">
        <f t="shared" si="38"/>
        <v>-</v>
      </c>
      <c r="F1026" s="4" t="s">
        <v>19</v>
      </c>
    </row>
    <row r="1027" spans="1:6" x14ac:dyDescent="0.25">
      <c r="A1027" s="4" t="str">
        <f>"Engineering and Technology"</f>
        <v>Engineering and Technology</v>
      </c>
      <c r="B1027" s="4" t="s">
        <v>22</v>
      </c>
      <c r="C1027" s="4" t="str">
        <f t="shared" si="37"/>
        <v>-</v>
      </c>
      <c r="D1027" s="4" t="str">
        <f>"17509637"</f>
        <v>17509637</v>
      </c>
      <c r="E1027" s="4" t="str">
        <f t="shared" si="38"/>
        <v>-</v>
      </c>
      <c r="F1027" s="4" t="s">
        <v>370</v>
      </c>
    </row>
    <row r="1028" spans="1:6" x14ac:dyDescent="0.25">
      <c r="A1028" s="4" t="str">
        <f>"Engineering Applications of Artificial Intelligence"</f>
        <v>Engineering Applications of Artificial Intelligence</v>
      </c>
      <c r="B1028" s="4" t="s">
        <v>6</v>
      </c>
      <c r="C1028" s="4" t="str">
        <f t="shared" si="37"/>
        <v>-</v>
      </c>
      <c r="D1028" s="4" t="str">
        <f>"09521976"</f>
        <v>09521976</v>
      </c>
      <c r="E1028" s="4" t="str">
        <f t="shared" si="38"/>
        <v>-</v>
      </c>
      <c r="F1028" s="4" t="s">
        <v>19</v>
      </c>
    </row>
    <row r="1029" spans="1:6" x14ac:dyDescent="0.25">
      <c r="A1029" s="4" t="str">
        <f>"Engineering Computations (Swansea, Wales)"</f>
        <v>Engineering Computations (Swansea, Wales)</v>
      </c>
      <c r="B1029" s="4" t="s">
        <v>6</v>
      </c>
      <c r="C1029" s="4" t="str">
        <f t="shared" si="37"/>
        <v>-</v>
      </c>
      <c r="D1029" s="4" t="str">
        <f>"02644401"</f>
        <v>02644401</v>
      </c>
      <c r="E1029" s="4" t="str">
        <f t="shared" si="38"/>
        <v>-</v>
      </c>
      <c r="F1029" s="4" t="s">
        <v>110</v>
      </c>
    </row>
    <row r="1030" spans="1:6" x14ac:dyDescent="0.25">
      <c r="A1030" s="4" t="str">
        <f>"Engineering Design Graphics Journal"</f>
        <v>Engineering Design Graphics Journal</v>
      </c>
      <c r="B1030" s="4" t="s">
        <v>6</v>
      </c>
      <c r="C1030" s="4" t="str">
        <f t="shared" si="37"/>
        <v>-</v>
      </c>
      <c r="D1030" s="4" t="str">
        <f>"00462012"</f>
        <v>00462012</v>
      </c>
      <c r="E1030" s="4" t="str">
        <f t="shared" si="38"/>
        <v>-</v>
      </c>
      <c r="F1030" s="4" t="s">
        <v>78</v>
      </c>
    </row>
    <row r="1031" spans="1:6" x14ac:dyDescent="0.25">
      <c r="A1031" s="4" t="str">
        <f>"Engineering Economist"</f>
        <v>Engineering Economist</v>
      </c>
      <c r="B1031" s="4" t="s">
        <v>6</v>
      </c>
      <c r="C1031" s="4" t="str">
        <f t="shared" si="37"/>
        <v>-</v>
      </c>
      <c r="D1031" s="4" t="str">
        <f>"0013791X"</f>
        <v>0013791X</v>
      </c>
      <c r="E1031" s="4" t="str">
        <f>"15472701"</f>
        <v>15472701</v>
      </c>
      <c r="F1031" s="4" t="s">
        <v>96</v>
      </c>
    </row>
    <row r="1032" spans="1:6" x14ac:dyDescent="0.25">
      <c r="A1032" s="4" t="str">
        <f>"Engineering Education"</f>
        <v>Engineering Education</v>
      </c>
      <c r="B1032" s="4" t="s">
        <v>6</v>
      </c>
      <c r="C1032" s="4" t="str">
        <f t="shared" si="37"/>
        <v>-</v>
      </c>
      <c r="D1032" s="4" t="str">
        <f>"17500044"</f>
        <v>17500044</v>
      </c>
      <c r="E1032" s="4" t="str">
        <f>"17500052"</f>
        <v>17500052</v>
      </c>
      <c r="F1032" s="4" t="s">
        <v>377</v>
      </c>
    </row>
    <row r="1033" spans="1:6" x14ac:dyDescent="0.25">
      <c r="A1033" s="4" t="str">
        <f>"Engineering Failure Analysis"</f>
        <v>Engineering Failure Analysis</v>
      </c>
      <c r="B1033" s="4" t="s">
        <v>6</v>
      </c>
      <c r="C1033" s="4" t="str">
        <f t="shared" si="37"/>
        <v>-</v>
      </c>
      <c r="D1033" s="4" t="str">
        <f>"13506307"</f>
        <v>13506307</v>
      </c>
      <c r="E1033" s="4" t="str">
        <f>"-"</f>
        <v>-</v>
      </c>
      <c r="F1033" s="4" t="s">
        <v>19</v>
      </c>
    </row>
    <row r="1034" spans="1:6" x14ac:dyDescent="0.25">
      <c r="A1034" s="4" t="str">
        <f>"Engineering for Rural Development"</f>
        <v>Engineering for Rural Development</v>
      </c>
      <c r="B1034" s="4" t="s">
        <v>8</v>
      </c>
      <c r="C1034" s="4" t="str">
        <f t="shared" si="37"/>
        <v>-</v>
      </c>
      <c r="D1034" s="4" t="str">
        <f>"16913043"</f>
        <v>16913043</v>
      </c>
      <c r="E1034" s="4" t="str">
        <f>"16915976"</f>
        <v>16915976</v>
      </c>
      <c r="F1034" s="4" t="s">
        <v>378</v>
      </c>
    </row>
    <row r="1035" spans="1:6" x14ac:dyDescent="0.25">
      <c r="A1035" s="4" t="str">
        <f>"Engineering Fracture Mechanics"</f>
        <v>Engineering Fracture Mechanics</v>
      </c>
      <c r="B1035" s="4" t="s">
        <v>6</v>
      </c>
      <c r="C1035" s="4" t="str">
        <f t="shared" si="37"/>
        <v>-</v>
      </c>
      <c r="D1035" s="4" t="str">
        <f>"00137944"</f>
        <v>00137944</v>
      </c>
      <c r="E1035" s="4" t="str">
        <f>"-"</f>
        <v>-</v>
      </c>
      <c r="F1035" s="4" t="s">
        <v>19</v>
      </c>
    </row>
    <row r="1036" spans="1:6" x14ac:dyDescent="0.25">
      <c r="A1036" s="4" t="str">
        <f>"Engineering Geology"</f>
        <v>Engineering Geology</v>
      </c>
      <c r="B1036" s="4" t="s">
        <v>6</v>
      </c>
      <c r="C1036" s="4" t="str">
        <f t="shared" si="37"/>
        <v>-</v>
      </c>
      <c r="D1036" s="4" t="str">
        <f>"00137952"</f>
        <v>00137952</v>
      </c>
      <c r="E1036" s="4" t="str">
        <f>"-"</f>
        <v>-</v>
      </c>
      <c r="F1036" s="4" t="s">
        <v>55</v>
      </c>
    </row>
    <row r="1037" spans="1:6" x14ac:dyDescent="0.25">
      <c r="A1037" s="4" t="str">
        <f>"Engineering in Agriculture, Environment and Food"</f>
        <v>Engineering in Agriculture, Environment and Food</v>
      </c>
      <c r="B1037" s="4" t="s">
        <v>6</v>
      </c>
      <c r="C1037" s="4" t="str">
        <f t="shared" si="37"/>
        <v>-</v>
      </c>
      <c r="D1037" s="4" t="str">
        <f>"18818366"</f>
        <v>18818366</v>
      </c>
      <c r="E1037" s="4" t="str">
        <f>"18818366"</f>
        <v>18818366</v>
      </c>
      <c r="F1037" s="4" t="s">
        <v>55</v>
      </c>
    </row>
    <row r="1038" spans="1:6" x14ac:dyDescent="0.25">
      <c r="A1038" s="4" t="str">
        <f>"Engineering in Life Sciences"</f>
        <v>Engineering in Life Sciences</v>
      </c>
      <c r="B1038" s="4" t="s">
        <v>6</v>
      </c>
      <c r="C1038" s="4" t="str">
        <f t="shared" si="37"/>
        <v>-</v>
      </c>
      <c r="D1038" s="4" t="str">
        <f>"16180240"</f>
        <v>16180240</v>
      </c>
      <c r="E1038" s="4" t="str">
        <f>"16182863"</f>
        <v>16182863</v>
      </c>
      <c r="F1038" s="4" t="s">
        <v>63</v>
      </c>
    </row>
    <row r="1039" spans="1:6" x14ac:dyDescent="0.25">
      <c r="A1039" s="4" t="str">
        <f>"Engineering Intelligent Systems"</f>
        <v>Engineering Intelligent Systems</v>
      </c>
      <c r="B1039" s="4" t="s">
        <v>6</v>
      </c>
      <c r="C1039" s="4" t="str">
        <f t="shared" si="37"/>
        <v>-</v>
      </c>
      <c r="D1039" s="4" t="str">
        <f>"14728915"</f>
        <v>14728915</v>
      </c>
      <c r="E1039" s="4" t="str">
        <f>"-"</f>
        <v>-</v>
      </c>
      <c r="F1039" s="4" t="s">
        <v>296</v>
      </c>
    </row>
    <row r="1040" spans="1:6" x14ac:dyDescent="0.25">
      <c r="A1040" s="4" t="str">
        <f>"Engineering Journal"</f>
        <v>Engineering Journal</v>
      </c>
      <c r="B1040" s="4" t="s">
        <v>22</v>
      </c>
      <c r="C1040" s="4" t="str">
        <f t="shared" si="37"/>
        <v>-</v>
      </c>
      <c r="D1040" s="4" t="str">
        <f>"00138029"</f>
        <v>00138029</v>
      </c>
      <c r="E1040" s="4" t="str">
        <f>"-"</f>
        <v>-</v>
      </c>
      <c r="F1040" s="4" t="s">
        <v>379</v>
      </c>
    </row>
    <row r="1041" spans="1:6" x14ac:dyDescent="0.25">
      <c r="A1041" s="4" t="str">
        <f>"Engineering Letters"</f>
        <v>Engineering Letters</v>
      </c>
      <c r="B1041" s="4" t="s">
        <v>6</v>
      </c>
      <c r="C1041" s="4" t="str">
        <f t="shared" si="37"/>
        <v>-</v>
      </c>
      <c r="D1041" s="4" t="str">
        <f>"1816093X"</f>
        <v>1816093X</v>
      </c>
      <c r="E1041" s="4" t="str">
        <f>"18160948"</f>
        <v>18160948</v>
      </c>
      <c r="F1041" s="4" t="s">
        <v>380</v>
      </c>
    </row>
    <row r="1042" spans="1:6" x14ac:dyDescent="0.25">
      <c r="A1042" s="4" t="str">
        <f>"Engineering Optimization"</f>
        <v>Engineering Optimization</v>
      </c>
      <c r="B1042" s="4" t="s">
        <v>6</v>
      </c>
      <c r="C1042" s="4" t="str">
        <f t="shared" si="37"/>
        <v>-</v>
      </c>
      <c r="D1042" s="4" t="str">
        <f>"0305215X"</f>
        <v>0305215X</v>
      </c>
      <c r="E1042" s="4" t="str">
        <f>"10290273"</f>
        <v>10290273</v>
      </c>
      <c r="F1042" s="4" t="s">
        <v>60</v>
      </c>
    </row>
    <row r="1043" spans="1:6" x14ac:dyDescent="0.25">
      <c r="A1043" s="4" t="str">
        <f>"Engineering Review"</f>
        <v>Engineering Review</v>
      </c>
      <c r="B1043" s="4" t="s">
        <v>6</v>
      </c>
      <c r="C1043" s="4" t="str">
        <f t="shared" si="37"/>
        <v>-</v>
      </c>
      <c r="D1043" s="4" t="str">
        <f>"13309587"</f>
        <v>13309587</v>
      </c>
      <c r="E1043" s="4" t="str">
        <f>"-"</f>
        <v>-</v>
      </c>
      <c r="F1043" s="4" t="s">
        <v>381</v>
      </c>
    </row>
    <row r="1044" spans="1:6" x14ac:dyDescent="0.25">
      <c r="A1044" s="4" t="str">
        <f>"Engineering Structures"</f>
        <v>Engineering Structures</v>
      </c>
      <c r="B1044" s="4" t="s">
        <v>6</v>
      </c>
      <c r="C1044" s="4" t="str">
        <f t="shared" si="37"/>
        <v>-</v>
      </c>
      <c r="D1044" s="4" t="str">
        <f>"01410296"</f>
        <v>01410296</v>
      </c>
      <c r="E1044" s="4" t="str">
        <f>"18737323"</f>
        <v>18737323</v>
      </c>
      <c r="F1044" s="4" t="s">
        <v>19</v>
      </c>
    </row>
    <row r="1045" spans="1:6" x14ac:dyDescent="0.25">
      <c r="A1045" s="4" t="str">
        <f>"Engineering Studies"</f>
        <v>Engineering Studies</v>
      </c>
      <c r="B1045" s="4" t="s">
        <v>6</v>
      </c>
      <c r="C1045" s="4" t="str">
        <f t="shared" si="37"/>
        <v>-</v>
      </c>
      <c r="D1045" s="4" t="str">
        <f>"19378629"</f>
        <v>19378629</v>
      </c>
      <c r="E1045" s="4" t="str">
        <f>"19408374"</f>
        <v>19408374</v>
      </c>
      <c r="F1045" s="4" t="s">
        <v>211</v>
      </c>
    </row>
    <row r="1046" spans="1:6" x14ac:dyDescent="0.25">
      <c r="A1046" s="4" t="str">
        <f>"Engineering Transactions"</f>
        <v>Engineering Transactions</v>
      </c>
      <c r="B1046" s="4" t="s">
        <v>6</v>
      </c>
      <c r="C1046" s="4" t="str">
        <f t="shared" si="37"/>
        <v>-</v>
      </c>
      <c r="D1046" s="4" t="str">
        <f>"0867888X"</f>
        <v>0867888X</v>
      </c>
      <c r="E1046" s="4" t="str">
        <f>"-"</f>
        <v>-</v>
      </c>
      <c r="F1046" s="4" t="s">
        <v>48</v>
      </c>
    </row>
    <row r="1047" spans="1:6" x14ac:dyDescent="0.25">
      <c r="A1047" s="4" t="str">
        <f>"Engineering with Computers"</f>
        <v>Engineering with Computers</v>
      </c>
      <c r="B1047" s="4" t="s">
        <v>6</v>
      </c>
      <c r="C1047" s="4" t="str">
        <f t="shared" si="37"/>
        <v>-</v>
      </c>
      <c r="D1047" s="4" t="str">
        <f>"01770667"</f>
        <v>01770667</v>
      </c>
      <c r="E1047" s="4" t="str">
        <f>"14355663"</f>
        <v>14355663</v>
      </c>
      <c r="F1047" s="4" t="s">
        <v>62</v>
      </c>
    </row>
    <row r="1048" spans="1:6" x14ac:dyDescent="0.25">
      <c r="A1048" s="4" t="str">
        <f>"Engineering, Construction and Architectural Management"</f>
        <v>Engineering, Construction and Architectural Management</v>
      </c>
      <c r="B1048" s="4" t="s">
        <v>6</v>
      </c>
      <c r="C1048" s="4" t="str">
        <f t="shared" si="37"/>
        <v>-</v>
      </c>
      <c r="D1048" s="4" t="str">
        <f>"09699988"</f>
        <v>09699988</v>
      </c>
      <c r="E1048" s="4" t="str">
        <f>"-"</f>
        <v>-</v>
      </c>
      <c r="F1048" s="4" t="s">
        <v>110</v>
      </c>
    </row>
    <row r="1049" spans="1:6" x14ac:dyDescent="0.25">
      <c r="A1049" s="4" t="str">
        <f>"ENR (Engineering News-Record)"</f>
        <v>ENR (Engineering News-Record)</v>
      </c>
      <c r="B1049" s="4" t="s">
        <v>22</v>
      </c>
      <c r="C1049" s="4" t="str">
        <f t="shared" si="37"/>
        <v>-</v>
      </c>
      <c r="D1049" s="4" t="str">
        <f>"08919526"</f>
        <v>08919526</v>
      </c>
      <c r="E1049" s="4" t="str">
        <f>"-"</f>
        <v>-</v>
      </c>
      <c r="F1049" s="4" t="s">
        <v>382</v>
      </c>
    </row>
    <row r="1050" spans="1:6" x14ac:dyDescent="0.25">
      <c r="A1050" s="4" t="str">
        <f>"Enterprise Information Systems"</f>
        <v>Enterprise Information Systems</v>
      </c>
      <c r="B1050" s="4" t="s">
        <v>6</v>
      </c>
      <c r="C1050" s="4" t="str">
        <f t="shared" si="37"/>
        <v>-</v>
      </c>
      <c r="D1050" s="4" t="str">
        <f>"17517575"</f>
        <v>17517575</v>
      </c>
      <c r="E1050" s="4" t="str">
        <f>"17517583"</f>
        <v>17517583</v>
      </c>
      <c r="F1050" s="4" t="s">
        <v>60</v>
      </c>
    </row>
    <row r="1051" spans="1:6" x14ac:dyDescent="0.25">
      <c r="A1051" s="4" t="str">
        <f>"Entertainment Computing"</f>
        <v>Entertainment Computing</v>
      </c>
      <c r="B1051" s="4" t="s">
        <v>6</v>
      </c>
      <c r="C1051" s="4" t="str">
        <f t="shared" si="37"/>
        <v>-</v>
      </c>
      <c r="D1051" s="4" t="str">
        <f>"18759521"</f>
        <v>18759521</v>
      </c>
      <c r="E1051" s="4" t="str">
        <f>"-"</f>
        <v>-</v>
      </c>
      <c r="F1051" s="4" t="s">
        <v>55</v>
      </c>
    </row>
    <row r="1052" spans="1:6" x14ac:dyDescent="0.25">
      <c r="A1052" s="4" t="str">
        <f>"Environment International"</f>
        <v>Environment International</v>
      </c>
      <c r="B1052" s="4" t="s">
        <v>6</v>
      </c>
      <c r="C1052" s="4" t="str">
        <f t="shared" si="37"/>
        <v>-</v>
      </c>
      <c r="D1052" s="4" t="str">
        <f>"01604120"</f>
        <v>01604120</v>
      </c>
      <c r="E1052" s="4" t="str">
        <f>"18736750"</f>
        <v>18736750</v>
      </c>
      <c r="F1052" s="4" t="s">
        <v>19</v>
      </c>
    </row>
    <row r="1053" spans="1:6" x14ac:dyDescent="0.25">
      <c r="A1053" s="4" t="str">
        <f>"Environment Protection Engineering"</f>
        <v>Environment Protection Engineering</v>
      </c>
      <c r="B1053" s="4" t="s">
        <v>6</v>
      </c>
      <c r="C1053" s="4" t="str">
        <f t="shared" si="37"/>
        <v>-</v>
      </c>
      <c r="D1053" s="4" t="str">
        <f>"03248828"</f>
        <v>03248828</v>
      </c>
      <c r="E1053" s="4" t="str">
        <f>"-"</f>
        <v>-</v>
      </c>
      <c r="F1053" s="4" t="s">
        <v>383</v>
      </c>
    </row>
    <row r="1054" spans="1:6" x14ac:dyDescent="0.25">
      <c r="A1054" s="4" t="str">
        <f>"Environmental and Engineering Geoscience"</f>
        <v>Environmental and Engineering Geoscience</v>
      </c>
      <c r="B1054" s="4" t="s">
        <v>6</v>
      </c>
      <c r="C1054" s="4" t="str">
        <f t="shared" si="37"/>
        <v>-</v>
      </c>
      <c r="D1054" s="4" t="str">
        <f>"10787275"</f>
        <v>10787275</v>
      </c>
      <c r="E1054" s="4" t="str">
        <f>"15589161"</f>
        <v>15589161</v>
      </c>
      <c r="F1054" s="4" t="s">
        <v>228</v>
      </c>
    </row>
    <row r="1055" spans="1:6" x14ac:dyDescent="0.25">
      <c r="A1055" s="4" t="str">
        <f>"Environmental and Resource Economics"</f>
        <v>Environmental and Resource Economics</v>
      </c>
      <c r="B1055" s="4" t="s">
        <v>6</v>
      </c>
      <c r="C1055" s="4" t="str">
        <f t="shared" si="37"/>
        <v>-</v>
      </c>
      <c r="D1055" s="4" t="str">
        <f>"09246460"</f>
        <v>09246460</v>
      </c>
      <c r="E1055" s="4" t="str">
        <f>"15731502"</f>
        <v>15731502</v>
      </c>
      <c r="F1055" s="4" t="s">
        <v>31</v>
      </c>
    </row>
    <row r="1056" spans="1:6" x14ac:dyDescent="0.25">
      <c r="A1056" s="4" t="str">
        <f>"Environmental Conservation"</f>
        <v>Environmental Conservation</v>
      </c>
      <c r="B1056" s="4" t="s">
        <v>6</v>
      </c>
      <c r="C1056" s="4" t="str">
        <f t="shared" si="37"/>
        <v>-</v>
      </c>
      <c r="D1056" s="4" t="str">
        <f>"03768929"</f>
        <v>03768929</v>
      </c>
      <c r="E1056" s="4" t="str">
        <f>"14694387"</f>
        <v>14694387</v>
      </c>
      <c r="F1056" s="4" t="s">
        <v>152</v>
      </c>
    </row>
    <row r="1057" spans="1:6" x14ac:dyDescent="0.25">
      <c r="A1057" s="4" t="str">
        <f>"Environmental Earth Sciences"</f>
        <v>Environmental Earth Sciences</v>
      </c>
      <c r="B1057" s="4" t="s">
        <v>6</v>
      </c>
      <c r="C1057" s="4" t="str">
        <f t="shared" si="37"/>
        <v>-</v>
      </c>
      <c r="D1057" s="4" t="str">
        <f>"18666280"</f>
        <v>18666280</v>
      </c>
      <c r="E1057" s="4" t="str">
        <f>"18666299"</f>
        <v>18666299</v>
      </c>
      <c r="F1057" s="4" t="s">
        <v>42</v>
      </c>
    </row>
    <row r="1058" spans="1:6" x14ac:dyDescent="0.25">
      <c r="A1058" s="4" t="str">
        <f>"Environmental Engineering Research"</f>
        <v>Environmental Engineering Research</v>
      </c>
      <c r="B1058" s="4" t="s">
        <v>6</v>
      </c>
      <c r="C1058" s="4" t="str">
        <f t="shared" si="37"/>
        <v>-</v>
      </c>
      <c r="D1058" s="4" t="str">
        <f>"12261025"</f>
        <v>12261025</v>
      </c>
      <c r="E1058" s="4" t="str">
        <f>"2005968X"</f>
        <v>2005968X</v>
      </c>
      <c r="F1058" s="4" t="s">
        <v>384</v>
      </c>
    </row>
    <row r="1059" spans="1:6" x14ac:dyDescent="0.25">
      <c r="A1059" s="4" t="str">
        <f>"Environmental Engineering Science"</f>
        <v>Environmental Engineering Science</v>
      </c>
      <c r="B1059" s="4" t="s">
        <v>6</v>
      </c>
      <c r="C1059" s="4" t="str">
        <f t="shared" si="37"/>
        <v>-</v>
      </c>
      <c r="D1059" s="4" t="str">
        <f>"10928758"</f>
        <v>10928758</v>
      </c>
      <c r="E1059" s="4" t="str">
        <f>"15579018"</f>
        <v>15579018</v>
      </c>
      <c r="F1059" s="4" t="s">
        <v>385</v>
      </c>
    </row>
    <row r="1060" spans="1:6" x14ac:dyDescent="0.25">
      <c r="A1060" s="4" t="str">
        <f>"Environmental Geosciences"</f>
        <v>Environmental Geosciences</v>
      </c>
      <c r="B1060" s="4" t="s">
        <v>6</v>
      </c>
      <c r="C1060" s="4" t="str">
        <f t="shared" si="37"/>
        <v>-</v>
      </c>
      <c r="D1060" s="4" t="str">
        <f>"10759565"</f>
        <v>10759565</v>
      </c>
      <c r="E1060" s="4" t="str">
        <f>"-"</f>
        <v>-</v>
      </c>
      <c r="F1060" s="4" t="s">
        <v>14</v>
      </c>
    </row>
    <row r="1061" spans="1:6" x14ac:dyDescent="0.25">
      <c r="A1061" s="4" t="str">
        <f>"Environmental Health Criteria"</f>
        <v>Environmental Health Criteria</v>
      </c>
      <c r="B1061" s="4" t="s">
        <v>29</v>
      </c>
      <c r="C1061" s="4" t="str">
        <f t="shared" si="37"/>
        <v>-</v>
      </c>
      <c r="D1061" s="4" t="str">
        <f>"0250863X"</f>
        <v>0250863X</v>
      </c>
      <c r="E1061" s="4" t="str">
        <f>"-"</f>
        <v>-</v>
      </c>
      <c r="F1061" s="4" t="s">
        <v>386</v>
      </c>
    </row>
    <row r="1062" spans="1:6" x14ac:dyDescent="0.25">
      <c r="A1062" s="4" t="str">
        <f>"Environmental Impact Assessment Review"</f>
        <v>Environmental Impact Assessment Review</v>
      </c>
      <c r="B1062" s="4" t="s">
        <v>6</v>
      </c>
      <c r="C1062" s="4" t="str">
        <f t="shared" si="37"/>
        <v>-</v>
      </c>
      <c r="D1062" s="4" t="str">
        <f>"01959255"</f>
        <v>01959255</v>
      </c>
      <c r="E1062" s="4" t="str">
        <f>"-"</f>
        <v>-</v>
      </c>
      <c r="F1062" s="4" t="s">
        <v>141</v>
      </c>
    </row>
    <row r="1063" spans="1:6" x14ac:dyDescent="0.25">
      <c r="A1063" s="4" t="str">
        <f>"Environmental Management"</f>
        <v>Environmental Management</v>
      </c>
      <c r="B1063" s="4" t="s">
        <v>6</v>
      </c>
      <c r="C1063" s="4" t="str">
        <f t="shared" si="37"/>
        <v>-</v>
      </c>
      <c r="D1063" s="4" t="str">
        <f>"0364152X"</f>
        <v>0364152X</v>
      </c>
      <c r="E1063" s="4" t="str">
        <f>"14321009"</f>
        <v>14321009</v>
      </c>
      <c r="F1063" s="4" t="s">
        <v>57</v>
      </c>
    </row>
    <row r="1064" spans="1:6" x14ac:dyDescent="0.25">
      <c r="A1064" s="4" t="str">
        <f>"Environmental Modelling and Software"</f>
        <v>Environmental Modelling and Software</v>
      </c>
      <c r="B1064" s="4" t="s">
        <v>6</v>
      </c>
      <c r="C1064" s="4" t="str">
        <f t="shared" si="37"/>
        <v>-</v>
      </c>
      <c r="D1064" s="4" t="str">
        <f>"13648152"</f>
        <v>13648152</v>
      </c>
      <c r="E1064" s="4" t="str">
        <f>"-"</f>
        <v>-</v>
      </c>
      <c r="F1064" s="4" t="s">
        <v>19</v>
      </c>
    </row>
    <row r="1065" spans="1:6" x14ac:dyDescent="0.25">
      <c r="A1065" s="4" t="str">
        <f>"Environmental Monitoring and Assessment"</f>
        <v>Environmental Monitoring and Assessment</v>
      </c>
      <c r="B1065" s="4" t="s">
        <v>6</v>
      </c>
      <c r="C1065" s="4" t="str">
        <f t="shared" si="37"/>
        <v>-</v>
      </c>
      <c r="D1065" s="4" t="str">
        <f>"01676369"</f>
        <v>01676369</v>
      </c>
      <c r="E1065" s="4" t="str">
        <f>"15732959"</f>
        <v>15732959</v>
      </c>
      <c r="F1065" s="4" t="s">
        <v>16</v>
      </c>
    </row>
    <row r="1066" spans="1:6" x14ac:dyDescent="0.25">
      <c r="A1066" s="4" t="str">
        <f>"Environmental Pollution"</f>
        <v>Environmental Pollution</v>
      </c>
      <c r="B1066" s="4" t="s">
        <v>6</v>
      </c>
      <c r="C1066" s="4" t="str">
        <f t="shared" si="37"/>
        <v>-</v>
      </c>
      <c r="D1066" s="4" t="str">
        <f>"02697491"</f>
        <v>02697491</v>
      </c>
      <c r="E1066" s="4" t="str">
        <f>"18736424"</f>
        <v>18736424</v>
      </c>
      <c r="F1066" s="4" t="s">
        <v>19</v>
      </c>
    </row>
    <row r="1067" spans="1:6" x14ac:dyDescent="0.25">
      <c r="A1067" s="4" t="str">
        <f>"Environmental Progress and Sustainable Energy"</f>
        <v>Environmental Progress and Sustainable Energy</v>
      </c>
      <c r="B1067" s="4" t="s">
        <v>6</v>
      </c>
      <c r="C1067" s="4" t="str">
        <f t="shared" si="37"/>
        <v>-</v>
      </c>
      <c r="D1067" s="4" t="str">
        <f>"19447442"</f>
        <v>19447442</v>
      </c>
      <c r="E1067" s="4" t="str">
        <f>"19447450"</f>
        <v>19447450</v>
      </c>
      <c r="F1067" s="4" t="s">
        <v>87</v>
      </c>
    </row>
    <row r="1068" spans="1:6" x14ac:dyDescent="0.25">
      <c r="A1068" s="4" t="str">
        <f>"Environmental Research Letters"</f>
        <v>Environmental Research Letters</v>
      </c>
      <c r="B1068" s="4" t="s">
        <v>6</v>
      </c>
      <c r="C1068" s="4" t="str">
        <f t="shared" si="37"/>
        <v>-</v>
      </c>
      <c r="D1068" s="4" t="str">
        <f>"17489318"</f>
        <v>17489318</v>
      </c>
      <c r="E1068" s="4" t="str">
        <f>"17489326"</f>
        <v>17489326</v>
      </c>
      <c r="F1068" s="4" t="s">
        <v>184</v>
      </c>
    </row>
    <row r="1069" spans="1:6" x14ac:dyDescent="0.25">
      <c r="A1069" s="4" t="str">
        <f>"Environmental Reviews"</f>
        <v>Environmental Reviews</v>
      </c>
      <c r="B1069" s="4" t="s">
        <v>6</v>
      </c>
      <c r="C1069" s="4" t="str">
        <f t="shared" si="37"/>
        <v>-</v>
      </c>
      <c r="D1069" s="4" t="str">
        <f>"11818700"</f>
        <v>11818700</v>
      </c>
      <c r="E1069" s="4" t="str">
        <f>"-"</f>
        <v>-</v>
      </c>
      <c r="F1069" s="4" t="s">
        <v>181</v>
      </c>
    </row>
    <row r="1070" spans="1:6" x14ac:dyDescent="0.25">
      <c r="A1070" s="4" t="str">
        <f>"Environmental Science and Engineering (Subseries: Environmental Science)"</f>
        <v>Environmental Science and Engineering (Subseries: Environmental Science)</v>
      </c>
      <c r="B1070" s="4" t="s">
        <v>29</v>
      </c>
      <c r="C1070" s="4" t="str">
        <f t="shared" si="37"/>
        <v>-</v>
      </c>
      <c r="D1070" s="4" t="str">
        <f>"18635520"</f>
        <v>18635520</v>
      </c>
      <c r="E1070" s="4" t="str">
        <f>"-"</f>
        <v>-</v>
      </c>
      <c r="F1070" s="4" t="s">
        <v>162</v>
      </c>
    </row>
    <row r="1071" spans="1:6" x14ac:dyDescent="0.25">
      <c r="A1071" s="4" t="str">
        <f>"Environmental Science and Technology"</f>
        <v>Environmental Science and Technology</v>
      </c>
      <c r="B1071" s="4" t="s">
        <v>6</v>
      </c>
      <c r="C1071" s="4" t="str">
        <f t="shared" si="37"/>
        <v>-</v>
      </c>
      <c r="D1071" s="4" t="str">
        <f>"0013936X"</f>
        <v>0013936X</v>
      </c>
      <c r="E1071" s="4" t="str">
        <f>"15205851"</f>
        <v>15205851</v>
      </c>
      <c r="F1071" s="4" t="s">
        <v>28</v>
      </c>
    </row>
    <row r="1072" spans="1:6" x14ac:dyDescent="0.25">
      <c r="A1072" s="4" t="str">
        <f>"Environmental Science and Technology Letters"</f>
        <v>Environmental Science and Technology Letters</v>
      </c>
      <c r="B1072" s="4" t="s">
        <v>6</v>
      </c>
      <c r="C1072" s="4" t="str">
        <f t="shared" si="37"/>
        <v>-</v>
      </c>
      <c r="D1072" s="4" t="str">
        <f>"-"</f>
        <v>-</v>
      </c>
      <c r="E1072" s="4" t="str">
        <f>"23288930"</f>
        <v>23288930</v>
      </c>
      <c r="F1072" s="4" t="s">
        <v>28</v>
      </c>
    </row>
    <row r="1073" spans="1:6" x14ac:dyDescent="0.25">
      <c r="A1073" s="4" t="str">
        <f>"Environmental Toxicology"</f>
        <v>Environmental Toxicology</v>
      </c>
      <c r="B1073" s="4" t="s">
        <v>6</v>
      </c>
      <c r="C1073" s="4" t="str">
        <f t="shared" si="37"/>
        <v>-</v>
      </c>
      <c r="D1073" s="4" t="str">
        <f>"15204081"</f>
        <v>15204081</v>
      </c>
      <c r="E1073" s="4" t="str">
        <f>"15227278"</f>
        <v>15227278</v>
      </c>
      <c r="F1073" s="4" t="s">
        <v>87</v>
      </c>
    </row>
    <row r="1074" spans="1:6" x14ac:dyDescent="0.25">
      <c r="A1074" s="4" t="str">
        <f>"Environmental Toxicology and Chemistry"</f>
        <v>Environmental Toxicology and Chemistry</v>
      </c>
      <c r="B1074" s="4" t="s">
        <v>6</v>
      </c>
      <c r="C1074" s="4" t="str">
        <f t="shared" si="37"/>
        <v>-</v>
      </c>
      <c r="D1074" s="4" t="str">
        <f>"07307268"</f>
        <v>07307268</v>
      </c>
      <c r="E1074" s="4" t="str">
        <f>"15528618"</f>
        <v>15528618</v>
      </c>
      <c r="F1074" s="4" t="s">
        <v>261</v>
      </c>
    </row>
    <row r="1075" spans="1:6" x14ac:dyDescent="0.25">
      <c r="A1075" s="4" t="str">
        <f>"Enzyme and Microbial Technology"</f>
        <v>Enzyme and Microbial Technology</v>
      </c>
      <c r="B1075" s="4" t="s">
        <v>6</v>
      </c>
      <c r="C1075" s="4" t="str">
        <f t="shared" si="37"/>
        <v>-</v>
      </c>
      <c r="D1075" s="4" t="str">
        <f>"01410229"</f>
        <v>01410229</v>
      </c>
      <c r="E1075" s="4" t="str">
        <f>"18790909"</f>
        <v>18790909</v>
      </c>
      <c r="F1075" s="4" t="s">
        <v>141</v>
      </c>
    </row>
    <row r="1076" spans="1:6" x14ac:dyDescent="0.25">
      <c r="A1076" s="4" t="str">
        <f>"EPE Journal (European Power Electronics and Drives Journal)"</f>
        <v>EPE Journal (European Power Electronics and Drives Journal)</v>
      </c>
      <c r="B1076" s="4" t="s">
        <v>6</v>
      </c>
      <c r="C1076" s="4" t="str">
        <f t="shared" si="37"/>
        <v>-</v>
      </c>
      <c r="D1076" s="4" t="str">
        <f>"09398368"</f>
        <v>09398368</v>
      </c>
      <c r="E1076" s="4" t="str">
        <f>"-"</f>
        <v>-</v>
      </c>
      <c r="F1076" s="4" t="s">
        <v>387</v>
      </c>
    </row>
    <row r="1077" spans="1:6" x14ac:dyDescent="0.25">
      <c r="A1077" s="4" t="str">
        <f>"EPJ Applied Physics"</f>
        <v>EPJ Applied Physics</v>
      </c>
      <c r="B1077" s="4" t="s">
        <v>6</v>
      </c>
      <c r="C1077" s="4" t="str">
        <f t="shared" si="37"/>
        <v>-</v>
      </c>
      <c r="D1077" s="4" t="str">
        <f>"12860042"</f>
        <v>12860042</v>
      </c>
      <c r="E1077" s="4" t="str">
        <f>"12860050"</f>
        <v>12860050</v>
      </c>
      <c r="F1077" s="4" t="s">
        <v>161</v>
      </c>
    </row>
    <row r="1078" spans="1:6" x14ac:dyDescent="0.25">
      <c r="A1078" s="4" t="str">
        <f>"EPJ Data Science"</f>
        <v>EPJ Data Science</v>
      </c>
      <c r="B1078" s="4" t="s">
        <v>6</v>
      </c>
      <c r="C1078" s="4" t="str">
        <f t="shared" si="37"/>
        <v>-</v>
      </c>
      <c r="D1078" s="4" t="str">
        <f>"-"</f>
        <v>-</v>
      </c>
      <c r="E1078" s="4" t="str">
        <f>"21931127"</f>
        <v>21931127</v>
      </c>
      <c r="F1078" s="4" t="s">
        <v>182</v>
      </c>
    </row>
    <row r="1079" spans="1:6" x14ac:dyDescent="0.25">
      <c r="A1079" s="4" t="str">
        <f>"E-Polymers"</f>
        <v>E-Polymers</v>
      </c>
      <c r="B1079" s="4" t="s">
        <v>6</v>
      </c>
      <c r="C1079" s="4" t="str">
        <f t="shared" si="37"/>
        <v>-</v>
      </c>
      <c r="D1079" s="4" t="str">
        <f>"-"</f>
        <v>-</v>
      </c>
      <c r="E1079" s="4" t="str">
        <f>"16187229"</f>
        <v>16187229</v>
      </c>
      <c r="F1079" s="4" t="s">
        <v>388</v>
      </c>
    </row>
    <row r="1080" spans="1:6" x14ac:dyDescent="0.25">
      <c r="A1080" s="4" t="str">
        <f>"Ergonomics"</f>
        <v>Ergonomics</v>
      </c>
      <c r="B1080" s="4" t="s">
        <v>6</v>
      </c>
      <c r="C1080" s="4" t="str">
        <f t="shared" si="37"/>
        <v>-</v>
      </c>
      <c r="D1080" s="4" t="str">
        <f>"00140139"</f>
        <v>00140139</v>
      </c>
      <c r="E1080" s="4" t="str">
        <f>"13665847"</f>
        <v>13665847</v>
      </c>
      <c r="F1080" s="4" t="s">
        <v>60</v>
      </c>
    </row>
    <row r="1081" spans="1:6" x14ac:dyDescent="0.25">
      <c r="A1081" s="4" t="str">
        <f>"Ergonomics in Design"</f>
        <v>Ergonomics in Design</v>
      </c>
      <c r="B1081" s="4" t="s">
        <v>6</v>
      </c>
      <c r="C1081" s="4" t="str">
        <f t="shared" si="37"/>
        <v>-</v>
      </c>
      <c r="D1081" s="4" t="str">
        <f>"10648046"</f>
        <v>10648046</v>
      </c>
      <c r="E1081" s="4" t="str">
        <f>"-"</f>
        <v>-</v>
      </c>
      <c r="F1081" s="4" t="s">
        <v>50</v>
      </c>
    </row>
    <row r="1082" spans="1:6" x14ac:dyDescent="0.25">
      <c r="A1082" s="4" t="str">
        <f>"Ericsson Review (English Edition)"</f>
        <v>Ericsson Review (English Edition)</v>
      </c>
      <c r="B1082" s="4" t="s">
        <v>22</v>
      </c>
      <c r="C1082" s="4" t="str">
        <f t="shared" si="37"/>
        <v>-</v>
      </c>
      <c r="D1082" s="4" t="str">
        <f>"00140171"</f>
        <v>00140171</v>
      </c>
      <c r="E1082" s="4" t="str">
        <f>"-"</f>
        <v>-</v>
      </c>
      <c r="F1082" s="4" t="s">
        <v>389</v>
      </c>
    </row>
    <row r="1083" spans="1:6" x14ac:dyDescent="0.25">
      <c r="A1083" s="4" t="str">
        <f>"ESAIM - Control, Optimisation and Calculus of Variations"</f>
        <v>ESAIM - Control, Optimisation and Calculus of Variations</v>
      </c>
      <c r="B1083" s="4" t="s">
        <v>6</v>
      </c>
      <c r="C1083" s="4" t="str">
        <f t="shared" si="37"/>
        <v>-</v>
      </c>
      <c r="D1083" s="4" t="str">
        <f>"12928119"</f>
        <v>12928119</v>
      </c>
      <c r="E1083" s="4" t="str">
        <f>"12623377"</f>
        <v>12623377</v>
      </c>
      <c r="F1083" s="4" t="s">
        <v>161</v>
      </c>
    </row>
    <row r="1084" spans="1:6" x14ac:dyDescent="0.25">
      <c r="A1084" s="4" t="str">
        <f>"ESAIM - Probability and Statistics"</f>
        <v>ESAIM - Probability and Statistics</v>
      </c>
      <c r="B1084" s="4" t="s">
        <v>6</v>
      </c>
      <c r="C1084" s="4" t="str">
        <f t="shared" si="37"/>
        <v>-</v>
      </c>
      <c r="D1084" s="4" t="str">
        <f>"12928100"</f>
        <v>12928100</v>
      </c>
      <c r="E1084" s="4" t="str">
        <f>"12623318"</f>
        <v>12623318</v>
      </c>
      <c r="F1084" s="4" t="s">
        <v>161</v>
      </c>
    </row>
    <row r="1085" spans="1:6" x14ac:dyDescent="0.25">
      <c r="A1085" s="4" t="str">
        <f>"ESAIM: Mathematical Modelling and Numerical Analysis"</f>
        <v>ESAIM: Mathematical Modelling and Numerical Analysis</v>
      </c>
      <c r="B1085" s="4" t="s">
        <v>6</v>
      </c>
      <c r="C1085" s="4" t="str">
        <f t="shared" si="37"/>
        <v>-</v>
      </c>
      <c r="D1085" s="4" t="str">
        <f>"0764583X"</f>
        <v>0764583X</v>
      </c>
      <c r="E1085" s="4" t="str">
        <f>"12903841"</f>
        <v>12903841</v>
      </c>
      <c r="F1085" s="4" t="s">
        <v>161</v>
      </c>
    </row>
    <row r="1086" spans="1:6" x14ac:dyDescent="0.25">
      <c r="A1086" s="4" t="str">
        <f>"Estonian Journal of Engineering"</f>
        <v>Estonian Journal of Engineering</v>
      </c>
      <c r="B1086" s="4" t="s">
        <v>6</v>
      </c>
      <c r="C1086" s="4" t="str">
        <f t="shared" ref="C1086:C1149" si="39">"-"</f>
        <v>-</v>
      </c>
      <c r="D1086" s="4" t="str">
        <f>"17366038"</f>
        <v>17366038</v>
      </c>
      <c r="E1086" s="4" t="str">
        <f>"17367522"</f>
        <v>17367522</v>
      </c>
      <c r="F1086" s="4" t="s">
        <v>390</v>
      </c>
    </row>
    <row r="1087" spans="1:6" x14ac:dyDescent="0.25">
      <c r="A1087" s="4" t="str">
        <f>"Ethics and Information Technology"</f>
        <v>Ethics and Information Technology</v>
      </c>
      <c r="B1087" s="4" t="s">
        <v>6</v>
      </c>
      <c r="C1087" s="4" t="str">
        <f t="shared" si="39"/>
        <v>-</v>
      </c>
      <c r="D1087" s="4" t="str">
        <f>"13881957"</f>
        <v>13881957</v>
      </c>
      <c r="E1087" s="4" t="str">
        <f>"15728439"</f>
        <v>15728439</v>
      </c>
      <c r="F1087" s="4" t="s">
        <v>31</v>
      </c>
    </row>
    <row r="1088" spans="1:6" x14ac:dyDescent="0.25">
      <c r="A1088" s="4" t="str">
        <f>"ETRI Journal"</f>
        <v>ETRI Journal</v>
      </c>
      <c r="B1088" s="4" t="s">
        <v>6</v>
      </c>
      <c r="C1088" s="4" t="str">
        <f t="shared" si="39"/>
        <v>-</v>
      </c>
      <c r="D1088" s="4" t="str">
        <f>"12256463"</f>
        <v>12256463</v>
      </c>
      <c r="E1088" s="4" t="str">
        <f>"22337326"</f>
        <v>22337326</v>
      </c>
      <c r="F1088" s="4" t="s">
        <v>391</v>
      </c>
    </row>
    <row r="1089" spans="1:6" x14ac:dyDescent="0.25">
      <c r="A1089" s="4" t="str">
        <f>"Eurasip Journal on Advances in Signal Processing"</f>
        <v>Eurasip Journal on Advances in Signal Processing</v>
      </c>
      <c r="B1089" s="4" t="s">
        <v>6</v>
      </c>
      <c r="C1089" s="4" t="str">
        <f t="shared" si="39"/>
        <v>-</v>
      </c>
      <c r="D1089" s="4" t="str">
        <f>"16876172"</f>
        <v>16876172</v>
      </c>
      <c r="E1089" s="4" t="str">
        <f>"16876180"</f>
        <v>16876180</v>
      </c>
      <c r="F1089" s="4" t="s">
        <v>16</v>
      </c>
    </row>
    <row r="1090" spans="1:6" x14ac:dyDescent="0.25">
      <c r="A1090" s="4" t="str">
        <f>"Eurasip Journal on Audio, Speech, and Music Processing"</f>
        <v>Eurasip Journal on Audio, Speech, and Music Processing</v>
      </c>
      <c r="B1090" s="4" t="s">
        <v>6</v>
      </c>
      <c r="C1090" s="4" t="str">
        <f t="shared" si="39"/>
        <v>-</v>
      </c>
      <c r="D1090" s="4" t="str">
        <f>"16874714"</f>
        <v>16874714</v>
      </c>
      <c r="E1090" s="4" t="str">
        <f>"16874722"</f>
        <v>16874722</v>
      </c>
      <c r="F1090" s="4" t="s">
        <v>16</v>
      </c>
    </row>
    <row r="1091" spans="1:6" x14ac:dyDescent="0.25">
      <c r="A1091" s="4" t="str">
        <f>"Eurasip Journal on Bioinformatics and Systems Biology"</f>
        <v>Eurasip Journal on Bioinformatics and Systems Biology</v>
      </c>
      <c r="B1091" s="4" t="s">
        <v>6</v>
      </c>
      <c r="C1091" s="4" t="str">
        <f t="shared" si="39"/>
        <v>-</v>
      </c>
      <c r="D1091" s="4" t="str">
        <f>"16874145"</f>
        <v>16874145</v>
      </c>
      <c r="E1091" s="4" t="str">
        <f>"16874153"</f>
        <v>16874153</v>
      </c>
      <c r="F1091" s="4" t="s">
        <v>42</v>
      </c>
    </row>
    <row r="1092" spans="1:6" x14ac:dyDescent="0.25">
      <c r="A1092" s="4" t="str">
        <f>"Eurasip Journal on Embedded Systems"</f>
        <v>Eurasip Journal on Embedded Systems</v>
      </c>
      <c r="B1092" s="4" t="s">
        <v>6</v>
      </c>
      <c r="C1092" s="4" t="str">
        <f t="shared" si="39"/>
        <v>-</v>
      </c>
      <c r="D1092" s="4" t="str">
        <f>"16873955"</f>
        <v>16873955</v>
      </c>
      <c r="E1092" s="4" t="str">
        <f>"16873963"</f>
        <v>16873963</v>
      </c>
      <c r="F1092" s="4" t="s">
        <v>16</v>
      </c>
    </row>
    <row r="1093" spans="1:6" x14ac:dyDescent="0.25">
      <c r="A1093" s="4" t="str">
        <f>"Eurasip Journal on Image and Video Processing"</f>
        <v>Eurasip Journal on Image and Video Processing</v>
      </c>
      <c r="B1093" s="4" t="s">
        <v>6</v>
      </c>
      <c r="C1093" s="4" t="str">
        <f t="shared" si="39"/>
        <v>-</v>
      </c>
      <c r="D1093" s="4" t="str">
        <f>"16875176"</f>
        <v>16875176</v>
      </c>
      <c r="E1093" s="4" t="str">
        <f>"16875281"</f>
        <v>16875281</v>
      </c>
      <c r="F1093" s="4" t="s">
        <v>16</v>
      </c>
    </row>
    <row r="1094" spans="1:6" x14ac:dyDescent="0.25">
      <c r="A1094" s="4" t="str">
        <f>"Eurasip Journal on Information Security"</f>
        <v>Eurasip Journal on Information Security</v>
      </c>
      <c r="B1094" s="4" t="s">
        <v>6</v>
      </c>
      <c r="C1094" s="4" t="str">
        <f t="shared" si="39"/>
        <v>-</v>
      </c>
      <c r="D1094" s="4" t="str">
        <f>"16874161"</f>
        <v>16874161</v>
      </c>
      <c r="E1094" s="4" t="str">
        <f>"1687417X"</f>
        <v>1687417X</v>
      </c>
      <c r="F1094" s="4" t="s">
        <v>16</v>
      </c>
    </row>
    <row r="1095" spans="1:6" x14ac:dyDescent="0.25">
      <c r="A1095" s="4" t="str">
        <f>"Eurasip Journal on Wireless Communications and Networking"</f>
        <v>Eurasip Journal on Wireless Communications and Networking</v>
      </c>
      <c r="B1095" s="4" t="s">
        <v>6</v>
      </c>
      <c r="C1095" s="4" t="str">
        <f t="shared" si="39"/>
        <v>-</v>
      </c>
      <c r="D1095" s="4" t="str">
        <f>"16871472"</f>
        <v>16871472</v>
      </c>
      <c r="E1095" s="4" t="str">
        <f>"16871499"</f>
        <v>16871499</v>
      </c>
      <c r="F1095" s="4" t="s">
        <v>16</v>
      </c>
    </row>
    <row r="1096" spans="1:6" x14ac:dyDescent="0.25">
      <c r="A1096" s="4" t="str">
        <f>"EURO Journal on Computational Optimization"</f>
        <v>EURO Journal on Computational Optimization</v>
      </c>
      <c r="B1096" s="4" t="s">
        <v>6</v>
      </c>
      <c r="C1096" s="4" t="str">
        <f t="shared" si="39"/>
        <v>-</v>
      </c>
      <c r="D1096" s="4" t="str">
        <f>"21924406"</f>
        <v>21924406</v>
      </c>
      <c r="E1096" s="4" t="str">
        <f>"21924414"</f>
        <v>21924414</v>
      </c>
      <c r="F1096" s="4" t="s">
        <v>42</v>
      </c>
    </row>
    <row r="1097" spans="1:6" x14ac:dyDescent="0.25">
      <c r="A1097" s="4" t="str">
        <f>"EURO Journal on Transportation and Logistics"</f>
        <v>EURO Journal on Transportation and Logistics</v>
      </c>
      <c r="B1097" s="4" t="s">
        <v>6</v>
      </c>
      <c r="C1097" s="4" t="str">
        <f t="shared" si="39"/>
        <v>-</v>
      </c>
      <c r="D1097" s="4" t="str">
        <f>"21924376"</f>
        <v>21924376</v>
      </c>
      <c r="E1097" s="4" t="str">
        <f>"21924384"</f>
        <v>21924384</v>
      </c>
      <c r="F1097" s="4" t="s">
        <v>42</v>
      </c>
    </row>
    <row r="1098" spans="1:6" x14ac:dyDescent="0.25">
      <c r="A1098" s="4" t="str">
        <f>"Eurographics Symposium on Rendering"</f>
        <v>Eurographics Symposium on Rendering</v>
      </c>
      <c r="B1098" s="4" t="s">
        <v>8</v>
      </c>
      <c r="C1098" s="4" t="str">
        <f t="shared" si="39"/>
        <v>-</v>
      </c>
      <c r="D1098" s="4" t="str">
        <f>"17273463"</f>
        <v>17273463</v>
      </c>
      <c r="E1098" s="4" t="str">
        <f>"-"</f>
        <v>-</v>
      </c>
      <c r="F1098" s="4" t="s">
        <v>23</v>
      </c>
    </row>
    <row r="1099" spans="1:6" x14ac:dyDescent="0.25">
      <c r="A1099" s="4" t="str">
        <f>"Eurographics Workshop on 3D Object Retrieval, EG 3DOR"</f>
        <v>Eurographics Workshop on 3D Object Retrieval, EG 3DOR</v>
      </c>
      <c r="B1099" s="4" t="s">
        <v>8</v>
      </c>
      <c r="C1099" s="4" t="str">
        <f t="shared" si="39"/>
        <v>-</v>
      </c>
      <c r="D1099" s="4" t="str">
        <f>"19970463"</f>
        <v>19970463</v>
      </c>
      <c r="E1099" s="4" t="str">
        <f>"19970471"</f>
        <v>19970471</v>
      </c>
      <c r="F1099" s="4" t="s">
        <v>105</v>
      </c>
    </row>
    <row r="1100" spans="1:6" x14ac:dyDescent="0.25">
      <c r="A1100" s="4" t="str">
        <f>"Eurographics Workshop on Parallel Graphics and Visualization"</f>
        <v>Eurographics Workshop on Parallel Graphics and Visualization</v>
      </c>
      <c r="B1100" s="4" t="s">
        <v>8</v>
      </c>
      <c r="C1100" s="4" t="str">
        <f t="shared" si="39"/>
        <v>-</v>
      </c>
      <c r="D1100" s="4" t="str">
        <f>"1727348X"</f>
        <v>1727348X</v>
      </c>
      <c r="E1100" s="4" t="str">
        <f>"-"</f>
        <v>-</v>
      </c>
      <c r="F1100" s="4" t="s">
        <v>23</v>
      </c>
    </row>
    <row r="1101" spans="1:6" x14ac:dyDescent="0.25">
      <c r="A1101" s="4" t="str">
        <f>"Eurographics/IEEE VGTC Symposium on Volume Graphics"</f>
        <v>Eurographics/IEEE VGTC Symposium on Volume Graphics</v>
      </c>
      <c r="B1101" s="4" t="s">
        <v>8</v>
      </c>
      <c r="C1101" s="4" t="str">
        <f t="shared" si="39"/>
        <v>-</v>
      </c>
      <c r="D1101" s="4" t="str">
        <f>"17278376"</f>
        <v>17278376</v>
      </c>
      <c r="E1101" s="4" t="str">
        <f>"-"</f>
        <v>-</v>
      </c>
      <c r="F1101" s="4" t="s">
        <v>23</v>
      </c>
    </row>
    <row r="1102" spans="1:6" x14ac:dyDescent="0.25">
      <c r="A1102" s="4" t="str">
        <f>"Euroheat and Power (English Edition)"</f>
        <v>Euroheat and Power (English Edition)</v>
      </c>
      <c r="B1102" s="4" t="s">
        <v>6</v>
      </c>
      <c r="C1102" s="4" t="str">
        <f t="shared" si="39"/>
        <v>-</v>
      </c>
      <c r="D1102" s="4" t="str">
        <f>"16130200"</f>
        <v>16130200</v>
      </c>
      <c r="E1102" s="4" t="str">
        <f>"-"</f>
        <v>-</v>
      </c>
      <c r="F1102" s="4" t="s">
        <v>392</v>
      </c>
    </row>
    <row r="1103" spans="1:6" x14ac:dyDescent="0.25">
      <c r="A1103" s="4" t="str">
        <f>"European Coatings Journal"</f>
        <v>European Coatings Journal</v>
      </c>
      <c r="B1103" s="4" t="s">
        <v>22</v>
      </c>
      <c r="C1103" s="4" t="str">
        <f t="shared" si="39"/>
        <v>-</v>
      </c>
      <c r="D1103" s="4" t="str">
        <f>"09303847"</f>
        <v>09303847</v>
      </c>
      <c r="E1103" s="4" t="str">
        <f>"-"</f>
        <v>-</v>
      </c>
      <c r="F1103" s="4" t="s">
        <v>393</v>
      </c>
    </row>
    <row r="1104" spans="1:6" x14ac:dyDescent="0.25">
      <c r="A1104" s="4" t="str">
        <f>"European Conference on Information Warfare and Security, ECCWS"</f>
        <v>European Conference on Information Warfare and Security, ECCWS</v>
      </c>
      <c r="B1104" s="4" t="s">
        <v>8</v>
      </c>
      <c r="C1104" s="4" t="str">
        <f t="shared" si="39"/>
        <v>-</v>
      </c>
      <c r="D1104" s="4" t="str">
        <f>"20488602"</f>
        <v>20488602</v>
      </c>
      <c r="E1104" s="4" t="str">
        <f>"20488610"</f>
        <v>20488610</v>
      </c>
      <c r="F1104" s="4" t="s">
        <v>394</v>
      </c>
    </row>
    <row r="1105" spans="1:6" x14ac:dyDescent="0.25">
      <c r="A1105" s="4" t="str">
        <f>"European Conference on Optical Communication, ECOC"</f>
        <v>European Conference on Optical Communication, ECOC</v>
      </c>
      <c r="B1105" s="4" t="s">
        <v>8</v>
      </c>
      <c r="C1105" s="4" t="str">
        <f t="shared" si="39"/>
        <v>-</v>
      </c>
      <c r="D1105" s="4" t="str">
        <f>"-"</f>
        <v>-</v>
      </c>
      <c r="E1105" s="4" t="str">
        <f>"-"</f>
        <v>-</v>
      </c>
      <c r="F1105" s="4" t="s">
        <v>105</v>
      </c>
    </row>
    <row r="1106" spans="1:6" x14ac:dyDescent="0.25">
      <c r="A1106" s="4" t="str">
        <f>"European Food Research and Technology"</f>
        <v>European Food Research and Technology</v>
      </c>
      <c r="B1106" s="4" t="s">
        <v>6</v>
      </c>
      <c r="C1106" s="4" t="str">
        <f t="shared" si="39"/>
        <v>-</v>
      </c>
      <c r="D1106" s="4" t="str">
        <f>"14382377"</f>
        <v>14382377</v>
      </c>
      <c r="E1106" s="4" t="str">
        <f>"14382385"</f>
        <v>14382385</v>
      </c>
      <c r="F1106" s="4" t="s">
        <v>42</v>
      </c>
    </row>
    <row r="1107" spans="1:6" x14ac:dyDescent="0.25">
      <c r="A1107" s="4" t="str">
        <f>"European Journal of Applied Mathematics"</f>
        <v>European Journal of Applied Mathematics</v>
      </c>
      <c r="B1107" s="4" t="s">
        <v>6</v>
      </c>
      <c r="C1107" s="4" t="str">
        <f t="shared" si="39"/>
        <v>-</v>
      </c>
      <c r="D1107" s="4" t="str">
        <f>"09567925"</f>
        <v>09567925</v>
      </c>
      <c r="E1107" s="4" t="str">
        <f>"14694425"</f>
        <v>14694425</v>
      </c>
      <c r="F1107" s="4" t="s">
        <v>152</v>
      </c>
    </row>
    <row r="1108" spans="1:6" x14ac:dyDescent="0.25">
      <c r="A1108" s="4" t="str">
        <f>"European Journal of Computational Mechanics"</f>
        <v>European Journal of Computational Mechanics</v>
      </c>
      <c r="B1108" s="4" t="s">
        <v>6</v>
      </c>
      <c r="C1108" s="4" t="str">
        <f t="shared" si="39"/>
        <v>-</v>
      </c>
      <c r="D1108" s="4" t="str">
        <f>"17797179"</f>
        <v>17797179</v>
      </c>
      <c r="E1108" s="4" t="str">
        <f>"19585829"</f>
        <v>19585829</v>
      </c>
      <c r="F1108" s="4" t="s">
        <v>60</v>
      </c>
    </row>
    <row r="1109" spans="1:6" x14ac:dyDescent="0.25">
      <c r="A1109" s="4" t="str">
        <f>"European Journal of Control"</f>
        <v>European Journal of Control</v>
      </c>
      <c r="B1109" s="4" t="s">
        <v>6</v>
      </c>
      <c r="C1109" s="4" t="str">
        <f t="shared" si="39"/>
        <v>-</v>
      </c>
      <c r="D1109" s="4" t="str">
        <f>"09473580"</f>
        <v>09473580</v>
      </c>
      <c r="E1109" s="4" t="str">
        <f>"-"</f>
        <v>-</v>
      </c>
      <c r="F1109" s="4" t="s">
        <v>395</v>
      </c>
    </row>
    <row r="1110" spans="1:6" x14ac:dyDescent="0.25">
      <c r="A1110" s="4" t="str">
        <f>"European Journal of Electrical Engineering"</f>
        <v>European Journal of Electrical Engineering</v>
      </c>
      <c r="B1110" s="4" t="s">
        <v>6</v>
      </c>
      <c r="C1110" s="4" t="str">
        <f t="shared" si="39"/>
        <v>-</v>
      </c>
      <c r="D1110" s="4" t="str">
        <f>"21033641"</f>
        <v>21033641</v>
      </c>
      <c r="E1110" s="4" t="str">
        <f>"21167109"</f>
        <v>21167109</v>
      </c>
      <c r="F1110" s="4" t="s">
        <v>122</v>
      </c>
    </row>
    <row r="1111" spans="1:6" x14ac:dyDescent="0.25">
      <c r="A1111" s="4" t="str">
        <f>"European Journal of Engineering Education"</f>
        <v>European Journal of Engineering Education</v>
      </c>
      <c r="B1111" s="4" t="s">
        <v>6</v>
      </c>
      <c r="C1111" s="4" t="str">
        <f t="shared" si="39"/>
        <v>-</v>
      </c>
      <c r="D1111" s="4" t="str">
        <f>"03043797"</f>
        <v>03043797</v>
      </c>
      <c r="E1111" s="4" t="str">
        <f>"14695898"</f>
        <v>14695898</v>
      </c>
      <c r="F1111" s="4" t="s">
        <v>60</v>
      </c>
    </row>
    <row r="1112" spans="1:6" x14ac:dyDescent="0.25">
      <c r="A1112" s="4" t="str">
        <f>"European Journal of Environmental and Civil Engineering"</f>
        <v>European Journal of Environmental and Civil Engineering</v>
      </c>
      <c r="B1112" s="4" t="s">
        <v>6</v>
      </c>
      <c r="C1112" s="4" t="str">
        <f t="shared" si="39"/>
        <v>-</v>
      </c>
      <c r="D1112" s="4" t="str">
        <f>"19648189"</f>
        <v>19648189</v>
      </c>
      <c r="E1112" s="4" t="str">
        <f>"-"</f>
        <v>-</v>
      </c>
      <c r="F1112" s="4" t="s">
        <v>60</v>
      </c>
    </row>
    <row r="1113" spans="1:6" x14ac:dyDescent="0.25">
      <c r="A1113" s="4" t="str">
        <f>"European Journal of Industrial Engineering"</f>
        <v>European Journal of Industrial Engineering</v>
      </c>
      <c r="B1113" s="4" t="s">
        <v>6</v>
      </c>
      <c r="C1113" s="4" t="str">
        <f t="shared" si="39"/>
        <v>-</v>
      </c>
      <c r="D1113" s="4" t="str">
        <f>"17515254"</f>
        <v>17515254</v>
      </c>
      <c r="E1113" s="4" t="str">
        <f>"17515262"</f>
        <v>17515262</v>
      </c>
      <c r="F1113" s="4" t="s">
        <v>396</v>
      </c>
    </row>
    <row r="1114" spans="1:6" x14ac:dyDescent="0.25">
      <c r="A1114" s="4" t="str">
        <f>"European Journal of Information Systems"</f>
        <v>European Journal of Information Systems</v>
      </c>
      <c r="B1114" s="4" t="s">
        <v>6</v>
      </c>
      <c r="C1114" s="4" t="str">
        <f t="shared" si="39"/>
        <v>-</v>
      </c>
      <c r="D1114" s="4" t="str">
        <f>"0960085X"</f>
        <v>0960085X</v>
      </c>
      <c r="E1114" s="4" t="str">
        <f>"14769344"</f>
        <v>14769344</v>
      </c>
      <c r="F1114" s="4" t="s">
        <v>397</v>
      </c>
    </row>
    <row r="1115" spans="1:6" x14ac:dyDescent="0.25">
      <c r="A1115" s="4" t="str">
        <f>"European Journal of Mechanics, A/Solids"</f>
        <v>European Journal of Mechanics, A/Solids</v>
      </c>
      <c r="B1115" s="4" t="s">
        <v>6</v>
      </c>
      <c r="C1115" s="4" t="str">
        <f t="shared" si="39"/>
        <v>-</v>
      </c>
      <c r="D1115" s="4" t="str">
        <f>"09977538"</f>
        <v>09977538</v>
      </c>
      <c r="E1115" s="4" t="str">
        <f>"-"</f>
        <v>-</v>
      </c>
      <c r="F1115" s="4" t="s">
        <v>19</v>
      </c>
    </row>
    <row r="1116" spans="1:6" x14ac:dyDescent="0.25">
      <c r="A1116" s="4" t="str">
        <f>"European Journal of Mechanics, B/Fluids"</f>
        <v>European Journal of Mechanics, B/Fluids</v>
      </c>
      <c r="B1116" s="4" t="s">
        <v>6</v>
      </c>
      <c r="C1116" s="4" t="str">
        <f t="shared" si="39"/>
        <v>-</v>
      </c>
      <c r="D1116" s="4" t="str">
        <f>"09977546"</f>
        <v>09977546</v>
      </c>
      <c r="E1116" s="4" t="str">
        <f>"-"</f>
        <v>-</v>
      </c>
      <c r="F1116" s="4" t="s">
        <v>19</v>
      </c>
    </row>
    <row r="1117" spans="1:6" x14ac:dyDescent="0.25">
      <c r="A1117" s="4" t="str">
        <f>"European Journal of Nanomedicine"</f>
        <v>European Journal of Nanomedicine</v>
      </c>
      <c r="B1117" s="4" t="s">
        <v>6</v>
      </c>
      <c r="C1117" s="4" t="str">
        <f t="shared" si="39"/>
        <v>-</v>
      </c>
      <c r="D1117" s="4" t="str">
        <f>"16625986"</f>
        <v>16625986</v>
      </c>
      <c r="E1117" s="4" t="str">
        <f>"1662596X"</f>
        <v>1662596X</v>
      </c>
      <c r="F1117" s="4" t="s">
        <v>189</v>
      </c>
    </row>
    <row r="1118" spans="1:6" x14ac:dyDescent="0.25">
      <c r="A1118" s="4" t="str">
        <f>"European Journal of Operational Research"</f>
        <v>European Journal of Operational Research</v>
      </c>
      <c r="B1118" s="4" t="s">
        <v>6</v>
      </c>
      <c r="C1118" s="4" t="str">
        <f t="shared" si="39"/>
        <v>-</v>
      </c>
      <c r="D1118" s="4" t="str">
        <f>"03772217"</f>
        <v>03772217</v>
      </c>
      <c r="E1118" s="4" t="str">
        <f>"-"</f>
        <v>-</v>
      </c>
      <c r="F1118" s="4" t="s">
        <v>55</v>
      </c>
    </row>
    <row r="1119" spans="1:6" x14ac:dyDescent="0.25">
      <c r="A1119" s="4" t="str">
        <f>"European Journal of Physics"</f>
        <v>European Journal of Physics</v>
      </c>
      <c r="B1119" s="4" t="s">
        <v>6</v>
      </c>
      <c r="C1119" s="4" t="str">
        <f t="shared" si="39"/>
        <v>-</v>
      </c>
      <c r="D1119" s="4" t="str">
        <f>"01430807"</f>
        <v>01430807</v>
      </c>
      <c r="E1119" s="4" t="str">
        <f>"13616404"</f>
        <v>13616404</v>
      </c>
      <c r="F1119" s="4" t="s">
        <v>184</v>
      </c>
    </row>
    <row r="1120" spans="1:6" x14ac:dyDescent="0.25">
      <c r="A1120" s="4" t="str">
        <f>"European Journal of Remote Sensing"</f>
        <v>European Journal of Remote Sensing</v>
      </c>
      <c r="B1120" s="4" t="s">
        <v>6</v>
      </c>
      <c r="C1120" s="4" t="str">
        <f t="shared" si="39"/>
        <v>-</v>
      </c>
      <c r="D1120" s="4" t="str">
        <f>"11298596"</f>
        <v>11298596</v>
      </c>
      <c r="E1120" s="4" t="str">
        <f>"22797254"</f>
        <v>22797254</v>
      </c>
      <c r="F1120" s="4" t="s">
        <v>398</v>
      </c>
    </row>
    <row r="1121" spans="1:6" x14ac:dyDescent="0.25">
      <c r="A1121" s="4" t="str">
        <f>"European Journal of Transport and Infrastructure Research"</f>
        <v>European Journal of Transport and Infrastructure Research</v>
      </c>
      <c r="B1121" s="4" t="s">
        <v>6</v>
      </c>
      <c r="C1121" s="4" t="str">
        <f t="shared" si="39"/>
        <v>-</v>
      </c>
      <c r="D1121" s="4" t="str">
        <f>"-"</f>
        <v>-</v>
      </c>
      <c r="E1121" s="4" t="str">
        <f>"15677141"</f>
        <v>15677141</v>
      </c>
      <c r="F1121" s="4" t="s">
        <v>399</v>
      </c>
    </row>
    <row r="1122" spans="1:6" x14ac:dyDescent="0.25">
      <c r="A1122" s="4" t="str">
        <f>"European Journal of Wood and Wood Products"</f>
        <v>European Journal of Wood and Wood Products</v>
      </c>
      <c r="B1122" s="4" t="s">
        <v>6</v>
      </c>
      <c r="C1122" s="4" t="str">
        <f t="shared" si="39"/>
        <v>-</v>
      </c>
      <c r="D1122" s="4" t="str">
        <f>"00183768"</f>
        <v>00183768</v>
      </c>
      <c r="E1122" s="4" t="str">
        <f>"1436736X"</f>
        <v>1436736X</v>
      </c>
      <c r="F1122" s="4" t="s">
        <v>42</v>
      </c>
    </row>
    <row r="1123" spans="1:6" x14ac:dyDescent="0.25">
      <c r="A1123" s="4" t="str">
        <f>"European Physical Journal B"</f>
        <v>European Physical Journal B</v>
      </c>
      <c r="B1123" s="4" t="s">
        <v>6</v>
      </c>
      <c r="C1123" s="4" t="str">
        <f t="shared" si="39"/>
        <v>-</v>
      </c>
      <c r="D1123" s="4" t="str">
        <f>"14346028"</f>
        <v>14346028</v>
      </c>
      <c r="E1123" s="4" t="str">
        <f>"14346036"</f>
        <v>14346036</v>
      </c>
      <c r="F1123" s="4" t="s">
        <v>79</v>
      </c>
    </row>
    <row r="1124" spans="1:6" x14ac:dyDescent="0.25">
      <c r="A1124" s="4" t="str">
        <f>"European Physical Journal E"</f>
        <v>European Physical Journal E</v>
      </c>
      <c r="B1124" s="4" t="s">
        <v>6</v>
      </c>
      <c r="C1124" s="4" t="str">
        <f t="shared" si="39"/>
        <v>-</v>
      </c>
      <c r="D1124" s="4" t="str">
        <f>"12928941"</f>
        <v>12928941</v>
      </c>
      <c r="E1124" s="4" t="str">
        <f>"1292895X"</f>
        <v>1292895X</v>
      </c>
      <c r="F1124" s="4" t="s">
        <v>57</v>
      </c>
    </row>
    <row r="1125" spans="1:6" x14ac:dyDescent="0.25">
      <c r="A1125" s="4" t="str">
        <f>"European Polymer Journal"</f>
        <v>European Polymer Journal</v>
      </c>
      <c r="B1125" s="4" t="s">
        <v>6</v>
      </c>
      <c r="C1125" s="4" t="str">
        <f t="shared" si="39"/>
        <v>-</v>
      </c>
      <c r="D1125" s="4" t="str">
        <f>"00143057"</f>
        <v>00143057</v>
      </c>
      <c r="E1125" s="4" t="str">
        <f t="shared" ref="E1125:E1135" si="40">"-"</f>
        <v>-</v>
      </c>
      <c r="F1125" s="4" t="s">
        <v>19</v>
      </c>
    </row>
    <row r="1126" spans="1:6" x14ac:dyDescent="0.25">
      <c r="A1126" s="4" t="str">
        <f>"European Signal Processing Conference"</f>
        <v>European Signal Processing Conference</v>
      </c>
      <c r="B1126" s="4" t="s">
        <v>8</v>
      </c>
      <c r="C1126" s="4" t="str">
        <f t="shared" si="39"/>
        <v>-</v>
      </c>
      <c r="D1126" s="4" t="str">
        <f>"22195491"</f>
        <v>22195491</v>
      </c>
      <c r="E1126" s="4" t="str">
        <f t="shared" si="40"/>
        <v>-</v>
      </c>
      <c r="F1126" s="4" t="s">
        <v>400</v>
      </c>
    </row>
    <row r="1127" spans="1:6" x14ac:dyDescent="0.25">
      <c r="A1127" s="4" t="str">
        <f>"European Solid-State Circuits Conference"</f>
        <v>European Solid-State Circuits Conference</v>
      </c>
      <c r="B1127" s="4" t="s">
        <v>8</v>
      </c>
      <c r="C1127" s="4" t="str">
        <f t="shared" si="39"/>
        <v>-</v>
      </c>
      <c r="D1127" s="4" t="str">
        <f>"19308833"</f>
        <v>19308833</v>
      </c>
      <c r="E1127" s="4" t="str">
        <f t="shared" si="40"/>
        <v>-</v>
      </c>
      <c r="F1127" s="4" t="s">
        <v>9</v>
      </c>
    </row>
    <row r="1128" spans="1:6" x14ac:dyDescent="0.25">
      <c r="A1128" s="4" t="str">
        <f>"European Solid-State Device Research Conference"</f>
        <v>European Solid-State Device Research Conference</v>
      </c>
      <c r="B1128" s="4" t="s">
        <v>8</v>
      </c>
      <c r="C1128" s="4" t="str">
        <f t="shared" si="39"/>
        <v>-</v>
      </c>
      <c r="D1128" s="4" t="str">
        <f>"19308876"</f>
        <v>19308876</v>
      </c>
      <c r="E1128" s="4" t="str">
        <f t="shared" si="40"/>
        <v>-</v>
      </c>
      <c r="F1128" s="4" t="s">
        <v>401</v>
      </c>
    </row>
    <row r="1129" spans="1:6" x14ac:dyDescent="0.25">
      <c r="A1129" s="4" t="str">
        <f>"European Space Agency - History Study Reports ESA HSR"</f>
        <v>European Space Agency - History Study Reports ESA HSR</v>
      </c>
      <c r="B1129" s="4" t="s">
        <v>6</v>
      </c>
      <c r="C1129" s="4" t="str">
        <f t="shared" si="39"/>
        <v>-</v>
      </c>
      <c r="D1129" s="4" t="str">
        <f>"16834704"</f>
        <v>16834704</v>
      </c>
      <c r="E1129" s="4" t="str">
        <f t="shared" si="40"/>
        <v>-</v>
      </c>
      <c r="F1129" s="4" t="s">
        <v>402</v>
      </c>
    </row>
    <row r="1130" spans="1:6" x14ac:dyDescent="0.25">
      <c r="A1130" s="4" t="str">
        <f>"European Space Agency (Brochure) ESA BR"</f>
        <v>European Space Agency (Brochure) ESA BR</v>
      </c>
      <c r="B1130" s="4" t="s">
        <v>6</v>
      </c>
      <c r="C1130" s="4" t="str">
        <f t="shared" si="39"/>
        <v>-</v>
      </c>
      <c r="D1130" s="4" t="str">
        <f>"02501589"</f>
        <v>02501589</v>
      </c>
      <c r="E1130" s="4" t="str">
        <f t="shared" si="40"/>
        <v>-</v>
      </c>
      <c r="F1130" s="4" t="s">
        <v>402</v>
      </c>
    </row>
    <row r="1131" spans="1:6" x14ac:dyDescent="0.25">
      <c r="A1131" s="4" t="str">
        <f>"European Space Agency (Scientific and Technical Memoranda) ESA STM"</f>
        <v>European Space Agency (Scientific and Technical Memoranda) ESA STM</v>
      </c>
      <c r="B1131" s="4" t="s">
        <v>6</v>
      </c>
      <c r="C1131" s="4" t="str">
        <f t="shared" si="39"/>
        <v>-</v>
      </c>
      <c r="D1131" s="4" t="str">
        <f>"03794075"</f>
        <v>03794075</v>
      </c>
      <c r="E1131" s="4" t="str">
        <f t="shared" si="40"/>
        <v>-</v>
      </c>
      <c r="F1131" s="4" t="s">
        <v>402</v>
      </c>
    </row>
    <row r="1132" spans="1:6" x14ac:dyDescent="0.25">
      <c r="A1132" s="4" t="str">
        <f>"European Space Agency (Scientific and Technical Reports) ESA STR"</f>
        <v>European Space Agency (Scientific and Technical Reports) ESA STR</v>
      </c>
      <c r="B1132" s="4" t="s">
        <v>6</v>
      </c>
      <c r="C1132" s="4" t="str">
        <f t="shared" si="39"/>
        <v>-</v>
      </c>
      <c r="D1132" s="4" t="str">
        <f>"03794067"</f>
        <v>03794067</v>
      </c>
      <c r="E1132" s="4" t="str">
        <f t="shared" si="40"/>
        <v>-</v>
      </c>
      <c r="F1132" s="4" t="s">
        <v>402</v>
      </c>
    </row>
    <row r="1133" spans="1:6" x14ac:dyDescent="0.25">
      <c r="A1133" s="4" t="str">
        <f>"European Space Agency Bulletin"</f>
        <v>European Space Agency Bulletin</v>
      </c>
      <c r="B1133" s="4" t="s">
        <v>6</v>
      </c>
      <c r="C1133" s="4" t="str">
        <f t="shared" si="39"/>
        <v>-</v>
      </c>
      <c r="D1133" s="4" t="str">
        <f>"03764265"</f>
        <v>03764265</v>
      </c>
      <c r="E1133" s="4" t="str">
        <f t="shared" si="40"/>
        <v>-</v>
      </c>
      <c r="F1133" s="4" t="s">
        <v>402</v>
      </c>
    </row>
    <row r="1134" spans="1:6" x14ac:dyDescent="0.25">
      <c r="A1134" s="4" t="str">
        <f>"European Space Agency, (Special Publication) ESA SP"</f>
        <v>European Space Agency, (Special Publication) ESA SP</v>
      </c>
      <c r="B1134" s="4" t="s">
        <v>8</v>
      </c>
      <c r="C1134" s="4" t="str">
        <f t="shared" si="39"/>
        <v>-</v>
      </c>
      <c r="D1134" s="4" t="str">
        <f>"03796566"</f>
        <v>03796566</v>
      </c>
      <c r="E1134" s="4" t="str">
        <f t="shared" si="40"/>
        <v>-</v>
      </c>
      <c r="F1134" s="4" t="s">
        <v>402</v>
      </c>
    </row>
    <row r="1135" spans="1:6" x14ac:dyDescent="0.25">
      <c r="A1135" s="4" t="str">
        <f>"European Transport - Trasporti Europei"</f>
        <v>European Transport - Trasporti Europei</v>
      </c>
      <c r="B1135" s="4" t="s">
        <v>6</v>
      </c>
      <c r="C1135" s="4" t="str">
        <f t="shared" si="39"/>
        <v>-</v>
      </c>
      <c r="D1135" s="4" t="str">
        <f>"18253997"</f>
        <v>18253997</v>
      </c>
      <c r="E1135" s="4" t="str">
        <f t="shared" si="40"/>
        <v>-</v>
      </c>
      <c r="F1135" s="4" t="s">
        <v>403</v>
      </c>
    </row>
    <row r="1136" spans="1:6" x14ac:dyDescent="0.25">
      <c r="A1136" s="4" t="str">
        <f>"European Transport Research Review"</f>
        <v>European Transport Research Review</v>
      </c>
      <c r="B1136" s="4" t="s">
        <v>6</v>
      </c>
      <c r="C1136" s="4" t="str">
        <f t="shared" si="39"/>
        <v>-</v>
      </c>
      <c r="D1136" s="4" t="str">
        <f>"18670717"</f>
        <v>18670717</v>
      </c>
      <c r="E1136" s="4" t="str">
        <f>"18668887"</f>
        <v>18668887</v>
      </c>
      <c r="F1136" s="4" t="s">
        <v>42</v>
      </c>
    </row>
    <row r="1137" spans="1:6" x14ac:dyDescent="0.25">
      <c r="A1137" s="4" t="str">
        <f>"Eurovis: Eurographics/IEEE Symposium on Visualization"</f>
        <v>Eurovis: Eurographics/IEEE Symposium on Visualization</v>
      </c>
      <c r="B1137" s="4" t="s">
        <v>8</v>
      </c>
      <c r="C1137" s="4" t="str">
        <f t="shared" si="39"/>
        <v>-</v>
      </c>
      <c r="D1137" s="4" t="str">
        <f>"17275296"</f>
        <v>17275296</v>
      </c>
      <c r="E1137" s="4" t="str">
        <f>"-"</f>
        <v>-</v>
      </c>
      <c r="F1137" s="4" t="s">
        <v>23</v>
      </c>
    </row>
    <row r="1138" spans="1:6" x14ac:dyDescent="0.25">
      <c r="A1138" s="4" t="str">
        <f>"Evolutionary Computation"</f>
        <v>Evolutionary Computation</v>
      </c>
      <c r="B1138" s="4" t="s">
        <v>6</v>
      </c>
      <c r="C1138" s="4" t="str">
        <f t="shared" si="39"/>
        <v>-</v>
      </c>
      <c r="D1138" s="4" t="str">
        <f>"10636560"</f>
        <v>10636560</v>
      </c>
      <c r="E1138" s="4" t="str">
        <f>"15309304"</f>
        <v>15309304</v>
      </c>
      <c r="F1138" s="4" t="s">
        <v>153</v>
      </c>
    </row>
    <row r="1139" spans="1:6" x14ac:dyDescent="0.25">
      <c r="A1139" s="4" t="str">
        <f>"Evolutionary Intelligence"</f>
        <v>Evolutionary Intelligence</v>
      </c>
      <c r="B1139" s="4" t="s">
        <v>6</v>
      </c>
      <c r="C1139" s="4" t="str">
        <f t="shared" si="39"/>
        <v>-</v>
      </c>
      <c r="D1139" s="4" t="str">
        <f>"18645909"</f>
        <v>18645909</v>
      </c>
      <c r="E1139" s="4" t="str">
        <f>"18645917"</f>
        <v>18645917</v>
      </c>
      <c r="F1139" s="4" t="s">
        <v>42</v>
      </c>
    </row>
    <row r="1140" spans="1:6" x14ac:dyDescent="0.25">
      <c r="A1140" s="4" t="str">
        <f>"Evolving Systems"</f>
        <v>Evolving Systems</v>
      </c>
      <c r="B1140" s="4" t="s">
        <v>6</v>
      </c>
      <c r="C1140" s="4" t="str">
        <f t="shared" si="39"/>
        <v>-</v>
      </c>
      <c r="D1140" s="4" t="str">
        <f>"18686478"</f>
        <v>18686478</v>
      </c>
      <c r="E1140" s="4" t="str">
        <f>"18686486"</f>
        <v>18686486</v>
      </c>
      <c r="F1140" s="4" t="s">
        <v>42</v>
      </c>
    </row>
    <row r="1141" spans="1:6" x14ac:dyDescent="0.25">
      <c r="A1141" s="4" t="str">
        <f>"E-Water"</f>
        <v>E-Water</v>
      </c>
      <c r="B1141" s="4" t="s">
        <v>22</v>
      </c>
      <c r="C1141" s="4" t="str">
        <f t="shared" si="39"/>
        <v>-</v>
      </c>
      <c r="D1141" s="4" t="str">
        <f>"19948549"</f>
        <v>19948549</v>
      </c>
      <c r="E1141" s="4" t="str">
        <f>"-"</f>
        <v>-</v>
      </c>
      <c r="F1141" s="4" t="s">
        <v>404</v>
      </c>
    </row>
    <row r="1142" spans="1:6" x14ac:dyDescent="0.25">
      <c r="A1142" s="4" t="str">
        <f>"Experimental Heat Transfer"</f>
        <v>Experimental Heat Transfer</v>
      </c>
      <c r="B1142" s="4" t="s">
        <v>6</v>
      </c>
      <c r="C1142" s="4" t="str">
        <f t="shared" si="39"/>
        <v>-</v>
      </c>
      <c r="D1142" s="4" t="str">
        <f>"08916152"</f>
        <v>08916152</v>
      </c>
      <c r="E1142" s="4" t="str">
        <f>"15210480"</f>
        <v>15210480</v>
      </c>
      <c r="F1142" s="4" t="s">
        <v>60</v>
      </c>
    </row>
    <row r="1143" spans="1:6" x14ac:dyDescent="0.25">
      <c r="A1143" s="4" t="str">
        <f>"Experimental Mechanics"</f>
        <v>Experimental Mechanics</v>
      </c>
      <c r="B1143" s="4" t="s">
        <v>6</v>
      </c>
      <c r="C1143" s="4" t="str">
        <f t="shared" si="39"/>
        <v>-</v>
      </c>
      <c r="D1143" s="4" t="str">
        <f>"00144851"</f>
        <v>00144851</v>
      </c>
      <c r="E1143" s="4" t="str">
        <f>"17412765"</f>
        <v>17412765</v>
      </c>
      <c r="F1143" s="4" t="s">
        <v>57</v>
      </c>
    </row>
    <row r="1144" spans="1:6" x14ac:dyDescent="0.25">
      <c r="A1144" s="4" t="str">
        <f>"Experimental Techniques"</f>
        <v>Experimental Techniques</v>
      </c>
      <c r="B1144" s="4" t="s">
        <v>6</v>
      </c>
      <c r="C1144" s="4" t="str">
        <f t="shared" si="39"/>
        <v>-</v>
      </c>
      <c r="D1144" s="4" t="str">
        <f>"07328818"</f>
        <v>07328818</v>
      </c>
      <c r="E1144" s="4" t="str">
        <f>"17471567"</f>
        <v>17471567</v>
      </c>
      <c r="F1144" s="4" t="s">
        <v>291</v>
      </c>
    </row>
    <row r="1145" spans="1:6" x14ac:dyDescent="0.25">
      <c r="A1145" s="4" t="str">
        <f>"Experimental Thermal and Fluid Science"</f>
        <v>Experimental Thermal and Fluid Science</v>
      </c>
      <c r="B1145" s="4" t="s">
        <v>6</v>
      </c>
      <c r="C1145" s="4" t="str">
        <f t="shared" si="39"/>
        <v>-</v>
      </c>
      <c r="D1145" s="4" t="str">
        <f>"08941777"</f>
        <v>08941777</v>
      </c>
      <c r="E1145" s="4" t="str">
        <f>"-"</f>
        <v>-</v>
      </c>
      <c r="F1145" s="4" t="s">
        <v>141</v>
      </c>
    </row>
    <row r="1146" spans="1:6" x14ac:dyDescent="0.25">
      <c r="A1146" s="4" t="str">
        <f>"Experiments in Fluids"</f>
        <v>Experiments in Fluids</v>
      </c>
      <c r="B1146" s="4" t="s">
        <v>6</v>
      </c>
      <c r="C1146" s="4" t="str">
        <f t="shared" si="39"/>
        <v>-</v>
      </c>
      <c r="D1146" s="4" t="str">
        <f>"07234864"</f>
        <v>07234864</v>
      </c>
      <c r="E1146" s="4" t="str">
        <f>"-"</f>
        <v>-</v>
      </c>
      <c r="F1146" s="4" t="s">
        <v>42</v>
      </c>
    </row>
    <row r="1147" spans="1:6" x14ac:dyDescent="0.25">
      <c r="A1147" s="4" t="str">
        <f>"Expert Review of Medical Devices"</f>
        <v>Expert Review of Medical Devices</v>
      </c>
      <c r="B1147" s="4" t="s">
        <v>6</v>
      </c>
      <c r="C1147" s="4" t="str">
        <f t="shared" si="39"/>
        <v>-</v>
      </c>
      <c r="D1147" s="4" t="str">
        <f>"17434440"</f>
        <v>17434440</v>
      </c>
      <c r="E1147" s="4" t="str">
        <f>"17452422"</f>
        <v>17452422</v>
      </c>
      <c r="F1147" s="4" t="s">
        <v>12</v>
      </c>
    </row>
    <row r="1148" spans="1:6" x14ac:dyDescent="0.25">
      <c r="A1148" s="4" t="str">
        <f>"Expert Systems"</f>
        <v>Expert Systems</v>
      </c>
      <c r="B1148" s="4" t="s">
        <v>6</v>
      </c>
      <c r="C1148" s="4" t="str">
        <f t="shared" si="39"/>
        <v>-</v>
      </c>
      <c r="D1148" s="4" t="str">
        <f>"02664720"</f>
        <v>02664720</v>
      </c>
      <c r="E1148" s="4" t="str">
        <f>"14680394"</f>
        <v>14680394</v>
      </c>
      <c r="F1148" s="4" t="s">
        <v>209</v>
      </c>
    </row>
    <row r="1149" spans="1:6" x14ac:dyDescent="0.25">
      <c r="A1149" s="4" t="str">
        <f>"Expert Systems with Applications"</f>
        <v>Expert Systems with Applications</v>
      </c>
      <c r="B1149" s="4" t="s">
        <v>6</v>
      </c>
      <c r="C1149" s="4" t="str">
        <f t="shared" si="39"/>
        <v>-</v>
      </c>
      <c r="D1149" s="4" t="str">
        <f>"09574174"</f>
        <v>09574174</v>
      </c>
      <c r="E1149" s="4" t="str">
        <f>"-"</f>
        <v>-</v>
      </c>
      <c r="F1149" s="4" t="s">
        <v>19</v>
      </c>
    </row>
    <row r="1150" spans="1:6" x14ac:dyDescent="0.25">
      <c r="A1150" s="4" t="str">
        <f>"Exploration and Mining Geology"</f>
        <v>Exploration and Mining Geology</v>
      </c>
      <c r="B1150" s="4" t="s">
        <v>6</v>
      </c>
      <c r="C1150" s="4" t="str">
        <f t="shared" ref="C1150:C1157" si="41">"-"</f>
        <v>-</v>
      </c>
      <c r="D1150" s="4" t="str">
        <f>"09641823"</f>
        <v>09641823</v>
      </c>
      <c r="E1150" s="4" t="str">
        <f>"-"</f>
        <v>-</v>
      </c>
      <c r="F1150" s="4" t="s">
        <v>405</v>
      </c>
    </row>
    <row r="1151" spans="1:6" x14ac:dyDescent="0.25">
      <c r="A1151" s="4" t="str">
        <f>"Exploration Geophysics"</f>
        <v>Exploration Geophysics</v>
      </c>
      <c r="B1151" s="4" t="s">
        <v>6</v>
      </c>
      <c r="C1151" s="4" t="str">
        <f t="shared" si="41"/>
        <v>-</v>
      </c>
      <c r="D1151" s="4" t="str">
        <f>"08123985"</f>
        <v>08123985</v>
      </c>
      <c r="E1151" s="4" t="str">
        <f>"18347533"</f>
        <v>18347533</v>
      </c>
      <c r="F1151" s="4" t="s">
        <v>170</v>
      </c>
    </row>
    <row r="1152" spans="1:6" x14ac:dyDescent="0.25">
      <c r="A1152" s="4" t="str">
        <f>"Explosion"</f>
        <v>Explosion</v>
      </c>
      <c r="B1152" s="4" t="s">
        <v>6</v>
      </c>
      <c r="C1152" s="4" t="str">
        <f t="shared" si="41"/>
        <v>-</v>
      </c>
      <c r="D1152" s="4" t="str">
        <f>"0916801X"</f>
        <v>0916801X</v>
      </c>
      <c r="E1152" s="4" t="str">
        <f>"-"</f>
        <v>-</v>
      </c>
      <c r="F1152" s="4" t="s">
        <v>406</v>
      </c>
    </row>
    <row r="1153" spans="1:6" x14ac:dyDescent="0.25">
      <c r="A1153" s="4" t="str">
        <f>"Express Polymer Letters"</f>
        <v>Express Polymer Letters</v>
      </c>
      <c r="B1153" s="4" t="s">
        <v>6</v>
      </c>
      <c r="C1153" s="4" t="str">
        <f t="shared" si="41"/>
        <v>-</v>
      </c>
      <c r="D1153" s="4" t="str">
        <f>"1788618X"</f>
        <v>1788618X</v>
      </c>
      <c r="E1153" s="4" t="str">
        <f>"-"</f>
        <v>-</v>
      </c>
      <c r="F1153" s="4" t="s">
        <v>407</v>
      </c>
    </row>
    <row r="1154" spans="1:6" x14ac:dyDescent="0.25">
      <c r="A1154" s="4" t="str">
        <f>"Eye Tracking Research and Applications Symposium (ETRA)"</f>
        <v>Eye Tracking Research and Applications Symposium (ETRA)</v>
      </c>
      <c r="B1154" s="4" t="s">
        <v>8</v>
      </c>
      <c r="C1154" s="4" t="str">
        <f t="shared" si="41"/>
        <v>-</v>
      </c>
      <c r="D1154" s="4" t="str">
        <f>"-"</f>
        <v>-</v>
      </c>
      <c r="E1154" s="4" t="str">
        <f>"-"</f>
        <v>-</v>
      </c>
      <c r="F1154" s="4" t="s">
        <v>21</v>
      </c>
    </row>
    <row r="1155" spans="1:6" x14ac:dyDescent="0.25">
      <c r="A1155" s="4" t="str">
        <f>"Fachhefte Grafische Industrie, Bulletin Technique"</f>
        <v>Fachhefte Grafische Industrie, Bulletin Technique</v>
      </c>
      <c r="B1155" s="4" t="s">
        <v>22</v>
      </c>
      <c r="C1155" s="4" t="str">
        <f t="shared" si="41"/>
        <v>-</v>
      </c>
      <c r="D1155" s="4" t="str">
        <f>"-"</f>
        <v>-</v>
      </c>
      <c r="E1155" s="4" t="str">
        <f>"-"</f>
        <v>-</v>
      </c>
      <c r="F1155" s="4" t="s">
        <v>408</v>
      </c>
    </row>
    <row r="1156" spans="1:6" x14ac:dyDescent="0.25">
      <c r="A1156" s="4" t="str">
        <f>"Faguang Xuebao/Chinese Journal of Luminescence"</f>
        <v>Faguang Xuebao/Chinese Journal of Luminescence</v>
      </c>
      <c r="B1156" s="4" t="s">
        <v>6</v>
      </c>
      <c r="C1156" s="4" t="str">
        <f t="shared" si="41"/>
        <v>-</v>
      </c>
      <c r="D1156" s="4" t="str">
        <f>"10007032"</f>
        <v>10007032</v>
      </c>
      <c r="E1156" s="4" t="str">
        <f>"-"</f>
        <v>-</v>
      </c>
      <c r="F1156" s="4" t="s">
        <v>409</v>
      </c>
    </row>
    <row r="1157" spans="1:6" x14ac:dyDescent="0.25">
      <c r="A1157" s="4" t="str">
        <f>"Fatigue and Fracture of Engineering Materials and Structures"</f>
        <v>Fatigue and Fracture of Engineering Materials and Structures</v>
      </c>
      <c r="B1157" s="4" t="s">
        <v>6</v>
      </c>
      <c r="C1157" s="4" t="str">
        <f t="shared" si="41"/>
        <v>-</v>
      </c>
      <c r="D1157" s="4" t="str">
        <f>"8756758X"</f>
        <v>8756758X</v>
      </c>
      <c r="E1157" s="4" t="str">
        <f>"14602695"</f>
        <v>14602695</v>
      </c>
      <c r="F1157" s="4" t="s">
        <v>209</v>
      </c>
    </row>
    <row r="1158" spans="1:6" x14ac:dyDescent="0.25">
      <c r="A1158" s="4" t="s">
        <v>410</v>
      </c>
      <c r="B1158" s="4" t="s">
        <v>6</v>
      </c>
      <c r="D1158" s="4" t="s">
        <v>411</v>
      </c>
      <c r="F1158" s="4" t="s">
        <v>412</v>
      </c>
    </row>
    <row r="1159" spans="1:6" x14ac:dyDescent="0.25">
      <c r="A1159" s="4" t="str">
        <f>"Ferroelectrics"</f>
        <v>Ferroelectrics</v>
      </c>
      <c r="B1159" s="4" t="s">
        <v>6</v>
      </c>
      <c r="C1159" s="4" t="str">
        <f t="shared" ref="C1159:C1194" si="42">"-"</f>
        <v>-</v>
      </c>
      <c r="D1159" s="4" t="str">
        <f>"00150193"</f>
        <v>00150193</v>
      </c>
      <c r="E1159" s="4" t="str">
        <f>"15635112"</f>
        <v>15635112</v>
      </c>
      <c r="F1159" s="4" t="s">
        <v>96</v>
      </c>
    </row>
    <row r="1160" spans="1:6" x14ac:dyDescent="0.25">
      <c r="A1160" s="4" t="str">
        <f>"Ferroelectrics, Letters Section"</f>
        <v>Ferroelectrics, Letters Section</v>
      </c>
      <c r="B1160" s="4" t="s">
        <v>6</v>
      </c>
      <c r="C1160" s="4" t="str">
        <f t="shared" si="42"/>
        <v>-</v>
      </c>
      <c r="D1160" s="4" t="str">
        <f>"07315171"</f>
        <v>07315171</v>
      </c>
      <c r="E1160" s="4" t="str">
        <f>"15635228"</f>
        <v>15635228</v>
      </c>
      <c r="F1160" s="4" t="s">
        <v>96</v>
      </c>
    </row>
    <row r="1161" spans="1:6" x14ac:dyDescent="0.25">
      <c r="A1161" s="4" t="str">
        <f>"Fiber and Integrated Optics"</f>
        <v>Fiber and Integrated Optics</v>
      </c>
      <c r="B1161" s="4" t="s">
        <v>6</v>
      </c>
      <c r="C1161" s="4" t="str">
        <f t="shared" si="42"/>
        <v>-</v>
      </c>
      <c r="D1161" s="4" t="str">
        <f>"01468030"</f>
        <v>01468030</v>
      </c>
      <c r="E1161" s="4" t="str">
        <f>"10964681"</f>
        <v>10964681</v>
      </c>
      <c r="F1161" s="4" t="s">
        <v>96</v>
      </c>
    </row>
    <row r="1162" spans="1:6" x14ac:dyDescent="0.25">
      <c r="A1162" s="4" t="str">
        <f>"Fibers and Polymers"</f>
        <v>Fibers and Polymers</v>
      </c>
      <c r="B1162" s="4" t="s">
        <v>6</v>
      </c>
      <c r="C1162" s="4" t="str">
        <f t="shared" si="42"/>
        <v>-</v>
      </c>
      <c r="D1162" s="4" t="str">
        <f>"12299197"</f>
        <v>12299197</v>
      </c>
      <c r="E1162" s="4" t="str">
        <f>"-"</f>
        <v>-</v>
      </c>
      <c r="F1162" s="4" t="s">
        <v>413</v>
      </c>
    </row>
    <row r="1163" spans="1:6" x14ac:dyDescent="0.25">
      <c r="A1163" s="4" t="str">
        <f>"Fibre Chemistry"</f>
        <v>Fibre Chemistry</v>
      </c>
      <c r="B1163" s="4" t="s">
        <v>6</v>
      </c>
      <c r="C1163" s="4" t="str">
        <f t="shared" si="42"/>
        <v>-</v>
      </c>
      <c r="D1163" s="4" t="str">
        <f>"00150541"</f>
        <v>00150541</v>
      </c>
      <c r="E1163" s="4" t="str">
        <f>"-"</f>
        <v>-</v>
      </c>
      <c r="F1163" s="4" t="s">
        <v>57</v>
      </c>
    </row>
    <row r="1164" spans="1:6" x14ac:dyDescent="0.25">
      <c r="A1164" s="4" t="str">
        <f>"Fibres and Textiles in Eastern Europe"</f>
        <v>Fibres and Textiles in Eastern Europe</v>
      </c>
      <c r="B1164" s="4" t="s">
        <v>6</v>
      </c>
      <c r="C1164" s="4" t="str">
        <f t="shared" si="42"/>
        <v>-</v>
      </c>
      <c r="D1164" s="4" t="str">
        <f>"12303666"</f>
        <v>12303666</v>
      </c>
      <c r="E1164" s="4" t="str">
        <f>"-"</f>
        <v>-</v>
      </c>
      <c r="F1164" s="4" t="s">
        <v>414</v>
      </c>
    </row>
    <row r="1165" spans="1:6" x14ac:dyDescent="0.25">
      <c r="A1165" s="4" t="str">
        <f>"Filtration and Separation"</f>
        <v>Filtration and Separation</v>
      </c>
      <c r="B1165" s="4" t="s">
        <v>22</v>
      </c>
      <c r="C1165" s="4" t="str">
        <f t="shared" si="42"/>
        <v>-</v>
      </c>
      <c r="D1165" s="4" t="str">
        <f>"00151882"</f>
        <v>00151882</v>
      </c>
      <c r="E1165" s="4" t="str">
        <f>"-"</f>
        <v>-</v>
      </c>
      <c r="F1165" s="4" t="s">
        <v>19</v>
      </c>
    </row>
    <row r="1166" spans="1:6" x14ac:dyDescent="0.25">
      <c r="A1166" s="4" t="str">
        <f>"Final Program and Proceedings - IS and T/SID Color Imaging Conference"</f>
        <v>Final Program and Proceedings - IS and T/SID Color Imaging Conference</v>
      </c>
      <c r="B1166" s="4" t="s">
        <v>8</v>
      </c>
      <c r="C1166" s="4" t="str">
        <f t="shared" si="42"/>
        <v>-</v>
      </c>
      <c r="D1166" s="4" t="str">
        <f>"21669635"</f>
        <v>21669635</v>
      </c>
      <c r="E1166" s="4" t="str">
        <f>"21692629"</f>
        <v>21692629</v>
      </c>
      <c r="F1166" s="4" t="s">
        <v>415</v>
      </c>
    </row>
    <row r="1167" spans="1:6" x14ac:dyDescent="0.25">
      <c r="A1167" s="4" t="str">
        <f>"Finite Elements in Analysis and Design"</f>
        <v>Finite Elements in Analysis and Design</v>
      </c>
      <c r="B1167" s="4" t="s">
        <v>6</v>
      </c>
      <c r="C1167" s="4" t="str">
        <f t="shared" si="42"/>
        <v>-</v>
      </c>
      <c r="D1167" s="4" t="str">
        <f>"0168874X"</f>
        <v>0168874X</v>
      </c>
      <c r="E1167" s="4" t="str">
        <f>"-"</f>
        <v>-</v>
      </c>
      <c r="F1167" s="4" t="s">
        <v>55</v>
      </c>
    </row>
    <row r="1168" spans="1:6" x14ac:dyDescent="0.25">
      <c r="A1168" s="4" t="str">
        <f>"Finite Fields and their Applications"</f>
        <v>Finite Fields and their Applications</v>
      </c>
      <c r="B1168" s="4" t="s">
        <v>6</v>
      </c>
      <c r="C1168" s="4" t="str">
        <f t="shared" si="42"/>
        <v>-</v>
      </c>
      <c r="D1168" s="4" t="str">
        <f>"10715797"</f>
        <v>10715797</v>
      </c>
      <c r="E1168" s="4" t="str">
        <f>"10902465"</f>
        <v>10902465</v>
      </c>
      <c r="F1168" s="4" t="s">
        <v>71</v>
      </c>
    </row>
    <row r="1169" spans="1:6" x14ac:dyDescent="0.25">
      <c r="A1169" s="4" t="str">
        <f>"Fire and Materials"</f>
        <v>Fire and Materials</v>
      </c>
      <c r="B1169" s="4" t="s">
        <v>6</v>
      </c>
      <c r="C1169" s="4" t="str">
        <f t="shared" si="42"/>
        <v>-</v>
      </c>
      <c r="D1169" s="4" t="str">
        <f>"03080501"</f>
        <v>03080501</v>
      </c>
      <c r="E1169" s="4" t="str">
        <f>"10991018"</f>
        <v>10991018</v>
      </c>
      <c r="F1169" s="4" t="s">
        <v>142</v>
      </c>
    </row>
    <row r="1170" spans="1:6" x14ac:dyDescent="0.25">
      <c r="A1170" s="4" t="str">
        <f>"Fire Safety Journal"</f>
        <v>Fire Safety Journal</v>
      </c>
      <c r="B1170" s="4" t="s">
        <v>6</v>
      </c>
      <c r="C1170" s="4" t="str">
        <f t="shared" si="42"/>
        <v>-</v>
      </c>
      <c r="D1170" s="4" t="str">
        <f>"03797112"</f>
        <v>03797112</v>
      </c>
      <c r="E1170" s="4" t="str">
        <f>"-"</f>
        <v>-</v>
      </c>
      <c r="F1170" s="4" t="s">
        <v>19</v>
      </c>
    </row>
    <row r="1171" spans="1:6" x14ac:dyDescent="0.25">
      <c r="A1171" s="4" t="str">
        <f>"Fire Safety Science"</f>
        <v>Fire Safety Science</v>
      </c>
      <c r="B1171" s="4" t="s">
        <v>8</v>
      </c>
      <c r="C1171" s="4" t="str">
        <f t="shared" si="42"/>
        <v>-</v>
      </c>
      <c r="D1171" s="4" t="str">
        <f>"18174299"</f>
        <v>18174299</v>
      </c>
      <c r="E1171" s="4" t="str">
        <f>"-"</f>
        <v>-</v>
      </c>
      <c r="F1171" s="4" t="s">
        <v>416</v>
      </c>
    </row>
    <row r="1172" spans="1:6" x14ac:dyDescent="0.25">
      <c r="A1172" s="4" t="str">
        <f>"Fire Technology"</f>
        <v>Fire Technology</v>
      </c>
      <c r="B1172" s="4" t="s">
        <v>6</v>
      </c>
      <c r="C1172" s="4" t="str">
        <f t="shared" si="42"/>
        <v>-</v>
      </c>
      <c r="D1172" s="4" t="str">
        <f>"00152684"</f>
        <v>00152684</v>
      </c>
      <c r="E1172" s="4" t="str">
        <f>"15728099"</f>
        <v>15728099</v>
      </c>
      <c r="F1172" s="4" t="s">
        <v>57</v>
      </c>
    </row>
    <row r="1173" spans="1:6" x14ac:dyDescent="0.25">
      <c r="A1173" s="4" t="str">
        <f>"Fizika Nizkikh Temperatur"</f>
        <v>Fizika Nizkikh Temperatur</v>
      </c>
      <c r="B1173" s="4" t="s">
        <v>6</v>
      </c>
      <c r="C1173" s="4" t="str">
        <f t="shared" si="42"/>
        <v>-</v>
      </c>
      <c r="D1173" s="4" t="str">
        <f>"01326414"</f>
        <v>01326414</v>
      </c>
      <c r="E1173" s="4" t="str">
        <f>"18160328"</f>
        <v>18160328</v>
      </c>
      <c r="F1173" s="4" t="s">
        <v>417</v>
      </c>
    </row>
    <row r="1174" spans="1:6" x14ac:dyDescent="0.25">
      <c r="A1174" s="4" t="str">
        <f>"Flavour and Fragrance Journal"</f>
        <v>Flavour and Fragrance Journal</v>
      </c>
      <c r="B1174" s="4" t="s">
        <v>6</v>
      </c>
      <c r="C1174" s="4" t="str">
        <f t="shared" si="42"/>
        <v>-</v>
      </c>
      <c r="D1174" s="4" t="str">
        <f>"08825734"</f>
        <v>08825734</v>
      </c>
      <c r="E1174" s="4" t="str">
        <f>"10991026"</f>
        <v>10991026</v>
      </c>
      <c r="F1174" s="4" t="s">
        <v>142</v>
      </c>
    </row>
    <row r="1175" spans="1:6" x14ac:dyDescent="0.25">
      <c r="A1175" s="4" t="str">
        <f>"Flexible Services and Manufacturing Journal"</f>
        <v>Flexible Services and Manufacturing Journal</v>
      </c>
      <c r="B1175" s="4" t="s">
        <v>6</v>
      </c>
      <c r="C1175" s="4" t="str">
        <f t="shared" si="42"/>
        <v>-</v>
      </c>
      <c r="D1175" s="4" t="str">
        <f>"19366582"</f>
        <v>19366582</v>
      </c>
      <c r="E1175" s="4" t="str">
        <f>"19366590"</f>
        <v>19366590</v>
      </c>
      <c r="F1175" s="4" t="s">
        <v>57</v>
      </c>
    </row>
    <row r="1176" spans="1:6" x14ac:dyDescent="0.25">
      <c r="A1176" s="4" t="str">
        <f>"Flow Measurement and Instrumentation"</f>
        <v>Flow Measurement and Instrumentation</v>
      </c>
      <c r="B1176" s="4" t="s">
        <v>6</v>
      </c>
      <c r="C1176" s="4" t="str">
        <f t="shared" si="42"/>
        <v>-</v>
      </c>
      <c r="D1176" s="4" t="str">
        <f>"09555986"</f>
        <v>09555986</v>
      </c>
      <c r="E1176" s="4" t="str">
        <f>"-"</f>
        <v>-</v>
      </c>
      <c r="F1176" s="4" t="s">
        <v>19</v>
      </c>
    </row>
    <row r="1177" spans="1:6" x14ac:dyDescent="0.25">
      <c r="A1177" s="4" t="str">
        <f>"Flow, Turbulence and Combustion"</f>
        <v>Flow, Turbulence and Combustion</v>
      </c>
      <c r="B1177" s="4" t="s">
        <v>6</v>
      </c>
      <c r="C1177" s="4" t="str">
        <f t="shared" si="42"/>
        <v>-</v>
      </c>
      <c r="D1177" s="4" t="str">
        <f>"13866184"</f>
        <v>13866184</v>
      </c>
      <c r="E1177" s="4" t="str">
        <f>"15731987"</f>
        <v>15731987</v>
      </c>
      <c r="F1177" s="4" t="s">
        <v>31</v>
      </c>
    </row>
    <row r="1178" spans="1:6" x14ac:dyDescent="0.25">
      <c r="A1178" s="4" t="str">
        <f>"Fluid Dynamics"</f>
        <v>Fluid Dynamics</v>
      </c>
      <c r="B1178" s="4" t="s">
        <v>6</v>
      </c>
      <c r="C1178" s="4" t="str">
        <f t="shared" si="42"/>
        <v>-</v>
      </c>
      <c r="D1178" s="4" t="str">
        <f>"00154628"</f>
        <v>00154628</v>
      </c>
      <c r="E1178" s="4" t="str">
        <f>"-"</f>
        <v>-</v>
      </c>
      <c r="F1178" s="4" t="s">
        <v>24</v>
      </c>
    </row>
    <row r="1179" spans="1:6" x14ac:dyDescent="0.25">
      <c r="A1179" s="4" t="str">
        <f>"Fluid Dynamics and Materials Processing"</f>
        <v>Fluid Dynamics and Materials Processing</v>
      </c>
      <c r="B1179" s="4" t="s">
        <v>6</v>
      </c>
      <c r="C1179" s="4" t="str">
        <f t="shared" si="42"/>
        <v>-</v>
      </c>
      <c r="D1179" s="4" t="str">
        <f>"1555256X"</f>
        <v>1555256X</v>
      </c>
      <c r="E1179" s="4" t="str">
        <f>"15552578"</f>
        <v>15552578</v>
      </c>
      <c r="F1179" s="4" t="s">
        <v>287</v>
      </c>
    </row>
    <row r="1180" spans="1:6" x14ac:dyDescent="0.25">
      <c r="A1180" s="4" t="str">
        <f>"Fluid Dynamics Research"</f>
        <v>Fluid Dynamics Research</v>
      </c>
      <c r="B1180" s="4" t="s">
        <v>6</v>
      </c>
      <c r="C1180" s="4" t="str">
        <f t="shared" si="42"/>
        <v>-</v>
      </c>
      <c r="D1180" s="4" t="str">
        <f>"01695983"</f>
        <v>01695983</v>
      </c>
      <c r="E1180" s="4" t="str">
        <f>"-"</f>
        <v>-</v>
      </c>
      <c r="F1180" s="4" t="s">
        <v>184</v>
      </c>
    </row>
    <row r="1181" spans="1:6" x14ac:dyDescent="0.25">
      <c r="A1181" s="4" t="str">
        <f>"Fluid Phase Equilibria"</f>
        <v>Fluid Phase Equilibria</v>
      </c>
      <c r="B1181" s="4" t="s">
        <v>6</v>
      </c>
      <c r="C1181" s="4" t="str">
        <f t="shared" si="42"/>
        <v>-</v>
      </c>
      <c r="D1181" s="4" t="str">
        <f>"03783812"</f>
        <v>03783812</v>
      </c>
      <c r="E1181" s="4" t="str">
        <f>"-"</f>
        <v>-</v>
      </c>
      <c r="F1181" s="4" t="s">
        <v>55</v>
      </c>
    </row>
    <row r="1182" spans="1:6" x14ac:dyDescent="0.25">
      <c r="A1182" s="4" t="str">
        <f>"Food Additives and Contaminants - Part A Chemistry, Analysis, Control, Exposure and Risk Assessment"</f>
        <v>Food Additives and Contaminants - Part A Chemistry, Analysis, Control, Exposure and Risk Assessment</v>
      </c>
      <c r="B1182" s="4" t="s">
        <v>6</v>
      </c>
      <c r="C1182" s="4" t="str">
        <f t="shared" si="42"/>
        <v>-</v>
      </c>
      <c r="D1182" s="4" t="str">
        <f>"19440049"</f>
        <v>19440049</v>
      </c>
      <c r="E1182" s="4" t="str">
        <f>"19440057"</f>
        <v>19440057</v>
      </c>
      <c r="F1182" s="4" t="s">
        <v>60</v>
      </c>
    </row>
    <row r="1183" spans="1:6" x14ac:dyDescent="0.25">
      <c r="A1183" s="4" t="str">
        <f>"Food Additives and Contaminants: Part B Surveillance"</f>
        <v>Food Additives and Contaminants: Part B Surveillance</v>
      </c>
      <c r="B1183" s="4" t="s">
        <v>6</v>
      </c>
      <c r="C1183" s="4" t="str">
        <f t="shared" si="42"/>
        <v>-</v>
      </c>
      <c r="D1183" s="4" t="str">
        <f>"19393210"</f>
        <v>19393210</v>
      </c>
      <c r="E1183" s="4" t="str">
        <f>"19393229"</f>
        <v>19393229</v>
      </c>
      <c r="F1183" s="4" t="s">
        <v>60</v>
      </c>
    </row>
    <row r="1184" spans="1:6" x14ac:dyDescent="0.25">
      <c r="A1184" s="4" t="str">
        <f>"Food Analytical Methods"</f>
        <v>Food Analytical Methods</v>
      </c>
      <c r="B1184" s="4" t="s">
        <v>6</v>
      </c>
      <c r="C1184" s="4" t="str">
        <f t="shared" si="42"/>
        <v>-</v>
      </c>
      <c r="D1184" s="4" t="str">
        <f>"19369751"</f>
        <v>19369751</v>
      </c>
      <c r="E1184" s="4" t="str">
        <f>"1936976X"</f>
        <v>1936976X</v>
      </c>
      <c r="F1184" s="4" t="s">
        <v>57</v>
      </c>
    </row>
    <row r="1185" spans="1:6" x14ac:dyDescent="0.25">
      <c r="A1185" s="4" t="str">
        <f>"Food and Bioprocess Technology"</f>
        <v>Food and Bioprocess Technology</v>
      </c>
      <c r="B1185" s="4" t="s">
        <v>6</v>
      </c>
      <c r="C1185" s="4" t="str">
        <f t="shared" si="42"/>
        <v>-</v>
      </c>
      <c r="D1185" s="4" t="str">
        <f>"19355130"</f>
        <v>19355130</v>
      </c>
      <c r="E1185" s="4" t="str">
        <f>"19355149"</f>
        <v>19355149</v>
      </c>
      <c r="F1185" s="4" t="s">
        <v>57</v>
      </c>
    </row>
    <row r="1186" spans="1:6" x14ac:dyDescent="0.25">
      <c r="A1186" s="4" t="str">
        <f>"Food and Bioproducts Processing"</f>
        <v>Food and Bioproducts Processing</v>
      </c>
      <c r="B1186" s="4" t="s">
        <v>6</v>
      </c>
      <c r="C1186" s="4" t="str">
        <f t="shared" si="42"/>
        <v>-</v>
      </c>
      <c r="D1186" s="4" t="str">
        <f>"09603085"</f>
        <v>09603085</v>
      </c>
      <c r="E1186" s="4" t="str">
        <f>"-"</f>
        <v>-</v>
      </c>
      <c r="F1186" s="4" t="s">
        <v>264</v>
      </c>
    </row>
    <row r="1187" spans="1:6" x14ac:dyDescent="0.25">
      <c r="A1187" s="4" t="str">
        <f>"Food and Function"</f>
        <v>Food and Function</v>
      </c>
      <c r="B1187" s="4" t="s">
        <v>6</v>
      </c>
      <c r="C1187" s="4" t="str">
        <f t="shared" si="42"/>
        <v>-</v>
      </c>
      <c r="D1187" s="4" t="str">
        <f>"20426496"</f>
        <v>20426496</v>
      </c>
      <c r="E1187" s="4" t="str">
        <f>"2042650X"</f>
        <v>2042650X</v>
      </c>
      <c r="F1187" s="4" t="s">
        <v>121</v>
      </c>
    </row>
    <row r="1188" spans="1:6" x14ac:dyDescent="0.25">
      <c r="A1188" s="4" t="str">
        <f>"Food Australia"</f>
        <v>Food Australia</v>
      </c>
      <c r="B1188" s="4" t="s">
        <v>6</v>
      </c>
      <c r="C1188" s="4" t="str">
        <f t="shared" si="42"/>
        <v>-</v>
      </c>
      <c r="D1188" s="4" t="str">
        <f>"10325298"</f>
        <v>10325298</v>
      </c>
      <c r="E1188" s="4" t="str">
        <f>"-"</f>
        <v>-</v>
      </c>
      <c r="F1188" s="4" t="s">
        <v>418</v>
      </c>
    </row>
    <row r="1189" spans="1:6" x14ac:dyDescent="0.25">
      <c r="A1189" s="4" t="str">
        <f>"Food Biophysics"</f>
        <v>Food Biophysics</v>
      </c>
      <c r="B1189" s="4" t="s">
        <v>6</v>
      </c>
      <c r="C1189" s="4" t="str">
        <f t="shared" si="42"/>
        <v>-</v>
      </c>
      <c r="D1189" s="4" t="str">
        <f>"15571858"</f>
        <v>15571858</v>
      </c>
      <c r="E1189" s="4" t="str">
        <f>"15571866"</f>
        <v>15571866</v>
      </c>
      <c r="F1189" s="4" t="s">
        <v>57</v>
      </c>
    </row>
    <row r="1190" spans="1:6" x14ac:dyDescent="0.25">
      <c r="A1190" s="4" t="str">
        <f>"Food Biotechnology"</f>
        <v>Food Biotechnology</v>
      </c>
      <c r="B1190" s="4" t="s">
        <v>6</v>
      </c>
      <c r="C1190" s="4" t="str">
        <f t="shared" si="42"/>
        <v>-</v>
      </c>
      <c r="D1190" s="4" t="str">
        <f>"08905436"</f>
        <v>08905436</v>
      </c>
      <c r="E1190" s="4" t="str">
        <f>"15324249"</f>
        <v>15324249</v>
      </c>
      <c r="F1190" s="4" t="s">
        <v>96</v>
      </c>
    </row>
    <row r="1191" spans="1:6" x14ac:dyDescent="0.25">
      <c r="A1191" s="4" t="str">
        <f>"Food Chemistry"</f>
        <v>Food Chemistry</v>
      </c>
      <c r="B1191" s="4" t="s">
        <v>6</v>
      </c>
      <c r="C1191" s="4" t="str">
        <f t="shared" si="42"/>
        <v>-</v>
      </c>
      <c r="D1191" s="4" t="str">
        <f>"03088146"</f>
        <v>03088146</v>
      </c>
      <c r="E1191" s="4" t="str">
        <f>"18737072"</f>
        <v>18737072</v>
      </c>
      <c r="F1191" s="4" t="s">
        <v>19</v>
      </c>
    </row>
    <row r="1192" spans="1:6" x14ac:dyDescent="0.25">
      <c r="A1192" s="4" t="str">
        <f>"Food Engineering Reviews"</f>
        <v>Food Engineering Reviews</v>
      </c>
      <c r="B1192" s="4" t="s">
        <v>6</v>
      </c>
      <c r="C1192" s="4" t="str">
        <f t="shared" si="42"/>
        <v>-</v>
      </c>
      <c r="D1192" s="4" t="str">
        <f>"18667910"</f>
        <v>18667910</v>
      </c>
      <c r="E1192" s="4" t="str">
        <f>"18667929"</f>
        <v>18667929</v>
      </c>
      <c r="F1192" s="4" t="s">
        <v>57</v>
      </c>
    </row>
    <row r="1193" spans="1:6" x14ac:dyDescent="0.25">
      <c r="A1193" s="4" t="str">
        <f>"Food Research International"</f>
        <v>Food Research International</v>
      </c>
      <c r="B1193" s="4" t="s">
        <v>6</v>
      </c>
      <c r="C1193" s="4" t="str">
        <f t="shared" si="42"/>
        <v>-</v>
      </c>
      <c r="D1193" s="4" t="str">
        <f>"09639969"</f>
        <v>09639969</v>
      </c>
      <c r="E1193" s="4" t="str">
        <f>"-"</f>
        <v>-</v>
      </c>
      <c r="F1193" s="4" t="s">
        <v>19</v>
      </c>
    </row>
    <row r="1194" spans="1:6" x14ac:dyDescent="0.25">
      <c r="A1194" s="4" t="str">
        <f>"Food Reviews International"</f>
        <v>Food Reviews International</v>
      </c>
      <c r="B1194" s="4" t="s">
        <v>6</v>
      </c>
      <c r="C1194" s="4" t="str">
        <f t="shared" si="42"/>
        <v>-</v>
      </c>
      <c r="D1194" s="4" t="str">
        <f>"87559129"</f>
        <v>87559129</v>
      </c>
      <c r="E1194" s="4" t="str">
        <f>"15256103"</f>
        <v>15256103</v>
      </c>
      <c r="F1194" s="4" t="s">
        <v>96</v>
      </c>
    </row>
    <row r="1195" spans="1:6" x14ac:dyDescent="0.25">
      <c r="A1195" s="4" t="s">
        <v>419</v>
      </c>
      <c r="B1195" s="4" t="s">
        <v>6</v>
      </c>
      <c r="D1195" s="4" t="s">
        <v>420</v>
      </c>
      <c r="F1195" s="4" t="s">
        <v>421</v>
      </c>
    </row>
    <row r="1196" spans="1:6" x14ac:dyDescent="0.25">
      <c r="A1196" s="4" t="str">
        <f>"Food Science and Biotechnology"</f>
        <v>Food Science and Biotechnology</v>
      </c>
      <c r="B1196" s="4" t="s">
        <v>6</v>
      </c>
      <c r="C1196" s="4" t="str">
        <f t="shared" ref="C1196:C1238" si="43">"-"</f>
        <v>-</v>
      </c>
      <c r="D1196" s="4" t="str">
        <f>"12267708"</f>
        <v>12267708</v>
      </c>
      <c r="E1196" s="4" t="str">
        <f>"-"</f>
        <v>-</v>
      </c>
      <c r="F1196" s="4" t="s">
        <v>162</v>
      </c>
    </row>
    <row r="1197" spans="1:6" x14ac:dyDescent="0.25">
      <c r="A1197" s="4" t="str">
        <f>"Food Science and Technology (London)"</f>
        <v>Food Science and Technology (London)</v>
      </c>
      <c r="B1197" s="4" t="s">
        <v>6</v>
      </c>
      <c r="C1197" s="4" t="str">
        <f t="shared" si="43"/>
        <v>-</v>
      </c>
      <c r="D1197" s="4" t="str">
        <f>"14753324"</f>
        <v>14753324</v>
      </c>
      <c r="E1197" s="4" t="str">
        <f>"-"</f>
        <v>-</v>
      </c>
      <c r="F1197" s="4" t="s">
        <v>422</v>
      </c>
    </row>
    <row r="1198" spans="1:6" x14ac:dyDescent="0.25">
      <c r="A1198" s="4" t="str">
        <f>"Food Science and Technology International"</f>
        <v>Food Science and Technology International</v>
      </c>
      <c r="B1198" s="4" t="s">
        <v>6</v>
      </c>
      <c r="C1198" s="4" t="str">
        <f t="shared" si="43"/>
        <v>-</v>
      </c>
      <c r="D1198" s="4" t="str">
        <f>"10820132"</f>
        <v>10820132</v>
      </c>
      <c r="E1198" s="4" t="str">
        <f>"15321738"</f>
        <v>15321738</v>
      </c>
      <c r="F1198" s="4" t="s">
        <v>50</v>
      </c>
    </row>
    <row r="1199" spans="1:6" x14ac:dyDescent="0.25">
      <c r="A1199" s="4" t="str">
        <f>"Food Science and Technology Research"</f>
        <v>Food Science and Technology Research</v>
      </c>
      <c r="B1199" s="4" t="s">
        <v>6</v>
      </c>
      <c r="C1199" s="4" t="str">
        <f t="shared" si="43"/>
        <v>-</v>
      </c>
      <c r="D1199" s="4" t="str">
        <f>"13446606"</f>
        <v>13446606</v>
      </c>
      <c r="E1199" s="4" t="str">
        <f>"-"</f>
        <v>-</v>
      </c>
      <c r="F1199" s="4" t="s">
        <v>423</v>
      </c>
    </row>
    <row r="1200" spans="1:6" x14ac:dyDescent="0.25">
      <c r="A1200" s="4" t="str">
        <f>"Food Technology and Biotechnology"</f>
        <v>Food Technology and Biotechnology</v>
      </c>
      <c r="B1200" s="4" t="s">
        <v>6</v>
      </c>
      <c r="C1200" s="4" t="str">
        <f t="shared" si="43"/>
        <v>-</v>
      </c>
      <c r="D1200" s="4" t="str">
        <f>"13309862"</f>
        <v>13309862</v>
      </c>
      <c r="E1200" s="4" t="str">
        <f>"13342606"</f>
        <v>13342606</v>
      </c>
      <c r="F1200" s="4" t="s">
        <v>311</v>
      </c>
    </row>
    <row r="1201" spans="1:6" x14ac:dyDescent="0.25">
      <c r="A1201" s="4" t="str">
        <f>"Forensic Engineering, Proceedings of the Congress"</f>
        <v>Forensic Engineering, Proceedings of the Congress</v>
      </c>
      <c r="B1201" s="4" t="s">
        <v>8</v>
      </c>
      <c r="C1201" s="4" t="str">
        <f t="shared" si="43"/>
        <v>-</v>
      </c>
      <c r="D1201" s="4" t="str">
        <f>"-"</f>
        <v>-</v>
      </c>
      <c r="E1201" s="4" t="str">
        <f>"-"</f>
        <v>-</v>
      </c>
      <c r="F1201" s="4" t="s">
        <v>111</v>
      </c>
    </row>
    <row r="1202" spans="1:6" x14ac:dyDescent="0.25">
      <c r="A1202" s="4" t="str">
        <f>"Forest Chemicals Review"</f>
        <v>Forest Chemicals Review</v>
      </c>
      <c r="B1202" s="4" t="s">
        <v>22</v>
      </c>
      <c r="C1202" s="4" t="str">
        <f t="shared" si="43"/>
        <v>-</v>
      </c>
      <c r="D1202" s="4" t="str">
        <f>"15200191"</f>
        <v>15200191</v>
      </c>
      <c r="E1202" s="4" t="str">
        <f t="shared" ref="E1202:E1207" si="44">"-"</f>
        <v>-</v>
      </c>
      <c r="F1202" s="4" t="s">
        <v>424</v>
      </c>
    </row>
    <row r="1203" spans="1:6" x14ac:dyDescent="0.25">
      <c r="A1203" s="4" t="str">
        <f>"Forest Ecology and Management"</f>
        <v>Forest Ecology and Management</v>
      </c>
      <c r="B1203" s="4" t="s">
        <v>6</v>
      </c>
      <c r="C1203" s="4" t="str">
        <f t="shared" si="43"/>
        <v>-</v>
      </c>
      <c r="D1203" s="4" t="str">
        <f>"03781127"</f>
        <v>03781127</v>
      </c>
      <c r="E1203" s="4" t="str">
        <f t="shared" si="44"/>
        <v>-</v>
      </c>
      <c r="F1203" s="4" t="s">
        <v>55</v>
      </c>
    </row>
    <row r="1204" spans="1:6" x14ac:dyDescent="0.25">
      <c r="A1204" s="4" t="str">
        <f>"Forest Policy and Economics"</f>
        <v>Forest Policy and Economics</v>
      </c>
      <c r="B1204" s="4" t="s">
        <v>6</v>
      </c>
      <c r="C1204" s="4" t="str">
        <f t="shared" si="43"/>
        <v>-</v>
      </c>
      <c r="D1204" s="4" t="str">
        <f>"13899341"</f>
        <v>13899341</v>
      </c>
      <c r="E1204" s="4" t="str">
        <f t="shared" si="44"/>
        <v>-</v>
      </c>
      <c r="F1204" s="4" t="s">
        <v>55</v>
      </c>
    </row>
    <row r="1205" spans="1:6" x14ac:dyDescent="0.25">
      <c r="A1205" s="4" t="str">
        <f>"Forest Products Journal"</f>
        <v>Forest Products Journal</v>
      </c>
      <c r="B1205" s="4" t="s">
        <v>6</v>
      </c>
      <c r="C1205" s="4" t="str">
        <f t="shared" si="43"/>
        <v>-</v>
      </c>
      <c r="D1205" s="4" t="str">
        <f>"00157473"</f>
        <v>00157473</v>
      </c>
      <c r="E1205" s="4" t="str">
        <f t="shared" si="44"/>
        <v>-</v>
      </c>
      <c r="F1205" s="4" t="s">
        <v>425</v>
      </c>
    </row>
    <row r="1206" spans="1:6" x14ac:dyDescent="0.25">
      <c r="A1206" s="4" t="str">
        <f>"Forest Science"</f>
        <v>Forest Science</v>
      </c>
      <c r="B1206" s="4" t="s">
        <v>6</v>
      </c>
      <c r="C1206" s="4" t="str">
        <f t="shared" si="43"/>
        <v>-</v>
      </c>
      <c r="D1206" s="4" t="str">
        <f>"0015749X"</f>
        <v>0015749X</v>
      </c>
      <c r="E1206" s="4" t="str">
        <f t="shared" si="44"/>
        <v>-</v>
      </c>
      <c r="F1206" s="4" t="s">
        <v>426</v>
      </c>
    </row>
    <row r="1207" spans="1:6" x14ac:dyDescent="0.25">
      <c r="A1207" s="4" t="str">
        <f>"Forestry Chronicle"</f>
        <v>Forestry Chronicle</v>
      </c>
      <c r="B1207" s="4" t="s">
        <v>6</v>
      </c>
      <c r="C1207" s="4" t="str">
        <f t="shared" si="43"/>
        <v>-</v>
      </c>
      <c r="D1207" s="4" t="str">
        <f>"00157546"</f>
        <v>00157546</v>
      </c>
      <c r="E1207" s="4" t="str">
        <f t="shared" si="44"/>
        <v>-</v>
      </c>
      <c r="F1207" s="4" t="s">
        <v>427</v>
      </c>
    </row>
    <row r="1208" spans="1:6" x14ac:dyDescent="0.25">
      <c r="A1208" s="4" t="str">
        <f>"Forestry Studies"</f>
        <v>Forestry Studies</v>
      </c>
      <c r="B1208" s="4" t="s">
        <v>6</v>
      </c>
      <c r="C1208" s="4" t="str">
        <f t="shared" si="43"/>
        <v>-</v>
      </c>
      <c r="D1208" s="4" t="str">
        <f>"14069954"</f>
        <v>14069954</v>
      </c>
      <c r="E1208" s="4" t="str">
        <f>"17368723"</f>
        <v>17368723</v>
      </c>
      <c r="F1208" s="4" t="s">
        <v>428</v>
      </c>
    </row>
    <row r="1209" spans="1:6" x14ac:dyDescent="0.25">
      <c r="A1209" s="4" t="str">
        <f>"Forests"</f>
        <v>Forests</v>
      </c>
      <c r="B1209" s="4" t="s">
        <v>6</v>
      </c>
      <c r="C1209" s="4" t="str">
        <f t="shared" si="43"/>
        <v>-</v>
      </c>
      <c r="D1209" s="4" t="str">
        <f>"-"</f>
        <v>-</v>
      </c>
      <c r="E1209" s="4" t="str">
        <f>"19994907"</f>
        <v>19994907</v>
      </c>
      <c r="F1209" s="4" t="s">
        <v>114</v>
      </c>
    </row>
    <row r="1210" spans="1:6" x14ac:dyDescent="0.25">
      <c r="A1210" s="4" t="str">
        <f>"Formal Aspects of Computing"</f>
        <v>Formal Aspects of Computing</v>
      </c>
      <c r="B1210" s="4" t="s">
        <v>6</v>
      </c>
      <c r="C1210" s="4" t="str">
        <f t="shared" si="43"/>
        <v>-</v>
      </c>
      <c r="D1210" s="4" t="str">
        <f>"09345043"</f>
        <v>09345043</v>
      </c>
      <c r="E1210" s="4" t="str">
        <f>"1433299X"</f>
        <v>1433299X</v>
      </c>
      <c r="F1210" s="4" t="s">
        <v>62</v>
      </c>
    </row>
    <row r="1211" spans="1:6" x14ac:dyDescent="0.25">
      <c r="A1211" s="4" t="str">
        <f>"Formal Methods in System Design"</f>
        <v>Formal Methods in System Design</v>
      </c>
      <c r="B1211" s="4" t="s">
        <v>6</v>
      </c>
      <c r="C1211" s="4" t="str">
        <f t="shared" si="43"/>
        <v>-</v>
      </c>
      <c r="D1211" s="4" t="str">
        <f>"09259856"</f>
        <v>09259856</v>
      </c>
      <c r="E1211" s="4" t="str">
        <f>"15728102"</f>
        <v>15728102</v>
      </c>
      <c r="F1211" s="4" t="s">
        <v>57</v>
      </c>
    </row>
    <row r="1212" spans="1:6" x14ac:dyDescent="0.25">
      <c r="A1212" s="4" t="str">
        <f>"Forschung im Ingenieurwesen/Engineering Research"</f>
        <v>Forschung im Ingenieurwesen/Engineering Research</v>
      </c>
      <c r="B1212" s="4" t="s">
        <v>6</v>
      </c>
      <c r="C1212" s="4" t="str">
        <f t="shared" si="43"/>
        <v>-</v>
      </c>
      <c r="D1212" s="4" t="str">
        <f>"00157899"</f>
        <v>00157899</v>
      </c>
      <c r="E1212" s="4" t="str">
        <f>"14340860"</f>
        <v>14340860</v>
      </c>
      <c r="F1212" s="4" t="s">
        <v>42</v>
      </c>
    </row>
    <row r="1213" spans="1:6" x14ac:dyDescent="0.25">
      <c r="A1213" s="4" t="str">
        <f>"Forum on Specification and Design Languages"</f>
        <v>Forum on Specification and Design Languages</v>
      </c>
      <c r="B1213" s="4" t="s">
        <v>8</v>
      </c>
      <c r="C1213" s="4" t="str">
        <f t="shared" si="43"/>
        <v>-</v>
      </c>
      <c r="D1213" s="4" t="str">
        <f>"16369874"</f>
        <v>16369874</v>
      </c>
      <c r="E1213" s="4" t="str">
        <f>"-"</f>
        <v>-</v>
      </c>
      <c r="F1213" s="4" t="s">
        <v>9</v>
      </c>
    </row>
    <row r="1214" spans="1:6" x14ac:dyDescent="0.25">
      <c r="A1214" s="4" t="str">
        <f>"Foundations and Trends in Communications and Information Theory"</f>
        <v>Foundations and Trends in Communications and Information Theory</v>
      </c>
      <c r="B1214" s="4" t="s">
        <v>6</v>
      </c>
      <c r="C1214" s="4" t="str">
        <f t="shared" si="43"/>
        <v>-</v>
      </c>
      <c r="D1214" s="4" t="str">
        <f>"15672190"</f>
        <v>15672190</v>
      </c>
      <c r="E1214" s="4" t="str">
        <f>"15672328"</f>
        <v>15672328</v>
      </c>
      <c r="F1214" s="4" t="s">
        <v>429</v>
      </c>
    </row>
    <row r="1215" spans="1:6" x14ac:dyDescent="0.25">
      <c r="A1215" s="4" t="str">
        <f>"Foundations and Trends in Computer Graphics and Vision"</f>
        <v>Foundations and Trends in Computer Graphics and Vision</v>
      </c>
      <c r="B1215" s="4" t="s">
        <v>6</v>
      </c>
      <c r="C1215" s="4" t="str">
        <f t="shared" si="43"/>
        <v>-</v>
      </c>
      <c r="D1215" s="4" t="str">
        <f>"15722740"</f>
        <v>15722740</v>
      </c>
      <c r="E1215" s="4" t="str">
        <f>"15722759"</f>
        <v>15722759</v>
      </c>
      <c r="F1215" s="4" t="s">
        <v>429</v>
      </c>
    </row>
    <row r="1216" spans="1:6" x14ac:dyDescent="0.25">
      <c r="A1216" s="4" t="str">
        <f>"Foundations and Trends in Databases"</f>
        <v>Foundations and Trends in Databases</v>
      </c>
      <c r="B1216" s="4" t="s">
        <v>6</v>
      </c>
      <c r="C1216" s="4" t="str">
        <f t="shared" si="43"/>
        <v>-</v>
      </c>
      <c r="D1216" s="4" t="str">
        <f>"19317883"</f>
        <v>19317883</v>
      </c>
      <c r="E1216" s="4" t="str">
        <f>"19317891"</f>
        <v>19317891</v>
      </c>
      <c r="F1216" s="4" t="s">
        <v>429</v>
      </c>
    </row>
    <row r="1217" spans="1:6" x14ac:dyDescent="0.25">
      <c r="A1217" s="4" t="str">
        <f>"Foundations and Trends in Electronic Design Automation"</f>
        <v>Foundations and Trends in Electronic Design Automation</v>
      </c>
      <c r="B1217" s="4" t="s">
        <v>6</v>
      </c>
      <c r="C1217" s="4" t="str">
        <f t="shared" si="43"/>
        <v>-</v>
      </c>
      <c r="D1217" s="4" t="str">
        <f>"15513939"</f>
        <v>15513939</v>
      </c>
      <c r="E1217" s="4" t="str">
        <f>"15513947"</f>
        <v>15513947</v>
      </c>
      <c r="F1217" s="4" t="s">
        <v>429</v>
      </c>
    </row>
    <row r="1218" spans="1:6" x14ac:dyDescent="0.25">
      <c r="A1218" s="4" t="str">
        <f>"Foundations and Trends in Human-Computer Interaction"</f>
        <v>Foundations and Trends in Human-Computer Interaction</v>
      </c>
      <c r="B1218" s="4" t="s">
        <v>6</v>
      </c>
      <c r="C1218" s="4" t="str">
        <f t="shared" si="43"/>
        <v>-</v>
      </c>
      <c r="D1218" s="4" t="str">
        <f>"15513955"</f>
        <v>15513955</v>
      </c>
      <c r="E1218" s="4" t="str">
        <f>"15513963"</f>
        <v>15513963</v>
      </c>
      <c r="F1218" s="4" t="s">
        <v>429</v>
      </c>
    </row>
    <row r="1219" spans="1:6" x14ac:dyDescent="0.25">
      <c r="A1219" s="4" t="str">
        <f>"Foundations and Trends in Information Retrieval"</f>
        <v>Foundations and Trends in Information Retrieval</v>
      </c>
      <c r="B1219" s="4" t="s">
        <v>6</v>
      </c>
      <c r="C1219" s="4" t="str">
        <f t="shared" si="43"/>
        <v>-</v>
      </c>
      <c r="D1219" s="4" t="str">
        <f>"15540669"</f>
        <v>15540669</v>
      </c>
      <c r="E1219" s="4" t="str">
        <f>"15540677"</f>
        <v>15540677</v>
      </c>
      <c r="F1219" s="4" t="s">
        <v>429</v>
      </c>
    </row>
    <row r="1220" spans="1:6" x14ac:dyDescent="0.25">
      <c r="A1220" s="4" t="str">
        <f>"Foundations and Trends in Machine Learning"</f>
        <v>Foundations and Trends in Machine Learning</v>
      </c>
      <c r="B1220" s="4" t="s">
        <v>6</v>
      </c>
      <c r="C1220" s="4" t="str">
        <f t="shared" si="43"/>
        <v>-</v>
      </c>
      <c r="D1220" s="4" t="str">
        <f>"19358237"</f>
        <v>19358237</v>
      </c>
      <c r="E1220" s="4" t="str">
        <f>"19358245"</f>
        <v>19358245</v>
      </c>
      <c r="F1220" s="4" t="s">
        <v>429</v>
      </c>
    </row>
    <row r="1221" spans="1:6" x14ac:dyDescent="0.25">
      <c r="A1221" s="4" t="str">
        <f>"Foundations and Trends in Networking"</f>
        <v>Foundations and Trends in Networking</v>
      </c>
      <c r="B1221" s="4" t="s">
        <v>6</v>
      </c>
      <c r="C1221" s="4" t="str">
        <f t="shared" si="43"/>
        <v>-</v>
      </c>
      <c r="D1221" s="4" t="str">
        <f>"1554057X"</f>
        <v>1554057X</v>
      </c>
      <c r="E1221" s="4" t="str">
        <f>"15540588"</f>
        <v>15540588</v>
      </c>
      <c r="F1221" s="4" t="s">
        <v>429</v>
      </c>
    </row>
    <row r="1222" spans="1:6" x14ac:dyDescent="0.25">
      <c r="A1222" s="4" t="str">
        <f>"Foundations and Trends in Signal Processing"</f>
        <v>Foundations and Trends in Signal Processing</v>
      </c>
      <c r="B1222" s="4" t="s">
        <v>6</v>
      </c>
      <c r="C1222" s="4" t="str">
        <f t="shared" si="43"/>
        <v>-</v>
      </c>
      <c r="D1222" s="4" t="str">
        <f>"19328346"</f>
        <v>19328346</v>
      </c>
      <c r="E1222" s="4" t="str">
        <f>"19328354"</f>
        <v>19328354</v>
      </c>
      <c r="F1222" s="4" t="s">
        <v>429</v>
      </c>
    </row>
    <row r="1223" spans="1:6" x14ac:dyDescent="0.25">
      <c r="A1223" s="4" t="str">
        <f>"Foundations and Trends in Technology, Information and Operations Management"</f>
        <v>Foundations and Trends in Technology, Information and Operations Management</v>
      </c>
      <c r="B1223" s="4" t="s">
        <v>6</v>
      </c>
      <c r="C1223" s="4" t="str">
        <f t="shared" si="43"/>
        <v>-</v>
      </c>
      <c r="D1223" s="4" t="str">
        <f>"15719545"</f>
        <v>15719545</v>
      </c>
      <c r="E1223" s="4" t="str">
        <f>"-"</f>
        <v>-</v>
      </c>
      <c r="F1223" s="4" t="s">
        <v>429</v>
      </c>
    </row>
    <row r="1224" spans="1:6" x14ac:dyDescent="0.25">
      <c r="A1224" s="4" t="str">
        <f>"Foundations and Trends in Theoretical Computer Science"</f>
        <v>Foundations and Trends in Theoretical Computer Science</v>
      </c>
      <c r="B1224" s="4" t="s">
        <v>6</v>
      </c>
      <c r="C1224" s="4" t="str">
        <f t="shared" si="43"/>
        <v>-</v>
      </c>
      <c r="D1224" s="4" t="str">
        <f>"1551305X"</f>
        <v>1551305X</v>
      </c>
      <c r="E1224" s="4" t="str">
        <f>"15513068"</f>
        <v>15513068</v>
      </c>
      <c r="F1224" s="4" t="s">
        <v>429</v>
      </c>
    </row>
    <row r="1225" spans="1:6" x14ac:dyDescent="0.25">
      <c r="A1225" s="4" t="str">
        <f>"Foundations and Trends in Web Science"</f>
        <v>Foundations and Trends in Web Science</v>
      </c>
      <c r="B1225" s="4" t="s">
        <v>6</v>
      </c>
      <c r="C1225" s="4" t="str">
        <f t="shared" si="43"/>
        <v>-</v>
      </c>
      <c r="D1225" s="4" t="str">
        <f>"1555077X"</f>
        <v>1555077X</v>
      </c>
      <c r="E1225" s="4" t="str">
        <f>"15550788"</f>
        <v>15550788</v>
      </c>
      <c r="F1225" s="4" t="s">
        <v>429</v>
      </c>
    </row>
    <row r="1226" spans="1:6" x14ac:dyDescent="0.25">
      <c r="A1226" s="4" t="str">
        <f>"Foundations of Computational Mathematics"</f>
        <v>Foundations of Computational Mathematics</v>
      </c>
      <c r="B1226" s="4" t="s">
        <v>6</v>
      </c>
      <c r="C1226" s="4" t="str">
        <f t="shared" si="43"/>
        <v>-</v>
      </c>
      <c r="D1226" s="4" t="str">
        <f>"16153375"</f>
        <v>16153375</v>
      </c>
      <c r="E1226" s="4" t="str">
        <f>"16153383"</f>
        <v>16153383</v>
      </c>
      <c r="F1226" s="4" t="s">
        <v>57</v>
      </c>
    </row>
    <row r="1227" spans="1:6" x14ac:dyDescent="0.25">
      <c r="A1227" s="4" t="str">
        <f>"Foundations of Computing and Decision Sciences"</f>
        <v>Foundations of Computing and Decision Sciences</v>
      </c>
      <c r="B1227" s="4" t="s">
        <v>6</v>
      </c>
      <c r="C1227" s="4" t="str">
        <f t="shared" si="43"/>
        <v>-</v>
      </c>
      <c r="D1227" s="4" t="str">
        <f>"08676356"</f>
        <v>08676356</v>
      </c>
      <c r="E1227" s="4" t="str">
        <f>"-"</f>
        <v>-</v>
      </c>
      <c r="F1227" s="4" t="s">
        <v>189</v>
      </c>
    </row>
    <row r="1228" spans="1:6" x14ac:dyDescent="0.25">
      <c r="A1228" s="4" t="str">
        <f>"Foundations of Science"</f>
        <v>Foundations of Science</v>
      </c>
      <c r="B1228" s="4" t="s">
        <v>6</v>
      </c>
      <c r="C1228" s="4" t="str">
        <f t="shared" si="43"/>
        <v>-</v>
      </c>
      <c r="D1228" s="4" t="str">
        <f>"12331821"</f>
        <v>12331821</v>
      </c>
      <c r="E1228" s="4" t="str">
        <f>"15728471"</f>
        <v>15728471</v>
      </c>
      <c r="F1228" s="4" t="s">
        <v>31</v>
      </c>
    </row>
    <row r="1229" spans="1:6" x14ac:dyDescent="0.25">
      <c r="A1229" s="4" t="str">
        <f>"Fractals"</f>
        <v>Fractals</v>
      </c>
      <c r="B1229" s="4" t="s">
        <v>6</v>
      </c>
      <c r="C1229" s="4" t="str">
        <f t="shared" si="43"/>
        <v>-</v>
      </c>
      <c r="D1229" s="4" t="str">
        <f>"0218348X"</f>
        <v>0218348X</v>
      </c>
      <c r="E1229" s="4" t="str">
        <f>"-"</f>
        <v>-</v>
      </c>
      <c r="F1229" s="4" t="s">
        <v>157</v>
      </c>
    </row>
    <row r="1230" spans="1:6" x14ac:dyDescent="0.25">
      <c r="A1230" s="4" t="str">
        <f>"Frascati Physics Series"</f>
        <v>Frascati Physics Series</v>
      </c>
      <c r="B1230" s="4" t="s">
        <v>8</v>
      </c>
      <c r="C1230" s="4" t="str">
        <f t="shared" si="43"/>
        <v>-</v>
      </c>
      <c r="D1230" s="4" t="str">
        <f>"11225157"</f>
        <v>11225157</v>
      </c>
      <c r="E1230" s="4" t="str">
        <f>"-"</f>
        <v>-</v>
      </c>
      <c r="F1230" s="4" t="s">
        <v>430</v>
      </c>
    </row>
    <row r="1231" spans="1:6" x14ac:dyDescent="0.25">
      <c r="A1231" s="4" t="str">
        <f>"Frattura ed Integrita Strutturale"</f>
        <v>Frattura ed Integrita Strutturale</v>
      </c>
      <c r="B1231" s="4" t="s">
        <v>6</v>
      </c>
      <c r="C1231" s="4" t="str">
        <f t="shared" si="43"/>
        <v>-</v>
      </c>
      <c r="D1231" s="4" t="str">
        <f>"-"</f>
        <v>-</v>
      </c>
      <c r="E1231" s="4" t="str">
        <f>"19718993"</f>
        <v>19718993</v>
      </c>
      <c r="F1231" s="4" t="s">
        <v>431</v>
      </c>
    </row>
    <row r="1232" spans="1:6" x14ac:dyDescent="0.25">
      <c r="A1232" s="4" t="str">
        <f>"Frequenz"</f>
        <v>Frequenz</v>
      </c>
      <c r="B1232" s="4" t="s">
        <v>6</v>
      </c>
      <c r="C1232" s="4" t="str">
        <f t="shared" si="43"/>
        <v>-</v>
      </c>
      <c r="D1232" s="4" t="str">
        <f>"00161136"</f>
        <v>00161136</v>
      </c>
      <c r="E1232" s="4" t="str">
        <f>"21916349"</f>
        <v>21916349</v>
      </c>
      <c r="F1232" s="4" t="s">
        <v>189</v>
      </c>
    </row>
    <row r="1233" spans="1:6" x14ac:dyDescent="0.25">
      <c r="A1233" s="4" t="str">
        <f>"Frontiers in Artificial Intelligence and Applications"</f>
        <v>Frontiers in Artificial Intelligence and Applications</v>
      </c>
      <c r="B1233" s="4" t="s">
        <v>29</v>
      </c>
      <c r="C1233" s="4" t="str">
        <f t="shared" si="43"/>
        <v>-</v>
      </c>
      <c r="D1233" s="4" t="str">
        <f>"09226389"</f>
        <v>09226389</v>
      </c>
      <c r="E1233" s="4" t="str">
        <f>"-"</f>
        <v>-</v>
      </c>
      <c r="F1233" s="4" t="s">
        <v>103</v>
      </c>
    </row>
    <row r="1234" spans="1:6" x14ac:dyDescent="0.25">
      <c r="A1234" s="4" t="str">
        <f>"Frontiers in Bioengineering and Biotechnology"</f>
        <v>Frontiers in Bioengineering and Biotechnology</v>
      </c>
      <c r="B1234" s="4" t="s">
        <v>6</v>
      </c>
      <c r="C1234" s="4" t="str">
        <f t="shared" si="43"/>
        <v>-</v>
      </c>
      <c r="D1234" s="4" t="str">
        <f>"-"</f>
        <v>-</v>
      </c>
      <c r="E1234" s="4" t="str">
        <f>"22964185"</f>
        <v>22964185</v>
      </c>
      <c r="F1234" s="4" t="s">
        <v>432</v>
      </c>
    </row>
    <row r="1235" spans="1:6" x14ac:dyDescent="0.25">
      <c r="A1235" s="4" t="str">
        <f>"Frontiers in Computational Neuroscience"</f>
        <v>Frontiers in Computational Neuroscience</v>
      </c>
      <c r="B1235" s="4" t="s">
        <v>6</v>
      </c>
      <c r="C1235" s="4" t="str">
        <f t="shared" si="43"/>
        <v>-</v>
      </c>
      <c r="D1235" s="4" t="str">
        <f>"16625188"</f>
        <v>16625188</v>
      </c>
      <c r="E1235" s="4" t="str">
        <f>"16625188"</f>
        <v>16625188</v>
      </c>
      <c r="F1235" s="4" t="s">
        <v>432</v>
      </c>
    </row>
    <row r="1236" spans="1:6" x14ac:dyDescent="0.25">
      <c r="A1236" s="4" t="str">
        <f>"Frontiers in Energy Research"</f>
        <v>Frontiers in Energy Research</v>
      </c>
      <c r="B1236" s="4" t="s">
        <v>6</v>
      </c>
      <c r="C1236" s="4" t="str">
        <f t="shared" si="43"/>
        <v>-</v>
      </c>
      <c r="D1236" s="4" t="str">
        <f>"-"</f>
        <v>-</v>
      </c>
      <c r="E1236" s="4" t="str">
        <f>"2296598X"</f>
        <v>2296598X</v>
      </c>
      <c r="F1236" s="4" t="s">
        <v>432</v>
      </c>
    </row>
    <row r="1237" spans="1:6" x14ac:dyDescent="0.25">
      <c r="A1237" s="4" t="str">
        <f>"Frontiers in Heat and Mass Transfer"</f>
        <v>Frontiers in Heat and Mass Transfer</v>
      </c>
      <c r="B1237" s="4" t="s">
        <v>6</v>
      </c>
      <c r="C1237" s="4" t="str">
        <f t="shared" si="43"/>
        <v>-</v>
      </c>
      <c r="D1237" s="4" t="str">
        <f>"-"</f>
        <v>-</v>
      </c>
      <c r="E1237" s="4" t="str">
        <f>"21518629"</f>
        <v>21518629</v>
      </c>
      <c r="F1237" s="4" t="s">
        <v>433</v>
      </c>
    </row>
    <row r="1238" spans="1:6" x14ac:dyDescent="0.25">
      <c r="A1238" s="4" t="str">
        <f>"Frontiers in Neurorobotics"</f>
        <v>Frontiers in Neurorobotics</v>
      </c>
      <c r="B1238" s="4" t="s">
        <v>6</v>
      </c>
      <c r="C1238" s="4" t="str">
        <f t="shared" si="43"/>
        <v>-</v>
      </c>
      <c r="D1238" s="4" t="str">
        <f>"-"</f>
        <v>-</v>
      </c>
      <c r="E1238" s="4" t="str">
        <f>"16625218"</f>
        <v>16625218</v>
      </c>
      <c r="F1238" s="4" t="s">
        <v>432</v>
      </c>
    </row>
    <row r="1239" spans="1:6" x14ac:dyDescent="0.25">
      <c r="A1239" s="4" t="s">
        <v>434</v>
      </c>
      <c r="B1239" s="4" t="s">
        <v>6</v>
      </c>
      <c r="D1239" s="4" t="s">
        <v>435</v>
      </c>
      <c r="E1239" s="4" t="s">
        <v>436</v>
      </c>
      <c r="F1239" s="4" t="s">
        <v>437</v>
      </c>
    </row>
    <row r="1240" spans="1:6" x14ac:dyDescent="0.25">
      <c r="A1240" s="4" t="str">
        <f>"Frontiers of Computer Science"</f>
        <v>Frontiers of Computer Science</v>
      </c>
      <c r="B1240" s="4" t="s">
        <v>6</v>
      </c>
      <c r="C1240" s="4" t="str">
        <f>"-"</f>
        <v>-</v>
      </c>
      <c r="D1240" s="4" t="str">
        <f>"20952228"</f>
        <v>20952228</v>
      </c>
      <c r="E1240" s="4" t="str">
        <f>"20952236"</f>
        <v>20952236</v>
      </c>
      <c r="F1240" s="4" t="s">
        <v>437</v>
      </c>
    </row>
    <row r="1241" spans="1:6" x14ac:dyDescent="0.25">
      <c r="A1241" s="4" t="s">
        <v>438</v>
      </c>
      <c r="B1241" s="4" t="s">
        <v>6</v>
      </c>
      <c r="D1241" s="4" t="s">
        <v>439</v>
      </c>
      <c r="E1241" s="4" t="s">
        <v>440</v>
      </c>
      <c r="F1241" s="4" t="s">
        <v>437</v>
      </c>
    </row>
    <row r="1242" spans="1:6" x14ac:dyDescent="0.25">
      <c r="A1242" s="4" t="str">
        <f>"Frontiers of Information Technology and Electronic Engineering"</f>
        <v>Frontiers of Information Technology and Electronic Engineering</v>
      </c>
      <c r="B1242" s="4" t="s">
        <v>6</v>
      </c>
      <c r="C1242" s="4" t="str">
        <f>"-"</f>
        <v>-</v>
      </c>
      <c r="D1242" s="4" t="str">
        <f>"20959184"</f>
        <v>20959184</v>
      </c>
      <c r="E1242" s="4" t="str">
        <f>"20959230"</f>
        <v>20959230</v>
      </c>
      <c r="F1242" s="4" t="s">
        <v>441</v>
      </c>
    </row>
    <row r="1243" spans="1:6" x14ac:dyDescent="0.25">
      <c r="A1243" s="4" t="s">
        <v>442</v>
      </c>
      <c r="B1243" s="4" t="s">
        <v>6</v>
      </c>
      <c r="D1243" s="4" t="s">
        <v>443</v>
      </c>
      <c r="E1243" s="4" t="s">
        <v>444</v>
      </c>
      <c r="F1243" s="4" t="s">
        <v>437</v>
      </c>
    </row>
    <row r="1244" spans="1:6" x14ac:dyDescent="0.25">
      <c r="A1244" s="4" t="s">
        <v>445</v>
      </c>
      <c r="B1244" s="4" t="s">
        <v>6</v>
      </c>
      <c r="D1244" s="4" t="s">
        <v>446</v>
      </c>
      <c r="E1244" s="4" t="s">
        <v>447</v>
      </c>
      <c r="F1244" s="4" t="s">
        <v>437</v>
      </c>
    </row>
    <row r="1245" spans="1:6" x14ac:dyDescent="0.25">
      <c r="A1245" s="4" t="str">
        <f>"Frontiers Science Series"</f>
        <v>Frontiers Science Series</v>
      </c>
      <c r="B1245" s="4" t="s">
        <v>8</v>
      </c>
      <c r="C1245" s="4" t="str">
        <f t="shared" ref="C1245:C1308" si="45">"-"</f>
        <v>-</v>
      </c>
      <c r="D1245" s="4" t="str">
        <f>"09158502"</f>
        <v>09158502</v>
      </c>
      <c r="E1245" s="4" t="str">
        <f>"-"</f>
        <v>-</v>
      </c>
      <c r="F1245" s="4" t="s">
        <v>448</v>
      </c>
    </row>
    <row r="1246" spans="1:6" x14ac:dyDescent="0.25">
      <c r="A1246" s="4" t="str">
        <f>"Fuel"</f>
        <v>Fuel</v>
      </c>
      <c r="B1246" s="4" t="s">
        <v>6</v>
      </c>
      <c r="C1246" s="4" t="str">
        <f t="shared" si="45"/>
        <v>-</v>
      </c>
      <c r="D1246" s="4" t="str">
        <f>"00162361"</f>
        <v>00162361</v>
      </c>
      <c r="E1246" s="4" t="str">
        <f>"-"</f>
        <v>-</v>
      </c>
      <c r="F1246" s="4" t="s">
        <v>19</v>
      </c>
    </row>
    <row r="1247" spans="1:6" x14ac:dyDescent="0.25">
      <c r="A1247" s="4" t="str">
        <f>"Fuel Cells"</f>
        <v>Fuel Cells</v>
      </c>
      <c r="B1247" s="4" t="s">
        <v>6</v>
      </c>
      <c r="C1247" s="4" t="str">
        <f t="shared" si="45"/>
        <v>-</v>
      </c>
      <c r="D1247" s="4" t="str">
        <f>"16156846"</f>
        <v>16156846</v>
      </c>
      <c r="E1247" s="4" t="str">
        <f>"16156854"</f>
        <v>16156854</v>
      </c>
      <c r="F1247" s="4" t="s">
        <v>142</v>
      </c>
    </row>
    <row r="1248" spans="1:6" x14ac:dyDescent="0.25">
      <c r="A1248" s="4" t="str">
        <f>"Fuel Cells Bulletin"</f>
        <v>Fuel Cells Bulletin</v>
      </c>
      <c r="B1248" s="4" t="s">
        <v>6</v>
      </c>
      <c r="C1248" s="4" t="str">
        <f t="shared" si="45"/>
        <v>-</v>
      </c>
      <c r="D1248" s="4" t="str">
        <f>"14642859"</f>
        <v>14642859</v>
      </c>
      <c r="E1248" s="4" t="str">
        <f>"-"</f>
        <v>-</v>
      </c>
      <c r="F1248" s="4" t="s">
        <v>19</v>
      </c>
    </row>
    <row r="1249" spans="1:6" x14ac:dyDescent="0.25">
      <c r="A1249" s="4" t="str">
        <f>"Fuel Processing Technology"</f>
        <v>Fuel Processing Technology</v>
      </c>
      <c r="B1249" s="4" t="s">
        <v>6</v>
      </c>
      <c r="C1249" s="4" t="str">
        <f t="shared" si="45"/>
        <v>-</v>
      </c>
      <c r="D1249" s="4" t="str">
        <f>"03783820"</f>
        <v>03783820</v>
      </c>
      <c r="E1249" s="4" t="str">
        <f>"-"</f>
        <v>-</v>
      </c>
      <c r="F1249" s="4" t="s">
        <v>55</v>
      </c>
    </row>
    <row r="1250" spans="1:6" x14ac:dyDescent="0.25">
      <c r="A1250" s="4" t="str">
        <f>"Fuhe Cailiao Xuebao/Acta Materiae Compositae Sinica"</f>
        <v>Fuhe Cailiao Xuebao/Acta Materiae Compositae Sinica</v>
      </c>
      <c r="B1250" s="4" t="s">
        <v>6</v>
      </c>
      <c r="C1250" s="4" t="str">
        <f t="shared" si="45"/>
        <v>-</v>
      </c>
      <c r="D1250" s="4" t="str">
        <f>"10003851"</f>
        <v>10003851</v>
      </c>
      <c r="E1250" s="4" t="str">
        <f>"-"</f>
        <v>-</v>
      </c>
      <c r="F1250" s="4" t="s">
        <v>174</v>
      </c>
    </row>
    <row r="1251" spans="1:6" x14ac:dyDescent="0.25">
      <c r="A1251" s="4" t="str">
        <f>"Fujitsu Scientific and Technical Journal"</f>
        <v>Fujitsu Scientific and Technical Journal</v>
      </c>
      <c r="B1251" s="4" t="s">
        <v>6</v>
      </c>
      <c r="C1251" s="4" t="str">
        <f t="shared" si="45"/>
        <v>-</v>
      </c>
      <c r="D1251" s="4" t="str">
        <f>"00162523"</f>
        <v>00162523</v>
      </c>
      <c r="E1251" s="4" t="str">
        <f>"-"</f>
        <v>-</v>
      </c>
      <c r="F1251" s="4" t="s">
        <v>449</v>
      </c>
    </row>
    <row r="1252" spans="1:6" x14ac:dyDescent="0.25">
      <c r="A1252" s="4" t="str">
        <f>"Fullerenes Nanotubes and Carbon Nanostructures"</f>
        <v>Fullerenes Nanotubes and Carbon Nanostructures</v>
      </c>
      <c r="B1252" s="4" t="s">
        <v>6</v>
      </c>
      <c r="C1252" s="4" t="str">
        <f t="shared" si="45"/>
        <v>-</v>
      </c>
      <c r="D1252" s="4" t="str">
        <f>"1536383X"</f>
        <v>1536383X</v>
      </c>
      <c r="E1252" s="4" t="str">
        <f>"15364046"</f>
        <v>15364046</v>
      </c>
      <c r="F1252" s="4" t="s">
        <v>96</v>
      </c>
    </row>
    <row r="1253" spans="1:6" x14ac:dyDescent="0.25">
      <c r="A1253" s="4" t="str">
        <f>"Functional Materials"</f>
        <v>Functional Materials</v>
      </c>
      <c r="B1253" s="4" t="s">
        <v>6</v>
      </c>
      <c r="C1253" s="4" t="str">
        <f t="shared" si="45"/>
        <v>-</v>
      </c>
      <c r="D1253" s="4" t="str">
        <f>"10275495"</f>
        <v>10275495</v>
      </c>
      <c r="E1253" s="4" t="str">
        <f>"22182993"</f>
        <v>22182993</v>
      </c>
      <c r="F1253" s="4" t="s">
        <v>450</v>
      </c>
    </row>
    <row r="1254" spans="1:6" x14ac:dyDescent="0.25">
      <c r="A1254" s="4" t="str">
        <f>"Functional Materials Letters"</f>
        <v>Functional Materials Letters</v>
      </c>
      <c r="B1254" s="4" t="s">
        <v>6</v>
      </c>
      <c r="C1254" s="4" t="str">
        <f t="shared" si="45"/>
        <v>-</v>
      </c>
      <c r="D1254" s="4" t="str">
        <f>"17936047"</f>
        <v>17936047</v>
      </c>
      <c r="E1254" s="4" t="str">
        <f>"17937213"</f>
        <v>17937213</v>
      </c>
      <c r="F1254" s="4" t="s">
        <v>157</v>
      </c>
    </row>
    <row r="1255" spans="1:6" x14ac:dyDescent="0.25">
      <c r="A1255" s="4" t="str">
        <f>"Fundamenta Informaticae"</f>
        <v>Fundamenta Informaticae</v>
      </c>
      <c r="B1255" s="4" t="s">
        <v>6</v>
      </c>
      <c r="C1255" s="4" t="str">
        <f t="shared" si="45"/>
        <v>-</v>
      </c>
      <c r="D1255" s="4" t="str">
        <f>"01692968"</f>
        <v>01692968</v>
      </c>
      <c r="E1255" s="4" t="str">
        <f>"-"</f>
        <v>-</v>
      </c>
      <c r="F1255" s="4" t="s">
        <v>103</v>
      </c>
    </row>
    <row r="1256" spans="1:6" x14ac:dyDescent="0.25">
      <c r="A1256" s="4" t="str">
        <f>"Fundamentals of Papermaking Materials"</f>
        <v>Fundamentals of Papermaking Materials</v>
      </c>
      <c r="B1256" s="4" t="s">
        <v>8</v>
      </c>
      <c r="C1256" s="4" t="str">
        <f t="shared" si="45"/>
        <v>-</v>
      </c>
      <c r="D1256" s="4" t="str">
        <f>"-"</f>
        <v>-</v>
      </c>
      <c r="E1256" s="4" t="str">
        <f>"-"</f>
        <v>-</v>
      </c>
      <c r="F1256" s="4" t="s">
        <v>202</v>
      </c>
    </row>
    <row r="1257" spans="1:6" x14ac:dyDescent="0.25">
      <c r="A1257" s="4" t="str">
        <f>"Funtai Oyobi Fummatsu Yakin/Journal of the Japan Society of Powder and Powder Metallurgy"</f>
        <v>Funtai Oyobi Fummatsu Yakin/Journal of the Japan Society of Powder and Powder Metallurgy</v>
      </c>
      <c r="B1257" s="4" t="s">
        <v>6</v>
      </c>
      <c r="C1257" s="4" t="str">
        <f t="shared" si="45"/>
        <v>-</v>
      </c>
      <c r="D1257" s="4" t="str">
        <f>"05328799"</f>
        <v>05328799</v>
      </c>
      <c r="E1257" s="4" t="str">
        <f>"-"</f>
        <v>-</v>
      </c>
      <c r="F1257" s="4" t="s">
        <v>451</v>
      </c>
    </row>
    <row r="1258" spans="1:6" x14ac:dyDescent="0.25">
      <c r="A1258" s="4" t="str">
        <f>"Furukawa Review"</f>
        <v>Furukawa Review</v>
      </c>
      <c r="B1258" s="4" t="s">
        <v>6</v>
      </c>
      <c r="C1258" s="4" t="str">
        <f t="shared" si="45"/>
        <v>-</v>
      </c>
      <c r="D1258" s="4" t="str">
        <f>"-"</f>
        <v>-</v>
      </c>
      <c r="E1258" s="4" t="str">
        <f>"13481797"</f>
        <v>13481797</v>
      </c>
      <c r="F1258" s="4" t="s">
        <v>452</v>
      </c>
    </row>
    <row r="1259" spans="1:6" x14ac:dyDescent="0.25">
      <c r="A1259" s="4" t="str">
        <f>"Fusion Engineering and Design"</f>
        <v>Fusion Engineering and Design</v>
      </c>
      <c r="B1259" s="4" t="s">
        <v>6</v>
      </c>
      <c r="C1259" s="4" t="str">
        <f t="shared" si="45"/>
        <v>-</v>
      </c>
      <c r="D1259" s="4" t="str">
        <f>"09203796"</f>
        <v>09203796</v>
      </c>
      <c r="E1259" s="4" t="str">
        <f>"-"</f>
        <v>-</v>
      </c>
      <c r="F1259" s="4" t="s">
        <v>19</v>
      </c>
    </row>
    <row r="1260" spans="1:6" x14ac:dyDescent="0.25">
      <c r="A1260" s="4" t="str">
        <f>"Fusion Science and Technology"</f>
        <v>Fusion Science and Technology</v>
      </c>
      <c r="B1260" s="4" t="s">
        <v>6</v>
      </c>
      <c r="C1260" s="4" t="str">
        <f t="shared" si="45"/>
        <v>-</v>
      </c>
      <c r="D1260" s="4" t="str">
        <f>"15361055"</f>
        <v>15361055</v>
      </c>
      <c r="E1260" s="4" t="str">
        <f>"-"</f>
        <v>-</v>
      </c>
      <c r="F1260" s="4" t="s">
        <v>453</v>
      </c>
    </row>
    <row r="1261" spans="1:6" x14ac:dyDescent="0.25">
      <c r="A1261" s="4" t="str">
        <f>"Future Generation Computer Systems"</f>
        <v>Future Generation Computer Systems</v>
      </c>
      <c r="B1261" s="4" t="s">
        <v>6</v>
      </c>
      <c r="C1261" s="4" t="str">
        <f t="shared" si="45"/>
        <v>-</v>
      </c>
      <c r="D1261" s="4" t="str">
        <f>"0167739X"</f>
        <v>0167739X</v>
      </c>
      <c r="E1261" s="4" t="str">
        <f>"-"</f>
        <v>-</v>
      </c>
      <c r="F1261" s="4" t="s">
        <v>55</v>
      </c>
    </row>
    <row r="1262" spans="1:6" x14ac:dyDescent="0.25">
      <c r="A1262" s="4" t="str">
        <f>"Future Internet"</f>
        <v>Future Internet</v>
      </c>
      <c r="B1262" s="4" t="s">
        <v>6</v>
      </c>
      <c r="C1262" s="4" t="str">
        <f t="shared" si="45"/>
        <v>-</v>
      </c>
      <c r="D1262" s="4" t="str">
        <f>"-"</f>
        <v>-</v>
      </c>
      <c r="E1262" s="4" t="str">
        <f>"19995903"</f>
        <v>19995903</v>
      </c>
      <c r="F1262" s="4" t="s">
        <v>114</v>
      </c>
    </row>
    <row r="1263" spans="1:6" x14ac:dyDescent="0.25">
      <c r="A1263" s="4" t="str">
        <f>"Fuzzy Optimization and Decision Making"</f>
        <v>Fuzzy Optimization and Decision Making</v>
      </c>
      <c r="B1263" s="4" t="s">
        <v>6</v>
      </c>
      <c r="C1263" s="4" t="str">
        <f t="shared" si="45"/>
        <v>-</v>
      </c>
      <c r="D1263" s="4" t="str">
        <f>"15684539"</f>
        <v>15684539</v>
      </c>
      <c r="E1263" s="4" t="str">
        <f>"15732908"</f>
        <v>15732908</v>
      </c>
      <c r="F1263" s="4" t="s">
        <v>57</v>
      </c>
    </row>
    <row r="1264" spans="1:6" x14ac:dyDescent="0.25">
      <c r="A1264" s="4" t="str">
        <f>"Fuzzy Sets and Systems"</f>
        <v>Fuzzy Sets and Systems</v>
      </c>
      <c r="B1264" s="4" t="s">
        <v>6</v>
      </c>
      <c r="C1264" s="4" t="str">
        <f t="shared" si="45"/>
        <v>-</v>
      </c>
      <c r="D1264" s="4" t="str">
        <f>"01650114"</f>
        <v>01650114</v>
      </c>
      <c r="E1264" s="4" t="str">
        <f t="shared" ref="E1264:E1273" si="46">"-"</f>
        <v>-</v>
      </c>
      <c r="F1264" s="4" t="s">
        <v>55</v>
      </c>
    </row>
    <row r="1265" spans="1:6" x14ac:dyDescent="0.25">
      <c r="A1265" s="4" t="str">
        <f>"GaAs Reliability Workshop, Proceedings"</f>
        <v>GaAs Reliability Workshop, Proceedings</v>
      </c>
      <c r="B1265" s="4" t="s">
        <v>8</v>
      </c>
      <c r="C1265" s="4" t="str">
        <f t="shared" si="45"/>
        <v>-</v>
      </c>
      <c r="D1265" s="4" t="str">
        <f>"-"</f>
        <v>-</v>
      </c>
      <c r="E1265" s="4" t="str">
        <f t="shared" si="46"/>
        <v>-</v>
      </c>
      <c r="F1265" s="4" t="s">
        <v>105</v>
      </c>
    </row>
    <row r="1266" spans="1:6" x14ac:dyDescent="0.25">
      <c r="A1266" s="4" t="str">
        <f>"Galvanotechnik"</f>
        <v>Galvanotechnik</v>
      </c>
      <c r="B1266" s="4" t="s">
        <v>22</v>
      </c>
      <c r="C1266" s="4" t="str">
        <f t="shared" si="45"/>
        <v>-</v>
      </c>
      <c r="D1266" s="4" t="str">
        <f>"00164232"</f>
        <v>00164232</v>
      </c>
      <c r="E1266" s="4" t="str">
        <f t="shared" si="46"/>
        <v>-</v>
      </c>
      <c r="F1266" s="4" t="s">
        <v>454</v>
      </c>
    </row>
    <row r="1267" spans="1:6" x14ac:dyDescent="0.25">
      <c r="A1267" s="4" t="str">
        <f>"GAMM Mitteilungen"</f>
        <v>GAMM Mitteilungen</v>
      </c>
      <c r="B1267" s="4" t="s">
        <v>6</v>
      </c>
      <c r="C1267" s="4" t="str">
        <f t="shared" si="45"/>
        <v>-</v>
      </c>
      <c r="D1267" s="4" t="str">
        <f>"09367195"</f>
        <v>09367195</v>
      </c>
      <c r="E1267" s="4" t="str">
        <f t="shared" si="46"/>
        <v>-</v>
      </c>
      <c r="F1267" s="4" t="s">
        <v>63</v>
      </c>
    </row>
    <row r="1268" spans="1:6" x14ac:dyDescent="0.25">
      <c r="A1268" s="4" t="str">
        <f>"Gao Xiao Hua Xue Gong Cheng Xue Bao/Journal of Chemical Engineering of Chinese Universities"</f>
        <v>Gao Xiao Hua Xue Gong Cheng Xue Bao/Journal of Chemical Engineering of Chinese Universities</v>
      </c>
      <c r="B1268" s="4" t="s">
        <v>6</v>
      </c>
      <c r="C1268" s="4" t="str">
        <f t="shared" si="45"/>
        <v>-</v>
      </c>
      <c r="D1268" s="4" t="str">
        <f>"10039015"</f>
        <v>10039015</v>
      </c>
      <c r="E1268" s="4" t="str">
        <f t="shared" si="46"/>
        <v>-</v>
      </c>
      <c r="F1268" s="4" t="s">
        <v>441</v>
      </c>
    </row>
    <row r="1269" spans="1:6" x14ac:dyDescent="0.25">
      <c r="A1269" s="4" t="str">
        <f>"Gaodeng Xuexiao Huaxue Xuebao/Chemical Journal of Chinese Universities"</f>
        <v>Gaodeng Xuexiao Huaxue Xuebao/Chemical Journal of Chinese Universities</v>
      </c>
      <c r="B1269" s="4" t="s">
        <v>6</v>
      </c>
      <c r="C1269" s="4" t="str">
        <f t="shared" si="45"/>
        <v>-</v>
      </c>
      <c r="D1269" s="4" t="str">
        <f>"02510790"</f>
        <v>02510790</v>
      </c>
      <c r="E1269" s="4" t="str">
        <f t="shared" si="46"/>
        <v>-</v>
      </c>
      <c r="F1269" s="4" t="s">
        <v>437</v>
      </c>
    </row>
    <row r="1270" spans="1:6" x14ac:dyDescent="0.25">
      <c r="A1270" s="4" t="str">
        <f>"Gaodianya Jishu/High Voltage Engineering"</f>
        <v>Gaodianya Jishu/High Voltage Engineering</v>
      </c>
      <c r="B1270" s="4" t="s">
        <v>6</v>
      </c>
      <c r="C1270" s="4" t="str">
        <f t="shared" si="45"/>
        <v>-</v>
      </c>
      <c r="D1270" s="4" t="str">
        <f>"10036520"</f>
        <v>10036520</v>
      </c>
      <c r="E1270" s="4" t="str">
        <f t="shared" si="46"/>
        <v>-</v>
      </c>
      <c r="F1270" s="4" t="s">
        <v>37</v>
      </c>
    </row>
    <row r="1271" spans="1:6" x14ac:dyDescent="0.25">
      <c r="A1271" s="4" t="str">
        <f>"Gaofenzi Cailiao Kexue Yu Gongcheng/Polymeric Materials Science and Engineering"</f>
        <v>Gaofenzi Cailiao Kexue Yu Gongcheng/Polymeric Materials Science and Engineering</v>
      </c>
      <c r="B1271" s="4" t="s">
        <v>6</v>
      </c>
      <c r="C1271" s="4" t="str">
        <f t="shared" si="45"/>
        <v>-</v>
      </c>
      <c r="D1271" s="4" t="str">
        <f>"10007555"</f>
        <v>10007555</v>
      </c>
      <c r="E1271" s="4" t="str">
        <f t="shared" si="46"/>
        <v>-</v>
      </c>
      <c r="F1271" s="4" t="s">
        <v>455</v>
      </c>
    </row>
    <row r="1272" spans="1:6" x14ac:dyDescent="0.25">
      <c r="A1272" s="4" t="str">
        <f>"Gaswaerme International"</f>
        <v>Gaswaerme International</v>
      </c>
      <c r="B1272" s="4" t="s">
        <v>22</v>
      </c>
      <c r="C1272" s="4" t="str">
        <f t="shared" si="45"/>
        <v>-</v>
      </c>
      <c r="D1272" s="4" t="str">
        <f>"00209384"</f>
        <v>00209384</v>
      </c>
      <c r="E1272" s="4" t="str">
        <f t="shared" si="46"/>
        <v>-</v>
      </c>
      <c r="F1272" s="4" t="s">
        <v>348</v>
      </c>
    </row>
    <row r="1273" spans="1:6" x14ac:dyDescent="0.25">
      <c r="A1273" s="4" t="str">
        <f>"Gazi University Journal of Science"</f>
        <v>Gazi University Journal of Science</v>
      </c>
      <c r="B1273" s="4" t="s">
        <v>6</v>
      </c>
      <c r="C1273" s="4" t="str">
        <f t="shared" si="45"/>
        <v>-</v>
      </c>
      <c r="D1273" s="4" t="str">
        <f>"13039709"</f>
        <v>13039709</v>
      </c>
      <c r="E1273" s="4" t="str">
        <f t="shared" si="46"/>
        <v>-</v>
      </c>
      <c r="F1273" s="4" t="s">
        <v>456</v>
      </c>
    </row>
    <row r="1274" spans="1:6" x14ac:dyDescent="0.25">
      <c r="A1274" s="4" t="str">
        <f>"GEM - International Journal on Geomathematics"</f>
        <v>GEM - International Journal on Geomathematics</v>
      </c>
      <c r="B1274" s="4" t="s">
        <v>6</v>
      </c>
      <c r="C1274" s="4" t="str">
        <f t="shared" si="45"/>
        <v>-</v>
      </c>
      <c r="D1274" s="4" t="str">
        <f>"18692672"</f>
        <v>18692672</v>
      </c>
      <c r="E1274" s="4" t="str">
        <f>"18692680"</f>
        <v>18692680</v>
      </c>
      <c r="F1274" s="4" t="s">
        <v>42</v>
      </c>
    </row>
    <row r="1275" spans="1:6" x14ac:dyDescent="0.25">
      <c r="A1275" s="4" t="str">
        <f>"Genetic Programming and Evolvable Machines"</f>
        <v>Genetic Programming and Evolvable Machines</v>
      </c>
      <c r="B1275" s="4" t="s">
        <v>6</v>
      </c>
      <c r="C1275" s="4" t="str">
        <f t="shared" si="45"/>
        <v>-</v>
      </c>
      <c r="D1275" s="4" t="str">
        <f>"13892576"</f>
        <v>13892576</v>
      </c>
      <c r="E1275" s="4" t="str">
        <f>"-"</f>
        <v>-</v>
      </c>
      <c r="F1275" s="4" t="s">
        <v>57</v>
      </c>
    </row>
    <row r="1276" spans="1:6" x14ac:dyDescent="0.25">
      <c r="A1276" s="4" t="str">
        <f>"Geochemistry International"</f>
        <v>Geochemistry International</v>
      </c>
      <c r="B1276" s="4" t="s">
        <v>6</v>
      </c>
      <c r="C1276" s="4" t="str">
        <f t="shared" si="45"/>
        <v>-</v>
      </c>
      <c r="D1276" s="4" t="str">
        <f>"00167029"</f>
        <v>00167029</v>
      </c>
      <c r="E1276" s="4" t="str">
        <f>"15561968"</f>
        <v>15561968</v>
      </c>
      <c r="F1276" s="4" t="s">
        <v>24</v>
      </c>
    </row>
    <row r="1277" spans="1:6" x14ac:dyDescent="0.25">
      <c r="A1277" s="4" t="str">
        <f>"Geochemistry, Geophysics, Geosystems"</f>
        <v>Geochemistry, Geophysics, Geosystems</v>
      </c>
      <c r="B1277" s="4" t="s">
        <v>6</v>
      </c>
      <c r="C1277" s="4" t="str">
        <f t="shared" si="45"/>
        <v>-</v>
      </c>
      <c r="D1277" s="4" t="str">
        <f>"-"</f>
        <v>-</v>
      </c>
      <c r="E1277" s="4" t="str">
        <f>"15252027"</f>
        <v>15252027</v>
      </c>
      <c r="F1277" s="4" t="s">
        <v>209</v>
      </c>
    </row>
    <row r="1278" spans="1:6" x14ac:dyDescent="0.25">
      <c r="A1278" s="4" t="str">
        <f>"Geoderma"</f>
        <v>Geoderma</v>
      </c>
      <c r="B1278" s="4" t="s">
        <v>6</v>
      </c>
      <c r="C1278" s="4" t="str">
        <f t="shared" si="45"/>
        <v>-</v>
      </c>
      <c r="D1278" s="4" t="str">
        <f>"00167061"</f>
        <v>00167061</v>
      </c>
      <c r="E1278" s="4" t="str">
        <f>"-"</f>
        <v>-</v>
      </c>
      <c r="F1278" s="4" t="s">
        <v>55</v>
      </c>
    </row>
    <row r="1279" spans="1:6" x14ac:dyDescent="0.25">
      <c r="A1279" s="4" t="str">
        <f>"GeoInformatica"</f>
        <v>GeoInformatica</v>
      </c>
      <c r="B1279" s="4" t="s">
        <v>6</v>
      </c>
      <c r="C1279" s="4" t="str">
        <f t="shared" si="45"/>
        <v>-</v>
      </c>
      <c r="D1279" s="4" t="str">
        <f>"13846175"</f>
        <v>13846175</v>
      </c>
      <c r="E1279" s="4" t="str">
        <f>"-"</f>
        <v>-</v>
      </c>
      <c r="F1279" s="4" t="s">
        <v>57</v>
      </c>
    </row>
    <row r="1280" spans="1:6" x14ac:dyDescent="0.25">
      <c r="A1280" s="4" t="str">
        <f>"GeoJournal"</f>
        <v>GeoJournal</v>
      </c>
      <c r="B1280" s="4" t="s">
        <v>6</v>
      </c>
      <c r="C1280" s="4" t="str">
        <f t="shared" si="45"/>
        <v>-</v>
      </c>
      <c r="D1280" s="4" t="str">
        <f>"03432521"</f>
        <v>03432521</v>
      </c>
      <c r="E1280" s="4" t="str">
        <f>"15729893"</f>
        <v>15729893</v>
      </c>
      <c r="F1280" s="4" t="s">
        <v>31</v>
      </c>
    </row>
    <row r="1281" spans="1:6" x14ac:dyDescent="0.25">
      <c r="A1281" s="4" t="str">
        <f>"Geology"</f>
        <v>Geology</v>
      </c>
      <c r="B1281" s="4" t="s">
        <v>6</v>
      </c>
      <c r="C1281" s="4" t="str">
        <f t="shared" si="45"/>
        <v>-</v>
      </c>
      <c r="D1281" s="4" t="str">
        <f>"00917613"</f>
        <v>00917613</v>
      </c>
      <c r="E1281" s="4" t="str">
        <f>"19432682"</f>
        <v>19432682</v>
      </c>
      <c r="F1281" s="4" t="s">
        <v>228</v>
      </c>
    </row>
    <row r="1282" spans="1:6" x14ac:dyDescent="0.25">
      <c r="A1282" s="4" t="str">
        <f>"Geology of Ore Deposits"</f>
        <v>Geology of Ore Deposits</v>
      </c>
      <c r="B1282" s="4" t="s">
        <v>6</v>
      </c>
      <c r="C1282" s="4" t="str">
        <f t="shared" si="45"/>
        <v>-</v>
      </c>
      <c r="D1282" s="4" t="str">
        <f>"10757015"</f>
        <v>10757015</v>
      </c>
      <c r="E1282" s="4" t="str">
        <f>"15556476"</f>
        <v>15556476</v>
      </c>
      <c r="F1282" s="4" t="s">
        <v>24</v>
      </c>
    </row>
    <row r="1283" spans="1:6" x14ac:dyDescent="0.25">
      <c r="A1283" s="4" t="str">
        <f>"Geo-Marine Letters"</f>
        <v>Geo-Marine Letters</v>
      </c>
      <c r="B1283" s="4" t="s">
        <v>6</v>
      </c>
      <c r="C1283" s="4" t="str">
        <f t="shared" si="45"/>
        <v>-</v>
      </c>
      <c r="D1283" s="4" t="str">
        <f>"02760460"</f>
        <v>02760460</v>
      </c>
      <c r="E1283" s="4" t="str">
        <f>"14321157"</f>
        <v>14321157</v>
      </c>
      <c r="F1283" s="4" t="s">
        <v>42</v>
      </c>
    </row>
    <row r="1284" spans="1:6" x14ac:dyDescent="0.25">
      <c r="A1284" s="4" t="str">
        <f>"Geomatica"</f>
        <v>Geomatica</v>
      </c>
      <c r="B1284" s="4" t="s">
        <v>6</v>
      </c>
      <c r="C1284" s="4" t="str">
        <f t="shared" si="45"/>
        <v>-</v>
      </c>
      <c r="D1284" s="4" t="str">
        <f>"11951036"</f>
        <v>11951036</v>
      </c>
      <c r="E1284" s="4" t="str">
        <f>"19254296"</f>
        <v>19254296</v>
      </c>
      <c r="F1284" s="4" t="s">
        <v>457</v>
      </c>
    </row>
    <row r="1285" spans="1:6" x14ac:dyDescent="0.25">
      <c r="A1285" s="4" t="str">
        <f>"Geomatics, Natural Hazards and Risk"</f>
        <v>Geomatics, Natural Hazards and Risk</v>
      </c>
      <c r="B1285" s="4" t="s">
        <v>6</v>
      </c>
      <c r="C1285" s="4" t="str">
        <f t="shared" si="45"/>
        <v>-</v>
      </c>
      <c r="D1285" s="4" t="str">
        <f>"19475705"</f>
        <v>19475705</v>
      </c>
      <c r="E1285" s="4" t="str">
        <f>"19475713"</f>
        <v>19475713</v>
      </c>
      <c r="F1285" s="4" t="s">
        <v>60</v>
      </c>
    </row>
    <row r="1286" spans="1:6" x14ac:dyDescent="0.25">
      <c r="A1286" s="4" t="str">
        <f>"Geomechanics and Engineering"</f>
        <v>Geomechanics and Engineering</v>
      </c>
      <c r="B1286" s="4" t="s">
        <v>6</v>
      </c>
      <c r="C1286" s="4" t="str">
        <f t="shared" si="45"/>
        <v>-</v>
      </c>
      <c r="D1286" s="4" t="str">
        <f>"2005307X"</f>
        <v>2005307X</v>
      </c>
      <c r="E1286" s="4" t="str">
        <f>"20926219"</f>
        <v>20926219</v>
      </c>
      <c r="F1286" s="4" t="s">
        <v>297</v>
      </c>
    </row>
    <row r="1287" spans="1:6" x14ac:dyDescent="0.25">
      <c r="A1287" s="4" t="str">
        <f>"Geomechanik und Tunnelbau"</f>
        <v>Geomechanik und Tunnelbau</v>
      </c>
      <c r="B1287" s="4" t="s">
        <v>6</v>
      </c>
      <c r="C1287" s="4" t="str">
        <f t="shared" si="45"/>
        <v>-</v>
      </c>
      <c r="D1287" s="4" t="str">
        <f>"18657362"</f>
        <v>18657362</v>
      </c>
      <c r="E1287" s="4" t="str">
        <f>"18657389"</f>
        <v>18657389</v>
      </c>
      <c r="F1287" s="4" t="s">
        <v>179</v>
      </c>
    </row>
    <row r="1288" spans="1:6" x14ac:dyDescent="0.25">
      <c r="A1288" s="4" t="str">
        <f>"Geophysical and Astrophysical Fluid Dynamics"</f>
        <v>Geophysical and Astrophysical Fluid Dynamics</v>
      </c>
      <c r="B1288" s="4" t="s">
        <v>6</v>
      </c>
      <c r="C1288" s="4" t="str">
        <f t="shared" si="45"/>
        <v>-</v>
      </c>
      <c r="D1288" s="4" t="str">
        <f>"03091929"</f>
        <v>03091929</v>
      </c>
      <c r="E1288" s="4" t="str">
        <f>"10290419"</f>
        <v>10290419</v>
      </c>
      <c r="F1288" s="4" t="s">
        <v>60</v>
      </c>
    </row>
    <row r="1289" spans="1:6" x14ac:dyDescent="0.25">
      <c r="A1289" s="4" t="str">
        <f>"Geophysical Journal International"</f>
        <v>Geophysical Journal International</v>
      </c>
      <c r="B1289" s="4" t="s">
        <v>6</v>
      </c>
      <c r="C1289" s="4" t="str">
        <f t="shared" si="45"/>
        <v>-</v>
      </c>
      <c r="D1289" s="4" t="str">
        <f>"0956540X"</f>
        <v>0956540X</v>
      </c>
      <c r="E1289" s="4" t="str">
        <f>"1365246X"</f>
        <v>1365246X</v>
      </c>
      <c r="F1289" s="4" t="s">
        <v>126</v>
      </c>
    </row>
    <row r="1290" spans="1:6" x14ac:dyDescent="0.25">
      <c r="A1290" s="4" t="str">
        <f>"Geophysical Prospecting"</f>
        <v>Geophysical Prospecting</v>
      </c>
      <c r="B1290" s="4" t="s">
        <v>6</v>
      </c>
      <c r="C1290" s="4" t="str">
        <f t="shared" si="45"/>
        <v>-</v>
      </c>
      <c r="D1290" s="4" t="str">
        <f>"00168025"</f>
        <v>00168025</v>
      </c>
      <c r="E1290" s="4" t="str">
        <f>"13652478"</f>
        <v>13652478</v>
      </c>
      <c r="F1290" s="4" t="s">
        <v>209</v>
      </c>
    </row>
    <row r="1291" spans="1:6" x14ac:dyDescent="0.25">
      <c r="A1291" s="4" t="str">
        <f>"Geophysical Research Letters"</f>
        <v>Geophysical Research Letters</v>
      </c>
      <c r="B1291" s="4" t="s">
        <v>6</v>
      </c>
      <c r="C1291" s="4" t="str">
        <f t="shared" si="45"/>
        <v>-</v>
      </c>
      <c r="D1291" s="4" t="str">
        <f>"00948276"</f>
        <v>00948276</v>
      </c>
      <c r="E1291" s="4" t="str">
        <f>"19448007"</f>
        <v>19448007</v>
      </c>
      <c r="F1291" s="4" t="s">
        <v>209</v>
      </c>
    </row>
    <row r="1292" spans="1:6" x14ac:dyDescent="0.25">
      <c r="A1292" s="4" t="str">
        <f>"Geophysics"</f>
        <v>Geophysics</v>
      </c>
      <c r="B1292" s="4" t="s">
        <v>6</v>
      </c>
      <c r="C1292" s="4" t="str">
        <f t="shared" si="45"/>
        <v>-</v>
      </c>
      <c r="D1292" s="4" t="str">
        <f>"00168033"</f>
        <v>00168033</v>
      </c>
      <c r="E1292" s="4" t="str">
        <f>"19422156"</f>
        <v>19422156</v>
      </c>
      <c r="F1292" s="4" t="s">
        <v>458</v>
      </c>
    </row>
    <row r="1293" spans="1:6" x14ac:dyDescent="0.25">
      <c r="A1293" s="4" t="str">
        <f>"Geoscience Canada"</f>
        <v>Geoscience Canada</v>
      </c>
      <c r="B1293" s="4" t="s">
        <v>6</v>
      </c>
      <c r="C1293" s="4" t="str">
        <f t="shared" si="45"/>
        <v>-</v>
      </c>
      <c r="D1293" s="4" t="str">
        <f>"03150941"</f>
        <v>03150941</v>
      </c>
      <c r="E1293" s="4" t="str">
        <f>"-"</f>
        <v>-</v>
      </c>
      <c r="F1293" s="4" t="s">
        <v>459</v>
      </c>
    </row>
    <row r="1294" spans="1:6" x14ac:dyDescent="0.25">
      <c r="A1294" s="4" t="str">
        <f>"Geosphere"</f>
        <v>Geosphere</v>
      </c>
      <c r="B1294" s="4" t="s">
        <v>6</v>
      </c>
      <c r="C1294" s="4" t="str">
        <f t="shared" si="45"/>
        <v>-</v>
      </c>
      <c r="D1294" s="4" t="str">
        <f>"-"</f>
        <v>-</v>
      </c>
      <c r="E1294" s="4" t="str">
        <f>"1553040X"</f>
        <v>1553040X</v>
      </c>
      <c r="F1294" s="4" t="s">
        <v>228</v>
      </c>
    </row>
    <row r="1295" spans="1:6" x14ac:dyDescent="0.25">
      <c r="A1295" s="4" t="str">
        <f>"Geostandards and Geoanalytical Research"</f>
        <v>Geostandards and Geoanalytical Research</v>
      </c>
      <c r="B1295" s="4" t="s">
        <v>6</v>
      </c>
      <c r="C1295" s="4" t="str">
        <f t="shared" si="45"/>
        <v>-</v>
      </c>
      <c r="D1295" s="4" t="str">
        <f>"16394488"</f>
        <v>16394488</v>
      </c>
      <c r="E1295" s="4" t="str">
        <f>"1751908X"</f>
        <v>1751908X</v>
      </c>
      <c r="F1295" s="4" t="s">
        <v>209</v>
      </c>
    </row>
    <row r="1296" spans="1:6" x14ac:dyDescent="0.25">
      <c r="A1296" s="4" t="str">
        <f>"Geosynthetics International"</f>
        <v>Geosynthetics International</v>
      </c>
      <c r="B1296" s="4" t="s">
        <v>6</v>
      </c>
      <c r="C1296" s="4" t="str">
        <f t="shared" si="45"/>
        <v>-</v>
      </c>
      <c r="D1296" s="4" t="str">
        <f>"10726349"</f>
        <v>10726349</v>
      </c>
      <c r="E1296" s="4" t="str">
        <f>"17517613"</f>
        <v>17517613</v>
      </c>
      <c r="F1296" s="4" t="s">
        <v>185</v>
      </c>
    </row>
    <row r="1297" spans="1:6" x14ac:dyDescent="0.25">
      <c r="A1297" s="4" t="str">
        <f>"Geosystem Engineering"</f>
        <v>Geosystem Engineering</v>
      </c>
      <c r="B1297" s="4" t="s">
        <v>6</v>
      </c>
      <c r="C1297" s="4" t="str">
        <f t="shared" si="45"/>
        <v>-</v>
      </c>
      <c r="D1297" s="4" t="str">
        <f>"12269328"</f>
        <v>12269328</v>
      </c>
      <c r="E1297" s="4" t="str">
        <f>"21663394"</f>
        <v>21663394</v>
      </c>
      <c r="F1297" s="4" t="s">
        <v>60</v>
      </c>
    </row>
    <row r="1298" spans="1:6" x14ac:dyDescent="0.25">
      <c r="A1298" s="4" t="str">
        <f>"Geotechnical and Geological Engineering"</f>
        <v>Geotechnical and Geological Engineering</v>
      </c>
      <c r="B1298" s="4" t="s">
        <v>6</v>
      </c>
      <c r="C1298" s="4" t="str">
        <f t="shared" si="45"/>
        <v>-</v>
      </c>
      <c r="D1298" s="4" t="str">
        <f>"09603182"</f>
        <v>09603182</v>
      </c>
      <c r="E1298" s="4" t="str">
        <f>"15731529"</f>
        <v>15731529</v>
      </c>
      <c r="F1298" s="4" t="s">
        <v>16</v>
      </c>
    </row>
    <row r="1299" spans="1:6" x14ac:dyDescent="0.25">
      <c r="A1299" s="4" t="str">
        <f>"Geotechnical Engineering"</f>
        <v>Geotechnical Engineering</v>
      </c>
      <c r="B1299" s="4" t="s">
        <v>6</v>
      </c>
      <c r="C1299" s="4" t="str">
        <f t="shared" si="45"/>
        <v>-</v>
      </c>
      <c r="D1299" s="4" t="str">
        <f>"00465828"</f>
        <v>00465828</v>
      </c>
      <c r="E1299" s="4" t="str">
        <f>"-"</f>
        <v>-</v>
      </c>
      <c r="F1299" s="4" t="s">
        <v>460</v>
      </c>
    </row>
    <row r="1300" spans="1:6" x14ac:dyDescent="0.25">
      <c r="A1300" s="4" t="str">
        <f>"Geotechnical News"</f>
        <v>Geotechnical News</v>
      </c>
      <c r="B1300" s="4" t="s">
        <v>6</v>
      </c>
      <c r="C1300" s="4" t="str">
        <f t="shared" si="45"/>
        <v>-</v>
      </c>
      <c r="D1300" s="4" t="str">
        <f>"0823650X"</f>
        <v>0823650X</v>
      </c>
      <c r="E1300" s="4" t="str">
        <f>"-"</f>
        <v>-</v>
      </c>
      <c r="F1300" s="4" t="s">
        <v>461</v>
      </c>
    </row>
    <row r="1301" spans="1:6" x14ac:dyDescent="0.25">
      <c r="A1301" s="4" t="str">
        <f>"Geotechnical Practice Publication"</f>
        <v>Geotechnical Practice Publication</v>
      </c>
      <c r="B1301" s="4" t="s">
        <v>8</v>
      </c>
      <c r="C1301" s="4" t="str">
        <f t="shared" si="45"/>
        <v>-</v>
      </c>
      <c r="D1301" s="4" t="str">
        <f>"-"</f>
        <v>-</v>
      </c>
      <c r="E1301" s="4" t="str">
        <f>"-"</f>
        <v>-</v>
      </c>
      <c r="F1301" s="4" t="s">
        <v>111</v>
      </c>
    </row>
    <row r="1302" spans="1:6" x14ac:dyDescent="0.25">
      <c r="A1302" s="4" t="str">
        <f>"Geotechnical Special Publication"</f>
        <v>Geotechnical Special Publication</v>
      </c>
      <c r="B1302" s="4" t="s">
        <v>8</v>
      </c>
      <c r="C1302" s="4" t="str">
        <f t="shared" si="45"/>
        <v>-</v>
      </c>
      <c r="D1302" s="4" t="str">
        <f>"08950563"</f>
        <v>08950563</v>
      </c>
      <c r="E1302" s="4" t="str">
        <f>"-"</f>
        <v>-</v>
      </c>
      <c r="F1302" s="4" t="s">
        <v>111</v>
      </c>
    </row>
    <row r="1303" spans="1:6" x14ac:dyDescent="0.25">
      <c r="A1303" s="4" t="str">
        <f>"Geotechnical Testing Journal"</f>
        <v>Geotechnical Testing Journal</v>
      </c>
      <c r="B1303" s="4" t="s">
        <v>6</v>
      </c>
      <c r="C1303" s="4" t="str">
        <f t="shared" si="45"/>
        <v>-</v>
      </c>
      <c r="D1303" s="4" t="str">
        <f>"01496115"</f>
        <v>01496115</v>
      </c>
      <c r="E1303" s="4" t="str">
        <f>"-"</f>
        <v>-</v>
      </c>
      <c r="F1303" s="4" t="s">
        <v>75</v>
      </c>
    </row>
    <row r="1304" spans="1:6" x14ac:dyDescent="0.25">
      <c r="A1304" s="4" t="str">
        <f>"Geotechnique"</f>
        <v>Geotechnique</v>
      </c>
      <c r="B1304" s="4" t="s">
        <v>6</v>
      </c>
      <c r="C1304" s="4" t="str">
        <f t="shared" si="45"/>
        <v>-</v>
      </c>
      <c r="D1304" s="4" t="str">
        <f>"00168505"</f>
        <v>00168505</v>
      </c>
      <c r="E1304" s="4" t="str">
        <f>"17517656"</f>
        <v>17517656</v>
      </c>
      <c r="F1304" s="4" t="s">
        <v>74</v>
      </c>
    </row>
    <row r="1305" spans="1:6" x14ac:dyDescent="0.25">
      <c r="A1305" s="4" t="str">
        <f>"Geotechnique Letters"</f>
        <v>Geotechnique Letters</v>
      </c>
      <c r="B1305" s="4" t="s">
        <v>6</v>
      </c>
      <c r="C1305" s="4" t="str">
        <f t="shared" si="45"/>
        <v>-</v>
      </c>
      <c r="D1305" s="4" t="str">
        <f>"-"</f>
        <v>-</v>
      </c>
      <c r="E1305" s="4" t="str">
        <f>"20452543"</f>
        <v>20452543</v>
      </c>
      <c r="F1305" s="4" t="s">
        <v>74</v>
      </c>
    </row>
    <row r="1306" spans="1:6" x14ac:dyDescent="0.25">
      <c r="A1306" s="4" t="str">
        <f>"Geotectonica et Metallogenia"</f>
        <v>Geotectonica et Metallogenia</v>
      </c>
      <c r="B1306" s="4" t="s">
        <v>6</v>
      </c>
      <c r="C1306" s="4" t="str">
        <f t="shared" si="45"/>
        <v>-</v>
      </c>
      <c r="D1306" s="4" t="str">
        <f>"10011552"</f>
        <v>10011552</v>
      </c>
      <c r="E1306" s="4" t="str">
        <f>"-"</f>
        <v>-</v>
      </c>
      <c r="F1306" s="4" t="s">
        <v>37</v>
      </c>
    </row>
    <row r="1307" spans="1:6" x14ac:dyDescent="0.25">
      <c r="A1307" s="4" t="str">
        <f>"Geotextiles and Geomembranes"</f>
        <v>Geotextiles and Geomembranes</v>
      </c>
      <c r="B1307" s="4" t="s">
        <v>6</v>
      </c>
      <c r="C1307" s="4" t="str">
        <f t="shared" si="45"/>
        <v>-</v>
      </c>
      <c r="D1307" s="4" t="str">
        <f>"02661144"</f>
        <v>02661144</v>
      </c>
      <c r="E1307" s="4" t="str">
        <f>"-"</f>
        <v>-</v>
      </c>
      <c r="F1307" s="4" t="s">
        <v>19</v>
      </c>
    </row>
    <row r="1308" spans="1:6" x14ac:dyDescent="0.25">
      <c r="A1308" s="4" t="str">
        <f>"Geothermics"</f>
        <v>Geothermics</v>
      </c>
      <c r="B1308" s="4" t="s">
        <v>6</v>
      </c>
      <c r="C1308" s="4" t="str">
        <f t="shared" si="45"/>
        <v>-</v>
      </c>
      <c r="D1308" s="4" t="str">
        <f>"03756505"</f>
        <v>03756505</v>
      </c>
      <c r="E1308" s="4" t="str">
        <f>"-"</f>
        <v>-</v>
      </c>
      <c r="F1308" s="4" t="s">
        <v>19</v>
      </c>
    </row>
    <row r="1309" spans="1:6" x14ac:dyDescent="0.25">
      <c r="A1309" s="4" t="str">
        <f>"GIS: Proceedings of the ACM International Symposium on Advances in Geographic Information Systems"</f>
        <v>GIS: Proceedings of the ACM International Symposium on Advances in Geographic Information Systems</v>
      </c>
      <c r="B1309" s="4" t="s">
        <v>8</v>
      </c>
      <c r="C1309" s="4" t="str">
        <f t="shared" ref="C1309:C1347" si="47">"-"</f>
        <v>-</v>
      </c>
      <c r="D1309" s="4" t="str">
        <f>"-"</f>
        <v>-</v>
      </c>
      <c r="E1309" s="4" t="str">
        <f>"-"</f>
        <v>-</v>
      </c>
      <c r="F1309" s="4" t="s">
        <v>21</v>
      </c>
    </row>
    <row r="1310" spans="1:6" x14ac:dyDescent="0.25">
      <c r="A1310" s="4" t="str">
        <f>"Glass and Ceramics (English translation of Steklo i Keramika)"</f>
        <v>Glass and Ceramics (English translation of Steklo i Keramika)</v>
      </c>
      <c r="B1310" s="4" t="s">
        <v>6</v>
      </c>
      <c r="C1310" s="4" t="str">
        <f t="shared" si="47"/>
        <v>-</v>
      </c>
      <c r="D1310" s="4" t="str">
        <f>"03617610"</f>
        <v>03617610</v>
      </c>
      <c r="E1310" s="4" t="str">
        <f>"15738515"</f>
        <v>15738515</v>
      </c>
      <c r="F1310" s="4" t="s">
        <v>57</v>
      </c>
    </row>
    <row r="1311" spans="1:6" x14ac:dyDescent="0.25">
      <c r="A1311" s="4" t="str">
        <f>"Glass International"</f>
        <v>Glass International</v>
      </c>
      <c r="B1311" s="4" t="s">
        <v>22</v>
      </c>
      <c r="C1311" s="4" t="str">
        <f t="shared" si="47"/>
        <v>-</v>
      </c>
      <c r="D1311" s="4" t="str">
        <f>"01437836"</f>
        <v>01437836</v>
      </c>
      <c r="E1311" s="4" t="str">
        <f>"-"</f>
        <v>-</v>
      </c>
      <c r="F1311" s="4" t="s">
        <v>462</v>
      </c>
    </row>
    <row r="1312" spans="1:6" x14ac:dyDescent="0.25">
      <c r="A1312" s="4" t="str">
        <f>"Glass Physics and Chemistry"</f>
        <v>Glass Physics and Chemistry</v>
      </c>
      <c r="B1312" s="4" t="s">
        <v>6</v>
      </c>
      <c r="C1312" s="4" t="str">
        <f t="shared" si="47"/>
        <v>-</v>
      </c>
      <c r="D1312" s="4" t="str">
        <f>"10876596"</f>
        <v>10876596</v>
      </c>
      <c r="E1312" s="4" t="str">
        <f>"-"</f>
        <v>-</v>
      </c>
      <c r="F1312" s="4" t="s">
        <v>171</v>
      </c>
    </row>
    <row r="1313" spans="1:6" x14ac:dyDescent="0.25">
      <c r="A1313" s="4" t="str">
        <f>"Glass Technology: European Journal of Glass Science and Technology Part A"</f>
        <v>Glass Technology: European Journal of Glass Science and Technology Part A</v>
      </c>
      <c r="B1313" s="4" t="s">
        <v>6</v>
      </c>
      <c r="C1313" s="4" t="str">
        <f t="shared" si="47"/>
        <v>-</v>
      </c>
      <c r="D1313" s="4" t="str">
        <f>"00171050"</f>
        <v>00171050</v>
      </c>
      <c r="E1313" s="4" t="str">
        <f>"-"</f>
        <v>-</v>
      </c>
      <c r="F1313" s="4" t="s">
        <v>463</v>
      </c>
    </row>
    <row r="1314" spans="1:6" x14ac:dyDescent="0.25">
      <c r="A1314" s="4" t="str">
        <f>"GL-Conference Series: Conference Proceedings"</f>
        <v>GL-Conference Series: Conference Proceedings</v>
      </c>
      <c r="B1314" s="4" t="s">
        <v>8</v>
      </c>
      <c r="C1314" s="4" t="str">
        <f t="shared" si="47"/>
        <v>-</v>
      </c>
      <c r="D1314" s="4" t="str">
        <f>"13862316"</f>
        <v>13862316</v>
      </c>
      <c r="E1314" s="4" t="str">
        <f>"-"</f>
        <v>-</v>
      </c>
      <c r="F1314" s="4" t="s">
        <v>464</v>
      </c>
    </row>
    <row r="1315" spans="1:6" x14ac:dyDescent="0.25">
      <c r="A1315" s="4" t="str">
        <f>"Global and Planetary Change"</f>
        <v>Global and Planetary Change</v>
      </c>
      <c r="B1315" s="4" t="s">
        <v>6</v>
      </c>
      <c r="C1315" s="4" t="str">
        <f t="shared" si="47"/>
        <v>-</v>
      </c>
      <c r="D1315" s="4" t="str">
        <f>"09218181"</f>
        <v>09218181</v>
      </c>
      <c r="E1315" s="4" t="str">
        <f>"-"</f>
        <v>-</v>
      </c>
      <c r="F1315" s="4" t="s">
        <v>55</v>
      </c>
    </row>
    <row r="1316" spans="1:6" x14ac:dyDescent="0.25">
      <c r="A1316" s="4" t="str">
        <f>"Global Networks"</f>
        <v>Global Networks</v>
      </c>
      <c r="B1316" s="4" t="s">
        <v>6</v>
      </c>
      <c r="C1316" s="4" t="str">
        <f t="shared" si="47"/>
        <v>-</v>
      </c>
      <c r="D1316" s="4" t="str">
        <f>"14702266"</f>
        <v>14702266</v>
      </c>
      <c r="E1316" s="4" t="str">
        <f>"14710374"</f>
        <v>14710374</v>
      </c>
      <c r="F1316" s="4" t="s">
        <v>209</v>
      </c>
    </row>
    <row r="1317" spans="1:6" x14ac:dyDescent="0.25">
      <c r="A1317" s="4" t="str">
        <f>"GLOBECOM - IEEE Global Telecommunications Conference"</f>
        <v>GLOBECOM - IEEE Global Telecommunications Conference</v>
      </c>
      <c r="B1317" s="4" t="s">
        <v>8</v>
      </c>
      <c r="C1317" s="4" t="str">
        <f t="shared" si="47"/>
        <v>-</v>
      </c>
      <c r="D1317" s="4" t="str">
        <f>"-"</f>
        <v>-</v>
      </c>
      <c r="E1317" s="4" t="str">
        <f>"-"</f>
        <v>-</v>
      </c>
      <c r="F1317" s="4" t="s">
        <v>105</v>
      </c>
    </row>
    <row r="1318" spans="1:6" x14ac:dyDescent="0.25">
      <c r="A1318" s="4" t="str">
        <f>"Gold Bulletin"</f>
        <v>Gold Bulletin</v>
      </c>
      <c r="B1318" s="4" t="s">
        <v>6</v>
      </c>
      <c r="C1318" s="4" t="str">
        <f t="shared" si="47"/>
        <v>-</v>
      </c>
      <c r="D1318" s="4" t="str">
        <f>"00171557"</f>
        <v>00171557</v>
      </c>
      <c r="E1318" s="4" t="str">
        <f>"21907579"</f>
        <v>21907579</v>
      </c>
      <c r="F1318" s="4" t="s">
        <v>42</v>
      </c>
    </row>
    <row r="1319" spans="1:6" x14ac:dyDescent="0.25">
      <c r="A1319" s="4" t="str">
        <f>"Gongcheng Kexue Xuebao/Chinese Journal of Engineering"</f>
        <v>Gongcheng Kexue Xuebao/Chinese Journal of Engineering</v>
      </c>
      <c r="B1319" s="4" t="s">
        <v>6</v>
      </c>
      <c r="C1319" s="4" t="str">
        <f t="shared" si="47"/>
        <v>-</v>
      </c>
      <c r="D1319" s="4" t="str">
        <f>"20959389"</f>
        <v>20959389</v>
      </c>
      <c r="E1319" s="4" t="str">
        <f>"-"</f>
        <v>-</v>
      </c>
      <c r="F1319" s="4" t="s">
        <v>37</v>
      </c>
    </row>
    <row r="1320" spans="1:6" x14ac:dyDescent="0.25">
      <c r="A1320" s="4" t="str">
        <f>"Gongcheng Lixue/Engineering Mechanics"</f>
        <v>Gongcheng Lixue/Engineering Mechanics</v>
      </c>
      <c r="B1320" s="4" t="s">
        <v>6</v>
      </c>
      <c r="C1320" s="4" t="str">
        <f t="shared" si="47"/>
        <v>-</v>
      </c>
      <c r="D1320" s="4" t="str">
        <f>"10004750"</f>
        <v>10004750</v>
      </c>
      <c r="E1320" s="4" t="str">
        <f>"-"</f>
        <v>-</v>
      </c>
      <c r="F1320" s="4" t="s">
        <v>465</v>
      </c>
    </row>
    <row r="1321" spans="1:6" x14ac:dyDescent="0.25">
      <c r="A1321" s="4" t="str">
        <f>"GPS Solutions"</f>
        <v>GPS Solutions</v>
      </c>
      <c r="B1321" s="4" t="s">
        <v>6</v>
      </c>
      <c r="C1321" s="4" t="str">
        <f t="shared" si="47"/>
        <v>-</v>
      </c>
      <c r="D1321" s="4" t="str">
        <f>"10805370"</f>
        <v>10805370</v>
      </c>
      <c r="E1321" s="4" t="str">
        <f>"15211886"</f>
        <v>15211886</v>
      </c>
      <c r="F1321" s="4" t="s">
        <v>42</v>
      </c>
    </row>
    <row r="1322" spans="1:6" x14ac:dyDescent="0.25">
      <c r="A1322" s="4" t="str">
        <f>"Granular Matter"</f>
        <v>Granular Matter</v>
      </c>
      <c r="B1322" s="4" t="s">
        <v>6</v>
      </c>
      <c r="C1322" s="4" t="str">
        <f t="shared" si="47"/>
        <v>-</v>
      </c>
      <c r="D1322" s="4" t="str">
        <f>"14345021"</f>
        <v>14345021</v>
      </c>
      <c r="E1322" s="4" t="str">
        <f>"14347636"</f>
        <v>14347636</v>
      </c>
      <c r="F1322" s="4" t="s">
        <v>57</v>
      </c>
    </row>
    <row r="1323" spans="1:6" x14ac:dyDescent="0.25">
      <c r="A1323" s="4" t="str">
        <f>"Graphical Models"</f>
        <v>Graphical Models</v>
      </c>
      <c r="B1323" s="4" t="s">
        <v>6</v>
      </c>
      <c r="C1323" s="4" t="str">
        <f t="shared" si="47"/>
        <v>-</v>
      </c>
      <c r="D1323" s="4" t="str">
        <f>"15240703"</f>
        <v>15240703</v>
      </c>
      <c r="E1323" s="4" t="str">
        <f>"-"</f>
        <v>-</v>
      </c>
      <c r="F1323" s="4" t="s">
        <v>141</v>
      </c>
    </row>
    <row r="1324" spans="1:6" x14ac:dyDescent="0.25">
      <c r="A1324" s="4" t="str">
        <f>"Grasas y Aceites"</f>
        <v>Grasas y Aceites</v>
      </c>
      <c r="B1324" s="4" t="s">
        <v>6</v>
      </c>
      <c r="C1324" s="4" t="str">
        <f t="shared" si="47"/>
        <v>-</v>
      </c>
      <c r="D1324" s="4" t="str">
        <f>"00173495"</f>
        <v>00173495</v>
      </c>
      <c r="E1324" s="4" t="str">
        <f>"19884214"</f>
        <v>19884214</v>
      </c>
      <c r="F1324" s="4" t="s">
        <v>466</v>
      </c>
    </row>
    <row r="1325" spans="1:6" x14ac:dyDescent="0.25">
      <c r="A1325" s="4" t="str">
        <f>"Green Materials"</f>
        <v>Green Materials</v>
      </c>
      <c r="B1325" s="4" t="s">
        <v>6</v>
      </c>
      <c r="C1325" s="4" t="str">
        <f t="shared" si="47"/>
        <v>-</v>
      </c>
      <c r="D1325" s="4" t="str">
        <f>"20491220"</f>
        <v>20491220</v>
      </c>
      <c r="E1325" s="4" t="str">
        <f>"20491239"</f>
        <v>20491239</v>
      </c>
      <c r="F1325" s="4" t="s">
        <v>185</v>
      </c>
    </row>
    <row r="1326" spans="1:6" x14ac:dyDescent="0.25">
      <c r="A1326" s="4" t="str">
        <f>"Greenhouse Gases: Science and Technology"</f>
        <v>Greenhouse Gases: Science and Technology</v>
      </c>
      <c r="B1326" s="4" t="s">
        <v>6</v>
      </c>
      <c r="C1326" s="4" t="str">
        <f t="shared" si="47"/>
        <v>-</v>
      </c>
      <c r="D1326" s="4" t="str">
        <f>"-"</f>
        <v>-</v>
      </c>
      <c r="E1326" s="4" t="str">
        <f>"21523878"</f>
        <v>21523878</v>
      </c>
      <c r="F1326" s="4" t="s">
        <v>209</v>
      </c>
    </row>
    <row r="1327" spans="1:6" x14ac:dyDescent="0.25">
      <c r="A1327" s="4" t="str">
        <f>"Groundwater"</f>
        <v>Groundwater</v>
      </c>
      <c r="B1327" s="4" t="s">
        <v>6</v>
      </c>
      <c r="C1327" s="4" t="str">
        <f t="shared" si="47"/>
        <v>-</v>
      </c>
      <c r="D1327" s="4" t="str">
        <f>"0017467X"</f>
        <v>0017467X</v>
      </c>
      <c r="E1327" s="4" t="str">
        <f>"17456584"</f>
        <v>17456584</v>
      </c>
      <c r="F1327" s="4" t="s">
        <v>209</v>
      </c>
    </row>
    <row r="1328" spans="1:6" x14ac:dyDescent="0.25">
      <c r="A1328" s="4" t="str">
        <f>"Groundwater Monitoring and Remediation"</f>
        <v>Groundwater Monitoring and Remediation</v>
      </c>
      <c r="B1328" s="4" t="s">
        <v>6</v>
      </c>
      <c r="C1328" s="4" t="str">
        <f t="shared" si="47"/>
        <v>-</v>
      </c>
      <c r="D1328" s="4" t="str">
        <f>"10693629"</f>
        <v>10693629</v>
      </c>
      <c r="E1328" s="4" t="str">
        <f>"17456592"</f>
        <v>17456592</v>
      </c>
      <c r="F1328" s="4" t="s">
        <v>209</v>
      </c>
    </row>
    <row r="1329" spans="1:6" x14ac:dyDescent="0.25">
      <c r="A1329" s="4" t="str">
        <f>"GSA Field Guides"</f>
        <v>GSA Field Guides</v>
      </c>
      <c r="B1329" s="4" t="s">
        <v>29</v>
      </c>
      <c r="C1329" s="4" t="str">
        <f t="shared" si="47"/>
        <v>-</v>
      </c>
      <c r="D1329" s="4" t="str">
        <f>"-"</f>
        <v>-</v>
      </c>
      <c r="E1329" s="4" t="str">
        <f>"-"</f>
        <v>-</v>
      </c>
      <c r="F1329" s="4" t="s">
        <v>228</v>
      </c>
    </row>
    <row r="1330" spans="1:6" x14ac:dyDescent="0.25">
      <c r="A1330" s="4" t="str">
        <f>"GSA Reviews in Engineering Geology"</f>
        <v>GSA Reviews in Engineering Geology</v>
      </c>
      <c r="B1330" s="4" t="s">
        <v>29</v>
      </c>
      <c r="C1330" s="4" t="str">
        <f t="shared" si="47"/>
        <v>-</v>
      </c>
      <c r="D1330" s="4" t="str">
        <f>"00802018"</f>
        <v>00802018</v>
      </c>
      <c r="E1330" s="4" t="str">
        <f t="shared" ref="E1330:E1336" si="48">"-"</f>
        <v>-</v>
      </c>
      <c r="F1330" s="4" t="s">
        <v>228</v>
      </c>
    </row>
    <row r="1331" spans="1:6" x14ac:dyDescent="0.25">
      <c r="A1331" s="4" t="str">
        <f>"Guang Pu Xue Yu Guang Pu Fen Xi/Spectroscopy and Spectral Analysis"</f>
        <v>Guang Pu Xue Yu Guang Pu Fen Xi/Spectroscopy and Spectral Analysis</v>
      </c>
      <c r="B1331" s="4" t="s">
        <v>6</v>
      </c>
      <c r="C1331" s="4" t="str">
        <f t="shared" si="47"/>
        <v>-</v>
      </c>
      <c r="D1331" s="4" t="str">
        <f>"10000593"</f>
        <v>10000593</v>
      </c>
      <c r="E1331" s="4" t="str">
        <f t="shared" si="48"/>
        <v>-</v>
      </c>
      <c r="F1331" s="4" t="s">
        <v>37</v>
      </c>
    </row>
    <row r="1332" spans="1:6" x14ac:dyDescent="0.25">
      <c r="A1332" s="4" t="str">
        <f>"Guangxue Jingmi Gongcheng/Optics and Precision Engineering"</f>
        <v>Guangxue Jingmi Gongcheng/Optics and Precision Engineering</v>
      </c>
      <c r="B1332" s="4" t="s">
        <v>6</v>
      </c>
      <c r="C1332" s="4" t="str">
        <f t="shared" si="47"/>
        <v>-</v>
      </c>
      <c r="D1332" s="4" t="str">
        <f>"1004924X"</f>
        <v>1004924X</v>
      </c>
      <c r="E1332" s="4" t="str">
        <f t="shared" si="48"/>
        <v>-</v>
      </c>
      <c r="F1332" s="4" t="s">
        <v>412</v>
      </c>
    </row>
    <row r="1333" spans="1:6" x14ac:dyDescent="0.25">
      <c r="A1333" s="4" t="str">
        <f>"Guangxue Xuebao/Acta Optica Sinica"</f>
        <v>Guangxue Xuebao/Acta Optica Sinica</v>
      </c>
      <c r="B1333" s="4" t="s">
        <v>6</v>
      </c>
      <c r="C1333" s="4" t="str">
        <f t="shared" si="47"/>
        <v>-</v>
      </c>
      <c r="D1333" s="4" t="str">
        <f>"02532239"</f>
        <v>02532239</v>
      </c>
      <c r="E1333" s="4" t="str">
        <f t="shared" si="48"/>
        <v>-</v>
      </c>
      <c r="F1333" s="4" t="s">
        <v>467</v>
      </c>
    </row>
    <row r="1334" spans="1:6" x14ac:dyDescent="0.25">
      <c r="A1334" s="4" t="str">
        <f>"Guangzi Xuebao/Acta Photonica Sinica"</f>
        <v>Guangzi Xuebao/Acta Photonica Sinica</v>
      </c>
      <c r="B1334" s="4" t="s">
        <v>6</v>
      </c>
      <c r="C1334" s="4" t="str">
        <f t="shared" si="47"/>
        <v>-</v>
      </c>
      <c r="D1334" s="4" t="str">
        <f>"10044213"</f>
        <v>10044213</v>
      </c>
      <c r="E1334" s="4" t="str">
        <f t="shared" si="48"/>
        <v>-</v>
      </c>
      <c r="F1334" s="4" t="s">
        <v>467</v>
      </c>
    </row>
    <row r="1335" spans="1:6" x14ac:dyDescent="0.25">
      <c r="A1335" s="4" t="str">
        <f>"Gummi, Fasern, Kunststoffe"</f>
        <v>Gummi, Fasern, Kunststoffe</v>
      </c>
      <c r="B1335" s="4" t="s">
        <v>22</v>
      </c>
      <c r="C1335" s="4" t="str">
        <f t="shared" si="47"/>
        <v>-</v>
      </c>
      <c r="D1335" s="4" t="str">
        <f>"01761625"</f>
        <v>01761625</v>
      </c>
      <c r="E1335" s="4" t="str">
        <f t="shared" si="48"/>
        <v>-</v>
      </c>
      <c r="F1335" s="4" t="s">
        <v>468</v>
      </c>
    </row>
    <row r="1336" spans="1:6" x14ac:dyDescent="0.25">
      <c r="A1336" s="4" t="str">
        <f>"Guofang Keji Daxue Xuebao/Journal of National University of Defense Technology"</f>
        <v>Guofang Keji Daxue Xuebao/Journal of National University of Defense Technology</v>
      </c>
      <c r="B1336" s="4" t="s">
        <v>6</v>
      </c>
      <c r="C1336" s="4" t="str">
        <f t="shared" si="47"/>
        <v>-</v>
      </c>
      <c r="D1336" s="4" t="str">
        <f>"10012486"</f>
        <v>10012486</v>
      </c>
      <c r="E1336" s="4" t="str">
        <f t="shared" si="48"/>
        <v>-</v>
      </c>
      <c r="F1336" s="4" t="s">
        <v>469</v>
      </c>
    </row>
    <row r="1337" spans="1:6" x14ac:dyDescent="0.25">
      <c r="A1337" s="4" t="str">
        <f>"Gyroscopy and Navigation"</f>
        <v>Gyroscopy and Navigation</v>
      </c>
      <c r="B1337" s="4" t="s">
        <v>6</v>
      </c>
      <c r="C1337" s="4" t="str">
        <f t="shared" si="47"/>
        <v>-</v>
      </c>
      <c r="D1337" s="4" t="str">
        <f>"20751087"</f>
        <v>20751087</v>
      </c>
      <c r="E1337" s="4" t="str">
        <f>"20751109"</f>
        <v>20751109</v>
      </c>
      <c r="F1337" s="4" t="s">
        <v>171</v>
      </c>
    </row>
    <row r="1338" spans="1:6" x14ac:dyDescent="0.25">
      <c r="A1338" s="4" t="str">
        <f>"Hangkong Dongli Xuebao/Journal of Aerospace Power"</f>
        <v>Hangkong Dongli Xuebao/Journal of Aerospace Power</v>
      </c>
      <c r="B1338" s="4" t="s">
        <v>6</v>
      </c>
      <c r="C1338" s="4" t="str">
        <f t="shared" si="47"/>
        <v>-</v>
      </c>
      <c r="D1338" s="4" t="str">
        <f>"10008055"</f>
        <v>10008055</v>
      </c>
      <c r="E1338" s="4" t="str">
        <f t="shared" ref="E1338:E1346" si="49">"-"</f>
        <v>-</v>
      </c>
      <c r="F1338" s="4" t="s">
        <v>470</v>
      </c>
    </row>
    <row r="1339" spans="1:6" x14ac:dyDescent="0.25">
      <c r="A1339" s="4" t="str">
        <f>"Hangkong Taikong ji Minhang Xuekan/Journal of Aeronautics, Astronautics and Aviation, Series B"</f>
        <v>Hangkong Taikong ji Minhang Xuekan/Journal of Aeronautics, Astronautics and Aviation, Series B</v>
      </c>
      <c r="B1339" s="4" t="s">
        <v>6</v>
      </c>
      <c r="C1339" s="4" t="str">
        <f t="shared" si="47"/>
        <v>-</v>
      </c>
      <c r="D1339" s="4" t="str">
        <f>"19907729"</f>
        <v>19907729</v>
      </c>
      <c r="E1339" s="4" t="str">
        <f t="shared" si="49"/>
        <v>-</v>
      </c>
      <c r="F1339" s="4" t="s">
        <v>471</v>
      </c>
    </row>
    <row r="1340" spans="1:6" x14ac:dyDescent="0.25">
      <c r="A1340" s="4" t="str">
        <f>"Hangkong Xuebao/Acta Aeronautica et Astronautica Sinica"</f>
        <v>Hangkong Xuebao/Acta Aeronautica et Astronautica Sinica</v>
      </c>
      <c r="B1340" s="4" t="s">
        <v>6</v>
      </c>
      <c r="C1340" s="4" t="str">
        <f t="shared" si="47"/>
        <v>-</v>
      </c>
      <c r="D1340" s="4" t="str">
        <f>"10006893"</f>
        <v>10006893</v>
      </c>
      <c r="E1340" s="4" t="str">
        <f t="shared" si="49"/>
        <v>-</v>
      </c>
      <c r="F1340" s="4" t="s">
        <v>472</v>
      </c>
    </row>
    <row r="1341" spans="1:6" x14ac:dyDescent="0.25">
      <c r="A1341" s="4" t="str">
        <f>"Hanjie Xuebao/Transactions of the China Welding Institution"</f>
        <v>Hanjie Xuebao/Transactions of the China Welding Institution</v>
      </c>
      <c r="B1341" s="4" t="s">
        <v>6</v>
      </c>
      <c r="C1341" s="4" t="str">
        <f t="shared" si="47"/>
        <v>-</v>
      </c>
      <c r="D1341" s="4" t="str">
        <f>"0253360X"</f>
        <v>0253360X</v>
      </c>
      <c r="E1341" s="4" t="str">
        <f t="shared" si="49"/>
        <v>-</v>
      </c>
      <c r="F1341" s="4" t="s">
        <v>473</v>
      </c>
    </row>
    <row r="1342" spans="1:6" x14ac:dyDescent="0.25">
      <c r="A1342" s="4" t="str">
        <f>"Hanneng Cailiao/Chinese Journal of Energetic Materials"</f>
        <v>Hanneng Cailiao/Chinese Journal of Energetic Materials</v>
      </c>
      <c r="B1342" s="4" t="s">
        <v>6</v>
      </c>
      <c r="C1342" s="4" t="str">
        <f t="shared" si="47"/>
        <v>-</v>
      </c>
      <c r="D1342" s="4" t="str">
        <f>"10069941"</f>
        <v>10069941</v>
      </c>
      <c r="E1342" s="4" t="str">
        <f t="shared" si="49"/>
        <v>-</v>
      </c>
      <c r="F1342" s="4" t="s">
        <v>474</v>
      </c>
    </row>
    <row r="1343" spans="1:6" x14ac:dyDescent="0.25">
      <c r="A1343" s="4" t="str">
        <f>"Harbin Gongcheng Daxue Xuebao/Journal of Harbin Engineering University"</f>
        <v>Harbin Gongcheng Daxue Xuebao/Journal of Harbin Engineering University</v>
      </c>
      <c r="B1343" s="4" t="s">
        <v>6</v>
      </c>
      <c r="C1343" s="4" t="str">
        <f t="shared" si="47"/>
        <v>-</v>
      </c>
      <c r="D1343" s="4" t="str">
        <f>"10067043"</f>
        <v>10067043</v>
      </c>
      <c r="E1343" s="4" t="str">
        <f t="shared" si="49"/>
        <v>-</v>
      </c>
      <c r="F1343" s="4" t="s">
        <v>475</v>
      </c>
    </row>
    <row r="1344" spans="1:6" x14ac:dyDescent="0.25">
      <c r="A1344" s="4" t="str">
        <f>"Harbin Gongye Daxue Xuebao/Journal of Harbin Institute of Technology"</f>
        <v>Harbin Gongye Daxue Xuebao/Journal of Harbin Institute of Technology</v>
      </c>
      <c r="B1344" s="4" t="s">
        <v>6</v>
      </c>
      <c r="C1344" s="4" t="str">
        <f t="shared" si="47"/>
        <v>-</v>
      </c>
      <c r="D1344" s="4" t="str">
        <f>"03676234"</f>
        <v>03676234</v>
      </c>
      <c r="E1344" s="4" t="str">
        <f t="shared" si="49"/>
        <v>-</v>
      </c>
      <c r="F1344" s="4" t="s">
        <v>476</v>
      </c>
    </row>
    <row r="1345" spans="1:6" x14ac:dyDescent="0.25">
      <c r="A1345" s="4" t="str">
        <f>"Hardware/Software Codesign - Proceedings of the International Workshop"</f>
        <v>Hardware/Software Codesign - Proceedings of the International Workshop</v>
      </c>
      <c r="B1345" s="4" t="s">
        <v>8</v>
      </c>
      <c r="C1345" s="4" t="str">
        <f t="shared" si="47"/>
        <v>-</v>
      </c>
      <c r="D1345" s="4" t="str">
        <f>"-"</f>
        <v>-</v>
      </c>
      <c r="E1345" s="4" t="str">
        <f t="shared" si="49"/>
        <v>-</v>
      </c>
      <c r="F1345" s="4" t="s">
        <v>9</v>
      </c>
    </row>
    <row r="1346" spans="1:6" x14ac:dyDescent="0.25">
      <c r="A1346" s="4" t="str">
        <f>"Hazardous and Industrial Wastes - Proceedings of the Mid-Atlantic Industrial Waste Conference"</f>
        <v>Hazardous and Industrial Wastes - Proceedings of the Mid-Atlantic Industrial Waste Conference</v>
      </c>
      <c r="B1346" s="4" t="s">
        <v>8</v>
      </c>
      <c r="C1346" s="4" t="str">
        <f t="shared" si="47"/>
        <v>-</v>
      </c>
      <c r="D1346" s="4" t="str">
        <f>"10440631"</f>
        <v>10440631</v>
      </c>
      <c r="E1346" s="4" t="str">
        <f t="shared" si="49"/>
        <v>-</v>
      </c>
      <c r="F1346" s="4" t="s">
        <v>477</v>
      </c>
    </row>
    <row r="1347" spans="1:6" x14ac:dyDescent="0.25">
      <c r="A1347" s="4" t="str">
        <f>"Hazardous Waste Consultant"</f>
        <v>Hazardous Waste Consultant</v>
      </c>
      <c r="B1347" s="4" t="s">
        <v>22</v>
      </c>
      <c r="C1347" s="4" t="str">
        <f t="shared" si="47"/>
        <v>-</v>
      </c>
      <c r="D1347" s="4" t="str">
        <f>"07380232"</f>
        <v>07380232</v>
      </c>
      <c r="E1347" s="4" t="str">
        <f>"18783945 "</f>
        <v xml:space="preserve">18783945 </v>
      </c>
      <c r="F1347" s="4" t="s">
        <v>478</v>
      </c>
    </row>
    <row r="1348" spans="1:6" x14ac:dyDescent="0.25">
      <c r="A1348" s="4" t="s">
        <v>479</v>
      </c>
      <c r="B1348" s="4" t="s">
        <v>6</v>
      </c>
      <c r="E1348" s="4" t="s">
        <v>480</v>
      </c>
      <c r="F1348" s="4" t="s">
        <v>370</v>
      </c>
    </row>
    <row r="1349" spans="1:6" x14ac:dyDescent="0.25">
      <c r="A1349" s="4" t="str">
        <f>"Heat and Mass Transfer/Waerme- und Stoffuebertragung"</f>
        <v>Heat and Mass Transfer/Waerme- und Stoffuebertragung</v>
      </c>
      <c r="B1349" s="4" t="s">
        <v>6</v>
      </c>
      <c r="C1349" s="4" t="str">
        <f t="shared" ref="C1349:C1371" si="50">"-"</f>
        <v>-</v>
      </c>
      <c r="D1349" s="4" t="str">
        <f>"09477411"</f>
        <v>09477411</v>
      </c>
      <c r="E1349" s="4" t="str">
        <f>"14321181"</f>
        <v>14321181</v>
      </c>
      <c r="F1349" s="4" t="s">
        <v>42</v>
      </c>
    </row>
    <row r="1350" spans="1:6" x14ac:dyDescent="0.25">
      <c r="A1350" s="4" t="str">
        <f>"Heat Transfer - Asian Research"</f>
        <v>Heat Transfer - Asian Research</v>
      </c>
      <c r="B1350" s="4" t="s">
        <v>6</v>
      </c>
      <c r="C1350" s="4" t="str">
        <f t="shared" si="50"/>
        <v>-</v>
      </c>
      <c r="D1350" s="4" t="str">
        <f>"10992871"</f>
        <v>10992871</v>
      </c>
      <c r="E1350" s="4" t="str">
        <f>"15231496"</f>
        <v>15231496</v>
      </c>
      <c r="F1350" s="4" t="s">
        <v>87</v>
      </c>
    </row>
    <row r="1351" spans="1:6" x14ac:dyDescent="0.25">
      <c r="A1351" s="4" t="str">
        <f>"Heat Transfer Engineering"</f>
        <v>Heat Transfer Engineering</v>
      </c>
      <c r="B1351" s="4" t="s">
        <v>6</v>
      </c>
      <c r="C1351" s="4" t="str">
        <f t="shared" si="50"/>
        <v>-</v>
      </c>
      <c r="D1351" s="4" t="str">
        <f>"01457632"</f>
        <v>01457632</v>
      </c>
      <c r="E1351" s="4" t="str">
        <f>"15210537"</f>
        <v>15210537</v>
      </c>
      <c r="F1351" s="4" t="s">
        <v>60</v>
      </c>
    </row>
    <row r="1352" spans="1:6" x14ac:dyDescent="0.25">
      <c r="A1352" s="4" t="str">
        <f>"Heat Transfer Research"</f>
        <v>Heat Transfer Research</v>
      </c>
      <c r="B1352" s="4" t="s">
        <v>6</v>
      </c>
      <c r="C1352" s="4" t="str">
        <f t="shared" si="50"/>
        <v>-</v>
      </c>
      <c r="D1352" s="4" t="str">
        <f>"10642285"</f>
        <v>10642285</v>
      </c>
      <c r="E1352" s="4" t="str">
        <f>"-"</f>
        <v>-</v>
      </c>
      <c r="F1352" s="4" t="s">
        <v>69</v>
      </c>
    </row>
    <row r="1353" spans="1:6" x14ac:dyDescent="0.25">
      <c r="A1353" s="4" t="str">
        <f>"Hedongli Gongcheng/Nuclear Power Engineering"</f>
        <v>Hedongli Gongcheng/Nuclear Power Engineering</v>
      </c>
      <c r="B1353" s="4" t="s">
        <v>6</v>
      </c>
      <c r="C1353" s="4" t="str">
        <f t="shared" si="50"/>
        <v>-</v>
      </c>
      <c r="D1353" s="4" t="str">
        <f>"02580926"</f>
        <v>02580926</v>
      </c>
      <c r="E1353" s="4" t="str">
        <f>"-"</f>
        <v>-</v>
      </c>
      <c r="F1353" s="4" t="s">
        <v>481</v>
      </c>
    </row>
    <row r="1354" spans="1:6" x14ac:dyDescent="0.25">
      <c r="A1354" s="4" t="str">
        <f>"Helvetica Chimica Acta"</f>
        <v>Helvetica Chimica Acta</v>
      </c>
      <c r="B1354" s="4" t="s">
        <v>6</v>
      </c>
      <c r="C1354" s="4" t="str">
        <f t="shared" si="50"/>
        <v>-</v>
      </c>
      <c r="D1354" s="4" t="str">
        <f>"0018019X"</f>
        <v>0018019X</v>
      </c>
      <c r="E1354" s="4" t="str">
        <f>"15222675"</f>
        <v>15222675</v>
      </c>
      <c r="F1354" s="4" t="s">
        <v>261</v>
      </c>
    </row>
    <row r="1355" spans="1:6" x14ac:dyDescent="0.25">
      <c r="A1355" s="4" t="str">
        <f>"Heron"</f>
        <v>Heron</v>
      </c>
      <c r="B1355" s="4" t="s">
        <v>6</v>
      </c>
      <c r="C1355" s="4" t="str">
        <f t="shared" si="50"/>
        <v>-</v>
      </c>
      <c r="D1355" s="4" t="str">
        <f>"00467316"</f>
        <v>00467316</v>
      </c>
      <c r="E1355" s="4" t="str">
        <f>"15744078"</f>
        <v>15744078</v>
      </c>
      <c r="F1355" s="4" t="s">
        <v>482</v>
      </c>
    </row>
    <row r="1356" spans="1:6" x14ac:dyDescent="0.25">
      <c r="A1356" s="4" t="str">
        <f>"High Performance Polymers"</f>
        <v>High Performance Polymers</v>
      </c>
      <c r="B1356" s="4" t="s">
        <v>6</v>
      </c>
      <c r="C1356" s="4" t="str">
        <f t="shared" si="50"/>
        <v>-</v>
      </c>
      <c r="D1356" s="4" t="str">
        <f>"09540083"</f>
        <v>09540083</v>
      </c>
      <c r="E1356" s="4" t="str">
        <f>"13616412"</f>
        <v>13616412</v>
      </c>
      <c r="F1356" s="4" t="s">
        <v>212</v>
      </c>
    </row>
    <row r="1357" spans="1:6" x14ac:dyDescent="0.25">
      <c r="A1357" s="4" t="str">
        <f>"High Pressure Research"</f>
        <v>High Pressure Research</v>
      </c>
      <c r="B1357" s="4" t="s">
        <v>6</v>
      </c>
      <c r="C1357" s="4" t="str">
        <f t="shared" si="50"/>
        <v>-</v>
      </c>
      <c r="D1357" s="4" t="str">
        <f>"08957959"</f>
        <v>08957959</v>
      </c>
      <c r="E1357" s="4" t="str">
        <f>"14772299"</f>
        <v>14772299</v>
      </c>
      <c r="F1357" s="4" t="s">
        <v>60</v>
      </c>
    </row>
    <row r="1358" spans="1:6" x14ac:dyDescent="0.25">
      <c r="A1358" s="4" t="str">
        <f>"High Technology Letters"</f>
        <v>High Technology Letters</v>
      </c>
      <c r="B1358" s="4" t="s">
        <v>6</v>
      </c>
      <c r="C1358" s="4" t="str">
        <f t="shared" si="50"/>
        <v>-</v>
      </c>
      <c r="D1358" s="4" t="str">
        <f>"10066748"</f>
        <v>10066748</v>
      </c>
      <c r="E1358" s="4" t="str">
        <f>"-"</f>
        <v>-</v>
      </c>
      <c r="F1358" s="4" t="s">
        <v>483</v>
      </c>
    </row>
    <row r="1359" spans="1:6" x14ac:dyDescent="0.25">
      <c r="A1359" s="4" t="str">
        <f>"High Temperature"</f>
        <v>High Temperature</v>
      </c>
      <c r="B1359" s="4" t="s">
        <v>6</v>
      </c>
      <c r="C1359" s="4" t="str">
        <f t="shared" si="50"/>
        <v>-</v>
      </c>
      <c r="D1359" s="4" t="str">
        <f>"0018151X"</f>
        <v>0018151X</v>
      </c>
      <c r="E1359" s="4" t="str">
        <f>"-"</f>
        <v>-</v>
      </c>
      <c r="F1359" s="4" t="s">
        <v>171</v>
      </c>
    </row>
    <row r="1360" spans="1:6" x14ac:dyDescent="0.25">
      <c r="A1360" s="4" t="str">
        <f>"High Temperature Material Processes"</f>
        <v>High Temperature Material Processes</v>
      </c>
      <c r="B1360" s="4" t="s">
        <v>6</v>
      </c>
      <c r="C1360" s="4" t="str">
        <f t="shared" si="50"/>
        <v>-</v>
      </c>
      <c r="D1360" s="4" t="str">
        <f>"10933611"</f>
        <v>10933611</v>
      </c>
      <c r="E1360" s="4" t="str">
        <f>"19404360"</f>
        <v>19404360</v>
      </c>
      <c r="F1360" s="4" t="s">
        <v>69</v>
      </c>
    </row>
    <row r="1361" spans="1:6" x14ac:dyDescent="0.25">
      <c r="A1361" s="4" t="str">
        <f>"High Temperature Materials and Processes"</f>
        <v>High Temperature Materials and Processes</v>
      </c>
      <c r="B1361" s="4" t="s">
        <v>6</v>
      </c>
      <c r="C1361" s="4" t="str">
        <f t="shared" si="50"/>
        <v>-</v>
      </c>
      <c r="D1361" s="4" t="str">
        <f>"03346455"</f>
        <v>03346455</v>
      </c>
      <c r="E1361" s="4" t="str">
        <f>"-"</f>
        <v>-</v>
      </c>
      <c r="F1361" s="4" t="s">
        <v>484</v>
      </c>
    </row>
    <row r="1362" spans="1:6" x14ac:dyDescent="0.25">
      <c r="A1362" s="4" t="str">
        <f>"High Temperatures - High Pressures"</f>
        <v>High Temperatures - High Pressures</v>
      </c>
      <c r="B1362" s="4" t="s">
        <v>6</v>
      </c>
      <c r="C1362" s="4" t="str">
        <f t="shared" si="50"/>
        <v>-</v>
      </c>
      <c r="D1362" s="4" t="str">
        <f>"00181544"</f>
        <v>00181544</v>
      </c>
      <c r="E1362" s="4" t="str">
        <f>"14723441"</f>
        <v>14723441</v>
      </c>
      <c r="F1362" s="4" t="s">
        <v>485</v>
      </c>
    </row>
    <row r="1363" spans="1:6" x14ac:dyDescent="0.25">
      <c r="A1363" s="4" t="str">
        <f>"HKIE Transactions Hong Kong Institution of Engineers"</f>
        <v>HKIE Transactions Hong Kong Institution of Engineers</v>
      </c>
      <c r="B1363" s="4" t="s">
        <v>6</v>
      </c>
      <c r="C1363" s="4" t="str">
        <f t="shared" si="50"/>
        <v>-</v>
      </c>
      <c r="D1363" s="4" t="str">
        <f>"1023697X"</f>
        <v>1023697X</v>
      </c>
      <c r="E1363" s="4" t="str">
        <f>"-"</f>
        <v>-</v>
      </c>
      <c r="F1363" s="4" t="s">
        <v>486</v>
      </c>
    </row>
    <row r="1364" spans="1:6" x14ac:dyDescent="0.25">
      <c r="A1364" s="4" t="str">
        <f>"Holzforschung"</f>
        <v>Holzforschung</v>
      </c>
      <c r="B1364" s="4" t="s">
        <v>6</v>
      </c>
      <c r="C1364" s="4" t="str">
        <f t="shared" si="50"/>
        <v>-</v>
      </c>
      <c r="D1364" s="4" t="str">
        <f>"00183830"</f>
        <v>00183830</v>
      </c>
      <c r="E1364" s="4" t="str">
        <f>"1437434X"</f>
        <v>1437434X</v>
      </c>
      <c r="F1364" s="4" t="s">
        <v>189</v>
      </c>
    </row>
    <row r="1365" spans="1:6" x14ac:dyDescent="0.25">
      <c r="A1365" s="4" t="str">
        <f>"Hongwai Yu Haomibo Xuebao/Journal of Infrared and Millimeter Waves"</f>
        <v>Hongwai Yu Haomibo Xuebao/Journal of Infrared and Millimeter Waves</v>
      </c>
      <c r="B1365" s="4" t="s">
        <v>6</v>
      </c>
      <c r="C1365" s="4" t="str">
        <f t="shared" si="50"/>
        <v>-</v>
      </c>
      <c r="D1365" s="4" t="str">
        <f>"10019014"</f>
        <v>10019014</v>
      </c>
      <c r="E1365" s="4" t="str">
        <f>"-"</f>
        <v>-</v>
      </c>
      <c r="F1365" s="4" t="s">
        <v>467</v>
      </c>
    </row>
    <row r="1366" spans="1:6" x14ac:dyDescent="0.25">
      <c r="A1366" s="4" t="str">
        <f>"Hongwai yu Jiguang Gongcheng/Infrared and Laser Engineering"</f>
        <v>Hongwai yu Jiguang Gongcheng/Infrared and Laser Engineering</v>
      </c>
      <c r="B1366" s="4" t="s">
        <v>6</v>
      </c>
      <c r="C1366" s="4" t="str">
        <f t="shared" si="50"/>
        <v>-</v>
      </c>
      <c r="D1366" s="4" t="str">
        <f>"10072276"</f>
        <v>10072276</v>
      </c>
      <c r="E1366" s="4" t="str">
        <f>"-"</f>
        <v>-</v>
      </c>
      <c r="F1366" s="4" t="s">
        <v>487</v>
      </c>
    </row>
    <row r="1367" spans="1:6" x14ac:dyDescent="0.25">
      <c r="A1367" s="4" t="str">
        <f>"HP Laboratories Technical Report"</f>
        <v>HP Laboratories Technical Report</v>
      </c>
      <c r="B1367" s="4" t="s">
        <v>6</v>
      </c>
      <c r="C1367" s="4" t="str">
        <f t="shared" si="50"/>
        <v>-</v>
      </c>
      <c r="D1367" s="4" t="str">
        <f>"13686798 "</f>
        <v xml:space="preserve">13686798 </v>
      </c>
      <c r="E1367" s="4" t="str">
        <f>"-"</f>
        <v>-</v>
      </c>
      <c r="F1367" s="4" t="s">
        <v>488</v>
      </c>
    </row>
    <row r="1368" spans="1:6" x14ac:dyDescent="0.25">
      <c r="A1368" s="4" t="str">
        <f>"Hsi-An Chiao Tung Ta Hsueh/Journal of Xi'an Jiaotong University"</f>
        <v>Hsi-An Chiao Tung Ta Hsueh/Journal of Xi'an Jiaotong University</v>
      </c>
      <c r="B1368" s="4" t="s">
        <v>6</v>
      </c>
      <c r="C1368" s="4" t="str">
        <f t="shared" si="50"/>
        <v>-</v>
      </c>
      <c r="D1368" s="4" t="str">
        <f>"0253987X"</f>
        <v>0253987X</v>
      </c>
      <c r="E1368" s="4" t="str">
        <f>"-"</f>
        <v>-</v>
      </c>
      <c r="F1368" s="4" t="s">
        <v>489</v>
      </c>
    </row>
    <row r="1369" spans="1:6" x14ac:dyDescent="0.25">
      <c r="A1369" s="4" t="str">
        <f>"HTM - Journal of Heat Treatment and Materials"</f>
        <v>HTM - Journal of Heat Treatment and Materials</v>
      </c>
      <c r="B1369" s="4" t="s">
        <v>22</v>
      </c>
      <c r="C1369" s="4" t="str">
        <f t="shared" si="50"/>
        <v>-</v>
      </c>
      <c r="D1369" s="4" t="str">
        <f>"18672493"</f>
        <v>18672493</v>
      </c>
      <c r="E1369" s="4" t="str">
        <f>"21941831"</f>
        <v>21941831</v>
      </c>
      <c r="F1369" s="4" t="s">
        <v>490</v>
      </c>
    </row>
    <row r="1370" spans="1:6" x14ac:dyDescent="0.25">
      <c r="A1370" s="4" t="str">
        <f>"Huagong Xuebao/CIESC Journal"</f>
        <v>Huagong Xuebao/CIESC Journal</v>
      </c>
      <c r="B1370" s="4" t="s">
        <v>6</v>
      </c>
      <c r="C1370" s="4" t="str">
        <f t="shared" si="50"/>
        <v>-</v>
      </c>
      <c r="D1370" s="4" t="str">
        <f>"04381157"</f>
        <v>04381157</v>
      </c>
      <c r="E1370" s="4" t="str">
        <f>"-"</f>
        <v>-</v>
      </c>
      <c r="F1370" s="4" t="s">
        <v>269</v>
      </c>
    </row>
    <row r="1371" spans="1:6" x14ac:dyDescent="0.25">
      <c r="A1371" s="4" t="str">
        <f>"Huanan Ligong Daxue Xuebao/Journal of South China University of Technology (Natural Science)"</f>
        <v>Huanan Ligong Daxue Xuebao/Journal of South China University of Technology (Natural Science)</v>
      </c>
      <c r="B1371" s="4" t="s">
        <v>6</v>
      </c>
      <c r="C1371" s="4" t="str">
        <f t="shared" si="50"/>
        <v>-</v>
      </c>
      <c r="D1371" s="4" t="str">
        <f>"1000565X"</f>
        <v>1000565X</v>
      </c>
      <c r="E1371" s="4" t="str">
        <f>"-"</f>
        <v>-</v>
      </c>
      <c r="F1371" s="4" t="s">
        <v>307</v>
      </c>
    </row>
    <row r="1372" spans="1:6" x14ac:dyDescent="0.25">
      <c r="A1372" s="4" t="s">
        <v>491</v>
      </c>
      <c r="B1372" s="4" t="s">
        <v>6</v>
      </c>
      <c r="D1372" s="4" t="s">
        <v>492</v>
      </c>
      <c r="F1372" s="4" t="s">
        <v>37</v>
      </c>
    </row>
    <row r="1373" spans="1:6" ht="30" x14ac:dyDescent="0.25">
      <c r="A1373" s="4" t="str">
        <f>"Huazhong Keji Daxue Xuebao (Ziran Kexue Ban)/Journal of Huazhong University of Science and Technology (Natural Science Edition)"</f>
        <v>Huazhong Keji Daxue Xuebao (Ziran Kexue Ban)/Journal of Huazhong University of Science and Technology (Natural Science Edition)</v>
      </c>
      <c r="B1373" s="4" t="s">
        <v>6</v>
      </c>
      <c r="C1373" s="4" t="str">
        <f t="shared" ref="C1373:C1436" si="51">"-"</f>
        <v>-</v>
      </c>
      <c r="D1373" s="4" t="str">
        <f>"16714512"</f>
        <v>16714512</v>
      </c>
      <c r="E1373" s="4" t="str">
        <f>"-"</f>
        <v>-</v>
      </c>
      <c r="F1373" s="4" t="s">
        <v>44</v>
      </c>
    </row>
    <row r="1374" spans="1:6" x14ac:dyDescent="0.25">
      <c r="A1374" s="4" t="str">
        <f>"Human Factors"</f>
        <v>Human Factors</v>
      </c>
      <c r="B1374" s="4" t="s">
        <v>6</v>
      </c>
      <c r="C1374" s="4" t="str">
        <f t="shared" si="51"/>
        <v>-</v>
      </c>
      <c r="D1374" s="4" t="str">
        <f>"00187208"</f>
        <v>00187208</v>
      </c>
      <c r="E1374" s="4" t="str">
        <f>"15478181"</f>
        <v>15478181</v>
      </c>
      <c r="F1374" s="4" t="s">
        <v>50</v>
      </c>
    </row>
    <row r="1375" spans="1:6" x14ac:dyDescent="0.25">
      <c r="A1375" s="4" t="str">
        <f>"Human Factors and Ergonomics In Manufacturing"</f>
        <v>Human Factors and Ergonomics In Manufacturing</v>
      </c>
      <c r="B1375" s="4" t="s">
        <v>6</v>
      </c>
      <c r="C1375" s="4" t="str">
        <f t="shared" si="51"/>
        <v>-</v>
      </c>
      <c r="D1375" s="4" t="str">
        <f>"10908471"</f>
        <v>10908471</v>
      </c>
      <c r="E1375" s="4" t="str">
        <f>"15206564"</f>
        <v>15206564</v>
      </c>
      <c r="F1375" s="4" t="s">
        <v>87</v>
      </c>
    </row>
    <row r="1376" spans="1:6" x14ac:dyDescent="0.25">
      <c r="A1376" s="4" t="str">
        <f>"Human Systems Management"</f>
        <v>Human Systems Management</v>
      </c>
      <c r="B1376" s="4" t="s">
        <v>6</v>
      </c>
      <c r="C1376" s="4" t="str">
        <f t="shared" si="51"/>
        <v>-</v>
      </c>
      <c r="D1376" s="4" t="str">
        <f>"01672533"</f>
        <v>01672533</v>
      </c>
      <c r="E1376" s="4" t="str">
        <f>"-"</f>
        <v>-</v>
      </c>
      <c r="F1376" s="4" t="s">
        <v>103</v>
      </c>
    </row>
    <row r="1377" spans="1:6" x14ac:dyDescent="0.25">
      <c r="A1377" s="4" t="str">
        <f>"Human-Computer Interaction"</f>
        <v>Human-Computer Interaction</v>
      </c>
      <c r="B1377" s="4" t="s">
        <v>6</v>
      </c>
      <c r="C1377" s="4" t="str">
        <f t="shared" si="51"/>
        <v>-</v>
      </c>
      <c r="D1377" s="4" t="str">
        <f>"07370024"</f>
        <v>07370024</v>
      </c>
      <c r="E1377" s="4" t="str">
        <f>"-"</f>
        <v>-</v>
      </c>
      <c r="F1377" s="4" t="s">
        <v>96</v>
      </c>
    </row>
    <row r="1378" spans="1:6" x14ac:dyDescent="0.25">
      <c r="A1378" s="4" t="str">
        <f>"Hunan Daxue Xuebao/Journal of Hunan University Natural Sciences"</f>
        <v>Hunan Daxue Xuebao/Journal of Hunan University Natural Sciences</v>
      </c>
      <c r="B1378" s="4" t="s">
        <v>6</v>
      </c>
      <c r="C1378" s="4" t="str">
        <f t="shared" si="51"/>
        <v>-</v>
      </c>
      <c r="D1378" s="4" t="str">
        <f>"16742974"</f>
        <v>16742974</v>
      </c>
      <c r="E1378" s="4" t="str">
        <f>"-"</f>
        <v>-</v>
      </c>
      <c r="F1378" s="4" t="s">
        <v>493</v>
      </c>
    </row>
    <row r="1379" spans="1:6" x14ac:dyDescent="0.25">
      <c r="A1379" s="4" t="str">
        <f>"Hydrocarbon Engineering"</f>
        <v>Hydrocarbon Engineering</v>
      </c>
      <c r="B1379" s="4" t="s">
        <v>22</v>
      </c>
      <c r="C1379" s="4" t="str">
        <f t="shared" si="51"/>
        <v>-</v>
      </c>
      <c r="D1379" s="4" t="str">
        <f>"14689340"</f>
        <v>14689340</v>
      </c>
      <c r="E1379" s="4" t="str">
        <f>"-"</f>
        <v>-</v>
      </c>
      <c r="F1379" s="4" t="s">
        <v>494</v>
      </c>
    </row>
    <row r="1380" spans="1:6" x14ac:dyDescent="0.25">
      <c r="A1380" s="4" t="str">
        <f>"Hydrological Processes"</f>
        <v>Hydrological Processes</v>
      </c>
      <c r="B1380" s="4" t="s">
        <v>6</v>
      </c>
      <c r="C1380" s="4" t="str">
        <f t="shared" si="51"/>
        <v>-</v>
      </c>
      <c r="D1380" s="4" t="str">
        <f>"08856087"</f>
        <v>08856087</v>
      </c>
      <c r="E1380" s="4" t="str">
        <f>"10991085"</f>
        <v>10991085</v>
      </c>
      <c r="F1380" s="4" t="s">
        <v>142</v>
      </c>
    </row>
    <row r="1381" spans="1:6" x14ac:dyDescent="0.25">
      <c r="A1381" s="4" t="str">
        <f>"Hydrological Sciences Journal"</f>
        <v>Hydrological Sciences Journal</v>
      </c>
      <c r="B1381" s="4" t="s">
        <v>6</v>
      </c>
      <c r="C1381" s="4" t="str">
        <f t="shared" si="51"/>
        <v>-</v>
      </c>
      <c r="D1381" s="4" t="str">
        <f>"02626667"</f>
        <v>02626667</v>
      </c>
      <c r="E1381" s="4" t="str">
        <f>"21503435"</f>
        <v>21503435</v>
      </c>
      <c r="F1381" s="4" t="s">
        <v>60</v>
      </c>
    </row>
    <row r="1382" spans="1:6" x14ac:dyDescent="0.25">
      <c r="A1382" s="4" t="str">
        <f>"Hydrology and Earth System Sciences"</f>
        <v>Hydrology and Earth System Sciences</v>
      </c>
      <c r="B1382" s="4" t="s">
        <v>6</v>
      </c>
      <c r="C1382" s="4" t="str">
        <f t="shared" si="51"/>
        <v>-</v>
      </c>
      <c r="D1382" s="4" t="str">
        <f>"10275606"</f>
        <v>10275606</v>
      </c>
      <c r="E1382" s="4" t="str">
        <f>"16077938"</f>
        <v>16077938</v>
      </c>
      <c r="F1382" s="4" t="s">
        <v>89</v>
      </c>
    </row>
    <row r="1383" spans="1:6" x14ac:dyDescent="0.25">
      <c r="A1383" s="4" t="str">
        <f>"Hydrology Research"</f>
        <v>Hydrology Research</v>
      </c>
      <c r="B1383" s="4" t="s">
        <v>6</v>
      </c>
      <c r="C1383" s="4" t="str">
        <f t="shared" si="51"/>
        <v>-</v>
      </c>
      <c r="D1383" s="4" t="str">
        <f>"19989563"</f>
        <v>19989563</v>
      </c>
      <c r="E1383" s="4" t="str">
        <f>"22247955"</f>
        <v>22247955</v>
      </c>
      <c r="F1383" s="4" t="s">
        <v>495</v>
      </c>
    </row>
    <row r="1384" spans="1:6" x14ac:dyDescent="0.25">
      <c r="A1384" s="4" t="str">
        <f>"Hydrometallurgy"</f>
        <v>Hydrometallurgy</v>
      </c>
      <c r="B1384" s="4" t="s">
        <v>6</v>
      </c>
      <c r="C1384" s="4" t="str">
        <f t="shared" si="51"/>
        <v>-</v>
      </c>
      <c r="D1384" s="4" t="str">
        <f>"0304386X"</f>
        <v>0304386X</v>
      </c>
      <c r="E1384" s="4" t="str">
        <f>"-"</f>
        <v>-</v>
      </c>
      <c r="F1384" s="4" t="s">
        <v>55</v>
      </c>
    </row>
    <row r="1385" spans="1:6" x14ac:dyDescent="0.25">
      <c r="A1385" s="4" t="str">
        <f>"IAENG International Journal of Applied Mathematics"</f>
        <v>IAENG International Journal of Applied Mathematics</v>
      </c>
      <c r="B1385" s="4" t="s">
        <v>6</v>
      </c>
      <c r="C1385" s="4" t="str">
        <f t="shared" si="51"/>
        <v>-</v>
      </c>
      <c r="D1385" s="4" t="str">
        <f>"19929978"</f>
        <v>19929978</v>
      </c>
      <c r="E1385" s="4" t="str">
        <f>"19929986"</f>
        <v>19929986</v>
      </c>
      <c r="F1385" s="4" t="s">
        <v>380</v>
      </c>
    </row>
    <row r="1386" spans="1:6" x14ac:dyDescent="0.25">
      <c r="A1386" s="4" t="str">
        <f>"IAENG International Journal of Computer Science"</f>
        <v>IAENG International Journal of Computer Science</v>
      </c>
      <c r="B1386" s="4" t="s">
        <v>6</v>
      </c>
      <c r="C1386" s="4" t="str">
        <f t="shared" si="51"/>
        <v>-</v>
      </c>
      <c r="D1386" s="4" t="str">
        <f>"1819656X"</f>
        <v>1819656X</v>
      </c>
      <c r="E1386" s="4" t="str">
        <f>"18199224"</f>
        <v>18199224</v>
      </c>
      <c r="F1386" s="4" t="s">
        <v>380</v>
      </c>
    </row>
    <row r="1387" spans="1:6" x14ac:dyDescent="0.25">
      <c r="A1387" s="4" t="str">
        <f>"IAHS-AISH Proceedings and Reports"</f>
        <v>IAHS-AISH Proceedings and Reports</v>
      </c>
      <c r="B1387" s="4" t="s">
        <v>8</v>
      </c>
      <c r="C1387" s="4" t="str">
        <f t="shared" si="51"/>
        <v>-</v>
      </c>
      <c r="D1387" s="4" t="str">
        <f>"01447815"</f>
        <v>01447815</v>
      </c>
      <c r="E1387" s="4" t="str">
        <f>"-"</f>
        <v>-</v>
      </c>
      <c r="F1387" s="4" t="s">
        <v>89</v>
      </c>
    </row>
    <row r="1388" spans="1:6" x14ac:dyDescent="0.25">
      <c r="A1388" s="4" t="str">
        <f>"IAQ Conference"</f>
        <v>IAQ Conference</v>
      </c>
      <c r="B1388" s="4" t="s">
        <v>8</v>
      </c>
      <c r="C1388" s="4" t="str">
        <f t="shared" si="51"/>
        <v>-</v>
      </c>
      <c r="D1388" s="4" t="str">
        <f>"-"</f>
        <v>-</v>
      </c>
      <c r="E1388" s="4" t="str">
        <f>"21664870"</f>
        <v>21664870</v>
      </c>
      <c r="F1388" s="4" t="s">
        <v>155</v>
      </c>
    </row>
    <row r="1389" spans="1:6" x14ac:dyDescent="0.25">
      <c r="A1389" s="4" t="str">
        <f>"IATSS Research"</f>
        <v>IATSS Research</v>
      </c>
      <c r="B1389" s="4" t="s">
        <v>6</v>
      </c>
      <c r="C1389" s="4" t="str">
        <f t="shared" si="51"/>
        <v>-</v>
      </c>
      <c r="D1389" s="4" t="str">
        <f>"03861112"</f>
        <v>03861112</v>
      </c>
      <c r="E1389" s="4" t="str">
        <f>"-"</f>
        <v>-</v>
      </c>
      <c r="F1389" s="4" t="s">
        <v>55</v>
      </c>
    </row>
    <row r="1390" spans="1:6" x14ac:dyDescent="0.25">
      <c r="A1390" s="4" t="str">
        <f>"Iberian Conference on Information Systems and Technologies, CISTI"</f>
        <v>Iberian Conference on Information Systems and Technologies, CISTI</v>
      </c>
      <c r="B1390" s="4" t="s">
        <v>8</v>
      </c>
      <c r="C1390" s="4" t="str">
        <f t="shared" si="51"/>
        <v>-</v>
      </c>
      <c r="D1390" s="4" t="str">
        <f>"21660727"</f>
        <v>21660727</v>
      </c>
      <c r="E1390" s="4" t="str">
        <f>"21660735"</f>
        <v>21660735</v>
      </c>
      <c r="F1390" s="4" t="s">
        <v>9</v>
      </c>
    </row>
    <row r="1391" spans="1:6" x14ac:dyDescent="0.25">
      <c r="A1391" s="4" t="str">
        <f>"IBM Data Management Magazine"</f>
        <v>IBM Data Management Magazine</v>
      </c>
      <c r="B1391" s="4" t="s">
        <v>22</v>
      </c>
      <c r="C1391" s="4" t="str">
        <f t="shared" si="51"/>
        <v>-</v>
      </c>
      <c r="D1391" s="4" t="str">
        <f>"-"</f>
        <v>-</v>
      </c>
      <c r="E1391" s="4" t="str">
        <f>"-"</f>
        <v>-</v>
      </c>
      <c r="F1391" s="4" t="s">
        <v>496</v>
      </c>
    </row>
    <row r="1392" spans="1:6" x14ac:dyDescent="0.25">
      <c r="A1392" s="4" t="str">
        <f>"IBM Journal of Research and Development"</f>
        <v>IBM Journal of Research and Development</v>
      </c>
      <c r="B1392" s="4" t="s">
        <v>6</v>
      </c>
      <c r="C1392" s="4" t="str">
        <f t="shared" si="51"/>
        <v>-</v>
      </c>
      <c r="D1392" s="4" t="str">
        <f>"00188646"</f>
        <v>00188646</v>
      </c>
      <c r="E1392" s="4" t="str">
        <f>"21518556"</f>
        <v>21518556</v>
      </c>
      <c r="F1392" s="4" t="s">
        <v>497</v>
      </c>
    </row>
    <row r="1393" spans="1:6" x14ac:dyDescent="0.25">
      <c r="A1393" s="4" t="str">
        <f>"ICASSP, IEEE International Conference on Acoustics, Speech and Signal Processing - Proceedings"</f>
        <v>ICASSP, IEEE International Conference on Acoustics, Speech and Signal Processing - Proceedings</v>
      </c>
      <c r="B1393" s="4" t="s">
        <v>8</v>
      </c>
      <c r="C1393" s="4" t="str">
        <f t="shared" si="51"/>
        <v>-</v>
      </c>
      <c r="D1393" s="4" t="str">
        <f>"15206149"</f>
        <v>15206149</v>
      </c>
      <c r="E1393" s="4" t="str">
        <f t="shared" ref="E1393:E1399" si="52">"-"</f>
        <v>-</v>
      </c>
      <c r="F1393" s="4" t="s">
        <v>105</v>
      </c>
    </row>
    <row r="1394" spans="1:6" x14ac:dyDescent="0.25">
      <c r="A1394" s="4" t="str">
        <f>"ICCM International Conferences on Composite Materials"</f>
        <v>ICCM International Conferences on Composite Materials</v>
      </c>
      <c r="B1394" s="4" t="s">
        <v>8</v>
      </c>
      <c r="C1394" s="4" t="str">
        <f t="shared" si="51"/>
        <v>-</v>
      </c>
      <c r="D1394" s="4" t="str">
        <f>"-"</f>
        <v>-</v>
      </c>
      <c r="E1394" s="4" t="str">
        <f t="shared" si="52"/>
        <v>-</v>
      </c>
      <c r="F1394" s="4" t="s">
        <v>498</v>
      </c>
    </row>
    <row r="1395" spans="1:6" x14ac:dyDescent="0.25">
      <c r="A1395" s="4" t="str">
        <f>"ICGA Journal"</f>
        <v>ICGA Journal</v>
      </c>
      <c r="B1395" s="4" t="s">
        <v>6</v>
      </c>
      <c r="C1395" s="4" t="str">
        <f t="shared" si="51"/>
        <v>-</v>
      </c>
      <c r="D1395" s="4" t="str">
        <f>"13896911"</f>
        <v>13896911</v>
      </c>
      <c r="E1395" s="4" t="str">
        <f t="shared" si="52"/>
        <v>-</v>
      </c>
      <c r="F1395" s="4" t="s">
        <v>499</v>
      </c>
    </row>
    <row r="1396" spans="1:6" x14ac:dyDescent="0.25">
      <c r="A1396" s="4" t="str">
        <f>"ICIASF Record, International Congress on Instrumentation in Aerospace Simulation Facilities"</f>
        <v>ICIASF Record, International Congress on Instrumentation in Aerospace Simulation Facilities</v>
      </c>
      <c r="B1396" s="4" t="s">
        <v>8</v>
      </c>
      <c r="C1396" s="4" t="str">
        <f t="shared" si="51"/>
        <v>-</v>
      </c>
      <c r="D1396" s="4" t="str">
        <f>"07302010"</f>
        <v>07302010</v>
      </c>
      <c r="E1396" s="4" t="str">
        <f t="shared" si="52"/>
        <v>-</v>
      </c>
      <c r="F1396" s="4" t="s">
        <v>105</v>
      </c>
    </row>
    <row r="1397" spans="1:6" x14ac:dyDescent="0.25">
      <c r="A1397" s="4" t="str">
        <f>"ICIC Express Letters"</f>
        <v>ICIC Express Letters</v>
      </c>
      <c r="B1397" s="4" t="s">
        <v>6</v>
      </c>
      <c r="C1397" s="4" t="str">
        <f t="shared" si="51"/>
        <v>-</v>
      </c>
      <c r="D1397" s="4" t="str">
        <f>"1881803X"</f>
        <v>1881803X</v>
      </c>
      <c r="E1397" s="4" t="str">
        <f t="shared" si="52"/>
        <v>-</v>
      </c>
      <c r="F1397" s="4" t="s">
        <v>500</v>
      </c>
    </row>
    <row r="1398" spans="1:6" x14ac:dyDescent="0.25">
      <c r="A1398" s="4" t="str">
        <f>"ICIC Express Letters, Part B: Applications"</f>
        <v>ICIC Express Letters, Part B: Applications</v>
      </c>
      <c r="B1398" s="4" t="s">
        <v>6</v>
      </c>
      <c r="C1398" s="4" t="str">
        <f t="shared" si="51"/>
        <v>-</v>
      </c>
      <c r="D1398" s="4" t="str">
        <f>"21852766"</f>
        <v>21852766</v>
      </c>
      <c r="E1398" s="4" t="str">
        <f t="shared" si="52"/>
        <v>-</v>
      </c>
      <c r="F1398" s="4" t="s">
        <v>500</v>
      </c>
    </row>
    <row r="1399" spans="1:6" x14ac:dyDescent="0.25">
      <c r="A1399" s="4" t="str">
        <f>"Icon News"</f>
        <v>Icon News</v>
      </c>
      <c r="B1399" s="4" t="s">
        <v>22</v>
      </c>
      <c r="C1399" s="4" t="str">
        <f t="shared" si="51"/>
        <v>-</v>
      </c>
      <c r="D1399" s="4" t="str">
        <f>"17498988"</f>
        <v>17498988</v>
      </c>
      <c r="E1399" s="4" t="str">
        <f t="shared" si="52"/>
        <v>-</v>
      </c>
      <c r="F1399" s="4" t="s">
        <v>501</v>
      </c>
    </row>
    <row r="1400" spans="1:6" x14ac:dyDescent="0.25">
      <c r="A1400" s="4" t="str">
        <f>"ICSE Workshop on Principles of Engineering Service Oriented Systems"</f>
        <v>ICSE Workshop on Principles of Engineering Service Oriented Systems</v>
      </c>
      <c r="B1400" s="4" t="s">
        <v>8</v>
      </c>
      <c r="C1400" s="4" t="str">
        <f t="shared" si="51"/>
        <v>-</v>
      </c>
      <c r="D1400" s="4" t="str">
        <f>"21567921"</f>
        <v>21567921</v>
      </c>
      <c r="E1400" s="4" t="str">
        <f>"2156793X"</f>
        <v>2156793X</v>
      </c>
      <c r="F1400" s="4" t="s">
        <v>9</v>
      </c>
    </row>
    <row r="1401" spans="1:6" x14ac:dyDescent="0.25">
      <c r="A1401" s="4" t="str">
        <f>"ICSE Workshop on Software Engineering for Adaptive and Self-Managing Systems"</f>
        <v>ICSE Workshop on Software Engineering for Adaptive and Self-Managing Systems</v>
      </c>
      <c r="B1401" s="4" t="s">
        <v>8</v>
      </c>
      <c r="C1401" s="4" t="str">
        <f t="shared" si="51"/>
        <v>-</v>
      </c>
      <c r="D1401" s="4" t="str">
        <f>"21572305"</f>
        <v>21572305</v>
      </c>
      <c r="E1401" s="4" t="str">
        <f>"21567891"</f>
        <v>21567891</v>
      </c>
      <c r="F1401" s="4" t="s">
        <v>9</v>
      </c>
    </row>
    <row r="1402" spans="1:6" x14ac:dyDescent="0.25">
      <c r="A1402" s="4" t="str">
        <f>"IECON Proceedings (Industrial Electronics Conference)"</f>
        <v>IECON Proceedings (Industrial Electronics Conference)</v>
      </c>
      <c r="B1402" s="4" t="s">
        <v>8</v>
      </c>
      <c r="C1402" s="4" t="str">
        <f t="shared" si="51"/>
        <v>-</v>
      </c>
      <c r="D1402" s="4" t="str">
        <f>"-"</f>
        <v>-</v>
      </c>
      <c r="E1402" s="4" t="str">
        <f>"-"</f>
        <v>-</v>
      </c>
      <c r="F1402" s="4" t="s">
        <v>9</v>
      </c>
    </row>
    <row r="1403" spans="1:6" x14ac:dyDescent="0.25">
      <c r="A1403" s="4" t="str">
        <f>"IEE Conference Publication"</f>
        <v>IEE Conference Publication</v>
      </c>
      <c r="B1403" s="4" t="s">
        <v>8</v>
      </c>
      <c r="C1403" s="4" t="str">
        <f t="shared" si="51"/>
        <v>-</v>
      </c>
      <c r="D1403" s="4" t="str">
        <f>"05379989"</f>
        <v>05379989</v>
      </c>
      <c r="E1403" s="4" t="str">
        <f>"-"</f>
        <v>-</v>
      </c>
      <c r="F1403" s="4" t="s">
        <v>370</v>
      </c>
    </row>
    <row r="1404" spans="1:6" x14ac:dyDescent="0.25">
      <c r="A1404" s="4" t="str">
        <f>"IEEE Access"</f>
        <v>IEEE Access</v>
      </c>
      <c r="B1404" s="4" t="s">
        <v>6</v>
      </c>
      <c r="C1404" s="4" t="str">
        <f t="shared" si="51"/>
        <v>-</v>
      </c>
      <c r="D1404" s="4" t="str">
        <f>"-"</f>
        <v>-</v>
      </c>
      <c r="E1404" s="4" t="str">
        <f>"21693536"</f>
        <v>21693536</v>
      </c>
      <c r="F1404" s="4" t="s">
        <v>105</v>
      </c>
    </row>
    <row r="1405" spans="1:6" x14ac:dyDescent="0.25">
      <c r="A1405" s="4" t="str">
        <f>"IEEE Aerospace and Electronic Systems Magazine"</f>
        <v>IEEE Aerospace and Electronic Systems Magazine</v>
      </c>
      <c r="B1405" s="4" t="s">
        <v>6</v>
      </c>
      <c r="C1405" s="4" t="str">
        <f t="shared" si="51"/>
        <v>-</v>
      </c>
      <c r="D1405" s="4" t="str">
        <f>"08858985"</f>
        <v>08858985</v>
      </c>
      <c r="E1405" s="4" t="str">
        <f>"-"</f>
        <v>-</v>
      </c>
      <c r="F1405" s="4" t="s">
        <v>105</v>
      </c>
    </row>
    <row r="1406" spans="1:6" x14ac:dyDescent="0.25">
      <c r="A1406" s="4" t="str">
        <f>"IEEE Aerospace Conference Proceedings"</f>
        <v>IEEE Aerospace Conference Proceedings</v>
      </c>
      <c r="B1406" s="4" t="s">
        <v>8</v>
      </c>
      <c r="C1406" s="4" t="str">
        <f t="shared" si="51"/>
        <v>-</v>
      </c>
      <c r="D1406" s="4" t="str">
        <f>"1095323X"</f>
        <v>1095323X</v>
      </c>
      <c r="E1406" s="4" t="str">
        <f>"-"</f>
        <v>-</v>
      </c>
      <c r="F1406" s="4" t="s">
        <v>9</v>
      </c>
    </row>
    <row r="1407" spans="1:6" x14ac:dyDescent="0.25">
      <c r="A1407" s="4" t="str">
        <f>"IEEE AFRICON Conference"</f>
        <v>IEEE AFRICON Conference</v>
      </c>
      <c r="B1407" s="4" t="s">
        <v>8</v>
      </c>
      <c r="C1407" s="4" t="str">
        <f t="shared" si="51"/>
        <v>-</v>
      </c>
      <c r="D1407" s="4" t="str">
        <f>"21530025"</f>
        <v>21530025</v>
      </c>
      <c r="E1407" s="4" t="str">
        <f>"21530033"</f>
        <v>21530033</v>
      </c>
      <c r="F1407" s="4" t="s">
        <v>105</v>
      </c>
    </row>
    <row r="1408" spans="1:6" x14ac:dyDescent="0.25">
      <c r="A1408" s="4" t="str">
        <f>"IEEE Annals of the History of Computing"</f>
        <v>IEEE Annals of the History of Computing</v>
      </c>
      <c r="B1408" s="4" t="s">
        <v>6</v>
      </c>
      <c r="C1408" s="4" t="str">
        <f t="shared" si="51"/>
        <v>-</v>
      </c>
      <c r="D1408" s="4" t="str">
        <f>"10586180"</f>
        <v>10586180</v>
      </c>
      <c r="E1408" s="4" t="str">
        <f t="shared" ref="E1408:E1417" si="53">"-"</f>
        <v>-</v>
      </c>
      <c r="F1408" s="4" t="s">
        <v>9</v>
      </c>
    </row>
    <row r="1409" spans="1:6" x14ac:dyDescent="0.25">
      <c r="A1409" s="4" t="str">
        <f>"IEEE Annual Textile, Fiber and Film Industry Technical Conference"</f>
        <v>IEEE Annual Textile, Fiber and Film Industry Technical Conference</v>
      </c>
      <c r="B1409" s="4" t="s">
        <v>8</v>
      </c>
      <c r="C1409" s="4" t="str">
        <f t="shared" si="51"/>
        <v>-</v>
      </c>
      <c r="D1409" s="4" t="str">
        <f>"10493328"</f>
        <v>10493328</v>
      </c>
      <c r="E1409" s="4" t="str">
        <f t="shared" si="53"/>
        <v>-</v>
      </c>
      <c r="F1409" s="4" t="s">
        <v>105</v>
      </c>
    </row>
    <row r="1410" spans="1:6" x14ac:dyDescent="0.25">
      <c r="A1410" s="4" t="str">
        <f>"IEEE Antennas and Propagation Magazine"</f>
        <v>IEEE Antennas and Propagation Magazine</v>
      </c>
      <c r="B1410" s="4" t="s">
        <v>6</v>
      </c>
      <c r="C1410" s="4" t="str">
        <f t="shared" si="51"/>
        <v>-</v>
      </c>
      <c r="D1410" s="4" t="str">
        <f>"10459243"</f>
        <v>10459243</v>
      </c>
      <c r="E1410" s="4" t="str">
        <f t="shared" si="53"/>
        <v>-</v>
      </c>
      <c r="F1410" s="4" t="s">
        <v>9</v>
      </c>
    </row>
    <row r="1411" spans="1:6" x14ac:dyDescent="0.25">
      <c r="A1411" s="4" t="str">
        <f>"IEEE Antennas and Propagation Society, AP-S International Symposium (Digest)"</f>
        <v>IEEE Antennas and Propagation Society, AP-S International Symposium (Digest)</v>
      </c>
      <c r="B1411" s="4" t="s">
        <v>8</v>
      </c>
      <c r="C1411" s="4" t="str">
        <f t="shared" si="51"/>
        <v>-</v>
      </c>
      <c r="D1411" s="4" t="str">
        <f>"15223965"</f>
        <v>15223965</v>
      </c>
      <c r="E1411" s="4" t="str">
        <f t="shared" si="53"/>
        <v>-</v>
      </c>
      <c r="F1411" s="4" t="s">
        <v>105</v>
      </c>
    </row>
    <row r="1412" spans="1:6" x14ac:dyDescent="0.25">
      <c r="A1412" s="4" t="str">
        <f>"IEEE Antennas and Wireless Propagation Letters"</f>
        <v>IEEE Antennas and Wireless Propagation Letters</v>
      </c>
      <c r="B1412" s="4" t="s">
        <v>6</v>
      </c>
      <c r="C1412" s="4" t="str">
        <f t="shared" si="51"/>
        <v>-</v>
      </c>
      <c r="D1412" s="4" t="str">
        <f>"15361225"</f>
        <v>15361225</v>
      </c>
      <c r="E1412" s="4" t="str">
        <f t="shared" si="53"/>
        <v>-</v>
      </c>
      <c r="F1412" s="4" t="s">
        <v>105</v>
      </c>
    </row>
    <row r="1413" spans="1:6" x14ac:dyDescent="0.25">
      <c r="A1413" s="4" t="str">
        <f>"IEEE Asia-Pacific Conference on Circuits and Systems, Proceedings, APCCAS"</f>
        <v>IEEE Asia-Pacific Conference on Circuits and Systems, Proceedings, APCCAS</v>
      </c>
      <c r="B1413" s="4" t="s">
        <v>8</v>
      </c>
      <c r="C1413" s="4" t="str">
        <f t="shared" si="51"/>
        <v>-</v>
      </c>
      <c r="D1413" s="4" t="str">
        <f>"-"</f>
        <v>-</v>
      </c>
      <c r="E1413" s="4" t="str">
        <f t="shared" si="53"/>
        <v>-</v>
      </c>
      <c r="F1413" s="4" t="s">
        <v>105</v>
      </c>
    </row>
    <row r="1414" spans="1:6" x14ac:dyDescent="0.25">
      <c r="A1414" s="4" t="str">
        <f>"IEEE ATM Workshop, Proceedings"</f>
        <v>IEEE ATM Workshop, Proceedings</v>
      </c>
      <c r="B1414" s="4" t="s">
        <v>8</v>
      </c>
      <c r="C1414" s="4" t="str">
        <f t="shared" si="51"/>
        <v>-</v>
      </c>
      <c r="D1414" s="4" t="str">
        <f>"-"</f>
        <v>-</v>
      </c>
      <c r="E1414" s="4" t="str">
        <f t="shared" si="53"/>
        <v>-</v>
      </c>
      <c r="F1414" s="4" t="s">
        <v>105</v>
      </c>
    </row>
    <row r="1415" spans="1:6" x14ac:dyDescent="0.25">
      <c r="A1415" s="4" t="str">
        <f>"IEEE Biometrics Compendium"</f>
        <v>IEEE Biometrics Compendium</v>
      </c>
      <c r="B1415" s="4" t="s">
        <v>6</v>
      </c>
      <c r="C1415" s="4" t="str">
        <f t="shared" si="51"/>
        <v>-</v>
      </c>
      <c r="D1415" s="4" t="str">
        <f>"-"</f>
        <v>-</v>
      </c>
      <c r="E1415" s="4" t="str">
        <f t="shared" si="53"/>
        <v>-</v>
      </c>
      <c r="F1415" s="4" t="s">
        <v>105</v>
      </c>
    </row>
    <row r="1416" spans="1:6" x14ac:dyDescent="0.25">
      <c r="A1416" s="4" t="str">
        <f>"IEEE Cement Industry Technical Conference (Paper)"</f>
        <v>IEEE Cement Industry Technical Conference (Paper)</v>
      </c>
      <c r="B1416" s="4" t="s">
        <v>8</v>
      </c>
      <c r="C1416" s="4" t="str">
        <f t="shared" si="51"/>
        <v>-</v>
      </c>
      <c r="D1416" s="4" t="str">
        <f>"07314906"</f>
        <v>07314906</v>
      </c>
      <c r="E1416" s="4" t="str">
        <f t="shared" si="53"/>
        <v>-</v>
      </c>
      <c r="F1416" s="4" t="s">
        <v>105</v>
      </c>
    </row>
    <row r="1417" spans="1:6" x14ac:dyDescent="0.25">
      <c r="A1417" s="4" t="str">
        <f>"IEEE Circuits and Systems Magazine"</f>
        <v>IEEE Circuits and Systems Magazine</v>
      </c>
      <c r="B1417" s="4" t="s">
        <v>6</v>
      </c>
      <c r="C1417" s="4" t="str">
        <f t="shared" si="51"/>
        <v>-</v>
      </c>
      <c r="D1417" s="4" t="str">
        <f>"1531636X"</f>
        <v>1531636X</v>
      </c>
      <c r="E1417" s="4" t="str">
        <f t="shared" si="53"/>
        <v>-</v>
      </c>
      <c r="F1417" s="4" t="s">
        <v>105</v>
      </c>
    </row>
    <row r="1418" spans="1:6" x14ac:dyDescent="0.25">
      <c r="A1418" s="4" t="str">
        <f>"IEEE Cloud Computing"</f>
        <v>IEEE Cloud Computing</v>
      </c>
      <c r="B1418" s="4" t="s">
        <v>22</v>
      </c>
      <c r="C1418" s="4" t="str">
        <f t="shared" si="51"/>
        <v>-</v>
      </c>
      <c r="D1418" s="4" t="str">
        <f>"-"</f>
        <v>-</v>
      </c>
      <c r="E1418" s="4" t="str">
        <f>"23256095"</f>
        <v>23256095</v>
      </c>
      <c r="F1418" s="4" t="s">
        <v>105</v>
      </c>
    </row>
    <row r="1419" spans="1:6" x14ac:dyDescent="0.25">
      <c r="A1419" s="4" t="str">
        <f>"IEEE Communications Letters"</f>
        <v>IEEE Communications Letters</v>
      </c>
      <c r="B1419" s="4" t="s">
        <v>6</v>
      </c>
      <c r="C1419" s="4" t="str">
        <f t="shared" si="51"/>
        <v>-</v>
      </c>
      <c r="D1419" s="4" t="str">
        <f>"10897798"</f>
        <v>10897798</v>
      </c>
      <c r="E1419" s="4" t="str">
        <f>"-"</f>
        <v>-</v>
      </c>
      <c r="F1419" s="4" t="s">
        <v>105</v>
      </c>
    </row>
    <row r="1420" spans="1:6" x14ac:dyDescent="0.25">
      <c r="A1420" s="4" t="str">
        <f>"IEEE Communications Magazine"</f>
        <v>IEEE Communications Magazine</v>
      </c>
      <c r="B1420" s="4" t="s">
        <v>6</v>
      </c>
      <c r="C1420" s="4" t="str">
        <f t="shared" si="51"/>
        <v>-</v>
      </c>
      <c r="D1420" s="4" t="str">
        <f>"01636804"</f>
        <v>01636804</v>
      </c>
      <c r="E1420" s="4" t="str">
        <f>"-"</f>
        <v>-</v>
      </c>
      <c r="F1420" s="4" t="s">
        <v>105</v>
      </c>
    </row>
    <row r="1421" spans="1:6" x14ac:dyDescent="0.25">
      <c r="A1421" s="4" t="str">
        <f>"IEEE Communications Surveys and Tutorials"</f>
        <v>IEEE Communications Surveys and Tutorials</v>
      </c>
      <c r="B1421" s="4" t="s">
        <v>6</v>
      </c>
      <c r="C1421" s="4" t="str">
        <f t="shared" si="51"/>
        <v>-</v>
      </c>
      <c r="D1421" s="4" t="str">
        <f>"-"</f>
        <v>-</v>
      </c>
      <c r="E1421" s="4" t="str">
        <f>"1553877X"</f>
        <v>1553877X</v>
      </c>
      <c r="F1421" s="4" t="s">
        <v>105</v>
      </c>
    </row>
    <row r="1422" spans="1:6" x14ac:dyDescent="0.25">
      <c r="A1422" s="4" t="str">
        <f>"IEEE Computational Intelligence Magazine"</f>
        <v>IEEE Computational Intelligence Magazine</v>
      </c>
      <c r="B1422" s="4" t="s">
        <v>6</v>
      </c>
      <c r="C1422" s="4" t="str">
        <f t="shared" si="51"/>
        <v>-</v>
      </c>
      <c r="D1422" s="4" t="str">
        <f>"1556603X"</f>
        <v>1556603X</v>
      </c>
      <c r="E1422" s="4" t="str">
        <f>"-"</f>
        <v>-</v>
      </c>
      <c r="F1422" s="4" t="s">
        <v>105</v>
      </c>
    </row>
    <row r="1423" spans="1:6" x14ac:dyDescent="0.25">
      <c r="A1423" s="4" t="str">
        <f>"IEEE Computer Architecture Letters"</f>
        <v>IEEE Computer Architecture Letters</v>
      </c>
      <c r="B1423" s="4" t="s">
        <v>6</v>
      </c>
      <c r="C1423" s="4" t="str">
        <f t="shared" si="51"/>
        <v>-</v>
      </c>
      <c r="D1423" s="4" t="str">
        <f>"15566056"</f>
        <v>15566056</v>
      </c>
      <c r="E1423" s="4" t="str">
        <f>"-"</f>
        <v>-</v>
      </c>
      <c r="F1423" s="4" t="s">
        <v>105</v>
      </c>
    </row>
    <row r="1424" spans="1:6" x14ac:dyDescent="0.25">
      <c r="A1424" s="4" t="str">
        <f>"IEEE Computer Graphics and Applications"</f>
        <v>IEEE Computer Graphics and Applications</v>
      </c>
      <c r="B1424" s="4" t="s">
        <v>6</v>
      </c>
      <c r="C1424" s="4" t="str">
        <f t="shared" si="51"/>
        <v>-</v>
      </c>
      <c r="D1424" s="4" t="str">
        <f>"02721716"</f>
        <v>02721716</v>
      </c>
      <c r="E1424" s="4" t="str">
        <f>"-"</f>
        <v>-</v>
      </c>
      <c r="F1424" s="4" t="s">
        <v>9</v>
      </c>
    </row>
    <row r="1425" spans="1:6" x14ac:dyDescent="0.25">
      <c r="A1425" s="4" t="str">
        <f>"IEEE Computer Society Conference on Computer Vision and Pattern Recognition Workshops"</f>
        <v>IEEE Computer Society Conference on Computer Vision and Pattern Recognition Workshops</v>
      </c>
      <c r="B1425" s="4" t="s">
        <v>8</v>
      </c>
      <c r="C1425" s="4" t="str">
        <f t="shared" si="51"/>
        <v>-</v>
      </c>
      <c r="D1425" s="4" t="str">
        <f>"21607508"</f>
        <v>21607508</v>
      </c>
      <c r="E1425" s="4" t="str">
        <f>"21607516"</f>
        <v>21607516</v>
      </c>
      <c r="F1425" s="4" t="s">
        <v>9</v>
      </c>
    </row>
    <row r="1426" spans="1:6" x14ac:dyDescent="0.25">
      <c r="A1426" s="4" t="str">
        <f>"IEEE Conference on Computatonal Intelligence and Games, CIG"</f>
        <v>IEEE Conference on Computatonal Intelligence and Games, CIG</v>
      </c>
      <c r="B1426" s="4" t="s">
        <v>8</v>
      </c>
      <c r="C1426" s="4" t="str">
        <f t="shared" si="51"/>
        <v>-</v>
      </c>
      <c r="D1426" s="4" t="str">
        <f>"23254270"</f>
        <v>23254270</v>
      </c>
      <c r="E1426" s="4" t="str">
        <f>"23254289"</f>
        <v>23254289</v>
      </c>
      <c r="F1426" s="4" t="s">
        <v>9</v>
      </c>
    </row>
    <row r="1427" spans="1:6" x14ac:dyDescent="0.25">
      <c r="A1427" s="4" t="str">
        <f>"IEEE Conference on Human Factors and Power Plants"</f>
        <v>IEEE Conference on Human Factors and Power Plants</v>
      </c>
      <c r="B1427" s="4" t="s">
        <v>8</v>
      </c>
      <c r="C1427" s="4" t="str">
        <f t="shared" si="51"/>
        <v>-</v>
      </c>
      <c r="D1427" s="4" t="str">
        <f>"-"</f>
        <v>-</v>
      </c>
      <c r="E1427" s="4" t="str">
        <f>"-"</f>
        <v>-</v>
      </c>
      <c r="F1427" s="4" t="s">
        <v>105</v>
      </c>
    </row>
    <row r="1428" spans="1:6" x14ac:dyDescent="0.25">
      <c r="A1428" s="4" t="str">
        <f>"IEEE Conference on Intelligent Transportation Systems, Proceedings, ITSC"</f>
        <v>IEEE Conference on Intelligent Transportation Systems, Proceedings, ITSC</v>
      </c>
      <c r="B1428" s="4" t="s">
        <v>8</v>
      </c>
      <c r="C1428" s="4" t="str">
        <f t="shared" si="51"/>
        <v>-</v>
      </c>
      <c r="D1428" s="4" t="str">
        <f>"-"</f>
        <v>-</v>
      </c>
      <c r="E1428" s="4" t="str">
        <f>"-"</f>
        <v>-</v>
      </c>
      <c r="F1428" s="4" t="s">
        <v>105</v>
      </c>
    </row>
    <row r="1429" spans="1:6" x14ac:dyDescent="0.25">
      <c r="A1429" s="4" t="str">
        <f>"IEEE Conference on Robotics, Automation and Mechatronics, RAM - Proceedings"</f>
        <v>IEEE Conference on Robotics, Automation and Mechatronics, RAM - Proceedings</v>
      </c>
      <c r="B1429" s="4" t="s">
        <v>8</v>
      </c>
      <c r="C1429" s="4" t="str">
        <f t="shared" si="51"/>
        <v>-</v>
      </c>
      <c r="D1429" s="4" t="str">
        <f>"2158219X"</f>
        <v>2158219X</v>
      </c>
      <c r="E1429" s="4" t="str">
        <f>"-"</f>
        <v>-</v>
      </c>
      <c r="F1429" s="4" t="s">
        <v>9</v>
      </c>
    </row>
    <row r="1430" spans="1:6" x14ac:dyDescent="0.25">
      <c r="A1430" s="4" t="str">
        <f>"IEEE Conference on Technologies for Practical Robot Applications, TePRA"</f>
        <v>IEEE Conference on Technologies for Practical Robot Applications, TePRA</v>
      </c>
      <c r="B1430" s="4" t="s">
        <v>8</v>
      </c>
      <c r="C1430" s="4" t="str">
        <f t="shared" si="51"/>
        <v>-</v>
      </c>
      <c r="D1430" s="4" t="str">
        <f>"23250526"</f>
        <v>23250526</v>
      </c>
      <c r="E1430" s="4" t="str">
        <f>"23250534"</f>
        <v>23250534</v>
      </c>
      <c r="F1430" s="4" t="s">
        <v>9</v>
      </c>
    </row>
    <row r="1431" spans="1:6" x14ac:dyDescent="0.25">
      <c r="A1431" s="4" t="str">
        <f>"IEEE Conference Record of Annual Pulp and Paper Industry Technical Conference"</f>
        <v>IEEE Conference Record of Annual Pulp and Paper Industry Technical Conference</v>
      </c>
      <c r="B1431" s="4" t="s">
        <v>8</v>
      </c>
      <c r="C1431" s="4" t="str">
        <f t="shared" si="51"/>
        <v>-</v>
      </c>
      <c r="D1431" s="4" t="str">
        <f>"01902172"</f>
        <v>01902172</v>
      </c>
      <c r="E1431" s="4" t="str">
        <f>"-"</f>
        <v>-</v>
      </c>
      <c r="F1431" s="4" t="s">
        <v>105</v>
      </c>
    </row>
    <row r="1432" spans="1:6" x14ac:dyDescent="0.25">
      <c r="A1432" s="4" t="str">
        <f>"IEEE Consumer Electronics Magazine"</f>
        <v>IEEE Consumer Electronics Magazine</v>
      </c>
      <c r="B1432" s="4" t="s">
        <v>22</v>
      </c>
      <c r="C1432" s="4" t="str">
        <f t="shared" si="51"/>
        <v>-</v>
      </c>
      <c r="D1432" s="4" t="str">
        <f>"21622248"</f>
        <v>21622248</v>
      </c>
      <c r="E1432" s="4" t="str">
        <f>"21622256"</f>
        <v>21622256</v>
      </c>
      <c r="F1432" s="4" t="s">
        <v>105</v>
      </c>
    </row>
    <row r="1433" spans="1:6" x14ac:dyDescent="0.25">
      <c r="A1433" s="4" t="str">
        <f>"IEEE Consumer Electronics Society's International Games Innovations Conference, IGIC"</f>
        <v>IEEE Consumer Electronics Society's International Games Innovations Conference, IGIC</v>
      </c>
      <c r="B1433" s="4" t="s">
        <v>8</v>
      </c>
      <c r="C1433" s="4" t="str">
        <f t="shared" si="51"/>
        <v>-</v>
      </c>
      <c r="D1433" s="4" t="str">
        <f>"21666741"</f>
        <v>21666741</v>
      </c>
      <c r="E1433" s="4" t="str">
        <f>"2166675X"</f>
        <v>2166675X</v>
      </c>
      <c r="F1433" s="4" t="s">
        <v>9</v>
      </c>
    </row>
    <row r="1434" spans="1:6" x14ac:dyDescent="0.25">
      <c r="A1434" s="4" t="str">
        <f>"IEEE Control Systems"</f>
        <v>IEEE Control Systems</v>
      </c>
      <c r="B1434" s="4" t="s">
        <v>6</v>
      </c>
      <c r="C1434" s="4" t="str">
        <f t="shared" si="51"/>
        <v>-</v>
      </c>
      <c r="D1434" s="4" t="str">
        <f>"1066033X"</f>
        <v>1066033X</v>
      </c>
      <c r="E1434" s="4" t="str">
        <f>"-"</f>
        <v>-</v>
      </c>
      <c r="F1434" s="4" t="s">
        <v>105</v>
      </c>
    </row>
    <row r="1435" spans="1:6" x14ac:dyDescent="0.25">
      <c r="A1435" s="4" t="str">
        <f>"IEEE Convention of Electrical and Electronics Engineers in Israel, Proceedings"</f>
        <v>IEEE Convention of Electrical and Electronics Engineers in Israel, Proceedings</v>
      </c>
      <c r="B1435" s="4" t="s">
        <v>8</v>
      </c>
      <c r="C1435" s="4" t="str">
        <f t="shared" si="51"/>
        <v>-</v>
      </c>
      <c r="D1435" s="4" t="str">
        <f>"-"</f>
        <v>-</v>
      </c>
      <c r="E1435" s="4" t="str">
        <f>"-"</f>
        <v>-</v>
      </c>
      <c r="F1435" s="4" t="s">
        <v>105</v>
      </c>
    </row>
    <row r="1436" spans="1:6" x14ac:dyDescent="0.25">
      <c r="A1436" s="4" t="str">
        <f>"IEEE Design and Test"</f>
        <v>IEEE Design and Test</v>
      </c>
      <c r="B1436" s="4" t="s">
        <v>6</v>
      </c>
      <c r="C1436" s="4" t="str">
        <f t="shared" si="51"/>
        <v>-</v>
      </c>
      <c r="D1436" s="4" t="str">
        <f>"21682356"</f>
        <v>21682356</v>
      </c>
      <c r="E1436" s="4" t="str">
        <f>"-"</f>
        <v>-</v>
      </c>
      <c r="F1436" s="4" t="s">
        <v>9</v>
      </c>
    </row>
    <row r="1437" spans="1:6" x14ac:dyDescent="0.25">
      <c r="A1437" s="4" t="str">
        <f>"IEEE Electrical Insulation Magazine"</f>
        <v>IEEE Electrical Insulation Magazine</v>
      </c>
      <c r="B1437" s="4" t="s">
        <v>6</v>
      </c>
      <c r="C1437" s="4" t="str">
        <f t="shared" ref="C1437:E1477" si="54">"-"</f>
        <v>-</v>
      </c>
      <c r="D1437" s="4" t="str">
        <f>"08837554"</f>
        <v>08837554</v>
      </c>
      <c r="E1437" s="4" t="str">
        <f>"-"</f>
        <v>-</v>
      </c>
      <c r="F1437" s="4" t="s">
        <v>105</v>
      </c>
    </row>
    <row r="1438" spans="1:6" x14ac:dyDescent="0.25">
      <c r="A1438" s="4" t="str">
        <f>"IEEE Electrification Magazine"</f>
        <v>IEEE Electrification Magazine</v>
      </c>
      <c r="B1438" s="4" t="s">
        <v>22</v>
      </c>
      <c r="C1438" s="4" t="str">
        <f t="shared" si="54"/>
        <v>-</v>
      </c>
      <c r="D1438" s="4" t="str">
        <f>"23255897"</f>
        <v>23255897</v>
      </c>
      <c r="E1438" s="4" t="str">
        <f>"23255889"</f>
        <v>23255889</v>
      </c>
      <c r="F1438" s="4" t="s">
        <v>105</v>
      </c>
    </row>
    <row r="1439" spans="1:6" x14ac:dyDescent="0.25">
      <c r="A1439" s="4" t="str">
        <f>"IEEE Electromagnetic Compatibility Magazine"</f>
        <v>IEEE Electromagnetic Compatibility Magazine</v>
      </c>
      <c r="B1439" s="4" t="s">
        <v>22</v>
      </c>
      <c r="C1439" s="4" t="str">
        <f t="shared" si="54"/>
        <v>-</v>
      </c>
      <c r="D1439" s="4" t="str">
        <f>"21622264"</f>
        <v>21622264</v>
      </c>
      <c r="E1439" s="4" t="str">
        <f>"21622272"</f>
        <v>21622272</v>
      </c>
      <c r="F1439" s="4" t="s">
        <v>105</v>
      </c>
    </row>
    <row r="1440" spans="1:6" x14ac:dyDescent="0.25">
      <c r="A1440" s="4" t="str">
        <f>"IEEE Electron Device Letters"</f>
        <v>IEEE Electron Device Letters</v>
      </c>
      <c r="B1440" s="4" t="s">
        <v>6</v>
      </c>
      <c r="C1440" s="4" t="str">
        <f t="shared" si="54"/>
        <v>-</v>
      </c>
      <c r="D1440" s="4" t="str">
        <f>"07413106"</f>
        <v>07413106</v>
      </c>
      <c r="E1440" s="4" t="str">
        <f>"-"</f>
        <v>-</v>
      </c>
      <c r="F1440" s="4" t="s">
        <v>105</v>
      </c>
    </row>
    <row r="1441" spans="1:6" x14ac:dyDescent="0.25">
      <c r="A1441" s="4" t="str">
        <f>"IEEE Embedded Systems Letters"</f>
        <v>IEEE Embedded Systems Letters</v>
      </c>
      <c r="B1441" s="4" t="s">
        <v>6</v>
      </c>
      <c r="C1441" s="4" t="str">
        <f t="shared" si="54"/>
        <v>-</v>
      </c>
      <c r="D1441" s="4" t="str">
        <f>"19430663"</f>
        <v>19430663</v>
      </c>
      <c r="E1441" s="4" t="str">
        <f>"-"</f>
        <v>-</v>
      </c>
      <c r="F1441" s="4" t="s">
        <v>105</v>
      </c>
    </row>
    <row r="1442" spans="1:6" x14ac:dyDescent="0.25">
      <c r="A1442" s="4" t="str">
        <f>"IEEE Engineering Management Review"</f>
        <v>IEEE Engineering Management Review</v>
      </c>
      <c r="B1442" s="4" t="s">
        <v>6</v>
      </c>
      <c r="C1442" s="4" t="str">
        <f t="shared" si="54"/>
        <v>-</v>
      </c>
      <c r="D1442" s="4" t="str">
        <f>"03608581"</f>
        <v>03608581</v>
      </c>
      <c r="E1442" s="4" t="str">
        <f>"-"</f>
        <v>-</v>
      </c>
      <c r="F1442" s="4" t="s">
        <v>105</v>
      </c>
    </row>
    <row r="1443" spans="1:6" x14ac:dyDescent="0.25">
      <c r="A1443" s="4" t="str">
        <f>"IEEE Geoscience and Remote Sensing Letters"</f>
        <v>IEEE Geoscience and Remote Sensing Letters</v>
      </c>
      <c r="B1443" s="4" t="s">
        <v>6</v>
      </c>
      <c r="C1443" s="4" t="str">
        <f t="shared" si="54"/>
        <v>-</v>
      </c>
      <c r="D1443" s="4" t="str">
        <f>"1545598X"</f>
        <v>1545598X</v>
      </c>
      <c r="E1443" s="4" t="str">
        <f>"-"</f>
        <v>-</v>
      </c>
      <c r="F1443" s="4" t="s">
        <v>105</v>
      </c>
    </row>
    <row r="1444" spans="1:6" x14ac:dyDescent="0.25">
      <c r="A1444" s="4" t="str">
        <f>"IEEE Geoscience and Remote Sensing Magazine"</f>
        <v>IEEE Geoscience and Remote Sensing Magazine</v>
      </c>
      <c r="B1444" s="4" t="s">
        <v>22</v>
      </c>
      <c r="C1444" s="4" t="str">
        <f t="shared" si="54"/>
        <v>-</v>
      </c>
      <c r="D1444" s="4" t="str">
        <f>"-"</f>
        <v>-</v>
      </c>
      <c r="E1444" s="4" t="str">
        <f>"21686831"</f>
        <v>21686831</v>
      </c>
      <c r="F1444" s="4" t="s">
        <v>105</v>
      </c>
    </row>
    <row r="1445" spans="1:6" x14ac:dyDescent="0.25">
      <c r="A1445" s="4" t="str">
        <f>"IEEE Global Engineering Education Conference, EDUCON"</f>
        <v>IEEE Global Engineering Education Conference, EDUCON</v>
      </c>
      <c r="B1445" s="4" t="s">
        <v>8</v>
      </c>
      <c r="C1445" s="4" t="str">
        <f t="shared" si="54"/>
        <v>-</v>
      </c>
      <c r="D1445" s="4" t="str">
        <f>"21659559"</f>
        <v>21659559</v>
      </c>
      <c r="E1445" s="4" t="str">
        <f>"21659567"</f>
        <v>21659567</v>
      </c>
      <c r="F1445" s="4" t="s">
        <v>9</v>
      </c>
    </row>
    <row r="1446" spans="1:6" x14ac:dyDescent="0.25">
      <c r="A1446" s="4" t="str">
        <f>"IEEE Green Technologies Conference"</f>
        <v>IEEE Green Technologies Conference</v>
      </c>
      <c r="B1446" s="4" t="s">
        <v>8</v>
      </c>
      <c r="C1446" s="4" t="str">
        <f t="shared" si="54"/>
        <v>-</v>
      </c>
      <c r="D1446" s="4" t="str">
        <f>"-"</f>
        <v>-</v>
      </c>
      <c r="E1446" s="4" t="str">
        <f>"21665478"</f>
        <v>21665478</v>
      </c>
      <c r="F1446" s="4" t="s">
        <v>9</v>
      </c>
    </row>
    <row r="1447" spans="1:6" x14ac:dyDescent="0.25">
      <c r="A1447" s="4" t="str">
        <f>"IEEE Haptics Symposium, HAPTICS"</f>
        <v>IEEE Haptics Symposium, HAPTICS</v>
      </c>
      <c r="B1447" s="4" t="s">
        <v>8</v>
      </c>
      <c r="C1447" s="4" t="str">
        <f t="shared" si="54"/>
        <v>-</v>
      </c>
      <c r="D1447" s="4" t="str">
        <f>"23247347"</f>
        <v>23247347</v>
      </c>
      <c r="E1447" s="4" t="str">
        <f>"23247355"</f>
        <v>23247355</v>
      </c>
      <c r="F1447" s="4" t="s">
        <v>9</v>
      </c>
    </row>
    <row r="1448" spans="1:6" x14ac:dyDescent="0.25">
      <c r="A1448" s="4" t="str">
        <f>"IEEE High Frequency Postgraduate Student Colloquium"</f>
        <v>IEEE High Frequency Postgraduate Student Colloquium</v>
      </c>
      <c r="B1448" s="4" t="s">
        <v>8</v>
      </c>
      <c r="C1448" s="4" t="str">
        <f t="shared" si="54"/>
        <v>-</v>
      </c>
      <c r="D1448" s="4" t="str">
        <f>"15466523"</f>
        <v>15466523</v>
      </c>
      <c r="E1448" s="4" t="str">
        <f>"-"</f>
        <v>-</v>
      </c>
      <c r="F1448" s="4" t="s">
        <v>105</v>
      </c>
    </row>
    <row r="1449" spans="1:6" x14ac:dyDescent="0.25">
      <c r="A1449" s="4" t="str">
        <f>"IEEE IAS Electrical Safety Workshop"</f>
        <v>IEEE IAS Electrical Safety Workshop</v>
      </c>
      <c r="B1449" s="4" t="s">
        <v>8</v>
      </c>
      <c r="C1449" s="4" t="str">
        <f t="shared" si="54"/>
        <v>-</v>
      </c>
      <c r="D1449" s="4" t="str">
        <f>"23263288"</f>
        <v>23263288</v>
      </c>
      <c r="E1449" s="4" t="str">
        <f>"2326330X"</f>
        <v>2326330X</v>
      </c>
      <c r="F1449" s="4" t="s">
        <v>9</v>
      </c>
    </row>
    <row r="1450" spans="1:6" x14ac:dyDescent="0.25">
      <c r="A1450" s="4" t="str">
        <f>"IEEE Industrial Electronics Magazine"</f>
        <v>IEEE Industrial Electronics Magazine</v>
      </c>
      <c r="B1450" s="4" t="s">
        <v>6</v>
      </c>
      <c r="C1450" s="4" t="str">
        <f t="shared" si="54"/>
        <v>-</v>
      </c>
      <c r="D1450" s="4" t="str">
        <f>"19324529"</f>
        <v>19324529</v>
      </c>
      <c r="E1450" s="4" t="str">
        <f t="shared" ref="E1450:E1456" si="55">"-"</f>
        <v>-</v>
      </c>
      <c r="F1450" s="4" t="s">
        <v>105</v>
      </c>
    </row>
    <row r="1451" spans="1:6" x14ac:dyDescent="0.25">
      <c r="A1451" s="4" t="str">
        <f>"IEEE Industry Applications Magazine"</f>
        <v>IEEE Industry Applications Magazine</v>
      </c>
      <c r="B1451" s="4" t="s">
        <v>6</v>
      </c>
      <c r="C1451" s="4" t="str">
        <f t="shared" si="54"/>
        <v>-</v>
      </c>
      <c r="D1451" s="4" t="str">
        <f>"10772618"</f>
        <v>10772618</v>
      </c>
      <c r="E1451" s="4" t="str">
        <f t="shared" si="55"/>
        <v>-</v>
      </c>
      <c r="F1451" s="4" t="s">
        <v>105</v>
      </c>
    </row>
    <row r="1452" spans="1:6" x14ac:dyDescent="0.25">
      <c r="A1452" s="4" t="str">
        <f>"IEEE Instrumentation and Measurement Magazine"</f>
        <v>IEEE Instrumentation and Measurement Magazine</v>
      </c>
      <c r="B1452" s="4" t="s">
        <v>6</v>
      </c>
      <c r="C1452" s="4" t="str">
        <f t="shared" si="54"/>
        <v>-</v>
      </c>
      <c r="D1452" s="4" t="str">
        <f>"10946969"</f>
        <v>10946969</v>
      </c>
      <c r="E1452" s="4" t="str">
        <f t="shared" si="55"/>
        <v>-</v>
      </c>
      <c r="F1452" s="4" t="s">
        <v>105</v>
      </c>
    </row>
    <row r="1453" spans="1:6" x14ac:dyDescent="0.25">
      <c r="A1453" s="4" t="str">
        <f>"IEEE Intelligent Network Workshop, Proceedings"</f>
        <v>IEEE Intelligent Network Workshop, Proceedings</v>
      </c>
      <c r="B1453" s="4" t="s">
        <v>8</v>
      </c>
      <c r="C1453" s="4" t="str">
        <f t="shared" si="54"/>
        <v>-</v>
      </c>
      <c r="D1453" s="4" t="str">
        <f>"-"</f>
        <v>-</v>
      </c>
      <c r="E1453" s="4" t="str">
        <f t="shared" si="55"/>
        <v>-</v>
      </c>
      <c r="F1453" s="4" t="s">
        <v>105</v>
      </c>
    </row>
    <row r="1454" spans="1:6" x14ac:dyDescent="0.25">
      <c r="A1454" s="4" t="str">
        <f>"IEEE Intelligent Systems"</f>
        <v>IEEE Intelligent Systems</v>
      </c>
      <c r="B1454" s="4" t="s">
        <v>6</v>
      </c>
      <c r="C1454" s="4" t="str">
        <f t="shared" si="54"/>
        <v>-</v>
      </c>
      <c r="D1454" s="4" t="str">
        <f>"15411672"</f>
        <v>15411672</v>
      </c>
      <c r="E1454" s="4" t="str">
        <f t="shared" si="55"/>
        <v>-</v>
      </c>
      <c r="F1454" s="4" t="s">
        <v>105</v>
      </c>
    </row>
    <row r="1455" spans="1:6" x14ac:dyDescent="0.25">
      <c r="A1455" s="4" t="str">
        <f>"IEEE Intelligent Transportation Systems Magazine"</f>
        <v>IEEE Intelligent Transportation Systems Magazine</v>
      </c>
      <c r="B1455" s="4" t="s">
        <v>6</v>
      </c>
      <c r="C1455" s="4" t="str">
        <f t="shared" si="54"/>
        <v>-</v>
      </c>
      <c r="D1455" s="4" t="str">
        <f>"15249050"</f>
        <v>15249050</v>
      </c>
      <c r="E1455" s="4" t="str">
        <f t="shared" si="55"/>
        <v>-</v>
      </c>
      <c r="F1455" s="4" t="s">
        <v>502</v>
      </c>
    </row>
    <row r="1456" spans="1:6" x14ac:dyDescent="0.25">
      <c r="A1456" s="4" t="str">
        <f>"IEEE Intelligent Vehicles Symposium, Proceedings"</f>
        <v>IEEE Intelligent Vehicles Symposium, Proceedings</v>
      </c>
      <c r="B1456" s="4" t="s">
        <v>8</v>
      </c>
      <c r="C1456" s="4" t="str">
        <f t="shared" si="54"/>
        <v>-</v>
      </c>
      <c r="D1456" s="4" t="str">
        <f>"-"</f>
        <v>-</v>
      </c>
      <c r="E1456" s="4" t="str">
        <f t="shared" si="55"/>
        <v>-</v>
      </c>
      <c r="F1456" s="4" t="s">
        <v>105</v>
      </c>
    </row>
    <row r="1457" spans="1:6" x14ac:dyDescent="0.25">
      <c r="A1457" s="4" t="str">
        <f>"IEEE International Conference on Adaptive Science and Technology, ICAST"</f>
        <v>IEEE International Conference on Adaptive Science and Technology, ICAST</v>
      </c>
      <c r="B1457" s="4" t="s">
        <v>8</v>
      </c>
      <c r="C1457" s="4" t="str">
        <f t="shared" si="54"/>
        <v>-</v>
      </c>
      <c r="D1457" s="4" t="str">
        <f>"23269413"</f>
        <v>23269413</v>
      </c>
      <c r="E1457" s="4" t="str">
        <f>"23269448"</f>
        <v>23269448</v>
      </c>
      <c r="F1457" s="4" t="s">
        <v>9</v>
      </c>
    </row>
    <row r="1458" spans="1:6" x14ac:dyDescent="0.25">
      <c r="A1458" s="4" t="str">
        <f>"IEEE International Conference on Automation and Logistics, ICAL"</f>
        <v>IEEE International Conference on Automation and Logistics, ICAL</v>
      </c>
      <c r="B1458" s="4" t="s">
        <v>8</v>
      </c>
      <c r="C1458" s="4" t="str">
        <f t="shared" si="54"/>
        <v>-</v>
      </c>
      <c r="D1458" s="4" t="str">
        <f>"21618151"</f>
        <v>21618151</v>
      </c>
      <c r="E1458" s="4" t="str">
        <f>"-"</f>
        <v>-</v>
      </c>
      <c r="F1458" s="4" t="s">
        <v>9</v>
      </c>
    </row>
    <row r="1459" spans="1:6" x14ac:dyDescent="0.25">
      <c r="A1459" s="4" t="str">
        <f>"IEEE International Conference on Automation Science and Engineering"</f>
        <v>IEEE International Conference on Automation Science and Engineering</v>
      </c>
      <c r="B1459" s="4" t="s">
        <v>8</v>
      </c>
      <c r="C1459" s="4" t="str">
        <f t="shared" si="54"/>
        <v>-</v>
      </c>
      <c r="D1459" s="4" t="str">
        <f>"21618070"</f>
        <v>21618070</v>
      </c>
      <c r="E1459" s="4" t="str">
        <f>"21618089"</f>
        <v>21618089</v>
      </c>
      <c r="F1459" s="4" t="s">
        <v>9</v>
      </c>
    </row>
    <row r="1460" spans="1:6" x14ac:dyDescent="0.25">
      <c r="A1460" s="4" t="str">
        <f>"IEEE International Conference on Cloud Computing, CLOUD"</f>
        <v>IEEE International Conference on Cloud Computing, CLOUD</v>
      </c>
      <c r="B1460" s="4" t="s">
        <v>8</v>
      </c>
      <c r="C1460" s="4" t="str">
        <f t="shared" si="54"/>
        <v>-</v>
      </c>
      <c r="D1460" s="4" t="str">
        <f>"21596182"</f>
        <v>21596182</v>
      </c>
      <c r="E1460" s="4" t="str">
        <f>"21596190"</f>
        <v>21596190</v>
      </c>
      <c r="F1460" s="4" t="s">
        <v>9</v>
      </c>
    </row>
    <row r="1461" spans="1:6" x14ac:dyDescent="0.25">
      <c r="A1461" s="4" t="str">
        <f>"IEEE International Conference on Communications"</f>
        <v>IEEE International Conference on Communications</v>
      </c>
      <c r="B1461" s="4" t="s">
        <v>8</v>
      </c>
      <c r="C1461" s="4" t="str">
        <f t="shared" si="54"/>
        <v>-</v>
      </c>
      <c r="D1461" s="4" t="str">
        <f>"15503607"</f>
        <v>15503607</v>
      </c>
      <c r="E1461" s="4" t="str">
        <f>"-"</f>
        <v>-</v>
      </c>
      <c r="F1461" s="4" t="s">
        <v>105</v>
      </c>
    </row>
    <row r="1462" spans="1:6" ht="30" x14ac:dyDescent="0.25">
      <c r="A1462" s="4" t="str">
        <f>"IEEE International Conference on Computational Intelligence for Measurement Systems and Applications Proceedings"</f>
        <v>IEEE International Conference on Computational Intelligence for Measurement Systems and Applications Proceedings</v>
      </c>
      <c r="B1462" s="4" t="s">
        <v>8</v>
      </c>
      <c r="C1462" s="4" t="str">
        <f t="shared" si="54"/>
        <v>-</v>
      </c>
      <c r="D1462" s="4" t="str">
        <f>"21591547"</f>
        <v>21591547</v>
      </c>
      <c r="E1462" s="4" t="str">
        <f>"21591555"</f>
        <v>21591555</v>
      </c>
      <c r="F1462" s="4" t="s">
        <v>9</v>
      </c>
    </row>
    <row r="1463" spans="1:6" x14ac:dyDescent="0.25">
      <c r="A1463" s="4" t="str">
        <f>"IEEE International Conference on Conduction and Breakdown in Dielectric Liquids, ICDL"</f>
        <v>IEEE International Conference on Conduction and Breakdown in Dielectric Liquids, ICDL</v>
      </c>
      <c r="B1463" s="4" t="s">
        <v>8</v>
      </c>
      <c r="C1463" s="4" t="str">
        <f t="shared" si="54"/>
        <v>-</v>
      </c>
      <c r="D1463" s="4" t="str">
        <f>"-"</f>
        <v>-</v>
      </c>
      <c r="E1463" s="4" t="str">
        <f>"-"</f>
        <v>-</v>
      </c>
      <c r="F1463" s="4" t="s">
        <v>105</v>
      </c>
    </row>
    <row r="1464" spans="1:6" x14ac:dyDescent="0.25">
      <c r="A1464" s="4" t="str">
        <f>"IEEE International Conference on Conduction and Breakdown in Solid Dielectrics"</f>
        <v>IEEE International Conference on Conduction and Breakdown in Solid Dielectrics</v>
      </c>
      <c r="B1464" s="4" t="s">
        <v>8</v>
      </c>
      <c r="C1464" s="4" t="str">
        <f t="shared" si="54"/>
        <v>-</v>
      </c>
      <c r="D1464" s="4" t="str">
        <f>"-"</f>
        <v>-</v>
      </c>
      <c r="E1464" s="4" t="str">
        <f>"-"</f>
        <v>-</v>
      </c>
      <c r="F1464" s="4" t="s">
        <v>105</v>
      </c>
    </row>
    <row r="1465" spans="1:6" x14ac:dyDescent="0.25">
      <c r="A1465" s="4" t="str">
        <f>"IEEE International Conference on Consumer Electronics - Berlin, ICCE-Berlin"</f>
        <v>IEEE International Conference on Consumer Electronics - Berlin, ICCE-Berlin</v>
      </c>
      <c r="B1465" s="4" t="s">
        <v>8</v>
      </c>
      <c r="C1465" s="4" t="str">
        <f t="shared" si="54"/>
        <v>-</v>
      </c>
      <c r="D1465" s="4" t="str">
        <f>"21666814"</f>
        <v>21666814</v>
      </c>
      <c r="E1465" s="4" t="str">
        <f>"21666822"</f>
        <v>21666822</v>
      </c>
      <c r="F1465" s="4" t="s">
        <v>9</v>
      </c>
    </row>
    <row r="1466" spans="1:6" x14ac:dyDescent="0.25">
      <c r="A1466" s="4" t="str">
        <f>"IEEE International Conference on Control and Automation, ICCA"</f>
        <v>IEEE International Conference on Control and Automation, ICCA</v>
      </c>
      <c r="B1466" s="4" t="s">
        <v>8</v>
      </c>
      <c r="C1466" s="4" t="str">
        <f t="shared" si="54"/>
        <v>-</v>
      </c>
      <c r="D1466" s="4" t="str">
        <f>"19483449"</f>
        <v>19483449</v>
      </c>
      <c r="E1466" s="4" t="str">
        <f>"19483457"</f>
        <v>19483457</v>
      </c>
      <c r="F1466" s="4" t="s">
        <v>9</v>
      </c>
    </row>
    <row r="1467" spans="1:6" x14ac:dyDescent="0.25">
      <c r="A1467" s="4" t="str">
        <f>"IEEE International Conference on Data Mining Workshops, ICDMW"</f>
        <v>IEEE International Conference on Data Mining Workshops, ICDMW</v>
      </c>
      <c r="B1467" s="4" t="s">
        <v>8</v>
      </c>
      <c r="C1467" s="4" t="str">
        <f t="shared" si="54"/>
        <v>-</v>
      </c>
      <c r="D1467" s="4" t="str">
        <f>"23759232"</f>
        <v>23759232</v>
      </c>
      <c r="E1467" s="4" t="str">
        <f>"23759259"</f>
        <v>23759259</v>
      </c>
      <c r="F1467" s="4" t="s">
        <v>9</v>
      </c>
    </row>
    <row r="1468" spans="1:6" x14ac:dyDescent="0.25">
      <c r="A1468" s="4" t="str">
        <f>"IEEE International Conference on Digital Ecosystems and Technologies"</f>
        <v>IEEE International Conference on Digital Ecosystems and Technologies</v>
      </c>
      <c r="B1468" s="4" t="s">
        <v>8</v>
      </c>
      <c r="C1468" s="4" t="str">
        <f t="shared" si="54"/>
        <v>-</v>
      </c>
      <c r="D1468" s="4" t="str">
        <f>"21504938"</f>
        <v>21504938</v>
      </c>
      <c r="E1468" s="4" t="str">
        <f>"21504946"</f>
        <v>21504946</v>
      </c>
      <c r="F1468" s="4" t="s">
        <v>9</v>
      </c>
    </row>
    <row r="1469" spans="1:6" x14ac:dyDescent="0.25">
      <c r="A1469" s="4" t="str">
        <f>"IEEE International Conference on Electro Information Technology"</f>
        <v>IEEE International Conference on Electro Information Technology</v>
      </c>
      <c r="B1469" s="4" t="s">
        <v>8</v>
      </c>
      <c r="C1469" s="4" t="str">
        <f t="shared" si="54"/>
        <v>-</v>
      </c>
      <c r="D1469" s="4" t="str">
        <f>"21540357"</f>
        <v>21540357</v>
      </c>
      <c r="E1469" s="4" t="str">
        <f>"21540373"</f>
        <v>21540373</v>
      </c>
      <c r="F1469" s="4" t="s">
        <v>9</v>
      </c>
    </row>
    <row r="1470" spans="1:6" x14ac:dyDescent="0.25">
      <c r="A1470" s="4" t="str">
        <f>"IEEE International Conference on Emerging Technologies and Factory Automation, ETFA"</f>
        <v>IEEE International Conference on Emerging Technologies and Factory Automation, ETFA</v>
      </c>
      <c r="B1470" s="4" t="s">
        <v>8</v>
      </c>
      <c r="C1470" s="4" t="str">
        <f t="shared" si="54"/>
        <v>-</v>
      </c>
      <c r="D1470" s="4" t="str">
        <f>"19460740"</f>
        <v>19460740</v>
      </c>
      <c r="E1470" s="4" t="str">
        <f>"19460759"</f>
        <v>19460759</v>
      </c>
      <c r="F1470" s="4" t="s">
        <v>105</v>
      </c>
    </row>
    <row r="1471" spans="1:6" x14ac:dyDescent="0.25">
      <c r="A1471" s="4" t="str">
        <f>"IEEE International Conference on Fuzzy Systems"</f>
        <v>IEEE International Conference on Fuzzy Systems</v>
      </c>
      <c r="B1471" s="4" t="s">
        <v>8</v>
      </c>
      <c r="C1471" s="4" t="str">
        <f t="shared" si="54"/>
        <v>-</v>
      </c>
      <c r="D1471" s="4" t="str">
        <f>"10987584"</f>
        <v>10987584</v>
      </c>
      <c r="E1471" s="4" t="str">
        <f>"-"</f>
        <v>-</v>
      </c>
      <c r="F1471" s="4" t="s">
        <v>105</v>
      </c>
    </row>
    <row r="1472" spans="1:6" x14ac:dyDescent="0.25">
      <c r="A1472" s="4" t="str">
        <f>"IEEE International Conference on Group IV Photonics GFP"</f>
        <v>IEEE International Conference on Group IV Photonics GFP</v>
      </c>
      <c r="B1472" s="4" t="s">
        <v>8</v>
      </c>
      <c r="C1472" s="4" t="str">
        <f t="shared" si="54"/>
        <v>-</v>
      </c>
      <c r="D1472" s="4" t="str">
        <f>"19492081"</f>
        <v>19492081</v>
      </c>
      <c r="E1472" s="4" t="str">
        <f>"-"</f>
        <v>-</v>
      </c>
      <c r="F1472" s="4" t="s">
        <v>9</v>
      </c>
    </row>
    <row r="1473" spans="1:6" x14ac:dyDescent="0.25">
      <c r="A1473" s="4" t="str">
        <f>"IEEE International Conference on High Performance Switching and Routing, HPSR"</f>
        <v>IEEE International Conference on High Performance Switching and Routing, HPSR</v>
      </c>
      <c r="B1473" s="4" t="s">
        <v>8</v>
      </c>
      <c r="C1473" s="4" t="str">
        <f t="shared" si="54"/>
        <v>-</v>
      </c>
      <c r="D1473" s="4" t="str">
        <f>"23255595"</f>
        <v>23255595</v>
      </c>
      <c r="E1473" s="4" t="str">
        <f>"23255609"</f>
        <v>23255609</v>
      </c>
      <c r="F1473" s="4" t="s">
        <v>9</v>
      </c>
    </row>
    <row r="1474" spans="1:6" x14ac:dyDescent="0.25">
      <c r="A1474" s="4" t="str">
        <f>"IEEE International Conference on Industrial Engineering and Engineering Management"</f>
        <v>IEEE International Conference on Industrial Engineering and Engineering Management</v>
      </c>
      <c r="B1474" s="4" t="s">
        <v>8</v>
      </c>
      <c r="C1474" s="4" t="str">
        <f t="shared" si="54"/>
        <v>-</v>
      </c>
      <c r="D1474" s="4" t="str">
        <f>"21573611"</f>
        <v>21573611</v>
      </c>
      <c r="E1474" s="4" t="str">
        <f>"2157362X"</f>
        <v>2157362X</v>
      </c>
      <c r="F1474" s="4" t="s">
        <v>9</v>
      </c>
    </row>
    <row r="1475" spans="1:6" x14ac:dyDescent="0.25">
      <c r="A1475" s="4" t="str">
        <f>"IEEE International Conference on Industrial Informatics (INDIN)"</f>
        <v>IEEE International Conference on Industrial Informatics (INDIN)</v>
      </c>
      <c r="B1475" s="4" t="s">
        <v>8</v>
      </c>
      <c r="C1475" s="4" t="str">
        <f t="shared" si="54"/>
        <v>-</v>
      </c>
      <c r="D1475" s="4" t="str">
        <f>"19354576"</f>
        <v>19354576</v>
      </c>
      <c r="E1475" s="4" t="str">
        <f>"-"</f>
        <v>-</v>
      </c>
      <c r="F1475" s="4" t="s">
        <v>105</v>
      </c>
    </row>
    <row r="1476" spans="1:6" x14ac:dyDescent="0.25">
      <c r="A1476" s="4" t="str">
        <f>"IEEE International Conference on Intelligent Robots and Systems"</f>
        <v>IEEE International Conference on Intelligent Robots and Systems</v>
      </c>
      <c r="B1476" s="4" t="s">
        <v>8</v>
      </c>
      <c r="C1476" s="4" t="str">
        <f t="shared" si="54"/>
        <v>-</v>
      </c>
      <c r="D1476" s="4" t="str">
        <f>"21530858"</f>
        <v>21530858</v>
      </c>
      <c r="E1476" s="4" t="str">
        <f>"21530866"</f>
        <v>21530866</v>
      </c>
      <c r="F1476" s="4" t="s">
        <v>105</v>
      </c>
    </row>
    <row r="1477" spans="1:6" x14ac:dyDescent="0.25">
      <c r="A1477" s="4" t="str">
        <f>"IEEE International Conference on Microelectronic Test Structures"</f>
        <v>IEEE International Conference on Microelectronic Test Structures</v>
      </c>
      <c r="B1477" s="4" t="s">
        <v>8</v>
      </c>
      <c r="C1477" s="4" t="str">
        <f t="shared" si="54"/>
        <v>-</v>
      </c>
      <c r="D1477" s="4" t="str">
        <f t="shared" si="54"/>
        <v>-</v>
      </c>
      <c r="E1477" s="4" t="str">
        <f t="shared" si="54"/>
        <v>-</v>
      </c>
      <c r="F1477" s="4" t="s">
        <v>105</v>
      </c>
    </row>
    <row r="1478" spans="1:6" x14ac:dyDescent="0.25">
      <c r="A1478" s="4" t="str">
        <f>"IEEE International Conference on Multi-Media and Expo"</f>
        <v>IEEE International Conference on Multi-Media and Expo</v>
      </c>
      <c r="B1478" s="4" t="s">
        <v>8</v>
      </c>
      <c r="C1478" s="4" t="str">
        <f t="shared" ref="C1478:E1509" si="56">"-"</f>
        <v>-</v>
      </c>
      <c r="D1478" s="4" t="str">
        <f t="shared" si="56"/>
        <v>-</v>
      </c>
      <c r="E1478" s="4" t="str">
        <f t="shared" si="56"/>
        <v>-</v>
      </c>
      <c r="F1478" s="4" t="s">
        <v>105</v>
      </c>
    </row>
    <row r="1479" spans="1:6" x14ac:dyDescent="0.25">
      <c r="A1479" s="4" t="str">
        <f>"IEEE International Conference on Multisensor Fusion and Integration for Intelligent Systems"</f>
        <v>IEEE International Conference on Multisensor Fusion and Integration for Intelligent Systems</v>
      </c>
      <c r="B1479" s="4" t="s">
        <v>8</v>
      </c>
      <c r="C1479" s="4" t="str">
        <f t="shared" si="56"/>
        <v>-</v>
      </c>
      <c r="D1479" s="4" t="str">
        <f t="shared" si="56"/>
        <v>-</v>
      </c>
      <c r="E1479" s="4" t="str">
        <f t="shared" si="56"/>
        <v>-</v>
      </c>
      <c r="F1479" s="4" t="s">
        <v>105</v>
      </c>
    </row>
    <row r="1480" spans="1:6" x14ac:dyDescent="0.25">
      <c r="A1480" s="4" t="str">
        <f>"IEEE International Conference on Nano/Molecular Medicine and Engineering, NANOMED"</f>
        <v>IEEE International Conference on Nano/Molecular Medicine and Engineering, NANOMED</v>
      </c>
      <c r="B1480" s="4" t="s">
        <v>8</v>
      </c>
      <c r="C1480" s="4" t="str">
        <f t="shared" si="56"/>
        <v>-</v>
      </c>
      <c r="D1480" s="4" t="str">
        <f>"21596964"</f>
        <v>21596964</v>
      </c>
      <c r="E1480" s="4" t="str">
        <f>"21596972"</f>
        <v>21596972</v>
      </c>
      <c r="F1480" s="4" t="s">
        <v>9</v>
      </c>
    </row>
    <row r="1481" spans="1:6" x14ac:dyDescent="0.25">
      <c r="A1481" s="4" t="str">
        <f>"IEEE International Conference on Networks, ICON"</f>
        <v>IEEE International Conference on Networks, ICON</v>
      </c>
      <c r="B1481" s="4" t="s">
        <v>8</v>
      </c>
      <c r="C1481" s="4" t="str">
        <f t="shared" si="56"/>
        <v>-</v>
      </c>
      <c r="D1481" s="4" t="str">
        <f>"15566463"</f>
        <v>15566463</v>
      </c>
      <c r="E1481" s="4" t="str">
        <f>"-"</f>
        <v>-</v>
      </c>
      <c r="F1481" s="4" t="s">
        <v>9</v>
      </c>
    </row>
    <row r="1482" spans="1:6" x14ac:dyDescent="0.25">
      <c r="A1482" s="4" t="str">
        <f>"IEEE International Conference on Neural Networks - Conference Proceedings"</f>
        <v>IEEE International Conference on Neural Networks - Conference Proceedings</v>
      </c>
      <c r="B1482" s="4" t="s">
        <v>8</v>
      </c>
      <c r="C1482" s="4" t="str">
        <f t="shared" si="56"/>
        <v>-</v>
      </c>
      <c r="D1482" s="4" t="str">
        <f>"10987576"</f>
        <v>10987576</v>
      </c>
      <c r="E1482" s="4" t="str">
        <f>"-"</f>
        <v>-</v>
      </c>
      <c r="F1482" s="4" t="s">
        <v>105</v>
      </c>
    </row>
    <row r="1483" spans="1:6" x14ac:dyDescent="0.25">
      <c r="A1483" s="4" t="str">
        <f>"IEEE International Conference on Personal Wireless Communications"</f>
        <v>IEEE International Conference on Personal Wireless Communications</v>
      </c>
      <c r="B1483" s="4" t="s">
        <v>8</v>
      </c>
      <c r="C1483" s="4" t="str">
        <f t="shared" si="56"/>
        <v>-</v>
      </c>
      <c r="D1483" s="4" t="str">
        <f>"-"</f>
        <v>-</v>
      </c>
      <c r="E1483" s="4" t="str">
        <f>"-"</f>
        <v>-</v>
      </c>
      <c r="F1483" s="4" t="s">
        <v>105</v>
      </c>
    </row>
    <row r="1484" spans="1:6" x14ac:dyDescent="0.25">
      <c r="A1484" s="4" t="str">
        <f>"IEEE International Conference on Plasma Science"</f>
        <v>IEEE International Conference on Plasma Science</v>
      </c>
      <c r="B1484" s="4" t="s">
        <v>8</v>
      </c>
      <c r="C1484" s="4" t="str">
        <f t="shared" si="56"/>
        <v>-</v>
      </c>
      <c r="D1484" s="4" t="str">
        <f>"07309244"</f>
        <v>07309244</v>
      </c>
      <c r="E1484" s="4" t="str">
        <f>"-"</f>
        <v>-</v>
      </c>
      <c r="F1484" s="4" t="s">
        <v>105</v>
      </c>
    </row>
    <row r="1485" spans="1:6" x14ac:dyDescent="0.25">
      <c r="A1485" s="4" t="str">
        <f>"IEEE International Conference on Program Comprehension"</f>
        <v>IEEE International Conference on Program Comprehension</v>
      </c>
      <c r="B1485" s="4" t="s">
        <v>8</v>
      </c>
      <c r="C1485" s="4" t="str">
        <f t="shared" si="56"/>
        <v>-</v>
      </c>
      <c r="D1485" s="4" t="str">
        <f>"-"</f>
        <v>-</v>
      </c>
      <c r="E1485" s="4" t="str">
        <f>"-"</f>
        <v>-</v>
      </c>
      <c r="F1485" s="4" t="s">
        <v>9</v>
      </c>
    </row>
    <row r="1486" spans="1:6" x14ac:dyDescent="0.25">
      <c r="A1486" s="4" t="str">
        <f>"IEEE International Conference on Rehabilitation Robotics"</f>
        <v>IEEE International Conference on Rehabilitation Robotics</v>
      </c>
      <c r="B1486" s="4" t="s">
        <v>8</v>
      </c>
      <c r="C1486" s="4" t="str">
        <f t="shared" si="56"/>
        <v>-</v>
      </c>
      <c r="D1486" s="4" t="str">
        <f>"19457898"</f>
        <v>19457898</v>
      </c>
      <c r="E1486" s="4" t="str">
        <f>"19457901"</f>
        <v>19457901</v>
      </c>
      <c r="F1486" s="4" t="s">
        <v>9</v>
      </c>
    </row>
    <row r="1487" spans="1:6" x14ac:dyDescent="0.25">
      <c r="A1487" s="4" t="str">
        <f>"IEEE International Conference on Semiconductor Electronics, Proceedings, ICSE"</f>
        <v>IEEE International Conference on Semiconductor Electronics, Proceedings, ICSE</v>
      </c>
      <c r="B1487" s="4" t="s">
        <v>8</v>
      </c>
      <c r="C1487" s="4" t="str">
        <f t="shared" si="56"/>
        <v>-</v>
      </c>
      <c r="D1487" s="4" t="str">
        <f>"-"</f>
        <v>-</v>
      </c>
      <c r="E1487" s="4" t="str">
        <f>"-"</f>
        <v>-</v>
      </c>
      <c r="F1487" s="4" t="s">
        <v>105</v>
      </c>
    </row>
    <row r="1488" spans="1:6" x14ac:dyDescent="0.25">
      <c r="A1488" s="4" t="str">
        <f>"IEEE International Conference on Software Maintenance, ICSM"</f>
        <v>IEEE International Conference on Software Maintenance, ICSM</v>
      </c>
      <c r="B1488" s="4" t="s">
        <v>8</v>
      </c>
      <c r="C1488" s="4" t="str">
        <f t="shared" si="56"/>
        <v>-</v>
      </c>
      <c r="D1488" s="4" t="str">
        <f>"-"</f>
        <v>-</v>
      </c>
      <c r="E1488" s="4" t="str">
        <f>"-"</f>
        <v>-</v>
      </c>
      <c r="F1488" s="4" t="s">
        <v>9</v>
      </c>
    </row>
    <row r="1489" spans="1:6" x14ac:dyDescent="0.25">
      <c r="A1489" s="4" t="str">
        <f>"IEEE International Conference on Sustainable Energy Technologies, ICSET"</f>
        <v>IEEE International Conference on Sustainable Energy Technologies, ICSET</v>
      </c>
      <c r="B1489" s="4" t="s">
        <v>8</v>
      </c>
      <c r="C1489" s="4" t="str">
        <f t="shared" si="56"/>
        <v>-</v>
      </c>
      <c r="D1489" s="4" t="str">
        <f>"21654387"</f>
        <v>21654387</v>
      </c>
      <c r="E1489" s="4" t="str">
        <f>"21654395"</f>
        <v>21654395</v>
      </c>
      <c r="F1489" s="4" t="s">
        <v>9</v>
      </c>
    </row>
    <row r="1490" spans="1:6" x14ac:dyDescent="0.25">
      <c r="A1490" s="4" t="str">
        <f>"IEEE International Engineering Management Conference"</f>
        <v>IEEE International Engineering Management Conference</v>
      </c>
      <c r="B1490" s="4" t="s">
        <v>8</v>
      </c>
      <c r="C1490" s="4" t="str">
        <f t="shared" si="56"/>
        <v>-</v>
      </c>
      <c r="D1490" s="4" t="str">
        <f>"-"</f>
        <v>-</v>
      </c>
      <c r="E1490" s="4" t="str">
        <f>"-"</f>
        <v>-</v>
      </c>
      <c r="F1490" s="4" t="s">
        <v>105</v>
      </c>
    </row>
    <row r="1491" spans="1:6" x14ac:dyDescent="0.25">
      <c r="A1491" s="4" t="str">
        <f>"IEEE International Integrated Reliability Workshop Final Report"</f>
        <v>IEEE International Integrated Reliability Workshop Final Report</v>
      </c>
      <c r="B1491" s="4" t="s">
        <v>8</v>
      </c>
      <c r="C1491" s="4" t="str">
        <f t="shared" si="56"/>
        <v>-</v>
      </c>
      <c r="D1491" s="4" t="str">
        <f>"-"</f>
        <v>-</v>
      </c>
      <c r="E1491" s="4" t="str">
        <f>"-"</f>
        <v>-</v>
      </c>
      <c r="F1491" s="4" t="s">
        <v>105</v>
      </c>
    </row>
    <row r="1492" spans="1:6" x14ac:dyDescent="0.25">
      <c r="A1492" s="4" t="str">
        <f>"IEEE International Professional Communication Conference"</f>
        <v>IEEE International Professional Communication Conference</v>
      </c>
      <c r="B1492" s="4" t="s">
        <v>8</v>
      </c>
      <c r="C1492" s="4" t="str">
        <f t="shared" si="56"/>
        <v>-</v>
      </c>
      <c r="D1492" s="4" t="str">
        <f>"2158091X"</f>
        <v>2158091X</v>
      </c>
      <c r="E1492" s="4" t="str">
        <f>"21581002"</f>
        <v>21581002</v>
      </c>
      <c r="F1492" s="4" t="s">
        <v>105</v>
      </c>
    </row>
    <row r="1493" spans="1:6" x14ac:dyDescent="0.25">
      <c r="A1493" s="4" t="str">
        <f>"IEEE International Reliability Physics Symposium Proceedings"</f>
        <v>IEEE International Reliability Physics Symposium Proceedings</v>
      </c>
      <c r="B1493" s="4" t="s">
        <v>8</v>
      </c>
      <c r="C1493" s="4" t="str">
        <f t="shared" si="56"/>
        <v>-</v>
      </c>
      <c r="D1493" s="4" t="str">
        <f>"15417026"</f>
        <v>15417026</v>
      </c>
      <c r="E1493" s="4" t="str">
        <f>"-"</f>
        <v>-</v>
      </c>
      <c r="F1493" s="4" t="s">
        <v>105</v>
      </c>
    </row>
    <row r="1494" spans="1:6" x14ac:dyDescent="0.25">
      <c r="A1494" s="4" t="str">
        <f>"IEEE International Symposium on Applications of Ferroelectrics"</f>
        <v>IEEE International Symposium on Applications of Ferroelectrics</v>
      </c>
      <c r="B1494" s="4" t="s">
        <v>8</v>
      </c>
      <c r="C1494" s="4" t="str">
        <f t="shared" si="56"/>
        <v>-</v>
      </c>
      <c r="D1494" s="4" t="str">
        <f>"-"</f>
        <v>-</v>
      </c>
      <c r="E1494" s="4" t="str">
        <f>"-"</f>
        <v>-</v>
      </c>
      <c r="F1494" s="4" t="s">
        <v>105</v>
      </c>
    </row>
    <row r="1495" spans="1:6" x14ac:dyDescent="0.25">
      <c r="A1495" s="4" t="str">
        <f>"IEEE International Symposium on Broadband Multimedia Systems and Broadcasting, BMSB"</f>
        <v>IEEE International Symposium on Broadband Multimedia Systems and Broadcasting, BMSB</v>
      </c>
      <c r="B1495" s="4" t="s">
        <v>8</v>
      </c>
      <c r="C1495" s="4" t="str">
        <f t="shared" si="56"/>
        <v>-</v>
      </c>
      <c r="D1495" s="4" t="str">
        <f>"21555044"</f>
        <v>21555044</v>
      </c>
      <c r="E1495" s="4" t="str">
        <f>"21555052"</f>
        <v>21555052</v>
      </c>
      <c r="F1495" s="4" t="s">
        <v>9</v>
      </c>
    </row>
    <row r="1496" spans="1:6" x14ac:dyDescent="0.25">
      <c r="A1496" s="4" t="str">
        <f>"IEEE International Symposium on Compound Semiconductors, Proceedings"</f>
        <v>IEEE International Symposium on Compound Semiconductors, Proceedings</v>
      </c>
      <c r="B1496" s="4" t="s">
        <v>8</v>
      </c>
      <c r="C1496" s="4" t="str">
        <f t="shared" si="56"/>
        <v>-</v>
      </c>
      <c r="D1496" s="4" t="str">
        <f>"-"</f>
        <v>-</v>
      </c>
      <c r="E1496" s="4" t="str">
        <f>"-"</f>
        <v>-</v>
      </c>
      <c r="F1496" s="4" t="s">
        <v>105</v>
      </c>
    </row>
    <row r="1497" spans="1:6" x14ac:dyDescent="0.25">
      <c r="A1497" s="4" t="str">
        <f>"IEEE International Symposium on Electromagnetic Compatibility"</f>
        <v>IEEE International Symposium on Electromagnetic Compatibility</v>
      </c>
      <c r="B1497" s="4" t="s">
        <v>8</v>
      </c>
      <c r="C1497" s="4" t="str">
        <f t="shared" si="56"/>
        <v>-</v>
      </c>
      <c r="D1497" s="4" t="str">
        <f>"10774076"</f>
        <v>10774076</v>
      </c>
      <c r="E1497" s="4" t="str">
        <f>"21581118"</f>
        <v>21581118</v>
      </c>
      <c r="F1497" s="4" t="s">
        <v>105</v>
      </c>
    </row>
    <row r="1498" spans="1:6" x14ac:dyDescent="0.25">
      <c r="A1498" s="4" t="str">
        <f>"IEEE International Symposium on Electron Devices for Microwave and Optoelectronic Applications"</f>
        <v>IEEE International Symposium on Electron Devices for Microwave and Optoelectronic Applications</v>
      </c>
      <c r="B1498" s="4" t="s">
        <v>8</v>
      </c>
      <c r="C1498" s="4" t="str">
        <f t="shared" si="56"/>
        <v>-</v>
      </c>
      <c r="D1498" s="4" t="str">
        <f t="shared" si="56"/>
        <v>-</v>
      </c>
      <c r="E1498" s="4" t="str">
        <f t="shared" si="56"/>
        <v>-</v>
      </c>
      <c r="F1498" s="4" t="s">
        <v>105</v>
      </c>
    </row>
    <row r="1499" spans="1:6" x14ac:dyDescent="0.25">
      <c r="A1499" s="4" t="str">
        <f>"IEEE International Symposium on Electronics and the Environment"</f>
        <v>IEEE International Symposium on Electronics and the Environment</v>
      </c>
      <c r="B1499" s="4" t="s">
        <v>8</v>
      </c>
      <c r="C1499" s="4" t="str">
        <f t="shared" si="56"/>
        <v>-</v>
      </c>
      <c r="D1499" s="4" t="str">
        <f t="shared" si="56"/>
        <v>-</v>
      </c>
      <c r="E1499" s="4" t="str">
        <f t="shared" si="56"/>
        <v>-</v>
      </c>
      <c r="F1499" s="4" t="s">
        <v>105</v>
      </c>
    </row>
    <row r="1500" spans="1:6" x14ac:dyDescent="0.25">
      <c r="A1500" s="4" t="str">
        <f>"IEEE International Symposium on Industrial Electronics"</f>
        <v>IEEE International Symposium on Industrial Electronics</v>
      </c>
      <c r="B1500" s="4" t="s">
        <v>8</v>
      </c>
      <c r="C1500" s="4" t="str">
        <f t="shared" si="56"/>
        <v>-</v>
      </c>
      <c r="D1500" s="4" t="str">
        <f t="shared" si="56"/>
        <v>-</v>
      </c>
      <c r="E1500" s="4" t="str">
        <f t="shared" si="56"/>
        <v>-</v>
      </c>
      <c r="F1500" s="4" t="s">
        <v>105</v>
      </c>
    </row>
    <row r="1501" spans="1:6" x14ac:dyDescent="0.25">
      <c r="A1501" s="4" t="str">
        <f>"IEEE International Symposium on Information Theory - Proceedings"</f>
        <v>IEEE International Symposium on Information Theory - Proceedings</v>
      </c>
      <c r="B1501" s="4" t="s">
        <v>8</v>
      </c>
      <c r="C1501" s="4" t="str">
        <f t="shared" si="56"/>
        <v>-</v>
      </c>
      <c r="D1501" s="4" t="str">
        <f>"21578095"</f>
        <v>21578095</v>
      </c>
      <c r="E1501" s="4" t="str">
        <f>"-"</f>
        <v>-</v>
      </c>
      <c r="F1501" s="4" t="s">
        <v>105</v>
      </c>
    </row>
    <row r="1502" spans="1:6" x14ac:dyDescent="0.25">
      <c r="A1502" s="4" t="str">
        <f>"IEEE International Symposium on Intelligent Control - Proceedings"</f>
        <v>IEEE International Symposium on Intelligent Control - Proceedings</v>
      </c>
      <c r="B1502" s="4" t="s">
        <v>8</v>
      </c>
      <c r="C1502" s="4" t="str">
        <f t="shared" si="56"/>
        <v>-</v>
      </c>
      <c r="D1502" s="4" t="str">
        <f>"-"</f>
        <v>-</v>
      </c>
      <c r="E1502" s="4" t="str">
        <f>"-"</f>
        <v>-</v>
      </c>
      <c r="F1502" s="4" t="s">
        <v>105</v>
      </c>
    </row>
    <row r="1503" spans="1:6" x14ac:dyDescent="0.25">
      <c r="A1503" s="4" t="str">
        <f>"IEEE International Symposium on Personal, Indoor and Mobile Radio Communications, PIMRC"</f>
        <v>IEEE International Symposium on Personal, Indoor and Mobile Radio Communications, PIMRC</v>
      </c>
      <c r="B1503" s="4" t="s">
        <v>8</v>
      </c>
      <c r="C1503" s="4" t="str">
        <f t="shared" si="56"/>
        <v>-</v>
      </c>
      <c r="D1503" s="4" t="str">
        <f>"-"</f>
        <v>-</v>
      </c>
      <c r="E1503" s="4" t="str">
        <f>"-"</f>
        <v>-</v>
      </c>
      <c r="F1503" s="4" t="s">
        <v>105</v>
      </c>
    </row>
    <row r="1504" spans="1:6" x14ac:dyDescent="0.25">
      <c r="A1504" s="4" t="str">
        <f>"IEEE International Symposium on Phased Array Systems and Technology"</f>
        <v>IEEE International Symposium on Phased Array Systems and Technology</v>
      </c>
      <c r="B1504" s="4" t="s">
        <v>8</v>
      </c>
      <c r="C1504" s="4" t="str">
        <f t="shared" si="56"/>
        <v>-</v>
      </c>
      <c r="D1504" s="4" t="str">
        <f>"-"</f>
        <v>-</v>
      </c>
      <c r="E1504" s="4" t="str">
        <f>"-"</f>
        <v>-</v>
      </c>
      <c r="F1504" s="4" t="s">
        <v>105</v>
      </c>
    </row>
    <row r="1505" spans="1:6" ht="30" x14ac:dyDescent="0.25">
      <c r="A1505" s="4" t="str">
        <f>"IEEE International Symposium on Precision Clock Synchronization for Measurement, Control, and Communication, ISPCS"</f>
        <v>IEEE International Symposium on Precision Clock Synchronization for Measurement, Control, and Communication, ISPCS</v>
      </c>
      <c r="B1505" s="4" t="s">
        <v>8</v>
      </c>
      <c r="C1505" s="4" t="str">
        <f t="shared" si="56"/>
        <v>-</v>
      </c>
      <c r="D1505" s="4" t="str">
        <f>"19490305"</f>
        <v>19490305</v>
      </c>
      <c r="E1505" s="4" t="str">
        <f>"19490313"</f>
        <v>19490313</v>
      </c>
      <c r="F1505" s="4" t="s">
        <v>9</v>
      </c>
    </row>
    <row r="1506" spans="1:6" x14ac:dyDescent="0.25">
      <c r="A1506" s="4" t="str">
        <f>"IEEE International Symposium on Semiconductor Manufacturing Conference Proceedings"</f>
        <v>IEEE International Symposium on Semiconductor Manufacturing Conference Proceedings</v>
      </c>
      <c r="B1506" s="4" t="s">
        <v>8</v>
      </c>
      <c r="C1506" s="4" t="str">
        <f t="shared" si="56"/>
        <v>-</v>
      </c>
      <c r="D1506" s="4" t="str">
        <f>"1523553X"</f>
        <v>1523553X</v>
      </c>
      <c r="E1506" s="4" t="str">
        <f>"-"</f>
        <v>-</v>
      </c>
      <c r="F1506" s="4" t="s">
        <v>105</v>
      </c>
    </row>
    <row r="1507" spans="1:6" x14ac:dyDescent="0.25">
      <c r="A1507" s="4" t="str">
        <f>"IEEE International Symposium on Spread Spectrum Techniques and Applications"</f>
        <v>IEEE International Symposium on Spread Spectrum Techniques and Applications</v>
      </c>
      <c r="B1507" s="4" t="s">
        <v>8</v>
      </c>
      <c r="C1507" s="4" t="str">
        <f t="shared" si="56"/>
        <v>-</v>
      </c>
      <c r="D1507" s="4" t="str">
        <f>"-"</f>
        <v>-</v>
      </c>
      <c r="E1507" s="4" t="str">
        <f>"-"</f>
        <v>-</v>
      </c>
      <c r="F1507" s="4" t="s">
        <v>105</v>
      </c>
    </row>
    <row r="1508" spans="1:6" x14ac:dyDescent="0.25">
      <c r="A1508" s="4" t="str">
        <f>"IEEE International Symposium on Sustainable Systems and Technology"</f>
        <v>IEEE International Symposium on Sustainable Systems and Technology</v>
      </c>
      <c r="B1508" s="4" t="s">
        <v>8</v>
      </c>
      <c r="C1508" s="4" t="str">
        <f t="shared" si="56"/>
        <v>-</v>
      </c>
      <c r="D1508" s="4" t="str">
        <f>"2157524X"</f>
        <v>2157524X</v>
      </c>
      <c r="E1508" s="4" t="str">
        <f>"21575258"</f>
        <v>21575258</v>
      </c>
      <c r="F1508" s="4" t="s">
        <v>9</v>
      </c>
    </row>
    <row r="1509" spans="1:6" x14ac:dyDescent="0.25">
      <c r="A1509" s="4" t="str">
        <f>"IEEE International Ultrasonics Symposium, IUS"</f>
        <v>IEEE International Ultrasonics Symposium, IUS</v>
      </c>
      <c r="B1509" s="4" t="s">
        <v>8</v>
      </c>
      <c r="C1509" s="4" t="str">
        <f t="shared" si="56"/>
        <v>-</v>
      </c>
      <c r="D1509" s="4" t="str">
        <f>"19485719"</f>
        <v>19485719</v>
      </c>
      <c r="E1509" s="4" t="str">
        <f>"19485727"</f>
        <v>19485727</v>
      </c>
      <c r="F1509" s="4" t="s">
        <v>9</v>
      </c>
    </row>
    <row r="1510" spans="1:6" x14ac:dyDescent="0.25">
      <c r="A1510" s="4" t="str">
        <f>"IEEE International Working Conference on Mining Software Repositories"</f>
        <v>IEEE International Working Conference on Mining Software Repositories</v>
      </c>
      <c r="B1510" s="4" t="s">
        <v>8</v>
      </c>
      <c r="C1510" s="4" t="str">
        <f t="shared" ref="C1510:C1528" si="57">"-"</f>
        <v>-</v>
      </c>
      <c r="D1510" s="4" t="str">
        <f>"21601852"</f>
        <v>21601852</v>
      </c>
      <c r="E1510" s="4" t="str">
        <f>"21601860"</f>
        <v>21601860</v>
      </c>
      <c r="F1510" s="4" t="s">
        <v>9</v>
      </c>
    </row>
    <row r="1511" spans="1:6" x14ac:dyDescent="0.25">
      <c r="A1511" s="4" t="str">
        <f>"IEEE International Workshop on Factory Communication Systems - Proceedings, WFCS"</f>
        <v>IEEE International Workshop on Factory Communication Systems - Proceedings, WFCS</v>
      </c>
      <c r="B1511" s="4" t="s">
        <v>8</v>
      </c>
      <c r="C1511" s="4" t="str">
        <f t="shared" si="57"/>
        <v>-</v>
      </c>
      <c r="D1511" s="4" t="str">
        <f>"-"</f>
        <v>-</v>
      </c>
      <c r="E1511" s="4" t="str">
        <f>"-"</f>
        <v>-</v>
      </c>
      <c r="F1511" s="4" t="s">
        <v>105</v>
      </c>
    </row>
    <row r="1512" spans="1:6" x14ac:dyDescent="0.25">
      <c r="A1512" s="4" t="str">
        <f>"IEEE International Workshop on Genomic Signal Processing and Statistics, GENSIPS"</f>
        <v>IEEE International Workshop on Genomic Signal Processing and Statistics, GENSIPS</v>
      </c>
      <c r="B1512" s="4" t="s">
        <v>8</v>
      </c>
      <c r="C1512" s="4" t="str">
        <f t="shared" si="57"/>
        <v>-</v>
      </c>
      <c r="D1512" s="4" t="str">
        <f>"21503001"</f>
        <v>21503001</v>
      </c>
      <c r="E1512" s="4" t="str">
        <f>"2150301X"</f>
        <v>2150301X</v>
      </c>
      <c r="F1512" s="4" t="s">
        <v>9</v>
      </c>
    </row>
    <row r="1513" spans="1:6" x14ac:dyDescent="0.25">
      <c r="A1513" s="4" t="str">
        <f>"IEEE International Workshop on Machine Learning for Signal Processing, MLSP"</f>
        <v>IEEE International Workshop on Machine Learning for Signal Processing, MLSP</v>
      </c>
      <c r="B1513" s="4" t="s">
        <v>8</v>
      </c>
      <c r="C1513" s="4" t="str">
        <f t="shared" si="57"/>
        <v>-</v>
      </c>
      <c r="D1513" s="4" t="str">
        <f>"21610363"</f>
        <v>21610363</v>
      </c>
      <c r="E1513" s="4" t="str">
        <f>"21610371"</f>
        <v>21610371</v>
      </c>
      <c r="F1513" s="4" t="s">
        <v>9</v>
      </c>
    </row>
    <row r="1514" spans="1:6" ht="30" x14ac:dyDescent="0.25">
      <c r="A1514" s="4" t="str">
        <f>"IEEE International Workshop on Modeling, Analysis, and Simulation of Computer and Telecommunication Systems - Proceedings"</f>
        <v>IEEE International Workshop on Modeling, Analysis, and Simulation of Computer and Telecommunication Systems - Proceedings</v>
      </c>
      <c r="B1514" s="4" t="s">
        <v>8</v>
      </c>
      <c r="C1514" s="4" t="str">
        <f t="shared" si="57"/>
        <v>-</v>
      </c>
      <c r="D1514" s="4" t="str">
        <f>"-"</f>
        <v>-</v>
      </c>
      <c r="E1514" s="4" t="str">
        <f>"-"</f>
        <v>-</v>
      </c>
      <c r="F1514" s="4" t="s">
        <v>105</v>
      </c>
    </row>
    <row r="1515" spans="1:6" x14ac:dyDescent="0.25">
      <c r="A1515" s="4" t="str">
        <f>"IEEE International Workshop on Performance Evaluation of Tracking and Surveillance, PETS"</f>
        <v>IEEE International Workshop on Performance Evaluation of Tracking and Surveillance, PETS</v>
      </c>
      <c r="B1515" s="4" t="s">
        <v>8</v>
      </c>
      <c r="C1515" s="4" t="str">
        <f t="shared" si="57"/>
        <v>-</v>
      </c>
      <c r="D1515" s="4" t="str">
        <f>"2157491X"</f>
        <v>2157491X</v>
      </c>
      <c r="E1515" s="4" t="str">
        <f>"21574928"</f>
        <v>21574928</v>
      </c>
      <c r="F1515" s="4" t="s">
        <v>105</v>
      </c>
    </row>
    <row r="1516" spans="1:6" x14ac:dyDescent="0.25">
      <c r="A1516" s="4" t="str">
        <f>"IEEE International Workshop on Quality of Service, IWQoS"</f>
        <v>IEEE International Workshop on Quality of Service, IWQoS</v>
      </c>
      <c r="B1516" s="4" t="s">
        <v>8</v>
      </c>
      <c r="C1516" s="4" t="str">
        <f t="shared" si="57"/>
        <v>-</v>
      </c>
      <c r="D1516" s="4" t="str">
        <f>"1548615X"</f>
        <v>1548615X</v>
      </c>
      <c r="E1516" s="4" t="str">
        <f>"-"</f>
        <v>-</v>
      </c>
      <c r="F1516" s="4" t="s">
        <v>105</v>
      </c>
    </row>
    <row r="1517" spans="1:6" x14ac:dyDescent="0.25">
      <c r="A1517" s="4" t="str">
        <f>"IEEE Internet Computing"</f>
        <v>IEEE Internet Computing</v>
      </c>
      <c r="B1517" s="4" t="s">
        <v>6</v>
      </c>
      <c r="C1517" s="4" t="str">
        <f t="shared" si="57"/>
        <v>-</v>
      </c>
      <c r="D1517" s="4" t="str">
        <f>"10897801"</f>
        <v>10897801</v>
      </c>
      <c r="E1517" s="4" t="str">
        <f>"-"</f>
        <v>-</v>
      </c>
      <c r="F1517" s="4" t="s">
        <v>105</v>
      </c>
    </row>
    <row r="1518" spans="1:6" x14ac:dyDescent="0.25">
      <c r="A1518" s="4" t="str">
        <f>"IEEE Internet of Things Journal"</f>
        <v>IEEE Internet of Things Journal</v>
      </c>
      <c r="B1518" s="4" t="s">
        <v>6</v>
      </c>
      <c r="C1518" s="4" t="str">
        <f t="shared" si="57"/>
        <v>-</v>
      </c>
      <c r="D1518" s="4" t="str">
        <f>"-"</f>
        <v>-</v>
      </c>
      <c r="E1518" s="4" t="str">
        <f>"23274662"</f>
        <v>23274662</v>
      </c>
      <c r="F1518" s="4" t="s">
        <v>105</v>
      </c>
    </row>
    <row r="1519" spans="1:6" x14ac:dyDescent="0.25">
      <c r="A1519" s="4" t="str">
        <f>"IEEE Journal of Biomedical and Health Informatics"</f>
        <v>IEEE Journal of Biomedical and Health Informatics</v>
      </c>
      <c r="B1519" s="4" t="s">
        <v>6</v>
      </c>
      <c r="C1519" s="4" t="str">
        <f t="shared" si="57"/>
        <v>-</v>
      </c>
      <c r="D1519" s="4" t="str">
        <f>"21682194"</f>
        <v>21682194</v>
      </c>
      <c r="E1519" s="4" t="str">
        <f>"-"</f>
        <v>-</v>
      </c>
      <c r="F1519" s="4" t="s">
        <v>105</v>
      </c>
    </row>
    <row r="1520" spans="1:6" x14ac:dyDescent="0.25">
      <c r="A1520" s="4" t="str">
        <f>"IEEE Journal of Emerging and Selected Topics in Power Electronics"</f>
        <v>IEEE Journal of Emerging and Selected Topics in Power Electronics</v>
      </c>
      <c r="B1520" s="4" t="s">
        <v>6</v>
      </c>
      <c r="C1520" s="4" t="str">
        <f t="shared" si="57"/>
        <v>-</v>
      </c>
      <c r="D1520" s="4" t="str">
        <f>"21686777"</f>
        <v>21686777</v>
      </c>
      <c r="E1520" s="4" t="str">
        <f>"21686785"</f>
        <v>21686785</v>
      </c>
      <c r="F1520" s="4" t="s">
        <v>105</v>
      </c>
    </row>
    <row r="1521" spans="1:6" x14ac:dyDescent="0.25">
      <c r="A1521" s="4" t="str">
        <f>"IEEE Journal of Oceanic Engineering"</f>
        <v>IEEE Journal of Oceanic Engineering</v>
      </c>
      <c r="B1521" s="4" t="s">
        <v>6</v>
      </c>
      <c r="C1521" s="4" t="str">
        <f t="shared" si="57"/>
        <v>-</v>
      </c>
      <c r="D1521" s="4" t="str">
        <f>"03649059"</f>
        <v>03649059</v>
      </c>
      <c r="E1521" s="4" t="str">
        <f>"-"</f>
        <v>-</v>
      </c>
      <c r="F1521" s="4" t="s">
        <v>105</v>
      </c>
    </row>
    <row r="1522" spans="1:6" x14ac:dyDescent="0.25">
      <c r="A1522" s="4" t="str">
        <f>"IEEE Journal of Photovoltaics"</f>
        <v>IEEE Journal of Photovoltaics</v>
      </c>
      <c r="B1522" s="4" t="s">
        <v>6</v>
      </c>
      <c r="C1522" s="4" t="str">
        <f t="shared" si="57"/>
        <v>-</v>
      </c>
      <c r="D1522" s="4" t="str">
        <f>"21563381"</f>
        <v>21563381</v>
      </c>
      <c r="E1522" s="4" t="str">
        <f>"-"</f>
        <v>-</v>
      </c>
      <c r="F1522" s="4" t="s">
        <v>503</v>
      </c>
    </row>
    <row r="1523" spans="1:6" x14ac:dyDescent="0.25">
      <c r="A1523" s="4" t="str">
        <f>"IEEE Journal of Quantum Electronics"</f>
        <v>IEEE Journal of Quantum Electronics</v>
      </c>
      <c r="B1523" s="4" t="s">
        <v>6</v>
      </c>
      <c r="C1523" s="4" t="str">
        <f t="shared" si="57"/>
        <v>-</v>
      </c>
      <c r="D1523" s="4" t="str">
        <f>"00189197"</f>
        <v>00189197</v>
      </c>
      <c r="E1523" s="4" t="str">
        <f>"-"</f>
        <v>-</v>
      </c>
      <c r="F1523" s="4" t="s">
        <v>105</v>
      </c>
    </row>
    <row r="1524" spans="1:6" x14ac:dyDescent="0.25">
      <c r="A1524" s="4" t="str">
        <f>"IEEE Journal of Selected Topics in Applied Earth Observations and Remote Sensing"</f>
        <v>IEEE Journal of Selected Topics in Applied Earth Observations and Remote Sensing</v>
      </c>
      <c r="B1524" s="4" t="s">
        <v>6</v>
      </c>
      <c r="C1524" s="4" t="str">
        <f t="shared" si="57"/>
        <v>-</v>
      </c>
      <c r="D1524" s="4" t="str">
        <f>"19391404"</f>
        <v>19391404</v>
      </c>
      <c r="E1524" s="4" t="str">
        <f>"21511535"</f>
        <v>21511535</v>
      </c>
      <c r="F1524" s="4" t="s">
        <v>502</v>
      </c>
    </row>
    <row r="1525" spans="1:6" x14ac:dyDescent="0.25">
      <c r="A1525" s="4" t="str">
        <f>"IEEE Journal of Solid-State Circuits"</f>
        <v>IEEE Journal of Solid-State Circuits</v>
      </c>
      <c r="B1525" s="4" t="s">
        <v>6</v>
      </c>
      <c r="C1525" s="4" t="str">
        <f t="shared" si="57"/>
        <v>-</v>
      </c>
      <c r="D1525" s="4" t="str">
        <f>"00189200"</f>
        <v>00189200</v>
      </c>
      <c r="E1525" s="4" t="str">
        <f>"-"</f>
        <v>-</v>
      </c>
      <c r="F1525" s="4" t="s">
        <v>105</v>
      </c>
    </row>
    <row r="1526" spans="1:6" x14ac:dyDescent="0.25">
      <c r="A1526" s="4" t="str">
        <f>"IEEE Journal of the Electron Devices Society"</f>
        <v>IEEE Journal of the Electron Devices Society</v>
      </c>
      <c r="B1526" s="4" t="s">
        <v>6</v>
      </c>
      <c r="C1526" s="4" t="str">
        <f t="shared" si="57"/>
        <v>-</v>
      </c>
      <c r="D1526" s="4" t="str">
        <f>"-"</f>
        <v>-</v>
      </c>
      <c r="E1526" s="4" t="str">
        <f>"21686734"</f>
        <v>21686734</v>
      </c>
      <c r="F1526" s="4" t="s">
        <v>105</v>
      </c>
    </row>
    <row r="1527" spans="1:6" x14ac:dyDescent="0.25">
      <c r="A1527" s="4" t="str">
        <f>"IEEE Journal of Translational Engineering in Health and Medicine"</f>
        <v>IEEE Journal of Translational Engineering in Health and Medicine</v>
      </c>
      <c r="B1527" s="4" t="s">
        <v>6</v>
      </c>
      <c r="C1527" s="4" t="str">
        <f t="shared" si="57"/>
        <v>-</v>
      </c>
      <c r="D1527" s="4" t="str">
        <f>"-"</f>
        <v>-</v>
      </c>
      <c r="E1527" s="4" t="str">
        <f>"21682372"</f>
        <v>21682372</v>
      </c>
      <c r="F1527" s="4" t="s">
        <v>105</v>
      </c>
    </row>
    <row r="1528" spans="1:6" x14ac:dyDescent="0.25">
      <c r="A1528" s="4" t="str">
        <f>"IEEE Journal on Emerging and Selected Topics in Circuits and Systems"</f>
        <v>IEEE Journal on Emerging and Selected Topics in Circuits and Systems</v>
      </c>
      <c r="B1528" s="4" t="s">
        <v>6</v>
      </c>
      <c r="C1528" s="4" t="str">
        <f t="shared" si="57"/>
        <v>-</v>
      </c>
      <c r="D1528" s="4" t="str">
        <f>"21563357"</f>
        <v>21563357</v>
      </c>
      <c r="E1528" s="4" t="str">
        <f>"-"</f>
        <v>-</v>
      </c>
      <c r="F1528" s="4" t="s">
        <v>105</v>
      </c>
    </row>
    <row r="1529" spans="1:6" x14ac:dyDescent="0.25">
      <c r="A1529" s="4" t="s">
        <v>504</v>
      </c>
      <c r="B1529" s="4" t="s">
        <v>6</v>
      </c>
      <c r="C1529" s="4" t="s">
        <v>324</v>
      </c>
      <c r="E1529" s="4" t="s">
        <v>505</v>
      </c>
      <c r="F1529" s="4" t="s">
        <v>506</v>
      </c>
    </row>
    <row r="1530" spans="1:6" x14ac:dyDescent="0.25">
      <c r="A1530" s="4" t="str">
        <f>"IEEE Journal on Selected Areas in Communications"</f>
        <v>IEEE Journal on Selected Areas in Communications</v>
      </c>
      <c r="B1530" s="4" t="s">
        <v>6</v>
      </c>
      <c r="C1530" s="4" t="str">
        <f>"-"</f>
        <v>-</v>
      </c>
      <c r="D1530" s="4" t="str">
        <f>"07338716"</f>
        <v>07338716</v>
      </c>
      <c r="E1530" s="4" t="str">
        <f>"-"</f>
        <v>-</v>
      </c>
      <c r="F1530" s="4" t="s">
        <v>105</v>
      </c>
    </row>
    <row r="1531" spans="1:6" x14ac:dyDescent="0.25">
      <c r="A1531" s="4" t="str">
        <f>"IEEE Journal on Selected Topics in Quantum Electronics"</f>
        <v>IEEE Journal on Selected Topics in Quantum Electronics</v>
      </c>
      <c r="B1531" s="4" t="s">
        <v>6</v>
      </c>
      <c r="C1531" s="4" t="str">
        <f>"-"</f>
        <v>-</v>
      </c>
      <c r="D1531" s="4" t="str">
        <f>"1077260X"</f>
        <v>1077260X</v>
      </c>
      <c r="E1531" s="4" t="str">
        <f>"-"</f>
        <v>-</v>
      </c>
      <c r="F1531" s="4" t="s">
        <v>105</v>
      </c>
    </row>
    <row r="1532" spans="1:6" x14ac:dyDescent="0.25">
      <c r="A1532" s="4" t="str">
        <f>"IEEE Journal on Selected Topics in Signal Processing"</f>
        <v>IEEE Journal on Selected Topics in Signal Processing</v>
      </c>
      <c r="B1532" s="4" t="s">
        <v>6</v>
      </c>
      <c r="C1532" s="4" t="str">
        <f>"-"</f>
        <v>-</v>
      </c>
      <c r="D1532" s="4" t="str">
        <f>"19324553"</f>
        <v>19324553</v>
      </c>
      <c r="E1532" s="4" t="str">
        <f>"-"</f>
        <v>-</v>
      </c>
      <c r="F1532" s="4" t="s">
        <v>105</v>
      </c>
    </row>
    <row r="1533" spans="1:6" x14ac:dyDescent="0.25">
      <c r="A1533" s="4" t="str">
        <f>"IEEE Latin America Transactions"</f>
        <v>IEEE Latin America Transactions</v>
      </c>
      <c r="B1533" s="4" t="s">
        <v>6</v>
      </c>
      <c r="C1533" s="4" t="str">
        <f>"-"</f>
        <v>-</v>
      </c>
      <c r="D1533" s="4" t="str">
        <f>"15480992"</f>
        <v>15480992</v>
      </c>
      <c r="E1533" s="4" t="str">
        <f>"-"</f>
        <v>-</v>
      </c>
      <c r="F1533" s="4" t="s">
        <v>9</v>
      </c>
    </row>
    <row r="1534" spans="1:6" x14ac:dyDescent="0.25">
      <c r="A1534" s="4" t="s">
        <v>507</v>
      </c>
      <c r="B1534" s="4" t="s">
        <v>6</v>
      </c>
      <c r="C1534" s="4" t="s">
        <v>324</v>
      </c>
      <c r="E1534" s="4" t="s">
        <v>508</v>
      </c>
      <c r="F1534" s="4" t="s">
        <v>509</v>
      </c>
    </row>
    <row r="1535" spans="1:6" x14ac:dyDescent="0.25">
      <c r="A1535" s="4" t="str">
        <f>"IEEE Magnetics Letters"</f>
        <v>IEEE Magnetics Letters</v>
      </c>
      <c r="B1535" s="4" t="s">
        <v>6</v>
      </c>
      <c r="C1535" s="4" t="str">
        <f t="shared" ref="C1535:C1540" si="58">"-"</f>
        <v>-</v>
      </c>
      <c r="D1535" s="4" t="str">
        <f>"1949307X"</f>
        <v>1949307X</v>
      </c>
      <c r="E1535" s="4" t="str">
        <f t="shared" ref="E1535:E1540" si="59">"-"</f>
        <v>-</v>
      </c>
      <c r="F1535" s="4" t="s">
        <v>105</v>
      </c>
    </row>
    <row r="1536" spans="1:6" x14ac:dyDescent="0.25">
      <c r="A1536" s="4" t="str">
        <f>"IEEE Micro"</f>
        <v>IEEE Micro</v>
      </c>
      <c r="B1536" s="4" t="s">
        <v>6</v>
      </c>
      <c r="C1536" s="4" t="str">
        <f t="shared" si="58"/>
        <v>-</v>
      </c>
      <c r="D1536" s="4" t="str">
        <f>"02721732"</f>
        <v>02721732</v>
      </c>
      <c r="E1536" s="4" t="str">
        <f t="shared" si="59"/>
        <v>-</v>
      </c>
      <c r="F1536" s="4" t="s">
        <v>9</v>
      </c>
    </row>
    <row r="1537" spans="1:6" x14ac:dyDescent="0.25">
      <c r="A1537" s="4" t="str">
        <f>"IEEE Microwave and Wireless Components Letters"</f>
        <v>IEEE Microwave and Wireless Components Letters</v>
      </c>
      <c r="B1537" s="4" t="s">
        <v>6</v>
      </c>
      <c r="C1537" s="4" t="str">
        <f t="shared" si="58"/>
        <v>-</v>
      </c>
      <c r="D1537" s="4" t="str">
        <f>"15311309"</f>
        <v>15311309</v>
      </c>
      <c r="E1537" s="4" t="str">
        <f t="shared" si="59"/>
        <v>-</v>
      </c>
      <c r="F1537" s="4" t="s">
        <v>105</v>
      </c>
    </row>
    <row r="1538" spans="1:6" x14ac:dyDescent="0.25">
      <c r="A1538" s="4" t="str">
        <f>"IEEE Microwave Magazine"</f>
        <v>IEEE Microwave Magazine</v>
      </c>
      <c r="B1538" s="4" t="s">
        <v>6</v>
      </c>
      <c r="C1538" s="4" t="str">
        <f t="shared" si="58"/>
        <v>-</v>
      </c>
      <c r="D1538" s="4" t="str">
        <f>"15273342"</f>
        <v>15273342</v>
      </c>
      <c r="E1538" s="4" t="str">
        <f t="shared" si="59"/>
        <v>-</v>
      </c>
      <c r="F1538" s="4" t="s">
        <v>105</v>
      </c>
    </row>
    <row r="1539" spans="1:6" x14ac:dyDescent="0.25">
      <c r="A1539" s="4" t="str">
        <f>"IEEE MTT-S International Microwave Symposium Digest"</f>
        <v>IEEE MTT-S International Microwave Symposium Digest</v>
      </c>
      <c r="B1539" s="4" t="s">
        <v>8</v>
      </c>
      <c r="C1539" s="4" t="str">
        <f t="shared" si="58"/>
        <v>-</v>
      </c>
      <c r="D1539" s="4" t="str">
        <f>"0149645X"</f>
        <v>0149645X</v>
      </c>
      <c r="E1539" s="4" t="str">
        <f t="shared" si="59"/>
        <v>-</v>
      </c>
      <c r="F1539" s="4" t="s">
        <v>105</v>
      </c>
    </row>
    <row r="1540" spans="1:6" x14ac:dyDescent="0.25">
      <c r="A1540" s="4" t="str">
        <f>"IEEE Multimedia"</f>
        <v>IEEE Multimedia</v>
      </c>
      <c r="B1540" s="4" t="s">
        <v>6</v>
      </c>
      <c r="C1540" s="4" t="str">
        <f t="shared" si="58"/>
        <v>-</v>
      </c>
      <c r="D1540" s="4" t="str">
        <f>"1070986X"</f>
        <v>1070986X</v>
      </c>
      <c r="E1540" s="4" t="str">
        <f t="shared" si="59"/>
        <v>-</v>
      </c>
      <c r="F1540" s="4" t="s">
        <v>9</v>
      </c>
    </row>
    <row r="1541" spans="1:6" x14ac:dyDescent="0.25">
      <c r="A1541" s="4" t="s">
        <v>510</v>
      </c>
      <c r="B1541" s="4" t="s">
        <v>6</v>
      </c>
      <c r="C1541" s="4" t="s">
        <v>324</v>
      </c>
      <c r="E1541" s="4" t="s">
        <v>511</v>
      </c>
      <c r="F1541" s="4" t="s">
        <v>512</v>
      </c>
    </row>
    <row r="1542" spans="1:6" x14ac:dyDescent="0.25">
      <c r="A1542" s="4" t="str">
        <f>"IEEE Nanotechnology Magazine"</f>
        <v>IEEE Nanotechnology Magazine</v>
      </c>
      <c r="B1542" s="4" t="s">
        <v>6</v>
      </c>
      <c r="C1542" s="4" t="str">
        <f t="shared" ref="C1542:C1555" si="60">"-"</f>
        <v>-</v>
      </c>
      <c r="D1542" s="4" t="str">
        <f>"19324510"</f>
        <v>19324510</v>
      </c>
      <c r="E1542" s="4" t="str">
        <f t="shared" ref="E1542:E1547" si="61">"-"</f>
        <v>-</v>
      </c>
      <c r="F1542" s="4" t="s">
        <v>105</v>
      </c>
    </row>
    <row r="1543" spans="1:6" x14ac:dyDescent="0.25">
      <c r="A1543" s="4" t="str">
        <f>"IEEE National Radar Conference - Proceedings"</f>
        <v>IEEE National Radar Conference - Proceedings</v>
      </c>
      <c r="B1543" s="4" t="s">
        <v>8</v>
      </c>
      <c r="C1543" s="4" t="str">
        <f t="shared" si="60"/>
        <v>-</v>
      </c>
      <c r="D1543" s="4" t="str">
        <f>"10975659"</f>
        <v>10975659</v>
      </c>
      <c r="E1543" s="4" t="str">
        <f t="shared" si="61"/>
        <v>-</v>
      </c>
      <c r="F1543" s="4" t="s">
        <v>105</v>
      </c>
    </row>
    <row r="1544" spans="1:6" x14ac:dyDescent="0.25">
      <c r="A1544" s="4" t="str">
        <f>"IEEE Network"</f>
        <v>IEEE Network</v>
      </c>
      <c r="B1544" s="4" t="s">
        <v>6</v>
      </c>
      <c r="C1544" s="4" t="str">
        <f t="shared" si="60"/>
        <v>-</v>
      </c>
      <c r="D1544" s="4" t="str">
        <f>"08908044"</f>
        <v>08908044</v>
      </c>
      <c r="E1544" s="4" t="str">
        <f t="shared" si="61"/>
        <v>-</v>
      </c>
      <c r="F1544" s="4" t="s">
        <v>105</v>
      </c>
    </row>
    <row r="1545" spans="1:6" x14ac:dyDescent="0.25">
      <c r="A1545" s="4" t="str">
        <f>"IEEE Nonlinear Optics: Materials, Fundamentals and Applications - Conference Proceedings"</f>
        <v>IEEE Nonlinear Optics: Materials, Fundamentals and Applications - Conference Proceedings</v>
      </c>
      <c r="B1545" s="4" t="s">
        <v>8</v>
      </c>
      <c r="C1545" s="4" t="str">
        <f t="shared" si="60"/>
        <v>-</v>
      </c>
      <c r="D1545" s="4" t="str">
        <f>"-"</f>
        <v>-</v>
      </c>
      <c r="E1545" s="4" t="str">
        <f t="shared" si="61"/>
        <v>-</v>
      </c>
      <c r="F1545" s="4" t="s">
        <v>105</v>
      </c>
    </row>
    <row r="1546" spans="1:6" x14ac:dyDescent="0.25">
      <c r="A1546" s="4" t="str">
        <f>"IEEE Nuclear Science Symposium Conference Record"</f>
        <v>IEEE Nuclear Science Symposium Conference Record</v>
      </c>
      <c r="B1546" s="4" t="s">
        <v>8</v>
      </c>
      <c r="C1546" s="4" t="str">
        <f t="shared" si="60"/>
        <v>-</v>
      </c>
      <c r="D1546" s="4" t="str">
        <f>"10957863"</f>
        <v>10957863</v>
      </c>
      <c r="E1546" s="4" t="str">
        <f t="shared" si="61"/>
        <v>-</v>
      </c>
      <c r="F1546" s="4" t="s">
        <v>105</v>
      </c>
    </row>
    <row r="1547" spans="1:6" x14ac:dyDescent="0.25">
      <c r="A1547" s="4" t="str">
        <f>"IEEE Pacific RIM Conference on Communications, Computers, and Signal Processing - Proceedings"</f>
        <v>IEEE Pacific RIM Conference on Communications, Computers, and Signal Processing - Proceedings</v>
      </c>
      <c r="B1547" s="4" t="s">
        <v>8</v>
      </c>
      <c r="C1547" s="4" t="str">
        <f t="shared" si="60"/>
        <v>-</v>
      </c>
      <c r="D1547" s="4" t="str">
        <f>"-"</f>
        <v>-</v>
      </c>
      <c r="E1547" s="4" t="str">
        <f t="shared" si="61"/>
        <v>-</v>
      </c>
      <c r="F1547" s="4" t="s">
        <v>105</v>
      </c>
    </row>
    <row r="1548" spans="1:6" x14ac:dyDescent="0.25">
      <c r="A1548" s="4" t="str">
        <f>"IEEE Pacific Visualization Symposium"</f>
        <v>IEEE Pacific Visualization Symposium</v>
      </c>
      <c r="B1548" s="4" t="s">
        <v>8</v>
      </c>
      <c r="C1548" s="4" t="str">
        <f t="shared" si="60"/>
        <v>-</v>
      </c>
      <c r="D1548" s="4" t="str">
        <f>"21658765"</f>
        <v>21658765</v>
      </c>
      <c r="E1548" s="4" t="str">
        <f>"21658773"</f>
        <v>21658773</v>
      </c>
      <c r="F1548" s="4" t="s">
        <v>9</v>
      </c>
    </row>
    <row r="1549" spans="1:6" x14ac:dyDescent="0.25">
      <c r="A1549" s="4" t="str">
        <f>"IEEE Pervasive Computing"</f>
        <v>IEEE Pervasive Computing</v>
      </c>
      <c r="B1549" s="4" t="s">
        <v>6</v>
      </c>
      <c r="C1549" s="4" t="str">
        <f t="shared" si="60"/>
        <v>-</v>
      </c>
      <c r="D1549" s="4" t="str">
        <f>"15361268"</f>
        <v>15361268</v>
      </c>
      <c r="E1549" s="4" t="str">
        <f t="shared" ref="E1549:E1554" si="62">"-"</f>
        <v>-</v>
      </c>
      <c r="F1549" s="4" t="s">
        <v>105</v>
      </c>
    </row>
    <row r="1550" spans="1:6" x14ac:dyDescent="0.25">
      <c r="A1550" s="4" t="str">
        <f>"IEEE PES Innovative Smart Grid Technologies Conference Europe"</f>
        <v>IEEE PES Innovative Smart Grid Technologies Conference Europe</v>
      </c>
      <c r="B1550" s="4" t="s">
        <v>8</v>
      </c>
      <c r="C1550" s="4" t="str">
        <f t="shared" si="60"/>
        <v>-</v>
      </c>
      <c r="D1550" s="4" t="str">
        <f>"-"</f>
        <v>-</v>
      </c>
      <c r="E1550" s="4" t="str">
        <f t="shared" si="62"/>
        <v>-</v>
      </c>
      <c r="F1550" s="4" t="s">
        <v>9</v>
      </c>
    </row>
    <row r="1551" spans="1:6" x14ac:dyDescent="0.25">
      <c r="A1551" s="4" t="str">
        <f>"IEEE Photonics Journal"</f>
        <v>IEEE Photonics Journal</v>
      </c>
      <c r="B1551" s="4" t="s">
        <v>6</v>
      </c>
      <c r="C1551" s="4" t="str">
        <f t="shared" si="60"/>
        <v>-</v>
      </c>
      <c r="D1551" s="4" t="str">
        <f>"19430655"</f>
        <v>19430655</v>
      </c>
      <c r="E1551" s="4" t="str">
        <f t="shared" si="62"/>
        <v>-</v>
      </c>
      <c r="F1551" s="4" t="s">
        <v>105</v>
      </c>
    </row>
    <row r="1552" spans="1:6" x14ac:dyDescent="0.25">
      <c r="A1552" s="4" t="str">
        <f>"IEEE Photonics Technology Letters"</f>
        <v>IEEE Photonics Technology Letters</v>
      </c>
      <c r="B1552" s="4" t="s">
        <v>6</v>
      </c>
      <c r="C1552" s="4" t="str">
        <f t="shared" si="60"/>
        <v>-</v>
      </c>
      <c r="D1552" s="4" t="str">
        <f>"10411135"</f>
        <v>10411135</v>
      </c>
      <c r="E1552" s="4" t="str">
        <f t="shared" si="62"/>
        <v>-</v>
      </c>
      <c r="F1552" s="4" t="s">
        <v>105</v>
      </c>
    </row>
    <row r="1553" spans="1:6" x14ac:dyDescent="0.25">
      <c r="A1553" s="4" t="str">
        <f>"IEEE Potentials"</f>
        <v>IEEE Potentials</v>
      </c>
      <c r="B1553" s="4" t="s">
        <v>6</v>
      </c>
      <c r="C1553" s="4" t="str">
        <f t="shared" si="60"/>
        <v>-</v>
      </c>
      <c r="D1553" s="4" t="str">
        <f>"02786648"</f>
        <v>02786648</v>
      </c>
      <c r="E1553" s="4" t="str">
        <f t="shared" si="62"/>
        <v>-</v>
      </c>
      <c r="F1553" s="4" t="s">
        <v>105</v>
      </c>
    </row>
    <row r="1554" spans="1:6" x14ac:dyDescent="0.25">
      <c r="A1554" s="4" t="str">
        <f>"IEEE Power and Energy Magazine"</f>
        <v>IEEE Power and Energy Magazine</v>
      </c>
      <c r="B1554" s="4" t="s">
        <v>6</v>
      </c>
      <c r="C1554" s="4" t="str">
        <f t="shared" si="60"/>
        <v>-</v>
      </c>
      <c r="D1554" s="4" t="str">
        <f>"15407977"</f>
        <v>15407977</v>
      </c>
      <c r="E1554" s="4" t="str">
        <f t="shared" si="62"/>
        <v>-</v>
      </c>
      <c r="F1554" s="4" t="s">
        <v>105</v>
      </c>
    </row>
    <row r="1555" spans="1:6" x14ac:dyDescent="0.25">
      <c r="A1555" s="4" t="str">
        <f>"IEEE Power and Energy Society General Meeting"</f>
        <v>IEEE Power and Energy Society General Meeting</v>
      </c>
      <c r="B1555" s="4" t="s">
        <v>8</v>
      </c>
      <c r="C1555" s="4" t="str">
        <f t="shared" si="60"/>
        <v>-</v>
      </c>
      <c r="D1555" s="4" t="str">
        <f>"19449925"</f>
        <v>19449925</v>
      </c>
      <c r="E1555" s="4" t="str">
        <f>"19449933"</f>
        <v>19449933</v>
      </c>
      <c r="F1555" s="4" t="s">
        <v>9</v>
      </c>
    </row>
    <row r="1556" spans="1:6" x14ac:dyDescent="0.25">
      <c r="A1556" s="4" t="s">
        <v>513</v>
      </c>
      <c r="B1556" s="4" t="s">
        <v>6</v>
      </c>
      <c r="C1556" s="4" t="s">
        <v>324</v>
      </c>
      <c r="E1556" s="4" t="s">
        <v>514</v>
      </c>
      <c r="F1556" s="4" t="s">
        <v>515</v>
      </c>
    </row>
    <row r="1557" spans="1:6" x14ac:dyDescent="0.25">
      <c r="A1557" s="4" t="str">
        <f>"IEEE Power Electronics Magazine"</f>
        <v>IEEE Power Electronics Magazine</v>
      </c>
      <c r="B1557" s="4" t="s">
        <v>22</v>
      </c>
      <c r="C1557" s="4" t="str">
        <f t="shared" ref="C1557:C1563" si="63">"-"</f>
        <v>-</v>
      </c>
      <c r="D1557" s="4" t="str">
        <f>"23299207"</f>
        <v>23299207</v>
      </c>
      <c r="E1557" s="4" t="str">
        <f>"23299215"</f>
        <v>23299215</v>
      </c>
      <c r="F1557" s="4" t="s">
        <v>105</v>
      </c>
    </row>
    <row r="1558" spans="1:6" x14ac:dyDescent="0.25">
      <c r="A1558" s="4" t="str">
        <f>"IEEE Power Industry Computer Applications Conference"</f>
        <v>IEEE Power Industry Computer Applications Conference</v>
      </c>
      <c r="B1558" s="4" t="s">
        <v>8</v>
      </c>
      <c r="C1558" s="4" t="str">
        <f t="shared" si="63"/>
        <v>-</v>
      </c>
      <c r="D1558" s="4" t="str">
        <f>"-"</f>
        <v>-</v>
      </c>
      <c r="E1558" s="4" t="str">
        <f>"-"</f>
        <v>-</v>
      </c>
      <c r="F1558" s="4" t="s">
        <v>105</v>
      </c>
    </row>
    <row r="1559" spans="1:6" x14ac:dyDescent="0.25">
      <c r="A1559" s="4" t="str">
        <f>"IEEE Pulse"</f>
        <v>IEEE Pulse</v>
      </c>
      <c r="B1559" s="4" t="s">
        <v>6</v>
      </c>
      <c r="C1559" s="4" t="str">
        <f t="shared" si="63"/>
        <v>-</v>
      </c>
      <c r="D1559" s="4" t="str">
        <f>"21542287"</f>
        <v>21542287</v>
      </c>
      <c r="E1559" s="4" t="str">
        <f>"-"</f>
        <v>-</v>
      </c>
      <c r="F1559" s="4" t="s">
        <v>105</v>
      </c>
    </row>
    <row r="1560" spans="1:6" x14ac:dyDescent="0.25">
      <c r="A1560" s="4" t="str">
        <f>"IEEE Radiation Effects Data Workshop"</f>
        <v>IEEE Radiation Effects Data Workshop</v>
      </c>
      <c r="B1560" s="4" t="s">
        <v>8</v>
      </c>
      <c r="C1560" s="4" t="str">
        <f t="shared" si="63"/>
        <v>-</v>
      </c>
      <c r="D1560" s="4" t="str">
        <f>"-"</f>
        <v>-</v>
      </c>
      <c r="E1560" s="4" t="str">
        <f>"-"</f>
        <v>-</v>
      </c>
      <c r="F1560" s="4" t="s">
        <v>105</v>
      </c>
    </row>
    <row r="1561" spans="1:6" x14ac:dyDescent="0.25">
      <c r="A1561" s="4" t="str">
        <f>"IEEE Radio and Wireless Symposium, RWS"</f>
        <v>IEEE Radio and Wireless Symposium, RWS</v>
      </c>
      <c r="B1561" s="4" t="s">
        <v>8</v>
      </c>
      <c r="C1561" s="4" t="str">
        <f t="shared" si="63"/>
        <v>-</v>
      </c>
      <c r="D1561" s="4" t="str">
        <f>"21642958"</f>
        <v>21642958</v>
      </c>
      <c r="E1561" s="4" t="str">
        <f>"21642974"</f>
        <v>21642974</v>
      </c>
      <c r="F1561" s="4" t="s">
        <v>9</v>
      </c>
    </row>
    <row r="1562" spans="1:6" x14ac:dyDescent="0.25">
      <c r="A1562" s="4" t="str">
        <f>"IEEE Region 10 Annual International Conference, Proceedings/TENCON"</f>
        <v>IEEE Region 10 Annual International Conference, Proceedings/TENCON</v>
      </c>
      <c r="B1562" s="4" t="s">
        <v>8</v>
      </c>
      <c r="C1562" s="4" t="str">
        <f t="shared" si="63"/>
        <v>-</v>
      </c>
      <c r="D1562" s="4" t="str">
        <f>"21593442"</f>
        <v>21593442</v>
      </c>
      <c r="E1562" s="4" t="str">
        <f>"21593450"</f>
        <v>21593450</v>
      </c>
      <c r="F1562" s="4" t="s">
        <v>105</v>
      </c>
    </row>
    <row r="1563" spans="1:6" x14ac:dyDescent="0.25">
      <c r="A1563" s="4" t="str">
        <f>"IEEE Reviews in Biomedical Engineering"</f>
        <v>IEEE Reviews in Biomedical Engineering</v>
      </c>
      <c r="B1563" s="4" t="s">
        <v>6</v>
      </c>
      <c r="C1563" s="4" t="str">
        <f t="shared" si="63"/>
        <v>-</v>
      </c>
      <c r="D1563" s="4" t="str">
        <f>"19373333"</f>
        <v>19373333</v>
      </c>
      <c r="E1563" s="4" t="str">
        <f>"19411189"</f>
        <v>19411189</v>
      </c>
      <c r="F1563" s="4" t="s">
        <v>502</v>
      </c>
    </row>
    <row r="1564" spans="1:6" x14ac:dyDescent="0.25">
      <c r="A1564" s="4" t="s">
        <v>516</v>
      </c>
      <c r="B1564" s="4" t="s">
        <v>6</v>
      </c>
      <c r="C1564" s="4" t="s">
        <v>324</v>
      </c>
      <c r="E1564" s="4" t="s">
        <v>517</v>
      </c>
      <c r="F1564" s="4" t="s">
        <v>518</v>
      </c>
    </row>
    <row r="1565" spans="1:6" x14ac:dyDescent="0.25">
      <c r="A1565" s="4" t="str">
        <f>"IEEE Robotics and Automation Magazine"</f>
        <v>IEEE Robotics and Automation Magazine</v>
      </c>
      <c r="B1565" s="4" t="s">
        <v>6</v>
      </c>
      <c r="C1565" s="4" t="str">
        <f t="shared" ref="C1565:C1628" si="64">"-"</f>
        <v>-</v>
      </c>
      <c r="D1565" s="4" t="str">
        <f>"10709932"</f>
        <v>10709932</v>
      </c>
      <c r="E1565" s="4" t="str">
        <f>"-"</f>
        <v>-</v>
      </c>
      <c r="F1565" s="4" t="s">
        <v>105</v>
      </c>
    </row>
    <row r="1566" spans="1:6" x14ac:dyDescent="0.25">
      <c r="A1566" s="4" t="str">
        <f>"IEEE Security and Privacy"</f>
        <v>IEEE Security and Privacy</v>
      </c>
      <c r="B1566" s="4" t="s">
        <v>6</v>
      </c>
      <c r="C1566" s="4" t="str">
        <f t="shared" si="64"/>
        <v>-</v>
      </c>
      <c r="D1566" s="4" t="str">
        <f>"15407993"</f>
        <v>15407993</v>
      </c>
      <c r="E1566" s="4" t="str">
        <f>"15584046"</f>
        <v>15584046</v>
      </c>
      <c r="F1566" s="4" t="s">
        <v>105</v>
      </c>
    </row>
    <row r="1567" spans="1:6" x14ac:dyDescent="0.25">
      <c r="A1567" s="4" t="str">
        <f>"IEEE Semiconducting and Semi-Insulating Materials Conference, SIMC"</f>
        <v>IEEE Semiconducting and Semi-Insulating Materials Conference, SIMC</v>
      </c>
      <c r="B1567" s="4" t="s">
        <v>8</v>
      </c>
      <c r="C1567" s="4" t="str">
        <f t="shared" si="64"/>
        <v>-</v>
      </c>
      <c r="D1567" s="4" t="str">
        <f>"-"</f>
        <v>-</v>
      </c>
      <c r="E1567" s="4" t="str">
        <f>"-"</f>
        <v>-</v>
      </c>
      <c r="F1567" s="4" t="s">
        <v>105</v>
      </c>
    </row>
    <row r="1568" spans="1:6" x14ac:dyDescent="0.25">
      <c r="A1568" s="4" t="str">
        <f>"IEEE Sensors Journal"</f>
        <v>IEEE Sensors Journal</v>
      </c>
      <c r="B1568" s="4" t="s">
        <v>6</v>
      </c>
      <c r="C1568" s="4" t="str">
        <f t="shared" si="64"/>
        <v>-</v>
      </c>
      <c r="D1568" s="4" t="str">
        <f>"1530437X"</f>
        <v>1530437X</v>
      </c>
      <c r="E1568" s="4" t="str">
        <f t="shared" ref="E1568:E1573" si="65">"-"</f>
        <v>-</v>
      </c>
      <c r="F1568" s="4" t="s">
        <v>105</v>
      </c>
    </row>
    <row r="1569" spans="1:6" x14ac:dyDescent="0.25">
      <c r="A1569" s="4" t="str">
        <f>"IEEE Signal Processing Letters"</f>
        <v>IEEE Signal Processing Letters</v>
      </c>
      <c r="B1569" s="4" t="s">
        <v>6</v>
      </c>
      <c r="C1569" s="4" t="str">
        <f t="shared" si="64"/>
        <v>-</v>
      </c>
      <c r="D1569" s="4" t="str">
        <f>"10709908"</f>
        <v>10709908</v>
      </c>
      <c r="E1569" s="4" t="str">
        <f t="shared" si="65"/>
        <v>-</v>
      </c>
      <c r="F1569" s="4" t="s">
        <v>105</v>
      </c>
    </row>
    <row r="1570" spans="1:6" x14ac:dyDescent="0.25">
      <c r="A1570" s="4" t="str">
        <f>"IEEE Signal Processing Magazine"</f>
        <v>IEEE Signal Processing Magazine</v>
      </c>
      <c r="B1570" s="4" t="s">
        <v>6</v>
      </c>
      <c r="C1570" s="4" t="str">
        <f t="shared" si="64"/>
        <v>-</v>
      </c>
      <c r="D1570" s="4" t="str">
        <f>"10535888"</f>
        <v>10535888</v>
      </c>
      <c r="E1570" s="4" t="str">
        <f t="shared" si="65"/>
        <v>-</v>
      </c>
      <c r="F1570" s="4" t="s">
        <v>105</v>
      </c>
    </row>
    <row r="1571" spans="1:6" x14ac:dyDescent="0.25">
      <c r="A1571" s="4" t="str">
        <f>"IEEE Software"</f>
        <v>IEEE Software</v>
      </c>
      <c r="B1571" s="4" t="s">
        <v>6</v>
      </c>
      <c r="C1571" s="4" t="str">
        <f t="shared" si="64"/>
        <v>-</v>
      </c>
      <c r="D1571" s="4" t="str">
        <f>"07407459"</f>
        <v>07407459</v>
      </c>
      <c r="E1571" s="4" t="str">
        <f t="shared" si="65"/>
        <v>-</v>
      </c>
      <c r="F1571" s="4" t="s">
        <v>9</v>
      </c>
    </row>
    <row r="1572" spans="1:6" x14ac:dyDescent="0.25">
      <c r="A1572" s="4" t="str">
        <f>"IEEE Solid-State Circuits Magazine"</f>
        <v>IEEE Solid-State Circuits Magazine</v>
      </c>
      <c r="B1572" s="4" t="s">
        <v>22</v>
      </c>
      <c r="C1572" s="4" t="str">
        <f t="shared" si="64"/>
        <v>-</v>
      </c>
      <c r="D1572" s="4" t="str">
        <f>"19430582"</f>
        <v>19430582</v>
      </c>
      <c r="E1572" s="4" t="str">
        <f t="shared" si="65"/>
        <v>-</v>
      </c>
      <c r="F1572" s="4" t="s">
        <v>105</v>
      </c>
    </row>
    <row r="1573" spans="1:6" x14ac:dyDescent="0.25">
      <c r="A1573" s="4" t="str">
        <f>"IEEE Spectrum"</f>
        <v>IEEE Spectrum</v>
      </c>
      <c r="B1573" s="4" t="s">
        <v>6</v>
      </c>
      <c r="C1573" s="4" t="str">
        <f t="shared" si="64"/>
        <v>-</v>
      </c>
      <c r="D1573" s="4" t="str">
        <f>"00189235"</f>
        <v>00189235</v>
      </c>
      <c r="E1573" s="4" t="str">
        <f t="shared" si="65"/>
        <v>-</v>
      </c>
      <c r="F1573" s="4" t="s">
        <v>105</v>
      </c>
    </row>
    <row r="1574" spans="1:6" x14ac:dyDescent="0.25">
      <c r="A1574" s="4" t="str">
        <f>"IEEE Symposium on Adaptive Dynamic Programming and Reinforcement Learning, ADPRL"</f>
        <v>IEEE Symposium on Adaptive Dynamic Programming and Reinforcement Learning, ADPRL</v>
      </c>
      <c r="B1574" s="4" t="s">
        <v>8</v>
      </c>
      <c r="C1574" s="4" t="str">
        <f t="shared" si="64"/>
        <v>-</v>
      </c>
      <c r="D1574" s="4" t="str">
        <f>"23251824"</f>
        <v>23251824</v>
      </c>
      <c r="E1574" s="4" t="str">
        <f>"23251867"</f>
        <v>23251867</v>
      </c>
      <c r="F1574" s="4" t="s">
        <v>9</v>
      </c>
    </row>
    <row r="1575" spans="1:6" x14ac:dyDescent="0.25">
      <c r="A1575" s="4" t="str">
        <f>"IEEE Symposium on Artificial Life (ALIFE)"</f>
        <v>IEEE Symposium on Artificial Life (ALIFE)</v>
      </c>
      <c r="B1575" s="4" t="s">
        <v>8</v>
      </c>
      <c r="C1575" s="4" t="str">
        <f t="shared" si="64"/>
        <v>-</v>
      </c>
      <c r="D1575" s="4" t="str">
        <f>"21606374"</f>
        <v>21606374</v>
      </c>
      <c r="E1575" s="4" t="str">
        <f>"21606382"</f>
        <v>21606382</v>
      </c>
      <c r="F1575" s="4" t="s">
        <v>105</v>
      </c>
    </row>
    <row r="1576" spans="1:6" x14ac:dyDescent="0.25">
      <c r="A1576" s="4" t="str">
        <f>"IEEE Symposium on Computational Intelligence Applications in Smart Grid, CIASG"</f>
        <v>IEEE Symposium on Computational Intelligence Applications in Smart Grid, CIASG</v>
      </c>
      <c r="B1576" s="4" t="s">
        <v>8</v>
      </c>
      <c r="C1576" s="4" t="str">
        <f t="shared" si="64"/>
        <v>-</v>
      </c>
      <c r="D1576" s="4" t="str">
        <f>"23267682"</f>
        <v>23267682</v>
      </c>
      <c r="E1576" s="4" t="str">
        <f>"23267690"</f>
        <v>23267690</v>
      </c>
      <c r="F1576" s="4" t="s">
        <v>9</v>
      </c>
    </row>
    <row r="1577" spans="1:6" x14ac:dyDescent="0.25">
      <c r="A1577" s="4" t="str">
        <f>"IEEE Symposium on FPGAs for Custom Computing Machines, Proceedings"</f>
        <v>IEEE Symposium on FPGAs for Custom Computing Machines, Proceedings</v>
      </c>
      <c r="B1577" s="4" t="s">
        <v>8</v>
      </c>
      <c r="C1577" s="4" t="str">
        <f t="shared" si="64"/>
        <v>-</v>
      </c>
      <c r="D1577" s="4" t="str">
        <f>"10823409"</f>
        <v>10823409</v>
      </c>
      <c r="E1577" s="4" t="str">
        <f>"-"</f>
        <v>-</v>
      </c>
      <c r="F1577" s="4" t="s">
        <v>105</v>
      </c>
    </row>
    <row r="1578" spans="1:6" x14ac:dyDescent="0.25">
      <c r="A1578" s="4" t="str">
        <f>"IEEE Symposium on Mass Storage Systems and Technologies"</f>
        <v>IEEE Symposium on Mass Storage Systems and Technologies</v>
      </c>
      <c r="B1578" s="4" t="s">
        <v>8</v>
      </c>
      <c r="C1578" s="4" t="str">
        <f t="shared" si="64"/>
        <v>-</v>
      </c>
      <c r="D1578" s="4" t="str">
        <f>"21601968"</f>
        <v>21601968</v>
      </c>
      <c r="E1578" s="4" t="str">
        <f>"-"</f>
        <v>-</v>
      </c>
      <c r="F1578" s="4" t="s">
        <v>9</v>
      </c>
    </row>
    <row r="1579" spans="1:6" x14ac:dyDescent="0.25">
      <c r="A1579" s="4" t="str">
        <f>"IEEE Symposium on Visual Languages, Proceedings"</f>
        <v>IEEE Symposium on Visual Languages, Proceedings</v>
      </c>
      <c r="B1579" s="4" t="s">
        <v>8</v>
      </c>
      <c r="C1579" s="4" t="str">
        <f t="shared" si="64"/>
        <v>-</v>
      </c>
      <c r="D1579" s="4" t="str">
        <f>"10492615"</f>
        <v>10492615</v>
      </c>
      <c r="E1579" s="4" t="str">
        <f>"-"</f>
        <v>-</v>
      </c>
      <c r="F1579" s="4" t="s">
        <v>9</v>
      </c>
    </row>
    <row r="1580" spans="1:6" x14ac:dyDescent="0.25">
      <c r="A1580" s="4" t="str">
        <f>"IEEE Symposium on VLSI Circuits, Digest of Technical Papers"</f>
        <v>IEEE Symposium on VLSI Circuits, Digest of Technical Papers</v>
      </c>
      <c r="B1580" s="4" t="s">
        <v>8</v>
      </c>
      <c r="C1580" s="4" t="str">
        <f t="shared" si="64"/>
        <v>-</v>
      </c>
      <c r="D1580" s="4" t="str">
        <f>"-"</f>
        <v>-</v>
      </c>
      <c r="E1580" s="4" t="str">
        <f>"-"</f>
        <v>-</v>
      </c>
      <c r="F1580" s="4" t="s">
        <v>105</v>
      </c>
    </row>
    <row r="1581" spans="1:6" x14ac:dyDescent="0.25">
      <c r="A1581" s="4" t="str">
        <f>"IEEE Symposium on Web Society"</f>
        <v>IEEE Symposium on Web Society</v>
      </c>
      <c r="B1581" s="4" t="s">
        <v>8</v>
      </c>
      <c r="C1581" s="4" t="str">
        <f t="shared" si="64"/>
        <v>-</v>
      </c>
      <c r="D1581" s="4" t="str">
        <f>"21586985"</f>
        <v>21586985</v>
      </c>
      <c r="E1581" s="4" t="str">
        <f>"21586993"</f>
        <v>21586993</v>
      </c>
      <c r="F1581" s="4" t="s">
        <v>9</v>
      </c>
    </row>
    <row r="1582" spans="1:6" x14ac:dyDescent="0.25">
      <c r="A1582" s="4" t="str">
        <f>"IEEE Symposium on Wireless Technology and Applications, ISWTA"</f>
        <v>IEEE Symposium on Wireless Technology and Applications, ISWTA</v>
      </c>
      <c r="B1582" s="4" t="s">
        <v>8</v>
      </c>
      <c r="C1582" s="4" t="str">
        <f t="shared" si="64"/>
        <v>-</v>
      </c>
      <c r="D1582" s="4" t="str">
        <f>"23247843"</f>
        <v>23247843</v>
      </c>
      <c r="E1582" s="4" t="str">
        <f>"23247851"</f>
        <v>23247851</v>
      </c>
      <c r="F1582" s="4" t="s">
        <v>9</v>
      </c>
    </row>
    <row r="1583" spans="1:6" x14ac:dyDescent="0.25">
      <c r="A1583" s="4" t="str">
        <f>"IEEE Symposium Record on Network Operations and Management Symposium"</f>
        <v>IEEE Symposium Record on Network Operations and Management Symposium</v>
      </c>
      <c r="B1583" s="4" t="s">
        <v>8</v>
      </c>
      <c r="C1583" s="4" t="str">
        <f t="shared" si="64"/>
        <v>-</v>
      </c>
      <c r="D1583" s="4" t="str">
        <f>"-"</f>
        <v>-</v>
      </c>
      <c r="E1583" s="4" t="str">
        <f>"-"</f>
        <v>-</v>
      </c>
      <c r="F1583" s="4" t="s">
        <v>105</v>
      </c>
    </row>
    <row r="1584" spans="1:6" x14ac:dyDescent="0.25">
      <c r="A1584" s="4" t="str">
        <f>"IEEE Systems Journal"</f>
        <v>IEEE Systems Journal</v>
      </c>
      <c r="B1584" s="4" t="s">
        <v>6</v>
      </c>
      <c r="C1584" s="4" t="str">
        <f t="shared" si="64"/>
        <v>-</v>
      </c>
      <c r="D1584" s="4" t="str">
        <f>"19328184"</f>
        <v>19328184</v>
      </c>
      <c r="E1584" s="4" t="str">
        <f>"19379234"</f>
        <v>19379234</v>
      </c>
      <c r="F1584" s="4" t="s">
        <v>105</v>
      </c>
    </row>
    <row r="1585" spans="1:6" x14ac:dyDescent="0.25">
      <c r="A1585" s="4" t="str">
        <f>"IEEE Systems, Man and Cybernetics Magazine"</f>
        <v>IEEE Systems, Man and Cybernetics Magazine</v>
      </c>
      <c r="B1585" s="4" t="s">
        <v>22</v>
      </c>
      <c r="C1585" s="4" t="str">
        <f t="shared" si="64"/>
        <v>-</v>
      </c>
      <c r="D1585" s="4" t="str">
        <f>"-"</f>
        <v>-</v>
      </c>
      <c r="E1585" s="4" t="str">
        <f>"2333942X"</f>
        <v>2333942X</v>
      </c>
      <c r="F1585" s="4" t="s">
        <v>105</v>
      </c>
    </row>
    <row r="1586" spans="1:6" x14ac:dyDescent="0.25">
      <c r="A1586" s="4" t="str">
        <f>"IEEE Technology and Society Magazine"</f>
        <v>IEEE Technology and Society Magazine</v>
      </c>
      <c r="B1586" s="4" t="s">
        <v>6</v>
      </c>
      <c r="C1586" s="4" t="str">
        <f t="shared" si="64"/>
        <v>-</v>
      </c>
      <c r="D1586" s="4" t="str">
        <f>"02780097"</f>
        <v>02780097</v>
      </c>
      <c r="E1586" s="4" t="str">
        <f t="shared" ref="E1586:E1595" si="66">"-"</f>
        <v>-</v>
      </c>
      <c r="F1586" s="4" t="s">
        <v>105</v>
      </c>
    </row>
    <row r="1587" spans="1:6" x14ac:dyDescent="0.25">
      <c r="A1587" s="4" t="str">
        <f>"IEEE Topical Meeting on Electrical Performance of Electronic Packaging"</f>
        <v>IEEE Topical Meeting on Electrical Performance of Electronic Packaging</v>
      </c>
      <c r="B1587" s="4" t="s">
        <v>8</v>
      </c>
      <c r="C1587" s="4" t="str">
        <f t="shared" si="64"/>
        <v>-</v>
      </c>
      <c r="D1587" s="4" t="str">
        <f>"-"</f>
        <v>-</v>
      </c>
      <c r="E1587" s="4" t="str">
        <f t="shared" si="66"/>
        <v>-</v>
      </c>
      <c r="F1587" s="4" t="s">
        <v>105</v>
      </c>
    </row>
    <row r="1588" spans="1:6" x14ac:dyDescent="0.25">
      <c r="A1588" s="4" t="str">
        <f>"IEEE Transactions on Aerospace and Electronic Systems"</f>
        <v>IEEE Transactions on Aerospace and Electronic Systems</v>
      </c>
      <c r="B1588" s="4" t="s">
        <v>6</v>
      </c>
      <c r="C1588" s="4" t="str">
        <f t="shared" si="64"/>
        <v>-</v>
      </c>
      <c r="D1588" s="4" t="str">
        <f>"00189251"</f>
        <v>00189251</v>
      </c>
      <c r="E1588" s="4" t="str">
        <f t="shared" si="66"/>
        <v>-</v>
      </c>
      <c r="F1588" s="4" t="s">
        <v>105</v>
      </c>
    </row>
    <row r="1589" spans="1:6" x14ac:dyDescent="0.25">
      <c r="A1589" s="4" t="str">
        <f>"IEEE Transactions on Affective Computing"</f>
        <v>IEEE Transactions on Affective Computing</v>
      </c>
      <c r="B1589" s="4" t="s">
        <v>6</v>
      </c>
      <c r="C1589" s="4" t="str">
        <f t="shared" si="64"/>
        <v>-</v>
      </c>
      <c r="D1589" s="4" t="str">
        <f>"19493045"</f>
        <v>19493045</v>
      </c>
      <c r="E1589" s="4" t="str">
        <f t="shared" si="66"/>
        <v>-</v>
      </c>
      <c r="F1589" s="4" t="s">
        <v>105</v>
      </c>
    </row>
    <row r="1590" spans="1:6" x14ac:dyDescent="0.25">
      <c r="A1590" s="4" t="str">
        <f>"IEEE Transactions on Antennas and Propagation"</f>
        <v>IEEE Transactions on Antennas and Propagation</v>
      </c>
      <c r="B1590" s="4" t="s">
        <v>6</v>
      </c>
      <c r="C1590" s="4" t="str">
        <f t="shared" si="64"/>
        <v>-</v>
      </c>
      <c r="D1590" s="4" t="str">
        <f>"0018926X"</f>
        <v>0018926X</v>
      </c>
      <c r="E1590" s="4" t="str">
        <f t="shared" si="66"/>
        <v>-</v>
      </c>
      <c r="F1590" s="4" t="s">
        <v>105</v>
      </c>
    </row>
    <row r="1591" spans="1:6" x14ac:dyDescent="0.25">
      <c r="A1591" s="4" t="str">
        <f>"IEEE Transactions on Applied Superconductivity"</f>
        <v>IEEE Transactions on Applied Superconductivity</v>
      </c>
      <c r="B1591" s="4" t="s">
        <v>6</v>
      </c>
      <c r="C1591" s="4" t="str">
        <f t="shared" si="64"/>
        <v>-</v>
      </c>
      <c r="D1591" s="4" t="str">
        <f>"10518223"</f>
        <v>10518223</v>
      </c>
      <c r="E1591" s="4" t="str">
        <f t="shared" si="66"/>
        <v>-</v>
      </c>
      <c r="F1591" s="4" t="s">
        <v>105</v>
      </c>
    </row>
    <row r="1592" spans="1:6" x14ac:dyDescent="0.25">
      <c r="A1592" s="4" t="str">
        <f>"IEEE Transactions on Audio, Speech and Language Processing"</f>
        <v>IEEE Transactions on Audio, Speech and Language Processing</v>
      </c>
      <c r="B1592" s="4" t="s">
        <v>6</v>
      </c>
      <c r="C1592" s="4" t="str">
        <f t="shared" si="64"/>
        <v>-</v>
      </c>
      <c r="D1592" s="4" t="str">
        <f>"15587916"</f>
        <v>15587916</v>
      </c>
      <c r="E1592" s="4" t="str">
        <f t="shared" si="66"/>
        <v>-</v>
      </c>
      <c r="F1592" s="4" t="s">
        <v>105</v>
      </c>
    </row>
    <row r="1593" spans="1:6" x14ac:dyDescent="0.25">
      <c r="A1593" s="4" t="str">
        <f>"IEEE Transactions on Automatic Control"</f>
        <v>IEEE Transactions on Automatic Control</v>
      </c>
      <c r="B1593" s="4" t="s">
        <v>6</v>
      </c>
      <c r="C1593" s="4" t="str">
        <f t="shared" si="64"/>
        <v>-</v>
      </c>
      <c r="D1593" s="4" t="str">
        <f>"00189286"</f>
        <v>00189286</v>
      </c>
      <c r="E1593" s="4" t="str">
        <f t="shared" si="66"/>
        <v>-</v>
      </c>
      <c r="F1593" s="4" t="s">
        <v>105</v>
      </c>
    </row>
    <row r="1594" spans="1:6" x14ac:dyDescent="0.25">
      <c r="A1594" s="4" t="str">
        <f>"IEEE Transactions on Automation Science and Engineering"</f>
        <v>IEEE Transactions on Automation Science and Engineering</v>
      </c>
      <c r="B1594" s="4" t="s">
        <v>6</v>
      </c>
      <c r="C1594" s="4" t="str">
        <f t="shared" si="64"/>
        <v>-</v>
      </c>
      <c r="D1594" s="4" t="str">
        <f>"15455955"</f>
        <v>15455955</v>
      </c>
      <c r="E1594" s="4" t="str">
        <f t="shared" si="66"/>
        <v>-</v>
      </c>
      <c r="F1594" s="4" t="s">
        <v>105</v>
      </c>
    </row>
    <row r="1595" spans="1:6" x14ac:dyDescent="0.25">
      <c r="A1595" s="4" t="str">
        <f>"IEEE Transactions on Autonomous Mental Development"</f>
        <v>IEEE Transactions on Autonomous Mental Development</v>
      </c>
      <c r="B1595" s="4" t="s">
        <v>6</v>
      </c>
      <c r="C1595" s="4" t="str">
        <f t="shared" si="64"/>
        <v>-</v>
      </c>
      <c r="D1595" s="4" t="str">
        <f>"19430604"</f>
        <v>19430604</v>
      </c>
      <c r="E1595" s="4" t="str">
        <f t="shared" si="66"/>
        <v>-</v>
      </c>
      <c r="F1595" s="4" t="s">
        <v>105</v>
      </c>
    </row>
    <row r="1596" spans="1:6" x14ac:dyDescent="0.25">
      <c r="A1596" s="4" t="str">
        <f>"IEEE Transactions on Big Data"</f>
        <v>IEEE Transactions on Big Data</v>
      </c>
      <c r="B1596" s="4" t="s">
        <v>6</v>
      </c>
      <c r="C1596" s="4" t="str">
        <f t="shared" si="64"/>
        <v>-</v>
      </c>
      <c r="D1596" s="4" t="str">
        <f>"-"</f>
        <v>-</v>
      </c>
      <c r="E1596" s="4" t="str">
        <f>"23327790"</f>
        <v>23327790</v>
      </c>
      <c r="F1596" s="4" t="s">
        <v>105</v>
      </c>
    </row>
    <row r="1597" spans="1:6" x14ac:dyDescent="0.25">
      <c r="A1597" s="4" t="str">
        <f>"IEEE Transactions on Biomedical Circuits and Systems"</f>
        <v>IEEE Transactions on Biomedical Circuits and Systems</v>
      </c>
      <c r="B1597" s="4" t="s">
        <v>6</v>
      </c>
      <c r="C1597" s="4" t="str">
        <f t="shared" si="64"/>
        <v>-</v>
      </c>
      <c r="D1597" s="4" t="str">
        <f>"19324545"</f>
        <v>19324545</v>
      </c>
      <c r="E1597" s="4" t="str">
        <f>"-"</f>
        <v>-</v>
      </c>
      <c r="F1597" s="4" t="s">
        <v>105</v>
      </c>
    </row>
    <row r="1598" spans="1:6" x14ac:dyDescent="0.25">
      <c r="A1598" s="4" t="str">
        <f>"IEEE Transactions on Biomedical Engineering"</f>
        <v>IEEE Transactions on Biomedical Engineering</v>
      </c>
      <c r="B1598" s="4" t="s">
        <v>6</v>
      </c>
      <c r="C1598" s="4" t="str">
        <f t="shared" si="64"/>
        <v>-</v>
      </c>
      <c r="D1598" s="4" t="str">
        <f>"00189294"</f>
        <v>00189294</v>
      </c>
      <c r="E1598" s="4" t="str">
        <f>"15582531"</f>
        <v>15582531</v>
      </c>
      <c r="F1598" s="4" t="s">
        <v>9</v>
      </c>
    </row>
    <row r="1599" spans="1:6" x14ac:dyDescent="0.25">
      <c r="A1599" s="4" t="str">
        <f>"IEEE Transactions on Broadcasting"</f>
        <v>IEEE Transactions on Broadcasting</v>
      </c>
      <c r="B1599" s="4" t="s">
        <v>6</v>
      </c>
      <c r="C1599" s="4" t="str">
        <f t="shared" si="64"/>
        <v>-</v>
      </c>
      <c r="D1599" s="4" t="str">
        <f>"00189316"</f>
        <v>00189316</v>
      </c>
      <c r="E1599" s="4" t="str">
        <f>"-"</f>
        <v>-</v>
      </c>
      <c r="F1599" s="4" t="s">
        <v>105</v>
      </c>
    </row>
    <row r="1600" spans="1:6" x14ac:dyDescent="0.25">
      <c r="A1600" s="4" t="str">
        <f>"IEEE Transactions on Circuits and Systems for Video Technology"</f>
        <v>IEEE Transactions on Circuits and Systems for Video Technology</v>
      </c>
      <c r="B1600" s="4" t="s">
        <v>6</v>
      </c>
      <c r="C1600" s="4" t="str">
        <f t="shared" si="64"/>
        <v>-</v>
      </c>
      <c r="D1600" s="4" t="str">
        <f>"10518215"</f>
        <v>10518215</v>
      </c>
      <c r="E1600" s="4" t="str">
        <f>"-"</f>
        <v>-</v>
      </c>
      <c r="F1600" s="4" t="s">
        <v>105</v>
      </c>
    </row>
    <row r="1601" spans="1:6" x14ac:dyDescent="0.25">
      <c r="A1601" s="4" t="str">
        <f>"IEEE Transactions on Circuits and Systems I: Regular Papers"</f>
        <v>IEEE Transactions on Circuits and Systems I: Regular Papers</v>
      </c>
      <c r="B1601" s="4" t="s">
        <v>6</v>
      </c>
      <c r="C1601" s="4" t="str">
        <f t="shared" si="64"/>
        <v>-</v>
      </c>
      <c r="D1601" s="4" t="str">
        <f>"15498328"</f>
        <v>15498328</v>
      </c>
      <c r="E1601" s="4" t="str">
        <f>"-"</f>
        <v>-</v>
      </c>
      <c r="F1601" s="4" t="s">
        <v>105</v>
      </c>
    </row>
    <row r="1602" spans="1:6" x14ac:dyDescent="0.25">
      <c r="A1602" s="4" t="str">
        <f>"IEEE Transactions on Circuits and Systems II: Express Briefs"</f>
        <v>IEEE Transactions on Circuits and Systems II: Express Briefs</v>
      </c>
      <c r="B1602" s="4" t="s">
        <v>6</v>
      </c>
      <c r="C1602" s="4" t="str">
        <f t="shared" si="64"/>
        <v>-</v>
      </c>
      <c r="D1602" s="4" t="str">
        <f>"15497747"</f>
        <v>15497747</v>
      </c>
      <c r="E1602" s="4" t="str">
        <f>"-"</f>
        <v>-</v>
      </c>
      <c r="F1602" s="4" t="s">
        <v>105</v>
      </c>
    </row>
    <row r="1603" spans="1:6" x14ac:dyDescent="0.25">
      <c r="A1603" s="4" t="str">
        <f>"IEEE Transactions on Cloud Computing"</f>
        <v>IEEE Transactions on Cloud Computing</v>
      </c>
      <c r="B1603" s="4" t="s">
        <v>6</v>
      </c>
      <c r="C1603" s="4" t="str">
        <f t="shared" si="64"/>
        <v>-</v>
      </c>
      <c r="D1603" s="4" t="str">
        <f>"-"</f>
        <v>-</v>
      </c>
      <c r="E1603" s="4" t="str">
        <f>"21687161"</f>
        <v>21687161</v>
      </c>
      <c r="F1603" s="4" t="s">
        <v>105</v>
      </c>
    </row>
    <row r="1604" spans="1:6" x14ac:dyDescent="0.25">
      <c r="A1604" s="4" t="str">
        <f>"IEEE Transactions on Cognitive Communications and Networking"</f>
        <v>IEEE Transactions on Cognitive Communications and Networking</v>
      </c>
      <c r="B1604" s="4" t="s">
        <v>6</v>
      </c>
      <c r="C1604" s="4" t="str">
        <f t="shared" si="64"/>
        <v>-</v>
      </c>
      <c r="D1604" s="4" t="str">
        <f>"-"</f>
        <v>-</v>
      </c>
      <c r="E1604" s="4" t="str">
        <f>"23327731"</f>
        <v>23327731</v>
      </c>
      <c r="F1604" s="4" t="s">
        <v>105</v>
      </c>
    </row>
    <row r="1605" spans="1:6" x14ac:dyDescent="0.25">
      <c r="A1605" s="4" t="str">
        <f>"IEEE Transactions on Communications"</f>
        <v>IEEE Transactions on Communications</v>
      </c>
      <c r="B1605" s="4" t="s">
        <v>6</v>
      </c>
      <c r="C1605" s="4" t="str">
        <f t="shared" si="64"/>
        <v>-</v>
      </c>
      <c r="D1605" s="4" t="str">
        <f>"00906778"</f>
        <v>00906778</v>
      </c>
      <c r="E1605" s="4" t="str">
        <f>"-"</f>
        <v>-</v>
      </c>
      <c r="F1605" s="4" t="s">
        <v>105</v>
      </c>
    </row>
    <row r="1606" spans="1:6" x14ac:dyDescent="0.25">
      <c r="A1606" s="4" t="str">
        <f>"IEEE Transactions on Components, Packaging and Manufacturing Technology"</f>
        <v>IEEE Transactions on Components, Packaging and Manufacturing Technology</v>
      </c>
      <c r="B1606" s="4" t="s">
        <v>6</v>
      </c>
      <c r="C1606" s="4" t="str">
        <f t="shared" si="64"/>
        <v>-</v>
      </c>
      <c r="D1606" s="4" t="str">
        <f>"21563950"</f>
        <v>21563950</v>
      </c>
      <c r="E1606" s="4" t="str">
        <f>"-"</f>
        <v>-</v>
      </c>
      <c r="F1606" s="4" t="s">
        <v>105</v>
      </c>
    </row>
    <row r="1607" spans="1:6" x14ac:dyDescent="0.25">
      <c r="A1607" s="4" t="str">
        <f>"IEEE Transactions on Computational Imaging"</f>
        <v>IEEE Transactions on Computational Imaging</v>
      </c>
      <c r="B1607" s="4" t="s">
        <v>6</v>
      </c>
      <c r="C1607" s="4" t="str">
        <f t="shared" si="64"/>
        <v>-</v>
      </c>
      <c r="D1607" s="4" t="str">
        <f>"-"</f>
        <v>-</v>
      </c>
      <c r="E1607" s="4" t="str">
        <f>"23339403"</f>
        <v>23339403</v>
      </c>
      <c r="F1607" s="4" t="s">
        <v>105</v>
      </c>
    </row>
    <row r="1608" spans="1:6" x14ac:dyDescent="0.25">
      <c r="A1608" s="4" t="str">
        <f>"IEEE Transactions on Computational Intelligence and AI in Games"</f>
        <v>IEEE Transactions on Computational Intelligence and AI in Games</v>
      </c>
      <c r="B1608" s="4" t="s">
        <v>6</v>
      </c>
      <c r="C1608" s="4" t="str">
        <f t="shared" si="64"/>
        <v>-</v>
      </c>
      <c r="D1608" s="4" t="str">
        <f>"1943068X"</f>
        <v>1943068X</v>
      </c>
      <c r="E1608" s="4" t="str">
        <f>"-"</f>
        <v>-</v>
      </c>
      <c r="F1608" s="4" t="s">
        <v>105</v>
      </c>
    </row>
    <row r="1609" spans="1:6" x14ac:dyDescent="0.25">
      <c r="A1609" s="4" t="str">
        <f>"IEEE Transactions on Computational Social Systems"</f>
        <v>IEEE Transactions on Computational Social Systems</v>
      </c>
      <c r="B1609" s="4" t="s">
        <v>6</v>
      </c>
      <c r="C1609" s="4" t="str">
        <f t="shared" si="64"/>
        <v>-</v>
      </c>
      <c r="D1609" s="4" t="str">
        <f>"-"</f>
        <v>-</v>
      </c>
      <c r="E1609" s="4" t="str">
        <f>"2329924X"</f>
        <v>2329924X</v>
      </c>
      <c r="F1609" s="4" t="s">
        <v>105</v>
      </c>
    </row>
    <row r="1610" spans="1:6" x14ac:dyDescent="0.25">
      <c r="A1610" s="4" t="str">
        <f>"IEEE Transactions on Computer-Aided Design of Integrated Circuits and Systems"</f>
        <v>IEEE Transactions on Computer-Aided Design of Integrated Circuits and Systems</v>
      </c>
      <c r="B1610" s="4" t="s">
        <v>6</v>
      </c>
      <c r="C1610" s="4" t="str">
        <f t="shared" si="64"/>
        <v>-</v>
      </c>
      <c r="D1610" s="4" t="str">
        <f>"02780070"</f>
        <v>02780070</v>
      </c>
      <c r="E1610" s="4" t="str">
        <f t="shared" ref="E1610:E1616" si="67">"-"</f>
        <v>-</v>
      </c>
      <c r="F1610" s="4" t="s">
        <v>105</v>
      </c>
    </row>
    <row r="1611" spans="1:6" x14ac:dyDescent="0.25">
      <c r="A1611" s="4" t="str">
        <f>"IEEE Transactions on Computers"</f>
        <v>IEEE Transactions on Computers</v>
      </c>
      <c r="B1611" s="4" t="s">
        <v>6</v>
      </c>
      <c r="C1611" s="4" t="str">
        <f t="shared" si="64"/>
        <v>-</v>
      </c>
      <c r="D1611" s="4" t="str">
        <f>"00189340"</f>
        <v>00189340</v>
      </c>
      <c r="E1611" s="4" t="str">
        <f t="shared" si="67"/>
        <v>-</v>
      </c>
      <c r="F1611" s="4" t="s">
        <v>9</v>
      </c>
    </row>
    <row r="1612" spans="1:6" x14ac:dyDescent="0.25">
      <c r="A1612" s="4" t="str">
        <f>"IEEE Transactions on Consumer Electronics"</f>
        <v>IEEE Transactions on Consumer Electronics</v>
      </c>
      <c r="B1612" s="4" t="s">
        <v>6</v>
      </c>
      <c r="C1612" s="4" t="str">
        <f t="shared" si="64"/>
        <v>-</v>
      </c>
      <c r="D1612" s="4" t="str">
        <f>"00983063"</f>
        <v>00983063</v>
      </c>
      <c r="E1612" s="4" t="str">
        <f t="shared" si="67"/>
        <v>-</v>
      </c>
      <c r="F1612" s="4" t="s">
        <v>105</v>
      </c>
    </row>
    <row r="1613" spans="1:6" x14ac:dyDescent="0.25">
      <c r="A1613" s="4" t="str">
        <f>"IEEE Transactions on Control of Network Systems"</f>
        <v>IEEE Transactions on Control of Network Systems</v>
      </c>
      <c r="B1613" s="4" t="s">
        <v>6</v>
      </c>
      <c r="C1613" s="4" t="str">
        <f t="shared" si="64"/>
        <v>-</v>
      </c>
      <c r="D1613" s="4" t="str">
        <f>"23255870"</f>
        <v>23255870</v>
      </c>
      <c r="E1613" s="4" t="str">
        <f t="shared" si="67"/>
        <v>-</v>
      </c>
      <c r="F1613" s="4" t="s">
        <v>105</v>
      </c>
    </row>
    <row r="1614" spans="1:6" x14ac:dyDescent="0.25">
      <c r="A1614" s="4" t="str">
        <f>"IEEE Transactions on Control Systems Technology"</f>
        <v>IEEE Transactions on Control Systems Technology</v>
      </c>
      <c r="B1614" s="4" t="s">
        <v>6</v>
      </c>
      <c r="C1614" s="4" t="str">
        <f t="shared" si="64"/>
        <v>-</v>
      </c>
      <c r="D1614" s="4" t="str">
        <f>"10636536"</f>
        <v>10636536</v>
      </c>
      <c r="E1614" s="4" t="str">
        <f t="shared" si="67"/>
        <v>-</v>
      </c>
      <c r="F1614" s="4" t="s">
        <v>105</v>
      </c>
    </row>
    <row r="1615" spans="1:6" x14ac:dyDescent="0.25">
      <c r="A1615" s="4" t="str">
        <f>"IEEE Transactions on Cybernetics"</f>
        <v>IEEE Transactions on Cybernetics</v>
      </c>
      <c r="B1615" s="4" t="s">
        <v>6</v>
      </c>
      <c r="C1615" s="4" t="str">
        <f t="shared" si="64"/>
        <v>-</v>
      </c>
      <c r="D1615" s="4" t="str">
        <f>"21682267"</f>
        <v>21682267</v>
      </c>
      <c r="E1615" s="4" t="str">
        <f t="shared" si="67"/>
        <v>-</v>
      </c>
      <c r="F1615" s="4" t="s">
        <v>105</v>
      </c>
    </row>
    <row r="1616" spans="1:6" x14ac:dyDescent="0.25">
      <c r="A1616" s="4" t="str">
        <f>"IEEE Transactions on Dependable and Secure Computing"</f>
        <v>IEEE Transactions on Dependable and Secure Computing</v>
      </c>
      <c r="B1616" s="4" t="s">
        <v>6</v>
      </c>
      <c r="C1616" s="4" t="str">
        <f t="shared" si="64"/>
        <v>-</v>
      </c>
      <c r="D1616" s="4" t="str">
        <f>"15455971"</f>
        <v>15455971</v>
      </c>
      <c r="E1616" s="4" t="str">
        <f t="shared" si="67"/>
        <v>-</v>
      </c>
      <c r="F1616" s="4" t="s">
        <v>105</v>
      </c>
    </row>
    <row r="1617" spans="1:6" x14ac:dyDescent="0.25">
      <c r="A1617" s="4" t="str">
        <f>"IEEE Transactions on Device and Materials Reliability"</f>
        <v>IEEE Transactions on Device and Materials Reliability</v>
      </c>
      <c r="B1617" s="4" t="s">
        <v>6</v>
      </c>
      <c r="C1617" s="4" t="str">
        <f t="shared" si="64"/>
        <v>-</v>
      </c>
      <c r="D1617" s="4" t="str">
        <f>"15304388"</f>
        <v>15304388</v>
      </c>
      <c r="E1617" s="4" t="str">
        <f>"15582574"</f>
        <v>15582574</v>
      </c>
      <c r="F1617" s="4" t="s">
        <v>105</v>
      </c>
    </row>
    <row r="1618" spans="1:6" x14ac:dyDescent="0.25">
      <c r="A1618" s="4" t="str">
        <f>"IEEE Transactions on Dielectrics and Electrical Insulation"</f>
        <v>IEEE Transactions on Dielectrics and Electrical Insulation</v>
      </c>
      <c r="B1618" s="4" t="s">
        <v>6</v>
      </c>
      <c r="C1618" s="4" t="str">
        <f t="shared" si="64"/>
        <v>-</v>
      </c>
      <c r="D1618" s="4" t="str">
        <f>"10709878"</f>
        <v>10709878</v>
      </c>
      <c r="E1618" s="4" t="str">
        <f>"-"</f>
        <v>-</v>
      </c>
      <c r="F1618" s="4" t="s">
        <v>105</v>
      </c>
    </row>
    <row r="1619" spans="1:6" x14ac:dyDescent="0.25">
      <c r="A1619" s="4" t="str">
        <f>"IEEE Transactions on Education"</f>
        <v>IEEE Transactions on Education</v>
      </c>
      <c r="B1619" s="4" t="s">
        <v>6</v>
      </c>
      <c r="C1619" s="4" t="str">
        <f t="shared" si="64"/>
        <v>-</v>
      </c>
      <c r="D1619" s="4" t="str">
        <f>"00189359"</f>
        <v>00189359</v>
      </c>
      <c r="E1619" s="4" t="str">
        <f>"-"</f>
        <v>-</v>
      </c>
      <c r="F1619" s="4" t="s">
        <v>105</v>
      </c>
    </row>
    <row r="1620" spans="1:6" x14ac:dyDescent="0.25">
      <c r="A1620" s="4" t="str">
        <f>"IEEE Transactions on Electromagnetic Compatibility"</f>
        <v>IEEE Transactions on Electromagnetic Compatibility</v>
      </c>
      <c r="B1620" s="4" t="s">
        <v>6</v>
      </c>
      <c r="C1620" s="4" t="str">
        <f t="shared" si="64"/>
        <v>-</v>
      </c>
      <c r="D1620" s="4" t="str">
        <f>"00189375"</f>
        <v>00189375</v>
      </c>
      <c r="E1620" s="4" t="str">
        <f>"-"</f>
        <v>-</v>
      </c>
      <c r="F1620" s="4" t="s">
        <v>105</v>
      </c>
    </row>
    <row r="1621" spans="1:6" x14ac:dyDescent="0.25">
      <c r="A1621" s="4" t="str">
        <f>"IEEE Transactions on Electron Devices"</f>
        <v>IEEE Transactions on Electron Devices</v>
      </c>
      <c r="B1621" s="4" t="s">
        <v>6</v>
      </c>
      <c r="C1621" s="4" t="str">
        <f t="shared" si="64"/>
        <v>-</v>
      </c>
      <c r="D1621" s="4" t="str">
        <f>"00189383"</f>
        <v>00189383</v>
      </c>
      <c r="E1621" s="4" t="str">
        <f>"-"</f>
        <v>-</v>
      </c>
      <c r="F1621" s="4" t="s">
        <v>105</v>
      </c>
    </row>
    <row r="1622" spans="1:6" x14ac:dyDescent="0.25">
      <c r="A1622" s="4" t="str">
        <f>"IEEE Transactions on Emerging Topics in Computing"</f>
        <v>IEEE Transactions on Emerging Topics in Computing</v>
      </c>
      <c r="B1622" s="4" t="s">
        <v>6</v>
      </c>
      <c r="C1622" s="4" t="str">
        <f t="shared" si="64"/>
        <v>-</v>
      </c>
      <c r="D1622" s="4" t="str">
        <f>"-"</f>
        <v>-</v>
      </c>
      <c r="E1622" s="4" t="str">
        <f>"21686750"</f>
        <v>21686750</v>
      </c>
      <c r="F1622" s="4" t="s">
        <v>9</v>
      </c>
    </row>
    <row r="1623" spans="1:6" x14ac:dyDescent="0.25">
      <c r="A1623" s="4" t="str">
        <f>"IEEE Transactions on Energy Conversion"</f>
        <v>IEEE Transactions on Energy Conversion</v>
      </c>
      <c r="B1623" s="4" t="s">
        <v>6</v>
      </c>
      <c r="C1623" s="4" t="str">
        <f t="shared" si="64"/>
        <v>-</v>
      </c>
      <c r="D1623" s="4" t="str">
        <f>"08858969"</f>
        <v>08858969</v>
      </c>
      <c r="E1623" s="4" t="str">
        <f t="shared" ref="E1623:E1640" si="68">"-"</f>
        <v>-</v>
      </c>
      <c r="F1623" s="4" t="s">
        <v>105</v>
      </c>
    </row>
    <row r="1624" spans="1:6" x14ac:dyDescent="0.25">
      <c r="A1624" s="4" t="str">
        <f>"IEEE Transactions on Engineering Management"</f>
        <v>IEEE Transactions on Engineering Management</v>
      </c>
      <c r="B1624" s="4" t="s">
        <v>6</v>
      </c>
      <c r="C1624" s="4" t="str">
        <f t="shared" si="64"/>
        <v>-</v>
      </c>
      <c r="D1624" s="4" t="str">
        <f>"00189391"</f>
        <v>00189391</v>
      </c>
      <c r="E1624" s="4" t="str">
        <f t="shared" si="68"/>
        <v>-</v>
      </c>
      <c r="F1624" s="4" t="s">
        <v>105</v>
      </c>
    </row>
    <row r="1625" spans="1:6" x14ac:dyDescent="0.25">
      <c r="A1625" s="4" t="str">
        <f>"IEEE Transactions on Evolutionary Computation"</f>
        <v>IEEE Transactions on Evolutionary Computation</v>
      </c>
      <c r="B1625" s="4" t="s">
        <v>6</v>
      </c>
      <c r="C1625" s="4" t="str">
        <f t="shared" si="64"/>
        <v>-</v>
      </c>
      <c r="D1625" s="4" t="str">
        <f>"1089778X"</f>
        <v>1089778X</v>
      </c>
      <c r="E1625" s="4" t="str">
        <f t="shared" si="68"/>
        <v>-</v>
      </c>
      <c r="F1625" s="4" t="s">
        <v>105</v>
      </c>
    </row>
    <row r="1626" spans="1:6" x14ac:dyDescent="0.25">
      <c r="A1626" s="4" t="str">
        <f>"IEEE Transactions on Fuzzy Systems"</f>
        <v>IEEE Transactions on Fuzzy Systems</v>
      </c>
      <c r="B1626" s="4" t="s">
        <v>6</v>
      </c>
      <c r="C1626" s="4" t="str">
        <f t="shared" si="64"/>
        <v>-</v>
      </c>
      <c r="D1626" s="4" t="str">
        <f>"10636706"</f>
        <v>10636706</v>
      </c>
      <c r="E1626" s="4" t="str">
        <f t="shared" si="68"/>
        <v>-</v>
      </c>
      <c r="F1626" s="4" t="s">
        <v>105</v>
      </c>
    </row>
    <row r="1627" spans="1:6" x14ac:dyDescent="0.25">
      <c r="A1627" s="4" t="str">
        <f>"IEEE Transactions on Geoscience and Remote Sensing"</f>
        <v>IEEE Transactions on Geoscience and Remote Sensing</v>
      </c>
      <c r="B1627" s="4" t="s">
        <v>6</v>
      </c>
      <c r="C1627" s="4" t="str">
        <f t="shared" si="64"/>
        <v>-</v>
      </c>
      <c r="D1627" s="4" t="str">
        <f>"01962892"</f>
        <v>01962892</v>
      </c>
      <c r="E1627" s="4" t="str">
        <f t="shared" si="68"/>
        <v>-</v>
      </c>
      <c r="F1627" s="4" t="s">
        <v>105</v>
      </c>
    </row>
    <row r="1628" spans="1:6" x14ac:dyDescent="0.25">
      <c r="A1628" s="4" t="str">
        <f>"IEEE Transactions on Haptics"</f>
        <v>IEEE Transactions on Haptics</v>
      </c>
      <c r="B1628" s="4" t="s">
        <v>6</v>
      </c>
      <c r="C1628" s="4" t="str">
        <f t="shared" si="64"/>
        <v>-</v>
      </c>
      <c r="D1628" s="4" t="str">
        <f>"19391412"</f>
        <v>19391412</v>
      </c>
      <c r="E1628" s="4" t="str">
        <f t="shared" si="68"/>
        <v>-</v>
      </c>
      <c r="F1628" s="4" t="s">
        <v>502</v>
      </c>
    </row>
    <row r="1629" spans="1:6" x14ac:dyDescent="0.25">
      <c r="A1629" s="4" t="str">
        <f>"IEEE Transactions on Human-Machine Systems"</f>
        <v>IEEE Transactions on Human-Machine Systems</v>
      </c>
      <c r="B1629" s="4" t="s">
        <v>6</v>
      </c>
      <c r="C1629" s="4" t="str">
        <f t="shared" ref="C1629:C1692" si="69">"-"</f>
        <v>-</v>
      </c>
      <c r="D1629" s="4" t="str">
        <f>"21682291"</f>
        <v>21682291</v>
      </c>
      <c r="E1629" s="4" t="str">
        <f t="shared" si="68"/>
        <v>-</v>
      </c>
      <c r="F1629" s="4" t="s">
        <v>105</v>
      </c>
    </row>
    <row r="1630" spans="1:6" x14ac:dyDescent="0.25">
      <c r="A1630" s="4" t="str">
        <f>"IEEE Transactions on Image Processing"</f>
        <v>IEEE Transactions on Image Processing</v>
      </c>
      <c r="B1630" s="4" t="s">
        <v>6</v>
      </c>
      <c r="C1630" s="4" t="str">
        <f t="shared" si="69"/>
        <v>-</v>
      </c>
      <c r="D1630" s="4" t="str">
        <f>"10577149"</f>
        <v>10577149</v>
      </c>
      <c r="E1630" s="4" t="str">
        <f t="shared" si="68"/>
        <v>-</v>
      </c>
      <c r="F1630" s="4" t="s">
        <v>105</v>
      </c>
    </row>
    <row r="1631" spans="1:6" x14ac:dyDescent="0.25">
      <c r="A1631" s="4" t="str">
        <f>"IEEE Transactions on Industrial Electronics"</f>
        <v>IEEE Transactions on Industrial Electronics</v>
      </c>
      <c r="B1631" s="4" t="s">
        <v>6</v>
      </c>
      <c r="C1631" s="4" t="str">
        <f t="shared" si="69"/>
        <v>-</v>
      </c>
      <c r="D1631" s="4" t="str">
        <f>"02780046"</f>
        <v>02780046</v>
      </c>
      <c r="E1631" s="4" t="str">
        <f t="shared" si="68"/>
        <v>-</v>
      </c>
      <c r="F1631" s="4" t="s">
        <v>105</v>
      </c>
    </row>
    <row r="1632" spans="1:6" x14ac:dyDescent="0.25">
      <c r="A1632" s="4" t="str">
        <f>"IEEE Transactions on Industrial Informatics"</f>
        <v>IEEE Transactions on Industrial Informatics</v>
      </c>
      <c r="B1632" s="4" t="s">
        <v>6</v>
      </c>
      <c r="C1632" s="4" t="str">
        <f t="shared" si="69"/>
        <v>-</v>
      </c>
      <c r="D1632" s="4" t="str">
        <f>"15513203"</f>
        <v>15513203</v>
      </c>
      <c r="E1632" s="4" t="str">
        <f t="shared" si="68"/>
        <v>-</v>
      </c>
      <c r="F1632" s="4" t="s">
        <v>9</v>
      </c>
    </row>
    <row r="1633" spans="1:6" x14ac:dyDescent="0.25">
      <c r="A1633" s="4" t="str">
        <f>"IEEE Transactions on Industry Applications"</f>
        <v>IEEE Transactions on Industry Applications</v>
      </c>
      <c r="B1633" s="4" t="s">
        <v>6</v>
      </c>
      <c r="C1633" s="4" t="str">
        <f t="shared" si="69"/>
        <v>-</v>
      </c>
      <c r="D1633" s="4" t="str">
        <f>"00939994"</f>
        <v>00939994</v>
      </c>
      <c r="E1633" s="4" t="str">
        <f t="shared" si="68"/>
        <v>-</v>
      </c>
      <c r="F1633" s="4" t="s">
        <v>105</v>
      </c>
    </row>
    <row r="1634" spans="1:6" x14ac:dyDescent="0.25">
      <c r="A1634" s="4" t="str">
        <f>"IEEE Transactions on Information Forensics and Security"</f>
        <v>IEEE Transactions on Information Forensics and Security</v>
      </c>
      <c r="B1634" s="4" t="s">
        <v>6</v>
      </c>
      <c r="C1634" s="4" t="str">
        <f t="shared" si="69"/>
        <v>-</v>
      </c>
      <c r="D1634" s="4" t="str">
        <f>"15566013"</f>
        <v>15566013</v>
      </c>
      <c r="E1634" s="4" t="str">
        <f t="shared" si="68"/>
        <v>-</v>
      </c>
      <c r="F1634" s="4" t="s">
        <v>105</v>
      </c>
    </row>
    <row r="1635" spans="1:6" x14ac:dyDescent="0.25">
      <c r="A1635" s="4" t="str">
        <f>"IEEE Transactions on Information Theory"</f>
        <v>IEEE Transactions on Information Theory</v>
      </c>
      <c r="B1635" s="4" t="s">
        <v>6</v>
      </c>
      <c r="C1635" s="4" t="str">
        <f t="shared" si="69"/>
        <v>-</v>
      </c>
      <c r="D1635" s="4" t="str">
        <f>"00189448"</f>
        <v>00189448</v>
      </c>
      <c r="E1635" s="4" t="str">
        <f t="shared" si="68"/>
        <v>-</v>
      </c>
      <c r="F1635" s="4" t="s">
        <v>105</v>
      </c>
    </row>
    <row r="1636" spans="1:6" x14ac:dyDescent="0.25">
      <c r="A1636" s="4" t="str">
        <f>"IEEE Transactions on Instrumentation and Measurement"</f>
        <v>IEEE Transactions on Instrumentation and Measurement</v>
      </c>
      <c r="B1636" s="4" t="s">
        <v>6</v>
      </c>
      <c r="C1636" s="4" t="str">
        <f t="shared" si="69"/>
        <v>-</v>
      </c>
      <c r="D1636" s="4" t="str">
        <f>"00189456"</f>
        <v>00189456</v>
      </c>
      <c r="E1636" s="4" t="str">
        <f t="shared" si="68"/>
        <v>-</v>
      </c>
      <c r="F1636" s="4" t="s">
        <v>105</v>
      </c>
    </row>
    <row r="1637" spans="1:6" x14ac:dyDescent="0.25">
      <c r="A1637" s="4" t="str">
        <f>"IEEE Transactions on Intelligent Transportation Systems"</f>
        <v>IEEE Transactions on Intelligent Transportation Systems</v>
      </c>
      <c r="B1637" s="4" t="s">
        <v>6</v>
      </c>
      <c r="C1637" s="4" t="str">
        <f t="shared" si="69"/>
        <v>-</v>
      </c>
      <c r="D1637" s="4" t="str">
        <f>"15249050"</f>
        <v>15249050</v>
      </c>
      <c r="E1637" s="4" t="str">
        <f t="shared" si="68"/>
        <v>-</v>
      </c>
      <c r="F1637" s="4" t="s">
        <v>105</v>
      </c>
    </row>
    <row r="1638" spans="1:6" x14ac:dyDescent="0.25">
      <c r="A1638" s="4" t="str">
        <f>"IEEE Transactions on Knowledge and Data Engineering"</f>
        <v>IEEE Transactions on Knowledge and Data Engineering</v>
      </c>
      <c r="B1638" s="4" t="s">
        <v>6</v>
      </c>
      <c r="C1638" s="4" t="str">
        <f t="shared" si="69"/>
        <v>-</v>
      </c>
      <c r="D1638" s="4" t="str">
        <f>"10414347"</f>
        <v>10414347</v>
      </c>
      <c r="E1638" s="4" t="str">
        <f t="shared" si="68"/>
        <v>-</v>
      </c>
      <c r="F1638" s="4" t="s">
        <v>9</v>
      </c>
    </row>
    <row r="1639" spans="1:6" x14ac:dyDescent="0.25">
      <c r="A1639" s="4" t="str">
        <f>"IEEE Transactions on Learning Technologies"</f>
        <v>IEEE Transactions on Learning Technologies</v>
      </c>
      <c r="B1639" s="4" t="s">
        <v>6</v>
      </c>
      <c r="C1639" s="4" t="str">
        <f t="shared" si="69"/>
        <v>-</v>
      </c>
      <c r="D1639" s="4" t="str">
        <f>"19391382"</f>
        <v>19391382</v>
      </c>
      <c r="E1639" s="4" t="str">
        <f t="shared" si="68"/>
        <v>-</v>
      </c>
      <c r="F1639" s="4" t="s">
        <v>502</v>
      </c>
    </row>
    <row r="1640" spans="1:6" x14ac:dyDescent="0.25">
      <c r="A1640" s="4" t="str">
        <f>"IEEE Transactions on Magnetics"</f>
        <v>IEEE Transactions on Magnetics</v>
      </c>
      <c r="B1640" s="4" t="s">
        <v>6</v>
      </c>
      <c r="C1640" s="4" t="str">
        <f t="shared" si="69"/>
        <v>-</v>
      </c>
      <c r="D1640" s="4" t="str">
        <f>"00189464"</f>
        <v>00189464</v>
      </c>
      <c r="E1640" s="4" t="str">
        <f t="shared" si="68"/>
        <v>-</v>
      </c>
      <c r="F1640" s="4" t="s">
        <v>105</v>
      </c>
    </row>
    <row r="1641" spans="1:6" x14ac:dyDescent="0.25">
      <c r="A1641" s="4" t="str">
        <f>"IEEE Transactions on Medical Imaging"</f>
        <v>IEEE Transactions on Medical Imaging</v>
      </c>
      <c r="B1641" s="4" t="s">
        <v>6</v>
      </c>
      <c r="C1641" s="4" t="str">
        <f t="shared" si="69"/>
        <v>-</v>
      </c>
      <c r="D1641" s="4" t="str">
        <f>"02780062"</f>
        <v>02780062</v>
      </c>
      <c r="E1641" s="4" t="str">
        <f>"1558254X"</f>
        <v>1558254X</v>
      </c>
      <c r="F1641" s="4" t="s">
        <v>105</v>
      </c>
    </row>
    <row r="1642" spans="1:6" x14ac:dyDescent="0.25">
      <c r="A1642" s="4" t="str">
        <f>"IEEE Transactions on Microwave Theory and Techniques"</f>
        <v>IEEE Transactions on Microwave Theory and Techniques</v>
      </c>
      <c r="B1642" s="4" t="s">
        <v>6</v>
      </c>
      <c r="C1642" s="4" t="str">
        <f t="shared" si="69"/>
        <v>-</v>
      </c>
      <c r="D1642" s="4" t="str">
        <f>"00189480"</f>
        <v>00189480</v>
      </c>
      <c r="E1642" s="4" t="str">
        <f>"-"</f>
        <v>-</v>
      </c>
      <c r="F1642" s="4" t="s">
        <v>105</v>
      </c>
    </row>
    <row r="1643" spans="1:6" x14ac:dyDescent="0.25">
      <c r="A1643" s="4" t="str">
        <f>"IEEE Transactions on Mobile Computing"</f>
        <v>IEEE Transactions on Mobile Computing</v>
      </c>
      <c r="B1643" s="4" t="s">
        <v>6</v>
      </c>
      <c r="C1643" s="4" t="str">
        <f t="shared" si="69"/>
        <v>-</v>
      </c>
      <c r="D1643" s="4" t="str">
        <f>"15361233"</f>
        <v>15361233</v>
      </c>
      <c r="E1643" s="4" t="str">
        <f>"-"</f>
        <v>-</v>
      </c>
      <c r="F1643" s="4" t="s">
        <v>105</v>
      </c>
    </row>
    <row r="1644" spans="1:6" x14ac:dyDescent="0.25">
      <c r="A1644" s="4" t="str">
        <f>"IEEE Transactions on Molecular, Biological, and Multi-Scale Communications"</f>
        <v>IEEE Transactions on Molecular, Biological, and Multi-Scale Communications</v>
      </c>
      <c r="B1644" s="4" t="s">
        <v>6</v>
      </c>
      <c r="C1644" s="4" t="str">
        <f t="shared" si="69"/>
        <v>-</v>
      </c>
      <c r="D1644" s="4" t="str">
        <f>"-"</f>
        <v>-</v>
      </c>
      <c r="E1644" s="4" t="str">
        <f>"23327804"</f>
        <v>23327804</v>
      </c>
      <c r="F1644" s="4" t="s">
        <v>105</v>
      </c>
    </row>
    <row r="1645" spans="1:6" x14ac:dyDescent="0.25">
      <c r="A1645" s="4" t="str">
        <f>"IEEE Transactions on Multimedia"</f>
        <v>IEEE Transactions on Multimedia</v>
      </c>
      <c r="B1645" s="4" t="s">
        <v>6</v>
      </c>
      <c r="C1645" s="4" t="str">
        <f t="shared" si="69"/>
        <v>-</v>
      </c>
      <c r="D1645" s="4" t="str">
        <f>"15209210"</f>
        <v>15209210</v>
      </c>
      <c r="E1645" s="4" t="str">
        <f>"-"</f>
        <v>-</v>
      </c>
      <c r="F1645" s="4" t="s">
        <v>105</v>
      </c>
    </row>
    <row r="1646" spans="1:6" x14ac:dyDescent="0.25">
      <c r="A1646" s="4" t="str">
        <f>"IEEE Transactions on Multi-Scale Computing Systems"</f>
        <v>IEEE Transactions on Multi-Scale Computing Systems</v>
      </c>
      <c r="B1646" s="4" t="s">
        <v>6</v>
      </c>
      <c r="C1646" s="4" t="str">
        <f t="shared" si="69"/>
        <v>-</v>
      </c>
      <c r="D1646" s="4" t="str">
        <f>"-"</f>
        <v>-</v>
      </c>
      <c r="E1646" s="4" t="str">
        <f>"23327766"</f>
        <v>23327766</v>
      </c>
      <c r="F1646" s="4" t="s">
        <v>105</v>
      </c>
    </row>
    <row r="1647" spans="1:6" x14ac:dyDescent="0.25">
      <c r="A1647" s="4" t="str">
        <f>"IEEE Transactions on Nanobioscience"</f>
        <v>IEEE Transactions on Nanobioscience</v>
      </c>
      <c r="B1647" s="4" t="s">
        <v>6</v>
      </c>
      <c r="C1647" s="4" t="str">
        <f t="shared" si="69"/>
        <v>-</v>
      </c>
      <c r="D1647" s="4" t="str">
        <f>"15361241"</f>
        <v>15361241</v>
      </c>
      <c r="E1647" s="4" t="str">
        <f>"-"</f>
        <v>-</v>
      </c>
      <c r="F1647" s="4" t="s">
        <v>105</v>
      </c>
    </row>
    <row r="1648" spans="1:6" x14ac:dyDescent="0.25">
      <c r="A1648" s="4" t="str">
        <f>"IEEE Transactions on Nanotechnology"</f>
        <v>IEEE Transactions on Nanotechnology</v>
      </c>
      <c r="B1648" s="4" t="s">
        <v>6</v>
      </c>
      <c r="C1648" s="4" t="str">
        <f t="shared" si="69"/>
        <v>-</v>
      </c>
      <c r="D1648" s="4" t="str">
        <f>"1536125X"</f>
        <v>1536125X</v>
      </c>
      <c r="E1648" s="4" t="str">
        <f>"-"</f>
        <v>-</v>
      </c>
      <c r="F1648" s="4" t="s">
        <v>105</v>
      </c>
    </row>
    <row r="1649" spans="1:6" x14ac:dyDescent="0.25">
      <c r="A1649" s="4" t="str">
        <f>"IEEE Transactions on Network and Service Management"</f>
        <v>IEEE Transactions on Network and Service Management</v>
      </c>
      <c r="B1649" s="4" t="s">
        <v>6</v>
      </c>
      <c r="C1649" s="4" t="str">
        <f t="shared" si="69"/>
        <v>-</v>
      </c>
      <c r="D1649" s="4" t="str">
        <f>"19324537"</f>
        <v>19324537</v>
      </c>
      <c r="E1649" s="4" t="str">
        <f>"-"</f>
        <v>-</v>
      </c>
      <c r="F1649" s="4" t="s">
        <v>105</v>
      </c>
    </row>
    <row r="1650" spans="1:6" x14ac:dyDescent="0.25">
      <c r="A1650" s="4" t="str">
        <f>"IEEE Transactions on Network Science and Engineering"</f>
        <v>IEEE Transactions on Network Science and Engineering</v>
      </c>
      <c r="B1650" s="4" t="s">
        <v>6</v>
      </c>
      <c r="C1650" s="4" t="str">
        <f t="shared" si="69"/>
        <v>-</v>
      </c>
      <c r="D1650" s="4" t="str">
        <f>"-"</f>
        <v>-</v>
      </c>
      <c r="E1650" s="4" t="str">
        <f>"23274697"</f>
        <v>23274697</v>
      </c>
      <c r="F1650" s="4" t="s">
        <v>9</v>
      </c>
    </row>
    <row r="1651" spans="1:6" x14ac:dyDescent="0.25">
      <c r="A1651" s="4" t="str">
        <f>"IEEE Transactions on Neural Networks"</f>
        <v>IEEE Transactions on Neural Networks</v>
      </c>
      <c r="B1651" s="4" t="s">
        <v>6</v>
      </c>
      <c r="C1651" s="4" t="str">
        <f t="shared" si="69"/>
        <v>-</v>
      </c>
      <c r="D1651" s="4" t="str">
        <f>"10459227"</f>
        <v>10459227</v>
      </c>
      <c r="E1651" s="4" t="str">
        <f>"-"</f>
        <v>-</v>
      </c>
      <c r="F1651" s="4" t="s">
        <v>105</v>
      </c>
    </row>
    <row r="1652" spans="1:6" x14ac:dyDescent="0.25">
      <c r="A1652" s="4" t="str">
        <f>"IEEE Transactions on Neural Networks and Learning Systems"</f>
        <v>IEEE Transactions on Neural Networks and Learning Systems</v>
      </c>
      <c r="B1652" s="4" t="s">
        <v>6</v>
      </c>
      <c r="C1652" s="4" t="str">
        <f t="shared" si="69"/>
        <v>-</v>
      </c>
      <c r="D1652" s="4" t="str">
        <f>"2162237X"</f>
        <v>2162237X</v>
      </c>
      <c r="E1652" s="4" t="str">
        <f>"21622388"</f>
        <v>21622388</v>
      </c>
      <c r="F1652" s="4" t="s">
        <v>105</v>
      </c>
    </row>
    <row r="1653" spans="1:6" x14ac:dyDescent="0.25">
      <c r="A1653" s="4" t="str">
        <f>"IEEE Transactions on Neural Systems and Rehabilitation Engineering"</f>
        <v>IEEE Transactions on Neural Systems and Rehabilitation Engineering</v>
      </c>
      <c r="B1653" s="4" t="s">
        <v>6</v>
      </c>
      <c r="C1653" s="4" t="str">
        <f t="shared" si="69"/>
        <v>-</v>
      </c>
      <c r="D1653" s="4" t="str">
        <f>"15344320"</f>
        <v>15344320</v>
      </c>
      <c r="E1653" s="4" t="str">
        <f t="shared" ref="E1653:E1665" si="70">"-"</f>
        <v>-</v>
      </c>
      <c r="F1653" s="4" t="s">
        <v>105</v>
      </c>
    </row>
    <row r="1654" spans="1:6" x14ac:dyDescent="0.25">
      <c r="A1654" s="4" t="str">
        <f>"IEEE Transactions on Nuclear Science"</f>
        <v>IEEE Transactions on Nuclear Science</v>
      </c>
      <c r="B1654" s="4" t="s">
        <v>6</v>
      </c>
      <c r="C1654" s="4" t="str">
        <f t="shared" si="69"/>
        <v>-</v>
      </c>
      <c r="D1654" s="4" t="str">
        <f>"00189499"</f>
        <v>00189499</v>
      </c>
      <c r="E1654" s="4" t="str">
        <f t="shared" si="70"/>
        <v>-</v>
      </c>
      <c r="F1654" s="4" t="s">
        <v>105</v>
      </c>
    </row>
    <row r="1655" spans="1:6" x14ac:dyDescent="0.25">
      <c r="A1655" s="4" t="str">
        <f>"IEEE Transactions on Parallel and Distributed Systems"</f>
        <v>IEEE Transactions on Parallel and Distributed Systems</v>
      </c>
      <c r="B1655" s="4" t="s">
        <v>6</v>
      </c>
      <c r="C1655" s="4" t="str">
        <f t="shared" si="69"/>
        <v>-</v>
      </c>
      <c r="D1655" s="4" t="str">
        <f>"10459219"</f>
        <v>10459219</v>
      </c>
      <c r="E1655" s="4" t="str">
        <f t="shared" si="70"/>
        <v>-</v>
      </c>
      <c r="F1655" s="4" t="s">
        <v>9</v>
      </c>
    </row>
    <row r="1656" spans="1:6" x14ac:dyDescent="0.25">
      <c r="A1656" s="4" t="str">
        <f>"IEEE Transactions on Pattern Analysis and Machine Intelligence"</f>
        <v>IEEE Transactions on Pattern Analysis and Machine Intelligence</v>
      </c>
      <c r="B1656" s="4" t="s">
        <v>6</v>
      </c>
      <c r="C1656" s="4" t="str">
        <f t="shared" si="69"/>
        <v>-</v>
      </c>
      <c r="D1656" s="4" t="str">
        <f>"01628828"</f>
        <v>01628828</v>
      </c>
      <c r="E1656" s="4" t="str">
        <f t="shared" si="70"/>
        <v>-</v>
      </c>
      <c r="F1656" s="4" t="s">
        <v>9</v>
      </c>
    </row>
    <row r="1657" spans="1:6" x14ac:dyDescent="0.25">
      <c r="A1657" s="4" t="str">
        <f>"IEEE Transactions on Plasma Science"</f>
        <v>IEEE Transactions on Plasma Science</v>
      </c>
      <c r="B1657" s="4" t="s">
        <v>6</v>
      </c>
      <c r="C1657" s="4" t="str">
        <f t="shared" si="69"/>
        <v>-</v>
      </c>
      <c r="D1657" s="4" t="str">
        <f>"00933813"</f>
        <v>00933813</v>
      </c>
      <c r="E1657" s="4" t="str">
        <f t="shared" si="70"/>
        <v>-</v>
      </c>
      <c r="F1657" s="4" t="s">
        <v>105</v>
      </c>
    </row>
    <row r="1658" spans="1:6" x14ac:dyDescent="0.25">
      <c r="A1658" s="4" t="str">
        <f>"IEEE Transactions on Power Delivery"</f>
        <v>IEEE Transactions on Power Delivery</v>
      </c>
      <c r="B1658" s="4" t="s">
        <v>6</v>
      </c>
      <c r="C1658" s="4" t="str">
        <f t="shared" si="69"/>
        <v>-</v>
      </c>
      <c r="D1658" s="4" t="str">
        <f>"08858977"</f>
        <v>08858977</v>
      </c>
      <c r="E1658" s="4" t="str">
        <f t="shared" si="70"/>
        <v>-</v>
      </c>
      <c r="F1658" s="4" t="s">
        <v>105</v>
      </c>
    </row>
    <row r="1659" spans="1:6" x14ac:dyDescent="0.25">
      <c r="A1659" s="4" t="str">
        <f>"IEEE Transactions on Power Electronics"</f>
        <v>IEEE Transactions on Power Electronics</v>
      </c>
      <c r="B1659" s="4" t="s">
        <v>6</v>
      </c>
      <c r="C1659" s="4" t="str">
        <f t="shared" si="69"/>
        <v>-</v>
      </c>
      <c r="D1659" s="4" t="str">
        <f>"08858993"</f>
        <v>08858993</v>
      </c>
      <c r="E1659" s="4" t="str">
        <f t="shared" si="70"/>
        <v>-</v>
      </c>
      <c r="F1659" s="4" t="s">
        <v>105</v>
      </c>
    </row>
    <row r="1660" spans="1:6" x14ac:dyDescent="0.25">
      <c r="A1660" s="4" t="str">
        <f>"IEEE Transactions on Power Systems"</f>
        <v>IEEE Transactions on Power Systems</v>
      </c>
      <c r="B1660" s="4" t="s">
        <v>6</v>
      </c>
      <c r="C1660" s="4" t="str">
        <f t="shared" si="69"/>
        <v>-</v>
      </c>
      <c r="D1660" s="4" t="str">
        <f>"08858950"</f>
        <v>08858950</v>
      </c>
      <c r="E1660" s="4" t="str">
        <f t="shared" si="70"/>
        <v>-</v>
      </c>
      <c r="F1660" s="4" t="s">
        <v>105</v>
      </c>
    </row>
    <row r="1661" spans="1:6" x14ac:dyDescent="0.25">
      <c r="A1661" s="4" t="str">
        <f>"IEEE Transactions on Professional Communication"</f>
        <v>IEEE Transactions on Professional Communication</v>
      </c>
      <c r="B1661" s="4" t="s">
        <v>6</v>
      </c>
      <c r="C1661" s="4" t="str">
        <f t="shared" si="69"/>
        <v>-</v>
      </c>
      <c r="D1661" s="4" t="str">
        <f>"03611434"</f>
        <v>03611434</v>
      </c>
      <c r="E1661" s="4" t="str">
        <f t="shared" si="70"/>
        <v>-</v>
      </c>
      <c r="F1661" s="4" t="s">
        <v>105</v>
      </c>
    </row>
    <row r="1662" spans="1:6" x14ac:dyDescent="0.25">
      <c r="A1662" s="4" t="str">
        <f>"IEEE Transactions on Reliability"</f>
        <v>IEEE Transactions on Reliability</v>
      </c>
      <c r="B1662" s="4" t="s">
        <v>6</v>
      </c>
      <c r="C1662" s="4" t="str">
        <f t="shared" si="69"/>
        <v>-</v>
      </c>
      <c r="D1662" s="4" t="str">
        <f>"00189529"</f>
        <v>00189529</v>
      </c>
      <c r="E1662" s="4" t="str">
        <f t="shared" si="70"/>
        <v>-</v>
      </c>
      <c r="F1662" s="4" t="s">
        <v>105</v>
      </c>
    </row>
    <row r="1663" spans="1:6" x14ac:dyDescent="0.25">
      <c r="A1663" s="4" t="str">
        <f>"IEEE Transactions on Robotics"</f>
        <v>IEEE Transactions on Robotics</v>
      </c>
      <c r="B1663" s="4" t="s">
        <v>6</v>
      </c>
      <c r="C1663" s="4" t="str">
        <f t="shared" si="69"/>
        <v>-</v>
      </c>
      <c r="D1663" s="4" t="str">
        <f>"15523098"</f>
        <v>15523098</v>
      </c>
      <c r="E1663" s="4" t="str">
        <f t="shared" si="70"/>
        <v>-</v>
      </c>
      <c r="F1663" s="4" t="s">
        <v>105</v>
      </c>
    </row>
    <row r="1664" spans="1:6" x14ac:dyDescent="0.25">
      <c r="A1664" s="4" t="str">
        <f>"IEEE Transactions on Semiconductor Manufacturing"</f>
        <v>IEEE Transactions on Semiconductor Manufacturing</v>
      </c>
      <c r="B1664" s="4" t="s">
        <v>6</v>
      </c>
      <c r="C1664" s="4" t="str">
        <f t="shared" si="69"/>
        <v>-</v>
      </c>
      <c r="D1664" s="4" t="str">
        <f>"08946507"</f>
        <v>08946507</v>
      </c>
      <c r="E1664" s="4" t="str">
        <f t="shared" si="70"/>
        <v>-</v>
      </c>
      <c r="F1664" s="4" t="s">
        <v>105</v>
      </c>
    </row>
    <row r="1665" spans="1:6" x14ac:dyDescent="0.25">
      <c r="A1665" s="4" t="str">
        <f>"IEEE Transactions on Services Computing"</f>
        <v>IEEE Transactions on Services Computing</v>
      </c>
      <c r="B1665" s="4" t="s">
        <v>6</v>
      </c>
      <c r="C1665" s="4" t="str">
        <f t="shared" si="69"/>
        <v>-</v>
      </c>
      <c r="D1665" s="4" t="str">
        <f>"19391374"</f>
        <v>19391374</v>
      </c>
      <c r="E1665" s="4" t="str">
        <f t="shared" si="70"/>
        <v>-</v>
      </c>
      <c r="F1665" s="4" t="s">
        <v>502</v>
      </c>
    </row>
    <row r="1666" spans="1:6" x14ac:dyDescent="0.25">
      <c r="A1666" s="4" t="str">
        <f>"IEEE Transactions on Signal and Information Processing over Networks"</f>
        <v>IEEE Transactions on Signal and Information Processing over Networks</v>
      </c>
      <c r="B1666" s="4" t="s">
        <v>6</v>
      </c>
      <c r="C1666" s="4" t="str">
        <f t="shared" si="69"/>
        <v>-</v>
      </c>
      <c r="D1666" s="4" t="str">
        <f>"-"</f>
        <v>-</v>
      </c>
      <c r="E1666" s="4" t="str">
        <f>"2373776X"</f>
        <v>2373776X</v>
      </c>
      <c r="F1666" s="4" t="s">
        <v>105</v>
      </c>
    </row>
    <row r="1667" spans="1:6" x14ac:dyDescent="0.25">
      <c r="A1667" s="4" t="str">
        <f>"IEEE Transactions on Signal Processing"</f>
        <v>IEEE Transactions on Signal Processing</v>
      </c>
      <c r="B1667" s="4" t="s">
        <v>6</v>
      </c>
      <c r="C1667" s="4" t="str">
        <f t="shared" si="69"/>
        <v>-</v>
      </c>
      <c r="D1667" s="4" t="str">
        <f>"1053587X"</f>
        <v>1053587X</v>
      </c>
      <c r="E1667" s="4" t="str">
        <f t="shared" ref="E1667:E1673" si="71">"-"</f>
        <v>-</v>
      </c>
      <c r="F1667" s="4" t="s">
        <v>105</v>
      </c>
    </row>
    <row r="1668" spans="1:6" x14ac:dyDescent="0.25">
      <c r="A1668" s="4" t="str">
        <f>"IEEE Transactions on Smart Grid"</f>
        <v>IEEE Transactions on Smart Grid</v>
      </c>
      <c r="B1668" s="4" t="s">
        <v>6</v>
      </c>
      <c r="C1668" s="4" t="str">
        <f t="shared" si="69"/>
        <v>-</v>
      </c>
      <c r="D1668" s="4" t="str">
        <f>"19493053"</f>
        <v>19493053</v>
      </c>
      <c r="E1668" s="4" t="str">
        <f t="shared" si="71"/>
        <v>-</v>
      </c>
      <c r="F1668" s="4" t="s">
        <v>105</v>
      </c>
    </row>
    <row r="1669" spans="1:6" x14ac:dyDescent="0.25">
      <c r="A1669" s="4" t="str">
        <f>"IEEE Transactions on Software Engineering"</f>
        <v>IEEE Transactions on Software Engineering</v>
      </c>
      <c r="B1669" s="4" t="s">
        <v>6</v>
      </c>
      <c r="C1669" s="4" t="str">
        <f t="shared" si="69"/>
        <v>-</v>
      </c>
      <c r="D1669" s="4" t="str">
        <f>"00985589"</f>
        <v>00985589</v>
      </c>
      <c r="E1669" s="4" t="str">
        <f t="shared" si="71"/>
        <v>-</v>
      </c>
      <c r="F1669" s="4" t="s">
        <v>105</v>
      </c>
    </row>
    <row r="1670" spans="1:6" x14ac:dyDescent="0.25">
      <c r="A1670" s="4" t="str">
        <f>"IEEE Transactions on Sustainable Energy"</f>
        <v>IEEE Transactions on Sustainable Energy</v>
      </c>
      <c r="B1670" s="4" t="s">
        <v>6</v>
      </c>
      <c r="C1670" s="4" t="str">
        <f t="shared" si="69"/>
        <v>-</v>
      </c>
      <c r="D1670" s="4" t="str">
        <f>"19493029"</f>
        <v>19493029</v>
      </c>
      <c r="E1670" s="4" t="str">
        <f t="shared" si="71"/>
        <v>-</v>
      </c>
      <c r="F1670" s="4" t="s">
        <v>105</v>
      </c>
    </row>
    <row r="1671" spans="1:6" x14ac:dyDescent="0.25">
      <c r="A1671" s="4" t="str">
        <f>"IEEE Transactions on Systems, Man and Cybernetics Part C: Applications and Reviews"</f>
        <v>IEEE Transactions on Systems, Man and Cybernetics Part C: Applications and Reviews</v>
      </c>
      <c r="B1671" s="4" t="s">
        <v>6</v>
      </c>
      <c r="C1671" s="4" t="str">
        <f t="shared" si="69"/>
        <v>-</v>
      </c>
      <c r="D1671" s="4" t="str">
        <f>"10946977"</f>
        <v>10946977</v>
      </c>
      <c r="E1671" s="4" t="str">
        <f t="shared" si="71"/>
        <v>-</v>
      </c>
      <c r="F1671" s="4" t="s">
        <v>105</v>
      </c>
    </row>
    <row r="1672" spans="1:6" x14ac:dyDescent="0.25">
      <c r="A1672" s="4" t="str">
        <f>"IEEE Transactions on Systems, Man, and Cybernetics: Systems"</f>
        <v>IEEE Transactions on Systems, Man, and Cybernetics: Systems</v>
      </c>
      <c r="B1672" s="4" t="s">
        <v>6</v>
      </c>
      <c r="C1672" s="4" t="str">
        <f t="shared" si="69"/>
        <v>-</v>
      </c>
      <c r="D1672" s="4" t="str">
        <f>"10834427"</f>
        <v>10834427</v>
      </c>
      <c r="E1672" s="4" t="str">
        <f t="shared" si="71"/>
        <v>-</v>
      </c>
      <c r="F1672" s="4" t="s">
        <v>105</v>
      </c>
    </row>
    <row r="1673" spans="1:6" x14ac:dyDescent="0.25">
      <c r="A1673" s="4" t="str">
        <f>"IEEE Transactions on Terahertz Science and Technology"</f>
        <v>IEEE Transactions on Terahertz Science and Technology</v>
      </c>
      <c r="B1673" s="4" t="s">
        <v>6</v>
      </c>
      <c r="C1673" s="4" t="str">
        <f t="shared" si="69"/>
        <v>-</v>
      </c>
      <c r="D1673" s="4" t="str">
        <f>"2156342X"</f>
        <v>2156342X</v>
      </c>
      <c r="E1673" s="4" t="str">
        <f t="shared" si="71"/>
        <v>-</v>
      </c>
      <c r="F1673" s="4" t="s">
        <v>519</v>
      </c>
    </row>
    <row r="1674" spans="1:6" x14ac:dyDescent="0.25">
      <c r="A1674" s="4" t="str">
        <f>"IEEE Transactions on Transportation Electrification"</f>
        <v>IEEE Transactions on Transportation Electrification</v>
      </c>
      <c r="B1674" s="4" t="s">
        <v>6</v>
      </c>
      <c r="C1674" s="4" t="str">
        <f t="shared" si="69"/>
        <v>-</v>
      </c>
      <c r="D1674" s="4" t="str">
        <f>"-"</f>
        <v>-</v>
      </c>
      <c r="E1674" s="4" t="str">
        <f>"23327782"</f>
        <v>23327782</v>
      </c>
      <c r="F1674" s="4" t="s">
        <v>105</v>
      </c>
    </row>
    <row r="1675" spans="1:6" x14ac:dyDescent="0.25">
      <c r="A1675" s="4" t="str">
        <f>"IEEE Transactions on Ultrasonics, Ferroelectrics, and Frequency Control"</f>
        <v>IEEE Transactions on Ultrasonics, Ferroelectrics, and Frequency Control</v>
      </c>
      <c r="B1675" s="4" t="s">
        <v>6</v>
      </c>
      <c r="C1675" s="4" t="str">
        <f t="shared" si="69"/>
        <v>-</v>
      </c>
      <c r="D1675" s="4" t="str">
        <f>"08853010"</f>
        <v>08853010</v>
      </c>
      <c r="E1675" s="4" t="str">
        <f>"-"</f>
        <v>-</v>
      </c>
      <c r="F1675" s="4" t="s">
        <v>105</v>
      </c>
    </row>
    <row r="1676" spans="1:6" x14ac:dyDescent="0.25">
      <c r="A1676" s="4" t="str">
        <f>"IEEE Transactions on Vehicular Technology"</f>
        <v>IEEE Transactions on Vehicular Technology</v>
      </c>
      <c r="B1676" s="4" t="s">
        <v>6</v>
      </c>
      <c r="C1676" s="4" t="str">
        <f t="shared" si="69"/>
        <v>-</v>
      </c>
      <c r="D1676" s="4" t="str">
        <f>"00189545"</f>
        <v>00189545</v>
      </c>
      <c r="E1676" s="4" t="str">
        <f>"-"</f>
        <v>-</v>
      </c>
      <c r="F1676" s="4" t="s">
        <v>105</v>
      </c>
    </row>
    <row r="1677" spans="1:6" x14ac:dyDescent="0.25">
      <c r="A1677" s="4" t="str">
        <f>"IEEE Transactions on Very Large Scale Integration (VLSI) Systems"</f>
        <v>IEEE Transactions on Very Large Scale Integration (VLSI) Systems</v>
      </c>
      <c r="B1677" s="4" t="s">
        <v>6</v>
      </c>
      <c r="C1677" s="4" t="str">
        <f t="shared" si="69"/>
        <v>-</v>
      </c>
      <c r="D1677" s="4" t="str">
        <f>"10638210"</f>
        <v>10638210</v>
      </c>
      <c r="E1677" s="4" t="str">
        <f>"-"</f>
        <v>-</v>
      </c>
      <c r="F1677" s="4" t="s">
        <v>105</v>
      </c>
    </row>
    <row r="1678" spans="1:6" x14ac:dyDescent="0.25">
      <c r="A1678" s="4" t="str">
        <f>"IEEE Transactions on Visualization and Computer Graphics"</f>
        <v>IEEE Transactions on Visualization and Computer Graphics</v>
      </c>
      <c r="B1678" s="4" t="s">
        <v>6</v>
      </c>
      <c r="C1678" s="4" t="str">
        <f t="shared" si="69"/>
        <v>-</v>
      </c>
      <c r="D1678" s="4" t="str">
        <f>"10772626"</f>
        <v>10772626</v>
      </c>
      <c r="E1678" s="4" t="str">
        <f>"-"</f>
        <v>-</v>
      </c>
      <c r="F1678" s="4" t="s">
        <v>9</v>
      </c>
    </row>
    <row r="1679" spans="1:6" x14ac:dyDescent="0.25">
      <c r="A1679" s="4" t="str">
        <f>"IEEE Transactions on Wireless Communications"</f>
        <v>IEEE Transactions on Wireless Communications</v>
      </c>
      <c r="B1679" s="4" t="s">
        <v>6</v>
      </c>
      <c r="C1679" s="4" t="str">
        <f t="shared" si="69"/>
        <v>-</v>
      </c>
      <c r="D1679" s="4" t="str">
        <f>"15361276"</f>
        <v>15361276</v>
      </c>
      <c r="E1679" s="4" t="str">
        <f>"-"</f>
        <v>-</v>
      </c>
      <c r="F1679" s="4" t="s">
        <v>105</v>
      </c>
    </row>
    <row r="1680" spans="1:6" x14ac:dyDescent="0.25">
      <c r="A1680" s="4" t="str">
        <f>"IEEE Vehicular Networking Conference, VNC"</f>
        <v>IEEE Vehicular Networking Conference, VNC</v>
      </c>
      <c r="B1680" s="4" t="s">
        <v>8</v>
      </c>
      <c r="C1680" s="4" t="str">
        <f t="shared" si="69"/>
        <v>-</v>
      </c>
      <c r="D1680" s="4" t="str">
        <f>"21579857"</f>
        <v>21579857</v>
      </c>
      <c r="E1680" s="4" t="str">
        <f>"21579865"</f>
        <v>21579865</v>
      </c>
      <c r="F1680" s="4" t="s">
        <v>9</v>
      </c>
    </row>
    <row r="1681" spans="1:6" x14ac:dyDescent="0.25">
      <c r="A1681" s="4" t="str">
        <f>"IEEE Vehicular Technology Conference"</f>
        <v>IEEE Vehicular Technology Conference</v>
      </c>
      <c r="B1681" s="4" t="s">
        <v>8</v>
      </c>
      <c r="C1681" s="4" t="str">
        <f t="shared" si="69"/>
        <v>-</v>
      </c>
      <c r="D1681" s="4" t="str">
        <f>"15502252"</f>
        <v>15502252</v>
      </c>
      <c r="E1681" s="4" t="str">
        <f>"-"</f>
        <v>-</v>
      </c>
      <c r="F1681" s="4" t="s">
        <v>105</v>
      </c>
    </row>
    <row r="1682" spans="1:6" x14ac:dyDescent="0.25">
      <c r="A1682" s="4" t="str">
        <f>"IEEE Vehicular Technology Magazine"</f>
        <v>IEEE Vehicular Technology Magazine</v>
      </c>
      <c r="B1682" s="4" t="s">
        <v>6</v>
      </c>
      <c r="C1682" s="4" t="str">
        <f t="shared" si="69"/>
        <v>-</v>
      </c>
      <c r="D1682" s="4" t="str">
        <f>"15566072"</f>
        <v>15566072</v>
      </c>
      <c r="E1682" s="4" t="str">
        <f>"-"</f>
        <v>-</v>
      </c>
      <c r="F1682" s="4" t="s">
        <v>105</v>
      </c>
    </row>
    <row r="1683" spans="1:6" x14ac:dyDescent="0.25">
      <c r="A1683" s="4" t="str">
        <f>"IEEE Wireless Communications"</f>
        <v>IEEE Wireless Communications</v>
      </c>
      <c r="B1683" s="4" t="s">
        <v>6</v>
      </c>
      <c r="C1683" s="4" t="str">
        <f t="shared" si="69"/>
        <v>-</v>
      </c>
      <c r="D1683" s="4" t="str">
        <f>"15361284"</f>
        <v>15361284</v>
      </c>
      <c r="E1683" s="4" t="str">
        <f>"-"</f>
        <v>-</v>
      </c>
      <c r="F1683" s="4" t="s">
        <v>105</v>
      </c>
    </row>
    <row r="1684" spans="1:6" x14ac:dyDescent="0.25">
      <c r="A1684" s="4" t="str">
        <f>"IEEE Wireless Communications and Networking Conference, WCNC"</f>
        <v>IEEE Wireless Communications and Networking Conference, WCNC</v>
      </c>
      <c r="B1684" s="4" t="s">
        <v>8</v>
      </c>
      <c r="C1684" s="4" t="str">
        <f t="shared" si="69"/>
        <v>-</v>
      </c>
      <c r="D1684" s="4" t="str">
        <f>"15253511"</f>
        <v>15253511</v>
      </c>
      <c r="E1684" s="4" t="str">
        <f>"-"</f>
        <v>-</v>
      </c>
      <c r="F1684" s="4" t="s">
        <v>105</v>
      </c>
    </row>
    <row r="1685" spans="1:6" x14ac:dyDescent="0.25">
      <c r="A1685" s="4" t="str">
        <f>"IEEE Wireless Communications and Networking Conference, WCNC"</f>
        <v>IEEE Wireless Communications and Networking Conference, WCNC</v>
      </c>
      <c r="B1685" s="4" t="s">
        <v>8</v>
      </c>
      <c r="C1685" s="4" t="str">
        <f t="shared" si="69"/>
        <v>-</v>
      </c>
      <c r="D1685" s="4" t="str">
        <f>"15253511"</f>
        <v>15253511</v>
      </c>
      <c r="E1685" s="4" t="str">
        <f>"-"</f>
        <v>-</v>
      </c>
      <c r="F1685" s="4" t="s">
        <v>105</v>
      </c>
    </row>
    <row r="1686" spans="1:6" x14ac:dyDescent="0.25">
      <c r="A1686" s="4" t="str">
        <f>"IEEE Wireless Communications Letters"</f>
        <v>IEEE Wireless Communications Letters</v>
      </c>
      <c r="B1686" s="4" t="s">
        <v>6</v>
      </c>
      <c r="C1686" s="4" t="str">
        <f t="shared" si="69"/>
        <v>-</v>
      </c>
      <c r="D1686" s="4" t="str">
        <f>"21622337"</f>
        <v>21622337</v>
      </c>
      <c r="E1686" s="4" t="str">
        <f>"21622345"</f>
        <v>21622345</v>
      </c>
      <c r="F1686" s="4" t="s">
        <v>105</v>
      </c>
    </row>
    <row r="1687" spans="1:6" x14ac:dyDescent="0.25">
      <c r="A1687" s="4" t="str">
        <f>"IEEE Women in Engineering Magazine"</f>
        <v>IEEE Women in Engineering Magazine</v>
      </c>
      <c r="B1687" s="4" t="s">
        <v>22</v>
      </c>
      <c r="C1687" s="4" t="str">
        <f t="shared" si="69"/>
        <v>-</v>
      </c>
      <c r="D1687" s="4" t="str">
        <f>"1942065X"</f>
        <v>1942065X</v>
      </c>
      <c r="E1687" s="4" t="str">
        <f>"-"</f>
        <v>-</v>
      </c>
      <c r="F1687" s="4" t="s">
        <v>105</v>
      </c>
    </row>
    <row r="1688" spans="1:6" x14ac:dyDescent="0.25">
      <c r="A1688" s="4" t="str">
        <f>"IEEE Workshop on Applications of Signal Processing to Audio and Acoustics"</f>
        <v>IEEE Workshop on Applications of Signal Processing to Audio and Acoustics</v>
      </c>
      <c r="B1688" s="4" t="s">
        <v>8</v>
      </c>
      <c r="C1688" s="4" t="str">
        <f t="shared" si="69"/>
        <v>-</v>
      </c>
      <c r="D1688" s="4" t="str">
        <f>"-"</f>
        <v>-</v>
      </c>
      <c r="E1688" s="4" t="str">
        <f>"-"</f>
        <v>-</v>
      </c>
      <c r="F1688" s="4" t="s">
        <v>105</v>
      </c>
    </row>
    <row r="1689" spans="1:6" x14ac:dyDescent="0.25">
      <c r="A1689" s="4" t="str">
        <f>"IEEE Workshop on Computational Intelligence in Biometrics and Identity Management, CIBIM"</f>
        <v>IEEE Workshop on Computational Intelligence in Biometrics and Identity Management, CIBIM</v>
      </c>
      <c r="B1689" s="4" t="s">
        <v>8</v>
      </c>
      <c r="C1689" s="4" t="str">
        <f t="shared" si="69"/>
        <v>-</v>
      </c>
      <c r="D1689" s="4" t="str">
        <f>"23254300"</f>
        <v>23254300</v>
      </c>
      <c r="E1689" s="4" t="str">
        <f>"23254319"</f>
        <v>23254319</v>
      </c>
      <c r="F1689" s="4" t="s">
        <v>9</v>
      </c>
    </row>
    <row r="1690" spans="1:6" x14ac:dyDescent="0.25">
      <c r="A1690" s="4" t="str">
        <f>"IEEE Workshop on Local and Metropolitan Area Networks"</f>
        <v>IEEE Workshop on Local and Metropolitan Area Networks</v>
      </c>
      <c r="B1690" s="4" t="s">
        <v>8</v>
      </c>
      <c r="C1690" s="4" t="str">
        <f t="shared" si="69"/>
        <v>-</v>
      </c>
      <c r="D1690" s="4" t="str">
        <f>"19440367"</f>
        <v>19440367</v>
      </c>
      <c r="E1690" s="4" t="str">
        <f>"19440375"</f>
        <v>19440375</v>
      </c>
      <c r="F1690" s="4" t="s">
        <v>9</v>
      </c>
    </row>
    <row r="1691" spans="1:6" x14ac:dyDescent="0.25">
      <c r="A1691" s="4" t="str">
        <f>"IEEE Workshop on Microelectronics and Electron Devices, WMED"</f>
        <v>IEEE Workshop on Microelectronics and Electron Devices, WMED</v>
      </c>
      <c r="B1691" s="4" t="s">
        <v>8</v>
      </c>
      <c r="C1691" s="4" t="str">
        <f t="shared" si="69"/>
        <v>-</v>
      </c>
      <c r="D1691" s="4" t="str">
        <f>"19473834"</f>
        <v>19473834</v>
      </c>
      <c r="E1691" s="4" t="str">
        <f>"19473842"</f>
        <v>19473842</v>
      </c>
      <c r="F1691" s="4" t="s">
        <v>105</v>
      </c>
    </row>
    <row r="1692" spans="1:6" x14ac:dyDescent="0.25">
      <c r="A1692" s="4" t="str">
        <f>"IEEE Workshop on Power Electronics in Transportation"</f>
        <v>IEEE Workshop on Power Electronics in Transportation</v>
      </c>
      <c r="B1692" s="4" t="s">
        <v>8</v>
      </c>
      <c r="C1692" s="4" t="str">
        <f t="shared" si="69"/>
        <v>-</v>
      </c>
      <c r="D1692" s="4" t="str">
        <f>"-"</f>
        <v>-</v>
      </c>
      <c r="E1692" s="4" t="str">
        <f>"-"</f>
        <v>-</v>
      </c>
      <c r="F1692" s="4" t="s">
        <v>105</v>
      </c>
    </row>
    <row r="1693" spans="1:6" x14ac:dyDescent="0.25">
      <c r="A1693" s="4" t="str">
        <f>"IEEE Workshop on Signal Processing Advances in Wireless Communications, SPAWC"</f>
        <v>IEEE Workshop on Signal Processing Advances in Wireless Communications, SPAWC</v>
      </c>
      <c r="B1693" s="4" t="s">
        <v>8</v>
      </c>
      <c r="C1693" s="4" t="str">
        <f t="shared" ref="C1693:C1756" si="72">"-"</f>
        <v>-</v>
      </c>
      <c r="D1693" s="4" t="str">
        <f>"-"</f>
        <v>-</v>
      </c>
      <c r="E1693" s="4" t="str">
        <f>"-"</f>
        <v>-</v>
      </c>
      <c r="F1693" s="4" t="s">
        <v>105</v>
      </c>
    </row>
    <row r="1694" spans="1:6" x14ac:dyDescent="0.25">
      <c r="A1694" s="4" t="str">
        <f>"IEEE Workshop on Signal Processing Systems, SiPS: Design and Implementation"</f>
        <v>IEEE Workshop on Signal Processing Systems, SiPS: Design and Implementation</v>
      </c>
      <c r="B1694" s="4" t="s">
        <v>8</v>
      </c>
      <c r="C1694" s="4" t="str">
        <f t="shared" si="72"/>
        <v>-</v>
      </c>
      <c r="D1694" s="4" t="str">
        <f>"15206130"</f>
        <v>15206130</v>
      </c>
      <c r="E1694" s="4" t="str">
        <f t="shared" ref="E1694:E1701" si="73">"-"</f>
        <v>-</v>
      </c>
      <c r="F1694" s="4" t="s">
        <v>105</v>
      </c>
    </row>
    <row r="1695" spans="1:6" x14ac:dyDescent="0.25">
      <c r="A1695" s="4" t="str">
        <f>"IEEE Workshop on Statistical Signal Processing Proceedings"</f>
        <v>IEEE Workshop on Statistical Signal Processing Proceedings</v>
      </c>
      <c r="B1695" s="4" t="s">
        <v>8</v>
      </c>
      <c r="C1695" s="4" t="str">
        <f t="shared" si="72"/>
        <v>-</v>
      </c>
      <c r="D1695" s="4" t="str">
        <f>"-"</f>
        <v>-</v>
      </c>
      <c r="E1695" s="4" t="str">
        <f t="shared" si="73"/>
        <v>-</v>
      </c>
      <c r="F1695" s="4" t="s">
        <v>9</v>
      </c>
    </row>
    <row r="1696" spans="1:6" x14ac:dyDescent="0.25">
      <c r="A1696" s="4" t="str">
        <f>"IEEE/ACM International Conference on Computer-Aided Design, Digest of Technical Papers, ICCAD"</f>
        <v>IEEE/ACM International Conference on Computer-Aided Design, Digest of Technical Papers, ICCAD</v>
      </c>
      <c r="B1696" s="4" t="s">
        <v>8</v>
      </c>
      <c r="C1696" s="4" t="str">
        <f t="shared" si="72"/>
        <v>-</v>
      </c>
      <c r="D1696" s="4" t="str">
        <f>"10923152"</f>
        <v>10923152</v>
      </c>
      <c r="E1696" s="4" t="str">
        <f t="shared" si="73"/>
        <v>-</v>
      </c>
      <c r="F1696" s="4" t="s">
        <v>105</v>
      </c>
    </row>
    <row r="1697" spans="1:6" x14ac:dyDescent="0.25">
      <c r="A1697" s="4" t="str">
        <f>"IEEE/ACM Transactions on Computational Biology and Bioinformatics"</f>
        <v>IEEE/ACM Transactions on Computational Biology and Bioinformatics</v>
      </c>
      <c r="B1697" s="4" t="s">
        <v>6</v>
      </c>
      <c r="C1697" s="4" t="str">
        <f t="shared" si="72"/>
        <v>-</v>
      </c>
      <c r="D1697" s="4" t="str">
        <f>"15455963"</f>
        <v>15455963</v>
      </c>
      <c r="E1697" s="4" t="str">
        <f t="shared" si="73"/>
        <v>-</v>
      </c>
      <c r="F1697" s="4" t="s">
        <v>105</v>
      </c>
    </row>
    <row r="1698" spans="1:6" x14ac:dyDescent="0.25">
      <c r="A1698" s="4" t="str">
        <f>"IEEE/ACM Transactions on Networking"</f>
        <v>IEEE/ACM Transactions on Networking</v>
      </c>
      <c r="B1698" s="4" t="s">
        <v>6</v>
      </c>
      <c r="C1698" s="4" t="str">
        <f t="shared" si="72"/>
        <v>-</v>
      </c>
      <c r="D1698" s="4" t="str">
        <f>"10636692"</f>
        <v>10636692</v>
      </c>
      <c r="E1698" s="4" t="str">
        <f t="shared" si="73"/>
        <v>-</v>
      </c>
      <c r="F1698" s="4" t="s">
        <v>105</v>
      </c>
    </row>
    <row r="1699" spans="1:6" x14ac:dyDescent="0.25">
      <c r="A1699" s="4" t="str">
        <f>"IEEE/ACM Transactions on Speech and Language Processing"</f>
        <v>IEEE/ACM Transactions on Speech and Language Processing</v>
      </c>
      <c r="B1699" s="4" t="s">
        <v>6</v>
      </c>
      <c r="C1699" s="4" t="str">
        <f t="shared" si="72"/>
        <v>-</v>
      </c>
      <c r="D1699" s="4" t="str">
        <f>"23299290"</f>
        <v>23299290</v>
      </c>
      <c r="E1699" s="4" t="str">
        <f t="shared" si="73"/>
        <v>-</v>
      </c>
      <c r="F1699" s="4" t="s">
        <v>105</v>
      </c>
    </row>
    <row r="1700" spans="1:6" x14ac:dyDescent="0.25">
      <c r="A1700" s="4" t="str">
        <f>"IEEE/ASME International Conference on Advanced Intelligent Mechatronics, AIM"</f>
        <v>IEEE/ASME International Conference on Advanced Intelligent Mechatronics, AIM</v>
      </c>
      <c r="B1700" s="4" t="s">
        <v>8</v>
      </c>
      <c r="C1700" s="4" t="str">
        <f t="shared" si="72"/>
        <v>-</v>
      </c>
      <c r="D1700" s="4" t="str">
        <f>"-"</f>
        <v>-</v>
      </c>
      <c r="E1700" s="4" t="str">
        <f t="shared" si="73"/>
        <v>-</v>
      </c>
      <c r="F1700" s="4" t="s">
        <v>105</v>
      </c>
    </row>
    <row r="1701" spans="1:6" x14ac:dyDescent="0.25">
      <c r="A1701" s="4" t="str">
        <f>"IEEE/ASME Transactions on Mechatronics"</f>
        <v>IEEE/ASME Transactions on Mechatronics</v>
      </c>
      <c r="B1701" s="4" t="s">
        <v>6</v>
      </c>
      <c r="C1701" s="4" t="str">
        <f t="shared" si="72"/>
        <v>-</v>
      </c>
      <c r="D1701" s="4" t="str">
        <f>"10834435"</f>
        <v>10834435</v>
      </c>
      <c r="E1701" s="4" t="str">
        <f t="shared" si="73"/>
        <v>-</v>
      </c>
      <c r="F1701" s="4" t="s">
        <v>105</v>
      </c>
    </row>
    <row r="1702" spans="1:6" x14ac:dyDescent="0.25">
      <c r="A1702" s="4" t="str">
        <f>"IEEE/CAA Journal of Automatica Sinica"</f>
        <v>IEEE/CAA Journal of Automatica Sinica</v>
      </c>
      <c r="B1702" s="4" t="s">
        <v>6</v>
      </c>
      <c r="C1702" s="4" t="str">
        <f t="shared" si="72"/>
        <v>-</v>
      </c>
      <c r="D1702" s="4" t="str">
        <f>"23299266"</f>
        <v>23299266</v>
      </c>
      <c r="E1702" s="4" t="str">
        <f>"23299274"</f>
        <v>23299274</v>
      </c>
      <c r="F1702" s="4" t="s">
        <v>105</v>
      </c>
    </row>
    <row r="1703" spans="1:6" x14ac:dyDescent="0.25">
      <c r="A1703" s="4" t="str">
        <f>"IEEE/IAFE Conference on Computational Intelligence for Financial Engineering, Proceedings (CIFEr)"</f>
        <v>IEEE/IAFE Conference on Computational Intelligence for Financial Engineering, Proceedings (CIFEr)</v>
      </c>
      <c r="B1703" s="4" t="s">
        <v>8</v>
      </c>
      <c r="C1703" s="4" t="str">
        <f t="shared" si="72"/>
        <v>-</v>
      </c>
      <c r="D1703" s="4" t="str">
        <f>"-"</f>
        <v>-</v>
      </c>
      <c r="E1703" s="4" t="str">
        <f>"-"</f>
        <v>-</v>
      </c>
      <c r="F1703" s="4" t="s">
        <v>105</v>
      </c>
    </row>
    <row r="1704" spans="1:6" x14ac:dyDescent="0.25">
      <c r="A1704" s="4" t="str">
        <f>"IEEE/IFIP International Conference on VLSI and System-on-Chip, VLSI-SoC"</f>
        <v>IEEE/IFIP International Conference on VLSI and System-on-Chip, VLSI-SoC</v>
      </c>
      <c r="B1704" s="4" t="s">
        <v>8</v>
      </c>
      <c r="C1704" s="4" t="str">
        <f t="shared" si="72"/>
        <v>-</v>
      </c>
      <c r="D1704" s="4" t="str">
        <f>"23248432"</f>
        <v>23248432</v>
      </c>
      <c r="E1704" s="4" t="str">
        <f>"23248440"</f>
        <v>23248440</v>
      </c>
      <c r="F1704" s="4" t="s">
        <v>9</v>
      </c>
    </row>
    <row r="1705" spans="1:6" x14ac:dyDescent="0.25">
      <c r="A1705" s="4" t="str">
        <f>"IEEE/OSA Journal of Display Technology"</f>
        <v>IEEE/OSA Journal of Display Technology</v>
      </c>
      <c r="B1705" s="4" t="s">
        <v>6</v>
      </c>
      <c r="C1705" s="4" t="str">
        <f t="shared" si="72"/>
        <v>-</v>
      </c>
      <c r="D1705" s="4" t="str">
        <f>"1551319X"</f>
        <v>1551319X</v>
      </c>
      <c r="E1705" s="4" t="str">
        <f>"-"</f>
        <v>-</v>
      </c>
      <c r="F1705" s="4" t="s">
        <v>9</v>
      </c>
    </row>
    <row r="1706" spans="1:6" x14ac:dyDescent="0.25">
      <c r="A1706" s="4" t="str">
        <f>"IEEE-RAS International Conference on Humanoid Robots"</f>
        <v>IEEE-RAS International Conference on Humanoid Robots</v>
      </c>
      <c r="B1706" s="4" t="s">
        <v>8</v>
      </c>
      <c r="C1706" s="4" t="str">
        <f t="shared" si="72"/>
        <v>-</v>
      </c>
      <c r="D1706" s="4" t="str">
        <f>"21640572"</f>
        <v>21640572</v>
      </c>
      <c r="E1706" s="4" t="str">
        <f>"21640580"</f>
        <v>21640580</v>
      </c>
      <c r="F1706" s="4" t="s">
        <v>9</v>
      </c>
    </row>
    <row r="1707" spans="1:6" x14ac:dyDescent="0.25">
      <c r="A1707" s="4" t="str">
        <f>"IEEJ Transactions on Electrical and Electronic Engineering"</f>
        <v>IEEJ Transactions on Electrical and Electronic Engineering</v>
      </c>
      <c r="B1707" s="4" t="s">
        <v>6</v>
      </c>
      <c r="C1707" s="4" t="str">
        <f t="shared" si="72"/>
        <v>-</v>
      </c>
      <c r="D1707" s="4" t="str">
        <f>"19314973"</f>
        <v>19314973</v>
      </c>
      <c r="E1707" s="4" t="str">
        <f>"19314981"</f>
        <v>19314981</v>
      </c>
      <c r="F1707" s="4" t="s">
        <v>87</v>
      </c>
    </row>
    <row r="1708" spans="1:6" x14ac:dyDescent="0.25">
      <c r="A1708" s="4" t="str">
        <f>"IEEJ Transactions on Electronics, Information and Systems"</f>
        <v>IEEJ Transactions on Electronics, Information and Systems</v>
      </c>
      <c r="B1708" s="4" t="s">
        <v>6</v>
      </c>
      <c r="C1708" s="4" t="str">
        <f t="shared" si="72"/>
        <v>-</v>
      </c>
      <c r="D1708" s="4" t="str">
        <f>"03854221"</f>
        <v>03854221</v>
      </c>
      <c r="E1708" s="4" t="str">
        <f>"13488155"</f>
        <v>13488155</v>
      </c>
      <c r="F1708" s="4" t="s">
        <v>520</v>
      </c>
    </row>
    <row r="1709" spans="1:6" x14ac:dyDescent="0.25">
      <c r="A1709" s="4" t="str">
        <f>"IEEJ Transactions on Fundamentals and Materials"</f>
        <v>IEEJ Transactions on Fundamentals and Materials</v>
      </c>
      <c r="B1709" s="4" t="s">
        <v>6</v>
      </c>
      <c r="C1709" s="4" t="str">
        <f t="shared" si="72"/>
        <v>-</v>
      </c>
      <c r="D1709" s="4" t="str">
        <f>"03854205"</f>
        <v>03854205</v>
      </c>
      <c r="E1709" s="4" t="str">
        <f>"13475533"</f>
        <v>13475533</v>
      </c>
      <c r="F1709" s="4" t="s">
        <v>520</v>
      </c>
    </row>
    <row r="1710" spans="1:6" x14ac:dyDescent="0.25">
      <c r="A1710" s="4" t="str">
        <f>"IEEJ Transactions on Industry Applications"</f>
        <v>IEEJ Transactions on Industry Applications</v>
      </c>
      <c r="B1710" s="4" t="s">
        <v>6</v>
      </c>
      <c r="C1710" s="4" t="str">
        <f t="shared" si="72"/>
        <v>-</v>
      </c>
      <c r="D1710" s="4" t="str">
        <f>"09136339"</f>
        <v>09136339</v>
      </c>
      <c r="E1710" s="4" t="str">
        <f>"13488163"</f>
        <v>13488163</v>
      </c>
      <c r="F1710" s="4" t="s">
        <v>520</v>
      </c>
    </row>
    <row r="1711" spans="1:6" x14ac:dyDescent="0.25">
      <c r="A1711" s="4" t="str">
        <f>"IEEJ Transactions on Power and Energy"</f>
        <v>IEEJ Transactions on Power and Energy</v>
      </c>
      <c r="B1711" s="4" t="s">
        <v>6</v>
      </c>
      <c r="C1711" s="4" t="str">
        <f t="shared" si="72"/>
        <v>-</v>
      </c>
      <c r="D1711" s="4" t="str">
        <f>"03854213"</f>
        <v>03854213</v>
      </c>
      <c r="E1711" s="4" t="str">
        <f>"13488147"</f>
        <v>13488147</v>
      </c>
      <c r="F1711" s="4" t="s">
        <v>520</v>
      </c>
    </row>
    <row r="1712" spans="1:6" x14ac:dyDescent="0.25">
      <c r="A1712" s="4" t="str">
        <f>"IEEJ Transactions on Sensors and Micromachines"</f>
        <v>IEEJ Transactions on Sensors and Micromachines</v>
      </c>
      <c r="B1712" s="4" t="s">
        <v>6</v>
      </c>
      <c r="C1712" s="4" t="str">
        <f t="shared" si="72"/>
        <v>-</v>
      </c>
      <c r="D1712" s="4" t="str">
        <f>"13418939"</f>
        <v>13418939</v>
      </c>
      <c r="E1712" s="4" t="str">
        <f>"13475525"</f>
        <v>13475525</v>
      </c>
      <c r="F1712" s="4" t="s">
        <v>520</v>
      </c>
    </row>
    <row r="1713" spans="1:6" x14ac:dyDescent="0.25">
      <c r="A1713" s="4" t="str">
        <f>"IEICE Electronics Express"</f>
        <v>IEICE Electronics Express</v>
      </c>
      <c r="B1713" s="4" t="s">
        <v>6</v>
      </c>
      <c r="C1713" s="4" t="str">
        <f t="shared" si="72"/>
        <v>-</v>
      </c>
      <c r="D1713" s="4" t="str">
        <f>"13492543"</f>
        <v>13492543</v>
      </c>
      <c r="E1713" s="4" t="str">
        <f>"-"</f>
        <v>-</v>
      </c>
      <c r="F1713" s="4" t="s">
        <v>521</v>
      </c>
    </row>
    <row r="1714" spans="1:6" x14ac:dyDescent="0.25">
      <c r="A1714" s="4" t="str">
        <f>"IEICE Transactions on Communications"</f>
        <v>IEICE Transactions on Communications</v>
      </c>
      <c r="B1714" s="4" t="s">
        <v>6</v>
      </c>
      <c r="C1714" s="4" t="str">
        <f t="shared" si="72"/>
        <v>-</v>
      </c>
      <c r="D1714" s="4" t="str">
        <f>"09168516"</f>
        <v>09168516</v>
      </c>
      <c r="E1714" s="4" t="str">
        <f>"17451345"</f>
        <v>17451345</v>
      </c>
      <c r="F1714" s="4" t="s">
        <v>522</v>
      </c>
    </row>
    <row r="1715" spans="1:6" x14ac:dyDescent="0.25">
      <c r="A1715" s="4" t="str">
        <f>"IEICE Transactions on Electronics"</f>
        <v>IEICE Transactions on Electronics</v>
      </c>
      <c r="B1715" s="4" t="s">
        <v>6</v>
      </c>
      <c r="C1715" s="4" t="str">
        <f t="shared" si="72"/>
        <v>-</v>
      </c>
      <c r="D1715" s="4" t="str">
        <f>"09168524"</f>
        <v>09168524</v>
      </c>
      <c r="E1715" s="4" t="str">
        <f>"17451353"</f>
        <v>17451353</v>
      </c>
      <c r="F1715" s="4" t="s">
        <v>522</v>
      </c>
    </row>
    <row r="1716" spans="1:6" x14ac:dyDescent="0.25">
      <c r="A1716" s="4" t="str">
        <f>"IEICE Transactions on Fundamentals of Electronics, Communications and Computer Sciences"</f>
        <v>IEICE Transactions on Fundamentals of Electronics, Communications and Computer Sciences</v>
      </c>
      <c r="B1716" s="4" t="s">
        <v>6</v>
      </c>
      <c r="C1716" s="4" t="str">
        <f t="shared" si="72"/>
        <v>-</v>
      </c>
      <c r="D1716" s="4" t="str">
        <f>"09168508"</f>
        <v>09168508</v>
      </c>
      <c r="E1716" s="4" t="str">
        <f>"17451337"</f>
        <v>17451337</v>
      </c>
      <c r="F1716" s="4" t="s">
        <v>522</v>
      </c>
    </row>
    <row r="1717" spans="1:6" x14ac:dyDescent="0.25">
      <c r="A1717" s="4" t="str">
        <f>"IEICE Transactions on Information and Systems"</f>
        <v>IEICE Transactions on Information and Systems</v>
      </c>
      <c r="B1717" s="4" t="s">
        <v>6</v>
      </c>
      <c r="C1717" s="4" t="str">
        <f t="shared" si="72"/>
        <v>-</v>
      </c>
      <c r="D1717" s="4" t="str">
        <f>"09168532"</f>
        <v>09168532</v>
      </c>
      <c r="E1717" s="4" t="str">
        <f>"17451361"</f>
        <v>17451361</v>
      </c>
      <c r="F1717" s="4" t="s">
        <v>522</v>
      </c>
    </row>
    <row r="1718" spans="1:6" x14ac:dyDescent="0.25">
      <c r="A1718" s="4" t="str">
        <f>"IES Journal Part A: Civil and Structural Engineering"</f>
        <v>IES Journal Part A: Civil and Structural Engineering</v>
      </c>
      <c r="B1718" s="4" t="s">
        <v>6</v>
      </c>
      <c r="C1718" s="4" t="str">
        <f t="shared" si="72"/>
        <v>-</v>
      </c>
      <c r="D1718" s="4" t="str">
        <f>"19373260"</f>
        <v>19373260</v>
      </c>
      <c r="E1718" s="4" t="str">
        <f>"19373279"</f>
        <v>19373279</v>
      </c>
      <c r="F1718" s="4" t="s">
        <v>60</v>
      </c>
    </row>
    <row r="1719" spans="1:6" x14ac:dyDescent="0.25">
      <c r="A1719" s="4" t="str">
        <f>"IET Biometrics"</f>
        <v>IET Biometrics</v>
      </c>
      <c r="B1719" s="4" t="s">
        <v>6</v>
      </c>
      <c r="C1719" s="4" t="str">
        <f t="shared" si="72"/>
        <v>-</v>
      </c>
      <c r="D1719" s="4" t="str">
        <f>"20474938"</f>
        <v>20474938</v>
      </c>
      <c r="E1719" s="4" t="str">
        <f>"20474946"</f>
        <v>20474946</v>
      </c>
      <c r="F1719" s="4" t="s">
        <v>370</v>
      </c>
    </row>
    <row r="1720" spans="1:6" x14ac:dyDescent="0.25">
      <c r="A1720" s="4" t="str">
        <f>"IET Circuits, Devices and Systems"</f>
        <v>IET Circuits, Devices and Systems</v>
      </c>
      <c r="B1720" s="4" t="s">
        <v>6</v>
      </c>
      <c r="C1720" s="4" t="str">
        <f t="shared" si="72"/>
        <v>-</v>
      </c>
      <c r="D1720" s="4" t="str">
        <f>"1751858X"</f>
        <v>1751858X</v>
      </c>
      <c r="E1720" s="4" t="str">
        <f>"-"</f>
        <v>-</v>
      </c>
      <c r="F1720" s="4" t="s">
        <v>370</v>
      </c>
    </row>
    <row r="1721" spans="1:6" x14ac:dyDescent="0.25">
      <c r="A1721" s="4" t="str">
        <f>"IET Communications"</f>
        <v>IET Communications</v>
      </c>
      <c r="B1721" s="4" t="s">
        <v>6</v>
      </c>
      <c r="C1721" s="4" t="str">
        <f t="shared" si="72"/>
        <v>-</v>
      </c>
      <c r="D1721" s="4" t="str">
        <f>"17518628"</f>
        <v>17518628</v>
      </c>
      <c r="E1721" s="4" t="str">
        <f>"-"</f>
        <v>-</v>
      </c>
      <c r="F1721" s="4" t="s">
        <v>370</v>
      </c>
    </row>
    <row r="1722" spans="1:6" x14ac:dyDescent="0.25">
      <c r="A1722" s="4" t="str">
        <f>"IET Computer Vision"</f>
        <v>IET Computer Vision</v>
      </c>
      <c r="B1722" s="4" t="s">
        <v>6</v>
      </c>
      <c r="C1722" s="4" t="str">
        <f t="shared" si="72"/>
        <v>-</v>
      </c>
      <c r="D1722" s="4" t="str">
        <f>"17519632"</f>
        <v>17519632</v>
      </c>
      <c r="E1722" s="4" t="str">
        <f>"17519640"</f>
        <v>17519640</v>
      </c>
      <c r="F1722" s="4" t="s">
        <v>370</v>
      </c>
    </row>
    <row r="1723" spans="1:6" x14ac:dyDescent="0.25">
      <c r="A1723" s="4" t="str">
        <f>"IET Computers and Digital Techniques"</f>
        <v>IET Computers and Digital Techniques</v>
      </c>
      <c r="B1723" s="4" t="s">
        <v>6</v>
      </c>
      <c r="C1723" s="4" t="str">
        <f t="shared" si="72"/>
        <v>-</v>
      </c>
      <c r="D1723" s="4" t="str">
        <f>"17518601"</f>
        <v>17518601</v>
      </c>
      <c r="E1723" s="4" t="str">
        <f>"-"</f>
        <v>-</v>
      </c>
      <c r="F1723" s="4" t="s">
        <v>370</v>
      </c>
    </row>
    <row r="1724" spans="1:6" x14ac:dyDescent="0.25">
      <c r="A1724" s="4" t="str">
        <f>"IET Conference Publications"</f>
        <v>IET Conference Publications</v>
      </c>
      <c r="B1724" s="4" t="s">
        <v>8</v>
      </c>
      <c r="C1724" s="4" t="str">
        <f t="shared" si="72"/>
        <v>-</v>
      </c>
      <c r="D1724" s="4" t="str">
        <f>"-"</f>
        <v>-</v>
      </c>
      <c r="E1724" s="4" t="str">
        <f>"-"</f>
        <v>-</v>
      </c>
      <c r="F1724" s="4" t="s">
        <v>370</v>
      </c>
    </row>
    <row r="1725" spans="1:6" x14ac:dyDescent="0.25">
      <c r="A1725" s="4" t="str">
        <f>"IET Control Theory and Applications"</f>
        <v>IET Control Theory and Applications</v>
      </c>
      <c r="B1725" s="4" t="s">
        <v>6</v>
      </c>
      <c r="C1725" s="4" t="str">
        <f t="shared" si="72"/>
        <v>-</v>
      </c>
      <c r="D1725" s="4" t="str">
        <f>"17518644"</f>
        <v>17518644</v>
      </c>
      <c r="E1725" s="4" t="str">
        <f>"17518652"</f>
        <v>17518652</v>
      </c>
      <c r="F1725" s="4" t="s">
        <v>370</v>
      </c>
    </row>
    <row r="1726" spans="1:6" x14ac:dyDescent="0.25">
      <c r="A1726" s="4" t="str">
        <f>"IET Electric Power Applications"</f>
        <v>IET Electric Power Applications</v>
      </c>
      <c r="B1726" s="4" t="s">
        <v>6</v>
      </c>
      <c r="C1726" s="4" t="str">
        <f t="shared" si="72"/>
        <v>-</v>
      </c>
      <c r="D1726" s="4" t="str">
        <f>"17518660"</f>
        <v>17518660</v>
      </c>
      <c r="E1726" s="4" t="str">
        <f>"17518679"</f>
        <v>17518679</v>
      </c>
      <c r="F1726" s="4" t="s">
        <v>370</v>
      </c>
    </row>
    <row r="1727" spans="1:6" x14ac:dyDescent="0.25">
      <c r="A1727" s="4" t="str">
        <f>"IET Electrical Systems in Transportation"</f>
        <v>IET Electrical Systems in Transportation</v>
      </c>
      <c r="B1727" s="4" t="s">
        <v>6</v>
      </c>
      <c r="C1727" s="4" t="str">
        <f t="shared" si="72"/>
        <v>-</v>
      </c>
      <c r="D1727" s="4" t="str">
        <f>"20429738"</f>
        <v>20429738</v>
      </c>
      <c r="E1727" s="4" t="str">
        <f>"20429746"</f>
        <v>20429746</v>
      </c>
      <c r="F1727" s="4" t="s">
        <v>370</v>
      </c>
    </row>
    <row r="1728" spans="1:6" x14ac:dyDescent="0.25">
      <c r="A1728" s="4" t="str">
        <f>"IET Generation, Transmission and Distribution"</f>
        <v>IET Generation, Transmission and Distribution</v>
      </c>
      <c r="B1728" s="4" t="s">
        <v>6</v>
      </c>
      <c r="C1728" s="4" t="str">
        <f t="shared" si="72"/>
        <v>-</v>
      </c>
      <c r="D1728" s="4" t="str">
        <f>"17518687"</f>
        <v>17518687</v>
      </c>
      <c r="E1728" s="4" t="str">
        <f>"-"</f>
        <v>-</v>
      </c>
      <c r="F1728" s="4" t="s">
        <v>370</v>
      </c>
    </row>
    <row r="1729" spans="1:6" x14ac:dyDescent="0.25">
      <c r="A1729" s="4" t="str">
        <f>"IET Image Processing"</f>
        <v>IET Image Processing</v>
      </c>
      <c r="B1729" s="4" t="s">
        <v>6</v>
      </c>
      <c r="C1729" s="4" t="str">
        <f t="shared" si="72"/>
        <v>-</v>
      </c>
      <c r="D1729" s="4" t="str">
        <f>"17519659"</f>
        <v>17519659</v>
      </c>
      <c r="E1729" s="4" t="str">
        <f>"-"</f>
        <v>-</v>
      </c>
      <c r="F1729" s="4" t="s">
        <v>370</v>
      </c>
    </row>
    <row r="1730" spans="1:6" x14ac:dyDescent="0.25">
      <c r="A1730" s="4" t="str">
        <f>"IET Information Security"</f>
        <v>IET Information Security</v>
      </c>
      <c r="B1730" s="4" t="s">
        <v>6</v>
      </c>
      <c r="C1730" s="4" t="str">
        <f t="shared" si="72"/>
        <v>-</v>
      </c>
      <c r="D1730" s="4" t="str">
        <f>"17518709"</f>
        <v>17518709</v>
      </c>
      <c r="E1730" s="4" t="str">
        <f>"17518717"</f>
        <v>17518717</v>
      </c>
      <c r="F1730" s="4" t="s">
        <v>370</v>
      </c>
    </row>
    <row r="1731" spans="1:6" x14ac:dyDescent="0.25">
      <c r="A1731" s="4" t="str">
        <f>"IET Intelligent Transport Systems"</f>
        <v>IET Intelligent Transport Systems</v>
      </c>
      <c r="B1731" s="4" t="s">
        <v>6</v>
      </c>
      <c r="C1731" s="4" t="str">
        <f t="shared" si="72"/>
        <v>-</v>
      </c>
      <c r="D1731" s="4" t="str">
        <f>"1751956X"</f>
        <v>1751956X</v>
      </c>
      <c r="E1731" s="4" t="str">
        <f>"-"</f>
        <v>-</v>
      </c>
      <c r="F1731" s="4" t="s">
        <v>370</v>
      </c>
    </row>
    <row r="1732" spans="1:6" x14ac:dyDescent="0.25">
      <c r="A1732" s="4" t="str">
        <f>"IET Microwaves, Antennas and Propagation"</f>
        <v>IET Microwaves, Antennas and Propagation</v>
      </c>
      <c r="B1732" s="4" t="s">
        <v>6</v>
      </c>
      <c r="C1732" s="4" t="str">
        <f t="shared" si="72"/>
        <v>-</v>
      </c>
      <c r="D1732" s="4" t="str">
        <f>"17518725"</f>
        <v>17518725</v>
      </c>
      <c r="E1732" s="4" t="str">
        <f>"17518733"</f>
        <v>17518733</v>
      </c>
      <c r="F1732" s="4" t="s">
        <v>370</v>
      </c>
    </row>
    <row r="1733" spans="1:6" x14ac:dyDescent="0.25">
      <c r="A1733" s="4" t="str">
        <f>"IET Nanobiotechnology"</f>
        <v>IET Nanobiotechnology</v>
      </c>
      <c r="B1733" s="4" t="s">
        <v>6</v>
      </c>
      <c r="C1733" s="4" t="str">
        <f t="shared" si="72"/>
        <v>-</v>
      </c>
      <c r="D1733" s="4" t="str">
        <f>"17518741"</f>
        <v>17518741</v>
      </c>
      <c r="E1733" s="4" t="str">
        <f>"-"</f>
        <v>-</v>
      </c>
      <c r="F1733" s="4" t="s">
        <v>370</v>
      </c>
    </row>
    <row r="1734" spans="1:6" x14ac:dyDescent="0.25">
      <c r="A1734" s="4" t="str">
        <f>"IET Networks"</f>
        <v>IET Networks</v>
      </c>
      <c r="B1734" s="4" t="s">
        <v>6</v>
      </c>
      <c r="C1734" s="4" t="str">
        <f t="shared" si="72"/>
        <v>-</v>
      </c>
      <c r="D1734" s="4" t="str">
        <f>"20474954"</f>
        <v>20474954</v>
      </c>
      <c r="E1734" s="4" t="str">
        <f>"20474962"</f>
        <v>20474962</v>
      </c>
      <c r="F1734" s="4" t="s">
        <v>370</v>
      </c>
    </row>
    <row r="1735" spans="1:6" x14ac:dyDescent="0.25">
      <c r="A1735" s="4" t="str">
        <f>"IET Optoelectronics"</f>
        <v>IET Optoelectronics</v>
      </c>
      <c r="B1735" s="4" t="s">
        <v>6</v>
      </c>
      <c r="C1735" s="4" t="str">
        <f t="shared" si="72"/>
        <v>-</v>
      </c>
      <c r="D1735" s="4" t="str">
        <f>"17518768"</f>
        <v>17518768</v>
      </c>
      <c r="E1735" s="4" t="str">
        <f>"-"</f>
        <v>-</v>
      </c>
      <c r="F1735" s="4" t="s">
        <v>370</v>
      </c>
    </row>
    <row r="1736" spans="1:6" x14ac:dyDescent="0.25">
      <c r="A1736" s="4" t="str">
        <f>"IET Power Electronics"</f>
        <v>IET Power Electronics</v>
      </c>
      <c r="B1736" s="4" t="s">
        <v>6</v>
      </c>
      <c r="C1736" s="4" t="str">
        <f t="shared" si="72"/>
        <v>-</v>
      </c>
      <c r="D1736" s="4" t="str">
        <f>"17554535"</f>
        <v>17554535</v>
      </c>
      <c r="E1736" s="4" t="str">
        <f>"17554543"</f>
        <v>17554543</v>
      </c>
      <c r="F1736" s="4" t="s">
        <v>370</v>
      </c>
    </row>
    <row r="1737" spans="1:6" x14ac:dyDescent="0.25">
      <c r="A1737" s="4" t="str">
        <f>"IET Radar, Sonar and Navigation"</f>
        <v>IET Radar, Sonar and Navigation</v>
      </c>
      <c r="B1737" s="4" t="s">
        <v>6</v>
      </c>
      <c r="C1737" s="4" t="str">
        <f t="shared" si="72"/>
        <v>-</v>
      </c>
      <c r="D1737" s="4" t="str">
        <f>"17518784"</f>
        <v>17518784</v>
      </c>
      <c r="E1737" s="4" t="str">
        <f>"-"</f>
        <v>-</v>
      </c>
      <c r="F1737" s="4" t="s">
        <v>370</v>
      </c>
    </row>
    <row r="1738" spans="1:6" x14ac:dyDescent="0.25">
      <c r="A1738" s="4" t="str">
        <f>"IET Renewable Power Generation"</f>
        <v>IET Renewable Power Generation</v>
      </c>
      <c r="B1738" s="4" t="s">
        <v>6</v>
      </c>
      <c r="C1738" s="4" t="str">
        <f t="shared" si="72"/>
        <v>-</v>
      </c>
      <c r="D1738" s="4" t="str">
        <f>"17521416"</f>
        <v>17521416</v>
      </c>
      <c r="E1738" s="4" t="str">
        <f>"17521424"</f>
        <v>17521424</v>
      </c>
      <c r="F1738" s="4" t="s">
        <v>370</v>
      </c>
    </row>
    <row r="1739" spans="1:6" x14ac:dyDescent="0.25">
      <c r="A1739" s="4" t="str">
        <f>"IET Science, Measurement and Technology"</f>
        <v>IET Science, Measurement and Technology</v>
      </c>
      <c r="B1739" s="4" t="s">
        <v>6</v>
      </c>
      <c r="C1739" s="4" t="str">
        <f t="shared" si="72"/>
        <v>-</v>
      </c>
      <c r="D1739" s="4" t="str">
        <f>"17518822"</f>
        <v>17518822</v>
      </c>
      <c r="E1739" s="4" t="str">
        <f>"-"</f>
        <v>-</v>
      </c>
      <c r="F1739" s="4" t="s">
        <v>370</v>
      </c>
    </row>
    <row r="1740" spans="1:6" x14ac:dyDescent="0.25">
      <c r="A1740" s="4" t="str">
        <f>"IET Seminar Digest"</f>
        <v>IET Seminar Digest</v>
      </c>
      <c r="B1740" s="4" t="s">
        <v>8</v>
      </c>
      <c r="C1740" s="4" t="str">
        <f t="shared" si="72"/>
        <v>-</v>
      </c>
      <c r="D1740" s="4" t="str">
        <f>"-"</f>
        <v>-</v>
      </c>
      <c r="E1740" s="4" t="str">
        <f>"-"</f>
        <v>-</v>
      </c>
      <c r="F1740" s="4" t="s">
        <v>370</v>
      </c>
    </row>
    <row r="1741" spans="1:6" x14ac:dyDescent="0.25">
      <c r="A1741" s="4" t="str">
        <f>"IET Signal Processing"</f>
        <v>IET Signal Processing</v>
      </c>
      <c r="B1741" s="4" t="s">
        <v>6</v>
      </c>
      <c r="C1741" s="4" t="str">
        <f t="shared" si="72"/>
        <v>-</v>
      </c>
      <c r="D1741" s="4" t="str">
        <f>"17519675"</f>
        <v>17519675</v>
      </c>
      <c r="E1741" s="4" t="str">
        <f>"17519683"</f>
        <v>17519683</v>
      </c>
      <c r="F1741" s="4" t="s">
        <v>370</v>
      </c>
    </row>
    <row r="1742" spans="1:6" x14ac:dyDescent="0.25">
      <c r="A1742" s="4" t="str">
        <f>"IET Software"</f>
        <v>IET Software</v>
      </c>
      <c r="B1742" s="4" t="s">
        <v>6</v>
      </c>
      <c r="C1742" s="4" t="str">
        <f t="shared" si="72"/>
        <v>-</v>
      </c>
      <c r="D1742" s="4" t="str">
        <f>"17518806"</f>
        <v>17518806</v>
      </c>
      <c r="E1742" s="4" t="str">
        <f>"-"</f>
        <v>-</v>
      </c>
      <c r="F1742" s="4" t="s">
        <v>370</v>
      </c>
    </row>
    <row r="1743" spans="1:6" x14ac:dyDescent="0.25">
      <c r="A1743" s="4" t="str">
        <f>"IET Synthetic Biology"</f>
        <v>IET Synthetic Biology</v>
      </c>
      <c r="B1743" s="4" t="s">
        <v>6</v>
      </c>
      <c r="C1743" s="4" t="str">
        <f t="shared" si="72"/>
        <v>-</v>
      </c>
      <c r="D1743" s="4" t="str">
        <f>"17521394"</f>
        <v>17521394</v>
      </c>
      <c r="E1743" s="4" t="str">
        <f>"17521408"</f>
        <v>17521408</v>
      </c>
      <c r="F1743" s="4" t="s">
        <v>370</v>
      </c>
    </row>
    <row r="1744" spans="1:6" x14ac:dyDescent="0.25">
      <c r="A1744" s="4" t="str">
        <f>"IET Systems Biology"</f>
        <v>IET Systems Biology</v>
      </c>
      <c r="B1744" s="4" t="s">
        <v>6</v>
      </c>
      <c r="C1744" s="4" t="str">
        <f t="shared" si="72"/>
        <v>-</v>
      </c>
      <c r="D1744" s="4" t="str">
        <f>"17518849"</f>
        <v>17518849</v>
      </c>
      <c r="E1744" s="4" t="str">
        <f>"-"</f>
        <v>-</v>
      </c>
      <c r="F1744" s="4" t="s">
        <v>370</v>
      </c>
    </row>
    <row r="1745" spans="1:6" x14ac:dyDescent="0.25">
      <c r="A1745" s="4" t="str">
        <f>"IET Wireless Sensor Systems"</f>
        <v>IET Wireless Sensor Systems</v>
      </c>
      <c r="B1745" s="4" t="s">
        <v>6</v>
      </c>
      <c r="C1745" s="4" t="str">
        <f t="shared" si="72"/>
        <v>-</v>
      </c>
      <c r="D1745" s="4" t="str">
        <f>"20436386"</f>
        <v>20436386</v>
      </c>
      <c r="E1745" s="4" t="str">
        <f>"20436394"</f>
        <v>20436394</v>
      </c>
      <c r="F1745" s="4" t="s">
        <v>370</v>
      </c>
    </row>
    <row r="1746" spans="1:6" x14ac:dyDescent="0.25">
      <c r="A1746" s="4" t="str">
        <f>"IETE Journal of Research"</f>
        <v>IETE Journal of Research</v>
      </c>
      <c r="B1746" s="4" t="s">
        <v>6</v>
      </c>
      <c r="C1746" s="4" t="str">
        <f t="shared" si="72"/>
        <v>-</v>
      </c>
      <c r="D1746" s="4" t="str">
        <f>"03772063"</f>
        <v>03772063</v>
      </c>
      <c r="E1746" s="4" t="str">
        <f>"0974780X"</f>
        <v>0974780X</v>
      </c>
      <c r="F1746" s="4" t="s">
        <v>12</v>
      </c>
    </row>
    <row r="1747" spans="1:6" x14ac:dyDescent="0.25">
      <c r="A1747" s="4" t="str">
        <f>"IETE Technical Review (Institution of Electronics and Telecommunication Engineers, India)"</f>
        <v>IETE Technical Review (Institution of Electronics and Telecommunication Engineers, India)</v>
      </c>
      <c r="B1747" s="4" t="s">
        <v>6</v>
      </c>
      <c r="C1747" s="4" t="str">
        <f t="shared" si="72"/>
        <v>-</v>
      </c>
      <c r="D1747" s="4" t="str">
        <f>"02564602"</f>
        <v>02564602</v>
      </c>
      <c r="E1747" s="4" t="str">
        <f>"09745971"</f>
        <v>09745971</v>
      </c>
      <c r="F1747" s="4" t="s">
        <v>523</v>
      </c>
    </row>
    <row r="1748" spans="1:6" x14ac:dyDescent="0.25">
      <c r="A1748" s="4" t="str">
        <f>"IFAC Proceedings Volumes (IFAC-PapersOnline)"</f>
        <v>IFAC Proceedings Volumes (IFAC-PapersOnline)</v>
      </c>
      <c r="B1748" s="4" t="s">
        <v>8</v>
      </c>
      <c r="C1748" s="4" t="str">
        <f t="shared" si="72"/>
        <v>-</v>
      </c>
      <c r="D1748" s="4" t="str">
        <f>"14746670"</f>
        <v>14746670</v>
      </c>
      <c r="E1748" s="4" t="str">
        <f>"-"</f>
        <v>-</v>
      </c>
      <c r="F1748" s="4" t="s">
        <v>524</v>
      </c>
    </row>
    <row r="1749" spans="1:6" x14ac:dyDescent="0.25">
      <c r="A1749" s="4" t="str">
        <f>"IFIP Advances in Information and Communication Technology"</f>
        <v>IFIP Advances in Information and Communication Technology</v>
      </c>
      <c r="B1749" s="4" t="s">
        <v>29</v>
      </c>
      <c r="C1749" s="4" t="str">
        <f t="shared" si="72"/>
        <v>-</v>
      </c>
      <c r="D1749" s="4" t="str">
        <f>"18684238"</f>
        <v>18684238</v>
      </c>
      <c r="E1749" s="4" t="str">
        <f>"-"</f>
        <v>-</v>
      </c>
      <c r="F1749" s="4" t="s">
        <v>57</v>
      </c>
    </row>
    <row r="1750" spans="1:6" x14ac:dyDescent="0.25">
      <c r="A1750" s="4" t="str">
        <f>"IFIP International Conference on Wireless and Optical Communications Networks, WOCN"</f>
        <v>IFIP International Conference on Wireless and Optical Communications Networks, WOCN</v>
      </c>
      <c r="B1750" s="4" t="s">
        <v>8</v>
      </c>
      <c r="C1750" s="4" t="str">
        <f t="shared" si="72"/>
        <v>-</v>
      </c>
      <c r="D1750" s="4" t="str">
        <f>"21517681"</f>
        <v>21517681</v>
      </c>
      <c r="E1750" s="4" t="str">
        <f>"21517703"</f>
        <v>21517703</v>
      </c>
      <c r="F1750" s="4" t="s">
        <v>9</v>
      </c>
    </row>
    <row r="1751" spans="1:6" x14ac:dyDescent="0.25">
      <c r="A1751" s="4" t="str">
        <f>"IFIP Wireless Days"</f>
        <v>IFIP Wireless Days</v>
      </c>
      <c r="B1751" s="4" t="s">
        <v>8</v>
      </c>
      <c r="C1751" s="4" t="str">
        <f t="shared" si="72"/>
        <v>-</v>
      </c>
      <c r="D1751" s="4" t="str">
        <f>"21569711"</f>
        <v>21569711</v>
      </c>
      <c r="E1751" s="4" t="str">
        <f>"2156972X"</f>
        <v>2156972X</v>
      </c>
      <c r="F1751" s="4" t="s">
        <v>9</v>
      </c>
    </row>
    <row r="1752" spans="1:6" x14ac:dyDescent="0.25">
      <c r="A1752" s="4" t="str">
        <f>"IFMBE Proceedings"</f>
        <v>IFMBE Proceedings</v>
      </c>
      <c r="B1752" s="4" t="s">
        <v>8</v>
      </c>
      <c r="C1752" s="4" t="str">
        <f t="shared" si="72"/>
        <v>-</v>
      </c>
      <c r="D1752" s="4" t="str">
        <f>"16800737"</f>
        <v>16800737</v>
      </c>
      <c r="E1752" s="4" t="str">
        <f>"-"</f>
        <v>-</v>
      </c>
      <c r="F1752" s="4" t="s">
        <v>42</v>
      </c>
    </row>
    <row r="1753" spans="1:6" x14ac:dyDescent="0.25">
      <c r="A1753" s="4" t="str">
        <f>"IFRF Combustion Journal"</f>
        <v>IFRF Combustion Journal</v>
      </c>
      <c r="B1753" s="4" t="s">
        <v>6</v>
      </c>
      <c r="C1753" s="4" t="str">
        <f t="shared" si="72"/>
        <v>-</v>
      </c>
      <c r="D1753" s="4" t="str">
        <f>"-"</f>
        <v>-</v>
      </c>
      <c r="E1753" s="4" t="str">
        <f>"1562479X"</f>
        <v>1562479X</v>
      </c>
      <c r="F1753" s="4" t="s">
        <v>525</v>
      </c>
    </row>
    <row r="1754" spans="1:6" x14ac:dyDescent="0.25">
      <c r="A1754" s="4" t="str">
        <f>"IIE Transactions (Institute of Industrial Engineers)"</f>
        <v>IIE Transactions (Institute of Industrial Engineers)</v>
      </c>
      <c r="B1754" s="4" t="s">
        <v>6</v>
      </c>
      <c r="C1754" s="4" t="str">
        <f t="shared" si="72"/>
        <v>-</v>
      </c>
      <c r="D1754" s="4" t="str">
        <f>"0740817X"</f>
        <v>0740817X</v>
      </c>
      <c r="E1754" s="4" t="str">
        <f>"15458830"</f>
        <v>15458830</v>
      </c>
      <c r="F1754" s="4" t="s">
        <v>60</v>
      </c>
    </row>
    <row r="1755" spans="1:6" x14ac:dyDescent="0.25">
      <c r="A1755" s="4" t="str">
        <f>"IJCAI International Joint Conference on Artificial Intelligence"</f>
        <v>IJCAI International Joint Conference on Artificial Intelligence</v>
      </c>
      <c r="B1755" s="4" t="s">
        <v>8</v>
      </c>
      <c r="C1755" s="4" t="str">
        <f t="shared" si="72"/>
        <v>-</v>
      </c>
      <c r="D1755" s="4" t="str">
        <f>"10450823"</f>
        <v>10450823</v>
      </c>
      <c r="E1755" s="4" t="str">
        <f>"-"</f>
        <v>-</v>
      </c>
      <c r="F1755" s="4" t="s">
        <v>526</v>
      </c>
    </row>
    <row r="1756" spans="1:6" x14ac:dyDescent="0.25">
      <c r="A1756" s="4" t="str">
        <f>"IMA Journal of Applied Mathematics (Institute of Mathematics and Its Applications)"</f>
        <v>IMA Journal of Applied Mathematics (Institute of Mathematics and Its Applications)</v>
      </c>
      <c r="B1756" s="4" t="s">
        <v>6</v>
      </c>
      <c r="C1756" s="4" t="str">
        <f t="shared" si="72"/>
        <v>-</v>
      </c>
      <c r="D1756" s="4" t="str">
        <f>"02724960"</f>
        <v>02724960</v>
      </c>
      <c r="E1756" s="4" t="str">
        <f>"14643634"</f>
        <v>14643634</v>
      </c>
      <c r="F1756" s="4" t="s">
        <v>126</v>
      </c>
    </row>
    <row r="1757" spans="1:6" x14ac:dyDescent="0.25">
      <c r="A1757" s="4" t="str">
        <f>"IMA Journal of Management Mathematics"</f>
        <v>IMA Journal of Management Mathematics</v>
      </c>
      <c r="B1757" s="4" t="s">
        <v>6</v>
      </c>
      <c r="C1757" s="4" t="str">
        <f t="shared" ref="C1757:C1820" si="74">"-"</f>
        <v>-</v>
      </c>
      <c r="D1757" s="4" t="str">
        <f>"1471678X"</f>
        <v>1471678X</v>
      </c>
      <c r="E1757" s="4" t="str">
        <f>"14716798"</f>
        <v>14716798</v>
      </c>
      <c r="F1757" s="4" t="s">
        <v>126</v>
      </c>
    </row>
    <row r="1758" spans="1:6" x14ac:dyDescent="0.25">
      <c r="A1758" s="4" t="str">
        <f>"IMA Journal of Mathematical Control and Information"</f>
        <v>IMA Journal of Mathematical Control and Information</v>
      </c>
      <c r="B1758" s="4" t="s">
        <v>6</v>
      </c>
      <c r="C1758" s="4" t="str">
        <f t="shared" si="74"/>
        <v>-</v>
      </c>
      <c r="D1758" s="4" t="str">
        <f>"02650754"</f>
        <v>02650754</v>
      </c>
      <c r="E1758" s="4" t="str">
        <f>"14716887"</f>
        <v>14716887</v>
      </c>
      <c r="F1758" s="4" t="s">
        <v>126</v>
      </c>
    </row>
    <row r="1759" spans="1:6" x14ac:dyDescent="0.25">
      <c r="A1759" s="4" t="str">
        <f>"Image and Vision Computing"</f>
        <v>Image and Vision Computing</v>
      </c>
      <c r="B1759" s="4" t="s">
        <v>6</v>
      </c>
      <c r="C1759" s="4" t="str">
        <f t="shared" si="74"/>
        <v>-</v>
      </c>
      <c r="D1759" s="4" t="str">
        <f>"02628856"</f>
        <v>02628856</v>
      </c>
      <c r="E1759" s="4" t="str">
        <f>"-"</f>
        <v>-</v>
      </c>
      <c r="F1759" s="4" t="s">
        <v>19</v>
      </c>
    </row>
    <row r="1760" spans="1:6" x14ac:dyDescent="0.25">
      <c r="A1760" s="4" t="str">
        <f>"Imaging Science Journal"</f>
        <v>Imaging Science Journal</v>
      </c>
      <c r="B1760" s="4" t="s">
        <v>6</v>
      </c>
      <c r="C1760" s="4" t="str">
        <f t="shared" si="74"/>
        <v>-</v>
      </c>
      <c r="D1760" s="4" t="str">
        <f>"13682199"</f>
        <v>13682199</v>
      </c>
      <c r="E1760" s="4" t="str">
        <f>"1743131X"</f>
        <v>1743131X</v>
      </c>
      <c r="F1760" s="4" t="s">
        <v>70</v>
      </c>
    </row>
    <row r="1761" spans="1:6" x14ac:dyDescent="0.25">
      <c r="A1761" s="4" t="str">
        <f>"India International Conference on Power Electronics, IICPE"</f>
        <v>India International Conference on Power Electronics, IICPE</v>
      </c>
      <c r="B1761" s="4" t="s">
        <v>8</v>
      </c>
      <c r="C1761" s="4" t="str">
        <f t="shared" si="74"/>
        <v>-</v>
      </c>
      <c r="D1761" s="4" t="str">
        <f>"21603162"</f>
        <v>21603162</v>
      </c>
      <c r="E1761" s="4" t="str">
        <f>"21603170"</f>
        <v>21603170</v>
      </c>
      <c r="F1761" s="4" t="s">
        <v>9</v>
      </c>
    </row>
    <row r="1762" spans="1:6" x14ac:dyDescent="0.25">
      <c r="A1762" s="4" t="str">
        <f>"Indian Chemical Engineer"</f>
        <v>Indian Chemical Engineer</v>
      </c>
      <c r="B1762" s="4" t="s">
        <v>6</v>
      </c>
      <c r="C1762" s="4" t="str">
        <f t="shared" si="74"/>
        <v>-</v>
      </c>
      <c r="D1762" s="4" t="str">
        <f>"00194506"</f>
        <v>00194506</v>
      </c>
      <c r="E1762" s="4" t="str">
        <f>"-"</f>
        <v>-</v>
      </c>
      <c r="F1762" s="4" t="s">
        <v>60</v>
      </c>
    </row>
    <row r="1763" spans="1:6" x14ac:dyDescent="0.25">
      <c r="A1763" s="4" t="str">
        <f>"Indian Concrete Journal"</f>
        <v>Indian Concrete Journal</v>
      </c>
      <c r="B1763" s="4" t="s">
        <v>22</v>
      </c>
      <c r="C1763" s="4" t="str">
        <f t="shared" si="74"/>
        <v>-</v>
      </c>
      <c r="D1763" s="4" t="str">
        <f>"00194565"</f>
        <v>00194565</v>
      </c>
      <c r="E1763" s="4" t="str">
        <f>"-"</f>
        <v>-</v>
      </c>
      <c r="F1763" s="4" t="s">
        <v>527</v>
      </c>
    </row>
    <row r="1764" spans="1:6" x14ac:dyDescent="0.25">
      <c r="A1764" s="4" t="str">
        <f>"Indian Geotechnical Journal"</f>
        <v>Indian Geotechnical Journal</v>
      </c>
      <c r="B1764" s="4" t="s">
        <v>6</v>
      </c>
      <c r="C1764" s="4" t="str">
        <f t="shared" si="74"/>
        <v>-</v>
      </c>
      <c r="D1764" s="4" t="str">
        <f>"00468983"</f>
        <v>00468983</v>
      </c>
      <c r="E1764" s="4" t="str">
        <f>"22773347"</f>
        <v>22773347</v>
      </c>
      <c r="F1764" s="4" t="s">
        <v>101</v>
      </c>
    </row>
    <row r="1765" spans="1:6" x14ac:dyDescent="0.25">
      <c r="A1765" s="4" t="str">
        <f>"Indian Journal of Engineering and Materials Sciences"</f>
        <v>Indian Journal of Engineering and Materials Sciences</v>
      </c>
      <c r="B1765" s="4" t="s">
        <v>6</v>
      </c>
      <c r="C1765" s="4" t="str">
        <f t="shared" si="74"/>
        <v>-</v>
      </c>
      <c r="D1765" s="4" t="str">
        <f>"09714588"</f>
        <v>09714588</v>
      </c>
      <c r="E1765" s="4" t="str">
        <f>"09751017"</f>
        <v>09751017</v>
      </c>
      <c r="F1765" s="4" t="s">
        <v>528</v>
      </c>
    </row>
    <row r="1766" spans="1:6" x14ac:dyDescent="0.25">
      <c r="A1766" s="4" t="str">
        <f>"Indian Journal of Fibre and Textile Research"</f>
        <v>Indian Journal of Fibre and Textile Research</v>
      </c>
      <c r="B1766" s="4" t="s">
        <v>6</v>
      </c>
      <c r="C1766" s="4" t="str">
        <f t="shared" si="74"/>
        <v>-</v>
      </c>
      <c r="D1766" s="4" t="str">
        <f>"09710426"</f>
        <v>09710426</v>
      </c>
      <c r="E1766" s="4" t="str">
        <f>"-"</f>
        <v>-</v>
      </c>
      <c r="F1766" s="4" t="s">
        <v>528</v>
      </c>
    </row>
    <row r="1767" spans="1:6" x14ac:dyDescent="0.25">
      <c r="A1767" s="4" t="str">
        <f>"Industrial and Engineering Chemistry Research"</f>
        <v>Industrial and Engineering Chemistry Research</v>
      </c>
      <c r="B1767" s="4" t="s">
        <v>6</v>
      </c>
      <c r="C1767" s="4" t="str">
        <f t="shared" si="74"/>
        <v>-</v>
      </c>
      <c r="D1767" s="4" t="str">
        <f>"08885885"</f>
        <v>08885885</v>
      </c>
      <c r="E1767" s="4" t="str">
        <f>"15205045"</f>
        <v>15205045</v>
      </c>
      <c r="F1767" s="4" t="s">
        <v>28</v>
      </c>
    </row>
    <row r="1768" spans="1:6" x14ac:dyDescent="0.25">
      <c r="A1768" s="4" t="str">
        <f>"Industrial Biotechnology"</f>
        <v>Industrial Biotechnology</v>
      </c>
      <c r="B1768" s="4" t="s">
        <v>6</v>
      </c>
      <c r="C1768" s="4" t="str">
        <f t="shared" si="74"/>
        <v>-</v>
      </c>
      <c r="D1768" s="4" t="str">
        <f>"15509087"</f>
        <v>15509087</v>
      </c>
      <c r="E1768" s="4" t="str">
        <f t="shared" ref="E1768:E1775" si="75">"-"</f>
        <v>-</v>
      </c>
      <c r="F1768" s="4" t="s">
        <v>385</v>
      </c>
    </row>
    <row r="1769" spans="1:6" x14ac:dyDescent="0.25">
      <c r="A1769" s="4" t="str">
        <f>"Industrial Crops and Products"</f>
        <v>Industrial Crops and Products</v>
      </c>
      <c r="B1769" s="4" t="s">
        <v>6</v>
      </c>
      <c r="C1769" s="4" t="str">
        <f t="shared" si="74"/>
        <v>-</v>
      </c>
      <c r="D1769" s="4" t="str">
        <f>"09266690"</f>
        <v>09266690</v>
      </c>
      <c r="E1769" s="4" t="str">
        <f t="shared" si="75"/>
        <v>-</v>
      </c>
      <c r="F1769" s="4" t="s">
        <v>55</v>
      </c>
    </row>
    <row r="1770" spans="1:6" x14ac:dyDescent="0.25">
      <c r="A1770" s="4" t="str">
        <f>"Industrial Diamond Review"</f>
        <v>Industrial Diamond Review</v>
      </c>
      <c r="B1770" s="4" t="s">
        <v>6</v>
      </c>
      <c r="C1770" s="4" t="str">
        <f t="shared" si="74"/>
        <v>-</v>
      </c>
      <c r="D1770" s="4" t="str">
        <f>"00198145"</f>
        <v>00198145</v>
      </c>
      <c r="E1770" s="4" t="str">
        <f t="shared" si="75"/>
        <v>-</v>
      </c>
      <c r="F1770" s="4" t="s">
        <v>529</v>
      </c>
    </row>
    <row r="1771" spans="1:6" x14ac:dyDescent="0.25">
      <c r="A1771" s="4" t="str">
        <f>"Industrial Engineer"</f>
        <v>Industrial Engineer</v>
      </c>
      <c r="B1771" s="4" t="s">
        <v>22</v>
      </c>
      <c r="C1771" s="4" t="str">
        <f t="shared" si="74"/>
        <v>-</v>
      </c>
      <c r="D1771" s="4" t="str">
        <f>"1542894X"</f>
        <v>1542894X</v>
      </c>
      <c r="E1771" s="4" t="str">
        <f t="shared" si="75"/>
        <v>-</v>
      </c>
      <c r="F1771" s="4" t="s">
        <v>530</v>
      </c>
    </row>
    <row r="1772" spans="1:6" x14ac:dyDescent="0.25">
      <c r="A1772" s="4" t="str">
        <f>"Industrial Lubrication and Tribology"</f>
        <v>Industrial Lubrication and Tribology</v>
      </c>
      <c r="B1772" s="4" t="s">
        <v>6</v>
      </c>
      <c r="C1772" s="4" t="str">
        <f t="shared" si="74"/>
        <v>-</v>
      </c>
      <c r="D1772" s="4" t="str">
        <f>"00368792"</f>
        <v>00368792</v>
      </c>
      <c r="E1772" s="4" t="str">
        <f t="shared" si="75"/>
        <v>-</v>
      </c>
      <c r="F1772" s="4" t="s">
        <v>110</v>
      </c>
    </row>
    <row r="1773" spans="1:6" x14ac:dyDescent="0.25">
      <c r="A1773" s="4" t="str">
        <f>"Industrial Management"</f>
        <v>Industrial Management</v>
      </c>
      <c r="B1773" s="4" t="s">
        <v>6</v>
      </c>
      <c r="C1773" s="4" t="str">
        <f t="shared" si="74"/>
        <v>-</v>
      </c>
      <c r="D1773" s="4" t="str">
        <f>"00198471"</f>
        <v>00198471</v>
      </c>
      <c r="E1773" s="4" t="str">
        <f t="shared" si="75"/>
        <v>-</v>
      </c>
      <c r="F1773" s="4" t="s">
        <v>530</v>
      </c>
    </row>
    <row r="1774" spans="1:6" x14ac:dyDescent="0.25">
      <c r="A1774" s="4" t="str">
        <f>"Industrial Management and Data Systems"</f>
        <v>Industrial Management and Data Systems</v>
      </c>
      <c r="B1774" s="4" t="s">
        <v>6</v>
      </c>
      <c r="C1774" s="4" t="str">
        <f t="shared" si="74"/>
        <v>-</v>
      </c>
      <c r="D1774" s="4" t="str">
        <f>"02635577"</f>
        <v>02635577</v>
      </c>
      <c r="E1774" s="4" t="str">
        <f t="shared" si="75"/>
        <v>-</v>
      </c>
      <c r="F1774" s="4" t="s">
        <v>110</v>
      </c>
    </row>
    <row r="1775" spans="1:6" x14ac:dyDescent="0.25">
      <c r="A1775" s="4" t="str">
        <f>"Industrial Robot"</f>
        <v>Industrial Robot</v>
      </c>
      <c r="B1775" s="4" t="s">
        <v>6</v>
      </c>
      <c r="C1775" s="4" t="str">
        <f t="shared" si="74"/>
        <v>-</v>
      </c>
      <c r="D1775" s="4" t="str">
        <f>"0143991X"</f>
        <v>0143991X</v>
      </c>
      <c r="E1775" s="4" t="str">
        <f t="shared" si="75"/>
        <v>-</v>
      </c>
      <c r="F1775" s="4" t="s">
        <v>110</v>
      </c>
    </row>
    <row r="1776" spans="1:6" x14ac:dyDescent="0.25">
      <c r="A1776" s="4" t="str">
        <f>"Infocommunications Journal"</f>
        <v>Infocommunications Journal</v>
      </c>
      <c r="B1776" s="4" t="s">
        <v>6</v>
      </c>
      <c r="C1776" s="4" t="str">
        <f t="shared" si="74"/>
        <v>-</v>
      </c>
      <c r="D1776" s="4" t="str">
        <f>"20612079"</f>
        <v>20612079</v>
      </c>
      <c r="E1776" s="4" t="str">
        <f>"20612125"</f>
        <v>20612125</v>
      </c>
      <c r="F1776" s="4" t="s">
        <v>531</v>
      </c>
    </row>
    <row r="1777" spans="1:6" x14ac:dyDescent="0.25">
      <c r="A1777" s="4" t="str">
        <f>"INFOR"</f>
        <v>INFOR</v>
      </c>
      <c r="B1777" s="4" t="s">
        <v>6</v>
      </c>
      <c r="C1777" s="4" t="str">
        <f t="shared" si="74"/>
        <v>-</v>
      </c>
      <c r="D1777" s="4" t="str">
        <f>"03155986"</f>
        <v>03155986</v>
      </c>
      <c r="E1777" s="4" t="str">
        <f>"19160615"</f>
        <v>19160615</v>
      </c>
      <c r="F1777" s="4" t="s">
        <v>532</v>
      </c>
    </row>
    <row r="1778" spans="1:6" x14ac:dyDescent="0.25">
      <c r="A1778" s="4" t="str">
        <f>"Informacion Tecnologica"</f>
        <v>Informacion Tecnologica</v>
      </c>
      <c r="B1778" s="4" t="s">
        <v>6</v>
      </c>
      <c r="C1778" s="4" t="str">
        <f t="shared" si="74"/>
        <v>-</v>
      </c>
      <c r="D1778" s="4" t="str">
        <f>"07168756"</f>
        <v>07168756</v>
      </c>
      <c r="E1778" s="4" t="str">
        <f>"07180764"</f>
        <v>07180764</v>
      </c>
      <c r="F1778" s="4" t="s">
        <v>533</v>
      </c>
    </row>
    <row r="1779" spans="1:6" x14ac:dyDescent="0.25">
      <c r="A1779" s="4" t="str">
        <f>"Informatica (Slovenia)"</f>
        <v>Informatica (Slovenia)</v>
      </c>
      <c r="B1779" s="4" t="s">
        <v>6</v>
      </c>
      <c r="C1779" s="4" t="str">
        <f t="shared" si="74"/>
        <v>-</v>
      </c>
      <c r="D1779" s="4" t="str">
        <f>"03505596"</f>
        <v>03505596</v>
      </c>
      <c r="E1779" s="4" t="str">
        <f>"-"</f>
        <v>-</v>
      </c>
      <c r="F1779" s="4" t="s">
        <v>534</v>
      </c>
    </row>
    <row r="1780" spans="1:6" x14ac:dyDescent="0.25">
      <c r="A1780" s="4" t="str">
        <f>"Informatik aktuell"</f>
        <v>Informatik aktuell</v>
      </c>
      <c r="B1780" s="4" t="s">
        <v>8</v>
      </c>
      <c r="C1780" s="4" t="str">
        <f t="shared" si="74"/>
        <v>-</v>
      </c>
      <c r="D1780" s="4" t="str">
        <f>"1431472X"</f>
        <v>1431472X</v>
      </c>
      <c r="E1780" s="4" t="str">
        <f>"-"</f>
        <v>-</v>
      </c>
      <c r="F1780" s="4" t="s">
        <v>162</v>
      </c>
    </row>
    <row r="1781" spans="1:6" x14ac:dyDescent="0.25">
      <c r="A1781" s="4" t="str">
        <f>"Informatik-Spektrum"</f>
        <v>Informatik-Spektrum</v>
      </c>
      <c r="B1781" s="4" t="s">
        <v>6</v>
      </c>
      <c r="C1781" s="4" t="str">
        <f t="shared" si="74"/>
        <v>-</v>
      </c>
      <c r="D1781" s="4" t="str">
        <f>"01706012"</f>
        <v>01706012</v>
      </c>
      <c r="E1781" s="4" t="str">
        <f>"1432122X"</f>
        <v>1432122X</v>
      </c>
      <c r="F1781" s="4" t="s">
        <v>42</v>
      </c>
    </row>
    <row r="1782" spans="1:6" x14ac:dyDescent="0.25">
      <c r="A1782" s="4" t="str">
        <f>"Information (Switzerland)"</f>
        <v>Information (Switzerland)</v>
      </c>
      <c r="B1782" s="4" t="s">
        <v>6</v>
      </c>
      <c r="C1782" s="4" t="str">
        <f t="shared" si="74"/>
        <v>-</v>
      </c>
      <c r="D1782" s="4" t="str">
        <f>"-"</f>
        <v>-</v>
      </c>
      <c r="E1782" s="4" t="str">
        <f>"20782489"</f>
        <v>20782489</v>
      </c>
      <c r="F1782" s="4" t="s">
        <v>114</v>
      </c>
    </row>
    <row r="1783" spans="1:6" x14ac:dyDescent="0.25">
      <c r="A1783" s="4" t="str">
        <f>"Information and Computation"</f>
        <v>Information and Computation</v>
      </c>
      <c r="B1783" s="4" t="s">
        <v>6</v>
      </c>
      <c r="C1783" s="4" t="str">
        <f t="shared" si="74"/>
        <v>-</v>
      </c>
      <c r="D1783" s="4" t="str">
        <f>"08905401"</f>
        <v>08905401</v>
      </c>
      <c r="E1783" s="4" t="str">
        <f>"10902651"</f>
        <v>10902651</v>
      </c>
      <c r="F1783" s="4" t="s">
        <v>141</v>
      </c>
    </row>
    <row r="1784" spans="1:6" x14ac:dyDescent="0.25">
      <c r="A1784" s="4" t="str">
        <f>"Information and Computer Security"</f>
        <v>Information and Computer Security</v>
      </c>
      <c r="B1784" s="4" t="s">
        <v>6</v>
      </c>
      <c r="C1784" s="4" t="str">
        <f t="shared" si="74"/>
        <v>-</v>
      </c>
      <c r="D1784" s="4" t="str">
        <f>"-"</f>
        <v>-</v>
      </c>
      <c r="E1784" s="4" t="str">
        <f>"20564961 "</f>
        <v xml:space="preserve">20564961 </v>
      </c>
      <c r="F1784" s="4" t="s">
        <v>110</v>
      </c>
    </row>
    <row r="1785" spans="1:6" x14ac:dyDescent="0.25">
      <c r="A1785" s="4" t="str">
        <f>"Information and Management"</f>
        <v>Information and Management</v>
      </c>
      <c r="B1785" s="4" t="s">
        <v>6</v>
      </c>
      <c r="C1785" s="4" t="str">
        <f t="shared" si="74"/>
        <v>-</v>
      </c>
      <c r="D1785" s="4" t="str">
        <f>"03787206"</f>
        <v>03787206</v>
      </c>
      <c r="E1785" s="4" t="str">
        <f t="shared" ref="E1785:E1792" si="76">"-"</f>
        <v>-</v>
      </c>
      <c r="F1785" s="4" t="s">
        <v>55</v>
      </c>
    </row>
    <row r="1786" spans="1:6" x14ac:dyDescent="0.25">
      <c r="A1786" s="4" t="str">
        <f>"Information and Software Technology"</f>
        <v>Information and Software Technology</v>
      </c>
      <c r="B1786" s="4" t="s">
        <v>6</v>
      </c>
      <c r="C1786" s="4" t="str">
        <f t="shared" si="74"/>
        <v>-</v>
      </c>
      <c r="D1786" s="4" t="str">
        <f>"09505849"</f>
        <v>09505849</v>
      </c>
      <c r="E1786" s="4" t="str">
        <f t="shared" si="76"/>
        <v>-</v>
      </c>
      <c r="F1786" s="4" t="s">
        <v>55</v>
      </c>
    </row>
    <row r="1787" spans="1:6" x14ac:dyDescent="0.25">
      <c r="A1787" s="4" t="str">
        <f>"Information Display"</f>
        <v>Information Display</v>
      </c>
      <c r="B1787" s="4" t="s">
        <v>6</v>
      </c>
      <c r="C1787" s="4" t="str">
        <f t="shared" si="74"/>
        <v>-</v>
      </c>
      <c r="D1787" s="4" t="str">
        <f>"03620972"</f>
        <v>03620972</v>
      </c>
      <c r="E1787" s="4" t="str">
        <f t="shared" si="76"/>
        <v>-</v>
      </c>
      <c r="F1787" s="4" t="s">
        <v>535</v>
      </c>
    </row>
    <row r="1788" spans="1:6" x14ac:dyDescent="0.25">
      <c r="A1788" s="4" t="str">
        <f>"Information Economics and Policy"</f>
        <v>Information Economics and Policy</v>
      </c>
      <c r="B1788" s="4" t="s">
        <v>6</v>
      </c>
      <c r="C1788" s="4" t="str">
        <f t="shared" si="74"/>
        <v>-</v>
      </c>
      <c r="D1788" s="4" t="str">
        <f>"01676245"</f>
        <v>01676245</v>
      </c>
      <c r="E1788" s="4" t="str">
        <f t="shared" si="76"/>
        <v>-</v>
      </c>
      <c r="F1788" s="4" t="s">
        <v>55</v>
      </c>
    </row>
    <row r="1789" spans="1:6" x14ac:dyDescent="0.25">
      <c r="A1789" s="4" t="str">
        <f>"Information Fusion"</f>
        <v>Information Fusion</v>
      </c>
      <c r="B1789" s="4" t="s">
        <v>6</v>
      </c>
      <c r="C1789" s="4" t="str">
        <f t="shared" si="74"/>
        <v>-</v>
      </c>
      <c r="D1789" s="4" t="str">
        <f>"15662535"</f>
        <v>15662535</v>
      </c>
      <c r="E1789" s="4" t="str">
        <f t="shared" si="76"/>
        <v>-</v>
      </c>
      <c r="F1789" s="4" t="s">
        <v>55</v>
      </c>
    </row>
    <row r="1790" spans="1:6" x14ac:dyDescent="0.25">
      <c r="A1790" s="4" t="str">
        <f>"Information Interaction Intelligence"</f>
        <v>Information Interaction Intelligence</v>
      </c>
      <c r="B1790" s="4" t="s">
        <v>6</v>
      </c>
      <c r="C1790" s="4" t="str">
        <f t="shared" si="74"/>
        <v>-</v>
      </c>
      <c r="D1790" s="4" t="str">
        <f>"1630649X"</f>
        <v>1630649X</v>
      </c>
      <c r="E1790" s="4" t="str">
        <f t="shared" si="76"/>
        <v>-</v>
      </c>
      <c r="F1790" s="4" t="s">
        <v>536</v>
      </c>
    </row>
    <row r="1791" spans="1:6" x14ac:dyDescent="0.25">
      <c r="A1791" s="4" t="str">
        <f>"Information Processing and Management"</f>
        <v>Information Processing and Management</v>
      </c>
      <c r="B1791" s="4" t="s">
        <v>6</v>
      </c>
      <c r="C1791" s="4" t="str">
        <f t="shared" si="74"/>
        <v>-</v>
      </c>
      <c r="D1791" s="4" t="str">
        <f>"03064573"</f>
        <v>03064573</v>
      </c>
      <c r="E1791" s="4" t="str">
        <f t="shared" si="76"/>
        <v>-</v>
      </c>
      <c r="F1791" s="4" t="s">
        <v>19</v>
      </c>
    </row>
    <row r="1792" spans="1:6" x14ac:dyDescent="0.25">
      <c r="A1792" s="4" t="str">
        <f>"Information Processing Letters"</f>
        <v>Information Processing Letters</v>
      </c>
      <c r="B1792" s="4" t="s">
        <v>6</v>
      </c>
      <c r="C1792" s="4" t="str">
        <f t="shared" si="74"/>
        <v>-</v>
      </c>
      <c r="D1792" s="4" t="str">
        <f>"00200190"</f>
        <v>00200190</v>
      </c>
      <c r="E1792" s="4" t="str">
        <f t="shared" si="76"/>
        <v>-</v>
      </c>
      <c r="F1792" s="4" t="s">
        <v>55</v>
      </c>
    </row>
    <row r="1793" spans="1:6" x14ac:dyDescent="0.25">
      <c r="A1793" s="4" t="str">
        <f>"Information Resources Management Journal"</f>
        <v>Information Resources Management Journal</v>
      </c>
      <c r="B1793" s="4" t="s">
        <v>6</v>
      </c>
      <c r="C1793" s="4" t="str">
        <f t="shared" si="74"/>
        <v>-</v>
      </c>
      <c r="D1793" s="4" t="str">
        <f>"10401628"</f>
        <v>10401628</v>
      </c>
      <c r="E1793" s="4" t="str">
        <f>"15337979"</f>
        <v>15337979</v>
      </c>
      <c r="F1793" s="4" t="s">
        <v>537</v>
      </c>
    </row>
    <row r="1794" spans="1:6" x14ac:dyDescent="0.25">
      <c r="A1794" s="4" t="str">
        <f>"Information Sciences"</f>
        <v>Information Sciences</v>
      </c>
      <c r="B1794" s="4" t="s">
        <v>6</v>
      </c>
      <c r="C1794" s="4" t="str">
        <f t="shared" si="74"/>
        <v>-</v>
      </c>
      <c r="D1794" s="4" t="str">
        <f>"00200255"</f>
        <v>00200255</v>
      </c>
      <c r="E1794" s="4" t="str">
        <f>"-"</f>
        <v>-</v>
      </c>
      <c r="F1794" s="4" t="s">
        <v>141</v>
      </c>
    </row>
    <row r="1795" spans="1:6" x14ac:dyDescent="0.25">
      <c r="A1795" s="4" t="str">
        <f>"Information Security Journal"</f>
        <v>Information Security Journal</v>
      </c>
      <c r="B1795" s="4" t="s">
        <v>6</v>
      </c>
      <c r="C1795" s="4" t="str">
        <f t="shared" si="74"/>
        <v>-</v>
      </c>
      <c r="D1795" s="4" t="str">
        <f>"19393555"</f>
        <v>19393555</v>
      </c>
      <c r="E1795" s="4" t="str">
        <f>"19393547"</f>
        <v>19393547</v>
      </c>
      <c r="F1795" s="4" t="s">
        <v>96</v>
      </c>
    </row>
    <row r="1796" spans="1:6" x14ac:dyDescent="0.25">
      <c r="A1796" s="4" t="str">
        <f>"Information Services and Use"</f>
        <v>Information Services and Use</v>
      </c>
      <c r="B1796" s="4" t="s">
        <v>6</v>
      </c>
      <c r="C1796" s="4" t="str">
        <f t="shared" si="74"/>
        <v>-</v>
      </c>
      <c r="D1796" s="4" t="str">
        <f>"01675265"</f>
        <v>01675265</v>
      </c>
      <c r="E1796" s="4" t="str">
        <f>"-"</f>
        <v>-</v>
      </c>
      <c r="F1796" s="4" t="s">
        <v>103</v>
      </c>
    </row>
    <row r="1797" spans="1:6" x14ac:dyDescent="0.25">
      <c r="A1797" s="4" t="str">
        <f>"Information Systems"</f>
        <v>Information Systems</v>
      </c>
      <c r="B1797" s="4" t="s">
        <v>6</v>
      </c>
      <c r="C1797" s="4" t="str">
        <f t="shared" si="74"/>
        <v>-</v>
      </c>
      <c r="D1797" s="4" t="str">
        <f>"03064379"</f>
        <v>03064379</v>
      </c>
      <c r="E1797" s="4" t="str">
        <f>"-"</f>
        <v>-</v>
      </c>
      <c r="F1797" s="4" t="s">
        <v>19</v>
      </c>
    </row>
    <row r="1798" spans="1:6" x14ac:dyDescent="0.25">
      <c r="A1798" s="4" t="str">
        <f>"Information Systems Frontiers"</f>
        <v>Information Systems Frontiers</v>
      </c>
      <c r="B1798" s="4" t="s">
        <v>6</v>
      </c>
      <c r="C1798" s="4" t="str">
        <f t="shared" si="74"/>
        <v>-</v>
      </c>
      <c r="D1798" s="4" t="str">
        <f>"13873326"</f>
        <v>13873326</v>
      </c>
      <c r="E1798" s="4" t="str">
        <f>"15729419"</f>
        <v>15729419</v>
      </c>
      <c r="F1798" s="4" t="s">
        <v>57</v>
      </c>
    </row>
    <row r="1799" spans="1:6" x14ac:dyDescent="0.25">
      <c r="A1799" s="4" t="str">
        <f>"Information Systems Journal"</f>
        <v>Information Systems Journal</v>
      </c>
      <c r="B1799" s="4" t="s">
        <v>6</v>
      </c>
      <c r="C1799" s="4" t="str">
        <f t="shared" si="74"/>
        <v>-</v>
      </c>
      <c r="D1799" s="4" t="str">
        <f>"13501917"</f>
        <v>13501917</v>
      </c>
      <c r="E1799" s="4" t="str">
        <f>"13652575"</f>
        <v>13652575</v>
      </c>
      <c r="F1799" s="4" t="s">
        <v>209</v>
      </c>
    </row>
    <row r="1800" spans="1:6" x14ac:dyDescent="0.25">
      <c r="A1800" s="4" t="str">
        <f>"Information Systems Management"</f>
        <v>Information Systems Management</v>
      </c>
      <c r="B1800" s="4" t="s">
        <v>6</v>
      </c>
      <c r="C1800" s="4" t="str">
        <f t="shared" si="74"/>
        <v>-</v>
      </c>
      <c r="D1800" s="4" t="str">
        <f>"10580530"</f>
        <v>10580530</v>
      </c>
      <c r="E1800" s="4" t="str">
        <f>"-"</f>
        <v>-</v>
      </c>
      <c r="F1800" s="4" t="s">
        <v>96</v>
      </c>
    </row>
    <row r="1801" spans="1:6" x14ac:dyDescent="0.25">
      <c r="A1801" s="4" t="str">
        <f>"Information Systems Research"</f>
        <v>Information Systems Research</v>
      </c>
      <c r="B1801" s="4" t="s">
        <v>6</v>
      </c>
      <c r="C1801" s="4" t="str">
        <f t="shared" si="74"/>
        <v>-</v>
      </c>
      <c r="D1801" s="4" t="str">
        <f>"10477047"</f>
        <v>10477047</v>
      </c>
      <c r="E1801" s="4" t="str">
        <f>"15265536"</f>
        <v>15265536</v>
      </c>
      <c r="F1801" s="4" t="s">
        <v>538</v>
      </c>
    </row>
    <row r="1802" spans="1:6" x14ac:dyDescent="0.25">
      <c r="A1802" s="4" t="str">
        <f>"Information Technology Management"</f>
        <v>Information Technology Management</v>
      </c>
      <c r="B1802" s="4" t="s">
        <v>6</v>
      </c>
      <c r="C1802" s="4" t="str">
        <f t="shared" si="74"/>
        <v>-</v>
      </c>
      <c r="D1802" s="4" t="str">
        <f>"1080286X"</f>
        <v>1080286X</v>
      </c>
      <c r="E1802" s="4" t="str">
        <f>"-"</f>
        <v>-</v>
      </c>
      <c r="F1802" s="4" t="s">
        <v>537</v>
      </c>
    </row>
    <row r="1803" spans="1:6" x14ac:dyDescent="0.25">
      <c r="A1803" s="4" t="str">
        <f>"Information Visualization"</f>
        <v>Information Visualization</v>
      </c>
      <c r="B1803" s="4" t="s">
        <v>6</v>
      </c>
      <c r="C1803" s="4" t="str">
        <f t="shared" si="74"/>
        <v>-</v>
      </c>
      <c r="D1803" s="4" t="str">
        <f>"14738716"</f>
        <v>14738716</v>
      </c>
      <c r="E1803" s="4" t="str">
        <f>"14738724"</f>
        <v>14738724</v>
      </c>
      <c r="F1803" s="4" t="s">
        <v>212</v>
      </c>
    </row>
    <row r="1804" spans="1:6" x14ac:dyDescent="0.25">
      <c r="A1804" s="4" t="str">
        <f>"INFORMS Journal on Computing"</f>
        <v>INFORMS Journal on Computing</v>
      </c>
      <c r="B1804" s="4" t="s">
        <v>6</v>
      </c>
      <c r="C1804" s="4" t="str">
        <f t="shared" si="74"/>
        <v>-</v>
      </c>
      <c r="D1804" s="4" t="str">
        <f>"10919856"</f>
        <v>10919856</v>
      </c>
      <c r="E1804" s="4" t="str">
        <f>"15265528"</f>
        <v>15265528</v>
      </c>
      <c r="F1804" s="4" t="s">
        <v>538</v>
      </c>
    </row>
    <row r="1805" spans="1:6" x14ac:dyDescent="0.25">
      <c r="A1805" s="4" t="str">
        <f>"Infrared Physics and Technology"</f>
        <v>Infrared Physics and Technology</v>
      </c>
      <c r="B1805" s="4" t="s">
        <v>6</v>
      </c>
      <c r="C1805" s="4" t="str">
        <f t="shared" si="74"/>
        <v>-</v>
      </c>
      <c r="D1805" s="4" t="str">
        <f>"13504495"</f>
        <v>13504495</v>
      </c>
      <c r="E1805" s="4" t="str">
        <f>"-"</f>
        <v>-</v>
      </c>
      <c r="F1805" s="4" t="s">
        <v>55</v>
      </c>
    </row>
    <row r="1806" spans="1:6" x14ac:dyDescent="0.25">
      <c r="A1806" s="4" t="str">
        <f>"Ingegneria Ferroviaria"</f>
        <v>Ingegneria Ferroviaria</v>
      </c>
      <c r="B1806" s="4" t="s">
        <v>6</v>
      </c>
      <c r="C1806" s="4" t="str">
        <f t="shared" si="74"/>
        <v>-</v>
      </c>
      <c r="D1806" s="4" t="str">
        <f>"00200956"</f>
        <v>00200956</v>
      </c>
      <c r="E1806" s="4" t="str">
        <f>"-"</f>
        <v>-</v>
      </c>
      <c r="F1806" s="4" t="s">
        <v>539</v>
      </c>
    </row>
    <row r="1807" spans="1:6" x14ac:dyDescent="0.25">
      <c r="A1807" s="4" t="str">
        <f>"Ingegneria Sismica"</f>
        <v>Ingegneria Sismica</v>
      </c>
      <c r="B1807" s="4" t="s">
        <v>6</v>
      </c>
      <c r="C1807" s="4" t="str">
        <f t="shared" si="74"/>
        <v>-</v>
      </c>
      <c r="D1807" s="4" t="str">
        <f>"03931420"</f>
        <v>03931420</v>
      </c>
      <c r="E1807" s="4" t="str">
        <f>"-"</f>
        <v>-</v>
      </c>
      <c r="F1807" s="4" t="s">
        <v>540</v>
      </c>
    </row>
    <row r="1808" spans="1:6" x14ac:dyDescent="0.25">
      <c r="A1808" s="4" t="str">
        <f>"Ingenieria y Universidad"</f>
        <v>Ingenieria y Universidad</v>
      </c>
      <c r="B1808" s="4" t="s">
        <v>6</v>
      </c>
      <c r="C1808" s="4" t="str">
        <f t="shared" si="74"/>
        <v>-</v>
      </c>
      <c r="D1808" s="4" t="str">
        <f>"01232126"</f>
        <v>01232126</v>
      </c>
      <c r="E1808" s="4" t="str">
        <f>"-"</f>
        <v>-</v>
      </c>
      <c r="F1808" s="4" t="s">
        <v>541</v>
      </c>
    </row>
    <row r="1809" spans="1:6" x14ac:dyDescent="0.25">
      <c r="A1809" s="4" t="str">
        <f>"Ingenierie des Systemes d'Information"</f>
        <v>Ingenierie des Systemes d'Information</v>
      </c>
      <c r="B1809" s="4" t="s">
        <v>6</v>
      </c>
      <c r="C1809" s="4" t="str">
        <f t="shared" si="74"/>
        <v>-</v>
      </c>
      <c r="D1809" s="4" t="str">
        <f>"16331311"</f>
        <v>16331311</v>
      </c>
      <c r="E1809" s="4" t="str">
        <f>"21167125"</f>
        <v>21167125</v>
      </c>
      <c r="F1809" s="4" t="s">
        <v>122</v>
      </c>
    </row>
    <row r="1810" spans="1:6" x14ac:dyDescent="0.25">
      <c r="A1810" s="4" t="str">
        <f>"INMATEH - Agricultural Engineering"</f>
        <v>INMATEH - Agricultural Engineering</v>
      </c>
      <c r="B1810" s="4" t="s">
        <v>6</v>
      </c>
      <c r="C1810" s="4" t="str">
        <f t="shared" si="74"/>
        <v>-</v>
      </c>
      <c r="D1810" s="4" t="str">
        <f>"20684215"</f>
        <v>20684215</v>
      </c>
      <c r="E1810" s="4" t="str">
        <f>"20682239"</f>
        <v>20682239</v>
      </c>
      <c r="F1810" s="4" t="s">
        <v>542</v>
      </c>
    </row>
    <row r="1811" spans="1:6" x14ac:dyDescent="0.25">
      <c r="A1811" s="4" t="str">
        <f>"Innovations in Systems and Software Engineering"</f>
        <v>Innovations in Systems and Software Engineering</v>
      </c>
      <c r="B1811" s="4" t="s">
        <v>6</v>
      </c>
      <c r="C1811" s="4" t="str">
        <f t="shared" si="74"/>
        <v>-</v>
      </c>
      <c r="D1811" s="4" t="str">
        <f>"16145046"</f>
        <v>16145046</v>
      </c>
      <c r="E1811" s="4" t="str">
        <f>"16145054"</f>
        <v>16145054</v>
      </c>
      <c r="F1811" s="4" t="s">
        <v>62</v>
      </c>
    </row>
    <row r="1812" spans="1:6" x14ac:dyDescent="0.25">
      <c r="A1812" s="4" t="str">
        <f>"Innovative Food Science and Emerging Technologies"</f>
        <v>Innovative Food Science and Emerging Technologies</v>
      </c>
      <c r="B1812" s="4" t="s">
        <v>6</v>
      </c>
      <c r="C1812" s="4" t="str">
        <f t="shared" si="74"/>
        <v>-</v>
      </c>
      <c r="D1812" s="4" t="str">
        <f>"14668564"</f>
        <v>14668564</v>
      </c>
      <c r="E1812" s="4" t="str">
        <f>"-"</f>
        <v>-</v>
      </c>
      <c r="F1812" s="4" t="s">
        <v>19</v>
      </c>
    </row>
    <row r="1813" spans="1:6" x14ac:dyDescent="0.25">
      <c r="A1813" s="4" t="str">
        <f>"Inorganic Materials"</f>
        <v>Inorganic Materials</v>
      </c>
      <c r="B1813" s="4" t="s">
        <v>6</v>
      </c>
      <c r="C1813" s="4" t="str">
        <f t="shared" si="74"/>
        <v>-</v>
      </c>
      <c r="D1813" s="4" t="str">
        <f>"00201685"</f>
        <v>00201685</v>
      </c>
      <c r="E1813" s="4" t="str">
        <f>"16083172"</f>
        <v>16083172</v>
      </c>
      <c r="F1813" s="4" t="s">
        <v>171</v>
      </c>
    </row>
    <row r="1814" spans="1:6" x14ac:dyDescent="0.25">
      <c r="A1814" s="4" t="str">
        <f>"Inorganic Materials: Applied Research"</f>
        <v>Inorganic Materials: Applied Research</v>
      </c>
      <c r="B1814" s="4" t="s">
        <v>6</v>
      </c>
      <c r="C1814" s="4" t="str">
        <f t="shared" si="74"/>
        <v>-</v>
      </c>
      <c r="D1814" s="4" t="str">
        <f>"20751133"</f>
        <v>20751133</v>
      </c>
      <c r="E1814" s="4" t="str">
        <f>"2075115X"</f>
        <v>2075115X</v>
      </c>
      <c r="F1814" s="4" t="s">
        <v>171</v>
      </c>
    </row>
    <row r="1815" spans="1:6" x14ac:dyDescent="0.25">
      <c r="A1815" s="4" t="str">
        <f>"Insight: Non-Destructive Testing and Condition Monitoring"</f>
        <v>Insight: Non-Destructive Testing and Condition Monitoring</v>
      </c>
      <c r="B1815" s="4" t="s">
        <v>6</v>
      </c>
      <c r="C1815" s="4" t="str">
        <f t="shared" si="74"/>
        <v>-</v>
      </c>
      <c r="D1815" s="4" t="str">
        <f>"13542575"</f>
        <v>13542575</v>
      </c>
      <c r="E1815" s="4" t="str">
        <f>"17544904"</f>
        <v>17544904</v>
      </c>
      <c r="F1815" s="4" t="s">
        <v>543</v>
      </c>
    </row>
    <row r="1816" spans="1:6" x14ac:dyDescent="0.25">
      <c r="A1816" s="4" t="str">
        <f>"Institution of Chemical Engineers Symposium Series"</f>
        <v>Institution of Chemical Engineers Symposium Series</v>
      </c>
      <c r="B1816" s="4" t="s">
        <v>8</v>
      </c>
      <c r="C1816" s="4" t="str">
        <f t="shared" si="74"/>
        <v>-</v>
      </c>
      <c r="D1816" s="4" t="str">
        <f>"03070492"</f>
        <v>03070492</v>
      </c>
      <c r="E1816" s="4" t="str">
        <f>"-"</f>
        <v>-</v>
      </c>
      <c r="F1816" s="4" t="s">
        <v>264</v>
      </c>
    </row>
    <row r="1817" spans="1:6" x14ac:dyDescent="0.25">
      <c r="A1817" s="4" t="str">
        <f>"Instrumentation Mesure Metrologie"</f>
        <v>Instrumentation Mesure Metrologie</v>
      </c>
      <c r="B1817" s="4" t="s">
        <v>6</v>
      </c>
      <c r="C1817" s="4" t="str">
        <f t="shared" si="74"/>
        <v>-</v>
      </c>
      <c r="D1817" s="4" t="str">
        <f>"16314670"</f>
        <v>16314670</v>
      </c>
      <c r="E1817" s="4" t="str">
        <f>"-"</f>
        <v>-</v>
      </c>
      <c r="F1817" s="4" t="s">
        <v>122</v>
      </c>
    </row>
    <row r="1818" spans="1:6" x14ac:dyDescent="0.25">
      <c r="A1818" s="4" t="str">
        <f>"Instrumentation Science and Technology"</f>
        <v>Instrumentation Science and Technology</v>
      </c>
      <c r="B1818" s="4" t="s">
        <v>6</v>
      </c>
      <c r="C1818" s="4" t="str">
        <f t="shared" si="74"/>
        <v>-</v>
      </c>
      <c r="D1818" s="4" t="str">
        <f>"10739149"</f>
        <v>10739149</v>
      </c>
      <c r="E1818" s="4" t="str">
        <f>"15256030"</f>
        <v>15256030</v>
      </c>
      <c r="F1818" s="4" t="s">
        <v>96</v>
      </c>
    </row>
    <row r="1819" spans="1:6" x14ac:dyDescent="0.25">
      <c r="A1819" s="4" t="str">
        <f>"Instrumentation, Control, and Automation in the Power Industry, Proceedings"</f>
        <v>Instrumentation, Control, and Automation in the Power Industry, Proceedings</v>
      </c>
      <c r="B1819" s="4" t="s">
        <v>8</v>
      </c>
      <c r="C1819" s="4" t="str">
        <f t="shared" si="74"/>
        <v>-</v>
      </c>
      <c r="D1819" s="4" t="str">
        <f>"0074056X"</f>
        <v>0074056X</v>
      </c>
      <c r="E1819" s="4" t="str">
        <f>"-"</f>
        <v>-</v>
      </c>
      <c r="F1819" s="4" t="s">
        <v>188</v>
      </c>
    </row>
    <row r="1820" spans="1:6" x14ac:dyDescent="0.25">
      <c r="A1820" s="4" t="str">
        <f>"Instruments and Experimental Techniques"</f>
        <v>Instruments and Experimental Techniques</v>
      </c>
      <c r="B1820" s="4" t="s">
        <v>6</v>
      </c>
      <c r="C1820" s="4" t="str">
        <f t="shared" si="74"/>
        <v>-</v>
      </c>
      <c r="D1820" s="4" t="str">
        <f>"00204412"</f>
        <v>00204412</v>
      </c>
      <c r="E1820" s="4" t="str">
        <f>"-"</f>
        <v>-</v>
      </c>
      <c r="F1820" s="4" t="s">
        <v>171</v>
      </c>
    </row>
    <row r="1821" spans="1:6" x14ac:dyDescent="0.25">
      <c r="A1821" s="4" t="str">
        <f>"Integrated Communications, Navigation and Surveillance Conference, ICNS"</f>
        <v>Integrated Communications, Navigation and Surveillance Conference, ICNS</v>
      </c>
      <c r="B1821" s="4" t="s">
        <v>8</v>
      </c>
      <c r="C1821" s="4" t="str">
        <f t="shared" ref="C1821:E1884" si="77">"-"</f>
        <v>-</v>
      </c>
      <c r="D1821" s="4" t="str">
        <f>"21554943"</f>
        <v>21554943</v>
      </c>
      <c r="E1821" s="4" t="str">
        <f>"21554951"</f>
        <v>21554951</v>
      </c>
      <c r="F1821" s="4" t="s">
        <v>105</v>
      </c>
    </row>
    <row r="1822" spans="1:6" x14ac:dyDescent="0.25">
      <c r="A1822" s="4" t="str">
        <f>"Integrated Computer-Aided Engineering"</f>
        <v>Integrated Computer-Aided Engineering</v>
      </c>
      <c r="B1822" s="4" t="s">
        <v>6</v>
      </c>
      <c r="C1822" s="4" t="str">
        <f t="shared" si="77"/>
        <v>-</v>
      </c>
      <c r="D1822" s="4" t="str">
        <f>"10692509"</f>
        <v>10692509</v>
      </c>
      <c r="E1822" s="4" t="str">
        <f>"18758835"</f>
        <v>18758835</v>
      </c>
      <c r="F1822" s="4" t="s">
        <v>103</v>
      </c>
    </row>
    <row r="1823" spans="1:6" x14ac:dyDescent="0.25">
      <c r="A1823" s="4" t="str">
        <f>"Integrated Ferroelectrics"</f>
        <v>Integrated Ferroelectrics</v>
      </c>
      <c r="B1823" s="4" t="s">
        <v>6</v>
      </c>
      <c r="C1823" s="4" t="str">
        <f t="shared" si="77"/>
        <v>-</v>
      </c>
      <c r="D1823" s="4" t="str">
        <f>"10584587"</f>
        <v>10584587</v>
      </c>
      <c r="E1823" s="4" t="str">
        <f>"16078489"</f>
        <v>16078489</v>
      </c>
      <c r="F1823" s="4" t="s">
        <v>60</v>
      </c>
    </row>
    <row r="1824" spans="1:6" x14ac:dyDescent="0.25">
      <c r="A1824" s="4" t="str">
        <f>"Integration, the VLSI Journal"</f>
        <v>Integration, the VLSI Journal</v>
      </c>
      <c r="B1824" s="4" t="s">
        <v>6</v>
      </c>
      <c r="C1824" s="4" t="str">
        <f t="shared" si="77"/>
        <v>-</v>
      </c>
      <c r="D1824" s="4" t="str">
        <f>"01679260"</f>
        <v>01679260</v>
      </c>
      <c r="E1824" s="4" t="str">
        <f>"-"</f>
        <v>-</v>
      </c>
      <c r="F1824" s="4" t="s">
        <v>55</v>
      </c>
    </row>
    <row r="1825" spans="1:6" x14ac:dyDescent="0.25">
      <c r="A1825" s="4" t="str">
        <f>"INTELEC, International Telecommunications Energy Conference (Proceedings)"</f>
        <v>INTELEC, International Telecommunications Energy Conference (Proceedings)</v>
      </c>
      <c r="B1825" s="4" t="s">
        <v>8</v>
      </c>
      <c r="C1825" s="4" t="str">
        <f t="shared" si="77"/>
        <v>-</v>
      </c>
      <c r="D1825" s="4" t="str">
        <f>"02750473"</f>
        <v>02750473</v>
      </c>
      <c r="E1825" s="4" t="str">
        <f>"-"</f>
        <v>-</v>
      </c>
      <c r="F1825" s="4" t="s">
        <v>105</v>
      </c>
    </row>
    <row r="1826" spans="1:6" x14ac:dyDescent="0.25">
      <c r="A1826" s="4" t="str">
        <f>"Inteligencia Artificial"</f>
        <v>Inteligencia Artificial</v>
      </c>
      <c r="B1826" s="4" t="s">
        <v>6</v>
      </c>
      <c r="C1826" s="4" t="str">
        <f t="shared" si="77"/>
        <v>-</v>
      </c>
      <c r="D1826" s="4" t="str">
        <f>"11373601"</f>
        <v>11373601</v>
      </c>
      <c r="E1826" s="4" t="str">
        <f>"19883064"</f>
        <v>19883064</v>
      </c>
      <c r="F1826" s="4" t="s">
        <v>544</v>
      </c>
    </row>
    <row r="1827" spans="1:6" x14ac:dyDescent="0.25">
      <c r="A1827" s="4" t="str">
        <f>"Intelligent Buildings International"</f>
        <v>Intelligent Buildings International</v>
      </c>
      <c r="B1827" s="4" t="s">
        <v>6</v>
      </c>
      <c r="C1827" s="4" t="str">
        <f t="shared" si="77"/>
        <v>-</v>
      </c>
      <c r="D1827" s="4" t="str">
        <f>"17508975"</f>
        <v>17508975</v>
      </c>
      <c r="E1827" s="4" t="str">
        <f>"17566932"</f>
        <v>17566932</v>
      </c>
      <c r="F1827" s="4" t="s">
        <v>60</v>
      </c>
    </row>
    <row r="1828" spans="1:6" x14ac:dyDescent="0.25">
      <c r="A1828" s="4" t="str">
        <f>"Intelligent Data Analysis"</f>
        <v>Intelligent Data Analysis</v>
      </c>
      <c r="B1828" s="4" t="s">
        <v>6</v>
      </c>
      <c r="C1828" s="4" t="str">
        <f t="shared" si="77"/>
        <v>-</v>
      </c>
      <c r="D1828" s="4" t="str">
        <f>"1088467X"</f>
        <v>1088467X</v>
      </c>
      <c r="E1828" s="4" t="str">
        <f>"15714128"</f>
        <v>15714128</v>
      </c>
      <c r="F1828" s="4" t="s">
        <v>103</v>
      </c>
    </row>
    <row r="1829" spans="1:6" x14ac:dyDescent="0.25">
      <c r="A1829" s="4" t="str">
        <f>"Intelligent Decision Technologies"</f>
        <v>Intelligent Decision Technologies</v>
      </c>
      <c r="B1829" s="4" t="s">
        <v>6</v>
      </c>
      <c r="C1829" s="4" t="str">
        <f t="shared" si="77"/>
        <v>-</v>
      </c>
      <c r="D1829" s="4" t="str">
        <f>"18724981"</f>
        <v>18724981</v>
      </c>
      <c r="E1829" s="4" t="str">
        <f>"18758843"</f>
        <v>18758843</v>
      </c>
      <c r="F1829" s="4" t="s">
        <v>103</v>
      </c>
    </row>
    <row r="1830" spans="1:6" x14ac:dyDescent="0.25">
      <c r="A1830" s="4" t="str">
        <f>"Intelligent Engineering Systems Through Artificial Neural Networks"</f>
        <v>Intelligent Engineering Systems Through Artificial Neural Networks</v>
      </c>
      <c r="B1830" s="4" t="s">
        <v>8</v>
      </c>
      <c r="C1830" s="4" t="str">
        <f t="shared" si="77"/>
        <v>-</v>
      </c>
      <c r="D1830" s="4" t="str">
        <f>"-"</f>
        <v>-</v>
      </c>
      <c r="E1830" s="4" t="str">
        <f>"-"</f>
        <v>-</v>
      </c>
      <c r="F1830" s="4" t="s">
        <v>73</v>
      </c>
    </row>
    <row r="1831" spans="1:6" x14ac:dyDescent="0.25">
      <c r="A1831" s="4" t="str">
        <f>"Intelligent Service Robotics"</f>
        <v>Intelligent Service Robotics</v>
      </c>
      <c r="B1831" s="4" t="s">
        <v>6</v>
      </c>
      <c r="C1831" s="4" t="str">
        <f t="shared" si="77"/>
        <v>-</v>
      </c>
      <c r="D1831" s="4" t="str">
        <f>"18612776"</f>
        <v>18612776</v>
      </c>
      <c r="E1831" s="4" t="str">
        <f>"18612784"</f>
        <v>18612784</v>
      </c>
      <c r="F1831" s="4" t="s">
        <v>42</v>
      </c>
    </row>
    <row r="1832" spans="1:6" x14ac:dyDescent="0.25">
      <c r="A1832" s="4" t="str">
        <f>"Interacting with Computers"</f>
        <v>Interacting with Computers</v>
      </c>
      <c r="B1832" s="4" t="s">
        <v>6</v>
      </c>
      <c r="C1832" s="4" t="str">
        <f t="shared" si="77"/>
        <v>-</v>
      </c>
      <c r="D1832" s="4" t="str">
        <f>"09535438"</f>
        <v>09535438</v>
      </c>
      <c r="E1832" s="4" t="str">
        <f>"-"</f>
        <v>-</v>
      </c>
      <c r="F1832" s="4" t="s">
        <v>126</v>
      </c>
    </row>
    <row r="1833" spans="1:6" x14ac:dyDescent="0.25">
      <c r="A1833" s="4" t="str">
        <f>"Interactions"</f>
        <v>Interactions</v>
      </c>
      <c r="B1833" s="4" t="s">
        <v>22</v>
      </c>
      <c r="C1833" s="4" t="str">
        <f t="shared" si="77"/>
        <v>-</v>
      </c>
      <c r="D1833" s="4" t="str">
        <f>"10725520"</f>
        <v>10725520</v>
      </c>
      <c r="E1833" s="4" t="str">
        <f>"15583449"</f>
        <v>15583449</v>
      </c>
      <c r="F1833" s="4" t="s">
        <v>21</v>
      </c>
    </row>
    <row r="1834" spans="1:6" x14ac:dyDescent="0.25">
      <c r="A1834" s="4" t="str">
        <f>"InterCeram: International Ceramic Review"</f>
        <v>InterCeram: International Ceramic Review</v>
      </c>
      <c r="B1834" s="4" t="s">
        <v>6</v>
      </c>
      <c r="C1834" s="4" t="str">
        <f t="shared" si="77"/>
        <v>-</v>
      </c>
      <c r="D1834" s="4" t="str">
        <f>"00205214"</f>
        <v>00205214</v>
      </c>
      <c r="E1834" s="4" t="str">
        <f>"-"</f>
        <v>-</v>
      </c>
      <c r="F1834" s="4" t="s">
        <v>545</v>
      </c>
    </row>
    <row r="1835" spans="1:6" x14ac:dyDescent="0.25">
      <c r="A1835" s="4" t="str">
        <f>"Interdisciplinary Journal of Information, Knowledge, and Management"</f>
        <v>Interdisciplinary Journal of Information, Knowledge, and Management</v>
      </c>
      <c r="B1835" s="4" t="s">
        <v>6</v>
      </c>
      <c r="C1835" s="4" t="str">
        <f t="shared" si="77"/>
        <v>-</v>
      </c>
      <c r="D1835" s="4" t="str">
        <f>"15551229"</f>
        <v>15551229</v>
      </c>
      <c r="E1835" s="4" t="str">
        <f>"15551237"</f>
        <v>15551237</v>
      </c>
      <c r="F1835" s="4" t="s">
        <v>546</v>
      </c>
    </row>
    <row r="1836" spans="1:6" x14ac:dyDescent="0.25">
      <c r="A1836" s="4" t="str">
        <f>"Interdisciplinary Science Reviews"</f>
        <v>Interdisciplinary Science Reviews</v>
      </c>
      <c r="B1836" s="4" t="s">
        <v>6</v>
      </c>
      <c r="C1836" s="4" t="str">
        <f t="shared" si="77"/>
        <v>-</v>
      </c>
      <c r="D1836" s="4" t="str">
        <f>"03080188"</f>
        <v>03080188</v>
      </c>
      <c r="E1836" s="4" t="str">
        <f>"17432790"</f>
        <v>17432790</v>
      </c>
      <c r="F1836" s="4" t="s">
        <v>70</v>
      </c>
    </row>
    <row r="1837" spans="1:6" x14ac:dyDescent="0.25">
      <c r="A1837" s="4" t="str">
        <f>"Intermetallics"</f>
        <v>Intermetallics</v>
      </c>
      <c r="B1837" s="4" t="s">
        <v>6</v>
      </c>
      <c r="C1837" s="4" t="str">
        <f t="shared" si="77"/>
        <v>-</v>
      </c>
      <c r="D1837" s="4" t="str">
        <f>"09669795"</f>
        <v>09669795</v>
      </c>
      <c r="E1837" s="4" t="str">
        <f>"-"</f>
        <v>-</v>
      </c>
      <c r="F1837" s="4" t="s">
        <v>19</v>
      </c>
    </row>
    <row r="1838" spans="1:6" x14ac:dyDescent="0.25">
      <c r="A1838" s="4" t="str">
        <f>"International Agricultural Engineering Journal"</f>
        <v>International Agricultural Engineering Journal</v>
      </c>
      <c r="B1838" s="4" t="s">
        <v>6</v>
      </c>
      <c r="C1838" s="4" t="str">
        <f t="shared" si="77"/>
        <v>-</v>
      </c>
      <c r="D1838" s="4" t="str">
        <f>"08582114"</f>
        <v>08582114</v>
      </c>
      <c r="E1838" s="4" t="str">
        <f>"-"</f>
        <v>-</v>
      </c>
      <c r="F1838" s="4" t="s">
        <v>547</v>
      </c>
    </row>
    <row r="1839" spans="1:6" x14ac:dyDescent="0.25">
      <c r="A1839" s="4" t="str">
        <f>"International Air Safety Seminar Proceedings"</f>
        <v>International Air Safety Seminar Proceedings</v>
      </c>
      <c r="B1839" s="4" t="s">
        <v>8</v>
      </c>
      <c r="C1839" s="4" t="str">
        <f t="shared" si="77"/>
        <v>-</v>
      </c>
      <c r="D1839" s="4" t="str">
        <f>"02705176"</f>
        <v>02705176</v>
      </c>
      <c r="E1839" s="4" t="str">
        <f>"-"</f>
        <v>-</v>
      </c>
      <c r="F1839" s="4" t="s">
        <v>548</v>
      </c>
    </row>
    <row r="1840" spans="1:6" x14ac:dyDescent="0.25">
      <c r="A1840" s="4" t="str">
        <f>"International Applied Mechanics"</f>
        <v>International Applied Mechanics</v>
      </c>
      <c r="B1840" s="4" t="s">
        <v>6</v>
      </c>
      <c r="C1840" s="4" t="str">
        <f t="shared" si="77"/>
        <v>-</v>
      </c>
      <c r="D1840" s="4" t="str">
        <f>"10637095"</f>
        <v>10637095</v>
      </c>
      <c r="E1840" s="4" t="str">
        <f>"15738582"</f>
        <v>15738582</v>
      </c>
      <c r="F1840" s="4" t="s">
        <v>57</v>
      </c>
    </row>
    <row r="1841" spans="1:6" ht="30" x14ac:dyDescent="0.25">
      <c r="A1841" s="4" t="str">
        <f>"International Archives of the Photogrammetry, Remote Sensing and Spatial Information Sciences - ISPRS Archives"</f>
        <v>International Archives of the Photogrammetry, Remote Sensing and Spatial Information Sciences - ISPRS Archives</v>
      </c>
      <c r="B1841" s="4" t="s">
        <v>8</v>
      </c>
      <c r="C1841" s="4" t="str">
        <f t="shared" si="77"/>
        <v>-</v>
      </c>
      <c r="D1841" s="4" t="str">
        <f>"16821750"</f>
        <v>16821750</v>
      </c>
      <c r="E1841" s="4" t="str">
        <f>"-"</f>
        <v>-</v>
      </c>
      <c r="F1841" s="4" t="s">
        <v>549</v>
      </c>
    </row>
    <row r="1842" spans="1:6" x14ac:dyDescent="0.25">
      <c r="A1842" s="4" t="str">
        <f>"International Association of Geodesy Symposia"</f>
        <v>International Association of Geodesy Symposia</v>
      </c>
      <c r="B1842" s="4" t="s">
        <v>8</v>
      </c>
      <c r="C1842" s="4" t="str">
        <f t="shared" si="77"/>
        <v>-</v>
      </c>
      <c r="D1842" s="4" t="str">
        <f>"09399585"</f>
        <v>09399585</v>
      </c>
      <c r="E1842" s="4" t="str">
        <f>"-"</f>
        <v>-</v>
      </c>
      <c r="F1842" s="4" t="s">
        <v>42</v>
      </c>
    </row>
    <row r="1843" spans="1:6" x14ac:dyDescent="0.25">
      <c r="A1843" s="4" t="str">
        <f>"International Biodeterioration and Biodegradation"</f>
        <v>International Biodeterioration and Biodegradation</v>
      </c>
      <c r="B1843" s="4" t="s">
        <v>6</v>
      </c>
      <c r="C1843" s="4" t="str">
        <f t="shared" si="77"/>
        <v>-</v>
      </c>
      <c r="D1843" s="4" t="str">
        <f>"09648305"</f>
        <v>09648305</v>
      </c>
      <c r="E1843" s="4" t="str">
        <f>"-"</f>
        <v>-</v>
      </c>
      <c r="F1843" s="4" t="s">
        <v>19</v>
      </c>
    </row>
    <row r="1844" spans="1:6" x14ac:dyDescent="0.25">
      <c r="A1844" s="4" t="str">
        <f>"International Chemical Recovery Conference"</f>
        <v>International Chemical Recovery Conference</v>
      </c>
      <c r="B1844" s="4" t="s">
        <v>8</v>
      </c>
      <c r="C1844" s="4" t="str">
        <f t="shared" si="77"/>
        <v>-</v>
      </c>
      <c r="D1844" s="4" t="str">
        <f>"-"</f>
        <v>-</v>
      </c>
      <c r="E1844" s="4" t="str">
        <f>"-"</f>
        <v>-</v>
      </c>
      <c r="F1844" s="4" t="s">
        <v>306</v>
      </c>
    </row>
    <row r="1845" spans="1:6" x14ac:dyDescent="0.25">
      <c r="A1845" s="4" t="str">
        <f>"International Communications in Heat and Mass Transfer"</f>
        <v>International Communications in Heat and Mass Transfer</v>
      </c>
      <c r="B1845" s="4" t="s">
        <v>6</v>
      </c>
      <c r="C1845" s="4" t="str">
        <f t="shared" si="77"/>
        <v>-</v>
      </c>
      <c r="D1845" s="4" t="str">
        <f>"07351933"</f>
        <v>07351933</v>
      </c>
      <c r="E1845" s="4" t="str">
        <f>"-"</f>
        <v>-</v>
      </c>
      <c r="F1845" s="4" t="s">
        <v>19</v>
      </c>
    </row>
    <row r="1846" spans="1:6" x14ac:dyDescent="0.25">
      <c r="A1846" s="4" t="str">
        <f>"International Conference for High Performance Computing, Networking, Storage and Analysis, SC"</f>
        <v>International Conference for High Performance Computing, Networking, Storage and Analysis, SC</v>
      </c>
      <c r="B1846" s="4" t="s">
        <v>8</v>
      </c>
      <c r="C1846" s="4" t="str">
        <f t="shared" si="77"/>
        <v>-</v>
      </c>
      <c r="D1846" s="4" t="str">
        <f>"21674329"</f>
        <v>21674329</v>
      </c>
      <c r="E1846" s="4" t="str">
        <f>"21674337"</f>
        <v>21674337</v>
      </c>
      <c r="F1846" s="4" t="s">
        <v>9</v>
      </c>
    </row>
    <row r="1847" spans="1:6" x14ac:dyDescent="0.25">
      <c r="A1847" s="4" t="str">
        <f>"International Conference Image and Vision Computing New Zealand"</f>
        <v>International Conference Image and Vision Computing New Zealand</v>
      </c>
      <c r="B1847" s="4" t="s">
        <v>8</v>
      </c>
      <c r="C1847" s="4" t="str">
        <f t="shared" si="77"/>
        <v>-</v>
      </c>
      <c r="D1847" s="4" t="str">
        <f>"21512191"</f>
        <v>21512191</v>
      </c>
      <c r="E1847" s="4" t="str">
        <f>"21512205"</f>
        <v>21512205</v>
      </c>
      <c r="F1847" s="4" t="s">
        <v>9</v>
      </c>
    </row>
    <row r="1848" spans="1:6" x14ac:dyDescent="0.25">
      <c r="A1848" s="4" t="str">
        <f>"International Conference of Young Specialists on Micro/Nanotechnologies and Electron Devices, EDM"</f>
        <v>International Conference of Young Specialists on Micro/Nanotechnologies and Electron Devices, EDM</v>
      </c>
      <c r="B1848" s="4" t="s">
        <v>8</v>
      </c>
      <c r="C1848" s="4" t="str">
        <f t="shared" si="77"/>
        <v>-</v>
      </c>
      <c r="D1848" s="4" t="str">
        <f>"23254173"</f>
        <v>23254173</v>
      </c>
      <c r="E1848" s="4" t="str">
        <f>"2325419X"</f>
        <v>2325419X</v>
      </c>
      <c r="F1848" s="4" t="s">
        <v>9</v>
      </c>
    </row>
    <row r="1849" spans="1:6" x14ac:dyDescent="0.25">
      <c r="A1849" s="4" t="str">
        <f>"International Conference on Advanced Communication Technology, ICACT"</f>
        <v>International Conference on Advanced Communication Technology, ICACT</v>
      </c>
      <c r="B1849" s="4" t="s">
        <v>8</v>
      </c>
      <c r="C1849" s="4" t="str">
        <f t="shared" si="77"/>
        <v>-</v>
      </c>
      <c r="D1849" s="4" t="str">
        <f>"17389445"</f>
        <v>17389445</v>
      </c>
      <c r="E1849" s="4" t="str">
        <f>"-"</f>
        <v>-</v>
      </c>
      <c r="F1849" s="4" t="s">
        <v>105</v>
      </c>
    </row>
    <row r="1850" spans="1:6" x14ac:dyDescent="0.25">
      <c r="A1850" s="4" t="str">
        <f>"International Conference on Advanced Computing and Communication Technologies, ACCT"</f>
        <v>International Conference on Advanced Computing and Communication Technologies, ACCT</v>
      </c>
      <c r="B1850" s="4" t="s">
        <v>8</v>
      </c>
      <c r="C1850" s="4" t="str">
        <f t="shared" si="77"/>
        <v>-</v>
      </c>
      <c r="D1850" s="4" t="str">
        <f>"23270632"</f>
        <v>23270632</v>
      </c>
      <c r="E1850" s="4" t="str">
        <f>"23270659"</f>
        <v>23270659</v>
      </c>
      <c r="F1850" s="4" t="s">
        <v>105</v>
      </c>
    </row>
    <row r="1851" spans="1:6" x14ac:dyDescent="0.25">
      <c r="A1851" s="4" t="str">
        <f>"International Conference on Advanced Mechatronic Systems, ICAMechS"</f>
        <v>International Conference on Advanced Mechatronic Systems, ICAMechS</v>
      </c>
      <c r="B1851" s="4" t="s">
        <v>8</v>
      </c>
      <c r="C1851" s="4" t="str">
        <f t="shared" si="77"/>
        <v>-</v>
      </c>
      <c r="D1851" s="4" t="str">
        <f>"23250682"</f>
        <v>23250682</v>
      </c>
      <c r="E1851" s="4" t="str">
        <f>"23250690"</f>
        <v>23250690</v>
      </c>
      <c r="F1851" s="4" t="s">
        <v>9</v>
      </c>
    </row>
    <row r="1852" spans="1:6" x14ac:dyDescent="0.25">
      <c r="A1852" s="4" t="str">
        <f>"International Conference on Advanced Technologies for Communications"</f>
        <v>International Conference on Advanced Technologies for Communications</v>
      </c>
      <c r="B1852" s="4" t="s">
        <v>8</v>
      </c>
      <c r="C1852" s="4" t="str">
        <f t="shared" si="77"/>
        <v>-</v>
      </c>
      <c r="D1852" s="4" t="str">
        <f>"21621039"</f>
        <v>21621039</v>
      </c>
      <c r="E1852" s="4" t="str">
        <f>"21621020"</f>
        <v>21621020</v>
      </c>
      <c r="F1852" s="4" t="s">
        <v>9</v>
      </c>
    </row>
    <row r="1853" spans="1:6" x14ac:dyDescent="0.25">
      <c r="A1853" s="4" t="str">
        <f>"International Conference on Applied Electronics"</f>
        <v>International Conference on Applied Electronics</v>
      </c>
      <c r="B1853" s="4" t="s">
        <v>8</v>
      </c>
      <c r="C1853" s="4" t="str">
        <f t="shared" si="77"/>
        <v>-</v>
      </c>
      <c r="D1853" s="4" t="str">
        <f>"18037232"</f>
        <v>18037232</v>
      </c>
      <c r="E1853" s="4" t="str">
        <f t="shared" ref="E1853:E1859" si="78">"-"</f>
        <v>-</v>
      </c>
      <c r="F1853" s="4" t="s">
        <v>9</v>
      </c>
    </row>
    <row r="1854" spans="1:6" ht="30" x14ac:dyDescent="0.25">
      <c r="A1854" s="4" t="str">
        <f>"International Conference on Architectural Support for Programming Languages and Operating Systems - ASPLOS"</f>
        <v>International Conference on Architectural Support for Programming Languages and Operating Systems - ASPLOS</v>
      </c>
      <c r="B1854" s="4" t="s">
        <v>8</v>
      </c>
      <c r="C1854" s="4" t="str">
        <f t="shared" si="77"/>
        <v>-</v>
      </c>
      <c r="D1854" s="4" t="str">
        <f>"-"</f>
        <v>-</v>
      </c>
      <c r="E1854" s="4" t="str">
        <f t="shared" si="78"/>
        <v>-</v>
      </c>
      <c r="F1854" s="4" t="s">
        <v>21</v>
      </c>
    </row>
    <row r="1855" spans="1:6" x14ac:dyDescent="0.25">
      <c r="A1855" s="4" t="str">
        <f>"International Conference on Communication Technology Proceedings, ICCT"</f>
        <v>International Conference on Communication Technology Proceedings, ICCT</v>
      </c>
      <c r="B1855" s="4" t="s">
        <v>8</v>
      </c>
      <c r="C1855" s="4" t="str">
        <f t="shared" si="77"/>
        <v>-</v>
      </c>
      <c r="D1855" s="4" t="str">
        <f>"-"</f>
        <v>-</v>
      </c>
      <c r="E1855" s="4" t="str">
        <f t="shared" si="78"/>
        <v>-</v>
      </c>
      <c r="F1855" s="4" t="s">
        <v>105</v>
      </c>
    </row>
    <row r="1856" spans="1:6" x14ac:dyDescent="0.25">
      <c r="A1856" s="4" t="str">
        <f>"International Conference on Computational Structures Technology - Proceedings"</f>
        <v>International Conference on Computational Structures Technology - Proceedings</v>
      </c>
      <c r="B1856" s="4" t="s">
        <v>8</v>
      </c>
      <c r="C1856" s="4" t="str">
        <f t="shared" si="77"/>
        <v>-</v>
      </c>
      <c r="D1856" s="4" t="str">
        <f>"-"</f>
        <v>-</v>
      </c>
      <c r="E1856" s="4" t="str">
        <f t="shared" si="78"/>
        <v>-</v>
      </c>
      <c r="F1856" s="4" t="s">
        <v>550</v>
      </c>
    </row>
    <row r="1857" spans="1:6" x14ac:dyDescent="0.25">
      <c r="A1857" s="4" t="str">
        <f>"International Conference on Computer Aided Optimum Design of Structures, OPTI, Proceedings"</f>
        <v>International Conference on Computer Aided Optimum Design of Structures, OPTI, Proceedings</v>
      </c>
      <c r="B1857" s="4" t="s">
        <v>8</v>
      </c>
      <c r="C1857" s="4" t="str">
        <f t="shared" si="77"/>
        <v>-</v>
      </c>
      <c r="D1857" s="4" t="str">
        <f>"14626055"</f>
        <v>14626055</v>
      </c>
      <c r="E1857" s="4" t="str">
        <f t="shared" si="78"/>
        <v>-</v>
      </c>
      <c r="F1857" s="4" t="s">
        <v>77</v>
      </c>
    </row>
    <row r="1858" spans="1:6" x14ac:dyDescent="0.25">
      <c r="A1858" s="4" t="str">
        <f>"International Conference on Control of Oscillations and Chaos, Proceedings"</f>
        <v>International Conference on Control of Oscillations and Chaos, Proceedings</v>
      </c>
      <c r="B1858" s="4" t="s">
        <v>8</v>
      </c>
      <c r="C1858" s="4" t="str">
        <f t="shared" si="77"/>
        <v>-</v>
      </c>
      <c r="D1858" s="4" t="str">
        <f>"-"</f>
        <v>-</v>
      </c>
      <c r="E1858" s="4" t="str">
        <f t="shared" si="78"/>
        <v>-</v>
      </c>
      <c r="F1858" s="4" t="s">
        <v>105</v>
      </c>
    </row>
    <row r="1859" spans="1:6" x14ac:dyDescent="0.25">
      <c r="A1859" s="4" t="str">
        <f>"International Conference on Control, Automation and Systems"</f>
        <v>International Conference on Control, Automation and Systems</v>
      </c>
      <c r="B1859" s="4" t="s">
        <v>8</v>
      </c>
      <c r="C1859" s="4" t="str">
        <f t="shared" si="77"/>
        <v>-</v>
      </c>
      <c r="D1859" s="4" t="str">
        <f>"15987833"</f>
        <v>15987833</v>
      </c>
      <c r="E1859" s="4" t="str">
        <f t="shared" si="78"/>
        <v>-</v>
      </c>
      <c r="F1859" s="4" t="s">
        <v>9</v>
      </c>
    </row>
    <row r="1860" spans="1:6" x14ac:dyDescent="0.25">
      <c r="A1860" s="4" t="str">
        <f>"International Conference on Cyber Conflict, CYCON"</f>
        <v>International Conference on Cyber Conflict, CYCON</v>
      </c>
      <c r="B1860" s="4" t="s">
        <v>8</v>
      </c>
      <c r="C1860" s="4" t="str">
        <f t="shared" si="77"/>
        <v>-</v>
      </c>
      <c r="D1860" s="4" t="str">
        <f>"23255366"</f>
        <v>23255366</v>
      </c>
      <c r="E1860" s="4" t="str">
        <f>"23255374"</f>
        <v>23255374</v>
      </c>
      <c r="F1860" s="4" t="s">
        <v>551</v>
      </c>
    </row>
    <row r="1861" spans="1:6" ht="30" x14ac:dyDescent="0.25">
      <c r="A1861" s="4" t="str">
        <f>"International Conference on Debris-Flow Hazards Mitigation: Mechanics, Prediction, and Assessment, Proceedings"</f>
        <v>International Conference on Debris-Flow Hazards Mitigation: Mechanics, Prediction, and Assessment, Proceedings</v>
      </c>
      <c r="B1861" s="4" t="s">
        <v>8</v>
      </c>
      <c r="C1861" s="4" t="str">
        <f t="shared" si="77"/>
        <v>-</v>
      </c>
      <c r="D1861" s="4" t="str">
        <f>"-"</f>
        <v>-</v>
      </c>
      <c r="E1861" s="4" t="str">
        <f>"-"</f>
        <v>-</v>
      </c>
      <c r="F1861" s="4" t="s">
        <v>111</v>
      </c>
    </row>
    <row r="1862" spans="1:6" x14ac:dyDescent="0.25">
      <c r="A1862" s="4" t="str">
        <f>"International Conference on Digital Printing Technologies"</f>
        <v>International Conference on Digital Printing Technologies</v>
      </c>
      <c r="B1862" s="4" t="s">
        <v>8</v>
      </c>
      <c r="C1862" s="4" t="str">
        <f t="shared" si="77"/>
        <v>-</v>
      </c>
      <c r="D1862" s="4" t="str">
        <f>"21694362"</f>
        <v>21694362</v>
      </c>
      <c r="E1862" s="4" t="str">
        <f>"21694451"</f>
        <v>21694451</v>
      </c>
      <c r="F1862" s="4" t="s">
        <v>415</v>
      </c>
    </row>
    <row r="1863" spans="1:6" x14ac:dyDescent="0.25">
      <c r="A1863" s="4" t="str">
        <f>"International Conference on Digital Signal Processing, DSP"</f>
        <v>International Conference on Digital Signal Processing, DSP</v>
      </c>
      <c r="B1863" s="4" t="s">
        <v>8</v>
      </c>
      <c r="C1863" s="4" t="str">
        <f t="shared" si="77"/>
        <v>-</v>
      </c>
      <c r="D1863" s="4" t="str">
        <f>"-"</f>
        <v>-</v>
      </c>
      <c r="E1863" s="4" t="str">
        <f>"-"</f>
        <v>-</v>
      </c>
      <c r="F1863" s="4" t="s">
        <v>105</v>
      </c>
    </row>
    <row r="1864" spans="1:6" x14ac:dyDescent="0.25">
      <c r="A1864" s="4" t="str">
        <f>"International Conference on Electronic Devices, Systems, and Applications"</f>
        <v>International Conference on Electronic Devices, Systems, and Applications</v>
      </c>
      <c r="B1864" s="4" t="s">
        <v>8</v>
      </c>
      <c r="C1864" s="4" t="str">
        <f t="shared" si="77"/>
        <v>-</v>
      </c>
      <c r="D1864" s="4" t="str">
        <f>"21592047"</f>
        <v>21592047</v>
      </c>
      <c r="E1864" s="4" t="str">
        <f>"21592055"</f>
        <v>21592055</v>
      </c>
      <c r="F1864" s="4" t="s">
        <v>9</v>
      </c>
    </row>
    <row r="1865" spans="1:6" x14ac:dyDescent="0.25">
      <c r="A1865" s="4" t="str">
        <f>"International Conference on Emerging Trends in Engineering and Technology, ICETET"</f>
        <v>International Conference on Emerging Trends in Engineering and Technology, ICETET</v>
      </c>
      <c r="B1865" s="4" t="s">
        <v>8</v>
      </c>
      <c r="C1865" s="4" t="str">
        <f t="shared" si="77"/>
        <v>-</v>
      </c>
      <c r="D1865" s="4" t="str">
        <f>"21570477"</f>
        <v>21570477</v>
      </c>
      <c r="E1865" s="4" t="str">
        <f>"21570485"</f>
        <v>21570485</v>
      </c>
      <c r="F1865" s="4" t="s">
        <v>9</v>
      </c>
    </row>
    <row r="1866" spans="1:6" x14ac:dyDescent="0.25">
      <c r="A1866" s="4" t="str">
        <f>"International Conference on Geoinformatics"</f>
        <v>International Conference on Geoinformatics</v>
      </c>
      <c r="B1866" s="4" t="s">
        <v>6</v>
      </c>
      <c r="C1866" s="4" t="str">
        <f t="shared" si="77"/>
        <v>-</v>
      </c>
      <c r="D1866" s="4" t="str">
        <f>"2161024X"</f>
        <v>2161024X</v>
      </c>
      <c r="E1866" s="4" t="str">
        <f>"21610258"</f>
        <v>21610258</v>
      </c>
      <c r="F1866" s="4" t="s">
        <v>9</v>
      </c>
    </row>
    <row r="1867" spans="1:6" x14ac:dyDescent="0.25">
      <c r="A1867" s="4" t="str">
        <f>"International Conference on Human System Interaction, HSI"</f>
        <v>International Conference on Human System Interaction, HSI</v>
      </c>
      <c r="B1867" s="4" t="s">
        <v>8</v>
      </c>
      <c r="C1867" s="4" t="str">
        <f t="shared" si="77"/>
        <v>-</v>
      </c>
      <c r="D1867" s="4" t="str">
        <f>"21582246"</f>
        <v>21582246</v>
      </c>
      <c r="E1867" s="4" t="str">
        <f>"21582254"</f>
        <v>21582254</v>
      </c>
      <c r="F1867" s="4" t="s">
        <v>9</v>
      </c>
    </row>
    <row r="1868" spans="1:6" x14ac:dyDescent="0.25">
      <c r="A1868" s="4" t="str">
        <f>"International Conference on ICT and Knowledge Engineering"</f>
        <v>International Conference on ICT and Knowledge Engineering</v>
      </c>
      <c r="B1868" s="4" t="s">
        <v>8</v>
      </c>
      <c r="C1868" s="4" t="str">
        <f t="shared" si="77"/>
        <v>-</v>
      </c>
      <c r="D1868" s="4" t="str">
        <f>"21570981"</f>
        <v>21570981</v>
      </c>
      <c r="E1868" s="4" t="str">
        <f>"2157099X"</f>
        <v>2157099X</v>
      </c>
      <c r="F1868" s="4" t="s">
        <v>9</v>
      </c>
    </row>
    <row r="1869" spans="1:6" x14ac:dyDescent="0.25">
      <c r="A1869" s="4" t="str">
        <f>"International Conference on ICT Convergence"</f>
        <v>International Conference on ICT Convergence</v>
      </c>
      <c r="B1869" s="4" t="s">
        <v>8</v>
      </c>
      <c r="C1869" s="4" t="str">
        <f t="shared" si="77"/>
        <v>-</v>
      </c>
      <c r="D1869" s="4" t="str">
        <f>"21621233"</f>
        <v>21621233</v>
      </c>
      <c r="E1869" s="4" t="str">
        <f>"21621241"</f>
        <v>21621241</v>
      </c>
      <c r="F1869" s="4" t="s">
        <v>9</v>
      </c>
    </row>
    <row r="1870" spans="1:6" x14ac:dyDescent="0.25">
      <c r="A1870" s="4" t="str">
        <f>"International Conference on Information and Knowledge Management, Proceedings"</f>
        <v>International Conference on Information and Knowledge Management, Proceedings</v>
      </c>
      <c r="B1870" s="4" t="s">
        <v>8</v>
      </c>
      <c r="C1870" s="4" t="str">
        <f t="shared" si="77"/>
        <v>-</v>
      </c>
      <c r="D1870" s="4" t="str">
        <f>"-"</f>
        <v>-</v>
      </c>
      <c r="E1870" s="4" t="str">
        <f>"-"</f>
        <v>-</v>
      </c>
      <c r="F1870" s="4" t="s">
        <v>21</v>
      </c>
    </row>
    <row r="1871" spans="1:6" x14ac:dyDescent="0.25">
      <c r="A1871" s="4" t="str">
        <f>"International Conference on Information Networking"</f>
        <v>International Conference on Information Networking</v>
      </c>
      <c r="B1871" s="4" t="s">
        <v>8</v>
      </c>
      <c r="C1871" s="4" t="str">
        <f t="shared" si="77"/>
        <v>-</v>
      </c>
      <c r="D1871" s="4" t="str">
        <f>"19767684"</f>
        <v>19767684</v>
      </c>
      <c r="E1871" s="4" t="str">
        <f>"-"</f>
        <v>-</v>
      </c>
      <c r="F1871" s="4" t="s">
        <v>9</v>
      </c>
    </row>
    <row r="1872" spans="1:6" x14ac:dyDescent="0.25">
      <c r="A1872" s="4" t="str">
        <f>"International Conference on Infrared, Millimeter, and Terahertz Waves, IRMMW-THz"</f>
        <v>International Conference on Infrared, Millimeter, and Terahertz Waves, IRMMW-THz</v>
      </c>
      <c r="B1872" s="4" t="s">
        <v>8</v>
      </c>
      <c r="C1872" s="4" t="str">
        <f t="shared" si="77"/>
        <v>-</v>
      </c>
      <c r="D1872" s="4" t="str">
        <f>"21622027"</f>
        <v>21622027</v>
      </c>
      <c r="E1872" s="4" t="str">
        <f>"21622035"</f>
        <v>21622035</v>
      </c>
      <c r="F1872" s="4" t="s">
        <v>9</v>
      </c>
    </row>
    <row r="1873" spans="1:6" x14ac:dyDescent="0.25">
      <c r="A1873" s="4" t="str">
        <f>"International Conference on Intelligent Systems Design and Applications, ISDA"</f>
        <v>International Conference on Intelligent Systems Design and Applications, ISDA</v>
      </c>
      <c r="B1873" s="4" t="s">
        <v>8</v>
      </c>
      <c r="C1873" s="4" t="str">
        <f t="shared" si="77"/>
        <v>-</v>
      </c>
      <c r="D1873" s="4" t="str">
        <f>"21647143"</f>
        <v>21647143</v>
      </c>
      <c r="E1873" s="4" t="str">
        <f>"21647151"</f>
        <v>21647151</v>
      </c>
      <c r="F1873" s="4" t="s">
        <v>9</v>
      </c>
    </row>
    <row r="1874" spans="1:6" x14ac:dyDescent="0.25">
      <c r="A1874" s="4" t="str">
        <f>"International Conference on Intelligent User Interfaces, Proceedings IUI"</f>
        <v>International Conference on Intelligent User Interfaces, Proceedings IUI</v>
      </c>
      <c r="B1874" s="4" t="s">
        <v>8</v>
      </c>
      <c r="C1874" s="4" t="str">
        <f t="shared" si="77"/>
        <v>-</v>
      </c>
      <c r="D1874" s="4" t="str">
        <f t="shared" si="77"/>
        <v>-</v>
      </c>
      <c r="E1874" s="4" t="str">
        <f t="shared" si="77"/>
        <v>-</v>
      </c>
      <c r="F1874" s="4" t="s">
        <v>21</v>
      </c>
    </row>
    <row r="1875" spans="1:6" x14ac:dyDescent="0.25">
      <c r="A1875" s="4" t="str">
        <f>"International Conference on Knowledge-Based Intelligent Electronic Systems, Proceedings, KES"</f>
        <v>International Conference on Knowledge-Based Intelligent Electronic Systems, Proceedings, KES</v>
      </c>
      <c r="B1875" s="4" t="s">
        <v>8</v>
      </c>
      <c r="C1875" s="4" t="str">
        <f t="shared" si="77"/>
        <v>-</v>
      </c>
      <c r="D1875" s="4" t="str">
        <f t="shared" si="77"/>
        <v>-</v>
      </c>
      <c r="E1875" s="4" t="str">
        <f t="shared" si="77"/>
        <v>-</v>
      </c>
      <c r="F1875" s="4" t="s">
        <v>105</v>
      </c>
    </row>
    <row r="1876" spans="1:6" x14ac:dyDescent="0.25">
      <c r="A1876" s="4" t="str">
        <f>"International Conference on Lead-Acid Batteries,  LABAT"</f>
        <v>International Conference on Lead-Acid Batteries,  LABAT</v>
      </c>
      <c r="B1876" s="4" t="s">
        <v>8</v>
      </c>
      <c r="C1876" s="4" t="str">
        <f t="shared" si="77"/>
        <v>-</v>
      </c>
      <c r="D1876" s="4" t="str">
        <f t="shared" si="77"/>
        <v>-</v>
      </c>
      <c r="E1876" s="4" t="str">
        <f t="shared" si="77"/>
        <v>-</v>
      </c>
      <c r="F1876" s="4" t="s">
        <v>552</v>
      </c>
    </row>
    <row r="1877" spans="1:6" x14ac:dyDescent="0.25">
      <c r="A1877" s="4" t="str">
        <f>"International Conference on Management Science and Engineering - Annual Conference Proceedings"</f>
        <v>International Conference on Management Science and Engineering - Annual Conference Proceedings</v>
      </c>
      <c r="B1877" s="4" t="s">
        <v>8</v>
      </c>
      <c r="C1877" s="4" t="str">
        <f t="shared" si="77"/>
        <v>-</v>
      </c>
      <c r="D1877" s="4" t="str">
        <f>"21551847"</f>
        <v>21551847</v>
      </c>
      <c r="E1877" s="4" t="str">
        <f>"-"</f>
        <v>-</v>
      </c>
      <c r="F1877" s="4" t="s">
        <v>9</v>
      </c>
    </row>
    <row r="1878" spans="1:6" x14ac:dyDescent="0.25">
      <c r="A1878" s="4" t="str">
        <f>"International Conference on Mathematical Methods in Electromagnetic Theory, MMET"</f>
        <v>International Conference on Mathematical Methods in Electromagnetic Theory, MMET</v>
      </c>
      <c r="B1878" s="4" t="s">
        <v>8</v>
      </c>
      <c r="C1878" s="4" t="str">
        <f t="shared" si="77"/>
        <v>-</v>
      </c>
      <c r="D1878" s="4" t="str">
        <f>"21611734"</f>
        <v>21611734</v>
      </c>
      <c r="E1878" s="4" t="str">
        <f>"21611750"</f>
        <v>21611750</v>
      </c>
      <c r="F1878" s="4" t="s">
        <v>9</v>
      </c>
    </row>
    <row r="1879" spans="1:6" x14ac:dyDescent="0.25">
      <c r="A1879" s="4" t="str">
        <f>"International Conference on Multimedia Computing and Systems -Proceedings"</f>
        <v>International Conference on Multimedia Computing and Systems -Proceedings</v>
      </c>
      <c r="B1879" s="4" t="s">
        <v>8</v>
      </c>
      <c r="C1879" s="4" t="str">
        <f t="shared" si="77"/>
        <v>-</v>
      </c>
      <c r="D1879" s="4" t="str">
        <f>"-"</f>
        <v>-</v>
      </c>
      <c r="E1879" s="4" t="str">
        <f>"-"</f>
        <v>-</v>
      </c>
      <c r="F1879" s="4" t="s">
        <v>9</v>
      </c>
    </row>
    <row r="1880" spans="1:6" x14ac:dyDescent="0.25">
      <c r="A1880" s="4" t="str">
        <f>"International Conference on Next Generation Mobile Applications, Services, and Technologies"</f>
        <v>International Conference on Next Generation Mobile Applications, Services, and Technologies</v>
      </c>
      <c r="B1880" s="4" t="s">
        <v>8</v>
      </c>
      <c r="C1880" s="4" t="str">
        <f t="shared" si="77"/>
        <v>-</v>
      </c>
      <c r="D1880" s="4" t="str">
        <f>"21612889"</f>
        <v>21612889</v>
      </c>
      <c r="E1880" s="4" t="str">
        <f>"21612897"</f>
        <v>21612897</v>
      </c>
      <c r="F1880" s="4" t="s">
        <v>9</v>
      </c>
    </row>
    <row r="1881" spans="1:6" x14ac:dyDescent="0.25">
      <c r="A1881" s="4" t="str">
        <f>"International Conference on Next Generation Networks and Services, NGNS"</f>
        <v>International Conference on Next Generation Networks and Services, NGNS</v>
      </c>
      <c r="B1881" s="4" t="s">
        <v>8</v>
      </c>
      <c r="C1881" s="4" t="str">
        <f t="shared" si="77"/>
        <v>-</v>
      </c>
      <c r="D1881" s="4" t="str">
        <f>"23276525"</f>
        <v>23276525</v>
      </c>
      <c r="E1881" s="4" t="str">
        <f>"23276533"</f>
        <v>23276533</v>
      </c>
      <c r="F1881" s="4" t="s">
        <v>9</v>
      </c>
    </row>
    <row r="1882" spans="1:6" x14ac:dyDescent="0.25">
      <c r="A1882" s="4" t="str">
        <f>"International Conference on Nuclear Engineering, Proceedings, ICONE"</f>
        <v>International Conference on Nuclear Engineering, Proceedings, ICONE</v>
      </c>
      <c r="B1882" s="4" t="s">
        <v>8</v>
      </c>
      <c r="C1882" s="4" t="str">
        <f t="shared" si="77"/>
        <v>-</v>
      </c>
      <c r="D1882" s="4" t="str">
        <f>"-"</f>
        <v>-</v>
      </c>
      <c r="E1882" s="4" t="str">
        <f>"-"</f>
        <v>-</v>
      </c>
      <c r="F1882" s="4" t="s">
        <v>73</v>
      </c>
    </row>
    <row r="1883" spans="1:6" x14ac:dyDescent="0.25">
      <c r="A1883" s="4" t="str">
        <f>"International Conference on Optical MEMS and Nanophotonics"</f>
        <v>International Conference on Optical MEMS and Nanophotonics</v>
      </c>
      <c r="B1883" s="4" t="s">
        <v>8</v>
      </c>
      <c r="C1883" s="4" t="str">
        <f t="shared" si="77"/>
        <v>-</v>
      </c>
      <c r="D1883" s="4" t="str">
        <f>"21605033"</f>
        <v>21605033</v>
      </c>
      <c r="E1883" s="4" t="str">
        <f>"21605041"</f>
        <v>21605041</v>
      </c>
      <c r="F1883" s="4" t="s">
        <v>9</v>
      </c>
    </row>
    <row r="1884" spans="1:6" x14ac:dyDescent="0.25">
      <c r="A1884" s="4" t="str">
        <f>"International Conference on Power Engineering, Energy and Electrical Drives"</f>
        <v>International Conference on Power Engineering, Energy and Electrical Drives</v>
      </c>
      <c r="B1884" s="4" t="s">
        <v>8</v>
      </c>
      <c r="C1884" s="4" t="str">
        <f t="shared" si="77"/>
        <v>-</v>
      </c>
      <c r="D1884" s="4" t="str">
        <f>"21555516"</f>
        <v>21555516</v>
      </c>
      <c r="E1884" s="4" t="str">
        <f>"21555532"</f>
        <v>21555532</v>
      </c>
      <c r="F1884" s="4" t="s">
        <v>9</v>
      </c>
    </row>
    <row r="1885" spans="1:6" x14ac:dyDescent="0.25">
      <c r="A1885" s="4" t="str">
        <f>"International Conference on Research and Innovation in Information Systems, ICRIIS"</f>
        <v>International Conference on Research and Innovation in Information Systems, ICRIIS</v>
      </c>
      <c r="B1885" s="4" t="s">
        <v>8</v>
      </c>
      <c r="C1885" s="4" t="str">
        <f t="shared" ref="C1885:E1948" si="79">"-"</f>
        <v>-</v>
      </c>
      <c r="D1885" s="4" t="str">
        <f>"23248149"</f>
        <v>23248149</v>
      </c>
      <c r="E1885" s="4" t="str">
        <f>"23248157"</f>
        <v>23248157</v>
      </c>
      <c r="F1885" s="4" t="s">
        <v>9</v>
      </c>
    </row>
    <row r="1886" spans="1:6" x14ac:dyDescent="0.25">
      <c r="A1886" s="4" t="str">
        <f>"International Conference on Self-Adaptive and Self-Organizing Systems, SASO"</f>
        <v>International Conference on Self-Adaptive and Self-Organizing Systems, SASO</v>
      </c>
      <c r="B1886" s="4" t="s">
        <v>8</v>
      </c>
      <c r="C1886" s="4" t="str">
        <f t="shared" si="79"/>
        <v>-</v>
      </c>
      <c r="D1886" s="4" t="str">
        <f>"19493673"</f>
        <v>19493673</v>
      </c>
      <c r="E1886" s="4" t="str">
        <f>"19493681"</f>
        <v>19493681</v>
      </c>
      <c r="F1886" s="4" t="s">
        <v>9</v>
      </c>
    </row>
    <row r="1887" spans="1:6" x14ac:dyDescent="0.25">
      <c r="A1887" s="4" t="str">
        <f>"International Conference on Signal Processing Proceedings, ICSP"</f>
        <v>International Conference on Signal Processing Proceedings, ICSP</v>
      </c>
      <c r="B1887" s="4" t="s">
        <v>8</v>
      </c>
      <c r="C1887" s="4" t="str">
        <f t="shared" si="79"/>
        <v>-</v>
      </c>
      <c r="D1887" s="4" t="str">
        <f t="shared" si="79"/>
        <v>-</v>
      </c>
      <c r="E1887" s="4" t="str">
        <f t="shared" si="79"/>
        <v>-</v>
      </c>
      <c r="F1887" s="4" t="s">
        <v>105</v>
      </c>
    </row>
    <row r="1888" spans="1:6" x14ac:dyDescent="0.25">
      <c r="A1888" s="4" t="str">
        <f>"International Conference on Simulation of Semiconductor Processes and Devices, SISPAD"</f>
        <v>International Conference on Simulation of Semiconductor Processes and Devices, SISPAD</v>
      </c>
      <c r="B1888" s="4" t="s">
        <v>8</v>
      </c>
      <c r="C1888" s="4" t="str">
        <f t="shared" si="79"/>
        <v>-</v>
      </c>
      <c r="D1888" s="4" t="str">
        <f t="shared" si="79"/>
        <v>-</v>
      </c>
      <c r="E1888" s="4" t="str">
        <f t="shared" si="79"/>
        <v>-</v>
      </c>
      <c r="F1888" s="4" t="s">
        <v>105</v>
      </c>
    </row>
    <row r="1889" spans="1:6" x14ac:dyDescent="0.25">
      <c r="A1889" s="4" t="str">
        <f>"International Conference on Solid-State and Integrated Circuits Technology Proceedings, ICSICT"</f>
        <v>International Conference on Solid-State and Integrated Circuits Technology Proceedings, ICSICT</v>
      </c>
      <c r="B1889" s="4" t="s">
        <v>8</v>
      </c>
      <c r="C1889" s="4" t="str">
        <f t="shared" si="79"/>
        <v>-</v>
      </c>
      <c r="D1889" s="4" t="str">
        <f t="shared" si="79"/>
        <v>-</v>
      </c>
      <c r="E1889" s="4" t="str">
        <f t="shared" si="79"/>
        <v>-</v>
      </c>
      <c r="F1889" s="4" t="s">
        <v>105</v>
      </c>
    </row>
    <row r="1890" spans="1:6" x14ac:dyDescent="0.25">
      <c r="A1890" s="4" t="str">
        <f>"International Conference on Space Science and Communication, IconSpace"</f>
        <v>International Conference on Space Science and Communication, IconSpace</v>
      </c>
      <c r="B1890" s="4" t="s">
        <v>8</v>
      </c>
      <c r="C1890" s="4" t="str">
        <f t="shared" si="79"/>
        <v>-</v>
      </c>
      <c r="D1890" s="4" t="str">
        <f>"21654301"</f>
        <v>21654301</v>
      </c>
      <c r="E1890" s="4" t="str">
        <f>"2165431X"</f>
        <v>2165431X</v>
      </c>
      <c r="F1890" s="4" t="s">
        <v>9</v>
      </c>
    </row>
    <row r="1891" spans="1:6" x14ac:dyDescent="0.25">
      <c r="A1891" s="4" t="str">
        <f>"International Conference on Systems Biology, ISB"</f>
        <v>International Conference on Systems Biology, ISB</v>
      </c>
      <c r="B1891" s="4" t="s">
        <v>6</v>
      </c>
      <c r="C1891" s="4" t="str">
        <f t="shared" si="79"/>
        <v>-</v>
      </c>
      <c r="D1891" s="4" t="str">
        <f>"23250704"</f>
        <v>23250704</v>
      </c>
      <c r="E1891" s="4" t="str">
        <f>"23250712"</f>
        <v>23250712</v>
      </c>
      <c r="F1891" s="4" t="s">
        <v>9</v>
      </c>
    </row>
    <row r="1892" spans="1:6" x14ac:dyDescent="0.25">
      <c r="A1892" s="4" t="str">
        <f>"International Conference on Systems, Signals, and Image Processing"</f>
        <v>International Conference on Systems, Signals, and Image Processing</v>
      </c>
      <c r="B1892" s="4" t="s">
        <v>8</v>
      </c>
      <c r="C1892" s="4" t="str">
        <f t="shared" si="79"/>
        <v>-</v>
      </c>
      <c r="D1892" s="4" t="str">
        <f>"21578672"</f>
        <v>21578672</v>
      </c>
      <c r="E1892" s="4" t="str">
        <f>"21578702"</f>
        <v>21578702</v>
      </c>
      <c r="F1892" s="4" t="s">
        <v>9</v>
      </c>
    </row>
    <row r="1893" spans="1:6" x14ac:dyDescent="0.25">
      <c r="A1893" s="4" t="str">
        <f>"International Conference on the European Energy Market, EEM"</f>
        <v>International Conference on the European Energy Market, EEM</v>
      </c>
      <c r="B1893" s="4" t="s">
        <v>8</v>
      </c>
      <c r="C1893" s="4" t="str">
        <f t="shared" si="79"/>
        <v>-</v>
      </c>
      <c r="D1893" s="4" t="str">
        <f>"21654077"</f>
        <v>21654077</v>
      </c>
      <c r="E1893" s="4" t="str">
        <f>"21654093"</f>
        <v>21654093</v>
      </c>
      <c r="F1893" s="4" t="s">
        <v>9</v>
      </c>
    </row>
    <row r="1894" spans="1:6" x14ac:dyDescent="0.25">
      <c r="A1894" s="4" t="str">
        <f>"International Conference on Thermoelectrics, ICT, Proceedings"</f>
        <v>International Conference on Thermoelectrics, ICT, Proceedings</v>
      </c>
      <c r="B1894" s="4" t="s">
        <v>8</v>
      </c>
      <c r="C1894" s="4" t="str">
        <f t="shared" si="79"/>
        <v>-</v>
      </c>
      <c r="D1894" s="4" t="str">
        <f>"-"</f>
        <v>-</v>
      </c>
      <c r="E1894" s="4" t="str">
        <f>"-"</f>
        <v>-</v>
      </c>
      <c r="F1894" s="4" t="s">
        <v>105</v>
      </c>
    </row>
    <row r="1895" spans="1:6" x14ac:dyDescent="0.25">
      <c r="A1895" s="4" t="str">
        <f>"International Conference on Transparent Optical Networks"</f>
        <v>International Conference on Transparent Optical Networks</v>
      </c>
      <c r="B1895" s="4" t="s">
        <v>8</v>
      </c>
      <c r="C1895" s="4" t="str">
        <f t="shared" si="79"/>
        <v>-</v>
      </c>
      <c r="D1895" s="4" t="str">
        <f>"-"</f>
        <v>-</v>
      </c>
      <c r="E1895" s="4" t="str">
        <f>"21627339"</f>
        <v>21627339</v>
      </c>
      <c r="F1895" s="4" t="s">
        <v>9</v>
      </c>
    </row>
    <row r="1896" spans="1:6" x14ac:dyDescent="0.25">
      <c r="A1896" s="4" t="str">
        <f>"International Conference on Ubiquitous and Future Networks, ICUFN"</f>
        <v>International Conference on Ubiquitous and Future Networks, ICUFN</v>
      </c>
      <c r="B1896" s="4" t="s">
        <v>8</v>
      </c>
      <c r="C1896" s="4" t="str">
        <f t="shared" si="79"/>
        <v>-</v>
      </c>
      <c r="D1896" s="4" t="str">
        <f>"21658528"</f>
        <v>21658528</v>
      </c>
      <c r="E1896" s="4" t="str">
        <f>"21658536"</f>
        <v>21658536</v>
      </c>
      <c r="F1896" s="4" t="s">
        <v>9</v>
      </c>
    </row>
    <row r="1897" spans="1:6" x14ac:dyDescent="0.25">
      <c r="A1897" s="4" t="str">
        <f>"International Conference on Visualization, Imaging and Simulation - Proceedings"</f>
        <v>International Conference on Visualization, Imaging and Simulation - Proceedings</v>
      </c>
      <c r="B1897" s="4" t="s">
        <v>8</v>
      </c>
      <c r="C1897" s="4" t="str">
        <f t="shared" si="79"/>
        <v>-</v>
      </c>
      <c r="D1897" s="4" t="str">
        <f>"-"</f>
        <v>-</v>
      </c>
      <c r="E1897" s="4" t="str">
        <f>"-"</f>
        <v>-</v>
      </c>
      <c r="F1897" s="4" t="s">
        <v>553</v>
      </c>
    </row>
    <row r="1898" spans="1:6" x14ac:dyDescent="0.25">
      <c r="A1898" s="4" t="str">
        <f>"International Conference on Wavelet Analysis and Pattern Recognition"</f>
        <v>International Conference on Wavelet Analysis and Pattern Recognition</v>
      </c>
      <c r="B1898" s="4" t="s">
        <v>8</v>
      </c>
      <c r="C1898" s="4" t="str">
        <f t="shared" si="79"/>
        <v>-</v>
      </c>
      <c r="D1898" s="4" t="str">
        <f>"21585695"</f>
        <v>21585695</v>
      </c>
      <c r="E1898" s="4" t="str">
        <f>"21585709"</f>
        <v>21585709</v>
      </c>
      <c r="F1898" s="4" t="s">
        <v>9</v>
      </c>
    </row>
    <row r="1899" spans="1:6" x14ac:dyDescent="0.25">
      <c r="A1899" s="4" t="str">
        <f>"International Conference on Wireless and Mobile Computing, Networking and Communications"</f>
        <v>International Conference on Wireless and Mobile Computing, Networking and Communications</v>
      </c>
      <c r="B1899" s="4" t="s">
        <v>8</v>
      </c>
      <c r="C1899" s="4" t="str">
        <f t="shared" si="79"/>
        <v>-</v>
      </c>
      <c r="D1899" s="4" t="str">
        <f>"21619646"</f>
        <v>21619646</v>
      </c>
      <c r="E1899" s="4" t="str">
        <f>"21619654"</f>
        <v>21619654</v>
      </c>
      <c r="F1899" s="4" t="s">
        <v>9</v>
      </c>
    </row>
    <row r="1900" spans="1:6" x14ac:dyDescent="0.25">
      <c r="A1900" s="4" t="str">
        <f>"International Conference Recent Advances in Natural Language Processing, RANLP"</f>
        <v>International Conference Recent Advances in Natural Language Processing, RANLP</v>
      </c>
      <c r="B1900" s="4" t="s">
        <v>8</v>
      </c>
      <c r="C1900" s="4" t="str">
        <f t="shared" si="79"/>
        <v>-</v>
      </c>
      <c r="D1900" s="4" t="str">
        <f>"13138502"</f>
        <v>13138502</v>
      </c>
      <c r="E1900" s="4" t="str">
        <f>"-"</f>
        <v>-</v>
      </c>
      <c r="F1900" s="4" t="s">
        <v>554</v>
      </c>
    </row>
    <row r="1901" spans="1:6" x14ac:dyDescent="0.25">
      <c r="A1901" s="4" t="str">
        <f>"International Conference Series on Grey Literature"</f>
        <v>International Conference Series on Grey Literature</v>
      </c>
      <c r="B1901" s="4" t="s">
        <v>8</v>
      </c>
      <c r="C1901" s="4" t="str">
        <f t="shared" si="79"/>
        <v>-</v>
      </c>
      <c r="D1901" s="4" t="str">
        <f>"13862316"</f>
        <v>13862316</v>
      </c>
      <c r="E1901" s="4" t="str">
        <f>"-"</f>
        <v>-</v>
      </c>
      <c r="F1901" s="4" t="s">
        <v>464</v>
      </c>
    </row>
    <row r="1902" spans="1:6" x14ac:dyDescent="0.25">
      <c r="A1902" s="4" t="str">
        <f>"International Conference-Workshop Compatibility in Power Electronics , CPE"</f>
        <v>International Conference-Workshop Compatibility in Power Electronics , CPE</v>
      </c>
      <c r="B1902" s="4" t="s">
        <v>8</v>
      </c>
      <c r="C1902" s="4" t="str">
        <f t="shared" si="79"/>
        <v>-</v>
      </c>
      <c r="D1902" s="4" t="str">
        <f>"23297204"</f>
        <v>23297204</v>
      </c>
      <c r="E1902" s="4" t="str">
        <f>"-"</f>
        <v>-</v>
      </c>
      <c r="F1902" s="4" t="s">
        <v>9</v>
      </c>
    </row>
    <row r="1903" spans="1:6" x14ac:dyDescent="0.25">
      <c r="A1903" s="4" t="str">
        <f>"International Congress on Ultra Modern Telecommunications and Control Systems and Workshops"</f>
        <v>International Congress on Ultra Modern Telecommunications and Control Systems and Workshops</v>
      </c>
      <c r="B1903" s="4" t="s">
        <v>8</v>
      </c>
      <c r="C1903" s="4" t="str">
        <f t="shared" si="79"/>
        <v>-</v>
      </c>
      <c r="D1903" s="4" t="str">
        <f>"21570221"</f>
        <v>21570221</v>
      </c>
      <c r="E1903" s="4" t="str">
        <f>"2157023X"</f>
        <v>2157023X</v>
      </c>
      <c r="F1903" s="4" t="s">
        <v>9</v>
      </c>
    </row>
    <row r="1904" spans="1:6" x14ac:dyDescent="0.25">
      <c r="A1904" s="4" t="str">
        <f>"International Dairy Journal"</f>
        <v>International Dairy Journal</v>
      </c>
      <c r="B1904" s="4" t="s">
        <v>6</v>
      </c>
      <c r="C1904" s="4" t="str">
        <f t="shared" si="79"/>
        <v>-</v>
      </c>
      <c r="D1904" s="4" t="str">
        <f>"09586946"</f>
        <v>09586946</v>
      </c>
      <c r="E1904" s="4" t="str">
        <f>"-"</f>
        <v>-</v>
      </c>
      <c r="F1904" s="4" t="s">
        <v>19</v>
      </c>
    </row>
    <row r="1905" spans="1:6" x14ac:dyDescent="0.25">
      <c r="A1905" s="4" t="str">
        <f>"International Design and Test Workshop"</f>
        <v>International Design and Test Workshop</v>
      </c>
      <c r="B1905" s="4" t="s">
        <v>8</v>
      </c>
      <c r="C1905" s="4" t="str">
        <f t="shared" si="79"/>
        <v>-</v>
      </c>
      <c r="D1905" s="4" t="str">
        <f>"21620601"</f>
        <v>21620601</v>
      </c>
      <c r="E1905" s="4" t="str">
        <f>"2162061X"</f>
        <v>2162061X</v>
      </c>
      <c r="F1905" s="4" t="s">
        <v>9</v>
      </c>
    </row>
    <row r="1906" spans="1:6" x14ac:dyDescent="0.25">
      <c r="A1906" s="4" t="str">
        <f>"International Energy Journal"</f>
        <v>International Energy Journal</v>
      </c>
      <c r="B1906" s="4" t="s">
        <v>6</v>
      </c>
      <c r="C1906" s="4" t="str">
        <f t="shared" si="79"/>
        <v>-</v>
      </c>
      <c r="D1906" s="4" t="str">
        <f>"1513718X"</f>
        <v>1513718X</v>
      </c>
      <c r="E1906" s="4" t="str">
        <f>"-"</f>
        <v>-</v>
      </c>
      <c r="F1906" s="4" t="s">
        <v>555</v>
      </c>
    </row>
    <row r="1907" spans="1:6" x14ac:dyDescent="0.25">
      <c r="A1907" s="4" t="str">
        <f>"International Environmental Conference"</f>
        <v>International Environmental Conference</v>
      </c>
      <c r="B1907" s="4" t="s">
        <v>8</v>
      </c>
      <c r="C1907" s="4" t="str">
        <f t="shared" si="79"/>
        <v>-</v>
      </c>
      <c r="D1907" s="4" t="str">
        <f>"-"</f>
        <v>-</v>
      </c>
      <c r="E1907" s="4" t="str">
        <f>"-"</f>
        <v>-</v>
      </c>
      <c r="F1907" s="4" t="s">
        <v>306</v>
      </c>
    </row>
    <row r="1908" spans="1:6" x14ac:dyDescent="0.25">
      <c r="A1908" s="4" t="str">
        <f>"International Geoscience and Remote Sensing Symposium (IGARSS)"</f>
        <v>International Geoscience and Remote Sensing Symposium (IGARSS)</v>
      </c>
      <c r="B1908" s="4" t="s">
        <v>8</v>
      </c>
      <c r="C1908" s="4" t="str">
        <f t="shared" si="79"/>
        <v>-</v>
      </c>
      <c r="D1908" s="4" t="str">
        <f>"-"</f>
        <v>-</v>
      </c>
      <c r="E1908" s="4" t="str">
        <f>"-"</f>
        <v>-</v>
      </c>
      <c r="F1908" s="4" t="s">
        <v>105</v>
      </c>
    </row>
    <row r="1909" spans="1:6" x14ac:dyDescent="0.25">
      <c r="A1909" s="4" t="str">
        <f>"International Heat Treatment and Surface Engineering"</f>
        <v>International Heat Treatment and Surface Engineering</v>
      </c>
      <c r="B1909" s="4" t="s">
        <v>6</v>
      </c>
      <c r="C1909" s="4" t="str">
        <f t="shared" si="79"/>
        <v>-</v>
      </c>
      <c r="D1909" s="4" t="str">
        <f>"17495148"</f>
        <v>17495148</v>
      </c>
      <c r="E1909" s="4" t="str">
        <f>"17495156"</f>
        <v>17495156</v>
      </c>
      <c r="F1909" s="4" t="s">
        <v>70</v>
      </c>
    </row>
    <row r="1910" spans="1:6" x14ac:dyDescent="0.25">
      <c r="A1910" s="4" t="str">
        <f>"International IEEE/EMBS Conference on Neural Engineering, NER"</f>
        <v>International IEEE/EMBS Conference on Neural Engineering, NER</v>
      </c>
      <c r="B1910" s="4" t="s">
        <v>8</v>
      </c>
      <c r="C1910" s="4" t="str">
        <f t="shared" si="79"/>
        <v>-</v>
      </c>
      <c r="D1910" s="4" t="str">
        <f>"19483546"</f>
        <v>19483546</v>
      </c>
      <c r="E1910" s="4" t="str">
        <f>"19483554"</f>
        <v>19483554</v>
      </c>
      <c r="F1910" s="4" t="s">
        <v>9</v>
      </c>
    </row>
    <row r="1911" spans="1:6" x14ac:dyDescent="0.25">
      <c r="A1911" s="4" t="str">
        <f>"International Journal Bioautomation"</f>
        <v>International Journal Bioautomation</v>
      </c>
      <c r="B1911" s="4" t="s">
        <v>6</v>
      </c>
      <c r="C1911" s="4" t="str">
        <f t="shared" si="79"/>
        <v>-</v>
      </c>
      <c r="D1911" s="4" t="str">
        <f>"13141902"</f>
        <v>13141902</v>
      </c>
      <c r="E1911" s="4" t="str">
        <f>"13142321"</f>
        <v>13142321</v>
      </c>
      <c r="F1911" s="4" t="s">
        <v>556</v>
      </c>
    </row>
    <row r="1912" spans="1:6" x14ac:dyDescent="0.25">
      <c r="A1912" s="4" t="str">
        <f>"International Journal for Engineering Modelling"</f>
        <v>International Journal for Engineering Modelling</v>
      </c>
      <c r="B1912" s="4" t="s">
        <v>6</v>
      </c>
      <c r="C1912" s="4" t="str">
        <f t="shared" si="79"/>
        <v>-</v>
      </c>
      <c r="D1912" s="4" t="str">
        <f>"13301365"</f>
        <v>13301365</v>
      </c>
      <c r="E1912" s="4" t="str">
        <f>"-"</f>
        <v>-</v>
      </c>
      <c r="F1912" s="4" t="s">
        <v>557</v>
      </c>
    </row>
    <row r="1913" spans="1:6" x14ac:dyDescent="0.25">
      <c r="A1913" s="4" t="str">
        <f>"International Journal for Housing Science and Its Applications"</f>
        <v>International Journal for Housing Science and Its Applications</v>
      </c>
      <c r="B1913" s="4" t="s">
        <v>6</v>
      </c>
      <c r="C1913" s="4" t="str">
        <f t="shared" si="79"/>
        <v>-</v>
      </c>
      <c r="D1913" s="4" t="str">
        <f>"01466518"</f>
        <v>01466518</v>
      </c>
      <c r="E1913" s="4" t="str">
        <f>"-"</f>
        <v>-</v>
      </c>
      <c r="F1913" s="4" t="s">
        <v>558</v>
      </c>
    </row>
    <row r="1914" spans="1:6" x14ac:dyDescent="0.25">
      <c r="A1914" s="4" t="str">
        <f>"International Journal for Ion Mobility Spectrometry"</f>
        <v>International Journal for Ion Mobility Spectrometry</v>
      </c>
      <c r="B1914" s="4" t="s">
        <v>6</v>
      </c>
      <c r="C1914" s="4" t="str">
        <f t="shared" si="79"/>
        <v>-</v>
      </c>
      <c r="D1914" s="4" t="str">
        <f>"14356163"</f>
        <v>14356163</v>
      </c>
      <c r="E1914" s="4" t="str">
        <f>"18654584"</f>
        <v>18654584</v>
      </c>
      <c r="F1914" s="4" t="s">
        <v>42</v>
      </c>
    </row>
    <row r="1915" spans="1:6" x14ac:dyDescent="0.25">
      <c r="A1915" s="4" t="str">
        <f>"International Journal for Multiscale Computational Engineering"</f>
        <v>International Journal for Multiscale Computational Engineering</v>
      </c>
      <c r="B1915" s="4" t="s">
        <v>6</v>
      </c>
      <c r="C1915" s="4" t="str">
        <f t="shared" si="79"/>
        <v>-</v>
      </c>
      <c r="D1915" s="4" t="str">
        <f>"15431649"</f>
        <v>15431649</v>
      </c>
      <c r="E1915" s="4" t="str">
        <f>"-"</f>
        <v>-</v>
      </c>
      <c r="F1915" s="4" t="s">
        <v>69</v>
      </c>
    </row>
    <row r="1916" spans="1:6" x14ac:dyDescent="0.25">
      <c r="A1916" s="4" t="str">
        <f>"International Journal for Numerical and Analytical Methods in Geomechanics"</f>
        <v>International Journal for Numerical and Analytical Methods in Geomechanics</v>
      </c>
      <c r="B1916" s="4" t="s">
        <v>6</v>
      </c>
      <c r="C1916" s="4" t="str">
        <f t="shared" si="79"/>
        <v>-</v>
      </c>
      <c r="D1916" s="4" t="str">
        <f>"03639061"</f>
        <v>03639061</v>
      </c>
      <c r="E1916" s="4" t="str">
        <f>"10969853"</f>
        <v>10969853</v>
      </c>
      <c r="F1916" s="4" t="s">
        <v>142</v>
      </c>
    </row>
    <row r="1917" spans="1:6" x14ac:dyDescent="0.25">
      <c r="A1917" s="4" t="str">
        <f>"International Journal for Numerical Methods in Biomedical Engineering"</f>
        <v>International Journal for Numerical Methods in Biomedical Engineering</v>
      </c>
      <c r="B1917" s="4" t="s">
        <v>6</v>
      </c>
      <c r="C1917" s="4" t="str">
        <f t="shared" si="79"/>
        <v>-</v>
      </c>
      <c r="D1917" s="4" t="str">
        <f>"20407939"</f>
        <v>20407939</v>
      </c>
      <c r="E1917" s="4" t="str">
        <f>"20407947"</f>
        <v>20407947</v>
      </c>
      <c r="F1917" s="4" t="s">
        <v>156</v>
      </c>
    </row>
    <row r="1918" spans="1:6" x14ac:dyDescent="0.25">
      <c r="A1918" s="4" t="str">
        <f>"International Journal for Numerical Methods in Engineering"</f>
        <v>International Journal for Numerical Methods in Engineering</v>
      </c>
      <c r="B1918" s="4" t="s">
        <v>6</v>
      </c>
      <c r="C1918" s="4" t="str">
        <f t="shared" si="79"/>
        <v>-</v>
      </c>
      <c r="D1918" s="4" t="str">
        <f>"00295981"</f>
        <v>00295981</v>
      </c>
      <c r="E1918" s="4" t="str">
        <f>"10970207"</f>
        <v>10970207</v>
      </c>
      <c r="F1918" s="4" t="s">
        <v>142</v>
      </c>
    </row>
    <row r="1919" spans="1:6" x14ac:dyDescent="0.25">
      <c r="A1919" s="4" t="str">
        <f>"International Journal for Numerical Methods in Fluids"</f>
        <v>International Journal for Numerical Methods in Fluids</v>
      </c>
      <c r="B1919" s="4" t="s">
        <v>6</v>
      </c>
      <c r="C1919" s="4" t="str">
        <f t="shared" si="79"/>
        <v>-</v>
      </c>
      <c r="D1919" s="4" t="str">
        <f>"02712091"</f>
        <v>02712091</v>
      </c>
      <c r="E1919" s="4" t="str">
        <f>"10970363"</f>
        <v>10970363</v>
      </c>
      <c r="F1919" s="4" t="s">
        <v>142</v>
      </c>
    </row>
    <row r="1920" spans="1:6" x14ac:dyDescent="0.25">
      <c r="A1920" s="4" t="str">
        <f>"International Journal of Abrasive Technology"</f>
        <v>International Journal of Abrasive Technology</v>
      </c>
      <c r="B1920" s="4" t="s">
        <v>6</v>
      </c>
      <c r="C1920" s="4" t="str">
        <f t="shared" si="79"/>
        <v>-</v>
      </c>
      <c r="D1920" s="4" t="str">
        <f>"17522641"</f>
        <v>17522641</v>
      </c>
      <c r="E1920" s="4" t="str">
        <f>"1752265X"</f>
        <v>1752265X</v>
      </c>
      <c r="F1920" s="4" t="s">
        <v>396</v>
      </c>
    </row>
    <row r="1921" spans="1:6" x14ac:dyDescent="0.25">
      <c r="A1921" s="4" t="str">
        <f>"International Journal of Acoustics and Vibrations"</f>
        <v>International Journal of Acoustics and Vibrations</v>
      </c>
      <c r="B1921" s="4" t="s">
        <v>6</v>
      </c>
      <c r="C1921" s="4" t="str">
        <f t="shared" si="79"/>
        <v>-</v>
      </c>
      <c r="D1921" s="4" t="str">
        <f>"10275851"</f>
        <v>10275851</v>
      </c>
      <c r="E1921" s="4" t="str">
        <f>"-"</f>
        <v>-</v>
      </c>
      <c r="F1921" s="4" t="s">
        <v>559</v>
      </c>
    </row>
    <row r="1922" spans="1:6" x14ac:dyDescent="0.25">
      <c r="A1922" s="4" t="str">
        <f>"International Journal of Ad Hoc and Ubiquitous Computing"</f>
        <v>International Journal of Ad Hoc and Ubiquitous Computing</v>
      </c>
      <c r="B1922" s="4" t="s">
        <v>6</v>
      </c>
      <c r="C1922" s="4" t="str">
        <f t="shared" si="79"/>
        <v>-</v>
      </c>
      <c r="D1922" s="4" t="str">
        <f>"17438225"</f>
        <v>17438225</v>
      </c>
      <c r="E1922" s="4" t="str">
        <f>"17438233"</f>
        <v>17438233</v>
      </c>
      <c r="F1922" s="4" t="s">
        <v>396</v>
      </c>
    </row>
    <row r="1923" spans="1:6" x14ac:dyDescent="0.25">
      <c r="A1923" s="4" t="str">
        <f>"International Journal of Adaptive Control and Signal Processing"</f>
        <v>International Journal of Adaptive Control and Signal Processing</v>
      </c>
      <c r="B1923" s="4" t="s">
        <v>6</v>
      </c>
      <c r="C1923" s="4" t="str">
        <f t="shared" si="79"/>
        <v>-</v>
      </c>
      <c r="D1923" s="4" t="str">
        <f>"08906327"</f>
        <v>08906327</v>
      </c>
      <c r="E1923" s="4" t="str">
        <f>"10991115"</f>
        <v>10991115</v>
      </c>
      <c r="F1923" s="4" t="s">
        <v>142</v>
      </c>
    </row>
    <row r="1924" spans="1:6" x14ac:dyDescent="0.25">
      <c r="A1924" s="4" t="str">
        <f>"International Journal of Adhesion and Adhesives"</f>
        <v>International Journal of Adhesion and Adhesives</v>
      </c>
      <c r="B1924" s="4" t="s">
        <v>6</v>
      </c>
      <c r="C1924" s="4" t="str">
        <f t="shared" si="79"/>
        <v>-</v>
      </c>
      <c r="D1924" s="4" t="str">
        <f>"01437496"</f>
        <v>01437496</v>
      </c>
      <c r="E1924" s="4" t="str">
        <f>"-"</f>
        <v>-</v>
      </c>
      <c r="F1924" s="4" t="s">
        <v>19</v>
      </c>
    </row>
    <row r="1925" spans="1:6" x14ac:dyDescent="0.25">
      <c r="A1925" s="4" t="str">
        <f>"International Journal of Advanced Manufacturing Technology"</f>
        <v>International Journal of Advanced Manufacturing Technology</v>
      </c>
      <c r="B1925" s="4" t="s">
        <v>6</v>
      </c>
      <c r="C1925" s="4" t="str">
        <f t="shared" si="79"/>
        <v>-</v>
      </c>
      <c r="D1925" s="4" t="str">
        <f>"02683768"</f>
        <v>02683768</v>
      </c>
      <c r="E1925" s="4" t="str">
        <f>"14333015"</f>
        <v>14333015</v>
      </c>
      <c r="F1925" s="4" t="s">
        <v>62</v>
      </c>
    </row>
    <row r="1926" spans="1:6" x14ac:dyDescent="0.25">
      <c r="A1926" s="4" t="str">
        <f>"International Journal of Advanced Media and Communication"</f>
        <v>International Journal of Advanced Media and Communication</v>
      </c>
      <c r="B1926" s="4" t="s">
        <v>6</v>
      </c>
      <c r="C1926" s="4" t="str">
        <f t="shared" si="79"/>
        <v>-</v>
      </c>
      <c r="D1926" s="4" t="str">
        <f>"14624613"</f>
        <v>14624613</v>
      </c>
      <c r="E1926" s="4" t="str">
        <f>"17418003"</f>
        <v>17418003</v>
      </c>
      <c r="F1926" s="4" t="s">
        <v>560</v>
      </c>
    </row>
    <row r="1927" spans="1:6" x14ac:dyDescent="0.25">
      <c r="A1927" s="4" t="str">
        <f>"International Journal of Advanced Robotic Systems"</f>
        <v>International Journal of Advanced Robotic Systems</v>
      </c>
      <c r="B1927" s="4" t="s">
        <v>6</v>
      </c>
      <c r="C1927" s="4" t="str">
        <f t="shared" si="79"/>
        <v>-</v>
      </c>
      <c r="D1927" s="4" t="str">
        <f>"17298806"</f>
        <v>17298806</v>
      </c>
      <c r="E1927" s="4" t="str">
        <f>"17298814"</f>
        <v>17298814</v>
      </c>
      <c r="F1927" s="4" t="s">
        <v>561</v>
      </c>
    </row>
    <row r="1928" spans="1:6" x14ac:dyDescent="0.25">
      <c r="A1928" s="4" t="str">
        <f>"International Journal of Aeroacoustics"</f>
        <v>International Journal of Aeroacoustics</v>
      </c>
      <c r="B1928" s="4" t="s">
        <v>6</v>
      </c>
      <c r="C1928" s="4" t="str">
        <f t="shared" si="79"/>
        <v>-</v>
      </c>
      <c r="D1928" s="4" t="str">
        <f>"1475472X"</f>
        <v>1475472X</v>
      </c>
      <c r="E1928" s="4" t="str">
        <f>"20484003 "</f>
        <v xml:space="preserve">20484003 </v>
      </c>
      <c r="F1928" s="4" t="s">
        <v>58</v>
      </c>
    </row>
    <row r="1929" spans="1:6" x14ac:dyDescent="0.25">
      <c r="A1929" s="4" t="str">
        <f>"International Journal of Aeronautical and Space Sciences"</f>
        <v>International Journal of Aeronautical and Space Sciences</v>
      </c>
      <c r="B1929" s="4" t="s">
        <v>6</v>
      </c>
      <c r="C1929" s="4" t="str">
        <f t="shared" si="79"/>
        <v>-</v>
      </c>
      <c r="D1929" s="4" t="str">
        <f>"2093274X"</f>
        <v>2093274X</v>
      </c>
      <c r="E1929" s="4" t="str">
        <f>"20932480"</f>
        <v>20932480</v>
      </c>
      <c r="F1929" s="4" t="s">
        <v>562</v>
      </c>
    </row>
    <row r="1930" spans="1:6" x14ac:dyDescent="0.25">
      <c r="A1930" s="4" t="str">
        <f>"International Journal of Aerospace Engineering"</f>
        <v>International Journal of Aerospace Engineering</v>
      </c>
      <c r="B1930" s="4" t="s">
        <v>6</v>
      </c>
      <c r="C1930" s="4" t="str">
        <f t="shared" si="79"/>
        <v>-</v>
      </c>
      <c r="D1930" s="4" t="str">
        <f>"16875966"</f>
        <v>16875966</v>
      </c>
      <c r="E1930" s="4" t="str">
        <f>"16875974"</f>
        <v>16875974</v>
      </c>
      <c r="F1930" s="4" t="s">
        <v>54</v>
      </c>
    </row>
    <row r="1931" spans="1:6" x14ac:dyDescent="0.25">
      <c r="A1931" s="4" t="str">
        <f>"International Journal of Aerospace Innovations"</f>
        <v>International Journal of Aerospace Innovations</v>
      </c>
      <c r="B1931" s="4" t="s">
        <v>6</v>
      </c>
      <c r="C1931" s="4" t="str">
        <f t="shared" si="79"/>
        <v>-</v>
      </c>
      <c r="D1931" s="4" t="str">
        <f>"17572258"</f>
        <v>17572258</v>
      </c>
      <c r="E1931" s="4" t="str">
        <f>"17572266"</f>
        <v>17572266</v>
      </c>
      <c r="F1931" s="4" t="s">
        <v>58</v>
      </c>
    </row>
    <row r="1932" spans="1:6" x14ac:dyDescent="0.25">
      <c r="A1932" s="4" t="str">
        <f>"International Journal of Agent-Oriented Software Engineering"</f>
        <v>International Journal of Agent-Oriented Software Engineering</v>
      </c>
      <c r="B1932" s="4" t="s">
        <v>6</v>
      </c>
      <c r="C1932" s="4" t="str">
        <f t="shared" si="79"/>
        <v>-</v>
      </c>
      <c r="D1932" s="4" t="str">
        <f>"17461375"</f>
        <v>17461375</v>
      </c>
      <c r="E1932" s="4" t="str">
        <f>"17461383"</f>
        <v>17461383</v>
      </c>
      <c r="F1932" s="4" t="s">
        <v>396</v>
      </c>
    </row>
    <row r="1933" spans="1:6" x14ac:dyDescent="0.25">
      <c r="A1933" s="4" t="str">
        <f>"International Journal of Agile Manufacturing"</f>
        <v>International Journal of Agile Manufacturing</v>
      </c>
      <c r="B1933" s="4" t="s">
        <v>6</v>
      </c>
      <c r="C1933" s="4" t="str">
        <f t="shared" si="79"/>
        <v>-</v>
      </c>
      <c r="D1933" s="4" t="str">
        <f>"15362639"</f>
        <v>15362639</v>
      </c>
      <c r="E1933" s="4" t="str">
        <f>"-"</f>
        <v>-</v>
      </c>
      <c r="F1933" s="4" t="s">
        <v>563</v>
      </c>
    </row>
    <row r="1934" spans="1:6" x14ac:dyDescent="0.25">
      <c r="A1934" s="4" t="str">
        <f>"International Journal of Agricultural and Environmental Information Systems"</f>
        <v>International Journal of Agricultural and Environmental Information Systems</v>
      </c>
      <c r="B1934" s="4" t="s">
        <v>6</v>
      </c>
      <c r="C1934" s="4" t="str">
        <f t="shared" si="79"/>
        <v>-</v>
      </c>
      <c r="D1934" s="4" t="str">
        <f>"19473192"</f>
        <v>19473192</v>
      </c>
      <c r="E1934" s="4" t="str">
        <f>"19473206"</f>
        <v>19473206</v>
      </c>
      <c r="F1934" s="4" t="s">
        <v>537</v>
      </c>
    </row>
    <row r="1935" spans="1:6" x14ac:dyDescent="0.25">
      <c r="A1935" s="4" t="str">
        <f>"International Journal of Alternative Propulsion"</f>
        <v>International Journal of Alternative Propulsion</v>
      </c>
      <c r="B1935" s="4" t="s">
        <v>6</v>
      </c>
      <c r="C1935" s="4" t="str">
        <f t="shared" si="79"/>
        <v>-</v>
      </c>
      <c r="D1935" s="4" t="str">
        <f>"14710234"</f>
        <v>14710234</v>
      </c>
      <c r="E1935" s="4" t="str">
        <f>"17418011"</f>
        <v>17418011</v>
      </c>
      <c r="F1935" s="4" t="s">
        <v>396</v>
      </c>
    </row>
    <row r="1936" spans="1:6" x14ac:dyDescent="0.25">
      <c r="A1936" s="4" t="str">
        <f>"International Journal of Ambient Computing and Intelligence"</f>
        <v>International Journal of Ambient Computing and Intelligence</v>
      </c>
      <c r="B1936" s="4" t="s">
        <v>6</v>
      </c>
      <c r="C1936" s="4" t="str">
        <f t="shared" si="79"/>
        <v>-</v>
      </c>
      <c r="D1936" s="4" t="str">
        <f>"19416237"</f>
        <v>19416237</v>
      </c>
      <c r="E1936" s="4" t="str">
        <f>"19416245"</f>
        <v>19416245</v>
      </c>
      <c r="F1936" s="4" t="s">
        <v>537</v>
      </c>
    </row>
    <row r="1937" spans="1:6" x14ac:dyDescent="0.25">
      <c r="A1937" s="4" t="str">
        <f>"International Journal of Ambient Energy"</f>
        <v>International Journal of Ambient Energy</v>
      </c>
      <c r="B1937" s="4" t="s">
        <v>6</v>
      </c>
      <c r="C1937" s="4" t="str">
        <f t="shared" si="79"/>
        <v>-</v>
      </c>
      <c r="D1937" s="4" t="str">
        <f>"01430750"</f>
        <v>01430750</v>
      </c>
      <c r="E1937" s="4" t="str">
        <f>"21628246"</f>
        <v>21628246</v>
      </c>
      <c r="F1937" s="4" t="s">
        <v>60</v>
      </c>
    </row>
    <row r="1938" spans="1:6" x14ac:dyDescent="0.25">
      <c r="A1938" s="4" t="str">
        <f>"International Journal of Antennas and Propagation"</f>
        <v>International Journal of Antennas and Propagation</v>
      </c>
      <c r="B1938" s="4" t="s">
        <v>6</v>
      </c>
      <c r="C1938" s="4" t="str">
        <f t="shared" si="79"/>
        <v>-</v>
      </c>
      <c r="D1938" s="4" t="str">
        <f>"16875869"</f>
        <v>16875869</v>
      </c>
      <c r="E1938" s="4" t="str">
        <f>"16875877"</f>
        <v>16875877</v>
      </c>
      <c r="F1938" s="4" t="s">
        <v>54</v>
      </c>
    </row>
    <row r="1939" spans="1:6" x14ac:dyDescent="0.25">
      <c r="A1939" s="4" t="str">
        <f>"International Journal of Applied Aviation Studies"</f>
        <v>International Journal of Applied Aviation Studies</v>
      </c>
      <c r="B1939" s="4" t="s">
        <v>6</v>
      </c>
      <c r="C1939" s="4" t="str">
        <f t="shared" si="79"/>
        <v>-</v>
      </c>
      <c r="D1939" s="4" t="str">
        <f>"15463214"</f>
        <v>15463214</v>
      </c>
      <c r="E1939" s="4" t="str">
        <f>"19390300"</f>
        <v>19390300</v>
      </c>
      <c r="F1939" s="4" t="s">
        <v>564</v>
      </c>
    </row>
    <row r="1940" spans="1:6" x14ac:dyDescent="0.25">
      <c r="A1940" s="4" t="str">
        <f>"International Journal of Applied Ceramic Technology"</f>
        <v>International Journal of Applied Ceramic Technology</v>
      </c>
      <c r="B1940" s="4" t="s">
        <v>6</v>
      </c>
      <c r="C1940" s="4" t="str">
        <f t="shared" si="79"/>
        <v>-</v>
      </c>
      <c r="D1940" s="4" t="str">
        <f>"1546542X"</f>
        <v>1546542X</v>
      </c>
      <c r="E1940" s="4" t="str">
        <f>"17447402"</f>
        <v>17447402</v>
      </c>
      <c r="F1940" s="4" t="s">
        <v>209</v>
      </c>
    </row>
    <row r="1941" spans="1:6" x14ac:dyDescent="0.25">
      <c r="A1941" s="4" t="str">
        <f>"International Journal of Applied Decision Sciences"</f>
        <v>International Journal of Applied Decision Sciences</v>
      </c>
      <c r="B1941" s="4" t="s">
        <v>6</v>
      </c>
      <c r="C1941" s="4" t="str">
        <f t="shared" si="79"/>
        <v>-</v>
      </c>
      <c r="D1941" s="4" t="str">
        <f>"17558077"</f>
        <v>17558077</v>
      </c>
      <c r="E1941" s="4" t="str">
        <f>"17558085"</f>
        <v>17558085</v>
      </c>
      <c r="F1941" s="4" t="s">
        <v>396</v>
      </c>
    </row>
    <row r="1942" spans="1:6" x14ac:dyDescent="0.25">
      <c r="A1942" s="4" t="str">
        <f>"International Journal of Applied Electromagnetics and Mechanics"</f>
        <v>International Journal of Applied Electromagnetics and Mechanics</v>
      </c>
      <c r="B1942" s="4" t="s">
        <v>6</v>
      </c>
      <c r="C1942" s="4" t="str">
        <f t="shared" si="79"/>
        <v>-</v>
      </c>
      <c r="D1942" s="4" t="str">
        <f>"13835416"</f>
        <v>13835416</v>
      </c>
      <c r="E1942" s="4" t="str">
        <f>"-"</f>
        <v>-</v>
      </c>
      <c r="F1942" s="4" t="s">
        <v>103</v>
      </c>
    </row>
    <row r="1943" spans="1:6" x14ac:dyDescent="0.25">
      <c r="A1943" s="4" t="str">
        <f>"International Journal of Applied Glass Science"</f>
        <v>International Journal of Applied Glass Science</v>
      </c>
      <c r="B1943" s="4" t="s">
        <v>6</v>
      </c>
      <c r="C1943" s="4" t="str">
        <f t="shared" si="79"/>
        <v>-</v>
      </c>
      <c r="D1943" s="4" t="str">
        <f>"20411286"</f>
        <v>20411286</v>
      </c>
      <c r="E1943" s="4" t="str">
        <f>"20411294"</f>
        <v>20411294</v>
      </c>
      <c r="F1943" s="4" t="s">
        <v>291</v>
      </c>
    </row>
    <row r="1944" spans="1:6" x14ac:dyDescent="0.25">
      <c r="A1944" s="4" t="str">
        <f>"International Journal of Applied Mathematics and Computer Science"</f>
        <v>International Journal of Applied Mathematics and Computer Science</v>
      </c>
      <c r="B1944" s="4" t="s">
        <v>6</v>
      </c>
      <c r="C1944" s="4" t="str">
        <f t="shared" si="79"/>
        <v>-</v>
      </c>
      <c r="D1944" s="4" t="str">
        <f>"-"</f>
        <v>-</v>
      </c>
      <c r="E1944" s="4" t="str">
        <f>"1641876X"</f>
        <v>1641876X</v>
      </c>
      <c r="F1944" s="4" t="s">
        <v>189</v>
      </c>
    </row>
    <row r="1945" spans="1:6" x14ac:dyDescent="0.25">
      <c r="A1945" s="4" t="str">
        <f>"International Journal of Applied Mechanics"</f>
        <v>International Journal of Applied Mechanics</v>
      </c>
      <c r="B1945" s="4" t="s">
        <v>6</v>
      </c>
      <c r="C1945" s="4" t="str">
        <f t="shared" si="79"/>
        <v>-</v>
      </c>
      <c r="D1945" s="4" t="str">
        <f>"17588251"</f>
        <v>17588251</v>
      </c>
      <c r="E1945" s="4" t="str">
        <f>"1758826X"</f>
        <v>1758826X</v>
      </c>
      <c r="F1945" s="4" t="s">
        <v>157</v>
      </c>
    </row>
    <row r="1946" spans="1:6" x14ac:dyDescent="0.25">
      <c r="A1946" s="4" t="str">
        <f>"International Journal of Applied Systemic Studies"</f>
        <v>International Journal of Applied Systemic Studies</v>
      </c>
      <c r="B1946" s="4" t="s">
        <v>6</v>
      </c>
      <c r="C1946" s="4" t="str">
        <f t="shared" si="79"/>
        <v>-</v>
      </c>
      <c r="D1946" s="4" t="str">
        <f>"17510589"</f>
        <v>17510589</v>
      </c>
      <c r="E1946" s="4" t="str">
        <f>"17510597"</f>
        <v>17510597</v>
      </c>
      <c r="F1946" s="4" t="s">
        <v>396</v>
      </c>
    </row>
    <row r="1947" spans="1:6" x14ac:dyDescent="0.25">
      <c r="A1947" s="4" t="str">
        <f>"International Journal of Approximate Reasoning"</f>
        <v>International Journal of Approximate Reasoning</v>
      </c>
      <c r="B1947" s="4" t="s">
        <v>6</v>
      </c>
      <c r="C1947" s="4" t="str">
        <f t="shared" si="79"/>
        <v>-</v>
      </c>
      <c r="D1947" s="4" t="str">
        <f>"0888613X"</f>
        <v>0888613X</v>
      </c>
      <c r="E1947" s="4" t="str">
        <f>"-"</f>
        <v>-</v>
      </c>
      <c r="F1947" s="4" t="s">
        <v>141</v>
      </c>
    </row>
    <row r="1948" spans="1:6" x14ac:dyDescent="0.25">
      <c r="A1948" s="4" t="str">
        <f>"International Journal of Architectural Computing"</f>
        <v>International Journal of Architectural Computing</v>
      </c>
      <c r="B1948" s="4" t="s">
        <v>6</v>
      </c>
      <c r="C1948" s="4" t="str">
        <f t="shared" si="79"/>
        <v>-</v>
      </c>
      <c r="D1948" s="4" t="str">
        <f>"14780771"</f>
        <v>14780771</v>
      </c>
      <c r="E1948" s="4" t="str">
        <f>"-"</f>
        <v>-</v>
      </c>
      <c r="F1948" s="4" t="s">
        <v>58</v>
      </c>
    </row>
    <row r="1949" spans="1:6" x14ac:dyDescent="0.25">
      <c r="A1949" s="4" t="str">
        <f>"International Journal of Artificial Intelligence in Education"</f>
        <v>International Journal of Artificial Intelligence in Education</v>
      </c>
      <c r="B1949" s="4" t="s">
        <v>6</v>
      </c>
      <c r="C1949" s="4" t="str">
        <f t="shared" ref="C1949:C2012" si="80">"-"</f>
        <v>-</v>
      </c>
      <c r="D1949" s="4" t="str">
        <f>"15604292"</f>
        <v>15604292</v>
      </c>
      <c r="E1949" s="4" t="str">
        <f>"15604306"</f>
        <v>15604306</v>
      </c>
      <c r="F1949" s="4" t="s">
        <v>57</v>
      </c>
    </row>
    <row r="1950" spans="1:6" x14ac:dyDescent="0.25">
      <c r="A1950" s="4" t="str">
        <f>"International Journal of Arts and Technology"</f>
        <v>International Journal of Arts and Technology</v>
      </c>
      <c r="B1950" s="4" t="s">
        <v>6</v>
      </c>
      <c r="C1950" s="4" t="str">
        <f t="shared" si="80"/>
        <v>-</v>
      </c>
      <c r="D1950" s="4" t="str">
        <f>"17548853"</f>
        <v>17548853</v>
      </c>
      <c r="E1950" s="4" t="str">
        <f>"17548861"</f>
        <v>17548861</v>
      </c>
      <c r="F1950" s="4" t="s">
        <v>560</v>
      </c>
    </row>
    <row r="1951" spans="1:6" x14ac:dyDescent="0.25">
      <c r="A1951" s="4" t="str">
        <f>"International Journal of Automation and Computing"</f>
        <v>International Journal of Automation and Computing</v>
      </c>
      <c r="B1951" s="4" t="s">
        <v>6</v>
      </c>
      <c r="C1951" s="4" t="str">
        <f t="shared" si="80"/>
        <v>-</v>
      </c>
      <c r="D1951" s="4" t="str">
        <f>"14768186"</f>
        <v>14768186</v>
      </c>
      <c r="E1951" s="4" t="str">
        <f>"17518520"</f>
        <v>17518520</v>
      </c>
      <c r="F1951" s="4" t="s">
        <v>412</v>
      </c>
    </row>
    <row r="1952" spans="1:6" x14ac:dyDescent="0.25">
      <c r="A1952" s="4" t="str">
        <f>"International Journal of Automation and Control"</f>
        <v>International Journal of Automation and Control</v>
      </c>
      <c r="B1952" s="4" t="s">
        <v>6</v>
      </c>
      <c r="C1952" s="4" t="str">
        <f t="shared" si="80"/>
        <v>-</v>
      </c>
      <c r="D1952" s="4" t="str">
        <f>"17407516"</f>
        <v>17407516</v>
      </c>
      <c r="E1952" s="4" t="str">
        <f>"17407524"</f>
        <v>17407524</v>
      </c>
      <c r="F1952" s="4" t="s">
        <v>396</v>
      </c>
    </row>
    <row r="1953" spans="1:6" x14ac:dyDescent="0.25">
      <c r="A1953" s="4" t="str">
        <f>"International Journal of Automation Technology"</f>
        <v>International Journal of Automation Technology</v>
      </c>
      <c r="B1953" s="4" t="s">
        <v>6</v>
      </c>
      <c r="C1953" s="4" t="str">
        <f t="shared" si="80"/>
        <v>-</v>
      </c>
      <c r="D1953" s="4" t="str">
        <f>"18817629"</f>
        <v>18817629</v>
      </c>
      <c r="E1953" s="4" t="str">
        <f>"18838022"</f>
        <v>18838022</v>
      </c>
      <c r="F1953" s="4" t="s">
        <v>565</v>
      </c>
    </row>
    <row r="1954" spans="1:6" x14ac:dyDescent="0.25">
      <c r="A1954" s="4" t="str">
        <f>"International Journal of Automotive Technology"</f>
        <v>International Journal of Automotive Technology</v>
      </c>
      <c r="B1954" s="4" t="s">
        <v>6</v>
      </c>
      <c r="C1954" s="4" t="str">
        <f t="shared" si="80"/>
        <v>-</v>
      </c>
      <c r="D1954" s="4" t="str">
        <f>"12299138"</f>
        <v>12299138</v>
      </c>
      <c r="E1954" s="4" t="str">
        <f>"-"</f>
        <v>-</v>
      </c>
      <c r="F1954" s="4" t="s">
        <v>566</v>
      </c>
    </row>
    <row r="1955" spans="1:6" x14ac:dyDescent="0.25">
      <c r="A1955" s="4" t="str">
        <f>"International Journal of Automotive Technology and Management"</f>
        <v>International Journal of Automotive Technology and Management</v>
      </c>
      <c r="B1955" s="4" t="s">
        <v>6</v>
      </c>
      <c r="C1955" s="4" t="str">
        <f t="shared" si="80"/>
        <v>-</v>
      </c>
      <c r="D1955" s="4" t="str">
        <f>"14709511"</f>
        <v>14709511</v>
      </c>
      <c r="E1955" s="4" t="str">
        <f>"17415012"</f>
        <v>17415012</v>
      </c>
      <c r="F1955" s="4" t="s">
        <v>396</v>
      </c>
    </row>
    <row r="1956" spans="1:6" x14ac:dyDescent="0.25">
      <c r="A1956" s="4" t="str">
        <f>"International Journal of Autonomous and Adaptive Communications Systems"</f>
        <v>International Journal of Autonomous and Adaptive Communications Systems</v>
      </c>
      <c r="B1956" s="4" t="s">
        <v>6</v>
      </c>
      <c r="C1956" s="4" t="str">
        <f t="shared" si="80"/>
        <v>-</v>
      </c>
      <c r="D1956" s="4" t="str">
        <f>"17548632"</f>
        <v>17548632</v>
      </c>
      <c r="E1956" s="4" t="str">
        <f>"17548640"</f>
        <v>17548640</v>
      </c>
      <c r="F1956" s="4" t="s">
        <v>560</v>
      </c>
    </row>
    <row r="1957" spans="1:6" x14ac:dyDescent="0.25">
      <c r="A1957" s="4" t="str">
        <f>"International Journal of Bifurcation and Chaos"</f>
        <v>International Journal of Bifurcation and Chaos</v>
      </c>
      <c r="B1957" s="4" t="s">
        <v>6</v>
      </c>
      <c r="C1957" s="4" t="str">
        <f t="shared" si="80"/>
        <v>-</v>
      </c>
      <c r="D1957" s="4" t="str">
        <f>"02181274"</f>
        <v>02181274</v>
      </c>
      <c r="E1957" s="4" t="str">
        <f>"-"</f>
        <v>-</v>
      </c>
      <c r="F1957" s="4" t="s">
        <v>157</v>
      </c>
    </row>
    <row r="1958" spans="1:6" x14ac:dyDescent="0.25">
      <c r="A1958" s="4" t="str">
        <f>"International Journal of Biomedical Engineering and Technology"</f>
        <v>International Journal of Biomedical Engineering and Technology</v>
      </c>
      <c r="B1958" s="4" t="s">
        <v>6</v>
      </c>
      <c r="C1958" s="4" t="str">
        <f t="shared" si="80"/>
        <v>-</v>
      </c>
      <c r="D1958" s="4" t="str">
        <f>"17526418"</f>
        <v>17526418</v>
      </c>
      <c r="E1958" s="4" t="str">
        <f>"17526426"</f>
        <v>17526426</v>
      </c>
      <c r="F1958" s="4" t="s">
        <v>396</v>
      </c>
    </row>
    <row r="1959" spans="1:6" x14ac:dyDescent="0.25">
      <c r="A1959" s="4" t="str">
        <f>"International Journal of Biomedical Imaging"</f>
        <v>International Journal of Biomedical Imaging</v>
      </c>
      <c r="B1959" s="4" t="s">
        <v>6</v>
      </c>
      <c r="C1959" s="4" t="str">
        <f t="shared" si="80"/>
        <v>-</v>
      </c>
      <c r="D1959" s="4" t="str">
        <f>"16874188"</f>
        <v>16874188</v>
      </c>
      <c r="E1959" s="4" t="str">
        <f>"16874196"</f>
        <v>16874196</v>
      </c>
      <c r="F1959" s="4" t="s">
        <v>54</v>
      </c>
    </row>
    <row r="1960" spans="1:6" x14ac:dyDescent="0.25">
      <c r="A1960" s="4" t="str">
        <f>"International Journal of Biometrics"</f>
        <v>International Journal of Biometrics</v>
      </c>
      <c r="B1960" s="4" t="s">
        <v>6</v>
      </c>
      <c r="C1960" s="4" t="str">
        <f t="shared" si="80"/>
        <v>-</v>
      </c>
      <c r="D1960" s="4" t="str">
        <f>"17558301"</f>
        <v>17558301</v>
      </c>
      <c r="E1960" s="4" t="str">
        <f>"1755831X"</f>
        <v>1755831X</v>
      </c>
      <c r="F1960" s="4" t="s">
        <v>396</v>
      </c>
    </row>
    <row r="1961" spans="1:6" x14ac:dyDescent="0.25">
      <c r="A1961" s="4" t="str">
        <f>"International Journal of Biotechnology"</f>
        <v>International Journal of Biotechnology</v>
      </c>
      <c r="B1961" s="4" t="s">
        <v>6</v>
      </c>
      <c r="C1961" s="4" t="str">
        <f t="shared" si="80"/>
        <v>-</v>
      </c>
      <c r="D1961" s="4" t="str">
        <f>"09636048"</f>
        <v>09636048</v>
      </c>
      <c r="E1961" s="4" t="str">
        <f>"17415020"</f>
        <v>17415020</v>
      </c>
      <c r="F1961" s="4" t="s">
        <v>396</v>
      </c>
    </row>
    <row r="1962" spans="1:6" x14ac:dyDescent="0.25">
      <c r="A1962" s="4" t="str">
        <f>"International Journal of Business Data Communications and Networking"</f>
        <v>International Journal of Business Data Communications and Networking</v>
      </c>
      <c r="B1962" s="4" t="s">
        <v>6</v>
      </c>
      <c r="C1962" s="4" t="str">
        <f t="shared" si="80"/>
        <v>-</v>
      </c>
      <c r="D1962" s="4" t="str">
        <f>"15480631"</f>
        <v>15480631</v>
      </c>
      <c r="E1962" s="4" t="str">
        <f>"1548064X"</f>
        <v>1548064X</v>
      </c>
      <c r="F1962" s="4" t="s">
        <v>537</v>
      </c>
    </row>
    <row r="1963" spans="1:6" x14ac:dyDescent="0.25">
      <c r="A1963" s="4" t="str">
        <f>"International Journal of Cast Metals Research"</f>
        <v>International Journal of Cast Metals Research</v>
      </c>
      <c r="B1963" s="4" t="s">
        <v>6</v>
      </c>
      <c r="C1963" s="4" t="str">
        <f t="shared" si="80"/>
        <v>-</v>
      </c>
      <c r="D1963" s="4" t="str">
        <f>"13640461"</f>
        <v>13640461</v>
      </c>
      <c r="E1963" s="4" t="str">
        <f>"17431336"</f>
        <v>17431336</v>
      </c>
      <c r="F1963" s="4" t="s">
        <v>70</v>
      </c>
    </row>
    <row r="1964" spans="1:6" x14ac:dyDescent="0.25">
      <c r="A1964" s="4" t="str">
        <f>"International Journal of Chemical Engineering"</f>
        <v>International Journal of Chemical Engineering</v>
      </c>
      <c r="B1964" s="4" t="s">
        <v>6</v>
      </c>
      <c r="C1964" s="4" t="str">
        <f t="shared" si="80"/>
        <v>-</v>
      </c>
      <c r="D1964" s="4" t="str">
        <f>"1687806X"</f>
        <v>1687806X</v>
      </c>
      <c r="E1964" s="4" t="str">
        <f>"16878078"</f>
        <v>16878078</v>
      </c>
      <c r="F1964" s="4" t="s">
        <v>54</v>
      </c>
    </row>
    <row r="1965" spans="1:6" x14ac:dyDescent="0.25">
      <c r="A1965" s="4" t="str">
        <f>"International Journal of Chemical Kinetics"</f>
        <v>International Journal of Chemical Kinetics</v>
      </c>
      <c r="B1965" s="4" t="s">
        <v>6</v>
      </c>
      <c r="C1965" s="4" t="str">
        <f t="shared" si="80"/>
        <v>-</v>
      </c>
      <c r="D1965" s="4" t="str">
        <f>"05388066"</f>
        <v>05388066</v>
      </c>
      <c r="E1965" s="4" t="str">
        <f>"10974601"</f>
        <v>10974601</v>
      </c>
      <c r="F1965" s="4" t="s">
        <v>87</v>
      </c>
    </row>
    <row r="1966" spans="1:6" x14ac:dyDescent="0.25">
      <c r="A1966" s="4" t="str">
        <f>"International Journal of Chemical Reactor Engineering"</f>
        <v>International Journal of Chemical Reactor Engineering</v>
      </c>
      <c r="B1966" s="4" t="s">
        <v>6</v>
      </c>
      <c r="C1966" s="4" t="str">
        <f t="shared" si="80"/>
        <v>-</v>
      </c>
      <c r="D1966" s="4" t="str">
        <f>"-"</f>
        <v>-</v>
      </c>
      <c r="E1966" s="4" t="str">
        <f>"15426580"</f>
        <v>15426580</v>
      </c>
      <c r="F1966" s="4" t="s">
        <v>189</v>
      </c>
    </row>
    <row r="1967" spans="1:6" x14ac:dyDescent="0.25">
      <c r="A1967" s="4" t="str">
        <f>"International Journal of Circuit Theory and Applications"</f>
        <v>International Journal of Circuit Theory and Applications</v>
      </c>
      <c r="B1967" s="4" t="s">
        <v>6</v>
      </c>
      <c r="C1967" s="4" t="str">
        <f t="shared" si="80"/>
        <v>-</v>
      </c>
      <c r="D1967" s="4" t="str">
        <f>"00989886"</f>
        <v>00989886</v>
      </c>
      <c r="E1967" s="4" t="str">
        <f>"1097007X"</f>
        <v>1097007X</v>
      </c>
      <c r="F1967" s="4" t="s">
        <v>142</v>
      </c>
    </row>
    <row r="1968" spans="1:6" x14ac:dyDescent="0.25">
      <c r="A1968" s="4" t="str">
        <f>"International Journal of Circuits, Systems and Signal Processing"</f>
        <v>International Journal of Circuits, Systems and Signal Processing</v>
      </c>
      <c r="B1968" s="4" t="s">
        <v>6</v>
      </c>
      <c r="C1968" s="4" t="str">
        <f t="shared" si="80"/>
        <v>-</v>
      </c>
      <c r="D1968" s="4" t="str">
        <f>"-"</f>
        <v>-</v>
      </c>
      <c r="E1968" s="4" t="str">
        <f>"19984464"</f>
        <v>19984464</v>
      </c>
      <c r="F1968" s="4" t="s">
        <v>567</v>
      </c>
    </row>
    <row r="1969" spans="1:6" x14ac:dyDescent="0.25">
      <c r="A1969" s="4" t="str">
        <f>"International Journal of Climatology"</f>
        <v>International Journal of Climatology</v>
      </c>
      <c r="B1969" s="4" t="s">
        <v>6</v>
      </c>
      <c r="C1969" s="4" t="str">
        <f t="shared" si="80"/>
        <v>-</v>
      </c>
      <c r="D1969" s="4" t="str">
        <f>"08998418"</f>
        <v>08998418</v>
      </c>
      <c r="E1969" s="4" t="str">
        <f>"10970088"</f>
        <v>10970088</v>
      </c>
      <c r="F1969" s="4" t="s">
        <v>142</v>
      </c>
    </row>
    <row r="1970" spans="1:6" x14ac:dyDescent="0.25">
      <c r="A1970" s="4" t="str">
        <f>"International Journal of Clothing Science and Technology"</f>
        <v>International Journal of Clothing Science and Technology</v>
      </c>
      <c r="B1970" s="4" t="s">
        <v>6</v>
      </c>
      <c r="C1970" s="4" t="str">
        <f t="shared" si="80"/>
        <v>-</v>
      </c>
      <c r="D1970" s="4" t="str">
        <f>"09556222"</f>
        <v>09556222</v>
      </c>
      <c r="E1970" s="4" t="str">
        <f>"17585953"</f>
        <v>17585953</v>
      </c>
      <c r="F1970" s="4" t="s">
        <v>110</v>
      </c>
    </row>
    <row r="1971" spans="1:6" x14ac:dyDescent="0.25">
      <c r="A1971" s="4" t="str">
        <f>"International Journal of Coal Geology"</f>
        <v>International Journal of Coal Geology</v>
      </c>
      <c r="B1971" s="4" t="s">
        <v>6</v>
      </c>
      <c r="C1971" s="4" t="str">
        <f t="shared" si="80"/>
        <v>-</v>
      </c>
      <c r="D1971" s="4" t="str">
        <f>"01665162"</f>
        <v>01665162</v>
      </c>
      <c r="E1971" s="4" t="str">
        <f>"-"</f>
        <v>-</v>
      </c>
      <c r="F1971" s="4" t="s">
        <v>55</v>
      </c>
    </row>
    <row r="1972" spans="1:6" x14ac:dyDescent="0.25">
      <c r="A1972" s="4" t="str">
        <f>"International Journal of Coal Preparation and Utilization"</f>
        <v>International Journal of Coal Preparation and Utilization</v>
      </c>
      <c r="B1972" s="4" t="s">
        <v>6</v>
      </c>
      <c r="C1972" s="4" t="str">
        <f t="shared" si="80"/>
        <v>-</v>
      </c>
      <c r="D1972" s="4" t="str">
        <f>"19392699"</f>
        <v>19392699</v>
      </c>
      <c r="E1972" s="4" t="str">
        <f>"19392702"</f>
        <v>19392702</v>
      </c>
      <c r="F1972" s="4" t="s">
        <v>211</v>
      </c>
    </row>
    <row r="1973" spans="1:6" x14ac:dyDescent="0.25">
      <c r="A1973" s="4" t="str">
        <f>"International Journal of Cognitive Informatics and Natural Intelligence"</f>
        <v>International Journal of Cognitive Informatics and Natural Intelligence</v>
      </c>
      <c r="B1973" s="4" t="s">
        <v>6</v>
      </c>
      <c r="C1973" s="4" t="str">
        <f t="shared" si="80"/>
        <v>-</v>
      </c>
      <c r="D1973" s="4" t="str">
        <f>"15573958"</f>
        <v>15573958</v>
      </c>
      <c r="E1973" s="4" t="str">
        <f>"15573966"</f>
        <v>15573966</v>
      </c>
      <c r="F1973" s="4" t="s">
        <v>537</v>
      </c>
    </row>
    <row r="1974" spans="1:6" x14ac:dyDescent="0.25">
      <c r="A1974" s="4" t="str">
        <f>"International Journal of COMADEM"</f>
        <v>International Journal of COMADEM</v>
      </c>
      <c r="B1974" s="4" t="s">
        <v>6</v>
      </c>
      <c r="C1974" s="4" t="str">
        <f t="shared" si="80"/>
        <v>-</v>
      </c>
      <c r="D1974" s="4" t="str">
        <f>"13637681"</f>
        <v>13637681</v>
      </c>
      <c r="E1974" s="4" t="str">
        <f>"-"</f>
        <v>-</v>
      </c>
      <c r="F1974" s="4" t="s">
        <v>568</v>
      </c>
    </row>
    <row r="1975" spans="1:6" x14ac:dyDescent="0.25">
      <c r="A1975" s="4" t="str">
        <f>"International Journal of Communication Networks and Distributed Systems"</f>
        <v>International Journal of Communication Networks and Distributed Systems</v>
      </c>
      <c r="B1975" s="4" t="s">
        <v>6</v>
      </c>
      <c r="C1975" s="4" t="str">
        <f t="shared" si="80"/>
        <v>-</v>
      </c>
      <c r="D1975" s="4" t="str">
        <f>"17543916"</f>
        <v>17543916</v>
      </c>
      <c r="E1975" s="4" t="str">
        <f>"17543924"</f>
        <v>17543924</v>
      </c>
      <c r="F1975" s="4" t="s">
        <v>560</v>
      </c>
    </row>
    <row r="1976" spans="1:6" x14ac:dyDescent="0.25">
      <c r="A1976" s="4" t="str">
        <f>"International Journal of Communication Systems"</f>
        <v>International Journal of Communication Systems</v>
      </c>
      <c r="B1976" s="4" t="s">
        <v>6</v>
      </c>
      <c r="C1976" s="4" t="str">
        <f t="shared" si="80"/>
        <v>-</v>
      </c>
      <c r="D1976" s="4" t="str">
        <f>"10745351"</f>
        <v>10745351</v>
      </c>
      <c r="E1976" s="4" t="str">
        <f>"10991131"</f>
        <v>10991131</v>
      </c>
      <c r="F1976" s="4" t="s">
        <v>142</v>
      </c>
    </row>
    <row r="1977" spans="1:6" x14ac:dyDescent="0.25">
      <c r="A1977" s="4" t="str">
        <f>"International Journal of Computational Fluid Dynamics"</f>
        <v>International Journal of Computational Fluid Dynamics</v>
      </c>
      <c r="B1977" s="4" t="s">
        <v>6</v>
      </c>
      <c r="C1977" s="4" t="str">
        <f t="shared" si="80"/>
        <v>-</v>
      </c>
      <c r="D1977" s="4" t="str">
        <f>"10618562"</f>
        <v>10618562</v>
      </c>
      <c r="E1977" s="4" t="str">
        <f>"10290257"</f>
        <v>10290257</v>
      </c>
      <c r="F1977" s="4" t="s">
        <v>60</v>
      </c>
    </row>
    <row r="1978" spans="1:6" x14ac:dyDescent="0.25">
      <c r="A1978" s="4" t="str">
        <f>"International Journal of Computational Intelligence and Applications"</f>
        <v>International Journal of Computational Intelligence and Applications</v>
      </c>
      <c r="B1978" s="4" t="s">
        <v>6</v>
      </c>
      <c r="C1978" s="4" t="str">
        <f t="shared" si="80"/>
        <v>-</v>
      </c>
      <c r="D1978" s="4" t="str">
        <f>"14690268"</f>
        <v>14690268</v>
      </c>
      <c r="E1978" s="4" t="str">
        <f>"-"</f>
        <v>-</v>
      </c>
      <c r="F1978" s="4" t="s">
        <v>569</v>
      </c>
    </row>
    <row r="1979" spans="1:6" x14ac:dyDescent="0.25">
      <c r="A1979" s="4" t="str">
        <f>"International Journal of Computational Intelligence Systems"</f>
        <v>International Journal of Computational Intelligence Systems</v>
      </c>
      <c r="B1979" s="4" t="s">
        <v>6</v>
      </c>
      <c r="C1979" s="4" t="str">
        <f t="shared" si="80"/>
        <v>-</v>
      </c>
      <c r="D1979" s="4" t="str">
        <f>"18756891"</f>
        <v>18756891</v>
      </c>
      <c r="E1979" s="4" t="str">
        <f>"18756883"</f>
        <v>18756883</v>
      </c>
      <c r="F1979" s="4" t="s">
        <v>60</v>
      </c>
    </row>
    <row r="1980" spans="1:6" x14ac:dyDescent="0.25">
      <c r="A1980" s="4" t="str">
        <f>"International Journal of Computational Materials Science and Surface Engineering"</f>
        <v>International Journal of Computational Materials Science and Surface Engineering</v>
      </c>
      <c r="B1980" s="4" t="s">
        <v>6</v>
      </c>
      <c r="C1980" s="4" t="str">
        <f t="shared" si="80"/>
        <v>-</v>
      </c>
      <c r="D1980" s="4" t="str">
        <f>"17533465"</f>
        <v>17533465</v>
      </c>
      <c r="E1980" s="4" t="str">
        <f>"17533473"</f>
        <v>17533473</v>
      </c>
      <c r="F1980" s="4" t="s">
        <v>396</v>
      </c>
    </row>
    <row r="1981" spans="1:6" x14ac:dyDescent="0.25">
      <c r="A1981" s="4" t="str">
        <f>"International Journal of Computational Methods"</f>
        <v>International Journal of Computational Methods</v>
      </c>
      <c r="B1981" s="4" t="s">
        <v>6</v>
      </c>
      <c r="C1981" s="4" t="str">
        <f t="shared" si="80"/>
        <v>-</v>
      </c>
      <c r="D1981" s="4" t="str">
        <f>"02198762"</f>
        <v>02198762</v>
      </c>
      <c r="E1981" s="4" t="str">
        <f>"17936969"</f>
        <v>17936969</v>
      </c>
      <c r="F1981" s="4" t="s">
        <v>157</v>
      </c>
    </row>
    <row r="1982" spans="1:6" x14ac:dyDescent="0.25">
      <c r="A1982" s="4" t="str">
        <f>"International Journal of Computational Methods in Engineering Science and Mechanics"</f>
        <v>International Journal of Computational Methods in Engineering Science and Mechanics</v>
      </c>
      <c r="B1982" s="4" t="s">
        <v>6</v>
      </c>
      <c r="C1982" s="4" t="str">
        <f t="shared" si="80"/>
        <v>-</v>
      </c>
      <c r="D1982" s="4" t="str">
        <f>"15502287"</f>
        <v>15502287</v>
      </c>
      <c r="E1982" s="4" t="str">
        <f>"15502295"</f>
        <v>15502295</v>
      </c>
      <c r="F1982" s="4" t="s">
        <v>96</v>
      </c>
    </row>
    <row r="1983" spans="1:6" x14ac:dyDescent="0.25">
      <c r="A1983" s="4" t="str">
        <f>"International Journal of Computational Science and Engineering"</f>
        <v>International Journal of Computational Science and Engineering</v>
      </c>
      <c r="B1983" s="4" t="s">
        <v>6</v>
      </c>
      <c r="C1983" s="4" t="str">
        <f t="shared" si="80"/>
        <v>-</v>
      </c>
      <c r="D1983" s="4" t="str">
        <f>"17427185"</f>
        <v>17427185</v>
      </c>
      <c r="E1983" s="4" t="str">
        <f>"17427193"</f>
        <v>17427193</v>
      </c>
      <c r="F1983" s="4" t="s">
        <v>396</v>
      </c>
    </row>
    <row r="1984" spans="1:6" x14ac:dyDescent="0.25">
      <c r="A1984" s="4" t="str">
        <f>"International Journal of Computer Applications in Technology"</f>
        <v>International Journal of Computer Applications in Technology</v>
      </c>
      <c r="B1984" s="4" t="s">
        <v>6</v>
      </c>
      <c r="C1984" s="4" t="str">
        <f t="shared" si="80"/>
        <v>-</v>
      </c>
      <c r="D1984" s="4" t="str">
        <f>"09528091"</f>
        <v>09528091</v>
      </c>
      <c r="E1984" s="4" t="str">
        <f>"-"</f>
        <v>-</v>
      </c>
      <c r="F1984" s="4" t="s">
        <v>396</v>
      </c>
    </row>
    <row r="1985" spans="1:6" x14ac:dyDescent="0.25">
      <c r="A1985" s="4" t="str">
        <f>"International Journal of Computer Games Technology"</f>
        <v>International Journal of Computer Games Technology</v>
      </c>
      <c r="B1985" s="4" t="s">
        <v>6</v>
      </c>
      <c r="C1985" s="4" t="str">
        <f t="shared" si="80"/>
        <v>-</v>
      </c>
      <c r="D1985" s="4" t="str">
        <f>"16877047"</f>
        <v>16877047</v>
      </c>
      <c r="E1985" s="4" t="str">
        <f>"16877055"</f>
        <v>16877055</v>
      </c>
      <c r="F1985" s="4" t="s">
        <v>54</v>
      </c>
    </row>
    <row r="1986" spans="1:6" x14ac:dyDescent="0.25">
      <c r="A1986" s="4" t="str">
        <f>"International Journal of Computer Integrated Manufacturing"</f>
        <v>International Journal of Computer Integrated Manufacturing</v>
      </c>
      <c r="B1986" s="4" t="s">
        <v>6</v>
      </c>
      <c r="C1986" s="4" t="str">
        <f t="shared" si="80"/>
        <v>-</v>
      </c>
      <c r="D1986" s="4" t="str">
        <f>"0951192X"</f>
        <v>0951192X</v>
      </c>
      <c r="E1986" s="4" t="str">
        <f>"13623052"</f>
        <v>13623052</v>
      </c>
      <c r="F1986" s="4" t="s">
        <v>60</v>
      </c>
    </row>
    <row r="1987" spans="1:6" x14ac:dyDescent="0.25">
      <c r="A1987" s="4" t="str">
        <f>"International Journal of Computer Mathematics"</f>
        <v>International Journal of Computer Mathematics</v>
      </c>
      <c r="B1987" s="4" t="s">
        <v>6</v>
      </c>
      <c r="C1987" s="4" t="str">
        <f t="shared" si="80"/>
        <v>-</v>
      </c>
      <c r="D1987" s="4" t="str">
        <f>"00207160"</f>
        <v>00207160</v>
      </c>
      <c r="E1987" s="4" t="str">
        <f>"10290265"</f>
        <v>10290265</v>
      </c>
      <c r="F1987" s="4" t="s">
        <v>60</v>
      </c>
    </row>
    <row r="1988" spans="1:6" x14ac:dyDescent="0.25">
      <c r="A1988" s="4" t="str">
        <f>"International Journal of Computer Science and Applications"</f>
        <v>International Journal of Computer Science and Applications</v>
      </c>
      <c r="B1988" s="4" t="s">
        <v>6</v>
      </c>
      <c r="C1988" s="4" t="str">
        <f t="shared" si="80"/>
        <v>-</v>
      </c>
      <c r="D1988" s="4" t="str">
        <f>"09729038"</f>
        <v>09729038</v>
      </c>
      <c r="E1988" s="4" t="str">
        <f>"-"</f>
        <v>-</v>
      </c>
      <c r="F1988" s="4" t="s">
        <v>570</v>
      </c>
    </row>
    <row r="1989" spans="1:6" x14ac:dyDescent="0.25">
      <c r="A1989" s="4" t="str">
        <f>"International Journal of Computer Vision"</f>
        <v>International Journal of Computer Vision</v>
      </c>
      <c r="B1989" s="4" t="s">
        <v>6</v>
      </c>
      <c r="C1989" s="4" t="str">
        <f t="shared" si="80"/>
        <v>-</v>
      </c>
      <c r="D1989" s="4" t="str">
        <f>"09205691"</f>
        <v>09205691</v>
      </c>
      <c r="E1989" s="4" t="str">
        <f>"15731405"</f>
        <v>15731405</v>
      </c>
      <c r="F1989" s="4" t="s">
        <v>57</v>
      </c>
    </row>
    <row r="1990" spans="1:6" x14ac:dyDescent="0.25">
      <c r="A1990" s="4" t="str">
        <f>"International Journal of Computers and Applications"</f>
        <v>International Journal of Computers and Applications</v>
      </c>
      <c r="B1990" s="4" t="s">
        <v>6</v>
      </c>
      <c r="C1990" s="4" t="str">
        <f t="shared" si="80"/>
        <v>-</v>
      </c>
      <c r="D1990" s="4" t="str">
        <f>"1206212X"</f>
        <v>1206212X</v>
      </c>
      <c r="E1990" s="4" t="str">
        <f>"-"</f>
        <v>-</v>
      </c>
      <c r="F1990" s="4" t="s">
        <v>305</v>
      </c>
    </row>
    <row r="1991" spans="1:6" x14ac:dyDescent="0.25">
      <c r="A1991" s="4" t="str">
        <f>"International Journal of Computing Science and Mathematics"</f>
        <v>International Journal of Computing Science and Mathematics</v>
      </c>
      <c r="B1991" s="4" t="s">
        <v>6</v>
      </c>
      <c r="C1991" s="4" t="str">
        <f t="shared" si="80"/>
        <v>-</v>
      </c>
      <c r="D1991" s="4" t="str">
        <f>"17525055"</f>
        <v>17525055</v>
      </c>
      <c r="E1991" s="4" t="str">
        <f>"17525063"</f>
        <v>17525063</v>
      </c>
      <c r="F1991" s="4" t="s">
        <v>396</v>
      </c>
    </row>
    <row r="1992" spans="1:6" x14ac:dyDescent="0.25">
      <c r="A1992" s="4" t="str">
        <f>"International Journal of Concrete Structures and Materials"</f>
        <v>International Journal of Concrete Structures and Materials</v>
      </c>
      <c r="B1992" s="4" t="s">
        <v>6</v>
      </c>
      <c r="C1992" s="4" t="str">
        <f t="shared" si="80"/>
        <v>-</v>
      </c>
      <c r="D1992" s="4" t="str">
        <f>"-"</f>
        <v>-</v>
      </c>
      <c r="E1992" s="4" t="str">
        <f>"22341315"</f>
        <v>22341315</v>
      </c>
      <c r="F1992" s="4" t="s">
        <v>571</v>
      </c>
    </row>
    <row r="1993" spans="1:6" x14ac:dyDescent="0.25">
      <c r="A1993" s="4" t="str">
        <f>"International Journal of Continuing Engineering Education and Life-Long Learning"</f>
        <v>International Journal of Continuing Engineering Education and Life-Long Learning</v>
      </c>
      <c r="B1993" s="4" t="s">
        <v>6</v>
      </c>
      <c r="C1993" s="4" t="str">
        <f t="shared" si="80"/>
        <v>-</v>
      </c>
      <c r="D1993" s="4" t="str">
        <f>"15604624"</f>
        <v>15604624</v>
      </c>
      <c r="E1993" s="4" t="str">
        <f>"-"</f>
        <v>-</v>
      </c>
      <c r="F1993" s="4" t="s">
        <v>396</v>
      </c>
    </row>
    <row r="1994" spans="1:6" x14ac:dyDescent="0.25">
      <c r="A1994" s="4" t="str">
        <f>"International Journal of Control"</f>
        <v>International Journal of Control</v>
      </c>
      <c r="B1994" s="4" t="s">
        <v>6</v>
      </c>
      <c r="C1994" s="4" t="str">
        <f t="shared" si="80"/>
        <v>-</v>
      </c>
      <c r="D1994" s="4" t="str">
        <f>"00207179"</f>
        <v>00207179</v>
      </c>
      <c r="E1994" s="4" t="str">
        <f>"13665820"</f>
        <v>13665820</v>
      </c>
      <c r="F1994" s="4" t="s">
        <v>60</v>
      </c>
    </row>
    <row r="1995" spans="1:6" x14ac:dyDescent="0.25">
      <c r="A1995" s="4" t="str">
        <f>"International Journal of Control and Automation"</f>
        <v>International Journal of Control and Automation</v>
      </c>
      <c r="B1995" s="4" t="s">
        <v>6</v>
      </c>
      <c r="C1995" s="4" t="str">
        <f t="shared" si="80"/>
        <v>-</v>
      </c>
      <c r="D1995" s="4" t="str">
        <f>"20054297"</f>
        <v>20054297</v>
      </c>
      <c r="E1995" s="4" t="str">
        <f>"-"</f>
        <v>-</v>
      </c>
      <c r="F1995" s="4" t="s">
        <v>572</v>
      </c>
    </row>
    <row r="1996" spans="1:6" x14ac:dyDescent="0.25">
      <c r="A1996" s="4" t="str">
        <f>"International Journal of Control, Automation and Systems"</f>
        <v>International Journal of Control, Automation and Systems</v>
      </c>
      <c r="B1996" s="4" t="s">
        <v>6</v>
      </c>
      <c r="C1996" s="4" t="str">
        <f t="shared" si="80"/>
        <v>-</v>
      </c>
      <c r="D1996" s="4" t="str">
        <f>"15986446"</f>
        <v>15986446</v>
      </c>
      <c r="E1996" s="4" t="str">
        <f>"20054092"</f>
        <v>20054092</v>
      </c>
      <c r="F1996" s="4" t="s">
        <v>573</v>
      </c>
    </row>
    <row r="1997" spans="1:6" x14ac:dyDescent="0.25">
      <c r="A1997" s="4" t="str">
        <f>"International Journal of Corrosion"</f>
        <v>International Journal of Corrosion</v>
      </c>
      <c r="B1997" s="4" t="s">
        <v>6</v>
      </c>
      <c r="C1997" s="4" t="str">
        <f t="shared" si="80"/>
        <v>-</v>
      </c>
      <c r="D1997" s="4" t="str">
        <f>"16879325"</f>
        <v>16879325</v>
      </c>
      <c r="E1997" s="4" t="str">
        <f>"16879333"</f>
        <v>16879333</v>
      </c>
      <c r="F1997" s="4" t="s">
        <v>54</v>
      </c>
    </row>
    <row r="1998" spans="1:6" x14ac:dyDescent="0.25">
      <c r="A1998" s="4" t="str">
        <f>"International Journal of Crashworthiness"</f>
        <v>International Journal of Crashworthiness</v>
      </c>
      <c r="B1998" s="4" t="s">
        <v>6</v>
      </c>
      <c r="C1998" s="4" t="str">
        <f t="shared" si="80"/>
        <v>-</v>
      </c>
      <c r="D1998" s="4" t="str">
        <f>"13588265"</f>
        <v>13588265</v>
      </c>
      <c r="E1998" s="4" t="str">
        <f>"17542111"</f>
        <v>17542111</v>
      </c>
      <c r="F1998" s="4" t="s">
        <v>60</v>
      </c>
    </row>
    <row r="1999" spans="1:6" x14ac:dyDescent="0.25">
      <c r="A1999" s="4" t="str">
        <f>"International Journal of Critical Infrastructure Protection"</f>
        <v>International Journal of Critical Infrastructure Protection</v>
      </c>
      <c r="B1999" s="4" t="s">
        <v>6</v>
      </c>
      <c r="C1999" s="4" t="str">
        <f t="shared" si="80"/>
        <v>-</v>
      </c>
      <c r="D1999" s="4" t="str">
        <f>"18745482"</f>
        <v>18745482</v>
      </c>
      <c r="E1999" s="4" t="str">
        <f>"-"</f>
        <v>-</v>
      </c>
      <c r="F1999" s="4" t="s">
        <v>55</v>
      </c>
    </row>
    <row r="2000" spans="1:6" x14ac:dyDescent="0.25">
      <c r="A2000" s="4" t="str">
        <f>"International Journal of Critical Infrastructures"</f>
        <v>International Journal of Critical Infrastructures</v>
      </c>
      <c r="B2000" s="4" t="s">
        <v>6</v>
      </c>
      <c r="C2000" s="4" t="str">
        <f t="shared" si="80"/>
        <v>-</v>
      </c>
      <c r="D2000" s="4" t="str">
        <f>"14753219"</f>
        <v>14753219</v>
      </c>
      <c r="E2000" s="4" t="str">
        <f>"-"</f>
        <v>-</v>
      </c>
      <c r="F2000" s="4" t="s">
        <v>396</v>
      </c>
    </row>
    <row r="2001" spans="1:6" x14ac:dyDescent="0.25">
      <c r="A2001" s="4" t="str">
        <f>"International Journal of Damage Mechanics"</f>
        <v>International Journal of Damage Mechanics</v>
      </c>
      <c r="B2001" s="4" t="s">
        <v>6</v>
      </c>
      <c r="C2001" s="4" t="str">
        <f t="shared" si="80"/>
        <v>-</v>
      </c>
      <c r="D2001" s="4" t="str">
        <f>"10567895"</f>
        <v>10567895</v>
      </c>
      <c r="E2001" s="4" t="str">
        <f>"15307921"</f>
        <v>15307921</v>
      </c>
      <c r="F2001" s="4" t="s">
        <v>212</v>
      </c>
    </row>
    <row r="2002" spans="1:6" x14ac:dyDescent="0.25">
      <c r="A2002" s="4" t="str">
        <f>"International Journal of Data Warehousing and Mining"</f>
        <v>International Journal of Data Warehousing and Mining</v>
      </c>
      <c r="B2002" s="4" t="s">
        <v>6</v>
      </c>
      <c r="C2002" s="4" t="str">
        <f t="shared" si="80"/>
        <v>-</v>
      </c>
      <c r="D2002" s="4" t="str">
        <f>"15483924"</f>
        <v>15483924</v>
      </c>
      <c r="E2002" s="4" t="str">
        <f>"15483932"</f>
        <v>15483932</v>
      </c>
      <c r="F2002" s="4" t="s">
        <v>537</v>
      </c>
    </row>
    <row r="2003" spans="1:6" x14ac:dyDescent="0.25">
      <c r="A2003" s="4" t="str">
        <f>"International Journal of Database Theory and Application"</f>
        <v>International Journal of Database Theory and Application</v>
      </c>
      <c r="B2003" s="4" t="s">
        <v>6</v>
      </c>
      <c r="C2003" s="4" t="str">
        <f t="shared" si="80"/>
        <v>-</v>
      </c>
      <c r="D2003" s="4" t="str">
        <f>"20054270"</f>
        <v>20054270</v>
      </c>
      <c r="E2003" s="4" t="str">
        <f>"-"</f>
        <v>-</v>
      </c>
      <c r="F2003" s="4" t="s">
        <v>572</v>
      </c>
    </row>
    <row r="2004" spans="1:6" x14ac:dyDescent="0.25">
      <c r="A2004" s="4" t="str">
        <f>"International Journal of Decision Support System Technology"</f>
        <v>International Journal of Decision Support System Technology</v>
      </c>
      <c r="B2004" s="4" t="s">
        <v>6</v>
      </c>
      <c r="C2004" s="4" t="str">
        <f t="shared" si="80"/>
        <v>-</v>
      </c>
      <c r="D2004" s="4" t="str">
        <f>"19416296"</f>
        <v>19416296</v>
      </c>
      <c r="E2004" s="4" t="str">
        <f>"1941630X"</f>
        <v>1941630X</v>
      </c>
      <c r="F2004" s="4" t="s">
        <v>537</v>
      </c>
    </row>
    <row r="2005" spans="1:6" x14ac:dyDescent="0.25">
      <c r="A2005" s="4" t="str">
        <f>"International Journal of Design and Nature and Ecodynamics"</f>
        <v>International Journal of Design and Nature and Ecodynamics</v>
      </c>
      <c r="B2005" s="4" t="s">
        <v>6</v>
      </c>
      <c r="C2005" s="4" t="str">
        <f t="shared" si="80"/>
        <v>-</v>
      </c>
      <c r="D2005" s="4" t="str">
        <f>"17557437"</f>
        <v>17557437</v>
      </c>
      <c r="E2005" s="4" t="str">
        <f>"17557445"</f>
        <v>17557445</v>
      </c>
      <c r="F2005" s="4" t="s">
        <v>80</v>
      </c>
    </row>
    <row r="2006" spans="1:6" x14ac:dyDescent="0.25">
      <c r="A2006" s="4" t="str">
        <f>"International Journal of Digital Crime and Forensics"</f>
        <v>International Journal of Digital Crime and Forensics</v>
      </c>
      <c r="B2006" s="4" t="s">
        <v>6</v>
      </c>
      <c r="C2006" s="4" t="str">
        <f t="shared" si="80"/>
        <v>-</v>
      </c>
      <c r="D2006" s="4" t="str">
        <f>"19416210"</f>
        <v>19416210</v>
      </c>
      <c r="E2006" s="4" t="str">
        <f>"19416229"</f>
        <v>19416229</v>
      </c>
      <c r="F2006" s="4" t="s">
        <v>537</v>
      </c>
    </row>
    <row r="2007" spans="1:6" x14ac:dyDescent="0.25">
      <c r="A2007" s="4" t="str">
        <f>"International Journal of Digital Multimedia Broadcasting"</f>
        <v>International Journal of Digital Multimedia Broadcasting</v>
      </c>
      <c r="B2007" s="4" t="s">
        <v>6</v>
      </c>
      <c r="C2007" s="4" t="str">
        <f t="shared" si="80"/>
        <v>-</v>
      </c>
      <c r="D2007" s="4" t="str">
        <f>"16877578"</f>
        <v>16877578</v>
      </c>
      <c r="E2007" s="4" t="str">
        <f>"16877586"</f>
        <v>16877586</v>
      </c>
      <c r="F2007" s="4" t="s">
        <v>54</v>
      </c>
    </row>
    <row r="2008" spans="1:6" x14ac:dyDescent="0.25">
      <c r="A2008" s="4" t="str">
        <f>"International Journal of Distance Education Technologies"</f>
        <v>International Journal of Distance Education Technologies</v>
      </c>
      <c r="B2008" s="4" t="s">
        <v>6</v>
      </c>
      <c r="C2008" s="4" t="str">
        <f t="shared" si="80"/>
        <v>-</v>
      </c>
      <c r="D2008" s="4" t="str">
        <f>"15393100"</f>
        <v>15393100</v>
      </c>
      <c r="E2008" s="4" t="str">
        <f>"15393119"</f>
        <v>15393119</v>
      </c>
      <c r="F2008" s="4" t="s">
        <v>537</v>
      </c>
    </row>
    <row r="2009" spans="1:6" x14ac:dyDescent="0.25">
      <c r="A2009" s="4" t="str">
        <f>"International Journal of Distributed Sensor Networks"</f>
        <v>International Journal of Distributed Sensor Networks</v>
      </c>
      <c r="B2009" s="4" t="s">
        <v>6</v>
      </c>
      <c r="C2009" s="4" t="str">
        <f t="shared" si="80"/>
        <v>-</v>
      </c>
      <c r="D2009" s="4" t="str">
        <f>"15501329"</f>
        <v>15501329</v>
      </c>
      <c r="E2009" s="4" t="str">
        <f>"15501477"</f>
        <v>15501477</v>
      </c>
      <c r="F2009" s="4" t="s">
        <v>54</v>
      </c>
    </row>
    <row r="2010" spans="1:6" x14ac:dyDescent="0.25">
      <c r="A2010" s="4" t="str">
        <f>"International Journal of Distributed Systems and Technologies"</f>
        <v>International Journal of Distributed Systems and Technologies</v>
      </c>
      <c r="B2010" s="4" t="s">
        <v>6</v>
      </c>
      <c r="C2010" s="4" t="str">
        <f t="shared" si="80"/>
        <v>-</v>
      </c>
      <c r="D2010" s="4" t="str">
        <f>"19473532"</f>
        <v>19473532</v>
      </c>
      <c r="E2010" s="4" t="str">
        <f>"19473540"</f>
        <v>19473540</v>
      </c>
      <c r="F2010" s="4" t="s">
        <v>537</v>
      </c>
    </row>
    <row r="2011" spans="1:6" x14ac:dyDescent="0.25">
      <c r="A2011" s="4" t="str">
        <f>"International Journal of Dynamical Systems and Differential Equations"</f>
        <v>International Journal of Dynamical Systems and Differential Equations</v>
      </c>
      <c r="B2011" s="4" t="s">
        <v>6</v>
      </c>
      <c r="C2011" s="4" t="str">
        <f t="shared" si="80"/>
        <v>-</v>
      </c>
      <c r="D2011" s="4" t="str">
        <f>"17523583"</f>
        <v>17523583</v>
      </c>
      <c r="E2011" s="4" t="str">
        <f>"17523591"</f>
        <v>17523591</v>
      </c>
      <c r="F2011" s="4" t="s">
        <v>396</v>
      </c>
    </row>
    <row r="2012" spans="1:6" x14ac:dyDescent="0.25">
      <c r="A2012" s="4" t="str">
        <f>"International Journal of E-Adoption"</f>
        <v>International Journal of E-Adoption</v>
      </c>
      <c r="B2012" s="4" t="s">
        <v>6</v>
      </c>
      <c r="C2012" s="4" t="str">
        <f t="shared" si="80"/>
        <v>-</v>
      </c>
      <c r="D2012" s="4" t="str">
        <f>"19379633"</f>
        <v>19379633</v>
      </c>
      <c r="E2012" s="4" t="str">
        <f>"19379641"</f>
        <v>19379641</v>
      </c>
      <c r="F2012" s="4" t="s">
        <v>537</v>
      </c>
    </row>
    <row r="2013" spans="1:6" x14ac:dyDescent="0.25">
      <c r="A2013" s="4" t="str">
        <f>"International Journal of Earth Sciences and Engineering"</f>
        <v>International Journal of Earth Sciences and Engineering</v>
      </c>
      <c r="B2013" s="4" t="s">
        <v>6</v>
      </c>
      <c r="C2013" s="4" t="str">
        <f t="shared" ref="C2013:C2076" si="81">"-"</f>
        <v>-</v>
      </c>
      <c r="D2013" s="4" t="str">
        <f>"09745904"</f>
        <v>09745904</v>
      </c>
      <c r="E2013" s="4" t="str">
        <f>"-"</f>
        <v>-</v>
      </c>
      <c r="F2013" s="4" t="s">
        <v>574</v>
      </c>
    </row>
    <row r="2014" spans="1:6" x14ac:dyDescent="0.25">
      <c r="A2014" s="4" t="str">
        <f>"International Journal of e-Collaboration"</f>
        <v>International Journal of e-Collaboration</v>
      </c>
      <c r="B2014" s="4" t="s">
        <v>6</v>
      </c>
      <c r="C2014" s="4" t="str">
        <f t="shared" si="81"/>
        <v>-</v>
      </c>
      <c r="D2014" s="4" t="str">
        <f>"15483673"</f>
        <v>15483673</v>
      </c>
      <c r="E2014" s="4" t="str">
        <f>"15483681"</f>
        <v>15483681</v>
      </c>
      <c r="F2014" s="4" t="s">
        <v>537</v>
      </c>
    </row>
    <row r="2015" spans="1:6" x14ac:dyDescent="0.25">
      <c r="A2015" s="4" t="str">
        <f>"International Journal of Electric and Hybrid Vehicles"</f>
        <v>International Journal of Electric and Hybrid Vehicles</v>
      </c>
      <c r="B2015" s="4" t="s">
        <v>6</v>
      </c>
      <c r="C2015" s="4" t="str">
        <f t="shared" si="81"/>
        <v>-</v>
      </c>
      <c r="D2015" s="4" t="str">
        <f>"17514088"</f>
        <v>17514088</v>
      </c>
      <c r="E2015" s="4" t="str">
        <f>"17514096"</f>
        <v>17514096</v>
      </c>
      <c r="F2015" s="4" t="s">
        <v>396</v>
      </c>
    </row>
    <row r="2016" spans="1:6" x14ac:dyDescent="0.25">
      <c r="A2016" s="4" t="str">
        <f>"International Journal of Electrical Engineering"</f>
        <v>International Journal of Electrical Engineering</v>
      </c>
      <c r="B2016" s="4" t="s">
        <v>6</v>
      </c>
      <c r="C2016" s="4" t="str">
        <f t="shared" si="81"/>
        <v>-</v>
      </c>
      <c r="D2016" s="4" t="str">
        <f>"18123031"</f>
        <v>18123031</v>
      </c>
      <c r="E2016" s="4" t="str">
        <f>"-"</f>
        <v>-</v>
      </c>
      <c r="F2016" s="4" t="s">
        <v>575</v>
      </c>
    </row>
    <row r="2017" spans="1:6" x14ac:dyDescent="0.25">
      <c r="A2017" s="4" t="str">
        <f>"International Journal of Electrical Engineering Education"</f>
        <v>International Journal of Electrical Engineering Education</v>
      </c>
      <c r="B2017" s="4" t="s">
        <v>6</v>
      </c>
      <c r="C2017" s="4" t="str">
        <f t="shared" si="81"/>
        <v>-</v>
      </c>
      <c r="D2017" s="4" t="str">
        <f>"00207209"</f>
        <v>00207209</v>
      </c>
      <c r="E2017" s="4" t="str">
        <f>"20504578"</f>
        <v>20504578</v>
      </c>
      <c r="F2017" s="4" t="s">
        <v>50</v>
      </c>
    </row>
    <row r="2018" spans="1:6" x14ac:dyDescent="0.25">
      <c r="A2018" s="4" t="str">
        <f>"International Journal of Electrical Power and Energy Systems"</f>
        <v>International Journal of Electrical Power and Energy Systems</v>
      </c>
      <c r="B2018" s="4" t="s">
        <v>6</v>
      </c>
      <c r="C2018" s="4" t="str">
        <f t="shared" si="81"/>
        <v>-</v>
      </c>
      <c r="D2018" s="4" t="str">
        <f>"01420615"</f>
        <v>01420615</v>
      </c>
      <c r="E2018" s="4" t="str">
        <f>"-"</f>
        <v>-</v>
      </c>
      <c r="F2018" s="4" t="s">
        <v>19</v>
      </c>
    </row>
    <row r="2019" spans="1:6" x14ac:dyDescent="0.25">
      <c r="A2019" s="4" t="str">
        <f>"International Journal of Electronic Government Research"</f>
        <v>International Journal of Electronic Government Research</v>
      </c>
      <c r="B2019" s="4" t="s">
        <v>6</v>
      </c>
      <c r="C2019" s="4" t="str">
        <f t="shared" si="81"/>
        <v>-</v>
      </c>
      <c r="D2019" s="4" t="str">
        <f>"15483886"</f>
        <v>15483886</v>
      </c>
      <c r="E2019" s="4" t="str">
        <f>"15483894"</f>
        <v>15483894</v>
      </c>
      <c r="F2019" s="4" t="s">
        <v>537</v>
      </c>
    </row>
    <row r="2020" spans="1:6" x14ac:dyDescent="0.25">
      <c r="A2020" s="4" t="str">
        <f>"International Journal of Electronic Security and Digital Forensics"</f>
        <v>International Journal of Electronic Security and Digital Forensics</v>
      </c>
      <c r="B2020" s="4" t="s">
        <v>6</v>
      </c>
      <c r="C2020" s="4" t="str">
        <f t="shared" si="81"/>
        <v>-</v>
      </c>
      <c r="D2020" s="4" t="str">
        <f>"1751911X"</f>
        <v>1751911X</v>
      </c>
      <c r="E2020" s="4" t="str">
        <f>"17519128"</f>
        <v>17519128</v>
      </c>
      <c r="F2020" s="4" t="s">
        <v>396</v>
      </c>
    </row>
    <row r="2021" spans="1:6" x14ac:dyDescent="0.25">
      <c r="A2021" s="4" t="str">
        <f>"International Journal of Electronics"</f>
        <v>International Journal of Electronics</v>
      </c>
      <c r="B2021" s="4" t="s">
        <v>6</v>
      </c>
      <c r="C2021" s="4" t="str">
        <f t="shared" si="81"/>
        <v>-</v>
      </c>
      <c r="D2021" s="4" t="str">
        <f>"00207217"</f>
        <v>00207217</v>
      </c>
      <c r="E2021" s="4" t="str">
        <f>"13623060"</f>
        <v>13623060</v>
      </c>
      <c r="F2021" s="4" t="s">
        <v>60</v>
      </c>
    </row>
    <row r="2022" spans="1:6" x14ac:dyDescent="0.25">
      <c r="A2022" s="4" t="str">
        <f>"International Journal of Electronics and Telecommunications"</f>
        <v>International Journal of Electronics and Telecommunications</v>
      </c>
      <c r="B2022" s="4" t="s">
        <v>6</v>
      </c>
      <c r="C2022" s="4" t="str">
        <f t="shared" si="81"/>
        <v>-</v>
      </c>
      <c r="D2022" s="4" t="str">
        <f>"20818491"</f>
        <v>20818491</v>
      </c>
      <c r="E2022" s="4" t="str">
        <f>"-"</f>
        <v>-</v>
      </c>
      <c r="F2022" s="4" t="s">
        <v>41</v>
      </c>
    </row>
    <row r="2023" spans="1:6" x14ac:dyDescent="0.25">
      <c r="A2023" s="4" t="str">
        <f>"International Journal of Embedded Systems"</f>
        <v>International Journal of Embedded Systems</v>
      </c>
      <c r="B2023" s="4" t="s">
        <v>6</v>
      </c>
      <c r="C2023" s="4" t="str">
        <f t="shared" si="81"/>
        <v>-</v>
      </c>
      <c r="D2023" s="4" t="str">
        <f>"17411068"</f>
        <v>17411068</v>
      </c>
      <c r="E2023" s="4" t="str">
        <f>"17411076"</f>
        <v>17411076</v>
      </c>
      <c r="F2023" s="4" t="s">
        <v>396</v>
      </c>
    </row>
    <row r="2024" spans="1:6" x14ac:dyDescent="0.25">
      <c r="A2024" s="4" t="str">
        <f>"International Journal of Emergency Management"</f>
        <v>International Journal of Emergency Management</v>
      </c>
      <c r="B2024" s="4" t="s">
        <v>6</v>
      </c>
      <c r="C2024" s="4" t="str">
        <f t="shared" si="81"/>
        <v>-</v>
      </c>
      <c r="D2024" s="4" t="str">
        <f>"14714825"</f>
        <v>14714825</v>
      </c>
      <c r="E2024" s="4" t="str">
        <f>"17415071"</f>
        <v>17415071</v>
      </c>
      <c r="F2024" s="4" t="s">
        <v>396</v>
      </c>
    </row>
    <row r="2025" spans="1:6" x14ac:dyDescent="0.25">
      <c r="A2025" s="4" t="str">
        <f>"International Journal of Emerging Electric Power Systems"</f>
        <v>International Journal of Emerging Electric Power Systems</v>
      </c>
      <c r="B2025" s="4" t="s">
        <v>6</v>
      </c>
      <c r="C2025" s="4" t="str">
        <f t="shared" si="81"/>
        <v>-</v>
      </c>
      <c r="D2025" s="4" t="str">
        <f>"21945756"</f>
        <v>21945756</v>
      </c>
      <c r="E2025" s="4" t="str">
        <f>"1553779X"</f>
        <v>1553779X</v>
      </c>
      <c r="F2025" s="4" t="s">
        <v>189</v>
      </c>
    </row>
    <row r="2026" spans="1:6" x14ac:dyDescent="0.25">
      <c r="A2026" s="4" t="str">
        <f>"International Journal of Emerging Multidisciplinary Fluid Sciences"</f>
        <v>International Journal of Emerging Multidisciplinary Fluid Sciences</v>
      </c>
      <c r="B2026" s="4" t="s">
        <v>6</v>
      </c>
      <c r="C2026" s="4" t="str">
        <f t="shared" si="81"/>
        <v>-</v>
      </c>
      <c r="D2026" s="4" t="str">
        <f>"17568315"</f>
        <v>17568315</v>
      </c>
      <c r="E2026" s="4" t="str">
        <f>"-"</f>
        <v>-</v>
      </c>
      <c r="F2026" s="4" t="s">
        <v>58</v>
      </c>
    </row>
    <row r="2027" spans="1:6" x14ac:dyDescent="0.25">
      <c r="A2027" s="4" t="str">
        <f>"International Journal of Emerging Technologies in Learning"</f>
        <v>International Journal of Emerging Technologies in Learning</v>
      </c>
      <c r="B2027" s="4" t="s">
        <v>6</v>
      </c>
      <c r="C2027" s="4" t="str">
        <f t="shared" si="81"/>
        <v>-</v>
      </c>
      <c r="D2027" s="4" t="str">
        <f>"18688799"</f>
        <v>18688799</v>
      </c>
      <c r="E2027" s="4" t="str">
        <f>"18630383"</f>
        <v>18630383</v>
      </c>
      <c r="F2027" s="4" t="s">
        <v>576</v>
      </c>
    </row>
    <row r="2028" spans="1:6" x14ac:dyDescent="0.25">
      <c r="A2028" s="4" t="str">
        <f>"International Journal of Energetic Materials and Chemical Propulsion"</f>
        <v>International Journal of Energetic Materials and Chemical Propulsion</v>
      </c>
      <c r="B2028" s="4" t="s">
        <v>6</v>
      </c>
      <c r="C2028" s="4" t="str">
        <f t="shared" si="81"/>
        <v>-</v>
      </c>
      <c r="D2028" s="4" t="str">
        <f>"2150766X"</f>
        <v>2150766X</v>
      </c>
      <c r="E2028" s="4" t="str">
        <f>"21507678"</f>
        <v>21507678</v>
      </c>
      <c r="F2028" s="4" t="s">
        <v>69</v>
      </c>
    </row>
    <row r="2029" spans="1:6" x14ac:dyDescent="0.25">
      <c r="A2029" s="4" t="str">
        <f>"International Journal of Energy for a Clean Environment"</f>
        <v>International Journal of Energy for a Clean Environment</v>
      </c>
      <c r="B2029" s="4" t="s">
        <v>6</v>
      </c>
      <c r="C2029" s="4" t="str">
        <f t="shared" si="81"/>
        <v>-</v>
      </c>
      <c r="D2029" s="4" t="str">
        <f>"21503621"</f>
        <v>21503621</v>
      </c>
      <c r="E2029" s="4" t="str">
        <f>"2150363X"</f>
        <v>2150363X</v>
      </c>
      <c r="F2029" s="4" t="s">
        <v>69</v>
      </c>
    </row>
    <row r="2030" spans="1:6" x14ac:dyDescent="0.25">
      <c r="A2030" s="4" t="str">
        <f>"International Journal of Energy Research"</f>
        <v>International Journal of Energy Research</v>
      </c>
      <c r="B2030" s="4" t="s">
        <v>6</v>
      </c>
      <c r="C2030" s="4" t="str">
        <f t="shared" si="81"/>
        <v>-</v>
      </c>
      <c r="D2030" s="4" t="str">
        <f>"0363907X"</f>
        <v>0363907X</v>
      </c>
      <c r="E2030" s="4" t="str">
        <f>"1099114X"</f>
        <v>1099114X</v>
      </c>
      <c r="F2030" s="4" t="s">
        <v>142</v>
      </c>
    </row>
    <row r="2031" spans="1:6" x14ac:dyDescent="0.25">
      <c r="A2031" s="4" t="str">
        <f>"International Journal of Energy Sector Management"</f>
        <v>International Journal of Energy Sector Management</v>
      </c>
      <c r="B2031" s="4" t="s">
        <v>6</v>
      </c>
      <c r="C2031" s="4" t="str">
        <f t="shared" si="81"/>
        <v>-</v>
      </c>
      <c r="D2031" s="4" t="str">
        <f>"17506220"</f>
        <v>17506220</v>
      </c>
      <c r="E2031" s="4" t="str">
        <f>"-"</f>
        <v>-</v>
      </c>
      <c r="F2031" s="4" t="s">
        <v>110</v>
      </c>
    </row>
    <row r="2032" spans="1:6" x14ac:dyDescent="0.25">
      <c r="A2032" s="4" t="str">
        <f>"International Journal of Engine Research"</f>
        <v>International Journal of Engine Research</v>
      </c>
      <c r="B2032" s="4" t="s">
        <v>6</v>
      </c>
      <c r="C2032" s="4" t="str">
        <f t="shared" si="81"/>
        <v>-</v>
      </c>
      <c r="D2032" s="4" t="str">
        <f>"14680874"</f>
        <v>14680874</v>
      </c>
      <c r="E2032" s="4" t="str">
        <f>"20413149"</f>
        <v>20413149</v>
      </c>
      <c r="F2032" s="4" t="s">
        <v>212</v>
      </c>
    </row>
    <row r="2033" spans="1:6" x14ac:dyDescent="0.25">
      <c r="A2033" s="4" t="str">
        <f>"International Journal of Engineering Education"</f>
        <v>International Journal of Engineering Education</v>
      </c>
      <c r="B2033" s="4" t="s">
        <v>6</v>
      </c>
      <c r="C2033" s="4" t="str">
        <f t="shared" si="81"/>
        <v>-</v>
      </c>
      <c r="D2033" s="4" t="str">
        <f>"0949149X"</f>
        <v>0949149X</v>
      </c>
      <c r="E2033" s="4" t="str">
        <f>"-"</f>
        <v>-</v>
      </c>
      <c r="F2033" s="4" t="s">
        <v>577</v>
      </c>
    </row>
    <row r="2034" spans="1:6" x14ac:dyDescent="0.25">
      <c r="A2034" s="4" t="str">
        <f>"International Journal of Engineering Research in Africa"</f>
        <v>International Journal of Engineering Research in Africa</v>
      </c>
      <c r="B2034" s="4" t="s">
        <v>6</v>
      </c>
      <c r="C2034" s="4" t="str">
        <f t="shared" si="81"/>
        <v>-</v>
      </c>
      <c r="D2034" s="4" t="str">
        <f>"16633571"</f>
        <v>16633571</v>
      </c>
      <c r="E2034" s="4" t="str">
        <f>"16634144"</f>
        <v>16634144</v>
      </c>
      <c r="F2034" s="4" t="s">
        <v>320</v>
      </c>
    </row>
    <row r="2035" spans="1:6" x14ac:dyDescent="0.25">
      <c r="A2035" s="4" t="str">
        <f>"International Journal of Engineering Science"</f>
        <v>International Journal of Engineering Science</v>
      </c>
      <c r="B2035" s="4" t="s">
        <v>6</v>
      </c>
      <c r="C2035" s="4" t="str">
        <f t="shared" si="81"/>
        <v>-</v>
      </c>
      <c r="D2035" s="4" t="str">
        <f>"00207225"</f>
        <v>00207225</v>
      </c>
      <c r="E2035" s="4" t="str">
        <f>"-"</f>
        <v>-</v>
      </c>
      <c r="F2035" s="4" t="s">
        <v>19</v>
      </c>
    </row>
    <row r="2036" spans="1:6" x14ac:dyDescent="0.25">
      <c r="A2036" s="4" t="str">
        <f>"International Journal of Engineering Systems Modelling and Simulation"</f>
        <v>International Journal of Engineering Systems Modelling and Simulation</v>
      </c>
      <c r="B2036" s="4" t="s">
        <v>6</v>
      </c>
      <c r="C2036" s="4" t="str">
        <f t="shared" si="81"/>
        <v>-</v>
      </c>
      <c r="D2036" s="4" t="str">
        <f>"17559758"</f>
        <v>17559758</v>
      </c>
      <c r="E2036" s="4" t="str">
        <f>"17559766"</f>
        <v>17559766</v>
      </c>
      <c r="F2036" s="4" t="s">
        <v>560</v>
      </c>
    </row>
    <row r="2037" spans="1:6" x14ac:dyDescent="0.25">
      <c r="A2037" s="4" t="str">
        <f>"International Journal of Engineering, Transactions A: Basics"</f>
        <v>International Journal of Engineering, Transactions A: Basics</v>
      </c>
      <c r="B2037" s="4" t="s">
        <v>6</v>
      </c>
      <c r="C2037" s="4" t="str">
        <f t="shared" si="81"/>
        <v>-</v>
      </c>
      <c r="D2037" s="4" t="str">
        <f>"17281431"</f>
        <v>17281431</v>
      </c>
      <c r="E2037" s="4" t="str">
        <f>"-"</f>
        <v>-</v>
      </c>
      <c r="F2037" s="4" t="s">
        <v>578</v>
      </c>
    </row>
    <row r="2038" spans="1:6" x14ac:dyDescent="0.25">
      <c r="A2038" s="4" t="str">
        <f>"International Journal of Engineering, Transactions B: Applications"</f>
        <v>International Journal of Engineering, Transactions B: Applications</v>
      </c>
      <c r="B2038" s="4" t="s">
        <v>6</v>
      </c>
      <c r="C2038" s="4" t="str">
        <f t="shared" si="81"/>
        <v>-</v>
      </c>
      <c r="D2038" s="4" t="str">
        <f>"1728144X"</f>
        <v>1728144X</v>
      </c>
      <c r="E2038" s="4" t="str">
        <f>"-"</f>
        <v>-</v>
      </c>
      <c r="F2038" s="4" t="s">
        <v>578</v>
      </c>
    </row>
    <row r="2039" spans="1:6" x14ac:dyDescent="0.25">
      <c r="A2039" s="4" t="str">
        <f>"International Journal of Enterprise Information Systems"</f>
        <v>International Journal of Enterprise Information Systems</v>
      </c>
      <c r="B2039" s="4" t="s">
        <v>6</v>
      </c>
      <c r="C2039" s="4" t="str">
        <f t="shared" si="81"/>
        <v>-</v>
      </c>
      <c r="D2039" s="4" t="str">
        <f>"15481115"</f>
        <v>15481115</v>
      </c>
      <c r="E2039" s="4" t="str">
        <f>"15481123"</f>
        <v>15481123</v>
      </c>
      <c r="F2039" s="4" t="s">
        <v>537</v>
      </c>
    </row>
    <row r="2040" spans="1:6" x14ac:dyDescent="0.25">
      <c r="A2040" s="4" t="str">
        <f>"International Journal of Environment and Pollution"</f>
        <v>International Journal of Environment and Pollution</v>
      </c>
      <c r="B2040" s="4" t="s">
        <v>6</v>
      </c>
      <c r="C2040" s="4" t="str">
        <f t="shared" si="81"/>
        <v>-</v>
      </c>
      <c r="D2040" s="4" t="str">
        <f>"09574352"</f>
        <v>09574352</v>
      </c>
      <c r="E2040" s="4" t="str">
        <f>"17415101"</f>
        <v>17415101</v>
      </c>
      <c r="F2040" s="4" t="s">
        <v>396</v>
      </c>
    </row>
    <row r="2041" spans="1:6" x14ac:dyDescent="0.25">
      <c r="A2041" s="4" t="str">
        <f>"International Journal of Environment and Waste Management"</f>
        <v>International Journal of Environment and Waste Management</v>
      </c>
      <c r="B2041" s="4" t="s">
        <v>6</v>
      </c>
      <c r="C2041" s="4" t="str">
        <f t="shared" si="81"/>
        <v>-</v>
      </c>
      <c r="D2041" s="4" t="str">
        <f>"14789876"</f>
        <v>14789876</v>
      </c>
      <c r="E2041" s="4" t="str">
        <f>"14789868"</f>
        <v>14789868</v>
      </c>
      <c r="F2041" s="4" t="s">
        <v>396</v>
      </c>
    </row>
    <row r="2042" spans="1:6" x14ac:dyDescent="0.25">
      <c r="A2042" s="4" t="str">
        <f>"International Journal of Environmental Analytical Chemistry"</f>
        <v>International Journal of Environmental Analytical Chemistry</v>
      </c>
      <c r="B2042" s="4" t="s">
        <v>6</v>
      </c>
      <c r="C2042" s="4" t="str">
        <f t="shared" si="81"/>
        <v>-</v>
      </c>
      <c r="D2042" s="4" t="str">
        <f>"03067319"</f>
        <v>03067319</v>
      </c>
      <c r="E2042" s="4" t="str">
        <f>"10290397"</f>
        <v>10290397</v>
      </c>
      <c r="F2042" s="4" t="s">
        <v>60</v>
      </c>
    </row>
    <row r="2043" spans="1:6" x14ac:dyDescent="0.25">
      <c r="A2043" s="4" t="str">
        <f>"International Journal of Environmental Engineering"</f>
        <v>International Journal of Environmental Engineering</v>
      </c>
      <c r="B2043" s="4" t="s">
        <v>6</v>
      </c>
      <c r="C2043" s="4" t="str">
        <f t="shared" si="81"/>
        <v>-</v>
      </c>
      <c r="D2043" s="4" t="str">
        <f>"17568463"</f>
        <v>17568463</v>
      </c>
      <c r="E2043" s="4" t="str">
        <f>"17568471"</f>
        <v>17568471</v>
      </c>
      <c r="F2043" s="4" t="s">
        <v>560</v>
      </c>
    </row>
    <row r="2044" spans="1:6" x14ac:dyDescent="0.25">
      <c r="A2044" s="4" t="str">
        <f>"International Journal of Environmental Science and Technology"</f>
        <v>International Journal of Environmental Science and Technology</v>
      </c>
      <c r="B2044" s="4" t="s">
        <v>6</v>
      </c>
      <c r="C2044" s="4" t="str">
        <f t="shared" si="81"/>
        <v>-</v>
      </c>
      <c r="D2044" s="4" t="str">
        <f>"17351472"</f>
        <v>17351472</v>
      </c>
      <c r="E2044" s="4" t="str">
        <f>"17352630"</f>
        <v>17352630</v>
      </c>
      <c r="F2044" s="4" t="s">
        <v>579</v>
      </c>
    </row>
    <row r="2045" spans="1:6" x14ac:dyDescent="0.25">
      <c r="A2045" s="4" t="str">
        <f>"International Journal of Environmental Studies"</f>
        <v>International Journal of Environmental Studies</v>
      </c>
      <c r="B2045" s="4" t="s">
        <v>6</v>
      </c>
      <c r="C2045" s="4" t="str">
        <f t="shared" si="81"/>
        <v>-</v>
      </c>
      <c r="D2045" s="4" t="str">
        <f>"00207233"</f>
        <v>00207233</v>
      </c>
      <c r="E2045" s="4" t="str">
        <f>"10290400"</f>
        <v>10290400</v>
      </c>
      <c r="F2045" s="4" t="s">
        <v>211</v>
      </c>
    </row>
    <row r="2046" spans="1:6" x14ac:dyDescent="0.25">
      <c r="A2046" s="4" t="str">
        <f>"International Journal of Environmental Technology and Management"</f>
        <v>International Journal of Environmental Technology and Management</v>
      </c>
      <c r="B2046" s="4" t="s">
        <v>6</v>
      </c>
      <c r="C2046" s="4" t="str">
        <f t="shared" si="81"/>
        <v>-</v>
      </c>
      <c r="D2046" s="4" t="str">
        <f>"14662132"</f>
        <v>14662132</v>
      </c>
      <c r="E2046" s="4" t="str">
        <f>"-"</f>
        <v>-</v>
      </c>
      <c r="F2046" s="4" t="s">
        <v>396</v>
      </c>
    </row>
    <row r="2047" spans="1:6" x14ac:dyDescent="0.25">
      <c r="A2047" s="4" t="str">
        <f>"International Journal of Exergy"</f>
        <v>International Journal of Exergy</v>
      </c>
      <c r="B2047" s="4" t="s">
        <v>6</v>
      </c>
      <c r="C2047" s="4" t="str">
        <f t="shared" si="81"/>
        <v>-</v>
      </c>
      <c r="D2047" s="4" t="str">
        <f>"17428297"</f>
        <v>17428297</v>
      </c>
      <c r="E2047" s="4" t="str">
        <f>"17428300"</f>
        <v>17428300</v>
      </c>
      <c r="F2047" s="4" t="s">
        <v>396</v>
      </c>
    </row>
    <row r="2048" spans="1:6" x14ac:dyDescent="0.25">
      <c r="A2048" s="4" t="str">
        <f>"International Journal of Fatigue"</f>
        <v>International Journal of Fatigue</v>
      </c>
      <c r="B2048" s="4" t="s">
        <v>6</v>
      </c>
      <c r="C2048" s="4" t="str">
        <f t="shared" si="81"/>
        <v>-</v>
      </c>
      <c r="D2048" s="4" t="str">
        <f>"01421123"</f>
        <v>01421123</v>
      </c>
      <c r="E2048" s="4" t="str">
        <f>"-"</f>
        <v>-</v>
      </c>
      <c r="F2048" s="4" t="s">
        <v>19</v>
      </c>
    </row>
    <row r="2049" spans="1:6" x14ac:dyDescent="0.25">
      <c r="A2049" s="4" t="str">
        <f>"International Journal of Flow Control"</f>
        <v>International Journal of Flow Control</v>
      </c>
      <c r="B2049" s="4" t="s">
        <v>6</v>
      </c>
      <c r="C2049" s="4" t="str">
        <f t="shared" si="81"/>
        <v>-</v>
      </c>
      <c r="D2049" s="4" t="str">
        <f>"17568250"</f>
        <v>17568250</v>
      </c>
      <c r="E2049" s="4" t="str">
        <f>"-"</f>
        <v>-</v>
      </c>
      <c r="F2049" s="4" t="s">
        <v>58</v>
      </c>
    </row>
    <row r="2050" spans="1:6" x14ac:dyDescent="0.25">
      <c r="A2050" s="4" t="str">
        <f>"International Journal of Fluid Machinery and Systems"</f>
        <v>International Journal of Fluid Machinery and Systems</v>
      </c>
      <c r="B2050" s="4" t="s">
        <v>6</v>
      </c>
      <c r="C2050" s="4" t="str">
        <f t="shared" si="81"/>
        <v>-</v>
      </c>
      <c r="D2050" s="4" t="str">
        <f>"-"</f>
        <v>-</v>
      </c>
      <c r="E2050" s="4" t="str">
        <f>"18829554"</f>
        <v>18829554</v>
      </c>
      <c r="F2050" s="4" t="s">
        <v>580</v>
      </c>
    </row>
    <row r="2051" spans="1:6" x14ac:dyDescent="0.25">
      <c r="A2051" s="4" t="str">
        <f>"International Journal of Fluid Mechanics Research"</f>
        <v>International Journal of Fluid Mechanics Research</v>
      </c>
      <c r="B2051" s="4" t="s">
        <v>6</v>
      </c>
      <c r="C2051" s="4" t="str">
        <f t="shared" si="81"/>
        <v>-</v>
      </c>
      <c r="D2051" s="4" t="str">
        <f>"10642277"</f>
        <v>10642277</v>
      </c>
      <c r="E2051" s="4" t="str">
        <f>"-"</f>
        <v>-</v>
      </c>
      <c r="F2051" s="4" t="s">
        <v>69</v>
      </c>
    </row>
    <row r="2052" spans="1:6" x14ac:dyDescent="0.25">
      <c r="A2052" s="4" t="str">
        <f>"International Journal of Fluid Power"</f>
        <v>International Journal of Fluid Power</v>
      </c>
      <c r="B2052" s="4" t="s">
        <v>6</v>
      </c>
      <c r="C2052" s="4" t="str">
        <f t="shared" si="81"/>
        <v>-</v>
      </c>
      <c r="D2052" s="4" t="str">
        <f>"14399776"</f>
        <v>14399776</v>
      </c>
      <c r="E2052" s="4" t="str">
        <f>"-"</f>
        <v>-</v>
      </c>
      <c r="F2052" s="4" t="s">
        <v>581</v>
      </c>
    </row>
    <row r="2053" spans="1:6" x14ac:dyDescent="0.25">
      <c r="A2053" s="4" t="str">
        <f>"International Journal of Food Engineering"</f>
        <v>International Journal of Food Engineering</v>
      </c>
      <c r="B2053" s="4" t="s">
        <v>6</v>
      </c>
      <c r="C2053" s="4" t="str">
        <f t="shared" si="81"/>
        <v>-</v>
      </c>
      <c r="D2053" s="4" t="str">
        <f>"21945764"</f>
        <v>21945764</v>
      </c>
      <c r="E2053" s="4" t="str">
        <f>"15563758"</f>
        <v>15563758</v>
      </c>
      <c r="F2053" s="4" t="s">
        <v>189</v>
      </c>
    </row>
    <row r="2054" spans="1:6" x14ac:dyDescent="0.25">
      <c r="A2054" s="4" t="str">
        <f>"International Journal of Food Properties"</f>
        <v>International Journal of Food Properties</v>
      </c>
      <c r="B2054" s="4" t="s">
        <v>6</v>
      </c>
      <c r="C2054" s="4" t="str">
        <f t="shared" si="81"/>
        <v>-</v>
      </c>
      <c r="D2054" s="4" t="str">
        <f>"10942912"</f>
        <v>10942912</v>
      </c>
      <c r="E2054" s="4" t="str">
        <f>"15322386"</f>
        <v>15322386</v>
      </c>
      <c r="F2054" s="4" t="s">
        <v>96</v>
      </c>
    </row>
    <row r="2055" spans="1:6" x14ac:dyDescent="0.25">
      <c r="A2055" s="4" t="str">
        <f>"International Journal of Food Science and Technology"</f>
        <v>International Journal of Food Science and Technology</v>
      </c>
      <c r="B2055" s="4" t="s">
        <v>6</v>
      </c>
      <c r="C2055" s="4" t="str">
        <f t="shared" si="81"/>
        <v>-</v>
      </c>
      <c r="D2055" s="4" t="str">
        <f>"09505423"</f>
        <v>09505423</v>
      </c>
      <c r="E2055" s="4" t="str">
        <f>"13652621"</f>
        <v>13652621</v>
      </c>
      <c r="F2055" s="4" t="s">
        <v>209</v>
      </c>
    </row>
    <row r="2056" spans="1:6" x14ac:dyDescent="0.25">
      <c r="A2056" s="4" t="str">
        <f>"International Journal of Fracture"</f>
        <v>International Journal of Fracture</v>
      </c>
      <c r="B2056" s="4" t="s">
        <v>6</v>
      </c>
      <c r="C2056" s="4" t="str">
        <f t="shared" si="81"/>
        <v>-</v>
      </c>
      <c r="D2056" s="4" t="str">
        <f>"03769429"</f>
        <v>03769429</v>
      </c>
      <c r="E2056" s="4" t="str">
        <f>"15732673"</f>
        <v>15732673</v>
      </c>
      <c r="F2056" s="4" t="s">
        <v>31</v>
      </c>
    </row>
    <row r="2057" spans="1:6" x14ac:dyDescent="0.25">
      <c r="A2057" s="4" t="str">
        <f>"International Journal of Future Generation Communication and Networking"</f>
        <v>International Journal of Future Generation Communication and Networking</v>
      </c>
      <c r="B2057" s="4" t="s">
        <v>6</v>
      </c>
      <c r="C2057" s="4" t="str">
        <f t="shared" si="81"/>
        <v>-</v>
      </c>
      <c r="D2057" s="4" t="str">
        <f>"22337857"</f>
        <v>22337857</v>
      </c>
      <c r="E2057" s="4" t="str">
        <f>"-"</f>
        <v>-</v>
      </c>
      <c r="F2057" s="4" t="s">
        <v>572</v>
      </c>
    </row>
    <row r="2058" spans="1:6" x14ac:dyDescent="0.25">
      <c r="A2058" s="4" t="str">
        <f>"International Journal of Fuzzy Systems"</f>
        <v>International Journal of Fuzzy Systems</v>
      </c>
      <c r="B2058" s="4" t="s">
        <v>6</v>
      </c>
      <c r="C2058" s="4" t="str">
        <f t="shared" si="81"/>
        <v>-</v>
      </c>
      <c r="D2058" s="4" t="str">
        <f>"15622479"</f>
        <v>15622479</v>
      </c>
      <c r="E2058" s="4" t="str">
        <f>"21993211"</f>
        <v>21993211</v>
      </c>
      <c r="F2058" s="4" t="s">
        <v>582</v>
      </c>
    </row>
    <row r="2059" spans="1:6" x14ac:dyDescent="0.25">
      <c r="A2059" s="4" t="str">
        <f>"International Journal of Gaming and Computer-Mediated Simulations"</f>
        <v>International Journal of Gaming and Computer-Mediated Simulations</v>
      </c>
      <c r="B2059" s="4" t="s">
        <v>6</v>
      </c>
      <c r="C2059" s="4" t="str">
        <f t="shared" si="81"/>
        <v>-</v>
      </c>
      <c r="D2059" s="4" t="str">
        <f>"19423888"</f>
        <v>19423888</v>
      </c>
      <c r="E2059" s="4" t="str">
        <f>"19423896"</f>
        <v>19423896</v>
      </c>
      <c r="F2059" s="4" t="s">
        <v>537</v>
      </c>
    </row>
    <row r="2060" spans="1:6" x14ac:dyDescent="0.25">
      <c r="A2060" s="4" t="str">
        <f>"International Journal of Gas Turbine, Propulsion and Power Systems"</f>
        <v>International Journal of Gas Turbine, Propulsion and Power Systems</v>
      </c>
      <c r="B2060" s="4" t="s">
        <v>6</v>
      </c>
      <c r="C2060" s="4" t="str">
        <f t="shared" si="81"/>
        <v>-</v>
      </c>
      <c r="D2060" s="4" t="str">
        <f>"-"</f>
        <v>-</v>
      </c>
      <c r="E2060" s="4" t="str">
        <f>"18825079"</f>
        <v>18825079</v>
      </c>
      <c r="F2060" s="4" t="s">
        <v>583</v>
      </c>
    </row>
    <row r="2061" spans="1:6" x14ac:dyDescent="0.25">
      <c r="A2061" s="4" t="str">
        <f>"International Journal of General Systems"</f>
        <v>International Journal of General Systems</v>
      </c>
      <c r="B2061" s="4" t="s">
        <v>6</v>
      </c>
      <c r="C2061" s="4" t="str">
        <f t="shared" si="81"/>
        <v>-</v>
      </c>
      <c r="D2061" s="4" t="str">
        <f>"03081079"</f>
        <v>03081079</v>
      </c>
      <c r="E2061" s="4" t="str">
        <f>"15635104"</f>
        <v>15635104</v>
      </c>
      <c r="F2061" s="4" t="s">
        <v>60</v>
      </c>
    </row>
    <row r="2062" spans="1:6" x14ac:dyDescent="0.25">
      <c r="A2062" s="4" t="str">
        <f>"International Journal of Geomechanics"</f>
        <v>International Journal of Geomechanics</v>
      </c>
      <c r="B2062" s="4" t="s">
        <v>6</v>
      </c>
      <c r="C2062" s="4" t="str">
        <f t="shared" si="81"/>
        <v>-</v>
      </c>
      <c r="D2062" s="4" t="str">
        <f>"15323641"</f>
        <v>15323641</v>
      </c>
      <c r="E2062" s="4" t="str">
        <f>"-"</f>
        <v>-</v>
      </c>
      <c r="F2062" s="4" t="s">
        <v>111</v>
      </c>
    </row>
    <row r="2063" spans="1:6" x14ac:dyDescent="0.25">
      <c r="A2063" s="4" t="str">
        <f>"International Journal of Global Energy Issues"</f>
        <v>International Journal of Global Energy Issues</v>
      </c>
      <c r="B2063" s="4" t="s">
        <v>6</v>
      </c>
      <c r="C2063" s="4" t="str">
        <f t="shared" si="81"/>
        <v>-</v>
      </c>
      <c r="D2063" s="4" t="str">
        <f>"09547118"</f>
        <v>09547118</v>
      </c>
      <c r="E2063" s="4" t="str">
        <f>"-"</f>
        <v>-</v>
      </c>
      <c r="F2063" s="4" t="s">
        <v>396</v>
      </c>
    </row>
    <row r="2064" spans="1:6" x14ac:dyDescent="0.25">
      <c r="A2064" s="4" t="str">
        <f>"International Journal of Green Energy"</f>
        <v>International Journal of Green Energy</v>
      </c>
      <c r="B2064" s="4" t="s">
        <v>6</v>
      </c>
      <c r="C2064" s="4" t="str">
        <f t="shared" si="81"/>
        <v>-</v>
      </c>
      <c r="D2064" s="4" t="str">
        <f>"15435075"</f>
        <v>15435075</v>
      </c>
      <c r="E2064" s="4" t="str">
        <f>"15435083"</f>
        <v>15435083</v>
      </c>
      <c r="F2064" s="4" t="s">
        <v>96</v>
      </c>
    </row>
    <row r="2065" spans="1:6" x14ac:dyDescent="0.25">
      <c r="A2065" s="4" t="str">
        <f>"International Journal of Greenhouse Gas Control"</f>
        <v>International Journal of Greenhouse Gas Control</v>
      </c>
      <c r="B2065" s="4" t="s">
        <v>6</v>
      </c>
      <c r="C2065" s="4" t="str">
        <f t="shared" si="81"/>
        <v>-</v>
      </c>
      <c r="D2065" s="4" t="str">
        <f>"17505836"</f>
        <v>17505836</v>
      </c>
      <c r="E2065" s="4" t="str">
        <f>"-"</f>
        <v>-</v>
      </c>
      <c r="F2065" s="4" t="s">
        <v>19</v>
      </c>
    </row>
    <row r="2066" spans="1:6" x14ac:dyDescent="0.25">
      <c r="A2066" s="4" t="str">
        <f>"International Journal of Grid and Distributed Computing"</f>
        <v>International Journal of Grid and Distributed Computing</v>
      </c>
      <c r="B2066" s="4" t="s">
        <v>6</v>
      </c>
      <c r="C2066" s="4" t="str">
        <f t="shared" si="81"/>
        <v>-</v>
      </c>
      <c r="D2066" s="4" t="str">
        <f>"20054262"</f>
        <v>20054262</v>
      </c>
      <c r="E2066" s="4" t="str">
        <f>"-"</f>
        <v>-</v>
      </c>
      <c r="F2066" s="4" t="s">
        <v>572</v>
      </c>
    </row>
    <row r="2067" spans="1:6" x14ac:dyDescent="0.25">
      <c r="A2067" s="4" t="str">
        <f>"International Journal of Grid and High Performance Computing"</f>
        <v>International Journal of Grid and High Performance Computing</v>
      </c>
      <c r="B2067" s="4" t="s">
        <v>6</v>
      </c>
      <c r="C2067" s="4" t="str">
        <f t="shared" si="81"/>
        <v>-</v>
      </c>
      <c r="D2067" s="4" t="str">
        <f>"19380259"</f>
        <v>19380259</v>
      </c>
      <c r="E2067" s="4" t="str">
        <f>"19380267"</f>
        <v>19380267</v>
      </c>
      <c r="F2067" s="4" t="s">
        <v>537</v>
      </c>
    </row>
    <row r="2068" spans="1:6" x14ac:dyDescent="0.25">
      <c r="A2068" s="4" t="str">
        <f>"International Journal of Grid and Utility Computing"</f>
        <v>International Journal of Grid and Utility Computing</v>
      </c>
      <c r="B2068" s="4" t="s">
        <v>6</v>
      </c>
      <c r="C2068" s="4" t="str">
        <f t="shared" si="81"/>
        <v>-</v>
      </c>
      <c r="D2068" s="4" t="str">
        <f>"1741847X"</f>
        <v>1741847X</v>
      </c>
      <c r="E2068" s="4" t="str">
        <f>"17418488"</f>
        <v>17418488</v>
      </c>
      <c r="F2068" s="4" t="s">
        <v>396</v>
      </c>
    </row>
    <row r="2069" spans="1:6" x14ac:dyDescent="0.25">
      <c r="A2069" s="4" t="str">
        <f>"International Journal of Healthcare Information Systems and Informatics"</f>
        <v>International Journal of Healthcare Information Systems and Informatics</v>
      </c>
      <c r="B2069" s="4" t="s">
        <v>6</v>
      </c>
      <c r="C2069" s="4" t="str">
        <f t="shared" si="81"/>
        <v>-</v>
      </c>
      <c r="D2069" s="4" t="str">
        <f>"15553396"</f>
        <v>15553396</v>
      </c>
      <c r="E2069" s="4" t="str">
        <f>"1555340X"</f>
        <v>1555340X</v>
      </c>
      <c r="F2069" s="4" t="s">
        <v>537</v>
      </c>
    </row>
    <row r="2070" spans="1:6" x14ac:dyDescent="0.25">
      <c r="A2070" s="4" t="str">
        <f>"International Journal of Heat and Fluid Flow"</f>
        <v>International Journal of Heat and Fluid Flow</v>
      </c>
      <c r="B2070" s="4" t="s">
        <v>6</v>
      </c>
      <c r="C2070" s="4" t="str">
        <f t="shared" si="81"/>
        <v>-</v>
      </c>
      <c r="D2070" s="4" t="str">
        <f>"0142727X"</f>
        <v>0142727X</v>
      </c>
      <c r="E2070" s="4" t="str">
        <f>"-"</f>
        <v>-</v>
      </c>
      <c r="F2070" s="4" t="s">
        <v>55</v>
      </c>
    </row>
    <row r="2071" spans="1:6" x14ac:dyDescent="0.25">
      <c r="A2071" s="4" t="str">
        <f>"International Journal of Heat and Mass Transfer"</f>
        <v>International Journal of Heat and Mass Transfer</v>
      </c>
      <c r="B2071" s="4" t="s">
        <v>6</v>
      </c>
      <c r="C2071" s="4" t="str">
        <f t="shared" si="81"/>
        <v>-</v>
      </c>
      <c r="D2071" s="4" t="str">
        <f>"00179310"</f>
        <v>00179310</v>
      </c>
      <c r="E2071" s="4" t="str">
        <f>"-"</f>
        <v>-</v>
      </c>
      <c r="F2071" s="4" t="s">
        <v>19</v>
      </c>
    </row>
    <row r="2072" spans="1:6" x14ac:dyDescent="0.25">
      <c r="A2072" s="4" t="str">
        <f>"International Journal of Heat and Technology"</f>
        <v>International Journal of Heat and Technology</v>
      </c>
      <c r="B2072" s="4" t="s">
        <v>6</v>
      </c>
      <c r="C2072" s="4" t="str">
        <f t="shared" si="81"/>
        <v>-</v>
      </c>
      <c r="D2072" s="4" t="str">
        <f>"03928764"</f>
        <v>03928764</v>
      </c>
      <c r="E2072" s="4" t="str">
        <f>"-"</f>
        <v>-</v>
      </c>
      <c r="F2072" s="4" t="s">
        <v>584</v>
      </c>
    </row>
    <row r="2073" spans="1:6" x14ac:dyDescent="0.25">
      <c r="A2073" s="4" t="str">
        <f>"International Journal of Heat Exchangers"</f>
        <v>International Journal of Heat Exchangers</v>
      </c>
      <c r="B2073" s="4" t="s">
        <v>6</v>
      </c>
      <c r="C2073" s="4" t="str">
        <f t="shared" si="81"/>
        <v>-</v>
      </c>
      <c r="D2073" s="4" t="str">
        <f>"15245608"</f>
        <v>15245608</v>
      </c>
      <c r="E2073" s="4" t="str">
        <f>"-"</f>
        <v>-</v>
      </c>
      <c r="F2073" s="4" t="s">
        <v>585</v>
      </c>
    </row>
    <row r="2074" spans="1:6" x14ac:dyDescent="0.25">
      <c r="A2074" s="4" t="str">
        <f>"International Journal of Heavy Vehicle Systems"</f>
        <v>International Journal of Heavy Vehicle Systems</v>
      </c>
      <c r="B2074" s="4" t="s">
        <v>6</v>
      </c>
      <c r="C2074" s="4" t="str">
        <f t="shared" si="81"/>
        <v>-</v>
      </c>
      <c r="D2074" s="4" t="str">
        <f>"1744232X"</f>
        <v>1744232X</v>
      </c>
      <c r="E2074" s="4" t="str">
        <f>"17415152"</f>
        <v>17415152</v>
      </c>
      <c r="F2074" s="4" t="s">
        <v>396</v>
      </c>
    </row>
    <row r="2075" spans="1:6" x14ac:dyDescent="0.25">
      <c r="A2075" s="4" t="str">
        <f>"International Journal of High Performance Computing and Networking"</f>
        <v>International Journal of High Performance Computing and Networking</v>
      </c>
      <c r="B2075" s="4" t="s">
        <v>6</v>
      </c>
      <c r="C2075" s="4" t="str">
        <f t="shared" si="81"/>
        <v>-</v>
      </c>
      <c r="D2075" s="4" t="str">
        <f>"17400562"</f>
        <v>17400562</v>
      </c>
      <c r="E2075" s="4" t="str">
        <f>"17400570"</f>
        <v>17400570</v>
      </c>
      <c r="F2075" s="4" t="s">
        <v>396</v>
      </c>
    </row>
    <row r="2076" spans="1:6" x14ac:dyDescent="0.25">
      <c r="A2076" s="4" t="str">
        <f>"International Journal of High Performance Computing Applications"</f>
        <v>International Journal of High Performance Computing Applications</v>
      </c>
      <c r="B2076" s="4" t="s">
        <v>6</v>
      </c>
      <c r="C2076" s="4" t="str">
        <f t="shared" si="81"/>
        <v>-</v>
      </c>
      <c r="D2076" s="4" t="str">
        <f>"10943420"</f>
        <v>10943420</v>
      </c>
      <c r="E2076" s="4" t="str">
        <f>"17412846"</f>
        <v>17412846</v>
      </c>
      <c r="F2076" s="4" t="s">
        <v>50</v>
      </c>
    </row>
    <row r="2077" spans="1:6" x14ac:dyDescent="0.25">
      <c r="A2077" s="4" t="str">
        <f>"International Journal of High Performance Systems Architecture"</f>
        <v>International Journal of High Performance Systems Architecture</v>
      </c>
      <c r="B2077" s="4" t="s">
        <v>6</v>
      </c>
      <c r="C2077" s="4" t="str">
        <f t="shared" ref="C2077:C2140" si="82">"-"</f>
        <v>-</v>
      </c>
      <c r="D2077" s="4" t="str">
        <f>"17516528"</f>
        <v>17516528</v>
      </c>
      <c r="E2077" s="4" t="str">
        <f>"17516536"</f>
        <v>17516536</v>
      </c>
      <c r="F2077" s="4" t="s">
        <v>396</v>
      </c>
    </row>
    <row r="2078" spans="1:6" x14ac:dyDescent="0.25">
      <c r="A2078" s="4" t="str">
        <f>"International Journal of High Speed Electronics and Systems"</f>
        <v>International Journal of High Speed Electronics and Systems</v>
      </c>
      <c r="B2078" s="4" t="s">
        <v>6</v>
      </c>
      <c r="C2078" s="4" t="str">
        <f t="shared" si="82"/>
        <v>-</v>
      </c>
      <c r="D2078" s="4" t="str">
        <f>"01291564"</f>
        <v>01291564</v>
      </c>
      <c r="E2078" s="4" t="str">
        <f>"-"</f>
        <v>-</v>
      </c>
      <c r="F2078" s="4" t="s">
        <v>157</v>
      </c>
    </row>
    <row r="2079" spans="1:6" x14ac:dyDescent="0.25">
      <c r="A2079" s="4" t="str">
        <f>"International Journal of Human Computer Studies"</f>
        <v>International Journal of Human Computer Studies</v>
      </c>
      <c r="B2079" s="4" t="s">
        <v>6</v>
      </c>
      <c r="C2079" s="4" t="str">
        <f t="shared" si="82"/>
        <v>-</v>
      </c>
      <c r="D2079" s="4" t="str">
        <f>"10715819"</f>
        <v>10715819</v>
      </c>
      <c r="E2079" s="4" t="str">
        <f>"10959300"</f>
        <v>10959300</v>
      </c>
      <c r="F2079" s="4" t="s">
        <v>193</v>
      </c>
    </row>
    <row r="2080" spans="1:6" x14ac:dyDescent="0.25">
      <c r="A2080" s="4" t="str">
        <f>"International Journal of Human-Computer Interaction"</f>
        <v>International Journal of Human-Computer Interaction</v>
      </c>
      <c r="B2080" s="4" t="s">
        <v>6</v>
      </c>
      <c r="C2080" s="4" t="str">
        <f t="shared" si="82"/>
        <v>-</v>
      </c>
      <c r="D2080" s="4" t="str">
        <f>"10447318"</f>
        <v>10447318</v>
      </c>
      <c r="E2080" s="4" t="str">
        <f>"15327590"</f>
        <v>15327590</v>
      </c>
      <c r="F2080" s="4" t="s">
        <v>96</v>
      </c>
    </row>
    <row r="2081" spans="1:6" x14ac:dyDescent="0.25">
      <c r="A2081" s="4" t="str">
        <f>"International Journal of Humanoid Robotics"</f>
        <v>International Journal of Humanoid Robotics</v>
      </c>
      <c r="B2081" s="4" t="s">
        <v>6</v>
      </c>
      <c r="C2081" s="4" t="str">
        <f t="shared" si="82"/>
        <v>-</v>
      </c>
      <c r="D2081" s="4" t="str">
        <f>"02198436"</f>
        <v>02198436</v>
      </c>
      <c r="E2081" s="4" t="str">
        <f>"-"</f>
        <v>-</v>
      </c>
      <c r="F2081" s="4" t="s">
        <v>157</v>
      </c>
    </row>
    <row r="2082" spans="1:6" x14ac:dyDescent="0.25">
      <c r="A2082" s="4" t="str">
        <f>"International Journal of Hybrid Information Technology"</f>
        <v>International Journal of Hybrid Information Technology</v>
      </c>
      <c r="B2082" s="4" t="s">
        <v>6</v>
      </c>
      <c r="C2082" s="4" t="str">
        <f t="shared" si="82"/>
        <v>-</v>
      </c>
      <c r="D2082" s="4" t="str">
        <f>"17389968"</f>
        <v>17389968</v>
      </c>
      <c r="E2082" s="4" t="str">
        <f>"-"</f>
        <v>-</v>
      </c>
      <c r="F2082" s="4" t="s">
        <v>572</v>
      </c>
    </row>
    <row r="2083" spans="1:6" x14ac:dyDescent="0.25">
      <c r="A2083" s="4" t="str">
        <f>"International Journal of Hydrogen Energy"</f>
        <v>International Journal of Hydrogen Energy</v>
      </c>
      <c r="B2083" s="4" t="s">
        <v>6</v>
      </c>
      <c r="C2083" s="4" t="str">
        <f t="shared" si="82"/>
        <v>-</v>
      </c>
      <c r="D2083" s="4" t="str">
        <f>"03603199"</f>
        <v>03603199</v>
      </c>
      <c r="E2083" s="4" t="str">
        <f>"-"</f>
        <v>-</v>
      </c>
      <c r="F2083" s="4" t="s">
        <v>19</v>
      </c>
    </row>
    <row r="2084" spans="1:6" x14ac:dyDescent="0.25">
      <c r="A2084" s="4" t="str">
        <f>"International Journal of Imaging Systems and Technology"</f>
        <v>International Journal of Imaging Systems and Technology</v>
      </c>
      <c r="B2084" s="4" t="s">
        <v>6</v>
      </c>
      <c r="C2084" s="4" t="str">
        <f t="shared" si="82"/>
        <v>-</v>
      </c>
      <c r="D2084" s="4" t="str">
        <f>"08999457"</f>
        <v>08999457</v>
      </c>
      <c r="E2084" s="4" t="str">
        <f>"10981098"</f>
        <v>10981098</v>
      </c>
      <c r="F2084" s="4" t="s">
        <v>87</v>
      </c>
    </row>
    <row r="2085" spans="1:6" x14ac:dyDescent="0.25">
      <c r="A2085" s="4" t="str">
        <f>"International Journal of Impact Engineering"</f>
        <v>International Journal of Impact Engineering</v>
      </c>
      <c r="B2085" s="4" t="s">
        <v>6</v>
      </c>
      <c r="C2085" s="4" t="str">
        <f t="shared" si="82"/>
        <v>-</v>
      </c>
      <c r="D2085" s="4" t="str">
        <f>"0734743X"</f>
        <v>0734743X</v>
      </c>
      <c r="E2085" s="4" t="str">
        <f>"-"</f>
        <v>-</v>
      </c>
      <c r="F2085" s="4" t="s">
        <v>19</v>
      </c>
    </row>
    <row r="2086" spans="1:6" x14ac:dyDescent="0.25">
      <c r="A2086" s="4" t="str">
        <f>"International Journal of Industrial and Systems Engineering"</f>
        <v>International Journal of Industrial and Systems Engineering</v>
      </c>
      <c r="B2086" s="4" t="s">
        <v>6</v>
      </c>
      <c r="C2086" s="4" t="str">
        <f t="shared" si="82"/>
        <v>-</v>
      </c>
      <c r="D2086" s="4" t="str">
        <f>"17485037"</f>
        <v>17485037</v>
      </c>
      <c r="E2086" s="4" t="str">
        <f>"17485045"</f>
        <v>17485045</v>
      </c>
      <c r="F2086" s="4" t="s">
        <v>396</v>
      </c>
    </row>
    <row r="2087" spans="1:6" x14ac:dyDescent="0.25">
      <c r="A2087" s="4" t="str">
        <f>"International Journal of Industrial Engineering : Theory Applications and Practice"</f>
        <v>International Journal of Industrial Engineering : Theory Applications and Practice</v>
      </c>
      <c r="B2087" s="4" t="s">
        <v>6</v>
      </c>
      <c r="C2087" s="4" t="str">
        <f t="shared" si="82"/>
        <v>-</v>
      </c>
      <c r="D2087" s="4" t="str">
        <f>"10724761"</f>
        <v>10724761</v>
      </c>
      <c r="E2087" s="4" t="str">
        <f>"-"</f>
        <v>-</v>
      </c>
      <c r="F2087" s="4" t="s">
        <v>586</v>
      </c>
    </row>
    <row r="2088" spans="1:6" x14ac:dyDescent="0.25">
      <c r="A2088" s="4" t="str">
        <f>"International Journal of Industrial Ergonomics"</f>
        <v>International Journal of Industrial Ergonomics</v>
      </c>
      <c r="B2088" s="4" t="s">
        <v>6</v>
      </c>
      <c r="C2088" s="4" t="str">
        <f t="shared" si="82"/>
        <v>-</v>
      </c>
      <c r="D2088" s="4" t="str">
        <f>"01698141"</f>
        <v>01698141</v>
      </c>
      <c r="E2088" s="4" t="str">
        <f>"18728219"</f>
        <v>18728219</v>
      </c>
      <c r="F2088" s="4" t="s">
        <v>55</v>
      </c>
    </row>
    <row r="2089" spans="1:6" x14ac:dyDescent="0.25">
      <c r="A2089" s="4" t="str">
        <f>"International Journal of Industrial Organization"</f>
        <v>International Journal of Industrial Organization</v>
      </c>
      <c r="B2089" s="4" t="s">
        <v>6</v>
      </c>
      <c r="C2089" s="4" t="str">
        <f t="shared" si="82"/>
        <v>-</v>
      </c>
      <c r="D2089" s="4" t="str">
        <f>"01677187"</f>
        <v>01677187</v>
      </c>
      <c r="E2089" s="4" t="str">
        <f>"-"</f>
        <v>-</v>
      </c>
      <c r="F2089" s="4" t="s">
        <v>141</v>
      </c>
    </row>
    <row r="2090" spans="1:6" x14ac:dyDescent="0.25">
      <c r="A2090" s="4" t="str">
        <f>"International Journal of Information and Communication Technology"</f>
        <v>International Journal of Information and Communication Technology</v>
      </c>
      <c r="B2090" s="4" t="s">
        <v>6</v>
      </c>
      <c r="C2090" s="4" t="str">
        <f t="shared" si="82"/>
        <v>-</v>
      </c>
      <c r="D2090" s="4" t="str">
        <f>"14666642"</f>
        <v>14666642</v>
      </c>
      <c r="E2090" s="4" t="str">
        <f>"17418070"</f>
        <v>17418070</v>
      </c>
      <c r="F2090" s="4" t="s">
        <v>396</v>
      </c>
    </row>
    <row r="2091" spans="1:6" x14ac:dyDescent="0.25">
      <c r="A2091" s="4" t="str">
        <f>"International Journal of Information and Communication Technology Education"</f>
        <v>International Journal of Information and Communication Technology Education</v>
      </c>
      <c r="B2091" s="4" t="s">
        <v>6</v>
      </c>
      <c r="C2091" s="4" t="str">
        <f t="shared" si="82"/>
        <v>-</v>
      </c>
      <c r="D2091" s="4" t="str">
        <f>"15501876"</f>
        <v>15501876</v>
      </c>
      <c r="E2091" s="4" t="str">
        <f>"15501337"</f>
        <v>15501337</v>
      </c>
      <c r="F2091" s="4" t="s">
        <v>537</v>
      </c>
    </row>
    <row r="2092" spans="1:6" x14ac:dyDescent="0.25">
      <c r="A2092" s="4" t="str">
        <f>"International Journal of Information and Computer Security"</f>
        <v>International Journal of Information and Computer Security</v>
      </c>
      <c r="B2092" s="4" t="s">
        <v>6</v>
      </c>
      <c r="C2092" s="4" t="str">
        <f t="shared" si="82"/>
        <v>-</v>
      </c>
      <c r="D2092" s="4" t="str">
        <f>"17441765"</f>
        <v>17441765</v>
      </c>
      <c r="E2092" s="4" t="str">
        <f>"17441773"</f>
        <v>17441773</v>
      </c>
      <c r="F2092" s="4" t="s">
        <v>396</v>
      </c>
    </row>
    <row r="2093" spans="1:6" x14ac:dyDescent="0.25">
      <c r="A2093" s="4" t="str">
        <f>"International Journal of Information and Management Sciences"</f>
        <v>International Journal of Information and Management Sciences</v>
      </c>
      <c r="B2093" s="4" t="s">
        <v>6</v>
      </c>
      <c r="C2093" s="4" t="str">
        <f t="shared" si="82"/>
        <v>-</v>
      </c>
      <c r="D2093" s="4" t="str">
        <f>"10171819"</f>
        <v>10171819</v>
      </c>
      <c r="E2093" s="4" t="str">
        <f>"-"</f>
        <v>-</v>
      </c>
      <c r="F2093" s="4" t="s">
        <v>587</v>
      </c>
    </row>
    <row r="2094" spans="1:6" x14ac:dyDescent="0.25">
      <c r="A2094" s="4" t="str">
        <f>"International Journal of Information Management"</f>
        <v>International Journal of Information Management</v>
      </c>
      <c r="B2094" s="4" t="s">
        <v>6</v>
      </c>
      <c r="C2094" s="4" t="str">
        <f t="shared" si="82"/>
        <v>-</v>
      </c>
      <c r="D2094" s="4" t="str">
        <f>"02684012"</f>
        <v>02684012</v>
      </c>
      <c r="E2094" s="4" t="str">
        <f>"-"</f>
        <v>-</v>
      </c>
      <c r="F2094" s="4" t="s">
        <v>19</v>
      </c>
    </row>
    <row r="2095" spans="1:6" x14ac:dyDescent="0.25">
      <c r="A2095" s="4" t="str">
        <f>"International Journal of Information Quality"</f>
        <v>International Journal of Information Quality</v>
      </c>
      <c r="B2095" s="4" t="s">
        <v>6</v>
      </c>
      <c r="C2095" s="4" t="str">
        <f t="shared" si="82"/>
        <v>-</v>
      </c>
      <c r="D2095" s="4" t="str">
        <f>"17510457"</f>
        <v>17510457</v>
      </c>
      <c r="E2095" s="4" t="str">
        <f>"17510465"</f>
        <v>17510465</v>
      </c>
      <c r="F2095" s="4" t="s">
        <v>396</v>
      </c>
    </row>
    <row r="2096" spans="1:6" x14ac:dyDescent="0.25">
      <c r="A2096" s="4" t="str">
        <f>"International Journal of Information Security"</f>
        <v>International Journal of Information Security</v>
      </c>
      <c r="B2096" s="4" t="s">
        <v>6</v>
      </c>
      <c r="C2096" s="4" t="str">
        <f t="shared" si="82"/>
        <v>-</v>
      </c>
      <c r="D2096" s="4" t="str">
        <f>"16155262"</f>
        <v>16155262</v>
      </c>
      <c r="E2096" s="4" t="str">
        <f>"16155270"</f>
        <v>16155270</v>
      </c>
      <c r="F2096" s="4" t="s">
        <v>42</v>
      </c>
    </row>
    <row r="2097" spans="1:6" x14ac:dyDescent="0.25">
      <c r="A2097" s="4" t="str">
        <f>"International Journal of Information Security and Privacy"</f>
        <v>International Journal of Information Security and Privacy</v>
      </c>
      <c r="B2097" s="4" t="s">
        <v>6</v>
      </c>
      <c r="C2097" s="4" t="str">
        <f t="shared" si="82"/>
        <v>-</v>
      </c>
      <c r="D2097" s="4" t="str">
        <f>"19301650"</f>
        <v>19301650</v>
      </c>
      <c r="E2097" s="4" t="str">
        <f>"19301669"</f>
        <v>19301669</v>
      </c>
      <c r="F2097" s="4" t="s">
        <v>537</v>
      </c>
    </row>
    <row r="2098" spans="1:6" x14ac:dyDescent="0.25">
      <c r="A2098" s="4" t="str">
        <f>"International Journal of Information System Modeling and Design"</f>
        <v>International Journal of Information System Modeling and Design</v>
      </c>
      <c r="B2098" s="4" t="s">
        <v>6</v>
      </c>
      <c r="C2098" s="4" t="str">
        <f t="shared" si="82"/>
        <v>-</v>
      </c>
      <c r="D2098" s="4" t="str">
        <f>"19478186"</f>
        <v>19478186</v>
      </c>
      <c r="E2098" s="4" t="str">
        <f>"19478194"</f>
        <v>19478194</v>
      </c>
      <c r="F2098" s="4" t="s">
        <v>537</v>
      </c>
    </row>
    <row r="2099" spans="1:6" x14ac:dyDescent="0.25">
      <c r="A2099" s="4" t="str">
        <f>"International Journal of Information Systems and Change Management"</f>
        <v>International Journal of Information Systems and Change Management</v>
      </c>
      <c r="B2099" s="4" t="s">
        <v>6</v>
      </c>
      <c r="C2099" s="4" t="str">
        <f t="shared" si="82"/>
        <v>-</v>
      </c>
      <c r="D2099" s="4" t="str">
        <f>"14793121"</f>
        <v>14793121</v>
      </c>
      <c r="E2099" s="4" t="str">
        <f>"1479313X"</f>
        <v>1479313X</v>
      </c>
      <c r="F2099" s="4" t="s">
        <v>396</v>
      </c>
    </row>
    <row r="2100" spans="1:6" x14ac:dyDescent="0.25">
      <c r="A2100" s="4" t="str">
        <f>"International Journal of Information Systems and Supply Chain Management"</f>
        <v>International Journal of Information Systems and Supply Chain Management</v>
      </c>
      <c r="B2100" s="4" t="s">
        <v>6</v>
      </c>
      <c r="C2100" s="4" t="str">
        <f t="shared" si="82"/>
        <v>-</v>
      </c>
      <c r="D2100" s="4" t="str">
        <f>"19355726"</f>
        <v>19355726</v>
      </c>
      <c r="E2100" s="4" t="str">
        <f>"19355734"</f>
        <v>19355734</v>
      </c>
      <c r="F2100" s="4" t="s">
        <v>537</v>
      </c>
    </row>
    <row r="2101" spans="1:6" x14ac:dyDescent="0.25">
      <c r="A2101" s="4" t="str">
        <f>"International Journal of Information Technologies and Systems Approach"</f>
        <v>International Journal of Information Technologies and Systems Approach</v>
      </c>
      <c r="B2101" s="4" t="s">
        <v>6</v>
      </c>
      <c r="C2101" s="4" t="str">
        <f t="shared" si="82"/>
        <v>-</v>
      </c>
      <c r="D2101" s="4" t="str">
        <f>"1935570X"</f>
        <v>1935570X</v>
      </c>
      <c r="E2101" s="4" t="str">
        <f>"19355718"</f>
        <v>19355718</v>
      </c>
      <c r="F2101" s="4" t="s">
        <v>537</v>
      </c>
    </row>
    <row r="2102" spans="1:6" x14ac:dyDescent="0.25">
      <c r="A2102" s="4" t="str">
        <f>"International Journal of Information Technology and Management"</f>
        <v>International Journal of Information Technology and Management</v>
      </c>
      <c r="B2102" s="4" t="s">
        <v>6</v>
      </c>
      <c r="C2102" s="4" t="str">
        <f t="shared" si="82"/>
        <v>-</v>
      </c>
      <c r="D2102" s="4" t="str">
        <f>"14614111"</f>
        <v>14614111</v>
      </c>
      <c r="E2102" s="4" t="str">
        <f>"-"</f>
        <v>-</v>
      </c>
      <c r="F2102" s="4" t="s">
        <v>396</v>
      </c>
    </row>
    <row r="2103" spans="1:6" x14ac:dyDescent="0.25">
      <c r="A2103" s="4" t="str">
        <f>"International Journal of Information Technology and Web Engineering"</f>
        <v>International Journal of Information Technology and Web Engineering</v>
      </c>
      <c r="B2103" s="4" t="s">
        <v>6</v>
      </c>
      <c r="C2103" s="4" t="str">
        <f t="shared" si="82"/>
        <v>-</v>
      </c>
      <c r="D2103" s="4" t="str">
        <f>"15541045"</f>
        <v>15541045</v>
      </c>
      <c r="E2103" s="4" t="str">
        <f>"15541053"</f>
        <v>15541053</v>
      </c>
      <c r="F2103" s="4" t="s">
        <v>537</v>
      </c>
    </row>
    <row r="2104" spans="1:6" x14ac:dyDescent="0.25">
      <c r="A2104" s="4" t="str">
        <f>"International Journal of Infrared and Millimeter Waves"</f>
        <v>International Journal of Infrared and Millimeter Waves</v>
      </c>
      <c r="B2104" s="4" t="s">
        <v>6</v>
      </c>
      <c r="C2104" s="4" t="str">
        <f t="shared" si="82"/>
        <v>-</v>
      </c>
      <c r="D2104" s="4" t="str">
        <f>"01959271"</f>
        <v>01959271</v>
      </c>
      <c r="E2104" s="4" t="str">
        <f>"15729559"</f>
        <v>15729559</v>
      </c>
      <c r="F2104" s="4" t="s">
        <v>57</v>
      </c>
    </row>
    <row r="2105" spans="1:6" x14ac:dyDescent="0.25">
      <c r="A2105" s="4" t="str">
        <f>"International Journal of Innovation Science"</f>
        <v>International Journal of Innovation Science</v>
      </c>
      <c r="B2105" s="4" t="s">
        <v>6</v>
      </c>
      <c r="C2105" s="4" t="str">
        <f t="shared" si="82"/>
        <v>-</v>
      </c>
      <c r="D2105" s="4" t="str">
        <f>"17572223"</f>
        <v>17572223</v>
      </c>
      <c r="E2105" s="4" t="str">
        <f>"17572231"</f>
        <v>17572231</v>
      </c>
      <c r="F2105" s="4" t="s">
        <v>58</v>
      </c>
    </row>
    <row r="2106" spans="1:6" x14ac:dyDescent="0.25">
      <c r="A2106" s="4" t="str">
        <f>"International Journal of Innovative Computing and Applications"</f>
        <v>International Journal of Innovative Computing and Applications</v>
      </c>
      <c r="B2106" s="4" t="s">
        <v>6</v>
      </c>
      <c r="C2106" s="4" t="str">
        <f t="shared" si="82"/>
        <v>-</v>
      </c>
      <c r="D2106" s="4" t="str">
        <f>"1751648X"</f>
        <v>1751648X</v>
      </c>
      <c r="E2106" s="4" t="str">
        <f>"17516498"</f>
        <v>17516498</v>
      </c>
      <c r="F2106" s="4" t="s">
        <v>396</v>
      </c>
    </row>
    <row r="2107" spans="1:6" x14ac:dyDescent="0.25">
      <c r="A2107" s="4" t="str">
        <f>"International Journal of Innovative Computing, Information and Control"</f>
        <v>International Journal of Innovative Computing, Information and Control</v>
      </c>
      <c r="B2107" s="4" t="s">
        <v>6</v>
      </c>
      <c r="C2107" s="4" t="str">
        <f t="shared" si="82"/>
        <v>-</v>
      </c>
      <c r="D2107" s="4" t="str">
        <f>"13494198"</f>
        <v>13494198</v>
      </c>
      <c r="E2107" s="4" t="str">
        <f>"-"</f>
        <v>-</v>
      </c>
      <c r="F2107" s="4" t="s">
        <v>588</v>
      </c>
    </row>
    <row r="2108" spans="1:6" x14ac:dyDescent="0.25">
      <c r="A2108" s="4" t="str">
        <f>"International Journal of Intelligent Computing and Cybernetics"</f>
        <v>International Journal of Intelligent Computing and Cybernetics</v>
      </c>
      <c r="B2108" s="4" t="s">
        <v>6</v>
      </c>
      <c r="C2108" s="4" t="str">
        <f t="shared" si="82"/>
        <v>-</v>
      </c>
      <c r="D2108" s="4" t="str">
        <f>"1756378X"</f>
        <v>1756378X</v>
      </c>
      <c r="E2108" s="4" t="str">
        <f>"17563798"</f>
        <v>17563798</v>
      </c>
      <c r="F2108" s="4" t="s">
        <v>110</v>
      </c>
    </row>
    <row r="2109" spans="1:6" x14ac:dyDescent="0.25">
      <c r="A2109" s="4" t="str">
        <f>"International Journal of Intelligent Information and Database Systems"</f>
        <v>International Journal of Intelligent Information and Database Systems</v>
      </c>
      <c r="B2109" s="4" t="s">
        <v>6</v>
      </c>
      <c r="C2109" s="4" t="str">
        <f t="shared" si="82"/>
        <v>-</v>
      </c>
      <c r="D2109" s="4" t="str">
        <f>"17515858"</f>
        <v>17515858</v>
      </c>
      <c r="E2109" s="4" t="str">
        <f>"17515866"</f>
        <v>17515866</v>
      </c>
      <c r="F2109" s="4" t="s">
        <v>396</v>
      </c>
    </row>
    <row r="2110" spans="1:6" x14ac:dyDescent="0.25">
      <c r="A2110" s="4" t="str">
        <f>"International Journal of Intelligent Information Technologies"</f>
        <v>International Journal of Intelligent Information Technologies</v>
      </c>
      <c r="B2110" s="4" t="s">
        <v>6</v>
      </c>
      <c r="C2110" s="4" t="str">
        <f t="shared" si="82"/>
        <v>-</v>
      </c>
      <c r="D2110" s="4" t="str">
        <f>"15483657"</f>
        <v>15483657</v>
      </c>
      <c r="E2110" s="4" t="str">
        <f>"15483665"</f>
        <v>15483665</v>
      </c>
      <c r="F2110" s="4" t="s">
        <v>537</v>
      </c>
    </row>
    <row r="2111" spans="1:6" x14ac:dyDescent="0.25">
      <c r="A2111" s="4" t="str">
        <f>"International Journal of Intelligent Systems"</f>
        <v>International Journal of Intelligent Systems</v>
      </c>
      <c r="B2111" s="4" t="s">
        <v>6</v>
      </c>
      <c r="C2111" s="4" t="str">
        <f t="shared" si="82"/>
        <v>-</v>
      </c>
      <c r="D2111" s="4" t="str">
        <f>"08848173"</f>
        <v>08848173</v>
      </c>
      <c r="E2111" s="4" t="str">
        <f>"1098111X"</f>
        <v>1098111X</v>
      </c>
      <c r="F2111" s="4" t="s">
        <v>142</v>
      </c>
    </row>
    <row r="2112" spans="1:6" x14ac:dyDescent="0.25">
      <c r="A2112" s="4" t="str">
        <f>"International Journal of Intelligent Systems Technologies and Applications"</f>
        <v>International Journal of Intelligent Systems Technologies and Applications</v>
      </c>
      <c r="B2112" s="4" t="s">
        <v>6</v>
      </c>
      <c r="C2112" s="4" t="str">
        <f t="shared" si="82"/>
        <v>-</v>
      </c>
      <c r="D2112" s="4" t="str">
        <f>"17408865"</f>
        <v>17408865</v>
      </c>
      <c r="E2112" s="4" t="str">
        <f>"17408873"</f>
        <v>17408873</v>
      </c>
      <c r="F2112" s="4" t="s">
        <v>396</v>
      </c>
    </row>
    <row r="2113" spans="1:6" x14ac:dyDescent="0.25">
      <c r="A2113" s="4" t="str">
        <f>"International Journal of Intelligent Transportation Systems Research"</f>
        <v>International Journal of Intelligent Transportation Systems Research</v>
      </c>
      <c r="B2113" s="4" t="s">
        <v>6</v>
      </c>
      <c r="C2113" s="4" t="str">
        <f t="shared" si="82"/>
        <v>-</v>
      </c>
      <c r="D2113" s="4" t="str">
        <f>"-"</f>
        <v>-</v>
      </c>
      <c r="E2113" s="4" t="str">
        <f>"18688659"</f>
        <v>18688659</v>
      </c>
      <c r="F2113" s="4" t="s">
        <v>57</v>
      </c>
    </row>
    <row r="2114" spans="1:6" x14ac:dyDescent="0.25">
      <c r="A2114" s="4" t="str">
        <f>"International Journal of Interdisciplinary Telecommunications and Networking"</f>
        <v>International Journal of Interdisciplinary Telecommunications and Networking</v>
      </c>
      <c r="B2114" s="4" t="s">
        <v>6</v>
      </c>
      <c r="C2114" s="4" t="str">
        <f t="shared" si="82"/>
        <v>-</v>
      </c>
      <c r="D2114" s="4" t="str">
        <f>"19418663"</f>
        <v>19418663</v>
      </c>
      <c r="E2114" s="4" t="str">
        <f>"19418671"</f>
        <v>19418671</v>
      </c>
      <c r="F2114" s="4" t="s">
        <v>537</v>
      </c>
    </row>
    <row r="2115" spans="1:6" x14ac:dyDescent="0.25">
      <c r="A2115" s="4" t="str">
        <f>"International Journal of Internet Manufacturing and Services"</f>
        <v>International Journal of Internet Manufacturing and Services</v>
      </c>
      <c r="B2115" s="4" t="s">
        <v>6</v>
      </c>
      <c r="C2115" s="4" t="str">
        <f t="shared" si="82"/>
        <v>-</v>
      </c>
      <c r="D2115" s="4" t="str">
        <f>"17516048"</f>
        <v>17516048</v>
      </c>
      <c r="E2115" s="4" t="str">
        <f>"17516056"</f>
        <v>17516056</v>
      </c>
      <c r="F2115" s="4" t="s">
        <v>396</v>
      </c>
    </row>
    <row r="2116" spans="1:6" x14ac:dyDescent="0.25">
      <c r="A2116" s="4" t="str">
        <f>"International Journal of Internet Protocol Technology"</f>
        <v>International Journal of Internet Protocol Technology</v>
      </c>
      <c r="B2116" s="4" t="s">
        <v>6</v>
      </c>
      <c r="C2116" s="4" t="str">
        <f t="shared" si="82"/>
        <v>-</v>
      </c>
      <c r="D2116" s="4" t="str">
        <f>"17438209"</f>
        <v>17438209</v>
      </c>
      <c r="E2116" s="4" t="str">
        <f>"17438217"</f>
        <v>17438217</v>
      </c>
      <c r="F2116" s="4" t="s">
        <v>396</v>
      </c>
    </row>
    <row r="2117" spans="1:6" x14ac:dyDescent="0.25">
      <c r="A2117" s="4" t="str">
        <f>"International Journal of IT Standards and Standardization Research"</f>
        <v>International Journal of IT Standards and Standardization Research</v>
      </c>
      <c r="B2117" s="4" t="s">
        <v>6</v>
      </c>
      <c r="C2117" s="4" t="str">
        <f t="shared" si="82"/>
        <v>-</v>
      </c>
      <c r="D2117" s="4" t="str">
        <f>"15393062"</f>
        <v>15393062</v>
      </c>
      <c r="E2117" s="4" t="str">
        <f>"15393054"</f>
        <v>15393054</v>
      </c>
      <c r="F2117" s="4" t="s">
        <v>537</v>
      </c>
    </row>
    <row r="2118" spans="1:6" x14ac:dyDescent="0.25">
      <c r="A2118" s="4" t="str">
        <f>"International Journal of Knowledge Management"</f>
        <v>International Journal of Knowledge Management</v>
      </c>
      <c r="B2118" s="4" t="s">
        <v>6</v>
      </c>
      <c r="C2118" s="4" t="str">
        <f t="shared" si="82"/>
        <v>-</v>
      </c>
      <c r="D2118" s="4" t="str">
        <f>"15480666"</f>
        <v>15480666</v>
      </c>
      <c r="E2118" s="4" t="str">
        <f>"15480658"</f>
        <v>15480658</v>
      </c>
      <c r="F2118" s="4" t="s">
        <v>537</v>
      </c>
    </row>
    <row r="2119" spans="1:6" x14ac:dyDescent="0.25">
      <c r="A2119" s="4" t="str">
        <f>"International Journal of Knowledge-Based and Intelligent Engineering Systems"</f>
        <v>International Journal of Knowledge-Based and Intelligent Engineering Systems</v>
      </c>
      <c r="B2119" s="4" t="s">
        <v>6</v>
      </c>
      <c r="C2119" s="4" t="str">
        <f t="shared" si="82"/>
        <v>-</v>
      </c>
      <c r="D2119" s="4" t="str">
        <f>"13272314"</f>
        <v>13272314</v>
      </c>
      <c r="E2119" s="4" t="str">
        <f>"18758827"</f>
        <v>18758827</v>
      </c>
      <c r="F2119" s="4" t="s">
        <v>103</v>
      </c>
    </row>
    <row r="2120" spans="1:6" x14ac:dyDescent="0.25">
      <c r="A2120" s="4" t="str">
        <f>"International Journal of Low-Carbon Technologies"</f>
        <v>International Journal of Low-Carbon Technologies</v>
      </c>
      <c r="B2120" s="4" t="s">
        <v>6</v>
      </c>
      <c r="C2120" s="4" t="str">
        <f t="shared" si="82"/>
        <v>-</v>
      </c>
      <c r="D2120" s="4" t="str">
        <f>"17481317"</f>
        <v>17481317</v>
      </c>
      <c r="E2120" s="4" t="str">
        <f>"17481325"</f>
        <v>17481325</v>
      </c>
      <c r="F2120" s="4" t="s">
        <v>126</v>
      </c>
    </row>
    <row r="2121" spans="1:6" x14ac:dyDescent="0.25">
      <c r="A2121" s="4" t="str">
        <f>"International Journal of Machine Consciousness"</f>
        <v>International Journal of Machine Consciousness</v>
      </c>
      <c r="B2121" s="4" t="s">
        <v>6</v>
      </c>
      <c r="C2121" s="4" t="str">
        <f t="shared" si="82"/>
        <v>-</v>
      </c>
      <c r="D2121" s="4" t="str">
        <f>"17938430"</f>
        <v>17938430</v>
      </c>
      <c r="E2121" s="4" t="str">
        <f>"17938473"</f>
        <v>17938473</v>
      </c>
      <c r="F2121" s="4" t="s">
        <v>157</v>
      </c>
    </row>
    <row r="2122" spans="1:6" x14ac:dyDescent="0.25">
      <c r="A2122" s="4" t="str">
        <f>"International Journal of Machine Learning and Cybernetics"</f>
        <v>International Journal of Machine Learning and Cybernetics</v>
      </c>
      <c r="B2122" s="4" t="s">
        <v>6</v>
      </c>
      <c r="C2122" s="4" t="str">
        <f t="shared" si="82"/>
        <v>-</v>
      </c>
      <c r="D2122" s="4" t="str">
        <f>"18688071"</f>
        <v>18688071</v>
      </c>
      <c r="E2122" s="4" t="str">
        <f>"1868808X"</f>
        <v>1868808X</v>
      </c>
      <c r="F2122" s="4" t="s">
        <v>42</v>
      </c>
    </row>
    <row r="2123" spans="1:6" x14ac:dyDescent="0.25">
      <c r="A2123" s="4" t="str">
        <f>"International Journal of Machine Tools and Manufacture"</f>
        <v>International Journal of Machine Tools and Manufacture</v>
      </c>
      <c r="B2123" s="4" t="s">
        <v>6</v>
      </c>
      <c r="C2123" s="4" t="str">
        <f t="shared" si="82"/>
        <v>-</v>
      </c>
      <c r="D2123" s="4" t="str">
        <f>"08906955"</f>
        <v>08906955</v>
      </c>
      <c r="E2123" s="4" t="str">
        <f>"-"</f>
        <v>-</v>
      </c>
      <c r="F2123" s="4" t="s">
        <v>19</v>
      </c>
    </row>
    <row r="2124" spans="1:6" x14ac:dyDescent="0.25">
      <c r="A2124" s="4" t="str">
        <f>"International Journal of Machining and Machinability of Materials"</f>
        <v>International Journal of Machining and Machinability of Materials</v>
      </c>
      <c r="B2124" s="4" t="s">
        <v>6</v>
      </c>
      <c r="C2124" s="4" t="str">
        <f t="shared" si="82"/>
        <v>-</v>
      </c>
      <c r="D2124" s="4" t="str">
        <f>"17485711"</f>
        <v>17485711</v>
      </c>
      <c r="E2124" s="4" t="str">
        <f>"1748572X"</f>
        <v>1748572X</v>
      </c>
      <c r="F2124" s="4" t="s">
        <v>396</v>
      </c>
    </row>
    <row r="2125" spans="1:6" x14ac:dyDescent="0.25">
      <c r="A2125" s="4" t="str">
        <f>"International Journal of Manufacturing Research"</f>
        <v>International Journal of Manufacturing Research</v>
      </c>
      <c r="B2125" s="4" t="s">
        <v>6</v>
      </c>
      <c r="C2125" s="4" t="str">
        <f t="shared" si="82"/>
        <v>-</v>
      </c>
      <c r="D2125" s="4" t="str">
        <f>"17500591"</f>
        <v>17500591</v>
      </c>
      <c r="E2125" s="4" t="str">
        <f>"17500605"</f>
        <v>17500605</v>
      </c>
      <c r="F2125" s="4" t="s">
        <v>396</v>
      </c>
    </row>
    <row r="2126" spans="1:6" x14ac:dyDescent="0.25">
      <c r="A2126" s="4" t="str">
        <f>"International Journal of Manufacturing Technology and Management"</f>
        <v>International Journal of Manufacturing Technology and Management</v>
      </c>
      <c r="B2126" s="4" t="s">
        <v>6</v>
      </c>
      <c r="C2126" s="4" t="str">
        <f t="shared" si="82"/>
        <v>-</v>
      </c>
      <c r="D2126" s="4" t="str">
        <f>"13682148"</f>
        <v>13682148</v>
      </c>
      <c r="E2126" s="4" t="str">
        <f>"-"</f>
        <v>-</v>
      </c>
      <c r="F2126" s="4" t="s">
        <v>396</v>
      </c>
    </row>
    <row r="2127" spans="1:6" x14ac:dyDescent="0.25">
      <c r="A2127" s="4" t="str">
        <f>"International Journal of Marine Energy"</f>
        <v>International Journal of Marine Energy</v>
      </c>
      <c r="B2127" s="4" t="s">
        <v>6</v>
      </c>
      <c r="C2127" s="4" t="str">
        <f t="shared" si="82"/>
        <v>-</v>
      </c>
      <c r="D2127" s="4" t="str">
        <f>"22141669"</f>
        <v>22141669</v>
      </c>
      <c r="E2127" s="4" t="str">
        <f>"-"</f>
        <v>-</v>
      </c>
      <c r="F2127" s="4" t="s">
        <v>19</v>
      </c>
    </row>
    <row r="2128" spans="1:6" x14ac:dyDescent="0.25">
      <c r="A2128" s="4" t="str">
        <f>"International Journal of Material Forming"</f>
        <v>International Journal of Material Forming</v>
      </c>
      <c r="B2128" s="4" t="s">
        <v>6</v>
      </c>
      <c r="C2128" s="4" t="str">
        <f t="shared" si="82"/>
        <v>-</v>
      </c>
      <c r="D2128" s="4" t="str">
        <f>"19606206"</f>
        <v>19606206</v>
      </c>
      <c r="E2128" s="4" t="str">
        <f>"19606214"</f>
        <v>19606214</v>
      </c>
      <c r="F2128" s="4" t="s">
        <v>123</v>
      </c>
    </row>
    <row r="2129" spans="1:6" x14ac:dyDescent="0.25">
      <c r="A2129" s="4" t="str">
        <f>"International Journal of Materials and Product Technology"</f>
        <v>International Journal of Materials and Product Technology</v>
      </c>
      <c r="B2129" s="4" t="s">
        <v>6</v>
      </c>
      <c r="C2129" s="4" t="str">
        <f t="shared" si="82"/>
        <v>-</v>
      </c>
      <c r="D2129" s="4" t="str">
        <f>"02681900"</f>
        <v>02681900</v>
      </c>
      <c r="E2129" s="4" t="str">
        <f>"-"</f>
        <v>-</v>
      </c>
      <c r="F2129" s="4" t="s">
        <v>396</v>
      </c>
    </row>
    <row r="2130" spans="1:6" x14ac:dyDescent="0.25">
      <c r="A2130" s="4" t="str">
        <f>"International Journal of Materials and Structural Integrity"</f>
        <v>International Journal of Materials and Structural Integrity</v>
      </c>
      <c r="B2130" s="4" t="s">
        <v>6</v>
      </c>
      <c r="C2130" s="4" t="str">
        <f t="shared" si="82"/>
        <v>-</v>
      </c>
      <c r="D2130" s="4" t="str">
        <f>"17450055"</f>
        <v>17450055</v>
      </c>
      <c r="E2130" s="4" t="str">
        <f>"17450063"</f>
        <v>17450063</v>
      </c>
      <c r="F2130" s="4" t="s">
        <v>396</v>
      </c>
    </row>
    <row r="2131" spans="1:6" x14ac:dyDescent="0.25">
      <c r="A2131" s="4" t="str">
        <f>"International Journal of Materials Research"</f>
        <v>International Journal of Materials Research</v>
      </c>
      <c r="B2131" s="4" t="s">
        <v>6</v>
      </c>
      <c r="C2131" s="4" t="str">
        <f t="shared" si="82"/>
        <v>-</v>
      </c>
      <c r="D2131" s="4" t="str">
        <f>"18625282"</f>
        <v>18625282</v>
      </c>
      <c r="E2131" s="4" t="str">
        <f>"-"</f>
        <v>-</v>
      </c>
      <c r="F2131" s="4" t="s">
        <v>490</v>
      </c>
    </row>
    <row r="2132" spans="1:6" x14ac:dyDescent="0.25">
      <c r="A2132" s="4" t="str">
        <f>"International Journal of Mechanical Engineering Education"</f>
        <v>International Journal of Mechanical Engineering Education</v>
      </c>
      <c r="B2132" s="4" t="s">
        <v>6</v>
      </c>
      <c r="C2132" s="4" t="str">
        <f t="shared" si="82"/>
        <v>-</v>
      </c>
      <c r="D2132" s="4" t="str">
        <f>"03064190"</f>
        <v>03064190</v>
      </c>
      <c r="E2132" s="4" t="str">
        <f>"20504586"</f>
        <v>20504586</v>
      </c>
      <c r="F2132" s="4" t="s">
        <v>50</v>
      </c>
    </row>
    <row r="2133" spans="1:6" x14ac:dyDescent="0.25">
      <c r="A2133" s="4" t="str">
        <f>"International Journal of Mechanical Sciences"</f>
        <v>International Journal of Mechanical Sciences</v>
      </c>
      <c r="B2133" s="4" t="s">
        <v>6</v>
      </c>
      <c r="C2133" s="4" t="str">
        <f t="shared" si="82"/>
        <v>-</v>
      </c>
      <c r="D2133" s="4" t="str">
        <f>"00207403"</f>
        <v>00207403</v>
      </c>
      <c r="E2133" s="4" t="str">
        <f>"-"</f>
        <v>-</v>
      </c>
      <c r="F2133" s="4" t="s">
        <v>19</v>
      </c>
    </row>
    <row r="2134" spans="1:6" x14ac:dyDescent="0.25">
      <c r="A2134" s="4" t="str">
        <f>"International Journal of Mechanics and Materials in Design"</f>
        <v>International Journal of Mechanics and Materials in Design</v>
      </c>
      <c r="B2134" s="4" t="s">
        <v>6</v>
      </c>
      <c r="C2134" s="4" t="str">
        <f t="shared" si="82"/>
        <v>-</v>
      </c>
      <c r="D2134" s="4" t="str">
        <f>"15691713"</f>
        <v>15691713</v>
      </c>
      <c r="E2134" s="4" t="str">
        <f>"15738841"</f>
        <v>15738841</v>
      </c>
      <c r="F2134" s="4" t="s">
        <v>31</v>
      </c>
    </row>
    <row r="2135" spans="1:6" x14ac:dyDescent="0.25">
      <c r="A2135" s="4" t="str">
        <f>"International Journal of Mechatronics and Manufacturing Systems"</f>
        <v>International Journal of Mechatronics and Manufacturing Systems</v>
      </c>
      <c r="B2135" s="4" t="s">
        <v>6</v>
      </c>
      <c r="C2135" s="4" t="str">
        <f t="shared" si="82"/>
        <v>-</v>
      </c>
      <c r="D2135" s="4" t="str">
        <f>"17531039"</f>
        <v>17531039</v>
      </c>
      <c r="E2135" s="4" t="str">
        <f>"17531047"</f>
        <v>17531047</v>
      </c>
      <c r="F2135" s="4" t="s">
        <v>396</v>
      </c>
    </row>
    <row r="2136" spans="1:6" x14ac:dyDescent="0.25">
      <c r="A2136" s="4" t="str">
        <f>"International Journal of Medical Informatics"</f>
        <v>International Journal of Medical Informatics</v>
      </c>
      <c r="B2136" s="4" t="s">
        <v>6</v>
      </c>
      <c r="C2136" s="4" t="str">
        <f t="shared" si="82"/>
        <v>-</v>
      </c>
      <c r="D2136" s="4" t="str">
        <f>"13865056"</f>
        <v>13865056</v>
      </c>
      <c r="E2136" s="4" t="str">
        <f>"18728243"</f>
        <v>18728243</v>
      </c>
      <c r="F2136" s="4" t="s">
        <v>293</v>
      </c>
    </row>
    <row r="2137" spans="1:6" x14ac:dyDescent="0.25">
      <c r="A2137" s="4" t="str">
        <f>"International Journal of Metadata, Semantics and Ontologies"</f>
        <v>International Journal of Metadata, Semantics and Ontologies</v>
      </c>
      <c r="B2137" s="4" t="s">
        <v>6</v>
      </c>
      <c r="C2137" s="4" t="str">
        <f t="shared" si="82"/>
        <v>-</v>
      </c>
      <c r="D2137" s="4" t="str">
        <f>"17442621"</f>
        <v>17442621</v>
      </c>
      <c r="E2137" s="4" t="str">
        <f>"1744263X"</f>
        <v>1744263X</v>
      </c>
      <c r="F2137" s="4" t="s">
        <v>396</v>
      </c>
    </row>
    <row r="2138" spans="1:6" x14ac:dyDescent="0.25">
      <c r="A2138" s="4" t="str">
        <f>"International Journal of Metalcasting"</f>
        <v>International Journal of Metalcasting</v>
      </c>
      <c r="B2138" s="4" t="s">
        <v>6</v>
      </c>
      <c r="C2138" s="4" t="str">
        <f t="shared" si="82"/>
        <v>-</v>
      </c>
      <c r="D2138" s="4" t="str">
        <f>"19395981"</f>
        <v>19395981</v>
      </c>
      <c r="E2138" s="4" t="str">
        <f>"-"</f>
        <v>-</v>
      </c>
      <c r="F2138" s="4" t="s">
        <v>589</v>
      </c>
    </row>
    <row r="2139" spans="1:6" x14ac:dyDescent="0.25">
      <c r="A2139" s="4" t="str">
        <f>"International Journal of Metrology and Quality Engineering"</f>
        <v>International Journal of Metrology and Quality Engineering</v>
      </c>
      <c r="B2139" s="4" t="s">
        <v>6</v>
      </c>
      <c r="C2139" s="4" t="str">
        <f t="shared" si="82"/>
        <v>-</v>
      </c>
      <c r="D2139" s="4" t="str">
        <f>"21076839"</f>
        <v>21076839</v>
      </c>
      <c r="E2139" s="4" t="str">
        <f>"21076847"</f>
        <v>21076847</v>
      </c>
      <c r="F2139" s="4" t="s">
        <v>161</v>
      </c>
    </row>
    <row r="2140" spans="1:6" x14ac:dyDescent="0.25">
      <c r="A2140" s="4" t="str">
        <f>"International Journal of Micro Air Vehicles"</f>
        <v>International Journal of Micro Air Vehicles</v>
      </c>
      <c r="B2140" s="4" t="s">
        <v>6</v>
      </c>
      <c r="C2140" s="4" t="str">
        <f t="shared" si="82"/>
        <v>-</v>
      </c>
      <c r="D2140" s="4" t="str">
        <f>"17568293"</f>
        <v>17568293</v>
      </c>
      <c r="E2140" s="4" t="str">
        <f>"-"</f>
        <v>-</v>
      </c>
      <c r="F2140" s="4" t="s">
        <v>58</v>
      </c>
    </row>
    <row r="2141" spans="1:6" x14ac:dyDescent="0.25">
      <c r="A2141" s="4" t="str">
        <f>"International Journal of Microstructure and Materials Properties"</f>
        <v>International Journal of Microstructure and Materials Properties</v>
      </c>
      <c r="B2141" s="4" t="s">
        <v>6</v>
      </c>
      <c r="C2141" s="4" t="str">
        <f t="shared" ref="C2141:C2204" si="83">"-"</f>
        <v>-</v>
      </c>
      <c r="D2141" s="4" t="str">
        <f>"17418410"</f>
        <v>17418410</v>
      </c>
      <c r="E2141" s="4" t="str">
        <f>"17418429"</f>
        <v>17418429</v>
      </c>
      <c r="F2141" s="4" t="s">
        <v>396</v>
      </c>
    </row>
    <row r="2142" spans="1:6" x14ac:dyDescent="0.25">
      <c r="A2142" s="4" t="str">
        <f>"International Journal of Microwave and Wireless Technologies"</f>
        <v>International Journal of Microwave and Wireless Technologies</v>
      </c>
      <c r="B2142" s="4" t="s">
        <v>6</v>
      </c>
      <c r="C2142" s="4" t="str">
        <f t="shared" si="83"/>
        <v>-</v>
      </c>
      <c r="D2142" s="4" t="str">
        <f>"17590787"</f>
        <v>17590787</v>
      </c>
      <c r="E2142" s="4" t="str">
        <f>"17590795"</f>
        <v>17590795</v>
      </c>
      <c r="F2142" s="4" t="s">
        <v>152</v>
      </c>
    </row>
    <row r="2143" spans="1:6" x14ac:dyDescent="0.25">
      <c r="A2143" s="4" t="str">
        <f>"International Journal of Mineral Processing"</f>
        <v>International Journal of Mineral Processing</v>
      </c>
      <c r="B2143" s="4" t="s">
        <v>6</v>
      </c>
      <c r="C2143" s="4" t="str">
        <f t="shared" si="83"/>
        <v>-</v>
      </c>
      <c r="D2143" s="4" t="str">
        <f>"03017516"</f>
        <v>03017516</v>
      </c>
      <c r="E2143" s="4" t="str">
        <f>"-"</f>
        <v>-</v>
      </c>
      <c r="F2143" s="4" t="s">
        <v>55</v>
      </c>
    </row>
    <row r="2144" spans="1:6" x14ac:dyDescent="0.25">
      <c r="A2144" s="4" t="str">
        <f>"International Journal of Minerals, Metallurgy and Materials"</f>
        <v>International Journal of Minerals, Metallurgy and Materials</v>
      </c>
      <c r="B2144" s="4" t="s">
        <v>6</v>
      </c>
      <c r="C2144" s="4" t="str">
        <f t="shared" si="83"/>
        <v>-</v>
      </c>
      <c r="D2144" s="4" t="str">
        <f>"16744799"</f>
        <v>16744799</v>
      </c>
      <c r="E2144" s="4" t="str">
        <f>"1869103X"</f>
        <v>1869103X</v>
      </c>
      <c r="F2144" s="4" t="s">
        <v>590</v>
      </c>
    </row>
    <row r="2145" spans="1:6" x14ac:dyDescent="0.25">
      <c r="A2145" s="4" t="str">
        <f>"International Journal of Mining and Mineral Engineering"</f>
        <v>International Journal of Mining and Mineral Engineering</v>
      </c>
      <c r="B2145" s="4" t="s">
        <v>6</v>
      </c>
      <c r="C2145" s="4" t="str">
        <f t="shared" si="83"/>
        <v>-</v>
      </c>
      <c r="D2145" s="4" t="str">
        <f>"1754890X"</f>
        <v>1754890X</v>
      </c>
      <c r="E2145" s="4" t="str">
        <f>"17548918"</f>
        <v>17548918</v>
      </c>
      <c r="F2145" s="4" t="s">
        <v>560</v>
      </c>
    </row>
    <row r="2146" spans="1:6" x14ac:dyDescent="0.25">
      <c r="A2146" s="4" t="str">
        <f>"International Journal of Mining Science and Technology"</f>
        <v>International Journal of Mining Science and Technology</v>
      </c>
      <c r="B2146" s="4" t="s">
        <v>6</v>
      </c>
      <c r="C2146" s="4" t="str">
        <f t="shared" si="83"/>
        <v>-</v>
      </c>
      <c r="D2146" s="4" t="str">
        <f>"20952686"</f>
        <v>20952686</v>
      </c>
      <c r="E2146" s="4" t="str">
        <f>"-"</f>
        <v>-</v>
      </c>
      <c r="F2146" s="4" t="s">
        <v>235</v>
      </c>
    </row>
    <row r="2147" spans="1:6" x14ac:dyDescent="0.25">
      <c r="A2147" s="4" t="str">
        <f>"International Journal of Mining, Reclamation and Environment"</f>
        <v>International Journal of Mining, Reclamation and Environment</v>
      </c>
      <c r="B2147" s="4" t="s">
        <v>6</v>
      </c>
      <c r="C2147" s="4" t="str">
        <f t="shared" si="83"/>
        <v>-</v>
      </c>
      <c r="D2147" s="4" t="str">
        <f>"17480930"</f>
        <v>17480930</v>
      </c>
      <c r="E2147" s="4" t="str">
        <f>"17480949"</f>
        <v>17480949</v>
      </c>
      <c r="F2147" s="4" t="s">
        <v>60</v>
      </c>
    </row>
    <row r="2148" spans="1:6" x14ac:dyDescent="0.25">
      <c r="A2148" s="4" t="str">
        <f>"International Journal of Mobile and Blended Learning"</f>
        <v>International Journal of Mobile and Blended Learning</v>
      </c>
      <c r="B2148" s="4" t="s">
        <v>6</v>
      </c>
      <c r="C2148" s="4" t="str">
        <f t="shared" si="83"/>
        <v>-</v>
      </c>
      <c r="D2148" s="4" t="str">
        <f>"19418647"</f>
        <v>19418647</v>
      </c>
      <c r="E2148" s="4" t="str">
        <f>"19418655"</f>
        <v>19418655</v>
      </c>
      <c r="F2148" s="4" t="s">
        <v>537</v>
      </c>
    </row>
    <row r="2149" spans="1:6" x14ac:dyDescent="0.25">
      <c r="A2149" s="4" t="str">
        <f>"International Journal of Mobile Communications"</f>
        <v>International Journal of Mobile Communications</v>
      </c>
      <c r="B2149" s="4" t="s">
        <v>6</v>
      </c>
      <c r="C2149" s="4" t="str">
        <f t="shared" si="83"/>
        <v>-</v>
      </c>
      <c r="D2149" s="4" t="str">
        <f>"1470949X"</f>
        <v>1470949X</v>
      </c>
      <c r="E2149" s="4" t="str">
        <f>"17415217"</f>
        <v>17415217</v>
      </c>
      <c r="F2149" s="4" t="s">
        <v>396</v>
      </c>
    </row>
    <row r="2150" spans="1:6" x14ac:dyDescent="0.25">
      <c r="A2150" s="4" t="str">
        <f>"International Journal of Mobile Computing and Multimedia Communications"</f>
        <v>International Journal of Mobile Computing and Multimedia Communications</v>
      </c>
      <c r="B2150" s="4" t="s">
        <v>6</v>
      </c>
      <c r="C2150" s="4" t="str">
        <f t="shared" si="83"/>
        <v>-</v>
      </c>
      <c r="D2150" s="4" t="str">
        <f>"19379412"</f>
        <v>19379412</v>
      </c>
      <c r="E2150" s="4" t="str">
        <f>"19379404"</f>
        <v>19379404</v>
      </c>
      <c r="F2150" s="4" t="s">
        <v>537</v>
      </c>
    </row>
    <row r="2151" spans="1:6" x14ac:dyDescent="0.25">
      <c r="A2151" s="4" t="str">
        <f>"International Journal of Mobile Human Computer Interaction"</f>
        <v>International Journal of Mobile Human Computer Interaction</v>
      </c>
      <c r="B2151" s="4" t="s">
        <v>6</v>
      </c>
      <c r="C2151" s="4" t="str">
        <f t="shared" si="83"/>
        <v>-</v>
      </c>
      <c r="D2151" s="4" t="str">
        <f>"1942390X"</f>
        <v>1942390X</v>
      </c>
      <c r="E2151" s="4" t="str">
        <f>"19423918"</f>
        <v>19423918</v>
      </c>
      <c r="F2151" s="4" t="s">
        <v>537</v>
      </c>
    </row>
    <row r="2152" spans="1:6" x14ac:dyDescent="0.25">
      <c r="A2152" s="4" t="str">
        <f>"International Journal of Mobile Network Design and Innovation"</f>
        <v>International Journal of Mobile Network Design and Innovation</v>
      </c>
      <c r="B2152" s="4" t="s">
        <v>6</v>
      </c>
      <c r="C2152" s="4" t="str">
        <f t="shared" si="83"/>
        <v>-</v>
      </c>
      <c r="D2152" s="4" t="str">
        <f>"17442869"</f>
        <v>17442869</v>
      </c>
      <c r="E2152" s="4" t="str">
        <f>"17442850"</f>
        <v>17442850</v>
      </c>
      <c r="F2152" s="4" t="s">
        <v>396</v>
      </c>
    </row>
    <row r="2153" spans="1:6" x14ac:dyDescent="0.25">
      <c r="A2153" s="4" t="str">
        <f>"International Journal of Modeling, Simulation, and Scientific Computing"</f>
        <v>International Journal of Modeling, Simulation, and Scientific Computing</v>
      </c>
      <c r="B2153" s="4" t="s">
        <v>6</v>
      </c>
      <c r="C2153" s="4" t="str">
        <f t="shared" si="83"/>
        <v>-</v>
      </c>
      <c r="D2153" s="4" t="str">
        <f>"17939623"</f>
        <v>17939623</v>
      </c>
      <c r="E2153" s="4" t="str">
        <f>"17939615"</f>
        <v>17939615</v>
      </c>
      <c r="F2153" s="4" t="s">
        <v>157</v>
      </c>
    </row>
    <row r="2154" spans="1:6" x14ac:dyDescent="0.25">
      <c r="A2154" s="4" t="str">
        <f>"International Journal of Modelling and Simulation"</f>
        <v>International Journal of Modelling and Simulation</v>
      </c>
      <c r="B2154" s="4" t="s">
        <v>6</v>
      </c>
      <c r="C2154" s="4" t="str">
        <f t="shared" si="83"/>
        <v>-</v>
      </c>
      <c r="D2154" s="4" t="str">
        <f>"02286203"</f>
        <v>02286203</v>
      </c>
      <c r="E2154" s="4" t="str">
        <f>"-"</f>
        <v>-</v>
      </c>
      <c r="F2154" s="4" t="s">
        <v>305</v>
      </c>
    </row>
    <row r="2155" spans="1:6" x14ac:dyDescent="0.25">
      <c r="A2155" s="4" t="str">
        <f>"International Journal of Modelling, Identification and Control"</f>
        <v>International Journal of Modelling, Identification and Control</v>
      </c>
      <c r="B2155" s="4" t="s">
        <v>6</v>
      </c>
      <c r="C2155" s="4" t="str">
        <f t="shared" si="83"/>
        <v>-</v>
      </c>
      <c r="D2155" s="4" t="str">
        <f>"17466172"</f>
        <v>17466172</v>
      </c>
      <c r="E2155" s="4" t="str">
        <f>"17466180"</f>
        <v>17466180</v>
      </c>
      <c r="F2155" s="4" t="s">
        <v>396</v>
      </c>
    </row>
    <row r="2156" spans="1:6" x14ac:dyDescent="0.25">
      <c r="A2156" s="4" t="str">
        <f>"International Journal of Multimedia and Ubiquitous Engineering"</f>
        <v>International Journal of Multimedia and Ubiquitous Engineering</v>
      </c>
      <c r="B2156" s="4" t="s">
        <v>6</v>
      </c>
      <c r="C2156" s="4" t="str">
        <f t="shared" si="83"/>
        <v>-</v>
      </c>
      <c r="D2156" s="4" t="str">
        <f>"19750080"</f>
        <v>19750080</v>
      </c>
      <c r="E2156" s="4" t="str">
        <f>"-"</f>
        <v>-</v>
      </c>
      <c r="F2156" s="4" t="s">
        <v>572</v>
      </c>
    </row>
    <row r="2157" spans="1:6" x14ac:dyDescent="0.25">
      <c r="A2157" s="4" t="str">
        <f>"International Journal of Multiphase Flow"</f>
        <v>International Journal of Multiphase Flow</v>
      </c>
      <c r="B2157" s="4" t="s">
        <v>6</v>
      </c>
      <c r="C2157" s="4" t="str">
        <f t="shared" si="83"/>
        <v>-</v>
      </c>
      <c r="D2157" s="4" t="str">
        <f>"03019322"</f>
        <v>03019322</v>
      </c>
      <c r="E2157" s="4" t="str">
        <f>"-"</f>
        <v>-</v>
      </c>
      <c r="F2157" s="4" t="s">
        <v>19</v>
      </c>
    </row>
    <row r="2158" spans="1:6" x14ac:dyDescent="0.25">
      <c r="A2158" s="4" t="str">
        <f>"International Journal of Multiphysics"</f>
        <v>International Journal of Multiphysics</v>
      </c>
      <c r="B2158" s="4" t="s">
        <v>6</v>
      </c>
      <c r="C2158" s="4" t="str">
        <f t="shared" si="83"/>
        <v>-</v>
      </c>
      <c r="D2158" s="4" t="str">
        <f>"17509548"</f>
        <v>17509548</v>
      </c>
      <c r="E2158" s="4" t="str">
        <f>"-"</f>
        <v>-</v>
      </c>
      <c r="F2158" s="4" t="s">
        <v>58</v>
      </c>
    </row>
    <row r="2159" spans="1:6" x14ac:dyDescent="0.25">
      <c r="A2159" s="4" t="str">
        <f>"International Journal of Nano and Biomaterials"</f>
        <v>International Journal of Nano and Biomaterials</v>
      </c>
      <c r="B2159" s="4" t="s">
        <v>6</v>
      </c>
      <c r="C2159" s="4" t="str">
        <f t="shared" si="83"/>
        <v>-</v>
      </c>
      <c r="D2159" s="4" t="str">
        <f>"17528933"</f>
        <v>17528933</v>
      </c>
      <c r="E2159" s="4" t="str">
        <f>"17528941"</f>
        <v>17528941</v>
      </c>
      <c r="F2159" s="4" t="s">
        <v>396</v>
      </c>
    </row>
    <row r="2160" spans="1:6" x14ac:dyDescent="0.25">
      <c r="A2160" s="4" t="str">
        <f>"International Journal of Nanomanufacturing"</f>
        <v>International Journal of Nanomanufacturing</v>
      </c>
      <c r="B2160" s="4" t="s">
        <v>6</v>
      </c>
      <c r="C2160" s="4" t="str">
        <f t="shared" si="83"/>
        <v>-</v>
      </c>
      <c r="D2160" s="4" t="str">
        <f>"17469392"</f>
        <v>17469392</v>
      </c>
      <c r="E2160" s="4" t="str">
        <f>"17469406"</f>
        <v>17469406</v>
      </c>
      <c r="F2160" s="4" t="s">
        <v>396</v>
      </c>
    </row>
    <row r="2161" spans="1:6" x14ac:dyDescent="0.25">
      <c r="A2161" s="4" t="str">
        <f>"International Journal of Nanomechanics Science and Technology"</f>
        <v>International Journal of Nanomechanics Science and Technology</v>
      </c>
      <c r="B2161" s="4" t="s">
        <v>6</v>
      </c>
      <c r="C2161" s="4" t="str">
        <f t="shared" si="83"/>
        <v>-</v>
      </c>
      <c r="D2161" s="4" t="str">
        <f>"19475748"</f>
        <v>19475748</v>
      </c>
      <c r="E2161" s="4" t="str">
        <f>"19475756"</f>
        <v>19475756</v>
      </c>
      <c r="F2161" s="4" t="s">
        <v>69</v>
      </c>
    </row>
    <row r="2162" spans="1:6" x14ac:dyDescent="0.25">
      <c r="A2162" s="4" t="str">
        <f>"International Journal of Nanoscience"</f>
        <v>International Journal of Nanoscience</v>
      </c>
      <c r="B2162" s="4" t="s">
        <v>6</v>
      </c>
      <c r="C2162" s="4" t="str">
        <f t="shared" si="83"/>
        <v>-</v>
      </c>
      <c r="D2162" s="4" t="str">
        <f>"0219581X"</f>
        <v>0219581X</v>
      </c>
      <c r="E2162" s="4" t="str">
        <f>"-"</f>
        <v>-</v>
      </c>
      <c r="F2162" s="4" t="s">
        <v>157</v>
      </c>
    </row>
    <row r="2163" spans="1:6" x14ac:dyDescent="0.25">
      <c r="A2163" s="4" t="str">
        <f>"International Journal of Nanotechnology"</f>
        <v>International Journal of Nanotechnology</v>
      </c>
      <c r="B2163" s="4" t="s">
        <v>6</v>
      </c>
      <c r="C2163" s="4" t="str">
        <f t="shared" si="83"/>
        <v>-</v>
      </c>
      <c r="D2163" s="4" t="str">
        <f>"14757435"</f>
        <v>14757435</v>
      </c>
      <c r="E2163" s="4" t="str">
        <f>"-"</f>
        <v>-</v>
      </c>
      <c r="F2163" s="4" t="s">
        <v>396</v>
      </c>
    </row>
    <row r="2164" spans="1:6" x14ac:dyDescent="0.25">
      <c r="A2164" s="4" t="str">
        <f>"International Journal of Naval Architecture and Ocean Engineering"</f>
        <v>International Journal of Naval Architecture and Ocean Engineering</v>
      </c>
      <c r="B2164" s="4" t="s">
        <v>6</v>
      </c>
      <c r="C2164" s="4" t="str">
        <f t="shared" si="83"/>
        <v>-</v>
      </c>
      <c r="D2164" s="4" t="str">
        <f>"20926782"</f>
        <v>20926782</v>
      </c>
      <c r="E2164" s="4" t="str">
        <f>"20926790"</f>
        <v>20926790</v>
      </c>
      <c r="F2164" s="4" t="s">
        <v>591</v>
      </c>
    </row>
    <row r="2165" spans="1:6" x14ac:dyDescent="0.25">
      <c r="A2165" s="4" t="str">
        <f>"International Journal of Network Management"</f>
        <v>International Journal of Network Management</v>
      </c>
      <c r="B2165" s="4" t="s">
        <v>6</v>
      </c>
      <c r="C2165" s="4" t="str">
        <f t="shared" si="83"/>
        <v>-</v>
      </c>
      <c r="D2165" s="4" t="str">
        <f>"10557148"</f>
        <v>10557148</v>
      </c>
      <c r="E2165" s="4" t="str">
        <f>"10991190"</f>
        <v>10991190</v>
      </c>
      <c r="F2165" s="4" t="s">
        <v>142</v>
      </c>
    </row>
    <row r="2166" spans="1:6" x14ac:dyDescent="0.25">
      <c r="A2166" s="4" t="str">
        <f>"International Journal of Network Security"</f>
        <v>International Journal of Network Security</v>
      </c>
      <c r="B2166" s="4" t="s">
        <v>6</v>
      </c>
      <c r="C2166" s="4" t="str">
        <f t="shared" si="83"/>
        <v>-</v>
      </c>
      <c r="D2166" s="4" t="str">
        <f>"1816353X"</f>
        <v>1816353X</v>
      </c>
      <c r="E2166" s="4" t="str">
        <f>"18163548"</f>
        <v>18163548</v>
      </c>
      <c r="F2166" s="4" t="s">
        <v>592</v>
      </c>
    </row>
    <row r="2167" spans="1:6" x14ac:dyDescent="0.25">
      <c r="A2167" s="4" t="str">
        <f>"International Journal of Networking and Virtual Organisations"</f>
        <v>International Journal of Networking and Virtual Organisations</v>
      </c>
      <c r="B2167" s="4" t="s">
        <v>6</v>
      </c>
      <c r="C2167" s="4" t="str">
        <f t="shared" si="83"/>
        <v>-</v>
      </c>
      <c r="D2167" s="4" t="str">
        <f>"14709503"</f>
        <v>14709503</v>
      </c>
      <c r="E2167" s="4" t="str">
        <f>"-"</f>
        <v>-</v>
      </c>
      <c r="F2167" s="4" t="s">
        <v>396</v>
      </c>
    </row>
    <row r="2168" spans="1:6" x14ac:dyDescent="0.25">
      <c r="A2168" s="4" t="str">
        <f>"International Journal of Neural Systems"</f>
        <v>International Journal of Neural Systems</v>
      </c>
      <c r="B2168" s="4" t="s">
        <v>6</v>
      </c>
      <c r="C2168" s="4" t="str">
        <f t="shared" si="83"/>
        <v>-</v>
      </c>
      <c r="D2168" s="4" t="str">
        <f>"01290657"</f>
        <v>01290657</v>
      </c>
      <c r="E2168" s="4" t="str">
        <f>"-"</f>
        <v>-</v>
      </c>
      <c r="F2168" s="4" t="s">
        <v>157</v>
      </c>
    </row>
    <row r="2169" spans="1:6" x14ac:dyDescent="0.25">
      <c r="A2169" s="4" t="str">
        <f>"International Journal of Non-Equilibrium Processing"</f>
        <v>International Journal of Non-Equilibrium Processing</v>
      </c>
      <c r="B2169" s="4" t="s">
        <v>6</v>
      </c>
      <c r="C2169" s="4" t="str">
        <f t="shared" si="83"/>
        <v>-</v>
      </c>
      <c r="D2169" s="4" t="str">
        <f>"13689290"</f>
        <v>13689290</v>
      </c>
      <c r="E2169" s="4" t="str">
        <f>"-"</f>
        <v>-</v>
      </c>
      <c r="F2169" s="4" t="s">
        <v>593</v>
      </c>
    </row>
    <row r="2170" spans="1:6" x14ac:dyDescent="0.25">
      <c r="A2170" s="4" t="str">
        <f>"International Journal of Non-Linear Mechanics"</f>
        <v>International Journal of Non-Linear Mechanics</v>
      </c>
      <c r="B2170" s="4" t="s">
        <v>6</v>
      </c>
      <c r="C2170" s="4" t="str">
        <f t="shared" si="83"/>
        <v>-</v>
      </c>
      <c r="D2170" s="4" t="str">
        <f>"00207462"</f>
        <v>00207462</v>
      </c>
      <c r="E2170" s="4" t="str">
        <f>"-"</f>
        <v>-</v>
      </c>
      <c r="F2170" s="4" t="s">
        <v>19</v>
      </c>
    </row>
    <row r="2171" spans="1:6" x14ac:dyDescent="0.25">
      <c r="A2171" s="4" t="str">
        <f>"International Journal of Nuclear Desalination"</f>
        <v>International Journal of Nuclear Desalination</v>
      </c>
      <c r="B2171" s="4" t="s">
        <v>6</v>
      </c>
      <c r="C2171" s="4" t="str">
        <f t="shared" si="83"/>
        <v>-</v>
      </c>
      <c r="D2171" s="4" t="str">
        <f>"1476914X"</f>
        <v>1476914X</v>
      </c>
      <c r="E2171" s="4" t="str">
        <f>"17419204"</f>
        <v>17419204</v>
      </c>
      <c r="F2171" s="4" t="s">
        <v>396</v>
      </c>
    </row>
    <row r="2172" spans="1:6" x14ac:dyDescent="0.25">
      <c r="A2172" s="4" t="str">
        <f>"International Journal of Nuclear Energy Science and Technology"</f>
        <v>International Journal of Nuclear Energy Science and Technology</v>
      </c>
      <c r="B2172" s="4" t="s">
        <v>6</v>
      </c>
      <c r="C2172" s="4" t="str">
        <f t="shared" si="83"/>
        <v>-</v>
      </c>
      <c r="D2172" s="4" t="str">
        <f>"17416361"</f>
        <v>17416361</v>
      </c>
      <c r="E2172" s="4" t="str">
        <f>"1741637X"</f>
        <v>1741637X</v>
      </c>
      <c r="F2172" s="4" t="s">
        <v>396</v>
      </c>
    </row>
    <row r="2173" spans="1:6" x14ac:dyDescent="0.25">
      <c r="A2173" s="4" t="str">
        <f>"International Journal of Numerical Methods for Heat and Fluid Flow"</f>
        <v>International Journal of Numerical Methods for Heat and Fluid Flow</v>
      </c>
      <c r="B2173" s="4" t="s">
        <v>6</v>
      </c>
      <c r="C2173" s="4" t="str">
        <f t="shared" si="83"/>
        <v>-</v>
      </c>
      <c r="D2173" s="4" t="str">
        <f>"09615539"</f>
        <v>09615539</v>
      </c>
      <c r="E2173" s="4" t="str">
        <f>"-"</f>
        <v>-</v>
      </c>
      <c r="F2173" s="4" t="s">
        <v>110</v>
      </c>
    </row>
    <row r="2174" spans="1:6" x14ac:dyDescent="0.25">
      <c r="A2174" s="4" t="str">
        <f>"International Journal of Numerical Modelling: Electronic Networks, Devices and Fields"</f>
        <v>International Journal of Numerical Modelling: Electronic Networks, Devices and Fields</v>
      </c>
      <c r="B2174" s="4" t="s">
        <v>6</v>
      </c>
      <c r="C2174" s="4" t="str">
        <f t="shared" si="83"/>
        <v>-</v>
      </c>
      <c r="D2174" s="4" t="str">
        <f>"08943370"</f>
        <v>08943370</v>
      </c>
      <c r="E2174" s="4" t="str">
        <f>"10991204"</f>
        <v>10991204</v>
      </c>
      <c r="F2174" s="4" t="s">
        <v>142</v>
      </c>
    </row>
    <row r="2175" spans="1:6" x14ac:dyDescent="0.25">
      <c r="A2175" s="4" t="str">
        <f>"International Journal of Offshore and Polar Engineering"</f>
        <v>International Journal of Offshore and Polar Engineering</v>
      </c>
      <c r="B2175" s="4" t="s">
        <v>6</v>
      </c>
      <c r="C2175" s="4" t="str">
        <f t="shared" si="83"/>
        <v>-</v>
      </c>
      <c r="D2175" s="4" t="str">
        <f>"10535381"</f>
        <v>10535381</v>
      </c>
      <c r="E2175" s="4" t="str">
        <f>"-"</f>
        <v>-</v>
      </c>
      <c r="F2175" s="4" t="s">
        <v>594</v>
      </c>
    </row>
    <row r="2176" spans="1:6" x14ac:dyDescent="0.25">
      <c r="A2176" s="4" t="str">
        <f>"International Journal of Oil, Gas and Coal Technology"</f>
        <v>International Journal of Oil, Gas and Coal Technology</v>
      </c>
      <c r="B2176" s="4" t="s">
        <v>6</v>
      </c>
      <c r="C2176" s="4" t="str">
        <f t="shared" si="83"/>
        <v>-</v>
      </c>
      <c r="D2176" s="4" t="str">
        <f>"17533317"</f>
        <v>17533317</v>
      </c>
      <c r="E2176" s="4" t="str">
        <f>"17533309"</f>
        <v>17533309</v>
      </c>
      <c r="F2176" s="4" t="s">
        <v>396</v>
      </c>
    </row>
    <row r="2177" spans="1:6" x14ac:dyDescent="0.25">
      <c r="A2177" s="4" t="str">
        <f>"International Journal of Online Engineering"</f>
        <v>International Journal of Online Engineering</v>
      </c>
      <c r="B2177" s="4" t="s">
        <v>6</v>
      </c>
      <c r="C2177" s="4" t="str">
        <f t="shared" si="83"/>
        <v>-</v>
      </c>
      <c r="D2177" s="4" t="str">
        <f>"18681646"</f>
        <v>18681646</v>
      </c>
      <c r="E2177" s="4" t="str">
        <f>"18612121"</f>
        <v>18612121</v>
      </c>
      <c r="F2177" s="4" t="s">
        <v>576</v>
      </c>
    </row>
    <row r="2178" spans="1:6" x14ac:dyDescent="0.25">
      <c r="A2178" s="4" t="str">
        <f>"International Journal of Open Source Software and Processes"</f>
        <v>International Journal of Open Source Software and Processes</v>
      </c>
      <c r="B2178" s="4" t="s">
        <v>6</v>
      </c>
      <c r="C2178" s="4" t="str">
        <f t="shared" si="83"/>
        <v>-</v>
      </c>
      <c r="D2178" s="4" t="str">
        <f>"19423926"</f>
        <v>19423926</v>
      </c>
      <c r="E2178" s="4" t="str">
        <f>"19423934"</f>
        <v>19423934</v>
      </c>
      <c r="F2178" s="4" t="s">
        <v>537</v>
      </c>
    </row>
    <row r="2179" spans="1:6" x14ac:dyDescent="0.25">
      <c r="A2179" s="4" t="str">
        <f>"International Journal of Optics"</f>
        <v>International Journal of Optics</v>
      </c>
      <c r="B2179" s="4" t="s">
        <v>6</v>
      </c>
      <c r="C2179" s="4" t="str">
        <f t="shared" si="83"/>
        <v>-</v>
      </c>
      <c r="D2179" s="4" t="str">
        <f>"16879384"</f>
        <v>16879384</v>
      </c>
      <c r="E2179" s="4" t="str">
        <f>"16879392"</f>
        <v>16879392</v>
      </c>
      <c r="F2179" s="4" t="s">
        <v>54</v>
      </c>
    </row>
    <row r="2180" spans="1:6" x14ac:dyDescent="0.25">
      <c r="A2180" s="4" t="str">
        <f>"International Journal of Optomechatronics"</f>
        <v>International Journal of Optomechatronics</v>
      </c>
      <c r="B2180" s="4" t="s">
        <v>6</v>
      </c>
      <c r="C2180" s="4" t="str">
        <f t="shared" si="83"/>
        <v>-</v>
      </c>
      <c r="D2180" s="4" t="str">
        <f>"15599612"</f>
        <v>15599612</v>
      </c>
      <c r="E2180" s="4" t="str">
        <f>"15599620"</f>
        <v>15599620</v>
      </c>
      <c r="F2180" s="4" t="s">
        <v>96</v>
      </c>
    </row>
    <row r="2181" spans="1:6" x14ac:dyDescent="0.25">
      <c r="A2181" s="4" t="str">
        <f>"International Journal of Parallel Programming"</f>
        <v>International Journal of Parallel Programming</v>
      </c>
      <c r="B2181" s="4" t="s">
        <v>6</v>
      </c>
      <c r="C2181" s="4" t="str">
        <f t="shared" si="83"/>
        <v>-</v>
      </c>
      <c r="D2181" s="4" t="str">
        <f>"08857458"</f>
        <v>08857458</v>
      </c>
      <c r="E2181" s="4" t="str">
        <f>"-"</f>
        <v>-</v>
      </c>
      <c r="F2181" s="4" t="s">
        <v>57</v>
      </c>
    </row>
    <row r="2182" spans="1:6" x14ac:dyDescent="0.25">
      <c r="A2182" s="4" t="str">
        <f>"International Journal of Parallel, Emergent and Distributed Systems"</f>
        <v>International Journal of Parallel, Emergent and Distributed Systems</v>
      </c>
      <c r="B2182" s="4" t="s">
        <v>6</v>
      </c>
      <c r="C2182" s="4" t="str">
        <f t="shared" si="83"/>
        <v>-</v>
      </c>
      <c r="D2182" s="4" t="str">
        <f>"17445760"</f>
        <v>17445760</v>
      </c>
      <c r="E2182" s="4" t="str">
        <f>"17445779"</f>
        <v>17445779</v>
      </c>
      <c r="F2182" s="4" t="s">
        <v>60</v>
      </c>
    </row>
    <row r="2183" spans="1:6" x14ac:dyDescent="0.25">
      <c r="A2183" s="4" t="str">
        <f>"International Journal of Pattern Recognition and Artificial Intelligence"</f>
        <v>International Journal of Pattern Recognition and Artificial Intelligence</v>
      </c>
      <c r="B2183" s="4" t="s">
        <v>6</v>
      </c>
      <c r="C2183" s="4" t="str">
        <f t="shared" si="83"/>
        <v>-</v>
      </c>
      <c r="D2183" s="4" t="str">
        <f>"02180014"</f>
        <v>02180014</v>
      </c>
      <c r="E2183" s="4" t="str">
        <f>"-"</f>
        <v>-</v>
      </c>
      <c r="F2183" s="4" t="s">
        <v>157</v>
      </c>
    </row>
    <row r="2184" spans="1:6" x14ac:dyDescent="0.25">
      <c r="A2184" s="4" t="str">
        <f>"International Journal of Pavement Engineering"</f>
        <v>International Journal of Pavement Engineering</v>
      </c>
      <c r="B2184" s="4" t="s">
        <v>6</v>
      </c>
      <c r="C2184" s="4" t="str">
        <f t="shared" si="83"/>
        <v>-</v>
      </c>
      <c r="D2184" s="4" t="str">
        <f>"10298436"</f>
        <v>10298436</v>
      </c>
      <c r="E2184" s="4" t="str">
        <f>"1477268X"</f>
        <v>1477268X</v>
      </c>
      <c r="F2184" s="4" t="s">
        <v>60</v>
      </c>
    </row>
    <row r="2185" spans="1:6" x14ac:dyDescent="0.25">
      <c r="A2185" s="4" t="str">
        <f>"International Journal of Pavement Research and Technology"</f>
        <v>International Journal of Pavement Research and Technology</v>
      </c>
      <c r="B2185" s="4" t="s">
        <v>6</v>
      </c>
      <c r="C2185" s="4" t="str">
        <f t="shared" si="83"/>
        <v>-</v>
      </c>
      <c r="D2185" s="4" t="str">
        <f>"19966814"</f>
        <v>19966814</v>
      </c>
      <c r="E2185" s="4" t="str">
        <f>"19971400"</f>
        <v>19971400</v>
      </c>
      <c r="F2185" s="4" t="s">
        <v>595</v>
      </c>
    </row>
    <row r="2186" spans="1:6" x14ac:dyDescent="0.25">
      <c r="A2186" s="4" t="str">
        <f>"International Journal of Performability Engineering"</f>
        <v>International Journal of Performability Engineering</v>
      </c>
      <c r="B2186" s="4" t="s">
        <v>6</v>
      </c>
      <c r="C2186" s="4" t="str">
        <f t="shared" si="83"/>
        <v>-</v>
      </c>
      <c r="D2186" s="4" t="str">
        <f>"09731318"</f>
        <v>09731318</v>
      </c>
      <c r="E2186" s="4" t="str">
        <f>"-"</f>
        <v>-</v>
      </c>
      <c r="F2186" s="4" t="s">
        <v>596</v>
      </c>
    </row>
    <row r="2187" spans="1:6" x14ac:dyDescent="0.25">
      <c r="A2187" s="4" t="str">
        <f>"International Journal of Physical Modelling in Geotechnics"</f>
        <v>International Journal of Physical Modelling in Geotechnics</v>
      </c>
      <c r="B2187" s="4" t="s">
        <v>6</v>
      </c>
      <c r="C2187" s="4" t="str">
        <f t="shared" si="83"/>
        <v>-</v>
      </c>
      <c r="D2187" s="4" t="str">
        <f>"1346213X"</f>
        <v>1346213X</v>
      </c>
      <c r="E2187" s="4" t="str">
        <f>"20426550"</f>
        <v>20426550</v>
      </c>
      <c r="F2187" s="4" t="s">
        <v>74</v>
      </c>
    </row>
    <row r="2188" spans="1:6" x14ac:dyDescent="0.25">
      <c r="A2188" s="4" t="str">
        <f>"International Journal of Plasticity"</f>
        <v>International Journal of Plasticity</v>
      </c>
      <c r="B2188" s="4" t="s">
        <v>6</v>
      </c>
      <c r="C2188" s="4" t="str">
        <f t="shared" si="83"/>
        <v>-</v>
      </c>
      <c r="D2188" s="4" t="str">
        <f>"07496419"</f>
        <v>07496419</v>
      </c>
      <c r="E2188" s="4" t="str">
        <f>"-"</f>
        <v>-</v>
      </c>
      <c r="F2188" s="4" t="s">
        <v>19</v>
      </c>
    </row>
    <row r="2189" spans="1:6" x14ac:dyDescent="0.25">
      <c r="A2189" s="4" t="str">
        <f>"International Journal of Plastics Technology"</f>
        <v>International Journal of Plastics Technology</v>
      </c>
      <c r="B2189" s="4" t="s">
        <v>6</v>
      </c>
      <c r="C2189" s="4" t="str">
        <f t="shared" si="83"/>
        <v>-</v>
      </c>
      <c r="D2189" s="4" t="str">
        <f>"0972656X"</f>
        <v>0972656X</v>
      </c>
      <c r="E2189" s="4" t="str">
        <f>"0975072X"</f>
        <v>0975072X</v>
      </c>
      <c r="F2189" s="4" t="s">
        <v>101</v>
      </c>
    </row>
    <row r="2190" spans="1:6" x14ac:dyDescent="0.25">
      <c r="A2190" s="4" t="str">
        <f>"International Journal of Polymer Analysis and Characterization"</f>
        <v>International Journal of Polymer Analysis and Characterization</v>
      </c>
      <c r="B2190" s="4" t="s">
        <v>6</v>
      </c>
      <c r="C2190" s="4" t="str">
        <f t="shared" si="83"/>
        <v>-</v>
      </c>
      <c r="D2190" s="4" t="str">
        <f>"1023666X"</f>
        <v>1023666X</v>
      </c>
      <c r="E2190" s="4" t="str">
        <f>"15635341"</f>
        <v>15635341</v>
      </c>
      <c r="F2190" s="4" t="s">
        <v>96</v>
      </c>
    </row>
    <row r="2191" spans="1:6" x14ac:dyDescent="0.25">
      <c r="A2191" s="4" t="str">
        <f>"International Journal of Polymeric Materials and Polymeric Biomaterials"</f>
        <v>International Journal of Polymeric Materials and Polymeric Biomaterials</v>
      </c>
      <c r="B2191" s="4" t="s">
        <v>6</v>
      </c>
      <c r="C2191" s="4" t="str">
        <f t="shared" si="83"/>
        <v>-</v>
      </c>
      <c r="D2191" s="4" t="str">
        <f>"00914037"</f>
        <v>00914037</v>
      </c>
      <c r="E2191" s="4" t="str">
        <f>"1563535X"</f>
        <v>1563535X</v>
      </c>
      <c r="F2191" s="4" t="s">
        <v>96</v>
      </c>
    </row>
    <row r="2192" spans="1:6" x14ac:dyDescent="0.25">
      <c r="A2192" s="4" t="str">
        <f>"International Journal of Powder Metallurgy"</f>
        <v>International Journal of Powder Metallurgy</v>
      </c>
      <c r="B2192" s="4" t="s">
        <v>6</v>
      </c>
      <c r="C2192" s="4" t="str">
        <f t="shared" si="83"/>
        <v>-</v>
      </c>
      <c r="D2192" s="4" t="str">
        <f>"08887462"</f>
        <v>08887462</v>
      </c>
      <c r="E2192" s="4" t="str">
        <f>"-"</f>
        <v>-</v>
      </c>
      <c r="F2192" s="4" t="s">
        <v>597</v>
      </c>
    </row>
    <row r="2193" spans="1:6" x14ac:dyDescent="0.25">
      <c r="A2193" s="4" t="str">
        <f>"International Journal of Power and Energy Systems"</f>
        <v>International Journal of Power and Energy Systems</v>
      </c>
      <c r="B2193" s="4" t="s">
        <v>6</v>
      </c>
      <c r="C2193" s="4" t="str">
        <f t="shared" si="83"/>
        <v>-</v>
      </c>
      <c r="D2193" s="4" t="str">
        <f>"10783466"</f>
        <v>10783466</v>
      </c>
      <c r="E2193" s="4" t="str">
        <f>"-"</f>
        <v>-</v>
      </c>
      <c r="F2193" s="4" t="s">
        <v>305</v>
      </c>
    </row>
    <row r="2194" spans="1:6" x14ac:dyDescent="0.25">
      <c r="A2194" s="4" t="str">
        <f>"International Journal of Power Electronics"</f>
        <v>International Journal of Power Electronics</v>
      </c>
      <c r="B2194" s="4" t="s">
        <v>6</v>
      </c>
      <c r="C2194" s="4" t="str">
        <f t="shared" si="83"/>
        <v>-</v>
      </c>
      <c r="D2194" s="4" t="str">
        <f>"1756638X"</f>
        <v>1756638X</v>
      </c>
      <c r="E2194" s="4" t="str">
        <f>"17566398"</f>
        <v>17566398</v>
      </c>
      <c r="F2194" s="4" t="s">
        <v>560</v>
      </c>
    </row>
    <row r="2195" spans="1:6" x14ac:dyDescent="0.25">
      <c r="A2195" s="4" t="str">
        <f>"International Journal of Pressure Vessels and Piping"</f>
        <v>International Journal of Pressure Vessels and Piping</v>
      </c>
      <c r="B2195" s="4" t="s">
        <v>6</v>
      </c>
      <c r="C2195" s="4" t="str">
        <f t="shared" si="83"/>
        <v>-</v>
      </c>
      <c r="D2195" s="4" t="str">
        <f>"03080161"</f>
        <v>03080161</v>
      </c>
      <c r="E2195" s="4" t="str">
        <f>"-"</f>
        <v>-</v>
      </c>
      <c r="F2195" s="4" t="s">
        <v>19</v>
      </c>
    </row>
    <row r="2196" spans="1:6" x14ac:dyDescent="0.25">
      <c r="A2196" s="4" t="str">
        <f>"International Journal of Product Development"</f>
        <v>International Journal of Product Development</v>
      </c>
      <c r="B2196" s="4" t="s">
        <v>6</v>
      </c>
      <c r="C2196" s="4" t="str">
        <f t="shared" si="83"/>
        <v>-</v>
      </c>
      <c r="D2196" s="4" t="str">
        <f>"14779056"</f>
        <v>14779056</v>
      </c>
      <c r="E2196" s="4" t="str">
        <f>"17418178"</f>
        <v>17418178</v>
      </c>
      <c r="F2196" s="4" t="s">
        <v>396</v>
      </c>
    </row>
    <row r="2197" spans="1:6" x14ac:dyDescent="0.25">
      <c r="A2197" s="4" t="str">
        <f>"International Journal of Production Economics"</f>
        <v>International Journal of Production Economics</v>
      </c>
      <c r="B2197" s="4" t="s">
        <v>6</v>
      </c>
      <c r="C2197" s="4" t="str">
        <f t="shared" si="83"/>
        <v>-</v>
      </c>
      <c r="D2197" s="4" t="str">
        <f>"09255273"</f>
        <v>09255273</v>
      </c>
      <c r="E2197" s="4" t="str">
        <f>"-"</f>
        <v>-</v>
      </c>
      <c r="F2197" s="4" t="s">
        <v>55</v>
      </c>
    </row>
    <row r="2198" spans="1:6" x14ac:dyDescent="0.25">
      <c r="A2198" s="4" t="str">
        <f>"International Journal of Production Research"</f>
        <v>International Journal of Production Research</v>
      </c>
      <c r="B2198" s="4" t="s">
        <v>6</v>
      </c>
      <c r="C2198" s="4" t="str">
        <f t="shared" si="83"/>
        <v>-</v>
      </c>
      <c r="D2198" s="4" t="str">
        <f>"00207543"</f>
        <v>00207543</v>
      </c>
      <c r="E2198" s="4" t="str">
        <f>"1366588X"</f>
        <v>1366588X</v>
      </c>
      <c r="F2198" s="4" t="s">
        <v>60</v>
      </c>
    </row>
    <row r="2199" spans="1:6" x14ac:dyDescent="0.25">
      <c r="A2199" s="4" t="str">
        <f>"International Journal of Project Management"</f>
        <v>International Journal of Project Management</v>
      </c>
      <c r="B2199" s="4" t="s">
        <v>6</v>
      </c>
      <c r="C2199" s="4" t="str">
        <f t="shared" si="83"/>
        <v>-</v>
      </c>
      <c r="D2199" s="4" t="str">
        <f>"02637863"</f>
        <v>02637863</v>
      </c>
      <c r="E2199" s="4" t="str">
        <f>"-"</f>
        <v>-</v>
      </c>
      <c r="F2199" s="4" t="s">
        <v>19</v>
      </c>
    </row>
    <row r="2200" spans="1:6" x14ac:dyDescent="0.25">
      <c r="A2200" s="4" t="str">
        <f>"International Journal of Protective Structures"</f>
        <v>International Journal of Protective Structures</v>
      </c>
      <c r="B2200" s="4" t="s">
        <v>6</v>
      </c>
      <c r="C2200" s="4" t="str">
        <f t="shared" si="83"/>
        <v>-</v>
      </c>
      <c r="D2200" s="4" t="str">
        <f>"20414196"</f>
        <v>20414196</v>
      </c>
      <c r="E2200" s="4" t="str">
        <f>"2041420X"</f>
        <v>2041420X</v>
      </c>
      <c r="F2200" s="4" t="s">
        <v>58</v>
      </c>
    </row>
    <row r="2201" spans="1:6" x14ac:dyDescent="0.25">
      <c r="A2201" s="4" t="str">
        <f>"International Journal of Quantum Chemistry"</f>
        <v>International Journal of Quantum Chemistry</v>
      </c>
      <c r="B2201" s="4" t="s">
        <v>6</v>
      </c>
      <c r="C2201" s="4" t="str">
        <f t="shared" si="83"/>
        <v>-</v>
      </c>
      <c r="D2201" s="4" t="str">
        <f>"00207608"</f>
        <v>00207608</v>
      </c>
      <c r="E2201" s="4" t="str">
        <f>"1097461X"</f>
        <v>1097461X</v>
      </c>
      <c r="F2201" s="4" t="s">
        <v>87</v>
      </c>
    </row>
    <row r="2202" spans="1:6" x14ac:dyDescent="0.25">
      <c r="A2202" s="4" t="str">
        <f>"International Journal of Radiation Oncology Biology Physics"</f>
        <v>International Journal of Radiation Oncology Biology Physics</v>
      </c>
      <c r="B2202" s="4" t="s">
        <v>6</v>
      </c>
      <c r="C2202" s="4" t="str">
        <f t="shared" si="83"/>
        <v>-</v>
      </c>
      <c r="D2202" s="4" t="str">
        <f>"03603016"</f>
        <v>03603016</v>
      </c>
      <c r="E2202" s="4" t="str">
        <f>"1879355X"</f>
        <v>1879355X</v>
      </c>
      <c r="F2202" s="4" t="s">
        <v>141</v>
      </c>
    </row>
    <row r="2203" spans="1:6" x14ac:dyDescent="0.25">
      <c r="A2203" s="4" t="str">
        <f>"International Journal of Radio Frequency Identification Technology and Applications"</f>
        <v>International Journal of Radio Frequency Identification Technology and Applications</v>
      </c>
      <c r="B2203" s="4" t="s">
        <v>6</v>
      </c>
      <c r="C2203" s="4" t="str">
        <f t="shared" si="83"/>
        <v>-</v>
      </c>
      <c r="D2203" s="4" t="str">
        <f>"17453216"</f>
        <v>17453216</v>
      </c>
      <c r="E2203" s="4" t="str">
        <f>"17453224"</f>
        <v>17453224</v>
      </c>
      <c r="F2203" s="4" t="s">
        <v>396</v>
      </c>
    </row>
    <row r="2204" spans="1:6" x14ac:dyDescent="0.25">
      <c r="A2204" s="4" t="str">
        <f>"International Journal of Reasoning-based Intelligent Systems"</f>
        <v>International Journal of Reasoning-based Intelligent Systems</v>
      </c>
      <c r="B2204" s="4" t="s">
        <v>6</v>
      </c>
      <c r="C2204" s="4" t="str">
        <f t="shared" si="83"/>
        <v>-</v>
      </c>
      <c r="D2204" s="4" t="str">
        <f>"17550556"</f>
        <v>17550556</v>
      </c>
      <c r="E2204" s="4" t="str">
        <f>"17550564"</f>
        <v>17550564</v>
      </c>
      <c r="F2204" s="4" t="s">
        <v>560</v>
      </c>
    </row>
    <row r="2205" spans="1:6" x14ac:dyDescent="0.25">
      <c r="A2205" s="4" t="str">
        <f>"International Journal of Reconfigurable Computing"</f>
        <v>International Journal of Reconfigurable Computing</v>
      </c>
      <c r="B2205" s="4" t="s">
        <v>6</v>
      </c>
      <c r="C2205" s="4" t="str">
        <f t="shared" ref="C2205:C2268" si="84">"-"</f>
        <v>-</v>
      </c>
      <c r="D2205" s="4" t="str">
        <f>"16877195"</f>
        <v>16877195</v>
      </c>
      <c r="E2205" s="4" t="str">
        <f>"16877209"</f>
        <v>16877209</v>
      </c>
      <c r="F2205" s="4" t="s">
        <v>54</v>
      </c>
    </row>
    <row r="2206" spans="1:6" x14ac:dyDescent="0.25">
      <c r="A2206" s="4" t="str">
        <f>"International Journal of Refractory Metals and Hard Materials"</f>
        <v>International Journal of Refractory Metals and Hard Materials</v>
      </c>
      <c r="B2206" s="4" t="s">
        <v>6</v>
      </c>
      <c r="C2206" s="4" t="str">
        <f t="shared" si="84"/>
        <v>-</v>
      </c>
      <c r="D2206" s="4" t="str">
        <f>"02634368"</f>
        <v>02634368</v>
      </c>
      <c r="E2206" s="4" t="str">
        <f>"22133917"</f>
        <v>22133917</v>
      </c>
      <c r="F2206" s="4" t="s">
        <v>19</v>
      </c>
    </row>
    <row r="2207" spans="1:6" x14ac:dyDescent="0.25">
      <c r="A2207" s="4" t="str">
        <f>"International Journal of Refrigeration"</f>
        <v>International Journal of Refrigeration</v>
      </c>
      <c r="B2207" s="4" t="s">
        <v>6</v>
      </c>
      <c r="C2207" s="4" t="str">
        <f t="shared" si="84"/>
        <v>-</v>
      </c>
      <c r="D2207" s="4" t="str">
        <f>"01407007"</f>
        <v>01407007</v>
      </c>
      <c r="E2207" s="4" t="str">
        <f>"-"</f>
        <v>-</v>
      </c>
      <c r="F2207" s="4" t="s">
        <v>19</v>
      </c>
    </row>
    <row r="2208" spans="1:6" x14ac:dyDescent="0.25">
      <c r="A2208" s="4" t="str">
        <f>"International Journal of Rehabilitation Research"</f>
        <v>International Journal of Rehabilitation Research</v>
      </c>
      <c r="B2208" s="4" t="s">
        <v>6</v>
      </c>
      <c r="C2208" s="4" t="str">
        <f t="shared" si="84"/>
        <v>-</v>
      </c>
      <c r="D2208" s="4" t="str">
        <f>"03425282"</f>
        <v>03425282</v>
      </c>
      <c r="E2208" s="4" t="str">
        <f>"14735660"</f>
        <v>14735660</v>
      </c>
      <c r="F2208" s="4" t="s">
        <v>154</v>
      </c>
    </row>
    <row r="2209" spans="1:6" x14ac:dyDescent="0.25">
      <c r="A2209" s="4" t="str">
        <f>"International Journal of Reliability and Safety"</f>
        <v>International Journal of Reliability and Safety</v>
      </c>
      <c r="B2209" s="4" t="s">
        <v>6</v>
      </c>
      <c r="C2209" s="4" t="str">
        <f t="shared" si="84"/>
        <v>-</v>
      </c>
      <c r="D2209" s="4" t="str">
        <f>"1479389X"</f>
        <v>1479389X</v>
      </c>
      <c r="E2209" s="4" t="str">
        <f>"14793903"</f>
        <v>14793903</v>
      </c>
      <c r="F2209" s="4" t="s">
        <v>396</v>
      </c>
    </row>
    <row r="2210" spans="1:6" x14ac:dyDescent="0.25">
      <c r="A2210" s="4" t="str">
        <f>"International Journal of Reliability, Quality and Safety Engineering"</f>
        <v>International Journal of Reliability, Quality and Safety Engineering</v>
      </c>
      <c r="B2210" s="4" t="s">
        <v>6</v>
      </c>
      <c r="C2210" s="4" t="str">
        <f t="shared" si="84"/>
        <v>-</v>
      </c>
      <c r="D2210" s="4" t="str">
        <f>"02185393"</f>
        <v>02185393</v>
      </c>
      <c r="E2210" s="4" t="str">
        <f>"-"</f>
        <v>-</v>
      </c>
      <c r="F2210" s="4" t="s">
        <v>157</v>
      </c>
    </row>
    <row r="2211" spans="1:6" x14ac:dyDescent="0.25">
      <c r="A2211" s="4" t="str">
        <f>"International Journal of Remote Sensing"</f>
        <v>International Journal of Remote Sensing</v>
      </c>
      <c r="B2211" s="4" t="s">
        <v>6</v>
      </c>
      <c r="C2211" s="4" t="str">
        <f t="shared" si="84"/>
        <v>-</v>
      </c>
      <c r="D2211" s="4" t="str">
        <f>"01431161"</f>
        <v>01431161</v>
      </c>
      <c r="E2211" s="4" t="str">
        <f>"13665901"</f>
        <v>13665901</v>
      </c>
      <c r="F2211" s="4" t="s">
        <v>60</v>
      </c>
    </row>
    <row r="2212" spans="1:6" x14ac:dyDescent="0.25">
      <c r="A2212" s="4" t="str">
        <f>"International Journal of RF and Microwave Computer-Aided Engineering"</f>
        <v>International Journal of RF and Microwave Computer-Aided Engineering</v>
      </c>
      <c r="B2212" s="4" t="s">
        <v>6</v>
      </c>
      <c r="C2212" s="4" t="str">
        <f t="shared" si="84"/>
        <v>-</v>
      </c>
      <c r="D2212" s="4" t="str">
        <f>"10964290"</f>
        <v>10964290</v>
      </c>
      <c r="E2212" s="4" t="str">
        <f>"1099047X"</f>
        <v>1099047X</v>
      </c>
      <c r="F2212" s="4" t="s">
        <v>87</v>
      </c>
    </row>
    <row r="2213" spans="1:6" x14ac:dyDescent="0.25">
      <c r="A2213" s="4" t="str">
        <f>"International Journal of RF Technologies: Research and Applications"</f>
        <v>International Journal of RF Technologies: Research and Applications</v>
      </c>
      <c r="B2213" s="4" t="s">
        <v>6</v>
      </c>
      <c r="C2213" s="4" t="str">
        <f t="shared" si="84"/>
        <v>-</v>
      </c>
      <c r="D2213" s="4" t="str">
        <f>"17545730"</f>
        <v>17545730</v>
      </c>
      <c r="E2213" s="4" t="str">
        <f>"17545749"</f>
        <v>17545749</v>
      </c>
      <c r="F2213" s="4" t="s">
        <v>103</v>
      </c>
    </row>
    <row r="2214" spans="1:6" x14ac:dyDescent="0.25">
      <c r="A2214" s="4" t="str">
        <f>"International Journal of Robotics and Automation"</f>
        <v>International Journal of Robotics and Automation</v>
      </c>
      <c r="B2214" s="4" t="s">
        <v>6</v>
      </c>
      <c r="C2214" s="4" t="str">
        <f t="shared" si="84"/>
        <v>-</v>
      </c>
      <c r="D2214" s="4" t="str">
        <f>"08268185"</f>
        <v>08268185</v>
      </c>
      <c r="E2214" s="4" t="str">
        <f>"-"</f>
        <v>-</v>
      </c>
      <c r="F2214" s="4" t="s">
        <v>305</v>
      </c>
    </row>
    <row r="2215" spans="1:6" x14ac:dyDescent="0.25">
      <c r="A2215" s="4" t="str">
        <f>"International Journal of Robotics Research"</f>
        <v>International Journal of Robotics Research</v>
      </c>
      <c r="B2215" s="4" t="s">
        <v>6</v>
      </c>
      <c r="C2215" s="4" t="str">
        <f t="shared" si="84"/>
        <v>-</v>
      </c>
      <c r="D2215" s="4" t="str">
        <f>"02783649"</f>
        <v>02783649</v>
      </c>
      <c r="E2215" s="4" t="str">
        <f>"17413176"</f>
        <v>17413176</v>
      </c>
      <c r="F2215" s="4" t="s">
        <v>50</v>
      </c>
    </row>
    <row r="2216" spans="1:6" x14ac:dyDescent="0.25">
      <c r="A2216" s="4" t="str">
        <f>"International Journal of Robust and Nonlinear Control"</f>
        <v>International Journal of Robust and Nonlinear Control</v>
      </c>
      <c r="B2216" s="4" t="s">
        <v>6</v>
      </c>
      <c r="C2216" s="4" t="str">
        <f t="shared" si="84"/>
        <v>-</v>
      </c>
      <c r="D2216" s="4" t="str">
        <f>"10498923"</f>
        <v>10498923</v>
      </c>
      <c r="E2216" s="4" t="str">
        <f>"10991239"</f>
        <v>10991239</v>
      </c>
      <c r="F2216" s="4" t="s">
        <v>142</v>
      </c>
    </row>
    <row r="2217" spans="1:6" x14ac:dyDescent="0.25">
      <c r="A2217" s="4" t="str">
        <f>"International Journal of Rock Mechanics and Mining Sciences"</f>
        <v>International Journal of Rock Mechanics and Mining Sciences</v>
      </c>
      <c r="B2217" s="4" t="s">
        <v>6</v>
      </c>
      <c r="C2217" s="4" t="str">
        <f t="shared" si="84"/>
        <v>-</v>
      </c>
      <c r="D2217" s="4" t="str">
        <f>"13651609"</f>
        <v>13651609</v>
      </c>
      <c r="E2217" s="4" t="str">
        <f>"-"</f>
        <v>-</v>
      </c>
      <c r="F2217" s="4" t="s">
        <v>19</v>
      </c>
    </row>
    <row r="2218" spans="1:6" x14ac:dyDescent="0.25">
      <c r="A2218" s="4" t="str">
        <f>"International Journal of Rotating Machinery"</f>
        <v>International Journal of Rotating Machinery</v>
      </c>
      <c r="B2218" s="4" t="s">
        <v>6</v>
      </c>
      <c r="C2218" s="4" t="str">
        <f t="shared" si="84"/>
        <v>-</v>
      </c>
      <c r="D2218" s="4" t="str">
        <f>"1023621X"</f>
        <v>1023621X</v>
      </c>
      <c r="E2218" s="4" t="str">
        <f>"15423034"</f>
        <v>15423034</v>
      </c>
      <c r="F2218" s="4" t="s">
        <v>54</v>
      </c>
    </row>
    <row r="2219" spans="1:6" x14ac:dyDescent="0.25">
      <c r="A2219" s="4" t="str">
        <f>"International Journal of Safety and Security Engineering"</f>
        <v>International Journal of Safety and Security Engineering</v>
      </c>
      <c r="B2219" s="4" t="s">
        <v>6</v>
      </c>
      <c r="C2219" s="4" t="str">
        <f t="shared" si="84"/>
        <v>-</v>
      </c>
      <c r="D2219" s="4" t="str">
        <f>"20419031"</f>
        <v>20419031</v>
      </c>
      <c r="E2219" s="4" t="str">
        <f>"2041904X"</f>
        <v>2041904X</v>
      </c>
      <c r="F2219" s="4" t="s">
        <v>80</v>
      </c>
    </row>
    <row r="2220" spans="1:6" x14ac:dyDescent="0.25">
      <c r="A2220" s="4" t="str">
        <f>"International Journal of Satellite Communications and Networking"</f>
        <v>International Journal of Satellite Communications and Networking</v>
      </c>
      <c r="B2220" s="4" t="s">
        <v>6</v>
      </c>
      <c r="C2220" s="4" t="str">
        <f t="shared" si="84"/>
        <v>-</v>
      </c>
      <c r="D2220" s="4" t="str">
        <f>"15420973"</f>
        <v>15420973</v>
      </c>
      <c r="E2220" s="4" t="str">
        <f>"15420981"</f>
        <v>15420981</v>
      </c>
      <c r="F2220" s="4" t="s">
        <v>142</v>
      </c>
    </row>
    <row r="2221" spans="1:6" x14ac:dyDescent="0.25">
      <c r="A2221" s="4" t="str">
        <f>"International Journal of Security and its Applications"</f>
        <v>International Journal of Security and its Applications</v>
      </c>
      <c r="B2221" s="4" t="s">
        <v>6</v>
      </c>
      <c r="C2221" s="4" t="str">
        <f t="shared" si="84"/>
        <v>-</v>
      </c>
      <c r="D2221" s="4" t="str">
        <f>"17389976"</f>
        <v>17389976</v>
      </c>
      <c r="E2221" s="4" t="str">
        <f>"-"</f>
        <v>-</v>
      </c>
      <c r="F2221" s="4" t="s">
        <v>572</v>
      </c>
    </row>
    <row r="2222" spans="1:6" x14ac:dyDescent="0.25">
      <c r="A2222" s="4" t="str">
        <f>"International Journal of Security and Networks"</f>
        <v>International Journal of Security and Networks</v>
      </c>
      <c r="B2222" s="4" t="s">
        <v>6</v>
      </c>
      <c r="C2222" s="4" t="str">
        <f t="shared" si="84"/>
        <v>-</v>
      </c>
      <c r="D2222" s="4" t="str">
        <f>"17478405"</f>
        <v>17478405</v>
      </c>
      <c r="E2222" s="4" t="str">
        <f>"17478413"</f>
        <v>17478413</v>
      </c>
      <c r="F2222" s="4" t="s">
        <v>396</v>
      </c>
    </row>
    <row r="2223" spans="1:6" x14ac:dyDescent="0.25">
      <c r="A2223" s="4" t="str">
        <f>"International Journal of Self-Propagating High-Temperature Synthesis"</f>
        <v>International Journal of Self-Propagating High-Temperature Synthesis</v>
      </c>
      <c r="B2223" s="4" t="s">
        <v>6</v>
      </c>
      <c r="C2223" s="4" t="str">
        <f t="shared" si="84"/>
        <v>-</v>
      </c>
      <c r="D2223" s="4" t="str">
        <f>"10613862"</f>
        <v>10613862</v>
      </c>
      <c r="E2223" s="4" t="str">
        <f>"1934788X"</f>
        <v>1934788X</v>
      </c>
      <c r="F2223" s="4" t="s">
        <v>145</v>
      </c>
    </row>
    <row r="2224" spans="1:6" x14ac:dyDescent="0.25">
      <c r="A2224" s="4" t="str">
        <f>"International Journal of Services Operations and Informatics"</f>
        <v>International Journal of Services Operations and Informatics</v>
      </c>
      <c r="B2224" s="4" t="s">
        <v>6</v>
      </c>
      <c r="C2224" s="4" t="str">
        <f t="shared" si="84"/>
        <v>-</v>
      </c>
      <c r="D2224" s="4" t="str">
        <f>"1741539X"</f>
        <v>1741539X</v>
      </c>
      <c r="E2224" s="4" t="str">
        <f>"17415403"</f>
        <v>17415403</v>
      </c>
      <c r="F2224" s="4" t="s">
        <v>396</v>
      </c>
    </row>
    <row r="2225" spans="1:6" x14ac:dyDescent="0.25">
      <c r="A2225" s="4" t="str">
        <f>"International Journal of Services, Technology and Management"</f>
        <v>International Journal of Services, Technology and Management</v>
      </c>
      <c r="B2225" s="4" t="s">
        <v>6</v>
      </c>
      <c r="C2225" s="4" t="str">
        <f t="shared" si="84"/>
        <v>-</v>
      </c>
      <c r="D2225" s="4" t="str">
        <f>"14606720"</f>
        <v>14606720</v>
      </c>
      <c r="E2225" s="4" t="str">
        <f>"1741525X"</f>
        <v>1741525X</v>
      </c>
      <c r="F2225" s="4" t="s">
        <v>396</v>
      </c>
    </row>
    <row r="2226" spans="1:6" x14ac:dyDescent="0.25">
      <c r="A2226" s="4" t="str">
        <f>"International Journal of Signal Processing, Image Processing and Pattern Recognition"</f>
        <v>International Journal of Signal Processing, Image Processing and Pattern Recognition</v>
      </c>
      <c r="B2226" s="4" t="s">
        <v>6</v>
      </c>
      <c r="C2226" s="4" t="str">
        <f t="shared" si="84"/>
        <v>-</v>
      </c>
      <c r="D2226" s="4" t="str">
        <f>"20054254"</f>
        <v>20054254</v>
      </c>
      <c r="E2226" s="4" t="str">
        <f>"-"</f>
        <v>-</v>
      </c>
      <c r="F2226" s="4" t="s">
        <v>572</v>
      </c>
    </row>
    <row r="2227" spans="1:6" x14ac:dyDescent="0.25">
      <c r="A2227" s="4" t="str">
        <f>"International Journal of Simulation and Process Modelling"</f>
        <v>International Journal of Simulation and Process Modelling</v>
      </c>
      <c r="B2227" s="4" t="s">
        <v>6</v>
      </c>
      <c r="C2227" s="4" t="str">
        <f t="shared" si="84"/>
        <v>-</v>
      </c>
      <c r="D2227" s="4" t="str">
        <f>"17402123"</f>
        <v>17402123</v>
      </c>
      <c r="E2227" s="4" t="str">
        <f>"17402131"</f>
        <v>17402131</v>
      </c>
      <c r="F2227" s="4" t="s">
        <v>396</v>
      </c>
    </row>
    <row r="2228" spans="1:6" x14ac:dyDescent="0.25">
      <c r="A2228" s="4" t="str">
        <f>"International Journal of Simulation: Systems, Science and Technology"</f>
        <v>International Journal of Simulation: Systems, Science and Technology</v>
      </c>
      <c r="B2228" s="4" t="s">
        <v>6</v>
      </c>
      <c r="C2228" s="4" t="str">
        <f t="shared" si="84"/>
        <v>-</v>
      </c>
      <c r="D2228" s="4" t="str">
        <f>"14738031"</f>
        <v>14738031</v>
      </c>
      <c r="E2228" s="4" t="str">
        <f>"1473804X"</f>
        <v>1473804X</v>
      </c>
      <c r="F2228" s="4" t="s">
        <v>598</v>
      </c>
    </row>
    <row r="2229" spans="1:6" x14ac:dyDescent="0.25">
      <c r="A2229" s="4" t="str">
        <f>"International Journal of Smart and Nano Materials"</f>
        <v>International Journal of Smart and Nano Materials</v>
      </c>
      <c r="B2229" s="4" t="s">
        <v>6</v>
      </c>
      <c r="C2229" s="4" t="str">
        <f t="shared" si="84"/>
        <v>-</v>
      </c>
      <c r="D2229" s="4" t="str">
        <f>"19475411"</f>
        <v>19475411</v>
      </c>
      <c r="E2229" s="4" t="str">
        <f>"1947542X"</f>
        <v>1947542X</v>
      </c>
      <c r="F2229" s="4" t="s">
        <v>60</v>
      </c>
    </row>
    <row r="2230" spans="1:6" x14ac:dyDescent="0.25">
      <c r="A2230" s="4" t="str">
        <f>"International Journal of Smart Home"</f>
        <v>International Journal of Smart Home</v>
      </c>
      <c r="B2230" s="4" t="s">
        <v>6</v>
      </c>
      <c r="C2230" s="4" t="str">
        <f t="shared" si="84"/>
        <v>-</v>
      </c>
      <c r="D2230" s="4" t="str">
        <f>"19754094"</f>
        <v>19754094</v>
      </c>
      <c r="E2230" s="4" t="str">
        <f>"-"</f>
        <v>-</v>
      </c>
      <c r="F2230" s="4" t="s">
        <v>572</v>
      </c>
    </row>
    <row r="2231" spans="1:6" x14ac:dyDescent="0.25">
      <c r="A2231" s="4" t="str">
        <f>"International Journal of Social Robotics"</f>
        <v>International Journal of Social Robotics</v>
      </c>
      <c r="B2231" s="4" t="s">
        <v>6</v>
      </c>
      <c r="C2231" s="4" t="str">
        <f t="shared" si="84"/>
        <v>-</v>
      </c>
      <c r="D2231" s="4" t="str">
        <f>"18754791"</f>
        <v>18754791</v>
      </c>
      <c r="E2231" s="4" t="str">
        <f>"18754805"</f>
        <v>18754805</v>
      </c>
      <c r="F2231" s="4" t="s">
        <v>31</v>
      </c>
    </row>
    <row r="2232" spans="1:6" x14ac:dyDescent="0.25">
      <c r="A2232" s="4" t="str">
        <f>"International Journal of Software Engineering and Knowledge Engineering"</f>
        <v>International Journal of Software Engineering and Knowledge Engineering</v>
      </c>
      <c r="B2232" s="4" t="s">
        <v>6</v>
      </c>
      <c r="C2232" s="4" t="str">
        <f t="shared" si="84"/>
        <v>-</v>
      </c>
      <c r="D2232" s="4" t="str">
        <f>"02181940"</f>
        <v>02181940</v>
      </c>
      <c r="E2232" s="4" t="str">
        <f>"-"</f>
        <v>-</v>
      </c>
      <c r="F2232" s="4" t="s">
        <v>157</v>
      </c>
    </row>
    <row r="2233" spans="1:6" x14ac:dyDescent="0.25">
      <c r="A2233" s="4" t="str">
        <f>"International Journal of Solids and Structures"</f>
        <v>International Journal of Solids and Structures</v>
      </c>
      <c r="B2233" s="4" t="s">
        <v>6</v>
      </c>
      <c r="C2233" s="4" t="str">
        <f t="shared" si="84"/>
        <v>-</v>
      </c>
      <c r="D2233" s="4" t="str">
        <f>"00207683"</f>
        <v>00207683</v>
      </c>
      <c r="E2233" s="4" t="str">
        <f>"-"</f>
        <v>-</v>
      </c>
      <c r="F2233" s="4" t="s">
        <v>19</v>
      </c>
    </row>
    <row r="2234" spans="1:6" x14ac:dyDescent="0.25">
      <c r="A2234" s="4" t="str">
        <f>"International Journal of Space Structures"</f>
        <v>International Journal of Space Structures</v>
      </c>
      <c r="B2234" s="4" t="s">
        <v>6</v>
      </c>
      <c r="C2234" s="4" t="str">
        <f t="shared" si="84"/>
        <v>-</v>
      </c>
      <c r="D2234" s="4" t="str">
        <f>"09560599"</f>
        <v>09560599</v>
      </c>
      <c r="E2234" s="4" t="str">
        <f>"-"</f>
        <v>-</v>
      </c>
      <c r="F2234" s="4" t="s">
        <v>58</v>
      </c>
    </row>
    <row r="2235" spans="1:6" x14ac:dyDescent="0.25">
      <c r="A2235" s="4" t="str">
        <f>"International Journal of Speech Technology"</f>
        <v>International Journal of Speech Technology</v>
      </c>
      <c r="B2235" s="4" t="s">
        <v>6</v>
      </c>
      <c r="C2235" s="4" t="str">
        <f t="shared" si="84"/>
        <v>-</v>
      </c>
      <c r="D2235" s="4" t="str">
        <f>"13812416"</f>
        <v>13812416</v>
      </c>
      <c r="E2235" s="4" t="str">
        <f>"15728110"</f>
        <v>15728110</v>
      </c>
      <c r="F2235" s="4" t="s">
        <v>57</v>
      </c>
    </row>
    <row r="2236" spans="1:6" x14ac:dyDescent="0.25">
      <c r="A2236" s="4" t="str">
        <f>"International Journal of Spray and Combustion Dynamics"</f>
        <v>International Journal of Spray and Combustion Dynamics</v>
      </c>
      <c r="B2236" s="4" t="s">
        <v>6</v>
      </c>
      <c r="C2236" s="4" t="str">
        <f t="shared" si="84"/>
        <v>-</v>
      </c>
      <c r="D2236" s="4" t="str">
        <f>"17568277"</f>
        <v>17568277</v>
      </c>
      <c r="E2236" s="4" t="str">
        <f>"17568285"</f>
        <v>17568285</v>
      </c>
      <c r="F2236" s="4" t="s">
        <v>58</v>
      </c>
    </row>
    <row r="2237" spans="1:6" x14ac:dyDescent="0.25">
      <c r="A2237" s="4" t="str">
        <f>"International Journal of Steel Structures"</f>
        <v>International Journal of Steel Structures</v>
      </c>
      <c r="B2237" s="4" t="s">
        <v>6</v>
      </c>
      <c r="C2237" s="4" t="str">
        <f t="shared" si="84"/>
        <v>-</v>
      </c>
      <c r="D2237" s="4" t="str">
        <f>"15982351"</f>
        <v>15982351</v>
      </c>
      <c r="E2237" s="4" t="str">
        <f>"20936311"</f>
        <v>20936311</v>
      </c>
      <c r="F2237" s="4" t="s">
        <v>599</v>
      </c>
    </row>
    <row r="2238" spans="1:6" x14ac:dyDescent="0.25">
      <c r="A2238" s="4" t="str">
        <f>"International Journal of Structural Integrity"</f>
        <v>International Journal of Structural Integrity</v>
      </c>
      <c r="B2238" s="4" t="s">
        <v>6</v>
      </c>
      <c r="C2238" s="4" t="str">
        <f t="shared" si="84"/>
        <v>-</v>
      </c>
      <c r="D2238" s="4" t="str">
        <f>"17579864"</f>
        <v>17579864</v>
      </c>
      <c r="E2238" s="4" t="str">
        <f>"17579872"</f>
        <v>17579872</v>
      </c>
      <c r="F2238" s="4" t="s">
        <v>110</v>
      </c>
    </row>
    <row r="2239" spans="1:6" x14ac:dyDescent="0.25">
      <c r="A2239" s="4" t="str">
        <f>"International Journal of Structural Stability and Dynamics"</f>
        <v>International Journal of Structural Stability and Dynamics</v>
      </c>
      <c r="B2239" s="4" t="s">
        <v>6</v>
      </c>
      <c r="C2239" s="4" t="str">
        <f t="shared" si="84"/>
        <v>-</v>
      </c>
      <c r="D2239" s="4" t="str">
        <f>"02194554"</f>
        <v>02194554</v>
      </c>
      <c r="E2239" s="4" t="str">
        <f>"17936764"</f>
        <v>17936764</v>
      </c>
      <c r="F2239" s="4" t="s">
        <v>157</v>
      </c>
    </row>
    <row r="2240" spans="1:6" x14ac:dyDescent="0.25">
      <c r="A2240" s="4" t="str">
        <f>"International Journal of Surface Science and Engineering"</f>
        <v>International Journal of Surface Science and Engineering</v>
      </c>
      <c r="B2240" s="4" t="s">
        <v>6</v>
      </c>
      <c r="C2240" s="4" t="str">
        <f t="shared" si="84"/>
        <v>-</v>
      </c>
      <c r="D2240" s="4" t="str">
        <f>"1749785X"</f>
        <v>1749785X</v>
      </c>
      <c r="E2240" s="4" t="str">
        <f>"17497868"</f>
        <v>17497868</v>
      </c>
      <c r="F2240" s="4" t="s">
        <v>396</v>
      </c>
    </row>
    <row r="2241" spans="1:6" x14ac:dyDescent="0.25">
      <c r="A2241" s="4" t="str">
        <f>"International Journal of Sustainable Development"</f>
        <v>International Journal of Sustainable Development</v>
      </c>
      <c r="B2241" s="4" t="s">
        <v>6</v>
      </c>
      <c r="C2241" s="4" t="str">
        <f t="shared" si="84"/>
        <v>-</v>
      </c>
      <c r="D2241" s="4" t="str">
        <f>"09601406"</f>
        <v>09601406</v>
      </c>
      <c r="E2241" s="4" t="str">
        <f>"-"</f>
        <v>-</v>
      </c>
      <c r="F2241" s="4" t="s">
        <v>396</v>
      </c>
    </row>
    <row r="2242" spans="1:6" x14ac:dyDescent="0.25">
      <c r="A2242" s="4" t="str">
        <f>"International Journal of Sustainable Development and Planning"</f>
        <v>International Journal of Sustainable Development and Planning</v>
      </c>
      <c r="B2242" s="4" t="s">
        <v>6</v>
      </c>
      <c r="C2242" s="4" t="str">
        <f t="shared" si="84"/>
        <v>-</v>
      </c>
      <c r="D2242" s="4" t="str">
        <f>"17437601"</f>
        <v>17437601</v>
      </c>
      <c r="E2242" s="4" t="str">
        <f>"1743761X"</f>
        <v>1743761X</v>
      </c>
      <c r="F2242" s="4" t="s">
        <v>80</v>
      </c>
    </row>
    <row r="2243" spans="1:6" x14ac:dyDescent="0.25">
      <c r="A2243" s="4" t="str">
        <f>"International Journal of Sustainable Energy"</f>
        <v>International Journal of Sustainable Energy</v>
      </c>
      <c r="B2243" s="4" t="s">
        <v>6</v>
      </c>
      <c r="C2243" s="4" t="str">
        <f t="shared" si="84"/>
        <v>-</v>
      </c>
      <c r="D2243" s="4" t="str">
        <f>"14786451"</f>
        <v>14786451</v>
      </c>
      <c r="E2243" s="4" t="str">
        <f>"1478646X"</f>
        <v>1478646X</v>
      </c>
      <c r="F2243" s="4" t="s">
        <v>60</v>
      </c>
    </row>
    <row r="2244" spans="1:6" x14ac:dyDescent="0.25">
      <c r="A2244" s="4" t="str">
        <f>"International Journal of Sustainable Engineering"</f>
        <v>International Journal of Sustainable Engineering</v>
      </c>
      <c r="B2244" s="4" t="s">
        <v>6</v>
      </c>
      <c r="C2244" s="4" t="str">
        <f t="shared" si="84"/>
        <v>-</v>
      </c>
      <c r="D2244" s="4" t="str">
        <f>"19397038"</f>
        <v>19397038</v>
      </c>
      <c r="E2244" s="4" t="str">
        <f>"19397046"</f>
        <v>19397046</v>
      </c>
      <c r="F2244" s="4" t="s">
        <v>60</v>
      </c>
    </row>
    <row r="2245" spans="1:6" x14ac:dyDescent="0.25">
      <c r="A2245" s="4" t="str">
        <f>"International Journal of Sustainable Manufacturing"</f>
        <v>International Journal of Sustainable Manufacturing</v>
      </c>
      <c r="B2245" s="4" t="s">
        <v>6</v>
      </c>
      <c r="C2245" s="4" t="str">
        <f t="shared" si="84"/>
        <v>-</v>
      </c>
      <c r="D2245" s="4" t="str">
        <f>"17427223"</f>
        <v>17427223</v>
      </c>
      <c r="E2245" s="4" t="str">
        <f>"17427231"</f>
        <v>17427231</v>
      </c>
      <c r="F2245" s="4" t="s">
        <v>560</v>
      </c>
    </row>
    <row r="2246" spans="1:6" x14ac:dyDescent="0.25">
      <c r="A2246" s="4" t="str">
        <f>"International Journal of Sustainable Transportation"</f>
        <v>International Journal of Sustainable Transportation</v>
      </c>
      <c r="B2246" s="4" t="s">
        <v>6</v>
      </c>
      <c r="C2246" s="4" t="str">
        <f t="shared" si="84"/>
        <v>-</v>
      </c>
      <c r="D2246" s="4" t="str">
        <f>"15568318"</f>
        <v>15568318</v>
      </c>
      <c r="E2246" s="4" t="str">
        <f>"15568334"</f>
        <v>15568334</v>
      </c>
      <c r="F2246" s="4" t="s">
        <v>60</v>
      </c>
    </row>
    <row r="2247" spans="1:6" x14ac:dyDescent="0.25">
      <c r="A2247" s="4" t="str">
        <f>"International Journal of Systems Assurance Engineering and Management"</f>
        <v>International Journal of Systems Assurance Engineering and Management</v>
      </c>
      <c r="B2247" s="4" t="s">
        <v>6</v>
      </c>
      <c r="C2247" s="4" t="str">
        <f t="shared" si="84"/>
        <v>-</v>
      </c>
      <c r="D2247" s="4" t="str">
        <f>"09756809"</f>
        <v>09756809</v>
      </c>
      <c r="E2247" s="4" t="str">
        <f>"09764348"</f>
        <v>09764348</v>
      </c>
      <c r="F2247" s="4" t="s">
        <v>101</v>
      </c>
    </row>
    <row r="2248" spans="1:6" x14ac:dyDescent="0.25">
      <c r="A2248" s="4" t="str">
        <f>"International Journal of Systems Science"</f>
        <v>International Journal of Systems Science</v>
      </c>
      <c r="B2248" s="4" t="s">
        <v>6</v>
      </c>
      <c r="C2248" s="4" t="str">
        <f t="shared" si="84"/>
        <v>-</v>
      </c>
      <c r="D2248" s="4" t="str">
        <f>"00207721"</f>
        <v>00207721</v>
      </c>
      <c r="E2248" s="4" t="str">
        <f>"14645319"</f>
        <v>14645319</v>
      </c>
      <c r="F2248" s="4" t="s">
        <v>60</v>
      </c>
    </row>
    <row r="2249" spans="1:6" x14ac:dyDescent="0.25">
      <c r="A2249" s="4" t="str">
        <f>"International Journal of Technoethics"</f>
        <v>International Journal of Technoethics</v>
      </c>
      <c r="B2249" s="4" t="s">
        <v>6</v>
      </c>
      <c r="C2249" s="4" t="str">
        <f t="shared" si="84"/>
        <v>-</v>
      </c>
      <c r="D2249" s="4" t="str">
        <f>"19473451"</f>
        <v>19473451</v>
      </c>
      <c r="E2249" s="4" t="str">
        <f>"1947346X"</f>
        <v>1947346X</v>
      </c>
      <c r="F2249" s="4" t="s">
        <v>537</v>
      </c>
    </row>
    <row r="2250" spans="1:6" x14ac:dyDescent="0.25">
      <c r="A2250" s="4" t="str">
        <f>"International Journal of Technology and Design Education"</f>
        <v>International Journal of Technology and Design Education</v>
      </c>
      <c r="B2250" s="4" t="s">
        <v>6</v>
      </c>
      <c r="C2250" s="4" t="str">
        <f t="shared" si="84"/>
        <v>-</v>
      </c>
      <c r="D2250" s="4" t="str">
        <f>"09577572"</f>
        <v>09577572</v>
      </c>
      <c r="E2250" s="4" t="str">
        <f>"15731804"</f>
        <v>15731804</v>
      </c>
      <c r="F2250" s="4" t="s">
        <v>31</v>
      </c>
    </row>
    <row r="2251" spans="1:6" x14ac:dyDescent="0.25">
      <c r="A2251" s="4" t="str">
        <f>"International Journal of Technology and Human Interaction"</f>
        <v>International Journal of Technology and Human Interaction</v>
      </c>
      <c r="B2251" s="4" t="s">
        <v>6</v>
      </c>
      <c r="C2251" s="4" t="str">
        <f t="shared" si="84"/>
        <v>-</v>
      </c>
      <c r="D2251" s="4" t="str">
        <f>"15483908"</f>
        <v>15483908</v>
      </c>
      <c r="E2251" s="4" t="str">
        <f>"15483916"</f>
        <v>15483916</v>
      </c>
      <c r="F2251" s="4" t="s">
        <v>537</v>
      </c>
    </row>
    <row r="2252" spans="1:6" x14ac:dyDescent="0.25">
      <c r="A2252" s="4" t="str">
        <f>"International Journal of Technology Assessment in Health Care"</f>
        <v>International Journal of Technology Assessment in Health Care</v>
      </c>
      <c r="B2252" s="4" t="s">
        <v>6</v>
      </c>
      <c r="C2252" s="4" t="str">
        <f t="shared" si="84"/>
        <v>-</v>
      </c>
      <c r="D2252" s="4" t="str">
        <f>"02664623"</f>
        <v>02664623</v>
      </c>
      <c r="E2252" s="4" t="str">
        <f>"14716348"</f>
        <v>14716348</v>
      </c>
      <c r="F2252" s="4" t="s">
        <v>152</v>
      </c>
    </row>
    <row r="2253" spans="1:6" x14ac:dyDescent="0.25">
      <c r="A2253" s="4" t="str">
        <f>"International Journal of Technology Intelligence and Planning"</f>
        <v>International Journal of Technology Intelligence and Planning</v>
      </c>
      <c r="B2253" s="4" t="s">
        <v>6</v>
      </c>
      <c r="C2253" s="4" t="str">
        <f t="shared" si="84"/>
        <v>-</v>
      </c>
      <c r="D2253" s="4" t="str">
        <f>"17402832"</f>
        <v>17402832</v>
      </c>
      <c r="E2253" s="4" t="str">
        <f>"17402840"</f>
        <v>17402840</v>
      </c>
      <c r="F2253" s="4" t="s">
        <v>396</v>
      </c>
    </row>
    <row r="2254" spans="1:6" x14ac:dyDescent="0.25">
      <c r="A2254" s="4" t="str">
        <f>"International Journal of Technology Management"</f>
        <v>International Journal of Technology Management</v>
      </c>
      <c r="B2254" s="4" t="s">
        <v>6</v>
      </c>
      <c r="C2254" s="4" t="str">
        <f t="shared" si="84"/>
        <v>-</v>
      </c>
      <c r="D2254" s="4" t="str">
        <f>"02675730"</f>
        <v>02675730</v>
      </c>
      <c r="E2254" s="4" t="str">
        <f>"-"</f>
        <v>-</v>
      </c>
      <c r="F2254" s="4" t="s">
        <v>396</v>
      </c>
    </row>
    <row r="2255" spans="1:6" x14ac:dyDescent="0.25">
      <c r="A2255" s="4" t="str">
        <f>"International Journal of Technology, Policy and Management"</f>
        <v>International Journal of Technology, Policy and Management</v>
      </c>
      <c r="B2255" s="4" t="s">
        <v>6</v>
      </c>
      <c r="C2255" s="4" t="str">
        <f t="shared" si="84"/>
        <v>-</v>
      </c>
      <c r="D2255" s="4" t="str">
        <f>"14684322"</f>
        <v>14684322</v>
      </c>
      <c r="E2255" s="4" t="str">
        <f>"17415292"</f>
        <v>17415292</v>
      </c>
      <c r="F2255" s="4" t="s">
        <v>396</v>
      </c>
    </row>
    <row r="2256" spans="1:6" x14ac:dyDescent="0.25">
      <c r="A2256" s="4" t="str">
        <f>"International Journal of Telemedicine and Applications"</f>
        <v>International Journal of Telemedicine and Applications</v>
      </c>
      <c r="B2256" s="4" t="s">
        <v>6</v>
      </c>
      <c r="C2256" s="4" t="str">
        <f t="shared" si="84"/>
        <v>-</v>
      </c>
      <c r="D2256" s="4" t="str">
        <f>"16876415"</f>
        <v>16876415</v>
      </c>
      <c r="E2256" s="4" t="str">
        <f>"16876423"</f>
        <v>16876423</v>
      </c>
      <c r="F2256" s="4" t="s">
        <v>54</v>
      </c>
    </row>
    <row r="2257" spans="1:6" x14ac:dyDescent="0.25">
      <c r="A2257" s="4" t="str">
        <f>"International Journal of the Society of Material Engineering for Resources"</f>
        <v>International Journal of the Society of Material Engineering for Resources</v>
      </c>
      <c r="B2257" s="4" t="s">
        <v>6</v>
      </c>
      <c r="C2257" s="4" t="str">
        <f t="shared" si="84"/>
        <v>-</v>
      </c>
      <c r="D2257" s="4" t="str">
        <f>"13479725"</f>
        <v>13479725</v>
      </c>
      <c r="E2257" s="4" t="str">
        <f>"18846629 "</f>
        <v xml:space="preserve">18846629 </v>
      </c>
      <c r="F2257" s="4" t="s">
        <v>600</v>
      </c>
    </row>
    <row r="2258" spans="1:6" x14ac:dyDescent="0.25">
      <c r="A2258" s="4" t="str">
        <f>"International Journal of Thermal Sciences"</f>
        <v>International Journal of Thermal Sciences</v>
      </c>
      <c r="B2258" s="4" t="s">
        <v>6</v>
      </c>
      <c r="C2258" s="4" t="str">
        <f t="shared" si="84"/>
        <v>-</v>
      </c>
      <c r="D2258" s="4" t="str">
        <f>"12900729"</f>
        <v>12900729</v>
      </c>
      <c r="E2258" s="4" t="str">
        <f>"-"</f>
        <v>-</v>
      </c>
      <c r="F2258" s="4" t="s">
        <v>97</v>
      </c>
    </row>
    <row r="2259" spans="1:6" x14ac:dyDescent="0.25">
      <c r="A2259" s="4" t="str">
        <f>"International Journal of Thermodynamics"</f>
        <v>International Journal of Thermodynamics</v>
      </c>
      <c r="B2259" s="4" t="s">
        <v>6</v>
      </c>
      <c r="C2259" s="4" t="str">
        <f t="shared" si="84"/>
        <v>-</v>
      </c>
      <c r="D2259" s="4" t="str">
        <f>"13019724"</f>
        <v>13019724</v>
      </c>
      <c r="E2259" s="4" t="str">
        <f>"-"</f>
        <v>-</v>
      </c>
      <c r="F2259" s="4" t="s">
        <v>601</v>
      </c>
    </row>
    <row r="2260" spans="1:6" x14ac:dyDescent="0.25">
      <c r="A2260" s="4" t="str">
        <f>"International Journal of Thermophysics"</f>
        <v>International Journal of Thermophysics</v>
      </c>
      <c r="B2260" s="4" t="s">
        <v>6</v>
      </c>
      <c r="C2260" s="4" t="str">
        <f t="shared" si="84"/>
        <v>-</v>
      </c>
      <c r="D2260" s="4" t="str">
        <f>"0195928X"</f>
        <v>0195928X</v>
      </c>
      <c r="E2260" s="4" t="str">
        <f>"-"</f>
        <v>-</v>
      </c>
      <c r="F2260" s="4" t="s">
        <v>57</v>
      </c>
    </row>
    <row r="2261" spans="1:6" x14ac:dyDescent="0.25">
      <c r="A2261" s="4" t="str">
        <f>"International Journal of Turbo and Jet Engines"</f>
        <v>International Journal of Turbo and Jet Engines</v>
      </c>
      <c r="B2261" s="4" t="s">
        <v>6</v>
      </c>
      <c r="C2261" s="4" t="str">
        <f t="shared" si="84"/>
        <v>-</v>
      </c>
      <c r="D2261" s="4" t="str">
        <f>"03340082"</f>
        <v>03340082</v>
      </c>
      <c r="E2261" s="4" t="str">
        <f>"21910332"</f>
        <v>21910332</v>
      </c>
      <c r="F2261" s="4" t="s">
        <v>189</v>
      </c>
    </row>
    <row r="2262" spans="1:6" x14ac:dyDescent="0.25">
      <c r="A2262" s="4" t="str">
        <f>"International Journal of u- and e- Service, Science and Technology"</f>
        <v>International Journal of u- and e- Service, Science and Technology</v>
      </c>
      <c r="B2262" s="4" t="s">
        <v>6</v>
      </c>
      <c r="C2262" s="4" t="str">
        <f t="shared" si="84"/>
        <v>-</v>
      </c>
      <c r="D2262" s="4" t="str">
        <f>"20054246"</f>
        <v>20054246</v>
      </c>
      <c r="E2262" s="4" t="str">
        <f>"-"</f>
        <v>-</v>
      </c>
      <c r="F2262" s="4" t="s">
        <v>572</v>
      </c>
    </row>
    <row r="2263" spans="1:6" x14ac:dyDescent="0.25">
      <c r="A2263" s="4" t="str">
        <f>"International Journal of Uncertainty, Fuzziness and Knowlege-Based Systems"</f>
        <v>International Journal of Uncertainty, Fuzziness and Knowlege-Based Systems</v>
      </c>
      <c r="B2263" s="4" t="s">
        <v>6</v>
      </c>
      <c r="C2263" s="4" t="str">
        <f t="shared" si="84"/>
        <v>-</v>
      </c>
      <c r="D2263" s="4" t="str">
        <f>"02184885"</f>
        <v>02184885</v>
      </c>
      <c r="E2263" s="4" t="str">
        <f>"-"</f>
        <v>-</v>
      </c>
      <c r="F2263" s="4" t="s">
        <v>157</v>
      </c>
    </row>
    <row r="2264" spans="1:6" x14ac:dyDescent="0.25">
      <c r="A2264" s="4" t="str">
        <f>"International Journal of Unconventional Computing"</f>
        <v>International Journal of Unconventional Computing</v>
      </c>
      <c r="B2264" s="4" t="s">
        <v>6</v>
      </c>
      <c r="C2264" s="4" t="str">
        <f t="shared" si="84"/>
        <v>-</v>
      </c>
      <c r="D2264" s="4" t="str">
        <f>"15487199"</f>
        <v>15487199</v>
      </c>
      <c r="E2264" s="4" t="str">
        <f>"15487202"</f>
        <v>15487202</v>
      </c>
      <c r="F2264" s="4" t="s">
        <v>485</v>
      </c>
    </row>
    <row r="2265" spans="1:6" x14ac:dyDescent="0.25">
      <c r="A2265" s="4" t="str">
        <f>"International Journal of Vehicle Autonomous Systems"</f>
        <v>International Journal of Vehicle Autonomous Systems</v>
      </c>
      <c r="B2265" s="4" t="s">
        <v>6</v>
      </c>
      <c r="C2265" s="4" t="str">
        <f t="shared" si="84"/>
        <v>-</v>
      </c>
      <c r="D2265" s="4" t="str">
        <f>"14710226"</f>
        <v>14710226</v>
      </c>
      <c r="E2265" s="4" t="str">
        <f>"-"</f>
        <v>-</v>
      </c>
      <c r="F2265" s="4" t="s">
        <v>396</v>
      </c>
    </row>
    <row r="2266" spans="1:6" x14ac:dyDescent="0.25">
      <c r="A2266" s="4" t="str">
        <f>"International Journal of Vehicle Design"</f>
        <v>International Journal of Vehicle Design</v>
      </c>
      <c r="B2266" s="4" t="s">
        <v>6</v>
      </c>
      <c r="C2266" s="4" t="str">
        <f t="shared" si="84"/>
        <v>-</v>
      </c>
      <c r="D2266" s="4" t="str">
        <f>"01433369"</f>
        <v>01433369</v>
      </c>
      <c r="E2266" s="4" t="str">
        <f>"-"</f>
        <v>-</v>
      </c>
      <c r="F2266" s="4" t="s">
        <v>396</v>
      </c>
    </row>
    <row r="2267" spans="1:6" x14ac:dyDescent="0.25">
      <c r="A2267" s="4" t="str">
        <f>"International Journal of Vehicle Information and Communication Systems"</f>
        <v>International Journal of Vehicle Information and Communication Systems</v>
      </c>
      <c r="B2267" s="4" t="s">
        <v>6</v>
      </c>
      <c r="C2267" s="4" t="str">
        <f t="shared" si="84"/>
        <v>-</v>
      </c>
      <c r="D2267" s="4" t="str">
        <f>"14710242"</f>
        <v>14710242</v>
      </c>
      <c r="E2267" s="4" t="str">
        <f>"17418208"</f>
        <v>17418208</v>
      </c>
      <c r="F2267" s="4" t="s">
        <v>396</v>
      </c>
    </row>
    <row r="2268" spans="1:6" x14ac:dyDescent="0.25">
      <c r="A2268" s="4" t="str">
        <f>"International Journal of Vehicle Noise and Vibration"</f>
        <v>International Journal of Vehicle Noise and Vibration</v>
      </c>
      <c r="B2268" s="4" t="s">
        <v>6</v>
      </c>
      <c r="C2268" s="4" t="str">
        <f t="shared" si="84"/>
        <v>-</v>
      </c>
      <c r="D2268" s="4" t="str">
        <f>"14791471"</f>
        <v>14791471</v>
      </c>
      <c r="E2268" s="4" t="str">
        <f>"1479148X"</f>
        <v>1479148X</v>
      </c>
      <c r="F2268" s="4" t="s">
        <v>396</v>
      </c>
    </row>
    <row r="2269" spans="1:6" x14ac:dyDescent="0.25">
      <c r="A2269" s="4" t="str">
        <f>"International Journal of Vehicle Safety"</f>
        <v>International Journal of Vehicle Safety</v>
      </c>
      <c r="B2269" s="4" t="s">
        <v>6</v>
      </c>
      <c r="C2269" s="4" t="str">
        <f t="shared" ref="C2269:C2303" si="85">"-"</f>
        <v>-</v>
      </c>
      <c r="D2269" s="4" t="str">
        <f>"14793105"</f>
        <v>14793105</v>
      </c>
      <c r="E2269" s="4" t="str">
        <f>"14793113"</f>
        <v>14793113</v>
      </c>
      <c r="F2269" s="4" t="s">
        <v>396</v>
      </c>
    </row>
    <row r="2270" spans="1:6" x14ac:dyDescent="0.25">
      <c r="A2270" s="4" t="str">
        <f>"International Journal of Vehicle Structures and Systems"</f>
        <v>International Journal of Vehicle Structures and Systems</v>
      </c>
      <c r="B2270" s="4" t="s">
        <v>6</v>
      </c>
      <c r="C2270" s="4" t="str">
        <f t="shared" si="85"/>
        <v>-</v>
      </c>
      <c r="D2270" s="4" t="str">
        <f>"09753060"</f>
        <v>09753060</v>
      </c>
      <c r="E2270" s="4" t="str">
        <f>"09753540"</f>
        <v>09753540</v>
      </c>
      <c r="F2270" s="4" t="s">
        <v>602</v>
      </c>
    </row>
    <row r="2271" spans="1:6" x14ac:dyDescent="0.25">
      <c r="A2271" s="4" t="str">
        <f>"International Journal of Vehicle Systems Modelling and Testing"</f>
        <v>International Journal of Vehicle Systems Modelling and Testing</v>
      </c>
      <c r="B2271" s="4" t="s">
        <v>6</v>
      </c>
      <c r="C2271" s="4" t="str">
        <f t="shared" si="85"/>
        <v>-</v>
      </c>
      <c r="D2271" s="4" t="str">
        <f>"17456436"</f>
        <v>17456436</v>
      </c>
      <c r="E2271" s="4" t="str">
        <f>"17456444"</f>
        <v>17456444</v>
      </c>
      <c r="F2271" s="4" t="s">
        <v>396</v>
      </c>
    </row>
    <row r="2272" spans="1:6" x14ac:dyDescent="0.25">
      <c r="A2272" s="4" t="str">
        <f>"International Journal of Ventilation"</f>
        <v>International Journal of Ventilation</v>
      </c>
      <c r="B2272" s="4" t="s">
        <v>6</v>
      </c>
      <c r="C2272" s="4" t="str">
        <f t="shared" si="85"/>
        <v>-</v>
      </c>
      <c r="D2272" s="4" t="str">
        <f>"14733315"</f>
        <v>14733315</v>
      </c>
      <c r="E2272" s="4" t="str">
        <f>"20444044"</f>
        <v>20444044</v>
      </c>
      <c r="F2272" s="4" t="s">
        <v>603</v>
      </c>
    </row>
    <row r="2273" spans="1:6" x14ac:dyDescent="0.25">
      <c r="A2273" s="4" t="str">
        <f>"International Journal of Water"</f>
        <v>International Journal of Water</v>
      </c>
      <c r="B2273" s="4" t="s">
        <v>6</v>
      </c>
      <c r="C2273" s="4" t="str">
        <f t="shared" si="85"/>
        <v>-</v>
      </c>
      <c r="D2273" s="4" t="str">
        <f>"14656620"</f>
        <v>14656620</v>
      </c>
      <c r="E2273" s="4" t="str">
        <f>"17415322"</f>
        <v>17415322</v>
      </c>
      <c r="F2273" s="4" t="s">
        <v>396</v>
      </c>
    </row>
    <row r="2274" spans="1:6" x14ac:dyDescent="0.25">
      <c r="A2274" s="4" t="str">
        <f>"International Journal of Water Resources Development"</f>
        <v>International Journal of Water Resources Development</v>
      </c>
      <c r="B2274" s="4" t="s">
        <v>6</v>
      </c>
      <c r="C2274" s="4" t="str">
        <f t="shared" si="85"/>
        <v>-</v>
      </c>
      <c r="D2274" s="4" t="str">
        <f>"07900627"</f>
        <v>07900627</v>
      </c>
      <c r="E2274" s="4" t="str">
        <f>"13600648"</f>
        <v>13600648</v>
      </c>
      <c r="F2274" s="4" t="s">
        <v>211</v>
      </c>
    </row>
    <row r="2275" spans="1:6" x14ac:dyDescent="0.25">
      <c r="A2275" s="4" t="str">
        <f>"International Journal of Wavelets, Multiresolution and Information Processing"</f>
        <v>International Journal of Wavelets, Multiresolution and Information Processing</v>
      </c>
      <c r="B2275" s="4" t="s">
        <v>6</v>
      </c>
      <c r="C2275" s="4" t="str">
        <f t="shared" si="85"/>
        <v>-</v>
      </c>
      <c r="D2275" s="4" t="str">
        <f>"02196913"</f>
        <v>02196913</v>
      </c>
      <c r="E2275" s="4" t="str">
        <f>"-"</f>
        <v>-</v>
      </c>
      <c r="F2275" s="4" t="s">
        <v>157</v>
      </c>
    </row>
    <row r="2276" spans="1:6" x14ac:dyDescent="0.25">
      <c r="A2276" s="4" t="str">
        <f>"International Journal of Web and Grid Services"</f>
        <v>International Journal of Web and Grid Services</v>
      </c>
      <c r="B2276" s="4" t="s">
        <v>6</v>
      </c>
      <c r="C2276" s="4" t="str">
        <f t="shared" si="85"/>
        <v>-</v>
      </c>
      <c r="D2276" s="4" t="str">
        <f>"17411106"</f>
        <v>17411106</v>
      </c>
      <c r="E2276" s="4" t="str">
        <f>"17411114"</f>
        <v>17411114</v>
      </c>
      <c r="F2276" s="4" t="s">
        <v>396</v>
      </c>
    </row>
    <row r="2277" spans="1:6" x14ac:dyDescent="0.25">
      <c r="A2277" s="4" t="str">
        <f>"International Journal of Web Based Communities"</f>
        <v>International Journal of Web Based Communities</v>
      </c>
      <c r="B2277" s="4" t="s">
        <v>6</v>
      </c>
      <c r="C2277" s="4" t="str">
        <f t="shared" si="85"/>
        <v>-</v>
      </c>
      <c r="D2277" s="4" t="str">
        <f>"14778394"</f>
        <v>14778394</v>
      </c>
      <c r="E2277" s="4" t="str">
        <f>"17418216"</f>
        <v>17418216</v>
      </c>
      <c r="F2277" s="4" t="s">
        <v>396</v>
      </c>
    </row>
    <row r="2278" spans="1:6" x14ac:dyDescent="0.25">
      <c r="A2278" s="4" t="str">
        <f>"International Journal of Web Engineering and Technology"</f>
        <v>International Journal of Web Engineering and Technology</v>
      </c>
      <c r="B2278" s="4" t="s">
        <v>6</v>
      </c>
      <c r="C2278" s="4" t="str">
        <f t="shared" si="85"/>
        <v>-</v>
      </c>
      <c r="D2278" s="4" t="str">
        <f>"14761289"</f>
        <v>14761289</v>
      </c>
      <c r="E2278" s="4" t="str">
        <f>"17419212"</f>
        <v>17419212</v>
      </c>
      <c r="F2278" s="4" t="s">
        <v>396</v>
      </c>
    </row>
    <row r="2279" spans="1:6" x14ac:dyDescent="0.25">
      <c r="A2279" s="4" t="str">
        <f>"International Journal of Web Information Systems"</f>
        <v>International Journal of Web Information Systems</v>
      </c>
      <c r="B2279" s="4" t="s">
        <v>6</v>
      </c>
      <c r="C2279" s="4" t="str">
        <f t="shared" si="85"/>
        <v>-</v>
      </c>
      <c r="D2279" s="4" t="str">
        <f>"17440084"</f>
        <v>17440084</v>
      </c>
      <c r="E2279" s="4" t="str">
        <f>"17440092 "</f>
        <v xml:space="preserve">17440092 </v>
      </c>
      <c r="F2279" s="4" t="s">
        <v>110</v>
      </c>
    </row>
    <row r="2280" spans="1:6" x14ac:dyDescent="0.25">
      <c r="A2280" s="4" t="str">
        <f>"International Journal of Web Portals"</f>
        <v>International Journal of Web Portals</v>
      </c>
      <c r="B2280" s="4" t="s">
        <v>6</v>
      </c>
      <c r="C2280" s="4" t="str">
        <f t="shared" si="85"/>
        <v>-</v>
      </c>
      <c r="D2280" s="4" t="str">
        <f>"19380194"</f>
        <v>19380194</v>
      </c>
      <c r="E2280" s="4" t="str">
        <f>"19380208"</f>
        <v>19380208</v>
      </c>
      <c r="F2280" s="4" t="s">
        <v>537</v>
      </c>
    </row>
    <row r="2281" spans="1:6" x14ac:dyDescent="0.25">
      <c r="A2281" s="4" t="str">
        <f>"International Journal of Web Services Research"</f>
        <v>International Journal of Web Services Research</v>
      </c>
      <c r="B2281" s="4" t="s">
        <v>6</v>
      </c>
      <c r="C2281" s="4" t="str">
        <f t="shared" si="85"/>
        <v>-</v>
      </c>
      <c r="D2281" s="4" t="str">
        <f>"15457362"</f>
        <v>15457362</v>
      </c>
      <c r="E2281" s="4" t="str">
        <f>"15465004"</f>
        <v>15465004</v>
      </c>
      <c r="F2281" s="4" t="s">
        <v>537</v>
      </c>
    </row>
    <row r="2282" spans="1:6" x14ac:dyDescent="0.25">
      <c r="A2282" s="4" t="str">
        <f>"International Journal of Wireless and Mobile Computing"</f>
        <v>International Journal of Wireless and Mobile Computing</v>
      </c>
      <c r="B2282" s="4" t="s">
        <v>6</v>
      </c>
      <c r="C2282" s="4" t="str">
        <f t="shared" si="85"/>
        <v>-</v>
      </c>
      <c r="D2282" s="4" t="str">
        <f>"17411084"</f>
        <v>17411084</v>
      </c>
      <c r="E2282" s="4" t="str">
        <f>"17411092"</f>
        <v>17411092</v>
      </c>
      <c r="F2282" s="4" t="s">
        <v>396</v>
      </c>
    </row>
    <row r="2283" spans="1:6" x14ac:dyDescent="0.25">
      <c r="A2283" s="4" t="str">
        <f>"International Journal of Wireless Information Networks"</f>
        <v>International Journal of Wireless Information Networks</v>
      </c>
      <c r="B2283" s="4" t="s">
        <v>6</v>
      </c>
      <c r="C2283" s="4" t="str">
        <f t="shared" si="85"/>
        <v>-</v>
      </c>
      <c r="D2283" s="4" t="str">
        <f>"10689605"</f>
        <v>10689605</v>
      </c>
      <c r="E2283" s="4" t="str">
        <f>"15728129"</f>
        <v>15728129</v>
      </c>
      <c r="F2283" s="4" t="s">
        <v>57</v>
      </c>
    </row>
    <row r="2284" spans="1:6" x14ac:dyDescent="0.25">
      <c r="A2284" s="4" t="str">
        <f>"International Journal on Artificial Intelligence Tools"</f>
        <v>International Journal on Artificial Intelligence Tools</v>
      </c>
      <c r="B2284" s="4" t="s">
        <v>6</v>
      </c>
      <c r="C2284" s="4" t="str">
        <f t="shared" si="85"/>
        <v>-</v>
      </c>
      <c r="D2284" s="4" t="str">
        <f>"02182130"</f>
        <v>02182130</v>
      </c>
      <c r="E2284" s="4" t="str">
        <f>"17936349"</f>
        <v>17936349</v>
      </c>
      <c r="F2284" s="4" t="s">
        <v>157</v>
      </c>
    </row>
    <row r="2285" spans="1:6" x14ac:dyDescent="0.25">
      <c r="A2285" s="4" t="str">
        <f>"International Journal on Document Analysis and Recognition"</f>
        <v>International Journal on Document Analysis and Recognition</v>
      </c>
      <c r="B2285" s="4" t="s">
        <v>6</v>
      </c>
      <c r="C2285" s="4" t="str">
        <f t="shared" si="85"/>
        <v>-</v>
      </c>
      <c r="D2285" s="4" t="str">
        <f>"14332833"</f>
        <v>14332833</v>
      </c>
      <c r="E2285" s="4" t="str">
        <f>"14332825"</f>
        <v>14332825</v>
      </c>
      <c r="F2285" s="4" t="s">
        <v>42</v>
      </c>
    </row>
    <row r="2286" spans="1:6" x14ac:dyDescent="0.25">
      <c r="A2286" s="4" t="str">
        <f>"International Journal on Hydropower and Dams"</f>
        <v>International Journal on Hydropower and Dams</v>
      </c>
      <c r="B2286" s="4" t="s">
        <v>6</v>
      </c>
      <c r="C2286" s="4" t="str">
        <f t="shared" si="85"/>
        <v>-</v>
      </c>
      <c r="D2286" s="4" t="str">
        <f>"13522523"</f>
        <v>13522523</v>
      </c>
      <c r="E2286" s="4" t="str">
        <f>"-"</f>
        <v>-</v>
      </c>
      <c r="F2286" s="4" t="s">
        <v>604</v>
      </c>
    </row>
    <row r="2287" spans="1:6" x14ac:dyDescent="0.25">
      <c r="A2287" s="4" t="str">
        <f>"International Journal on Interactive Design and Manufacturing"</f>
        <v>International Journal on Interactive Design and Manufacturing</v>
      </c>
      <c r="B2287" s="4" t="s">
        <v>6</v>
      </c>
      <c r="C2287" s="4" t="str">
        <f t="shared" si="85"/>
        <v>-</v>
      </c>
      <c r="D2287" s="4" t="str">
        <f>"19552513"</f>
        <v>19552513</v>
      </c>
      <c r="E2287" s="4" t="str">
        <f>"19552505"</f>
        <v>19552505</v>
      </c>
      <c r="F2287" s="4" t="s">
        <v>123</v>
      </c>
    </row>
    <row r="2288" spans="1:6" x14ac:dyDescent="0.25">
      <c r="A2288" s="4" t="str">
        <f>"International Journal on Semantic Web and Information Systems"</f>
        <v>International Journal on Semantic Web and Information Systems</v>
      </c>
      <c r="B2288" s="4" t="s">
        <v>6</v>
      </c>
      <c r="C2288" s="4" t="str">
        <f t="shared" si="85"/>
        <v>-</v>
      </c>
      <c r="D2288" s="4" t="str">
        <f>"15526283"</f>
        <v>15526283</v>
      </c>
      <c r="E2288" s="4" t="str">
        <f>"15526291"</f>
        <v>15526291</v>
      </c>
      <c r="F2288" s="4" t="s">
        <v>537</v>
      </c>
    </row>
    <row r="2289" spans="1:6" x14ac:dyDescent="0.25">
      <c r="A2289" s="4" t="str">
        <f>"International Journal on Smart Sensing and Intelligent Systems"</f>
        <v>International Journal on Smart Sensing and Intelligent Systems</v>
      </c>
      <c r="B2289" s="4" t="s">
        <v>6</v>
      </c>
      <c r="C2289" s="4" t="str">
        <f t="shared" si="85"/>
        <v>-</v>
      </c>
      <c r="D2289" s="4" t="str">
        <f>"-"</f>
        <v>-</v>
      </c>
      <c r="E2289" s="4" t="str">
        <f>"11785608"</f>
        <v>11785608</v>
      </c>
      <c r="F2289" s="4" t="s">
        <v>605</v>
      </c>
    </row>
    <row r="2290" spans="1:6" x14ac:dyDescent="0.25">
      <c r="A2290" s="4" t="str">
        <f>"International Journal on Software Tools for Technology Transfer"</f>
        <v>International Journal on Software Tools for Technology Transfer</v>
      </c>
      <c r="B2290" s="4" t="s">
        <v>6</v>
      </c>
      <c r="C2290" s="4" t="str">
        <f t="shared" si="85"/>
        <v>-</v>
      </c>
      <c r="D2290" s="4" t="str">
        <f>"14332779"</f>
        <v>14332779</v>
      </c>
      <c r="E2290" s="4" t="str">
        <f>"14332787"</f>
        <v>14332787</v>
      </c>
      <c r="F2290" s="4" t="s">
        <v>42</v>
      </c>
    </row>
    <row r="2291" spans="1:6" x14ac:dyDescent="0.25">
      <c r="A2291" s="4" t="str">
        <f>"International Materials Reviews"</f>
        <v>International Materials Reviews</v>
      </c>
      <c r="B2291" s="4" t="s">
        <v>6</v>
      </c>
      <c r="C2291" s="4" t="str">
        <f t="shared" si="85"/>
        <v>-</v>
      </c>
      <c r="D2291" s="4" t="str">
        <f>"09506608"</f>
        <v>09506608</v>
      </c>
      <c r="E2291" s="4" t="str">
        <f>"17432804"</f>
        <v>17432804</v>
      </c>
      <c r="F2291" s="4" t="s">
        <v>70</v>
      </c>
    </row>
    <row r="2292" spans="1:6" ht="30" x14ac:dyDescent="0.25">
      <c r="A2292" s="4" t="str">
        <f>"International Multidisciplinary Scientific GeoConference Surveying Geology and Mining Ecology Management, SGEM"</f>
        <v>International Multidisciplinary Scientific GeoConference Surveying Geology and Mining Ecology Management, SGEM</v>
      </c>
      <c r="B2292" s="4" t="s">
        <v>8</v>
      </c>
      <c r="C2292" s="4" t="str">
        <f t="shared" si="85"/>
        <v>-</v>
      </c>
      <c r="D2292" s="4" t="str">
        <f>"13142704"</f>
        <v>13142704</v>
      </c>
      <c r="E2292" s="4" t="str">
        <f t="shared" ref="E2292:E2298" si="86">"-"</f>
        <v>-</v>
      </c>
      <c r="F2292" s="4" t="s">
        <v>606</v>
      </c>
    </row>
    <row r="2293" spans="1:6" x14ac:dyDescent="0.25">
      <c r="A2293" s="4" t="str">
        <f>"International Paper and Coating Chemistry Symposium, Proceedings"</f>
        <v>International Paper and Coating Chemistry Symposium, Proceedings</v>
      </c>
      <c r="B2293" s="4" t="s">
        <v>8</v>
      </c>
      <c r="C2293" s="4" t="str">
        <f t="shared" si="85"/>
        <v>-</v>
      </c>
      <c r="D2293" s="4" t="str">
        <f>"-"</f>
        <v>-</v>
      </c>
      <c r="E2293" s="4" t="str">
        <f t="shared" si="86"/>
        <v>-</v>
      </c>
      <c r="F2293" s="4" t="s">
        <v>306</v>
      </c>
    </row>
    <row r="2294" spans="1:6" x14ac:dyDescent="0.25">
      <c r="A2294" s="4" t="str">
        <f>"International Paper Board Industry"</f>
        <v>International Paper Board Industry</v>
      </c>
      <c r="B2294" s="4" t="s">
        <v>22</v>
      </c>
      <c r="C2294" s="4" t="str">
        <f t="shared" si="85"/>
        <v>-</v>
      </c>
      <c r="D2294" s="4" t="str">
        <f>"00208191"</f>
        <v>00208191</v>
      </c>
      <c r="E2294" s="4" t="str">
        <f t="shared" si="86"/>
        <v>-</v>
      </c>
      <c r="F2294" s="4" t="s">
        <v>607</v>
      </c>
    </row>
    <row r="2295" spans="1:6" x14ac:dyDescent="0.25">
      <c r="A2295" s="4" t="str">
        <f>"International Paper Physics Conference, Proceedings"</f>
        <v>International Paper Physics Conference, Proceedings</v>
      </c>
      <c r="B2295" s="4" t="s">
        <v>8</v>
      </c>
      <c r="C2295" s="4" t="str">
        <f t="shared" si="85"/>
        <v>-</v>
      </c>
      <c r="D2295" s="4" t="str">
        <f>"-"</f>
        <v>-</v>
      </c>
      <c r="E2295" s="4" t="str">
        <f t="shared" si="86"/>
        <v>-</v>
      </c>
      <c r="F2295" s="4" t="s">
        <v>306</v>
      </c>
    </row>
    <row r="2296" spans="1:6" x14ac:dyDescent="0.25">
      <c r="A2296" s="4" t="str">
        <f>"International Paperworld IPW"</f>
        <v>International Paperworld IPW</v>
      </c>
      <c r="B2296" s="4" t="s">
        <v>22</v>
      </c>
      <c r="C2296" s="4" t="str">
        <f t="shared" si="85"/>
        <v>-</v>
      </c>
      <c r="D2296" s="4" t="str">
        <f>"16151720"</f>
        <v>16151720</v>
      </c>
      <c r="E2296" s="4" t="str">
        <f t="shared" si="86"/>
        <v>-</v>
      </c>
      <c r="F2296" s="4" t="s">
        <v>608</v>
      </c>
    </row>
    <row r="2297" spans="1:6" x14ac:dyDescent="0.25">
      <c r="A2297" s="4" t="str">
        <f>"International Plant Propagators' Society. Combined Proceedings of Annual Meetings"</f>
        <v>International Plant Propagators' Society. Combined Proceedings of Annual Meetings</v>
      </c>
      <c r="B2297" s="4" t="s">
        <v>8</v>
      </c>
      <c r="C2297" s="4" t="str">
        <f t="shared" si="85"/>
        <v>-</v>
      </c>
      <c r="D2297" s="4" t="str">
        <f>"05389143"</f>
        <v>05389143</v>
      </c>
      <c r="E2297" s="4" t="str">
        <f t="shared" si="86"/>
        <v>-</v>
      </c>
      <c r="F2297" s="4" t="s">
        <v>609</v>
      </c>
    </row>
    <row r="2298" spans="1:6" x14ac:dyDescent="0.25">
      <c r="A2298" s="4" t="str">
        <f>"International Polymer Processing"</f>
        <v>International Polymer Processing</v>
      </c>
      <c r="B2298" s="4" t="s">
        <v>6</v>
      </c>
      <c r="C2298" s="4" t="str">
        <f t="shared" si="85"/>
        <v>-</v>
      </c>
      <c r="D2298" s="4" t="str">
        <f>"0930777X"</f>
        <v>0930777X</v>
      </c>
      <c r="E2298" s="4" t="str">
        <f t="shared" si="86"/>
        <v>-</v>
      </c>
      <c r="F2298" s="4" t="s">
        <v>490</v>
      </c>
    </row>
    <row r="2299" spans="1:6" x14ac:dyDescent="0.25">
      <c r="A2299" s="4" t="str">
        <f>"International Polymer Science and Technology"</f>
        <v>International Polymer Science and Technology</v>
      </c>
      <c r="B2299" s="4" t="s">
        <v>6</v>
      </c>
      <c r="C2299" s="4" t="str">
        <f t="shared" si="85"/>
        <v>-</v>
      </c>
      <c r="D2299" s="4" t="str">
        <f>"0307174X"</f>
        <v>0307174X</v>
      </c>
      <c r="E2299" s="4" t="str">
        <f>"14782405"</f>
        <v>14782405</v>
      </c>
      <c r="F2299" s="4" t="s">
        <v>251</v>
      </c>
    </row>
    <row r="2300" spans="1:6" x14ac:dyDescent="0.25">
      <c r="A2300" s="4" t="str">
        <f>"International Power and Energy Conference, IPEC"</f>
        <v>International Power and Energy Conference, IPEC</v>
      </c>
      <c r="B2300" s="4" t="s">
        <v>8</v>
      </c>
      <c r="C2300" s="4" t="str">
        <f t="shared" si="85"/>
        <v>-</v>
      </c>
      <c r="D2300" s="4" t="str">
        <f>"19471262"</f>
        <v>19471262</v>
      </c>
      <c r="E2300" s="4" t="str">
        <f>"19471270"</f>
        <v>19471270</v>
      </c>
      <c r="F2300" s="4" t="s">
        <v>105</v>
      </c>
    </row>
    <row r="2301" spans="1:6" x14ac:dyDescent="0.25">
      <c r="A2301" s="4" t="str">
        <f>"International Power Electronics Congress - CIEP"</f>
        <v>International Power Electronics Congress - CIEP</v>
      </c>
      <c r="B2301" s="4" t="s">
        <v>8</v>
      </c>
      <c r="C2301" s="4" t="str">
        <f t="shared" si="85"/>
        <v>-</v>
      </c>
      <c r="D2301" s="4" t="str">
        <f>"-"</f>
        <v>-</v>
      </c>
      <c r="E2301" s="4" t="str">
        <f>"-"</f>
        <v>-</v>
      </c>
      <c r="F2301" s="4" t="s">
        <v>105</v>
      </c>
    </row>
    <row r="2302" spans="1:6" x14ac:dyDescent="0.25">
      <c r="A2302" s="4" t="str">
        <f>"International SAMPE Symposium and Exhibition (Proceedings)"</f>
        <v>International SAMPE Symposium and Exhibition (Proceedings)</v>
      </c>
      <c r="B2302" s="4" t="s">
        <v>8</v>
      </c>
      <c r="C2302" s="4" t="str">
        <f t="shared" si="85"/>
        <v>-</v>
      </c>
      <c r="D2302" s="4" t="str">
        <f>"08910138"</f>
        <v>08910138</v>
      </c>
      <c r="E2302" s="4" t="str">
        <f>"-"</f>
        <v>-</v>
      </c>
      <c r="F2302" s="4" t="s">
        <v>610</v>
      </c>
    </row>
    <row r="2303" spans="1:6" x14ac:dyDescent="0.25">
      <c r="A2303" s="4" t="str">
        <f>"International SAMPE Technical Conference"</f>
        <v>International SAMPE Technical Conference</v>
      </c>
      <c r="B2303" s="4" t="s">
        <v>8</v>
      </c>
      <c r="C2303" s="4" t="str">
        <f t="shared" si="85"/>
        <v>-</v>
      </c>
      <c r="D2303" s="4" t="str">
        <f>"-"</f>
        <v>-</v>
      </c>
      <c r="E2303" s="4" t="str">
        <f>"-"</f>
        <v>-</v>
      </c>
      <c r="F2303" s="4" t="s">
        <v>610</v>
      </c>
    </row>
    <row r="2304" spans="1:6" x14ac:dyDescent="0.25">
      <c r="A2304" s="4" t="str">
        <f>"International series on information systems and management in creative eMedia "</f>
        <v xml:space="preserve">International series on information systems and management in creative eMedia </v>
      </c>
      <c r="B2304" s="4" t="s">
        <v>8</v>
      </c>
      <c r="C2304" s="4" t="str">
        <f>"9781510800168"</f>
        <v>9781510800168</v>
      </c>
      <c r="D2304" s="4" t="str">
        <f>"23415576"</f>
        <v>23415576</v>
      </c>
      <c r="E2304" s="4" t="str">
        <f>"-"</f>
        <v>-</v>
      </c>
      <c r="F2304" s="4" t="s">
        <v>611</v>
      </c>
    </row>
    <row r="2305" spans="1:6" x14ac:dyDescent="0.25">
      <c r="A2305" s="4" t="str">
        <f>"International Shipbuilding Progress"</f>
        <v>International Shipbuilding Progress</v>
      </c>
      <c r="B2305" s="4" t="s">
        <v>6</v>
      </c>
      <c r="C2305" s="4" t="str">
        <f t="shared" ref="C2305:E2336" si="87">"-"</f>
        <v>-</v>
      </c>
      <c r="D2305" s="4" t="str">
        <f>"0020868X"</f>
        <v>0020868X</v>
      </c>
      <c r="E2305" s="4" t="str">
        <f>"15662829"</f>
        <v>15662829</v>
      </c>
      <c r="F2305" s="4" t="s">
        <v>103</v>
      </c>
    </row>
    <row r="2306" spans="1:6" x14ac:dyDescent="0.25">
      <c r="A2306" s="4" t="str">
        <f>"International Solar Energy Conference"</f>
        <v>International Solar Energy Conference</v>
      </c>
      <c r="B2306" s="4" t="s">
        <v>8</v>
      </c>
      <c r="C2306" s="4" t="str">
        <f t="shared" si="87"/>
        <v>-</v>
      </c>
      <c r="D2306" s="4" t="str">
        <f>"15468402"</f>
        <v>15468402</v>
      </c>
      <c r="E2306" s="4" t="str">
        <f>"-"</f>
        <v>-</v>
      </c>
      <c r="F2306" s="4" t="s">
        <v>73</v>
      </c>
    </row>
    <row r="2307" spans="1:6" x14ac:dyDescent="0.25">
      <c r="A2307" s="4" t="str">
        <f>"International Sugar Journal"</f>
        <v>International Sugar Journal</v>
      </c>
      <c r="B2307" s="4" t="s">
        <v>6</v>
      </c>
      <c r="C2307" s="4" t="str">
        <f t="shared" si="87"/>
        <v>-</v>
      </c>
      <c r="D2307" s="4" t="str">
        <f>"00208841"</f>
        <v>00208841</v>
      </c>
      <c r="E2307" s="4" t="str">
        <f>"-"</f>
        <v>-</v>
      </c>
      <c r="F2307" s="4" t="s">
        <v>612</v>
      </c>
    </row>
    <row r="2308" spans="1:6" x14ac:dyDescent="0.25">
      <c r="A2308" s="4" t="str">
        <f>"International Symposium on Advanced Networks and Telecommunication Systems, ANTS"</f>
        <v>International Symposium on Advanced Networks and Telecommunication Systems, ANTS</v>
      </c>
      <c r="B2308" s="4" t="s">
        <v>8</v>
      </c>
      <c r="C2308" s="4" t="str">
        <f t="shared" si="87"/>
        <v>-</v>
      </c>
      <c r="D2308" s="4" t="str">
        <f>"21531684"</f>
        <v>21531684</v>
      </c>
      <c r="E2308" s="4" t="str">
        <f>"-"</f>
        <v>-</v>
      </c>
      <c r="F2308" s="4" t="s">
        <v>9</v>
      </c>
    </row>
    <row r="2309" spans="1:6" x14ac:dyDescent="0.25">
      <c r="A2309" s="4" t="str">
        <f>"International Symposium on Empirical Software Engineering and Measurement"</f>
        <v>International Symposium on Empirical Software Engineering and Measurement</v>
      </c>
      <c r="B2309" s="4" t="s">
        <v>8</v>
      </c>
      <c r="C2309" s="4" t="str">
        <f t="shared" si="87"/>
        <v>-</v>
      </c>
      <c r="D2309" s="4" t="str">
        <f>"19493770"</f>
        <v>19493770</v>
      </c>
      <c r="E2309" s="4" t="str">
        <f>"19493789"</f>
        <v>19493789</v>
      </c>
      <c r="F2309" s="4" t="s">
        <v>9</v>
      </c>
    </row>
    <row r="2310" spans="1:6" x14ac:dyDescent="0.25">
      <c r="A2310" s="4" t="str">
        <f>"International Symposium on Medical Information and Communication Technology, ISMICT"</f>
        <v>International Symposium on Medical Information and Communication Technology, ISMICT</v>
      </c>
      <c r="B2310" s="4" t="s">
        <v>8</v>
      </c>
      <c r="C2310" s="4" t="str">
        <f t="shared" si="87"/>
        <v>-</v>
      </c>
      <c r="D2310" s="4" t="str">
        <f>"2326828X"</f>
        <v>2326828X</v>
      </c>
      <c r="E2310" s="4" t="str">
        <f>"23268301"</f>
        <v>23268301</v>
      </c>
      <c r="F2310" s="4" t="s">
        <v>9</v>
      </c>
    </row>
    <row r="2311" spans="1:6" x14ac:dyDescent="0.25">
      <c r="A2311" s="4" t="str">
        <f>"International Symposium on Memory Management, ISMM"</f>
        <v>International Symposium on Memory Management, ISMM</v>
      </c>
      <c r="B2311" s="4" t="s">
        <v>8</v>
      </c>
      <c r="C2311" s="4" t="str">
        <f t="shared" si="87"/>
        <v>-</v>
      </c>
      <c r="D2311" s="4" t="str">
        <f>"-"</f>
        <v>-</v>
      </c>
      <c r="E2311" s="4" t="str">
        <f>"-"</f>
        <v>-</v>
      </c>
      <c r="F2311" s="4" t="s">
        <v>21</v>
      </c>
    </row>
    <row r="2312" spans="1:6" x14ac:dyDescent="0.25">
      <c r="A2312" s="4" t="str">
        <f>"International Symposium on Ocean Electronics, SYMPOL"</f>
        <v>International Symposium on Ocean Electronics, SYMPOL</v>
      </c>
      <c r="B2312" s="4" t="s">
        <v>8</v>
      </c>
      <c r="C2312" s="4" t="str">
        <f t="shared" si="87"/>
        <v>-</v>
      </c>
      <c r="D2312" s="4" t="str">
        <f>"23265558"</f>
        <v>23265558</v>
      </c>
      <c r="E2312" s="4" t="str">
        <f>"23265566"</f>
        <v>23265566</v>
      </c>
      <c r="F2312" s="4" t="s">
        <v>9</v>
      </c>
    </row>
    <row r="2313" spans="1:6" x14ac:dyDescent="0.25">
      <c r="A2313" s="4" t="str">
        <f>"International Symposium on Plasma Process-Induced Damage, P2ID, Proceedings"</f>
        <v>International Symposium on Plasma Process-Induced Damage, P2ID, Proceedings</v>
      </c>
      <c r="B2313" s="4" t="s">
        <v>8</v>
      </c>
      <c r="C2313" s="4" t="str">
        <f t="shared" si="87"/>
        <v>-</v>
      </c>
      <c r="D2313" s="4" t="str">
        <f>"-"</f>
        <v>-</v>
      </c>
      <c r="E2313" s="4" t="str">
        <f>"-"</f>
        <v>-</v>
      </c>
      <c r="F2313" s="4" t="s">
        <v>105</v>
      </c>
    </row>
    <row r="2314" spans="1:6" x14ac:dyDescent="0.25">
      <c r="A2314" s="4" t="str">
        <f>"International Symposium on Technology and Society, Proceedings"</f>
        <v>International Symposium on Technology and Society, Proceedings</v>
      </c>
      <c r="B2314" s="4" t="s">
        <v>8</v>
      </c>
      <c r="C2314" s="4" t="str">
        <f t="shared" si="87"/>
        <v>-</v>
      </c>
      <c r="D2314" s="4" t="str">
        <f>"-"</f>
        <v>-</v>
      </c>
      <c r="E2314" s="4" t="str">
        <f>"-"</f>
        <v>-</v>
      </c>
      <c r="F2314" s="4" t="s">
        <v>105</v>
      </c>
    </row>
    <row r="2315" spans="1:6" x14ac:dyDescent="0.25">
      <c r="A2315" s="4" t="str">
        <f>"International Symposium on Turbo Codes and Iterative Information Processing, ISTC"</f>
        <v>International Symposium on Turbo Codes and Iterative Information Processing, ISTC</v>
      </c>
      <c r="B2315" s="4" t="s">
        <v>8</v>
      </c>
      <c r="C2315" s="4" t="str">
        <f t="shared" si="87"/>
        <v>-</v>
      </c>
      <c r="D2315" s="4" t="str">
        <f>"21654700"</f>
        <v>21654700</v>
      </c>
      <c r="E2315" s="4" t="str">
        <f>"21654719"</f>
        <v>21654719</v>
      </c>
      <c r="F2315" s="4" t="s">
        <v>9</v>
      </c>
    </row>
    <row r="2316" spans="1:6" x14ac:dyDescent="0.25">
      <c r="A2316" s="4" t="str">
        <f>"International Symposium on VLSI Technology, Systems, and Applications, Proceedings"</f>
        <v>International Symposium on VLSI Technology, Systems, and Applications, Proceedings</v>
      </c>
      <c r="B2316" s="4" t="s">
        <v>8</v>
      </c>
      <c r="C2316" s="4" t="str">
        <f t="shared" si="87"/>
        <v>-</v>
      </c>
      <c r="D2316" s="4" t="str">
        <f>"19308868"</f>
        <v>19308868</v>
      </c>
      <c r="E2316" s="4" t="str">
        <f>"-"</f>
        <v>-</v>
      </c>
      <c r="F2316" s="4" t="s">
        <v>105</v>
      </c>
    </row>
    <row r="2317" spans="1:6" x14ac:dyDescent="0.25">
      <c r="A2317" s="4" t="str">
        <f>"International Symposium on Wearable Computers, Digest of Papers"</f>
        <v>International Symposium on Wearable Computers, Digest of Papers</v>
      </c>
      <c r="B2317" s="4" t="s">
        <v>8</v>
      </c>
      <c r="C2317" s="4" t="str">
        <f t="shared" si="87"/>
        <v>-</v>
      </c>
      <c r="D2317" s="4" t="str">
        <f>"-"</f>
        <v>-</v>
      </c>
      <c r="E2317" s="4" t="str">
        <f>"-"</f>
        <v>-</v>
      </c>
      <c r="F2317" s="4" t="s">
        <v>9</v>
      </c>
    </row>
    <row r="2318" spans="1:6" x14ac:dyDescent="0.25">
      <c r="A2318" s="4" t="str">
        <f>"International Symposium on Wireless Personal Multimedia Communications, WPMC"</f>
        <v>International Symposium on Wireless Personal Multimedia Communications, WPMC</v>
      </c>
      <c r="B2318" s="4" t="s">
        <v>8</v>
      </c>
      <c r="C2318" s="4" t="str">
        <f t="shared" si="87"/>
        <v>-</v>
      </c>
      <c r="D2318" s="4" t="str">
        <f>"13476890"</f>
        <v>13476890</v>
      </c>
      <c r="E2318" s="4" t="str">
        <f>"-"</f>
        <v>-</v>
      </c>
      <c r="F2318" s="4" t="s">
        <v>9</v>
      </c>
    </row>
    <row r="2319" spans="1:6" x14ac:dyDescent="0.25">
      <c r="A2319" s="4" t="str">
        <f>"International System on Chip Conference"</f>
        <v>International System on Chip Conference</v>
      </c>
      <c r="B2319" s="4" t="s">
        <v>8</v>
      </c>
      <c r="C2319" s="4" t="str">
        <f t="shared" si="87"/>
        <v>-</v>
      </c>
      <c r="D2319" s="4" t="str">
        <f>"21641676"</f>
        <v>21641676</v>
      </c>
      <c r="E2319" s="4" t="str">
        <f>"21641706"</f>
        <v>21641706</v>
      </c>
      <c r="F2319" s="4" t="s">
        <v>9</v>
      </c>
    </row>
    <row r="2320" spans="1:6" x14ac:dyDescent="0.25">
      <c r="A2320" s="4" t="str">
        <f>"International Transactions in Operational Research"</f>
        <v>International Transactions in Operational Research</v>
      </c>
      <c r="B2320" s="4" t="s">
        <v>6</v>
      </c>
      <c r="C2320" s="4" t="str">
        <f t="shared" si="87"/>
        <v>-</v>
      </c>
      <c r="D2320" s="4" t="str">
        <f>"09696016"</f>
        <v>09696016</v>
      </c>
      <c r="E2320" s="4" t="str">
        <f>"14753995"</f>
        <v>14753995</v>
      </c>
      <c r="F2320" s="4" t="s">
        <v>209</v>
      </c>
    </row>
    <row r="2321" spans="1:6" x14ac:dyDescent="0.25">
      <c r="A2321" s="4" t="str">
        <f>"International Transactions on Electrical Energy Systems"</f>
        <v>International Transactions on Electrical Energy Systems</v>
      </c>
      <c r="B2321" s="4" t="s">
        <v>6</v>
      </c>
      <c r="C2321" s="4" t="str">
        <f t="shared" si="87"/>
        <v>-</v>
      </c>
      <c r="D2321" s="4" t="str">
        <f>"-"</f>
        <v>-</v>
      </c>
      <c r="E2321" s="4" t="str">
        <f>"20507038"</f>
        <v>20507038</v>
      </c>
      <c r="F2321" s="4" t="s">
        <v>142</v>
      </c>
    </row>
    <row r="2322" spans="1:6" x14ac:dyDescent="0.25">
      <c r="A2322" s="4" t="str">
        <f>"International Water and Irrigation"</f>
        <v>International Water and Irrigation</v>
      </c>
      <c r="B2322" s="4" t="s">
        <v>22</v>
      </c>
      <c r="C2322" s="4" t="str">
        <f t="shared" si="87"/>
        <v>-</v>
      </c>
      <c r="D2322" s="4" t="str">
        <f>"03345807"</f>
        <v>03345807</v>
      </c>
      <c r="E2322" s="4" t="str">
        <f>"-"</f>
        <v>-</v>
      </c>
      <c r="F2322" s="4" t="s">
        <v>613</v>
      </c>
    </row>
    <row r="2323" spans="1:6" x14ac:dyDescent="0.25">
      <c r="A2323" s="4" t="str">
        <f>"International Water Power and Dam Construction"</f>
        <v>International Water Power and Dam Construction</v>
      </c>
      <c r="B2323" s="4" t="s">
        <v>22</v>
      </c>
      <c r="C2323" s="4" t="str">
        <f t="shared" si="87"/>
        <v>-</v>
      </c>
      <c r="D2323" s="4" t="str">
        <f>"0306400X"</f>
        <v>0306400X</v>
      </c>
      <c r="E2323" s="4" t="str">
        <f>"-"</f>
        <v>-</v>
      </c>
      <c r="F2323" s="4" t="s">
        <v>614</v>
      </c>
    </row>
    <row r="2324" spans="1:6" x14ac:dyDescent="0.25">
      <c r="A2324" s="4" t="str">
        <f>"International Wood Products Journal"</f>
        <v>International Wood Products Journal</v>
      </c>
      <c r="B2324" s="4" t="s">
        <v>6</v>
      </c>
      <c r="C2324" s="4" t="str">
        <f t="shared" si="87"/>
        <v>-</v>
      </c>
      <c r="D2324" s="4" t="str">
        <f>"20426445"</f>
        <v>20426445</v>
      </c>
      <c r="E2324" s="4" t="str">
        <f>"20426453"</f>
        <v>20426453</v>
      </c>
      <c r="F2324" s="4" t="s">
        <v>70</v>
      </c>
    </row>
    <row r="2325" spans="1:6" x14ac:dyDescent="0.25">
      <c r="A2325" s="4" t="str">
        <f>"International Woodfiber Report"</f>
        <v>International Woodfiber Report</v>
      </c>
      <c r="B2325" s="4" t="s">
        <v>22</v>
      </c>
      <c r="C2325" s="4" t="str">
        <f t="shared" si="87"/>
        <v>-</v>
      </c>
      <c r="D2325" s="4" t="str">
        <f>"-"</f>
        <v>-</v>
      </c>
      <c r="E2325" s="4" t="str">
        <f>"-"</f>
        <v>-</v>
      </c>
      <c r="F2325" s="4" t="s">
        <v>615</v>
      </c>
    </row>
    <row r="2326" spans="1:6" x14ac:dyDescent="0.25">
      <c r="A2326" s="4" t="str">
        <f>"International Workshop and Tutorials on Electron Devices and Materials, EDM - Proceedings"</f>
        <v>International Workshop and Tutorials on Electron Devices and Materials, EDM - Proceedings</v>
      </c>
      <c r="B2326" s="4" t="s">
        <v>8</v>
      </c>
      <c r="C2326" s="4" t="str">
        <f t="shared" si="87"/>
        <v>-</v>
      </c>
      <c r="D2326" s="4" t="str">
        <f>"18153712"</f>
        <v>18153712</v>
      </c>
      <c r="E2326" s="4" t="str">
        <f>"-"</f>
        <v>-</v>
      </c>
      <c r="F2326" s="4" t="s">
        <v>105</v>
      </c>
    </row>
    <row r="2327" spans="1:6" x14ac:dyDescent="0.25">
      <c r="A2327" s="4" t="str">
        <f>"International Workshop on Advanced Motion Control, AMC"</f>
        <v>International Workshop on Advanced Motion Control, AMC</v>
      </c>
      <c r="B2327" s="4" t="s">
        <v>8</v>
      </c>
      <c r="C2327" s="4" t="str">
        <f t="shared" si="87"/>
        <v>-</v>
      </c>
      <c r="D2327" s="4" t="str">
        <f>"-"</f>
        <v>-</v>
      </c>
      <c r="E2327" s="4" t="str">
        <f>"-"</f>
        <v>-</v>
      </c>
      <c r="F2327" s="4" t="s">
        <v>105</v>
      </c>
    </row>
    <row r="2328" spans="1:6" x14ac:dyDescent="0.25">
      <c r="A2328" s="4" t="str">
        <f>"International Workshop on Cellular Nanoscale Networks and their Applications"</f>
        <v>International Workshop on Cellular Nanoscale Networks and their Applications</v>
      </c>
      <c r="B2328" s="4" t="s">
        <v>8</v>
      </c>
      <c r="C2328" s="4" t="str">
        <f t="shared" si="87"/>
        <v>-</v>
      </c>
      <c r="D2328" s="4" t="str">
        <f>"21650160"</f>
        <v>21650160</v>
      </c>
      <c r="E2328" s="4" t="str">
        <f>"21650179"</f>
        <v>21650179</v>
      </c>
      <c r="F2328" s="4" t="s">
        <v>9</v>
      </c>
    </row>
    <row r="2329" spans="1:6" x14ac:dyDescent="0.25">
      <c r="A2329" s="4" t="str">
        <f>"International Workshop on Developing Tools as Plug-Ins, TOPI"</f>
        <v>International Workshop on Developing Tools as Plug-Ins, TOPI</v>
      </c>
      <c r="B2329" s="4" t="s">
        <v>8</v>
      </c>
      <c r="C2329" s="4" t="str">
        <f t="shared" si="87"/>
        <v>-</v>
      </c>
      <c r="D2329" s="4" t="str">
        <f>"23270748"</f>
        <v>23270748</v>
      </c>
      <c r="E2329" s="4" t="str">
        <f>"23270772"</f>
        <v>23270772</v>
      </c>
      <c r="F2329" s="4" t="s">
        <v>9</v>
      </c>
    </row>
    <row r="2330" spans="1:6" x14ac:dyDescent="0.25">
      <c r="A2330" s="4" t="str">
        <f>"International Workshop on Emerging Trends in Software Metrics, WETSoM"</f>
        <v>International Workshop on Emerging Trends in Software Metrics, WETSoM</v>
      </c>
      <c r="B2330" s="4" t="s">
        <v>8</v>
      </c>
      <c r="C2330" s="4" t="str">
        <f t="shared" si="87"/>
        <v>-</v>
      </c>
      <c r="D2330" s="4" t="str">
        <f>"23270950"</f>
        <v>23270950</v>
      </c>
      <c r="E2330" s="4" t="str">
        <f>"23270969"</f>
        <v>23270969</v>
      </c>
      <c r="F2330" s="4" t="s">
        <v>9</v>
      </c>
    </row>
    <row r="2331" spans="1:6" x14ac:dyDescent="0.25">
      <c r="A2331" s="4" t="str">
        <f>"International Workshop on Image Analysis for Multimedia Interactive Services"</f>
        <v>International Workshop on Image Analysis for Multimedia Interactive Services</v>
      </c>
      <c r="B2331" s="4" t="s">
        <v>8</v>
      </c>
      <c r="C2331" s="4" t="str">
        <f t="shared" si="87"/>
        <v>-</v>
      </c>
      <c r="D2331" s="4" t="str">
        <f>"21585873"</f>
        <v>21585873</v>
      </c>
      <c r="E2331" s="4" t="str">
        <f>"21585881"</f>
        <v>21585881</v>
      </c>
      <c r="F2331" s="4" t="s">
        <v>9</v>
      </c>
    </row>
    <row r="2332" spans="1:6" x14ac:dyDescent="0.25">
      <c r="A2332" s="4" t="str">
        <f>"International Workshop on Principles of Software Evolution (IWPSE)"</f>
        <v>International Workshop on Principles of Software Evolution (IWPSE)</v>
      </c>
      <c r="B2332" s="4" t="s">
        <v>8</v>
      </c>
      <c r="C2332" s="4" t="str">
        <f t="shared" si="87"/>
        <v>-</v>
      </c>
      <c r="D2332" s="4" t="str">
        <f>"-"</f>
        <v>-</v>
      </c>
      <c r="E2332" s="4" t="str">
        <f>"-"</f>
        <v>-</v>
      </c>
      <c r="F2332" s="4" t="s">
        <v>105</v>
      </c>
    </row>
    <row r="2333" spans="1:6" x14ac:dyDescent="0.25">
      <c r="A2333" s="4" t="str">
        <f>"International Workshop on Software Engineering for Parallel and Distributed Systems, Proceedings"</f>
        <v>International Workshop on Software Engineering for Parallel and Distributed Systems, Proceedings</v>
      </c>
      <c r="B2333" s="4" t="s">
        <v>8</v>
      </c>
      <c r="C2333" s="4" t="str">
        <f t="shared" si="87"/>
        <v>-</v>
      </c>
      <c r="D2333" s="4" t="str">
        <f>"-"</f>
        <v>-</v>
      </c>
      <c r="E2333" s="4" t="str">
        <f>"-"</f>
        <v>-</v>
      </c>
      <c r="F2333" s="4" t="s">
        <v>105</v>
      </c>
    </row>
    <row r="2334" spans="1:6" x14ac:dyDescent="0.25">
      <c r="A2334" s="4" t="str">
        <f>"International Workshop on Software Engineering for Sensor Network Applications, SESENA"</f>
        <v>International Workshop on Software Engineering for Sensor Network Applications, SESENA</v>
      </c>
      <c r="B2334" s="4" t="s">
        <v>8</v>
      </c>
      <c r="C2334" s="4" t="str">
        <f t="shared" si="87"/>
        <v>-</v>
      </c>
      <c r="D2334" s="4" t="str">
        <f>"23271620"</f>
        <v>23271620</v>
      </c>
      <c r="E2334" s="4" t="str">
        <f>"23271647"</f>
        <v>23271647</v>
      </c>
      <c r="F2334" s="4" t="s">
        <v>9</v>
      </c>
    </row>
    <row r="2335" spans="1:6" x14ac:dyDescent="0.25">
      <c r="A2335" s="4" t="str">
        <f>"International Workshop on Statistical Metrology, Proceedings, IWSM"</f>
        <v>International Workshop on Statistical Metrology, Proceedings, IWSM</v>
      </c>
      <c r="B2335" s="4" t="s">
        <v>8</v>
      </c>
      <c r="C2335" s="4" t="str">
        <f t="shared" si="87"/>
        <v>-</v>
      </c>
      <c r="D2335" s="4" t="str">
        <f t="shared" si="87"/>
        <v>-</v>
      </c>
      <c r="E2335" s="4" t="str">
        <f t="shared" si="87"/>
        <v>-</v>
      </c>
      <c r="F2335" s="4" t="s">
        <v>105</v>
      </c>
    </row>
    <row r="2336" spans="1:6" x14ac:dyDescent="0.25">
      <c r="A2336" s="4" t="str">
        <f>"International Workshop on System Level Interconnect Prediction, SLIP"</f>
        <v>International Workshop on System Level Interconnect Prediction, SLIP</v>
      </c>
      <c r="B2336" s="4" t="s">
        <v>8</v>
      </c>
      <c r="C2336" s="4" t="str">
        <f t="shared" si="87"/>
        <v>-</v>
      </c>
      <c r="D2336" s="4" t="str">
        <f t="shared" si="87"/>
        <v>-</v>
      </c>
      <c r="E2336" s="4" t="str">
        <f t="shared" si="87"/>
        <v>-</v>
      </c>
      <c r="F2336" s="4" t="s">
        <v>21</v>
      </c>
    </row>
    <row r="2337" spans="1:6" x14ac:dyDescent="0.25">
      <c r="A2337" s="4" t="str">
        <f>"International Zurich Seminar on Digital Communications"</f>
        <v>International Zurich Seminar on Digital Communications</v>
      </c>
      <c r="B2337" s="4" t="s">
        <v>8</v>
      </c>
      <c r="C2337" s="4" t="str">
        <f t="shared" ref="C2337:E2368" si="88">"-"</f>
        <v>-</v>
      </c>
      <c r="D2337" s="4" t="str">
        <f t="shared" si="88"/>
        <v>-</v>
      </c>
      <c r="E2337" s="4" t="str">
        <f t="shared" si="88"/>
        <v>-</v>
      </c>
      <c r="F2337" s="4" t="s">
        <v>105</v>
      </c>
    </row>
    <row r="2338" spans="1:6" x14ac:dyDescent="0.25">
      <c r="A2338" s="4" t="str">
        <f>"Internet and Higher Education"</f>
        <v>Internet and Higher Education</v>
      </c>
      <c r="B2338" s="4" t="s">
        <v>6</v>
      </c>
      <c r="C2338" s="4" t="str">
        <f t="shared" si="88"/>
        <v>-</v>
      </c>
      <c r="D2338" s="4" t="str">
        <f>"10967516"</f>
        <v>10967516</v>
      </c>
      <c r="E2338" s="4" t="str">
        <f>"-"</f>
        <v>-</v>
      </c>
      <c r="F2338" s="4" t="s">
        <v>19</v>
      </c>
    </row>
    <row r="2339" spans="1:6" x14ac:dyDescent="0.25">
      <c r="A2339" s="4" t="str">
        <f>"InterSociety Conference on Thermal and Thermomechanical Phenomena in Electronic Systems, ITHERM"</f>
        <v>InterSociety Conference on Thermal and Thermomechanical Phenomena in Electronic Systems, ITHERM</v>
      </c>
      <c r="B2339" s="4" t="s">
        <v>8</v>
      </c>
      <c r="C2339" s="4" t="str">
        <f t="shared" si="88"/>
        <v>-</v>
      </c>
      <c r="D2339" s="4" t="str">
        <f>"19363958"</f>
        <v>19363958</v>
      </c>
      <c r="E2339" s="4" t="str">
        <f>"-"</f>
        <v>-</v>
      </c>
      <c r="F2339" s="4" t="s">
        <v>9</v>
      </c>
    </row>
    <row r="2340" spans="1:6" x14ac:dyDescent="0.25">
      <c r="A2340" s="4" t="str">
        <f>"Inverse Problems"</f>
        <v>Inverse Problems</v>
      </c>
      <c r="B2340" s="4" t="s">
        <v>6</v>
      </c>
      <c r="C2340" s="4" t="str">
        <f t="shared" si="88"/>
        <v>-</v>
      </c>
      <c r="D2340" s="4" t="str">
        <f>"02665611"</f>
        <v>02665611</v>
      </c>
      <c r="E2340" s="4" t="str">
        <f>"13616420"</f>
        <v>13616420</v>
      </c>
      <c r="F2340" s="4" t="s">
        <v>184</v>
      </c>
    </row>
    <row r="2341" spans="1:6" x14ac:dyDescent="0.25">
      <c r="A2341" s="4" t="str">
        <f>"Inverse Problems in Science and Engineering"</f>
        <v>Inverse Problems in Science and Engineering</v>
      </c>
      <c r="B2341" s="4" t="s">
        <v>6</v>
      </c>
      <c r="C2341" s="4" t="str">
        <f t="shared" si="88"/>
        <v>-</v>
      </c>
      <c r="D2341" s="4" t="str">
        <f>"17415977"</f>
        <v>17415977</v>
      </c>
      <c r="E2341" s="4" t="str">
        <f>"17415985"</f>
        <v>17415985</v>
      </c>
      <c r="F2341" s="4" t="s">
        <v>60</v>
      </c>
    </row>
    <row r="2342" spans="1:6" x14ac:dyDescent="0.25">
      <c r="A2342" s="4" t="str">
        <f>"Ionics"</f>
        <v>Ionics</v>
      </c>
      <c r="B2342" s="4" t="s">
        <v>6</v>
      </c>
      <c r="C2342" s="4" t="str">
        <f t="shared" si="88"/>
        <v>-</v>
      </c>
      <c r="D2342" s="4" t="str">
        <f>"09477047"</f>
        <v>09477047</v>
      </c>
      <c r="E2342" s="4" t="str">
        <f>"18620760"</f>
        <v>18620760</v>
      </c>
      <c r="F2342" s="4" t="s">
        <v>616</v>
      </c>
    </row>
    <row r="2343" spans="1:6" x14ac:dyDescent="0.25">
      <c r="A2343" s="4" t="str">
        <f>"IOP Conference Series: Earth and Environmental Science"</f>
        <v>IOP Conference Series: Earth and Environmental Science</v>
      </c>
      <c r="B2343" s="4" t="s">
        <v>8</v>
      </c>
      <c r="C2343" s="4" t="str">
        <f t="shared" si="88"/>
        <v>-</v>
      </c>
      <c r="D2343" s="4" t="str">
        <f>"17551307"</f>
        <v>17551307</v>
      </c>
      <c r="E2343" s="4" t="str">
        <f>"17551315"</f>
        <v>17551315</v>
      </c>
      <c r="F2343" s="4" t="s">
        <v>184</v>
      </c>
    </row>
    <row r="2344" spans="1:6" x14ac:dyDescent="0.25">
      <c r="A2344" s="4" t="str">
        <f>"IOP Conference Series: Materials Science and Engineering"</f>
        <v>IOP Conference Series: Materials Science and Engineering</v>
      </c>
      <c r="B2344" s="4" t="s">
        <v>8</v>
      </c>
      <c r="C2344" s="4" t="str">
        <f t="shared" si="88"/>
        <v>-</v>
      </c>
      <c r="D2344" s="4" t="str">
        <f>"17578981"</f>
        <v>17578981</v>
      </c>
      <c r="E2344" s="4" t="str">
        <f>"1757899X"</f>
        <v>1757899X</v>
      </c>
      <c r="F2344" s="4" t="s">
        <v>184</v>
      </c>
    </row>
    <row r="2345" spans="1:6" x14ac:dyDescent="0.25">
      <c r="A2345" s="4" t="str">
        <f>"IPPTA: Quarterly Journal of Indian Pulp and Paper Technical Association"</f>
        <v>IPPTA: Quarterly Journal of Indian Pulp and Paper Technical Association</v>
      </c>
      <c r="B2345" s="4" t="s">
        <v>6</v>
      </c>
      <c r="C2345" s="4" t="str">
        <f t="shared" si="88"/>
        <v>-</v>
      </c>
      <c r="D2345" s="4" t="str">
        <f>"03795462"</f>
        <v>03795462</v>
      </c>
      <c r="E2345" s="4" t="str">
        <f>"-"</f>
        <v>-</v>
      </c>
      <c r="F2345" s="4" t="s">
        <v>617</v>
      </c>
    </row>
    <row r="2346" spans="1:6" x14ac:dyDescent="0.25">
      <c r="A2346" s="4" t="str">
        <f>"IPSJ Online Transactions"</f>
        <v>IPSJ Online Transactions</v>
      </c>
      <c r="B2346" s="4" t="s">
        <v>6</v>
      </c>
      <c r="C2346" s="4" t="str">
        <f t="shared" si="88"/>
        <v>-</v>
      </c>
      <c r="D2346" s="4" t="str">
        <f>"-"</f>
        <v>-</v>
      </c>
      <c r="E2346" s="4" t="str">
        <f>"18826660"</f>
        <v>18826660</v>
      </c>
      <c r="F2346" s="4" t="s">
        <v>618</v>
      </c>
    </row>
    <row r="2347" spans="1:6" x14ac:dyDescent="0.25">
      <c r="A2347" s="4" t="str">
        <f>"IPSJ Transactions on Bioinformatics"</f>
        <v>IPSJ Transactions on Bioinformatics</v>
      </c>
      <c r="B2347" s="4" t="s">
        <v>6</v>
      </c>
      <c r="C2347" s="4" t="str">
        <f t="shared" si="88"/>
        <v>-</v>
      </c>
      <c r="D2347" s="4" t="str">
        <f>"-"</f>
        <v>-</v>
      </c>
      <c r="E2347" s="4" t="str">
        <f>"18826679"</f>
        <v>18826679</v>
      </c>
      <c r="F2347" s="4" t="s">
        <v>618</v>
      </c>
    </row>
    <row r="2348" spans="1:6" x14ac:dyDescent="0.25">
      <c r="A2348" s="4" t="str">
        <f>"IPSJ Transactions on Computer Vision and Applications"</f>
        <v>IPSJ Transactions on Computer Vision and Applications</v>
      </c>
      <c r="B2348" s="4" t="s">
        <v>6</v>
      </c>
      <c r="C2348" s="4" t="str">
        <f t="shared" si="88"/>
        <v>-</v>
      </c>
      <c r="D2348" s="4" t="str">
        <f>"-"</f>
        <v>-</v>
      </c>
      <c r="E2348" s="4" t="str">
        <f>"18826695"</f>
        <v>18826695</v>
      </c>
      <c r="F2348" s="4" t="s">
        <v>618</v>
      </c>
    </row>
    <row r="2349" spans="1:6" x14ac:dyDescent="0.25">
      <c r="A2349" s="4" t="str">
        <f>"IPSJ Transactions on System LSI Design Methodology"</f>
        <v>IPSJ Transactions on System LSI Design Methodology</v>
      </c>
      <c r="B2349" s="4" t="s">
        <v>6</v>
      </c>
      <c r="C2349" s="4" t="str">
        <f t="shared" si="88"/>
        <v>-</v>
      </c>
      <c r="D2349" s="4" t="str">
        <f>"-"</f>
        <v>-</v>
      </c>
      <c r="E2349" s="4" t="str">
        <f>"18826687"</f>
        <v>18826687</v>
      </c>
      <c r="F2349" s="4" t="s">
        <v>618</v>
      </c>
    </row>
    <row r="2350" spans="1:6" x14ac:dyDescent="0.25">
      <c r="A2350" s="4" t="str">
        <f>"IQEC, International Quantum Electronics Conference Proceedings"</f>
        <v>IQEC, International Quantum Electronics Conference Proceedings</v>
      </c>
      <c r="B2350" s="4" t="s">
        <v>8</v>
      </c>
      <c r="C2350" s="4" t="str">
        <f t="shared" si="88"/>
        <v>-</v>
      </c>
      <c r="D2350" s="4" t="str">
        <f>"-"</f>
        <v>-</v>
      </c>
      <c r="E2350" s="4" t="str">
        <f>"-"</f>
        <v>-</v>
      </c>
      <c r="F2350" s="4" t="s">
        <v>105</v>
      </c>
    </row>
    <row r="2351" spans="1:6" x14ac:dyDescent="0.25">
      <c r="A2351" s="4" t="str">
        <f>"Iranian Conference on Machine Vision and Image Processing, MVIP"</f>
        <v>Iranian Conference on Machine Vision and Image Processing, MVIP</v>
      </c>
      <c r="B2351" s="4" t="s">
        <v>8</v>
      </c>
      <c r="C2351" s="4" t="str">
        <f t="shared" si="88"/>
        <v>-</v>
      </c>
      <c r="D2351" s="4" t="str">
        <f>"21666776"</f>
        <v>21666776</v>
      </c>
      <c r="E2351" s="4" t="str">
        <f>"21666784"</f>
        <v>21666784</v>
      </c>
      <c r="F2351" s="4" t="s">
        <v>9</v>
      </c>
    </row>
    <row r="2352" spans="1:6" x14ac:dyDescent="0.25">
      <c r="A2352" s="4" t="str">
        <f>"Iranian Journal of Electrical and Computer Engineering"</f>
        <v>Iranian Journal of Electrical and Computer Engineering</v>
      </c>
      <c r="B2352" s="4" t="s">
        <v>6</v>
      </c>
      <c r="C2352" s="4" t="str">
        <f t="shared" si="88"/>
        <v>-</v>
      </c>
      <c r="D2352" s="4" t="str">
        <f>"16820053"</f>
        <v>16820053</v>
      </c>
      <c r="E2352" s="4" t="str">
        <f>"-"</f>
        <v>-</v>
      </c>
      <c r="F2352" s="4" t="s">
        <v>619</v>
      </c>
    </row>
    <row r="2353" spans="1:6" x14ac:dyDescent="0.25">
      <c r="A2353" s="4" t="str">
        <f>"Iranian Journal of Medical Physics"</f>
        <v>Iranian Journal of Medical Physics</v>
      </c>
      <c r="B2353" s="4" t="s">
        <v>6</v>
      </c>
      <c r="C2353" s="4" t="str">
        <f t="shared" si="88"/>
        <v>-</v>
      </c>
      <c r="D2353" s="4" t="str">
        <f>"1735160X"</f>
        <v>1735160X</v>
      </c>
      <c r="E2353" s="4" t="str">
        <f>"17357241"</f>
        <v>17357241</v>
      </c>
      <c r="F2353" s="4" t="s">
        <v>620</v>
      </c>
    </row>
    <row r="2354" spans="1:6" x14ac:dyDescent="0.25">
      <c r="A2354" s="4" t="str">
        <f>"Iranian Polymer Journal (English Edition)"</f>
        <v>Iranian Polymer Journal (English Edition)</v>
      </c>
      <c r="B2354" s="4" t="s">
        <v>6</v>
      </c>
      <c r="C2354" s="4" t="str">
        <f t="shared" si="88"/>
        <v>-</v>
      </c>
      <c r="D2354" s="4" t="str">
        <f>"10261265"</f>
        <v>10261265</v>
      </c>
      <c r="E2354" s="4" t="str">
        <f>"17355265"</f>
        <v>17355265</v>
      </c>
      <c r="F2354" s="4" t="s">
        <v>62</v>
      </c>
    </row>
    <row r="2355" spans="1:6" x14ac:dyDescent="0.25">
      <c r="A2355" s="4" t="str">
        <f>"Iron and Steel Technology"</f>
        <v>Iron and Steel Technology</v>
      </c>
      <c r="B2355" s="4" t="s">
        <v>6</v>
      </c>
      <c r="C2355" s="4" t="str">
        <f t="shared" si="88"/>
        <v>-</v>
      </c>
      <c r="D2355" s="4" t="str">
        <f>"15470423"</f>
        <v>15470423</v>
      </c>
      <c r="E2355" s="4" t="str">
        <f>"-"</f>
        <v>-</v>
      </c>
      <c r="F2355" s="4" t="s">
        <v>621</v>
      </c>
    </row>
    <row r="2356" spans="1:6" x14ac:dyDescent="0.25">
      <c r="A2356" s="4" t="str">
        <f>"Ironmaking and Steelmaking"</f>
        <v>Ironmaking and Steelmaking</v>
      </c>
      <c r="B2356" s="4" t="s">
        <v>6</v>
      </c>
      <c r="C2356" s="4" t="str">
        <f t="shared" si="88"/>
        <v>-</v>
      </c>
      <c r="D2356" s="4" t="str">
        <f>"03019233"</f>
        <v>03019233</v>
      </c>
      <c r="E2356" s="4" t="str">
        <f>"17432812"</f>
        <v>17432812</v>
      </c>
      <c r="F2356" s="4" t="s">
        <v>70</v>
      </c>
    </row>
    <row r="2357" spans="1:6" x14ac:dyDescent="0.25">
      <c r="A2357" s="4" t="str">
        <f>"Irrigation Science"</f>
        <v>Irrigation Science</v>
      </c>
      <c r="B2357" s="4" t="s">
        <v>6</v>
      </c>
      <c r="C2357" s="4" t="str">
        <f t="shared" si="88"/>
        <v>-</v>
      </c>
      <c r="D2357" s="4" t="str">
        <f>"03427188"</f>
        <v>03427188</v>
      </c>
      <c r="E2357" s="4" t="str">
        <f>"14321319"</f>
        <v>14321319</v>
      </c>
      <c r="F2357" s="4" t="s">
        <v>42</v>
      </c>
    </row>
    <row r="2358" spans="1:6" x14ac:dyDescent="0.25">
      <c r="A2358" s="4" t="str">
        <f>"ISA TECH/EXPO Technology Update Conference Proceedings"</f>
        <v>ISA TECH/EXPO Technology Update Conference Proceedings</v>
      </c>
      <c r="B2358" s="4" t="s">
        <v>8</v>
      </c>
      <c r="C2358" s="4" t="str">
        <f t="shared" si="88"/>
        <v>-</v>
      </c>
      <c r="D2358" s="4" t="str">
        <f>"10540032"</f>
        <v>10540032</v>
      </c>
      <c r="E2358" s="4" t="str">
        <f>"-"</f>
        <v>-</v>
      </c>
      <c r="F2358" s="4" t="s">
        <v>188</v>
      </c>
    </row>
    <row r="2359" spans="1:6" x14ac:dyDescent="0.25">
      <c r="A2359" s="4" t="str">
        <f>"ISA Transactions"</f>
        <v>ISA Transactions</v>
      </c>
      <c r="B2359" s="4" t="s">
        <v>6</v>
      </c>
      <c r="C2359" s="4" t="str">
        <f t="shared" si="88"/>
        <v>-</v>
      </c>
      <c r="D2359" s="4" t="str">
        <f>"00190578"</f>
        <v>00190578</v>
      </c>
      <c r="E2359" s="4" t="str">
        <f>"-"</f>
        <v>-</v>
      </c>
      <c r="F2359" s="4" t="s">
        <v>188</v>
      </c>
    </row>
    <row r="2360" spans="1:6" x14ac:dyDescent="0.25">
      <c r="A2360" s="4" t="str">
        <f>"ISACA Journal"</f>
        <v>ISACA Journal</v>
      </c>
      <c r="B2360" s="4" t="s">
        <v>6</v>
      </c>
      <c r="C2360" s="4" t="str">
        <f t="shared" si="88"/>
        <v>-</v>
      </c>
      <c r="D2360" s="4" t="str">
        <f>"19441967"</f>
        <v>19441967</v>
      </c>
      <c r="E2360" s="4" t="str">
        <f>"19441975"</f>
        <v>19441975</v>
      </c>
      <c r="F2360" s="4" t="s">
        <v>622</v>
      </c>
    </row>
    <row r="2361" spans="1:6" x14ac:dyDescent="0.25">
      <c r="A2361" s="4" t="str">
        <f>"ISET Journal of Earthquake Technology"</f>
        <v>ISET Journal of Earthquake Technology</v>
      </c>
      <c r="B2361" s="4" t="s">
        <v>6</v>
      </c>
      <c r="C2361" s="4" t="str">
        <f t="shared" si="88"/>
        <v>-</v>
      </c>
      <c r="D2361" s="4" t="str">
        <f>"09720405"</f>
        <v>09720405</v>
      </c>
      <c r="E2361" s="4" t="str">
        <f>"-"</f>
        <v>-</v>
      </c>
      <c r="F2361" s="4" t="s">
        <v>623</v>
      </c>
    </row>
    <row r="2362" spans="1:6" x14ac:dyDescent="0.25">
      <c r="A2362" s="4" t="str">
        <f>"ISH Journal of Hydraulic Engineering"</f>
        <v>ISH Journal of Hydraulic Engineering</v>
      </c>
      <c r="B2362" s="4" t="s">
        <v>6</v>
      </c>
      <c r="C2362" s="4" t="str">
        <f t="shared" si="88"/>
        <v>-</v>
      </c>
      <c r="D2362" s="4" t="str">
        <f>"09715010"</f>
        <v>09715010</v>
      </c>
      <c r="E2362" s="4" t="str">
        <f>"21643040"</f>
        <v>21643040</v>
      </c>
      <c r="F2362" s="4" t="s">
        <v>60</v>
      </c>
    </row>
    <row r="2363" spans="1:6" x14ac:dyDescent="0.25">
      <c r="A2363" s="4" t="str">
        <f>"Isi Bilimi Ve Teknigi Dergisi/ Journal of Thermal Science and Technology"</f>
        <v>Isi Bilimi Ve Teknigi Dergisi/ Journal of Thermal Science and Technology</v>
      </c>
      <c r="B2363" s="4" t="s">
        <v>6</v>
      </c>
      <c r="C2363" s="4" t="str">
        <f t="shared" si="88"/>
        <v>-</v>
      </c>
      <c r="D2363" s="4" t="str">
        <f>"13003615"</f>
        <v>13003615</v>
      </c>
      <c r="E2363" s="4" t="str">
        <f>"-"</f>
        <v>-</v>
      </c>
      <c r="F2363" s="4" t="s">
        <v>624</v>
      </c>
    </row>
    <row r="2364" spans="1:6" x14ac:dyDescent="0.25">
      <c r="A2364" s="4" t="str">
        <f>"ISIJ International"</f>
        <v>ISIJ International</v>
      </c>
      <c r="B2364" s="4" t="s">
        <v>6</v>
      </c>
      <c r="C2364" s="4" t="str">
        <f t="shared" si="88"/>
        <v>-</v>
      </c>
      <c r="D2364" s="4" t="str">
        <f>"09151559"</f>
        <v>09151559</v>
      </c>
      <c r="E2364" s="4" t="str">
        <f>"-"</f>
        <v>-</v>
      </c>
      <c r="F2364" s="4" t="s">
        <v>625</v>
      </c>
    </row>
    <row r="2365" spans="1:6" x14ac:dyDescent="0.25">
      <c r="A2365" s="4" t="str">
        <f>"ISPRS Journal of Photogrammetry and Remote Sensing"</f>
        <v>ISPRS Journal of Photogrammetry and Remote Sensing</v>
      </c>
      <c r="B2365" s="4" t="s">
        <v>6</v>
      </c>
      <c r="C2365" s="4" t="str">
        <f t="shared" si="88"/>
        <v>-</v>
      </c>
      <c r="D2365" s="4" t="str">
        <f>"09242716"</f>
        <v>09242716</v>
      </c>
      <c r="E2365" s="4" t="str">
        <f>"-"</f>
        <v>-</v>
      </c>
      <c r="F2365" s="4" t="s">
        <v>55</v>
      </c>
    </row>
    <row r="2366" spans="1:6" x14ac:dyDescent="0.25">
      <c r="A2366" s="4" t="str">
        <f>"ISSNIP Biosignals and Biorobotics Conference, BRC"</f>
        <v>ISSNIP Biosignals and Biorobotics Conference, BRC</v>
      </c>
      <c r="B2366" s="4" t="s">
        <v>8</v>
      </c>
      <c r="C2366" s="4" t="str">
        <f t="shared" si="88"/>
        <v>-</v>
      </c>
      <c r="D2366" s="4" t="str">
        <f>"23267771"</f>
        <v>23267771</v>
      </c>
      <c r="E2366" s="4" t="str">
        <f>"23267844"</f>
        <v>23267844</v>
      </c>
      <c r="F2366" s="4" t="s">
        <v>9</v>
      </c>
    </row>
    <row r="2367" spans="1:6" x14ac:dyDescent="0.25">
      <c r="A2367" s="4" t="str">
        <f>"Issues in Science and Technology"</f>
        <v>Issues in Science and Technology</v>
      </c>
      <c r="B2367" s="4" t="s">
        <v>6</v>
      </c>
      <c r="C2367" s="4" t="str">
        <f t="shared" si="88"/>
        <v>-</v>
      </c>
      <c r="D2367" s="4" t="str">
        <f>"07485492"</f>
        <v>07485492</v>
      </c>
      <c r="E2367" s="4" t="str">
        <f>"-"</f>
        <v>-</v>
      </c>
      <c r="F2367" s="4" t="s">
        <v>626</v>
      </c>
    </row>
    <row r="2368" spans="1:6" x14ac:dyDescent="0.25">
      <c r="A2368" s="4" t="str">
        <f>"Istanbul University - Journal of Electrical and Electronics Engineering"</f>
        <v>Istanbul University - Journal of Electrical and Electronics Engineering</v>
      </c>
      <c r="B2368" s="4" t="s">
        <v>6</v>
      </c>
      <c r="C2368" s="4" t="str">
        <f t="shared" si="88"/>
        <v>-</v>
      </c>
      <c r="D2368" s="4" t="str">
        <f>"13030914"</f>
        <v>13030914</v>
      </c>
      <c r="E2368" s="4" t="str">
        <f>"-"</f>
        <v>-</v>
      </c>
      <c r="F2368" s="4" t="s">
        <v>627</v>
      </c>
    </row>
    <row r="2369" spans="1:6" x14ac:dyDescent="0.25">
      <c r="A2369" s="4" t="str">
        <f>"IT Professional"</f>
        <v>IT Professional</v>
      </c>
      <c r="B2369" s="4" t="s">
        <v>6</v>
      </c>
      <c r="C2369" s="4" t="str">
        <f t="shared" ref="C2369:C2388" si="89">"-"</f>
        <v>-</v>
      </c>
      <c r="D2369" s="4" t="str">
        <f>"15209202"</f>
        <v>15209202</v>
      </c>
      <c r="E2369" s="4" t="str">
        <f>"-"</f>
        <v>-</v>
      </c>
      <c r="F2369" s="4" t="s">
        <v>9</v>
      </c>
    </row>
    <row r="2370" spans="1:6" x14ac:dyDescent="0.25">
      <c r="A2370" s="4" t="str">
        <f>"Italian Journal of Engineering Geology and Environment"</f>
        <v>Italian Journal of Engineering Geology and Environment</v>
      </c>
      <c r="B2370" s="4" t="s">
        <v>6</v>
      </c>
      <c r="C2370" s="4" t="str">
        <f t="shared" si="89"/>
        <v>-</v>
      </c>
      <c r="D2370" s="4" t="str">
        <f>"18256635"</f>
        <v>18256635</v>
      </c>
      <c r="E2370" s="4" t="str">
        <f>"20355688"</f>
        <v>20355688</v>
      </c>
      <c r="F2370" s="4" t="s">
        <v>628</v>
      </c>
    </row>
    <row r="2371" spans="1:6" x14ac:dyDescent="0.25">
      <c r="A2371" s="4" t="str">
        <f>"Italian Journal of Pure and Applied Mathematics"</f>
        <v>Italian Journal of Pure and Applied Mathematics</v>
      </c>
      <c r="B2371" s="4" t="s">
        <v>6</v>
      </c>
      <c r="C2371" s="4" t="str">
        <f t="shared" si="89"/>
        <v>-</v>
      </c>
      <c r="D2371" s="4" t="str">
        <f>"11268042"</f>
        <v>11268042</v>
      </c>
      <c r="E2371" s="4" t="str">
        <f>"-"</f>
        <v>-</v>
      </c>
      <c r="F2371" s="4" t="s">
        <v>629</v>
      </c>
    </row>
    <row r="2372" spans="1:6" x14ac:dyDescent="0.25">
      <c r="A2372" s="4" t="str">
        <f>"ITALICS Innovations in Teaching and Learning in Information and Computer Sciences"</f>
        <v>ITALICS Innovations in Teaching and Learning in Information and Computer Sciences</v>
      </c>
      <c r="B2372" s="4" t="s">
        <v>6</v>
      </c>
      <c r="C2372" s="4" t="str">
        <f t="shared" si="89"/>
        <v>-</v>
      </c>
      <c r="D2372" s="4" t="str">
        <f>"-"</f>
        <v>-</v>
      </c>
      <c r="E2372" s="4" t="str">
        <f>"14737507"</f>
        <v>14737507</v>
      </c>
      <c r="F2372" s="4" t="s">
        <v>630</v>
      </c>
    </row>
    <row r="2373" spans="1:6" x14ac:dyDescent="0.25">
      <c r="A2373" s="4" t="str">
        <f>"ITE Journal (Institute of Transportation Engineers)"</f>
        <v>ITE Journal (Institute of Transportation Engineers)</v>
      </c>
      <c r="B2373" s="4" t="s">
        <v>6</v>
      </c>
      <c r="C2373" s="4" t="str">
        <f t="shared" si="89"/>
        <v>-</v>
      </c>
      <c r="D2373" s="4" t="str">
        <f>"01628178"</f>
        <v>01628178</v>
      </c>
      <c r="E2373" s="4" t="str">
        <f>"-"</f>
        <v>-</v>
      </c>
      <c r="F2373" s="4" t="s">
        <v>631</v>
      </c>
    </row>
    <row r="2374" spans="1:6" x14ac:dyDescent="0.25">
      <c r="A2374" s="4" t="str">
        <f>"IUTAM Bookseries"</f>
        <v>IUTAM Bookseries</v>
      </c>
      <c r="B2374" s="4" t="s">
        <v>29</v>
      </c>
      <c r="C2374" s="4" t="str">
        <f t="shared" si="89"/>
        <v>-</v>
      </c>
      <c r="D2374" s="4" t="str">
        <f>"18753507"</f>
        <v>18753507</v>
      </c>
      <c r="E2374" s="4" t="str">
        <f>"-"</f>
        <v>-</v>
      </c>
      <c r="F2374" s="4" t="s">
        <v>42</v>
      </c>
    </row>
    <row r="2375" spans="1:6" x14ac:dyDescent="0.25">
      <c r="A2375" s="4" t="str">
        <f>"IWMI Working Papers"</f>
        <v>IWMI Working Papers</v>
      </c>
      <c r="B2375" s="4" t="s">
        <v>29</v>
      </c>
      <c r="C2375" s="4" t="str">
        <f t="shared" si="89"/>
        <v>-</v>
      </c>
      <c r="D2375" s="4" t="str">
        <f>"20125763"</f>
        <v>20125763</v>
      </c>
      <c r="E2375" s="4" t="str">
        <f>"-"</f>
        <v>-</v>
      </c>
      <c r="F2375" s="4" t="s">
        <v>632</v>
      </c>
    </row>
    <row r="2376" spans="1:6" x14ac:dyDescent="0.25">
      <c r="A2376" s="4" t="str">
        <f>"JAOCS, Journal of the American Oil Chemists' Society"</f>
        <v>JAOCS, Journal of the American Oil Chemists' Society</v>
      </c>
      <c r="B2376" s="4" t="s">
        <v>6</v>
      </c>
      <c r="C2376" s="4" t="str">
        <f t="shared" si="89"/>
        <v>-</v>
      </c>
      <c r="D2376" s="4" t="str">
        <f>"0003021X"</f>
        <v>0003021X</v>
      </c>
      <c r="E2376" s="4" t="str">
        <f>"-"</f>
        <v>-</v>
      </c>
      <c r="F2376" s="4" t="s">
        <v>42</v>
      </c>
    </row>
    <row r="2377" spans="1:6" x14ac:dyDescent="0.25">
      <c r="A2377" s="4" t="str">
        <f>"Japan Journal of Food Engineering"</f>
        <v>Japan Journal of Food Engineering</v>
      </c>
      <c r="B2377" s="4" t="s">
        <v>6</v>
      </c>
      <c r="C2377" s="4" t="str">
        <f t="shared" si="89"/>
        <v>-</v>
      </c>
      <c r="D2377" s="4" t="str">
        <f>"13457942"</f>
        <v>13457942</v>
      </c>
      <c r="E2377" s="4" t="str">
        <f>"-"</f>
        <v>-</v>
      </c>
      <c r="F2377" s="4" t="s">
        <v>633</v>
      </c>
    </row>
    <row r="2378" spans="1:6" x14ac:dyDescent="0.25">
      <c r="A2378" s="4" t="str">
        <f>"Japan Journal of Industrial and Applied Mathematics"</f>
        <v>Japan Journal of Industrial and Applied Mathematics</v>
      </c>
      <c r="B2378" s="4" t="s">
        <v>6</v>
      </c>
      <c r="C2378" s="4" t="str">
        <f t="shared" si="89"/>
        <v>-</v>
      </c>
      <c r="D2378" s="4" t="str">
        <f>"09167005"</f>
        <v>09167005</v>
      </c>
      <c r="E2378" s="4" t="str">
        <f>"1868937X"</f>
        <v>1868937X</v>
      </c>
      <c r="F2378" s="4" t="s">
        <v>127</v>
      </c>
    </row>
    <row r="2379" spans="1:6" x14ac:dyDescent="0.25">
      <c r="A2379" s="4" t="str">
        <f>"Japanese Journal of Applied Physics"</f>
        <v>Japanese Journal of Applied Physics</v>
      </c>
      <c r="B2379" s="4" t="s">
        <v>6</v>
      </c>
      <c r="C2379" s="4" t="str">
        <f t="shared" si="89"/>
        <v>-</v>
      </c>
      <c r="D2379" s="4" t="str">
        <f>"00214922"</f>
        <v>00214922</v>
      </c>
      <c r="E2379" s="4" t="str">
        <f>"13474065"</f>
        <v>13474065</v>
      </c>
      <c r="F2379" s="4" t="s">
        <v>144</v>
      </c>
    </row>
    <row r="2380" spans="1:6" x14ac:dyDescent="0.25">
      <c r="A2380" s="4" t="str">
        <f>"Japanese Railway Engineering"</f>
        <v>Japanese Railway Engineering</v>
      </c>
      <c r="B2380" s="4" t="s">
        <v>6</v>
      </c>
      <c r="C2380" s="4" t="str">
        <f t="shared" si="89"/>
        <v>-</v>
      </c>
      <c r="D2380" s="4" t="str">
        <f>"04488938"</f>
        <v>04488938</v>
      </c>
      <c r="E2380" s="4" t="str">
        <f>"-"</f>
        <v>-</v>
      </c>
      <c r="F2380" s="4" t="s">
        <v>634</v>
      </c>
    </row>
    <row r="2381" spans="1:6" x14ac:dyDescent="0.25">
      <c r="A2381" s="4" t="str">
        <f>"JBIS - Journal of the British Interplanetary Society"</f>
        <v>JBIS - Journal of the British Interplanetary Society</v>
      </c>
      <c r="B2381" s="4" t="s">
        <v>6</v>
      </c>
      <c r="C2381" s="4" t="str">
        <f t="shared" si="89"/>
        <v>-</v>
      </c>
      <c r="D2381" s="4" t="str">
        <f>"0007084X"</f>
        <v>0007084X</v>
      </c>
      <c r="E2381" s="4" t="str">
        <f>"-"</f>
        <v>-</v>
      </c>
      <c r="F2381" s="4" t="s">
        <v>635</v>
      </c>
    </row>
    <row r="2382" spans="1:6" x14ac:dyDescent="0.25">
      <c r="A2382" s="4" t="str">
        <f>"JFE Technical Report"</f>
        <v>JFE Technical Report</v>
      </c>
      <c r="B2382" s="4" t="s">
        <v>6</v>
      </c>
      <c r="C2382" s="4" t="str">
        <f t="shared" si="89"/>
        <v>-</v>
      </c>
      <c r="D2382" s="4" t="str">
        <f>"-"</f>
        <v>-</v>
      </c>
      <c r="E2382" s="4" t="str">
        <f>"18837263"</f>
        <v>18837263</v>
      </c>
      <c r="F2382" s="4" t="s">
        <v>636</v>
      </c>
    </row>
    <row r="2383" spans="1:6" x14ac:dyDescent="0.25">
      <c r="A2383" s="4" t="str">
        <f>"J-FOR"</f>
        <v>J-FOR</v>
      </c>
      <c r="B2383" s="4" t="s">
        <v>6</v>
      </c>
      <c r="C2383" s="4" t="str">
        <f t="shared" si="89"/>
        <v>-</v>
      </c>
      <c r="D2383" s="4" t="str">
        <f>"19276311"</f>
        <v>19276311</v>
      </c>
      <c r="E2383" s="4" t="str">
        <f>"1927632X"</f>
        <v>1927632X</v>
      </c>
      <c r="F2383" s="4" t="s">
        <v>131</v>
      </c>
    </row>
    <row r="2384" spans="1:6" x14ac:dyDescent="0.25">
      <c r="A2384" s="4" t="str">
        <f>"Jianzhu Cailiao Xuebao/Journal of Building Materials"</f>
        <v>Jianzhu Cailiao Xuebao/Journal of Building Materials</v>
      </c>
      <c r="B2384" s="4" t="s">
        <v>6</v>
      </c>
      <c r="C2384" s="4" t="str">
        <f t="shared" si="89"/>
        <v>-</v>
      </c>
      <c r="D2384" s="4" t="str">
        <f>"10079629"</f>
        <v>10079629</v>
      </c>
      <c r="E2384" s="4" t="str">
        <f>"-"</f>
        <v>-</v>
      </c>
      <c r="F2384" s="4" t="s">
        <v>637</v>
      </c>
    </row>
    <row r="2385" spans="1:6" x14ac:dyDescent="0.25">
      <c r="A2385" s="4" t="str">
        <f>"Jianzhu Jiegou Xuebao/Journal of Building Structures"</f>
        <v>Jianzhu Jiegou Xuebao/Journal of Building Structures</v>
      </c>
      <c r="B2385" s="4" t="s">
        <v>6</v>
      </c>
      <c r="C2385" s="4" t="str">
        <f t="shared" si="89"/>
        <v>-</v>
      </c>
      <c r="D2385" s="4" t="str">
        <f>"10006869"</f>
        <v>10006869</v>
      </c>
      <c r="E2385" s="4" t="str">
        <f>"-"</f>
        <v>-</v>
      </c>
      <c r="F2385" s="4" t="s">
        <v>37</v>
      </c>
    </row>
    <row r="2386" spans="1:6" x14ac:dyDescent="0.25">
      <c r="A2386" s="4" t="str">
        <f>"Jiaotong Yunshu Gongcheng Xuebao/Journal of Traffic and Transportation Engineering"</f>
        <v>Jiaotong Yunshu Gongcheng Xuebao/Journal of Traffic and Transportation Engineering</v>
      </c>
      <c r="B2386" s="4" t="s">
        <v>6</v>
      </c>
      <c r="C2386" s="4" t="str">
        <f t="shared" si="89"/>
        <v>-</v>
      </c>
      <c r="D2386" s="4" t="str">
        <f>"16711637"</f>
        <v>16711637</v>
      </c>
      <c r="E2386" s="4" t="str">
        <f>"-"</f>
        <v>-</v>
      </c>
      <c r="F2386" s="4" t="s">
        <v>638</v>
      </c>
    </row>
    <row r="2387" spans="1:6" ht="30" x14ac:dyDescent="0.25">
      <c r="A2387" s="4" t="str">
        <f>"Jiaotong Yunshu Xitong Gongcheng Yu Xinxi/Journal of Transportation Systems Engineering and Information Technology"</f>
        <v>Jiaotong Yunshu Xitong Gongcheng Yu Xinxi/Journal of Transportation Systems Engineering and Information Technology</v>
      </c>
      <c r="B2387" s="4" t="s">
        <v>6</v>
      </c>
      <c r="C2387" s="4" t="str">
        <f t="shared" si="89"/>
        <v>-</v>
      </c>
      <c r="D2387" s="4" t="str">
        <f>"10096744"</f>
        <v>10096744</v>
      </c>
      <c r="E2387" s="4" t="str">
        <f>"-"</f>
        <v>-</v>
      </c>
      <c r="F2387" s="4" t="s">
        <v>37</v>
      </c>
    </row>
    <row r="2388" spans="1:6" x14ac:dyDescent="0.25">
      <c r="A2388" s="4" t="str">
        <f>"Jilin Daxue Xuebao (Gongxueban)/Journal of Jilin University (Engineering and Technology Edition)"</f>
        <v>Jilin Daxue Xuebao (Gongxueban)/Journal of Jilin University (Engineering and Technology Edition)</v>
      </c>
      <c r="B2388" s="4" t="s">
        <v>6</v>
      </c>
      <c r="C2388" s="4" t="str">
        <f t="shared" si="89"/>
        <v>-</v>
      </c>
      <c r="D2388" s="4" t="str">
        <f>"16715497"</f>
        <v>16715497</v>
      </c>
      <c r="E2388" s="4" t="str">
        <f>"-"</f>
        <v>-</v>
      </c>
      <c r="F2388" s="4" t="s">
        <v>639</v>
      </c>
    </row>
    <row r="2389" spans="1:6" x14ac:dyDescent="0.25">
      <c r="A2389" s="4" t="s">
        <v>640</v>
      </c>
      <c r="B2389" s="4" t="s">
        <v>6</v>
      </c>
      <c r="D2389" s="4" t="s">
        <v>641</v>
      </c>
      <c r="F2389" s="4" t="s">
        <v>642</v>
      </c>
    </row>
    <row r="2390" spans="1:6" x14ac:dyDescent="0.25">
      <c r="A2390" s="4" t="str">
        <f>"Jinshu Xuebao/Acta Metallurgica Sinica"</f>
        <v>Jinshu Xuebao/Acta Metallurgica Sinica</v>
      </c>
      <c r="B2390" s="4" t="s">
        <v>6</v>
      </c>
      <c r="C2390" s="4" t="str">
        <f t="shared" ref="C2390:C2412" si="90">"-"</f>
        <v>-</v>
      </c>
      <c r="D2390" s="4" t="str">
        <f>"04121961"</f>
        <v>04121961</v>
      </c>
      <c r="E2390" s="4" t="str">
        <f t="shared" ref="E2390:E2396" si="91">"-"</f>
        <v>-</v>
      </c>
      <c r="F2390" s="4" t="s">
        <v>412</v>
      </c>
    </row>
    <row r="2391" spans="1:6" x14ac:dyDescent="0.25">
      <c r="A2391" s="4" t="str">
        <f>"Jiqiren/Robot"</f>
        <v>Jiqiren/Robot</v>
      </c>
      <c r="B2391" s="4" t="s">
        <v>6</v>
      </c>
      <c r="C2391" s="4" t="str">
        <f t="shared" si="90"/>
        <v>-</v>
      </c>
      <c r="D2391" s="4" t="str">
        <f>"10020446"</f>
        <v>10020446</v>
      </c>
      <c r="E2391" s="4" t="str">
        <f t="shared" si="91"/>
        <v>-</v>
      </c>
      <c r="F2391" s="4" t="s">
        <v>412</v>
      </c>
    </row>
    <row r="2392" spans="1:6" x14ac:dyDescent="0.25">
      <c r="A2392" s="4" t="str">
        <f>"Jisuanji Fuzhu Sheji Yu Tuxingxue Xuebao/Journal of Computer-Aided Design and Computer Graphics"</f>
        <v>Jisuanji Fuzhu Sheji Yu Tuxingxue Xuebao/Journal of Computer-Aided Design and Computer Graphics</v>
      </c>
      <c r="B2392" s="4" t="s">
        <v>6</v>
      </c>
      <c r="C2392" s="4" t="str">
        <f t="shared" si="90"/>
        <v>-</v>
      </c>
      <c r="D2392" s="4" t="str">
        <f>"10039775"</f>
        <v>10039775</v>
      </c>
      <c r="E2392" s="4" t="str">
        <f t="shared" si="91"/>
        <v>-</v>
      </c>
      <c r="F2392" s="4" t="s">
        <v>643</v>
      </c>
    </row>
    <row r="2393" spans="1:6" x14ac:dyDescent="0.25">
      <c r="A2393" s="4" t="str">
        <f>"Jisuanji Jicheng Zhizao Xitong/Computer Integrated Manufacturing Systems, CIMS"</f>
        <v>Jisuanji Jicheng Zhizao Xitong/Computer Integrated Manufacturing Systems, CIMS</v>
      </c>
      <c r="B2393" s="4" t="s">
        <v>6</v>
      </c>
      <c r="C2393" s="4" t="str">
        <f t="shared" si="90"/>
        <v>-</v>
      </c>
      <c r="D2393" s="4" t="str">
        <f>"10065911"</f>
        <v>10065911</v>
      </c>
      <c r="E2393" s="4" t="str">
        <f t="shared" si="91"/>
        <v>-</v>
      </c>
      <c r="F2393" s="4" t="s">
        <v>644</v>
      </c>
    </row>
    <row r="2394" spans="1:6" x14ac:dyDescent="0.25">
      <c r="A2394" s="4" t="str">
        <f>"Jisuanji Xuebao/Chinese Journal of Computers"</f>
        <v>Jisuanji Xuebao/Chinese Journal of Computers</v>
      </c>
      <c r="B2394" s="4" t="s">
        <v>6</v>
      </c>
      <c r="C2394" s="4" t="str">
        <f t="shared" si="90"/>
        <v>-</v>
      </c>
      <c r="D2394" s="4" t="str">
        <f>"02544164"</f>
        <v>02544164</v>
      </c>
      <c r="E2394" s="4" t="str">
        <f t="shared" si="91"/>
        <v>-</v>
      </c>
      <c r="F2394" s="4" t="s">
        <v>37</v>
      </c>
    </row>
    <row r="2395" spans="1:6" x14ac:dyDescent="0.25">
      <c r="A2395" s="4" t="str">
        <f>"Jisuanji Yanjiu yu Fazhan/Computer Research and Development"</f>
        <v>Jisuanji Yanjiu yu Fazhan/Computer Research and Development</v>
      </c>
      <c r="B2395" s="4" t="s">
        <v>6</v>
      </c>
      <c r="C2395" s="4" t="str">
        <f t="shared" si="90"/>
        <v>-</v>
      </c>
      <c r="D2395" s="4" t="str">
        <f>"10001239"</f>
        <v>10001239</v>
      </c>
      <c r="E2395" s="4" t="str">
        <f t="shared" si="91"/>
        <v>-</v>
      </c>
      <c r="F2395" s="4" t="s">
        <v>37</v>
      </c>
    </row>
    <row r="2396" spans="1:6" x14ac:dyDescent="0.25">
      <c r="A2396" s="4" t="str">
        <f>"Jixie Gongcheng Xuebao/Journal of Mechanical Engineering"</f>
        <v>Jixie Gongcheng Xuebao/Journal of Mechanical Engineering</v>
      </c>
      <c r="B2396" s="4" t="s">
        <v>6</v>
      </c>
      <c r="C2396" s="4" t="str">
        <f t="shared" si="90"/>
        <v>-</v>
      </c>
      <c r="D2396" s="4" t="str">
        <f>"05776686"</f>
        <v>05776686</v>
      </c>
      <c r="E2396" s="4" t="str">
        <f t="shared" si="91"/>
        <v>-</v>
      </c>
      <c r="F2396" s="4" t="s">
        <v>645</v>
      </c>
    </row>
    <row r="2397" spans="1:6" x14ac:dyDescent="0.25">
      <c r="A2397" s="4" t="str">
        <f>"Johns Hopkins APL Technical Digest (Applied Physics Laboratory)"</f>
        <v>Johns Hopkins APL Technical Digest (Applied Physics Laboratory)</v>
      </c>
      <c r="B2397" s="4" t="s">
        <v>6</v>
      </c>
      <c r="C2397" s="4" t="str">
        <f t="shared" si="90"/>
        <v>-</v>
      </c>
      <c r="D2397" s="4" t="str">
        <f>"02705214"</f>
        <v>02705214</v>
      </c>
      <c r="E2397" s="4" t="str">
        <f>"19300530"</f>
        <v>19300530</v>
      </c>
      <c r="F2397" s="4" t="s">
        <v>646</v>
      </c>
    </row>
    <row r="2398" spans="1:6" x14ac:dyDescent="0.25">
      <c r="A2398" s="4" t="str">
        <f>"Johnson Matthey Technology Review"</f>
        <v>Johnson Matthey Technology Review</v>
      </c>
      <c r="B2398" s="4" t="s">
        <v>6</v>
      </c>
      <c r="C2398" s="4" t="str">
        <f t="shared" si="90"/>
        <v>-</v>
      </c>
      <c r="D2398" s="4" t="str">
        <f>"-"</f>
        <v>-</v>
      </c>
      <c r="E2398" s="4" t="str">
        <f>"20565135"</f>
        <v>20565135</v>
      </c>
      <c r="F2398" s="4" t="s">
        <v>647</v>
      </c>
    </row>
    <row r="2399" spans="1:6" x14ac:dyDescent="0.25">
      <c r="A2399" s="4" t="str">
        <f>"JOM"</f>
        <v>JOM</v>
      </c>
      <c r="B2399" s="4" t="s">
        <v>6</v>
      </c>
      <c r="C2399" s="4" t="str">
        <f t="shared" si="90"/>
        <v>-</v>
      </c>
      <c r="D2399" s="4" t="str">
        <f>"10474838"</f>
        <v>10474838</v>
      </c>
      <c r="E2399" s="4" t="str">
        <f>"15431851"</f>
        <v>15431851</v>
      </c>
      <c r="F2399" s="4" t="s">
        <v>648</v>
      </c>
    </row>
    <row r="2400" spans="1:6" x14ac:dyDescent="0.25">
      <c r="A2400" s="4" t="str">
        <f>"Jordan Journal of Civil Engineering"</f>
        <v>Jordan Journal of Civil Engineering</v>
      </c>
      <c r="B2400" s="4" t="s">
        <v>6</v>
      </c>
      <c r="C2400" s="4" t="str">
        <f t="shared" si="90"/>
        <v>-</v>
      </c>
      <c r="D2400" s="4" t="str">
        <f>"19930461"</f>
        <v>19930461</v>
      </c>
      <c r="E2400" s="4" t="str">
        <f>"2225157X"</f>
        <v>2225157X</v>
      </c>
      <c r="F2400" s="4" t="s">
        <v>649</v>
      </c>
    </row>
    <row r="2401" spans="1:6" x14ac:dyDescent="0.25">
      <c r="A2401" s="4" t="str">
        <f>"Jordan Journal of Mechanical and Industrial Engineering"</f>
        <v>Jordan Journal of Mechanical and Industrial Engineering</v>
      </c>
      <c r="B2401" s="4" t="s">
        <v>6</v>
      </c>
      <c r="C2401" s="4" t="str">
        <f t="shared" si="90"/>
        <v>-</v>
      </c>
      <c r="D2401" s="4" t="str">
        <f>"19956665"</f>
        <v>19956665</v>
      </c>
      <c r="E2401" s="4" t="str">
        <f>"-"</f>
        <v>-</v>
      </c>
      <c r="F2401" s="4" t="s">
        <v>650</v>
      </c>
    </row>
    <row r="2402" spans="1:6" x14ac:dyDescent="0.25">
      <c r="A2402" s="4" t="str">
        <f>"Journal - American Water Works Association"</f>
        <v>Journal - American Water Works Association</v>
      </c>
      <c r="B2402" s="4" t="s">
        <v>6</v>
      </c>
      <c r="C2402" s="4" t="str">
        <f t="shared" si="90"/>
        <v>-</v>
      </c>
      <c r="D2402" s="4" t="str">
        <f>"0003150X"</f>
        <v>0003150X</v>
      </c>
      <c r="E2402" s="4" t="str">
        <f>"15518833"</f>
        <v>15518833</v>
      </c>
      <c r="F2402" s="4" t="s">
        <v>651</v>
      </c>
    </row>
    <row r="2403" spans="1:6" x14ac:dyDescent="0.25">
      <c r="A2403" s="4" t="str">
        <f>"Journal Europeen des Systemes Automatises"</f>
        <v>Journal Europeen des Systemes Automatises</v>
      </c>
      <c r="B2403" s="4" t="s">
        <v>6</v>
      </c>
      <c r="C2403" s="4" t="str">
        <f t="shared" si="90"/>
        <v>-</v>
      </c>
      <c r="D2403" s="4" t="str">
        <f>"12696935"</f>
        <v>12696935</v>
      </c>
      <c r="E2403" s="4" t="str">
        <f>"-"</f>
        <v>-</v>
      </c>
      <c r="F2403" s="4" t="s">
        <v>122</v>
      </c>
    </row>
    <row r="2404" spans="1:6" x14ac:dyDescent="0.25">
      <c r="A2404" s="4" t="str">
        <f>"Journal of Adhesion"</f>
        <v>Journal of Adhesion</v>
      </c>
      <c r="B2404" s="4" t="s">
        <v>6</v>
      </c>
      <c r="C2404" s="4" t="str">
        <f t="shared" si="90"/>
        <v>-</v>
      </c>
      <c r="D2404" s="4" t="str">
        <f>"00218464"</f>
        <v>00218464</v>
      </c>
      <c r="E2404" s="4" t="str">
        <f>"15455823"</f>
        <v>15455823</v>
      </c>
      <c r="F2404" s="4" t="s">
        <v>96</v>
      </c>
    </row>
    <row r="2405" spans="1:6" x14ac:dyDescent="0.25">
      <c r="A2405" s="4" t="str">
        <f>"Journal of Adhesion Science and Technology"</f>
        <v>Journal of Adhesion Science and Technology</v>
      </c>
      <c r="B2405" s="4" t="s">
        <v>6</v>
      </c>
      <c r="C2405" s="4" t="str">
        <f t="shared" si="90"/>
        <v>-</v>
      </c>
      <c r="D2405" s="4" t="str">
        <f>"01694243"</f>
        <v>01694243</v>
      </c>
      <c r="E2405" s="4" t="str">
        <f>"15685616"</f>
        <v>15685616</v>
      </c>
      <c r="F2405" s="4" t="s">
        <v>60</v>
      </c>
    </row>
    <row r="2406" spans="1:6" x14ac:dyDescent="0.25">
      <c r="A2406" s="4" t="str">
        <f>"Journal of Advanced Computational Intelligence and Intelligent Informatics"</f>
        <v>Journal of Advanced Computational Intelligence and Intelligent Informatics</v>
      </c>
      <c r="B2406" s="4" t="s">
        <v>6</v>
      </c>
      <c r="C2406" s="4" t="str">
        <f t="shared" si="90"/>
        <v>-</v>
      </c>
      <c r="D2406" s="4" t="str">
        <f>"13430130"</f>
        <v>13430130</v>
      </c>
      <c r="E2406" s="4" t="str">
        <f>"18838014"</f>
        <v>18838014</v>
      </c>
      <c r="F2406" s="4" t="s">
        <v>565</v>
      </c>
    </row>
    <row r="2407" spans="1:6" x14ac:dyDescent="0.25">
      <c r="A2407" s="4" t="str">
        <f>"Journal of Advanced Concrete Technology"</f>
        <v>Journal of Advanced Concrete Technology</v>
      </c>
      <c r="B2407" s="4" t="s">
        <v>6</v>
      </c>
      <c r="C2407" s="4" t="str">
        <f t="shared" si="90"/>
        <v>-</v>
      </c>
      <c r="D2407" s="4" t="str">
        <f>"13468014"</f>
        <v>13468014</v>
      </c>
      <c r="E2407" s="4" t="str">
        <f>"-"</f>
        <v>-</v>
      </c>
      <c r="F2407" s="4" t="s">
        <v>652</v>
      </c>
    </row>
    <row r="2408" spans="1:6" x14ac:dyDescent="0.25">
      <c r="A2408" s="4" t="str">
        <f>"Journal of Advanced Manufacturing Systems"</f>
        <v>Journal of Advanced Manufacturing Systems</v>
      </c>
      <c r="B2408" s="4" t="s">
        <v>6</v>
      </c>
      <c r="C2408" s="4" t="str">
        <f t="shared" si="90"/>
        <v>-</v>
      </c>
      <c r="D2408" s="4" t="str">
        <f>"02196867"</f>
        <v>02196867</v>
      </c>
      <c r="E2408" s="4" t="str">
        <f>"-"</f>
        <v>-</v>
      </c>
      <c r="F2408" s="4" t="s">
        <v>157</v>
      </c>
    </row>
    <row r="2409" spans="1:6" x14ac:dyDescent="0.25">
      <c r="A2409" s="4" t="str">
        <f>"Journal of Advanced Materials"</f>
        <v>Journal of Advanced Materials</v>
      </c>
      <c r="B2409" s="4" t="s">
        <v>6</v>
      </c>
      <c r="C2409" s="4" t="str">
        <f t="shared" si="90"/>
        <v>-</v>
      </c>
      <c r="D2409" s="4" t="str">
        <f>"10709789"</f>
        <v>10709789</v>
      </c>
      <c r="E2409" s="4" t="str">
        <f>"-"</f>
        <v>-</v>
      </c>
      <c r="F2409" s="4" t="s">
        <v>610</v>
      </c>
    </row>
    <row r="2410" spans="1:6" x14ac:dyDescent="0.25">
      <c r="A2410" s="4" t="str">
        <f>"Journal of Advanced Mechanical Design, Systems and Manufacturing"</f>
        <v>Journal of Advanced Mechanical Design, Systems and Manufacturing</v>
      </c>
      <c r="B2410" s="4" t="s">
        <v>6</v>
      </c>
      <c r="C2410" s="4" t="str">
        <f t="shared" si="90"/>
        <v>-</v>
      </c>
      <c r="D2410" s="4" t="str">
        <f>"-"</f>
        <v>-</v>
      </c>
      <c r="E2410" s="4" t="str">
        <f>"18813054"</f>
        <v>18813054</v>
      </c>
      <c r="F2410" s="4" t="s">
        <v>653</v>
      </c>
    </row>
    <row r="2411" spans="1:6" x14ac:dyDescent="0.25">
      <c r="A2411" s="4" t="str">
        <f>"Journal of Advanced Microscopy Research"</f>
        <v>Journal of Advanced Microscopy Research</v>
      </c>
      <c r="B2411" s="4" t="s">
        <v>6</v>
      </c>
      <c r="C2411" s="4" t="str">
        <f t="shared" si="90"/>
        <v>-</v>
      </c>
      <c r="D2411" s="4" t="str">
        <f>"21567573"</f>
        <v>21567573</v>
      </c>
      <c r="E2411" s="4" t="str">
        <f>"21567581"</f>
        <v>21567581</v>
      </c>
      <c r="F2411" s="4" t="s">
        <v>654</v>
      </c>
    </row>
    <row r="2412" spans="1:6" x14ac:dyDescent="0.25">
      <c r="A2412" s="4" t="str">
        <f>"Journal of Advanced Transportation"</f>
        <v>Journal of Advanced Transportation</v>
      </c>
      <c r="B2412" s="4" t="s">
        <v>6</v>
      </c>
      <c r="C2412" s="4" t="str">
        <f t="shared" si="90"/>
        <v>-</v>
      </c>
      <c r="D2412" s="4" t="str">
        <f>"01976729"</f>
        <v>01976729</v>
      </c>
      <c r="E2412" s="4" t="str">
        <f>"20423195"</f>
        <v>20423195</v>
      </c>
      <c r="F2412" s="4" t="s">
        <v>142</v>
      </c>
    </row>
    <row r="2413" spans="1:6" x14ac:dyDescent="0.25">
      <c r="A2413" s="4" t="s">
        <v>655</v>
      </c>
      <c r="B2413" s="4" t="s">
        <v>6</v>
      </c>
      <c r="E2413" s="4" t="s">
        <v>656</v>
      </c>
      <c r="F2413" s="4" t="s">
        <v>657</v>
      </c>
    </row>
    <row r="2414" spans="1:6" x14ac:dyDescent="0.25">
      <c r="A2414" s="4" t="str">
        <f>"Journal of Advances in Modeling Earth Systems"</f>
        <v>Journal of Advances in Modeling Earth Systems</v>
      </c>
      <c r="B2414" s="4" t="s">
        <v>6</v>
      </c>
      <c r="C2414" s="4" t="str">
        <f>"-"</f>
        <v>-</v>
      </c>
      <c r="D2414" s="4" t="str">
        <f>"-"</f>
        <v>-</v>
      </c>
      <c r="E2414" s="4" t="str">
        <f>"19422466"</f>
        <v>19422466</v>
      </c>
      <c r="F2414" s="4" t="s">
        <v>209</v>
      </c>
    </row>
    <row r="2415" spans="1:6" x14ac:dyDescent="0.25">
      <c r="A2415" s="4" t="str">
        <f>"Journal of Aeronautics, Astronautics and Aviation, Series A"</f>
        <v>Journal of Aeronautics, Astronautics and Aviation, Series A</v>
      </c>
      <c r="B2415" s="4" t="s">
        <v>6</v>
      </c>
      <c r="C2415" s="4" t="str">
        <f t="shared" ref="C2415:C2466" si="92">"-"</f>
        <v>-</v>
      </c>
      <c r="D2415" s="4" t="str">
        <f>"19907710"</f>
        <v>19907710</v>
      </c>
      <c r="E2415" s="4" t="str">
        <f>"-"</f>
        <v>-</v>
      </c>
      <c r="F2415" s="4" t="s">
        <v>471</v>
      </c>
    </row>
    <row r="2416" spans="1:6" x14ac:dyDescent="0.25">
      <c r="A2416" s="4" t="str">
        <f>"Journal of Aerosol Science"</f>
        <v>Journal of Aerosol Science</v>
      </c>
      <c r="B2416" s="4" t="s">
        <v>6</v>
      </c>
      <c r="C2416" s="4" t="str">
        <f t="shared" si="92"/>
        <v>-</v>
      </c>
      <c r="D2416" s="4" t="str">
        <f>"00218502"</f>
        <v>00218502</v>
      </c>
      <c r="E2416" s="4" t="str">
        <f>"18791964"</f>
        <v>18791964</v>
      </c>
      <c r="F2416" s="4" t="s">
        <v>19</v>
      </c>
    </row>
    <row r="2417" spans="1:6" x14ac:dyDescent="0.25">
      <c r="A2417" s="4" t="str">
        <f>"Journal of Aerospace Engineering"</f>
        <v>Journal of Aerospace Engineering</v>
      </c>
      <c r="B2417" s="4" t="s">
        <v>6</v>
      </c>
      <c r="C2417" s="4" t="str">
        <f t="shared" si="92"/>
        <v>-</v>
      </c>
      <c r="D2417" s="4" t="str">
        <f>"08931321"</f>
        <v>08931321</v>
      </c>
      <c r="E2417" s="4" t="str">
        <f>"-"</f>
        <v>-</v>
      </c>
      <c r="F2417" s="4" t="s">
        <v>111</v>
      </c>
    </row>
    <row r="2418" spans="1:6" x14ac:dyDescent="0.25">
      <c r="A2418" s="4" t="str">
        <f>"Journal of Aerospace Information Systems"</f>
        <v>Journal of Aerospace Information Systems</v>
      </c>
      <c r="B2418" s="4" t="s">
        <v>6</v>
      </c>
      <c r="C2418" s="4" t="str">
        <f t="shared" si="92"/>
        <v>-</v>
      </c>
      <c r="D2418" s="4" t="str">
        <f>"-"</f>
        <v>-</v>
      </c>
      <c r="E2418" s="4" t="str">
        <f>"23273097"</f>
        <v>23273097</v>
      </c>
      <c r="F2418" s="4" t="s">
        <v>104</v>
      </c>
    </row>
    <row r="2419" spans="1:6" x14ac:dyDescent="0.25">
      <c r="A2419" s="4" t="str">
        <f>"Journal of Aerospace Technology and Management"</f>
        <v>Journal of Aerospace Technology and Management</v>
      </c>
      <c r="B2419" s="4" t="s">
        <v>6</v>
      </c>
      <c r="C2419" s="4" t="str">
        <f t="shared" si="92"/>
        <v>-</v>
      </c>
      <c r="D2419" s="4" t="str">
        <f>"19849648"</f>
        <v>19849648</v>
      </c>
      <c r="E2419" s="4" t="str">
        <f>"21759146"</f>
        <v>21759146</v>
      </c>
      <c r="F2419" s="4" t="s">
        <v>658</v>
      </c>
    </row>
    <row r="2420" spans="1:6" x14ac:dyDescent="0.25">
      <c r="A2420" s="4" t="str">
        <f>"Journal of Agricultural and Food Chemistry"</f>
        <v>Journal of Agricultural and Food Chemistry</v>
      </c>
      <c r="B2420" s="4" t="s">
        <v>6</v>
      </c>
      <c r="C2420" s="4" t="str">
        <f t="shared" si="92"/>
        <v>-</v>
      </c>
      <c r="D2420" s="4" t="str">
        <f>"00218561"</f>
        <v>00218561</v>
      </c>
      <c r="E2420" s="4" t="str">
        <f>"15205118"</f>
        <v>15205118</v>
      </c>
      <c r="F2420" s="4" t="s">
        <v>28</v>
      </c>
    </row>
    <row r="2421" spans="1:6" x14ac:dyDescent="0.25">
      <c r="A2421" s="4" t="str">
        <f>"Journal of Aircraft"</f>
        <v>Journal of Aircraft</v>
      </c>
      <c r="B2421" s="4" t="s">
        <v>6</v>
      </c>
      <c r="C2421" s="4" t="str">
        <f t="shared" si="92"/>
        <v>-</v>
      </c>
      <c r="D2421" s="4" t="str">
        <f>"00218669"</f>
        <v>00218669</v>
      </c>
      <c r="E2421" s="4" t="str">
        <f>"-"</f>
        <v>-</v>
      </c>
      <c r="F2421" s="4" t="s">
        <v>104</v>
      </c>
    </row>
    <row r="2422" spans="1:6" x14ac:dyDescent="0.25">
      <c r="A2422" s="4" t="str">
        <f>"Journal of Algorithms and Computational Technology"</f>
        <v>Journal of Algorithms and Computational Technology</v>
      </c>
      <c r="B2422" s="4" t="s">
        <v>6</v>
      </c>
      <c r="C2422" s="4" t="str">
        <f t="shared" si="92"/>
        <v>-</v>
      </c>
      <c r="D2422" s="4" t="str">
        <f>"17483018"</f>
        <v>17483018</v>
      </c>
      <c r="E2422" s="4" t="str">
        <f>"17483026"</f>
        <v>17483026</v>
      </c>
      <c r="F2422" s="4" t="s">
        <v>58</v>
      </c>
    </row>
    <row r="2423" spans="1:6" x14ac:dyDescent="0.25">
      <c r="A2423" s="4" t="str">
        <f>"Journal of Alloys and Compounds"</f>
        <v>Journal of Alloys and Compounds</v>
      </c>
      <c r="B2423" s="4" t="s">
        <v>6</v>
      </c>
      <c r="C2423" s="4" t="str">
        <f t="shared" si="92"/>
        <v>-</v>
      </c>
      <c r="D2423" s="4" t="str">
        <f>"09258388"</f>
        <v>09258388</v>
      </c>
      <c r="E2423" s="4" t="str">
        <f>"-"</f>
        <v>-</v>
      </c>
      <c r="F2423" s="4" t="s">
        <v>19</v>
      </c>
    </row>
    <row r="2424" spans="1:6" x14ac:dyDescent="0.25">
      <c r="A2424" s="4" t="str">
        <f>"Journal of Ambient Intelligence and Humanized Computing"</f>
        <v>Journal of Ambient Intelligence and Humanized Computing</v>
      </c>
      <c r="B2424" s="4" t="s">
        <v>6</v>
      </c>
      <c r="C2424" s="4" t="str">
        <f t="shared" si="92"/>
        <v>-</v>
      </c>
      <c r="D2424" s="4" t="str">
        <f>"18685137"</f>
        <v>18685137</v>
      </c>
      <c r="E2424" s="4" t="str">
        <f>"18685145"</f>
        <v>18685145</v>
      </c>
      <c r="F2424" s="4" t="s">
        <v>42</v>
      </c>
    </row>
    <row r="2425" spans="1:6" x14ac:dyDescent="0.25">
      <c r="A2425" s="4" t="str">
        <f>"Journal of Ambient Intelligence and Smart Environments"</f>
        <v>Journal of Ambient Intelligence and Smart Environments</v>
      </c>
      <c r="B2425" s="4" t="s">
        <v>6</v>
      </c>
      <c r="C2425" s="4" t="str">
        <f t="shared" si="92"/>
        <v>-</v>
      </c>
      <c r="D2425" s="4" t="str">
        <f>"18761364"</f>
        <v>18761364</v>
      </c>
      <c r="E2425" s="4" t="str">
        <f>"-"</f>
        <v>-</v>
      </c>
      <c r="F2425" s="4" t="s">
        <v>103</v>
      </c>
    </row>
    <row r="2426" spans="1:6" x14ac:dyDescent="0.25">
      <c r="A2426" s="4" t="str">
        <f>"Journal of Analytical and Applied Pyrolysis"</f>
        <v>Journal of Analytical and Applied Pyrolysis</v>
      </c>
      <c r="B2426" s="4" t="s">
        <v>6</v>
      </c>
      <c r="C2426" s="4" t="str">
        <f t="shared" si="92"/>
        <v>-</v>
      </c>
      <c r="D2426" s="4" t="str">
        <f>"01652370"</f>
        <v>01652370</v>
      </c>
      <c r="E2426" s="4" t="str">
        <f>"-"</f>
        <v>-</v>
      </c>
      <c r="F2426" s="4" t="s">
        <v>55</v>
      </c>
    </row>
    <row r="2427" spans="1:6" x14ac:dyDescent="0.25">
      <c r="A2427" s="4" t="str">
        <f>"Journal of Analytical Atomic Spectrometry"</f>
        <v>Journal of Analytical Atomic Spectrometry</v>
      </c>
      <c r="B2427" s="4" t="s">
        <v>6</v>
      </c>
      <c r="C2427" s="4" t="str">
        <f t="shared" si="92"/>
        <v>-</v>
      </c>
      <c r="D2427" s="4" t="str">
        <f>"02679477"</f>
        <v>02679477</v>
      </c>
      <c r="E2427" s="4" t="str">
        <f>"13645544"</f>
        <v>13645544</v>
      </c>
      <c r="F2427" s="4" t="s">
        <v>121</v>
      </c>
    </row>
    <row r="2428" spans="1:6" x14ac:dyDescent="0.25">
      <c r="A2428" s="4" t="str">
        <f>"Journal of Analytical Chemistry"</f>
        <v>Journal of Analytical Chemistry</v>
      </c>
      <c r="B2428" s="4" t="s">
        <v>6</v>
      </c>
      <c r="C2428" s="4" t="str">
        <f t="shared" si="92"/>
        <v>-</v>
      </c>
      <c r="D2428" s="4" t="str">
        <f>"10619348"</f>
        <v>10619348</v>
      </c>
      <c r="E2428" s="4" t="str">
        <f>"-"</f>
        <v>-</v>
      </c>
      <c r="F2428" s="4" t="s">
        <v>171</v>
      </c>
    </row>
    <row r="2429" spans="1:6" x14ac:dyDescent="0.25">
      <c r="A2429" s="4" t="str">
        <f>"Journal of AOAC International"</f>
        <v>Journal of AOAC International</v>
      </c>
      <c r="B2429" s="4" t="s">
        <v>6</v>
      </c>
      <c r="C2429" s="4" t="str">
        <f t="shared" si="92"/>
        <v>-</v>
      </c>
      <c r="D2429" s="4" t="str">
        <f>"10603271"</f>
        <v>10603271</v>
      </c>
      <c r="E2429" s="4" t="str">
        <f>"-"</f>
        <v>-</v>
      </c>
      <c r="F2429" s="4" t="s">
        <v>659</v>
      </c>
    </row>
    <row r="2430" spans="1:6" x14ac:dyDescent="0.25">
      <c r="A2430" s="4" t="str">
        <f>"Journal of Applied and Industrial Mathematics"</f>
        <v>Journal of Applied and Industrial Mathematics</v>
      </c>
      <c r="B2430" s="4" t="s">
        <v>6</v>
      </c>
      <c r="C2430" s="4" t="str">
        <f t="shared" si="92"/>
        <v>-</v>
      </c>
      <c r="D2430" s="4" t="str">
        <f>"19904789"</f>
        <v>19904789</v>
      </c>
      <c r="E2430" s="4" t="str">
        <f>"19904797"</f>
        <v>19904797</v>
      </c>
      <c r="F2430" s="4" t="s">
        <v>24</v>
      </c>
    </row>
    <row r="2431" spans="1:6" x14ac:dyDescent="0.25">
      <c r="A2431" s="4" t="str">
        <f>"Journal of Applied Biomechanics"</f>
        <v>Journal of Applied Biomechanics</v>
      </c>
      <c r="B2431" s="4" t="s">
        <v>6</v>
      </c>
      <c r="C2431" s="4" t="str">
        <f t="shared" si="92"/>
        <v>-</v>
      </c>
      <c r="D2431" s="4" t="str">
        <f>"10658483"</f>
        <v>10658483</v>
      </c>
      <c r="E2431" s="4" t="str">
        <f>"15432688"</f>
        <v>15432688</v>
      </c>
      <c r="F2431" s="4" t="s">
        <v>660</v>
      </c>
    </row>
    <row r="2432" spans="1:6" x14ac:dyDescent="0.25">
      <c r="A2432" s="4" t="str">
        <f>"Journal of Applied Crystallography"</f>
        <v>Journal of Applied Crystallography</v>
      </c>
      <c r="B2432" s="4" t="s">
        <v>6</v>
      </c>
      <c r="C2432" s="4" t="str">
        <f t="shared" si="92"/>
        <v>-</v>
      </c>
      <c r="D2432" s="4" t="str">
        <f>"00218898"</f>
        <v>00218898</v>
      </c>
      <c r="E2432" s="4" t="str">
        <f>"16005767"</f>
        <v>16005767</v>
      </c>
      <c r="F2432" s="4" t="s">
        <v>33</v>
      </c>
    </row>
    <row r="2433" spans="1:6" x14ac:dyDescent="0.25">
      <c r="A2433" s="4" t="str">
        <f>"Journal of Applied Electrochemistry"</f>
        <v>Journal of Applied Electrochemistry</v>
      </c>
      <c r="B2433" s="4" t="s">
        <v>6</v>
      </c>
      <c r="C2433" s="4" t="str">
        <f t="shared" si="92"/>
        <v>-</v>
      </c>
      <c r="D2433" s="4" t="str">
        <f>"0021891X"</f>
        <v>0021891X</v>
      </c>
      <c r="E2433" s="4" t="str">
        <f>"15728838"</f>
        <v>15728838</v>
      </c>
      <c r="F2433" s="4" t="s">
        <v>31</v>
      </c>
    </row>
    <row r="2434" spans="1:6" x14ac:dyDescent="0.25">
      <c r="A2434" s="4" t="str">
        <f>"Journal of Applied Fire Science"</f>
        <v>Journal of Applied Fire Science</v>
      </c>
      <c r="B2434" s="4" t="s">
        <v>6</v>
      </c>
      <c r="C2434" s="4" t="str">
        <f t="shared" si="92"/>
        <v>-</v>
      </c>
      <c r="D2434" s="4" t="str">
        <f>"10444300"</f>
        <v>10444300</v>
      </c>
      <c r="E2434" s="4" t="str">
        <f>"15414183"</f>
        <v>15414183</v>
      </c>
      <c r="F2434" s="4" t="s">
        <v>661</v>
      </c>
    </row>
    <row r="2435" spans="1:6" x14ac:dyDescent="0.25">
      <c r="A2435" s="4" t="str">
        <f>"Journal of Applied Geodesy"</f>
        <v>Journal of Applied Geodesy</v>
      </c>
      <c r="B2435" s="4" t="s">
        <v>6</v>
      </c>
      <c r="C2435" s="4" t="str">
        <f t="shared" si="92"/>
        <v>-</v>
      </c>
      <c r="D2435" s="4" t="str">
        <f>"18629016"</f>
        <v>18629016</v>
      </c>
      <c r="E2435" s="4" t="str">
        <f>"18629024"</f>
        <v>18629024</v>
      </c>
      <c r="F2435" s="4" t="s">
        <v>189</v>
      </c>
    </row>
    <row r="2436" spans="1:6" x14ac:dyDescent="0.25">
      <c r="A2436" s="4" t="str">
        <f>"Journal of Applied Geophysics"</f>
        <v>Journal of Applied Geophysics</v>
      </c>
      <c r="B2436" s="4" t="s">
        <v>6</v>
      </c>
      <c r="C2436" s="4" t="str">
        <f t="shared" si="92"/>
        <v>-</v>
      </c>
      <c r="D2436" s="4" t="str">
        <f>"09269851"</f>
        <v>09269851</v>
      </c>
      <c r="E2436" s="4" t="str">
        <f>"-"</f>
        <v>-</v>
      </c>
      <c r="F2436" s="4" t="s">
        <v>55</v>
      </c>
    </row>
    <row r="2437" spans="1:6" x14ac:dyDescent="0.25">
      <c r="A2437" s="4" t="str">
        <f>"Journal of Applied Logic"</f>
        <v>Journal of Applied Logic</v>
      </c>
      <c r="B2437" s="4" t="s">
        <v>6</v>
      </c>
      <c r="C2437" s="4" t="str">
        <f t="shared" si="92"/>
        <v>-</v>
      </c>
      <c r="D2437" s="4" t="str">
        <f>"15708683"</f>
        <v>15708683</v>
      </c>
      <c r="E2437" s="4" t="str">
        <f>"-"</f>
        <v>-</v>
      </c>
      <c r="F2437" s="4" t="s">
        <v>19</v>
      </c>
    </row>
    <row r="2438" spans="1:6" x14ac:dyDescent="0.25">
      <c r="A2438" s="4" t="str">
        <f>"Journal of Applied Mathematics and Computing"</f>
        <v>Journal of Applied Mathematics and Computing</v>
      </c>
      <c r="B2438" s="4" t="s">
        <v>6</v>
      </c>
      <c r="C2438" s="4" t="str">
        <f t="shared" si="92"/>
        <v>-</v>
      </c>
      <c r="D2438" s="4" t="str">
        <f>"15985865"</f>
        <v>15985865</v>
      </c>
      <c r="E2438" s="4" t="str">
        <f>"-"</f>
        <v>-</v>
      </c>
      <c r="F2438" s="4" t="s">
        <v>42</v>
      </c>
    </row>
    <row r="2439" spans="1:6" x14ac:dyDescent="0.25">
      <c r="A2439" s="4" t="str">
        <f>"Journal of Applied Mathematics and Mechanics"</f>
        <v>Journal of Applied Mathematics and Mechanics</v>
      </c>
      <c r="B2439" s="4" t="s">
        <v>6</v>
      </c>
      <c r="C2439" s="4" t="str">
        <f t="shared" si="92"/>
        <v>-</v>
      </c>
      <c r="D2439" s="4" t="str">
        <f>"00218928"</f>
        <v>00218928</v>
      </c>
      <c r="E2439" s="4" t="str">
        <f>"-"</f>
        <v>-</v>
      </c>
      <c r="F2439" s="4" t="s">
        <v>19</v>
      </c>
    </row>
    <row r="2440" spans="1:6" x14ac:dyDescent="0.25">
      <c r="A2440" s="4" t="str">
        <f>"Journal of Applied Measurement"</f>
        <v>Journal of Applied Measurement</v>
      </c>
      <c r="B2440" s="4" t="s">
        <v>6</v>
      </c>
      <c r="C2440" s="4" t="str">
        <f t="shared" si="92"/>
        <v>-</v>
      </c>
      <c r="D2440" s="4" t="str">
        <f>"15297713"</f>
        <v>15297713</v>
      </c>
      <c r="E2440" s="4" t="str">
        <f>"-"</f>
        <v>-</v>
      </c>
      <c r="F2440" s="4" t="s">
        <v>662</v>
      </c>
    </row>
    <row r="2441" spans="1:6" x14ac:dyDescent="0.25">
      <c r="A2441" s="4" t="str">
        <f>"Journal of Applied Mechanics and Technical Physics"</f>
        <v>Journal of Applied Mechanics and Technical Physics</v>
      </c>
      <c r="B2441" s="4" t="s">
        <v>6</v>
      </c>
      <c r="C2441" s="4" t="str">
        <f t="shared" si="92"/>
        <v>-</v>
      </c>
      <c r="D2441" s="4" t="str">
        <f>"00218944"</f>
        <v>00218944</v>
      </c>
      <c r="E2441" s="4" t="str">
        <f>"15738620"</f>
        <v>15738620</v>
      </c>
      <c r="F2441" s="4" t="s">
        <v>24</v>
      </c>
    </row>
    <row r="2442" spans="1:6" x14ac:dyDescent="0.25">
      <c r="A2442" s="4" t="str">
        <f>"Journal of Applied Mechanics, Transactions ASME"</f>
        <v>Journal of Applied Mechanics, Transactions ASME</v>
      </c>
      <c r="B2442" s="4" t="s">
        <v>6</v>
      </c>
      <c r="C2442" s="4" t="str">
        <f t="shared" si="92"/>
        <v>-</v>
      </c>
      <c r="D2442" s="4" t="str">
        <f>"00218936"</f>
        <v>00218936</v>
      </c>
      <c r="E2442" s="4" t="str">
        <f>"15289036"</f>
        <v>15289036</v>
      </c>
      <c r="F2442" s="4" t="s">
        <v>73</v>
      </c>
    </row>
    <row r="2443" spans="1:6" x14ac:dyDescent="0.25">
      <c r="A2443" s="4" t="str">
        <f>"Journal of Applied Meteorology and Climatology"</f>
        <v>Journal of Applied Meteorology and Climatology</v>
      </c>
      <c r="B2443" s="4" t="s">
        <v>6</v>
      </c>
      <c r="C2443" s="4" t="str">
        <f t="shared" si="92"/>
        <v>-</v>
      </c>
      <c r="D2443" s="4" t="str">
        <f>"15588424"</f>
        <v>15588424</v>
      </c>
      <c r="E2443" s="4" t="str">
        <f>"15588432"</f>
        <v>15588432</v>
      </c>
      <c r="F2443" s="4" t="s">
        <v>225</v>
      </c>
    </row>
    <row r="2444" spans="1:6" x14ac:dyDescent="0.25">
      <c r="A2444" s="4" t="str">
        <f>"Journal of Applied Physics"</f>
        <v>Journal of Applied Physics</v>
      </c>
      <c r="B2444" s="4" t="s">
        <v>6</v>
      </c>
      <c r="C2444" s="4" t="str">
        <f t="shared" si="92"/>
        <v>-</v>
      </c>
      <c r="D2444" s="4" t="str">
        <f>"00218979"</f>
        <v>00218979</v>
      </c>
      <c r="E2444" s="4" t="str">
        <f>"10897550"</f>
        <v>10897550</v>
      </c>
      <c r="F2444" s="4" t="s">
        <v>108</v>
      </c>
    </row>
    <row r="2445" spans="1:6" x14ac:dyDescent="0.25">
      <c r="A2445" s="4" t="str">
        <f>"Journal of Applied Polymer Science"</f>
        <v>Journal of Applied Polymer Science</v>
      </c>
      <c r="B2445" s="4" t="s">
        <v>6</v>
      </c>
      <c r="C2445" s="4" t="str">
        <f t="shared" si="92"/>
        <v>-</v>
      </c>
      <c r="D2445" s="4" t="str">
        <f>"00218995"</f>
        <v>00218995</v>
      </c>
      <c r="E2445" s="4" t="str">
        <f>"10974628"</f>
        <v>10974628</v>
      </c>
      <c r="F2445" s="4" t="s">
        <v>87</v>
      </c>
    </row>
    <row r="2446" spans="1:6" x14ac:dyDescent="0.25">
      <c r="A2446" s="4" t="str">
        <f>"Journal of Applied Remote Sensing"</f>
        <v>Journal of Applied Remote Sensing</v>
      </c>
      <c r="B2446" s="4" t="s">
        <v>6</v>
      </c>
      <c r="C2446" s="4" t="str">
        <f t="shared" si="92"/>
        <v>-</v>
      </c>
      <c r="D2446" s="4" t="str">
        <f>"-"</f>
        <v>-</v>
      </c>
      <c r="E2446" s="4" t="str">
        <f>"19313195"</f>
        <v>19313195</v>
      </c>
      <c r="F2446" s="4" t="s">
        <v>663</v>
      </c>
    </row>
    <row r="2447" spans="1:6" x14ac:dyDescent="0.25">
      <c r="A2447" s="4" t="str">
        <f>"Journal of Applied Science and Engineering"</f>
        <v>Journal of Applied Science and Engineering</v>
      </c>
      <c r="B2447" s="4" t="s">
        <v>6</v>
      </c>
      <c r="C2447" s="4" t="str">
        <f t="shared" si="92"/>
        <v>-</v>
      </c>
      <c r="D2447" s="4" t="str">
        <f>"15606686"</f>
        <v>15606686</v>
      </c>
      <c r="E2447" s="4" t="str">
        <f>"-"</f>
        <v>-</v>
      </c>
      <c r="F2447" s="4" t="s">
        <v>664</v>
      </c>
    </row>
    <row r="2448" spans="1:6" x14ac:dyDescent="0.25">
      <c r="A2448" s="4" t="str">
        <f>"Journal of Aquatic Food Product Technology"</f>
        <v>Journal of Aquatic Food Product Technology</v>
      </c>
      <c r="B2448" s="4" t="s">
        <v>6</v>
      </c>
      <c r="C2448" s="4" t="str">
        <f t="shared" si="92"/>
        <v>-</v>
      </c>
      <c r="D2448" s="4" t="str">
        <f>"10498850"</f>
        <v>10498850</v>
      </c>
      <c r="E2448" s="4" t="str">
        <f>"15470636"</f>
        <v>15470636</v>
      </c>
      <c r="F2448" s="4" t="s">
        <v>96</v>
      </c>
    </row>
    <row r="2449" spans="1:6" x14ac:dyDescent="0.25">
      <c r="A2449" s="4" t="str">
        <f>"Journal of Architectural Engineering"</f>
        <v>Journal of Architectural Engineering</v>
      </c>
      <c r="B2449" s="4" t="s">
        <v>6</v>
      </c>
      <c r="C2449" s="4" t="str">
        <f t="shared" si="92"/>
        <v>-</v>
      </c>
      <c r="D2449" s="4" t="str">
        <f>"10760431"</f>
        <v>10760431</v>
      </c>
      <c r="E2449" s="4" t="str">
        <f>"-"</f>
        <v>-</v>
      </c>
      <c r="F2449" s="4" t="s">
        <v>111</v>
      </c>
    </row>
    <row r="2450" spans="1:6" x14ac:dyDescent="0.25">
      <c r="A2450" s="4" t="str">
        <f>"Journal of Artificial Intelligence Research"</f>
        <v>Journal of Artificial Intelligence Research</v>
      </c>
      <c r="B2450" s="4" t="s">
        <v>6</v>
      </c>
      <c r="C2450" s="4" t="str">
        <f t="shared" si="92"/>
        <v>-</v>
      </c>
      <c r="D2450" s="4" t="str">
        <f>"-"</f>
        <v>-</v>
      </c>
      <c r="E2450" s="4" t="str">
        <f>"10769757"</f>
        <v>10769757</v>
      </c>
      <c r="F2450" s="4" t="s">
        <v>11</v>
      </c>
    </row>
    <row r="2451" spans="1:6" x14ac:dyDescent="0.25">
      <c r="A2451" s="4" t="str">
        <f>"Journal of Asian Architecture and Building Engineering"</f>
        <v>Journal of Asian Architecture and Building Engineering</v>
      </c>
      <c r="B2451" s="4" t="s">
        <v>6</v>
      </c>
      <c r="C2451" s="4" t="str">
        <f t="shared" si="92"/>
        <v>-</v>
      </c>
      <c r="D2451" s="4" t="str">
        <f>"13467581"</f>
        <v>13467581</v>
      </c>
      <c r="E2451" s="4" t="str">
        <f>"13472852"</f>
        <v>13472852</v>
      </c>
      <c r="F2451" s="4" t="s">
        <v>107</v>
      </c>
    </row>
    <row r="2452" spans="1:6" x14ac:dyDescent="0.25">
      <c r="A2452" s="4" t="str">
        <f>"Journal of Asian Ceramic Societies"</f>
        <v>Journal of Asian Ceramic Societies</v>
      </c>
      <c r="B2452" s="4" t="s">
        <v>6</v>
      </c>
      <c r="C2452" s="4" t="str">
        <f t="shared" si="92"/>
        <v>-</v>
      </c>
      <c r="D2452" s="4" t="str">
        <f>"21870764"</f>
        <v>21870764</v>
      </c>
      <c r="E2452" s="4" t="str">
        <f>"-"</f>
        <v>-</v>
      </c>
      <c r="F2452" s="4" t="s">
        <v>55</v>
      </c>
    </row>
    <row r="2453" spans="1:6" x14ac:dyDescent="0.25">
      <c r="A2453" s="4" t="str">
        <f>"Journal of Astronomical Telescopes, Instruments, and Systems"</f>
        <v>Journal of Astronomical Telescopes, Instruments, and Systems</v>
      </c>
      <c r="B2453" s="4" t="s">
        <v>6</v>
      </c>
      <c r="C2453" s="4" t="str">
        <f t="shared" si="92"/>
        <v>-</v>
      </c>
      <c r="D2453" s="4" t="str">
        <f>"23294124"</f>
        <v>23294124</v>
      </c>
      <c r="E2453" s="4" t="str">
        <f>"23294221"</f>
        <v>23294221</v>
      </c>
      <c r="F2453" s="4" t="s">
        <v>663</v>
      </c>
    </row>
    <row r="2454" spans="1:6" x14ac:dyDescent="0.25">
      <c r="A2454" s="4" t="str">
        <f>"Journal of Atmospheric and Oceanic Technology"</f>
        <v>Journal of Atmospheric and Oceanic Technology</v>
      </c>
      <c r="B2454" s="4" t="s">
        <v>6</v>
      </c>
      <c r="C2454" s="4" t="str">
        <f t="shared" si="92"/>
        <v>-</v>
      </c>
      <c r="D2454" s="4" t="str">
        <f>"07390572"</f>
        <v>07390572</v>
      </c>
      <c r="E2454" s="4" t="str">
        <f>"15200426"</f>
        <v>15200426</v>
      </c>
      <c r="F2454" s="4" t="s">
        <v>225</v>
      </c>
    </row>
    <row r="2455" spans="1:6" x14ac:dyDescent="0.25">
      <c r="A2455" s="4" t="str">
        <f>"Journal of Atmospheric and Solar-Terrestrial Physics"</f>
        <v>Journal of Atmospheric and Solar-Terrestrial Physics</v>
      </c>
      <c r="B2455" s="4" t="s">
        <v>6</v>
      </c>
      <c r="C2455" s="4" t="str">
        <f t="shared" si="92"/>
        <v>-</v>
      </c>
      <c r="D2455" s="4" t="str">
        <f>"13646826"</f>
        <v>13646826</v>
      </c>
      <c r="E2455" s="4" t="str">
        <f>"-"</f>
        <v>-</v>
      </c>
      <c r="F2455" s="4" t="s">
        <v>19</v>
      </c>
    </row>
    <row r="2456" spans="1:6" x14ac:dyDescent="0.25">
      <c r="A2456" s="4" t="str">
        <f>"Journal of Automated Reasoning"</f>
        <v>Journal of Automated Reasoning</v>
      </c>
      <c r="B2456" s="4" t="s">
        <v>6</v>
      </c>
      <c r="C2456" s="4" t="str">
        <f t="shared" si="92"/>
        <v>-</v>
      </c>
      <c r="D2456" s="4" t="str">
        <f>"01687433"</f>
        <v>01687433</v>
      </c>
      <c r="E2456" s="4" t="str">
        <f>"15730670"</f>
        <v>15730670</v>
      </c>
      <c r="F2456" s="4" t="s">
        <v>31</v>
      </c>
    </row>
    <row r="2457" spans="1:6" x14ac:dyDescent="0.25">
      <c r="A2457" s="4" t="str">
        <f>"Journal of Automation and Information Sciences"</f>
        <v>Journal of Automation and Information Sciences</v>
      </c>
      <c r="B2457" s="4" t="s">
        <v>6</v>
      </c>
      <c r="C2457" s="4" t="str">
        <f t="shared" si="92"/>
        <v>-</v>
      </c>
      <c r="D2457" s="4" t="str">
        <f>"10642315"</f>
        <v>10642315</v>
      </c>
      <c r="E2457" s="4" t="str">
        <f>"-"</f>
        <v>-</v>
      </c>
      <c r="F2457" s="4" t="s">
        <v>69</v>
      </c>
    </row>
    <row r="2458" spans="1:6" x14ac:dyDescent="0.25">
      <c r="A2458" s="4" t="str">
        <f>"Journal of Beijing Institute of Technology (English Edition)"</f>
        <v>Journal of Beijing Institute of Technology (English Edition)</v>
      </c>
      <c r="B2458" s="4" t="s">
        <v>6</v>
      </c>
      <c r="C2458" s="4" t="str">
        <f t="shared" si="92"/>
        <v>-</v>
      </c>
      <c r="D2458" s="4" t="str">
        <f>"10040579"</f>
        <v>10040579</v>
      </c>
      <c r="E2458" s="4" t="str">
        <f>"-"</f>
        <v>-</v>
      </c>
      <c r="F2458" s="4" t="s">
        <v>175</v>
      </c>
    </row>
    <row r="2459" spans="1:6" x14ac:dyDescent="0.25">
      <c r="A2459" s="4" t="str">
        <f>"Journal of Bioactive and Compatible Polymers"</f>
        <v>Journal of Bioactive and Compatible Polymers</v>
      </c>
      <c r="B2459" s="4" t="s">
        <v>6</v>
      </c>
      <c r="C2459" s="4" t="str">
        <f t="shared" si="92"/>
        <v>-</v>
      </c>
      <c r="D2459" s="4" t="str">
        <f>"08839115"</f>
        <v>08839115</v>
      </c>
      <c r="E2459" s="4" t="str">
        <f>"15308030"</f>
        <v>15308030</v>
      </c>
      <c r="F2459" s="4" t="s">
        <v>212</v>
      </c>
    </row>
    <row r="2460" spans="1:6" x14ac:dyDescent="0.25">
      <c r="A2460" s="4" t="str">
        <f>"Journal of Biobased Materials and Bioenergy"</f>
        <v>Journal of Biobased Materials and Bioenergy</v>
      </c>
      <c r="B2460" s="4" t="s">
        <v>6</v>
      </c>
      <c r="C2460" s="4" t="str">
        <f t="shared" si="92"/>
        <v>-</v>
      </c>
      <c r="D2460" s="4" t="str">
        <f>"15566560"</f>
        <v>15566560</v>
      </c>
      <c r="E2460" s="4" t="str">
        <f>"15566579"</f>
        <v>15566579</v>
      </c>
      <c r="F2460" s="4" t="s">
        <v>654</v>
      </c>
    </row>
    <row r="2461" spans="1:6" x14ac:dyDescent="0.25">
      <c r="A2461" s="4" t="str">
        <f>"Journal of Biological Chemistry"</f>
        <v>Journal of Biological Chemistry</v>
      </c>
      <c r="B2461" s="4" t="s">
        <v>6</v>
      </c>
      <c r="C2461" s="4" t="str">
        <f t="shared" si="92"/>
        <v>-</v>
      </c>
      <c r="D2461" s="4" t="str">
        <f>"00219258"</f>
        <v>00219258</v>
      </c>
      <c r="E2461" s="4" t="str">
        <f>"1083351X"</f>
        <v>1083351X</v>
      </c>
      <c r="F2461" s="4" t="s">
        <v>665</v>
      </c>
    </row>
    <row r="2462" spans="1:6" x14ac:dyDescent="0.25">
      <c r="A2462" s="4" t="str">
        <f>"Journal of Biomaterials Applications"</f>
        <v>Journal of Biomaterials Applications</v>
      </c>
      <c r="B2462" s="4" t="s">
        <v>6</v>
      </c>
      <c r="C2462" s="4" t="str">
        <f t="shared" si="92"/>
        <v>-</v>
      </c>
      <c r="D2462" s="4" t="str">
        <f>"08853282"</f>
        <v>08853282</v>
      </c>
      <c r="E2462" s="4" t="str">
        <f>"15308022"</f>
        <v>15308022</v>
      </c>
      <c r="F2462" s="4" t="s">
        <v>212</v>
      </c>
    </row>
    <row r="2463" spans="1:6" x14ac:dyDescent="0.25">
      <c r="A2463" s="4" t="str">
        <f>"Journal of Biomaterials Science, Polymer Edition"</f>
        <v>Journal of Biomaterials Science, Polymer Edition</v>
      </c>
      <c r="B2463" s="4" t="s">
        <v>6</v>
      </c>
      <c r="C2463" s="4" t="str">
        <f t="shared" si="92"/>
        <v>-</v>
      </c>
      <c r="D2463" s="4" t="str">
        <f>"09205063"</f>
        <v>09205063</v>
      </c>
      <c r="E2463" s="4" t="str">
        <f>"15685624"</f>
        <v>15685624</v>
      </c>
      <c r="F2463" s="4" t="s">
        <v>96</v>
      </c>
    </row>
    <row r="2464" spans="1:6" x14ac:dyDescent="0.25">
      <c r="A2464" s="4" t="str">
        <f>"Journal of Biomechanical Engineering"</f>
        <v>Journal of Biomechanical Engineering</v>
      </c>
      <c r="B2464" s="4" t="s">
        <v>6</v>
      </c>
      <c r="C2464" s="4" t="str">
        <f t="shared" si="92"/>
        <v>-</v>
      </c>
      <c r="D2464" s="4" t="str">
        <f>"01480731"</f>
        <v>01480731</v>
      </c>
      <c r="E2464" s="4" t="str">
        <f>"15288951"</f>
        <v>15288951</v>
      </c>
      <c r="F2464" s="4" t="s">
        <v>73</v>
      </c>
    </row>
    <row r="2465" spans="1:6" x14ac:dyDescent="0.25">
      <c r="A2465" s="4" t="str">
        <f>"Journal of Biomechanical Science and Engineering"</f>
        <v>Journal of Biomechanical Science and Engineering</v>
      </c>
      <c r="B2465" s="4" t="s">
        <v>6</v>
      </c>
      <c r="C2465" s="4" t="str">
        <f t="shared" si="92"/>
        <v>-</v>
      </c>
      <c r="D2465" s="4" t="str">
        <f>"18809863"</f>
        <v>18809863</v>
      </c>
      <c r="E2465" s="4" t="str">
        <f>"-"</f>
        <v>-</v>
      </c>
      <c r="F2465" s="4" t="s">
        <v>653</v>
      </c>
    </row>
    <row r="2466" spans="1:6" x14ac:dyDescent="0.25">
      <c r="A2466" s="4" t="str">
        <f>"Journal of Biomechanics"</f>
        <v>Journal of Biomechanics</v>
      </c>
      <c r="B2466" s="4" t="s">
        <v>6</v>
      </c>
      <c r="C2466" s="4" t="str">
        <f t="shared" si="92"/>
        <v>-</v>
      </c>
      <c r="D2466" s="4" t="str">
        <f>"00219290"</f>
        <v>00219290</v>
      </c>
      <c r="E2466" s="4" t="str">
        <f>"18732380"</f>
        <v>18732380</v>
      </c>
      <c r="F2466" s="4" t="s">
        <v>19</v>
      </c>
    </row>
    <row r="2467" spans="1:6" x14ac:dyDescent="0.25">
      <c r="A2467" s="4" t="s">
        <v>666</v>
      </c>
      <c r="B2467" s="4" t="s">
        <v>6</v>
      </c>
      <c r="D2467" s="4" t="s">
        <v>667</v>
      </c>
      <c r="F2467" s="4" t="s">
        <v>668</v>
      </c>
    </row>
    <row r="2468" spans="1:6" x14ac:dyDescent="0.25">
      <c r="A2468" s="4" t="str">
        <f>"Journal of Biomedical Informatics"</f>
        <v>Journal of Biomedical Informatics</v>
      </c>
      <c r="B2468" s="4" t="s">
        <v>6</v>
      </c>
      <c r="C2468" s="4" t="str">
        <f t="shared" ref="C2468:C2513" si="93">"-"</f>
        <v>-</v>
      </c>
      <c r="D2468" s="4" t="str">
        <f>"15320464"</f>
        <v>15320464</v>
      </c>
      <c r="E2468" s="4" t="str">
        <f>"-"</f>
        <v>-</v>
      </c>
      <c r="F2468" s="4" t="s">
        <v>71</v>
      </c>
    </row>
    <row r="2469" spans="1:6" x14ac:dyDescent="0.25">
      <c r="A2469" s="4" t="str">
        <f>"Journal of Biomedical Materials Research - Part A"</f>
        <v>Journal of Biomedical Materials Research - Part A</v>
      </c>
      <c r="B2469" s="4" t="s">
        <v>6</v>
      </c>
      <c r="C2469" s="4" t="str">
        <f t="shared" si="93"/>
        <v>-</v>
      </c>
      <c r="D2469" s="4" t="str">
        <f>"15493296"</f>
        <v>15493296</v>
      </c>
      <c r="E2469" s="4" t="str">
        <f>"15524965"</f>
        <v>15524965</v>
      </c>
      <c r="F2469" s="4" t="s">
        <v>87</v>
      </c>
    </row>
    <row r="2470" spans="1:6" x14ac:dyDescent="0.25">
      <c r="A2470" s="4" t="str">
        <f>"Journal of Biomedical Materials Research - Part B Applied Biomaterials"</f>
        <v>Journal of Biomedical Materials Research - Part B Applied Biomaterials</v>
      </c>
      <c r="B2470" s="4" t="s">
        <v>6</v>
      </c>
      <c r="C2470" s="4" t="str">
        <f t="shared" si="93"/>
        <v>-</v>
      </c>
      <c r="D2470" s="4" t="str">
        <f>"15524973"</f>
        <v>15524973</v>
      </c>
      <c r="E2470" s="4" t="str">
        <f>"15524981"</f>
        <v>15524981</v>
      </c>
      <c r="F2470" s="4" t="s">
        <v>87</v>
      </c>
    </row>
    <row r="2471" spans="1:6" x14ac:dyDescent="0.25">
      <c r="A2471" s="4" t="str">
        <f>"Journal of Biomedical Nanotechnology"</f>
        <v>Journal of Biomedical Nanotechnology</v>
      </c>
      <c r="B2471" s="4" t="s">
        <v>6</v>
      </c>
      <c r="C2471" s="4" t="str">
        <f t="shared" si="93"/>
        <v>-</v>
      </c>
      <c r="D2471" s="4" t="str">
        <f>"15507033"</f>
        <v>15507033</v>
      </c>
      <c r="E2471" s="4" t="str">
        <f>"15507041"</f>
        <v>15507041</v>
      </c>
      <c r="F2471" s="4" t="s">
        <v>654</v>
      </c>
    </row>
    <row r="2472" spans="1:6" x14ac:dyDescent="0.25">
      <c r="A2472" s="4" t="str">
        <f>"Journal of Biomedical Optics"</f>
        <v>Journal of Biomedical Optics</v>
      </c>
      <c r="B2472" s="4" t="s">
        <v>6</v>
      </c>
      <c r="C2472" s="4" t="str">
        <f t="shared" si="93"/>
        <v>-</v>
      </c>
      <c r="D2472" s="4" t="str">
        <f>"10833668"</f>
        <v>10833668</v>
      </c>
      <c r="E2472" s="4" t="str">
        <f>"15602281"</f>
        <v>15602281</v>
      </c>
      <c r="F2472" s="4" t="s">
        <v>663</v>
      </c>
    </row>
    <row r="2473" spans="1:6" x14ac:dyDescent="0.25">
      <c r="A2473" s="4" t="str">
        <f>"Journal of Biomimetics, Biomaterials and Biomedical Engineering"</f>
        <v>Journal of Biomimetics, Biomaterials and Biomedical Engineering</v>
      </c>
      <c r="B2473" s="4" t="s">
        <v>6</v>
      </c>
      <c r="C2473" s="4" t="str">
        <f t="shared" si="93"/>
        <v>-</v>
      </c>
      <c r="D2473" s="4" t="str">
        <f>"22969837"</f>
        <v>22969837</v>
      </c>
      <c r="E2473" s="4" t="str">
        <f>"22969845"</f>
        <v>22969845</v>
      </c>
      <c r="F2473" s="4" t="s">
        <v>320</v>
      </c>
    </row>
    <row r="2474" spans="1:6" x14ac:dyDescent="0.25">
      <c r="A2474" s="4" t="str">
        <f>"Journal of Bionanoscience"</f>
        <v>Journal of Bionanoscience</v>
      </c>
      <c r="B2474" s="4" t="s">
        <v>6</v>
      </c>
      <c r="C2474" s="4" t="str">
        <f t="shared" si="93"/>
        <v>-</v>
      </c>
      <c r="D2474" s="4" t="str">
        <f>"15577910"</f>
        <v>15577910</v>
      </c>
      <c r="E2474" s="4" t="str">
        <f>"15577929"</f>
        <v>15577929</v>
      </c>
      <c r="F2474" s="4" t="s">
        <v>654</v>
      </c>
    </row>
    <row r="2475" spans="1:6" x14ac:dyDescent="0.25">
      <c r="A2475" s="4" t="str">
        <f>"Journal of Bionic Engineering"</f>
        <v>Journal of Bionic Engineering</v>
      </c>
      <c r="B2475" s="4" t="s">
        <v>6</v>
      </c>
      <c r="C2475" s="4" t="str">
        <f t="shared" si="93"/>
        <v>-</v>
      </c>
      <c r="D2475" s="4" t="str">
        <f>"16726529"</f>
        <v>16726529</v>
      </c>
      <c r="E2475" s="4" t="str">
        <f>"-"</f>
        <v>-</v>
      </c>
      <c r="F2475" s="4" t="s">
        <v>37</v>
      </c>
    </row>
    <row r="2476" spans="1:6" x14ac:dyDescent="0.25">
      <c r="A2476" s="4" t="str">
        <f>"Journal of Biophotonics"</f>
        <v>Journal of Biophotonics</v>
      </c>
      <c r="B2476" s="4" t="s">
        <v>6</v>
      </c>
      <c r="C2476" s="4" t="str">
        <f t="shared" si="93"/>
        <v>-</v>
      </c>
      <c r="D2476" s="4" t="str">
        <f>"1864063X"</f>
        <v>1864063X</v>
      </c>
      <c r="E2476" s="4" t="str">
        <f>"18640648"</f>
        <v>18640648</v>
      </c>
      <c r="F2476" s="4" t="s">
        <v>63</v>
      </c>
    </row>
    <row r="2477" spans="1:6" x14ac:dyDescent="0.25">
      <c r="A2477" s="4" t="str">
        <f>"Journal of Biorheology"</f>
        <v>Journal of Biorheology</v>
      </c>
      <c r="B2477" s="4" t="s">
        <v>6</v>
      </c>
      <c r="C2477" s="4" t="str">
        <f t="shared" si="93"/>
        <v>-</v>
      </c>
      <c r="D2477" s="4" t="str">
        <f>"18670466"</f>
        <v>18670466</v>
      </c>
      <c r="E2477" s="4" t="str">
        <f>"18670474"</f>
        <v>18670474</v>
      </c>
      <c r="F2477" s="4" t="s">
        <v>669</v>
      </c>
    </row>
    <row r="2478" spans="1:6" x14ac:dyDescent="0.25">
      <c r="A2478" s="4" t="str">
        <f>"Journal of Bioscience and Bioengineering"</f>
        <v>Journal of Bioscience and Bioengineering</v>
      </c>
      <c r="B2478" s="4" t="s">
        <v>6</v>
      </c>
      <c r="C2478" s="4" t="str">
        <f t="shared" si="93"/>
        <v>-</v>
      </c>
      <c r="D2478" s="4" t="str">
        <f>"13891723"</f>
        <v>13891723</v>
      </c>
      <c r="E2478" s="4" t="str">
        <f>"13474421"</f>
        <v>13474421</v>
      </c>
      <c r="F2478" s="4" t="s">
        <v>55</v>
      </c>
    </row>
    <row r="2479" spans="1:6" x14ac:dyDescent="0.25">
      <c r="A2479" s="4" t="str">
        <f>"Journal of Biotech Research"</f>
        <v>Journal of Biotech Research</v>
      </c>
      <c r="B2479" s="4" t="s">
        <v>6</v>
      </c>
      <c r="C2479" s="4" t="str">
        <f t="shared" si="93"/>
        <v>-</v>
      </c>
      <c r="D2479" s="4" t="str">
        <f>"19443285"</f>
        <v>19443285</v>
      </c>
      <c r="E2479" s="4" t="str">
        <f>"19443285"</f>
        <v>19443285</v>
      </c>
      <c r="F2479" s="4" t="s">
        <v>670</v>
      </c>
    </row>
    <row r="2480" spans="1:6" x14ac:dyDescent="0.25">
      <c r="A2480" s="4" t="str">
        <f>"Journal of Biotechnology"</f>
        <v>Journal of Biotechnology</v>
      </c>
      <c r="B2480" s="4" t="s">
        <v>6</v>
      </c>
      <c r="C2480" s="4" t="str">
        <f t="shared" si="93"/>
        <v>-</v>
      </c>
      <c r="D2480" s="4" t="str">
        <f>"01681656"</f>
        <v>01681656</v>
      </c>
      <c r="E2480" s="4" t="str">
        <f>"18734863"</f>
        <v>18734863</v>
      </c>
      <c r="F2480" s="4" t="s">
        <v>55</v>
      </c>
    </row>
    <row r="2481" spans="1:6" x14ac:dyDescent="0.25">
      <c r="A2481" s="4" t="str">
        <f>"Journal of Bridge Engineering"</f>
        <v>Journal of Bridge Engineering</v>
      </c>
      <c r="B2481" s="4" t="s">
        <v>6</v>
      </c>
      <c r="C2481" s="4" t="str">
        <f t="shared" si="93"/>
        <v>-</v>
      </c>
      <c r="D2481" s="4" t="str">
        <f>"10840702"</f>
        <v>10840702</v>
      </c>
      <c r="E2481" s="4" t="str">
        <f>"-"</f>
        <v>-</v>
      </c>
      <c r="F2481" s="4" t="s">
        <v>111</v>
      </c>
    </row>
    <row r="2482" spans="1:6" x14ac:dyDescent="0.25">
      <c r="A2482" s="4" t="str">
        <f>"Journal of Building Performance Simulation"</f>
        <v>Journal of Building Performance Simulation</v>
      </c>
      <c r="B2482" s="4" t="s">
        <v>6</v>
      </c>
      <c r="C2482" s="4" t="str">
        <f t="shared" si="93"/>
        <v>-</v>
      </c>
      <c r="D2482" s="4" t="str">
        <f>"19401493"</f>
        <v>19401493</v>
      </c>
      <c r="E2482" s="4" t="str">
        <f>"19401507"</f>
        <v>19401507</v>
      </c>
      <c r="F2482" s="4" t="s">
        <v>60</v>
      </c>
    </row>
    <row r="2483" spans="1:6" x14ac:dyDescent="0.25">
      <c r="A2483" s="4" t="str">
        <f>"Journal of Building Physics"</f>
        <v>Journal of Building Physics</v>
      </c>
      <c r="B2483" s="4" t="s">
        <v>6</v>
      </c>
      <c r="C2483" s="4" t="str">
        <f t="shared" si="93"/>
        <v>-</v>
      </c>
      <c r="D2483" s="4" t="str">
        <f>"17442591"</f>
        <v>17442591</v>
      </c>
      <c r="E2483" s="4" t="str">
        <f>"17442583"</f>
        <v>17442583</v>
      </c>
      <c r="F2483" s="4" t="s">
        <v>212</v>
      </c>
    </row>
    <row r="2484" spans="1:6" x14ac:dyDescent="0.25">
      <c r="A2484" s="4" t="str">
        <f>"Journal of Canadian Petroleum Technology"</f>
        <v>Journal of Canadian Petroleum Technology</v>
      </c>
      <c r="B2484" s="4" t="s">
        <v>6</v>
      </c>
      <c r="C2484" s="4" t="str">
        <f t="shared" si="93"/>
        <v>-</v>
      </c>
      <c r="D2484" s="4" t="str">
        <f>"00219487"</f>
        <v>00219487</v>
      </c>
      <c r="E2484" s="4" t="str">
        <f>"21564663"</f>
        <v>21564663</v>
      </c>
      <c r="F2484" s="4" t="s">
        <v>671</v>
      </c>
    </row>
    <row r="2485" spans="1:6" x14ac:dyDescent="0.25">
      <c r="A2485" s="4" t="str">
        <f>"Journal of Cases on Information Technology"</f>
        <v>Journal of Cases on Information Technology</v>
      </c>
      <c r="B2485" s="4" t="s">
        <v>6</v>
      </c>
      <c r="C2485" s="4" t="str">
        <f t="shared" si="93"/>
        <v>-</v>
      </c>
      <c r="D2485" s="4" t="str">
        <f>"15487717"</f>
        <v>15487717</v>
      </c>
      <c r="E2485" s="4" t="str">
        <f>"15487725"</f>
        <v>15487725</v>
      </c>
      <c r="F2485" s="4" t="s">
        <v>537</v>
      </c>
    </row>
    <row r="2486" spans="1:6" x14ac:dyDescent="0.25">
      <c r="A2486" s="4" t="str">
        <f>"Journal of Catalysis"</f>
        <v>Journal of Catalysis</v>
      </c>
      <c r="B2486" s="4" t="s">
        <v>6</v>
      </c>
      <c r="C2486" s="4" t="str">
        <f t="shared" si="93"/>
        <v>-</v>
      </c>
      <c r="D2486" s="4" t="str">
        <f>"00219517"</f>
        <v>00219517</v>
      </c>
      <c r="E2486" s="4" t="str">
        <f>"10902694"</f>
        <v>10902694</v>
      </c>
      <c r="F2486" s="4" t="s">
        <v>71</v>
      </c>
    </row>
    <row r="2487" spans="1:6" x14ac:dyDescent="0.25">
      <c r="A2487" s="4" t="str">
        <f>"Journal of Cellular Automata"</f>
        <v>Journal of Cellular Automata</v>
      </c>
      <c r="B2487" s="4" t="s">
        <v>6</v>
      </c>
      <c r="C2487" s="4" t="str">
        <f t="shared" si="93"/>
        <v>-</v>
      </c>
      <c r="D2487" s="4" t="str">
        <f>"15575969"</f>
        <v>15575969</v>
      </c>
      <c r="E2487" s="4" t="str">
        <f>"15575977"</f>
        <v>15575977</v>
      </c>
      <c r="F2487" s="4" t="s">
        <v>485</v>
      </c>
    </row>
    <row r="2488" spans="1:6" x14ac:dyDescent="0.25">
      <c r="A2488" s="4" t="str">
        <f>"Journal of Cellular Plastics"</f>
        <v>Journal of Cellular Plastics</v>
      </c>
      <c r="B2488" s="4" t="s">
        <v>6</v>
      </c>
      <c r="C2488" s="4" t="str">
        <f t="shared" si="93"/>
        <v>-</v>
      </c>
      <c r="D2488" s="4" t="str">
        <f>"0021955X"</f>
        <v>0021955X</v>
      </c>
      <c r="E2488" s="4" t="str">
        <f>"15307999"</f>
        <v>15307999</v>
      </c>
      <c r="F2488" s="4" t="s">
        <v>212</v>
      </c>
    </row>
    <row r="2489" spans="1:6" x14ac:dyDescent="0.25">
      <c r="A2489" s="4" t="str">
        <f>"Journal of Central South University"</f>
        <v>Journal of Central South University</v>
      </c>
      <c r="B2489" s="4" t="s">
        <v>6</v>
      </c>
      <c r="C2489" s="4" t="str">
        <f t="shared" si="93"/>
        <v>-</v>
      </c>
      <c r="D2489" s="4" t="str">
        <f>"20952899"</f>
        <v>20952899</v>
      </c>
      <c r="E2489" s="4" t="str">
        <f>"22275223 "</f>
        <v xml:space="preserve">22275223 </v>
      </c>
      <c r="F2489" s="4" t="s">
        <v>672</v>
      </c>
    </row>
    <row r="2490" spans="1:6" x14ac:dyDescent="0.25">
      <c r="A2490" s="4" t="str">
        <f>"Journal of Ceramic Science and Technology"</f>
        <v>Journal of Ceramic Science and Technology</v>
      </c>
      <c r="B2490" s="4" t="s">
        <v>6</v>
      </c>
      <c r="C2490" s="4" t="str">
        <f t="shared" si="93"/>
        <v>-</v>
      </c>
      <c r="D2490" s="4" t="str">
        <f>"21909385"</f>
        <v>21909385</v>
      </c>
      <c r="E2490" s="4" t="str">
        <f>"-"</f>
        <v>-</v>
      </c>
      <c r="F2490" s="4" t="s">
        <v>673</v>
      </c>
    </row>
    <row r="2491" spans="1:6" x14ac:dyDescent="0.25">
      <c r="A2491" s="4" t="str">
        <f>"Journal of Chemical and Engineering Data"</f>
        <v>Journal of Chemical and Engineering Data</v>
      </c>
      <c r="B2491" s="4" t="s">
        <v>6</v>
      </c>
      <c r="C2491" s="4" t="str">
        <f t="shared" si="93"/>
        <v>-</v>
      </c>
      <c r="D2491" s="4" t="str">
        <f>"00219568"</f>
        <v>00219568</v>
      </c>
      <c r="E2491" s="4" t="str">
        <f>"15205134"</f>
        <v>15205134</v>
      </c>
      <c r="F2491" s="4" t="s">
        <v>28</v>
      </c>
    </row>
    <row r="2492" spans="1:6" x14ac:dyDescent="0.25">
      <c r="A2492" s="4" t="str">
        <f>"Journal of Chemical Engineering of Japan"</f>
        <v>Journal of Chemical Engineering of Japan</v>
      </c>
      <c r="B2492" s="4" t="s">
        <v>6</v>
      </c>
      <c r="C2492" s="4" t="str">
        <f t="shared" si="93"/>
        <v>-</v>
      </c>
      <c r="D2492" s="4" t="str">
        <f>"00219592"</f>
        <v>00219592</v>
      </c>
      <c r="E2492" s="4" t="str">
        <f>"-"</f>
        <v>-</v>
      </c>
      <c r="F2492" s="4" t="s">
        <v>674</v>
      </c>
    </row>
    <row r="2493" spans="1:6" x14ac:dyDescent="0.25">
      <c r="A2493" s="4" t="str">
        <f>"Journal of Chemical Information and Modeling"</f>
        <v>Journal of Chemical Information and Modeling</v>
      </c>
      <c r="B2493" s="4" t="s">
        <v>6</v>
      </c>
      <c r="C2493" s="4" t="str">
        <f t="shared" si="93"/>
        <v>-</v>
      </c>
      <c r="D2493" s="4" t="str">
        <f>"15499596"</f>
        <v>15499596</v>
      </c>
      <c r="E2493" s="4" t="str">
        <f>"15205142"</f>
        <v>15205142</v>
      </c>
      <c r="F2493" s="4" t="s">
        <v>28</v>
      </c>
    </row>
    <row r="2494" spans="1:6" x14ac:dyDescent="0.25">
      <c r="A2494" s="4" t="str">
        <f>"Journal of Chemical Physics"</f>
        <v>Journal of Chemical Physics</v>
      </c>
      <c r="B2494" s="4" t="s">
        <v>6</v>
      </c>
      <c r="C2494" s="4" t="str">
        <f t="shared" si="93"/>
        <v>-</v>
      </c>
      <c r="D2494" s="4" t="str">
        <f>"00219606"</f>
        <v>00219606</v>
      </c>
      <c r="E2494" s="4" t="str">
        <f>"-"</f>
        <v>-</v>
      </c>
      <c r="F2494" s="4" t="s">
        <v>108</v>
      </c>
    </row>
    <row r="2495" spans="1:6" x14ac:dyDescent="0.25">
      <c r="A2495" s="4" t="str">
        <f>"Journal of Chemical Sciences"</f>
        <v>Journal of Chemical Sciences</v>
      </c>
      <c r="B2495" s="4" t="s">
        <v>6</v>
      </c>
      <c r="C2495" s="4" t="str">
        <f t="shared" si="93"/>
        <v>-</v>
      </c>
      <c r="D2495" s="4" t="str">
        <f>"09743626"</f>
        <v>09743626</v>
      </c>
      <c r="E2495" s="4" t="str">
        <f>"09737103"</f>
        <v>09737103</v>
      </c>
      <c r="F2495" s="4" t="s">
        <v>101</v>
      </c>
    </row>
    <row r="2496" spans="1:6" x14ac:dyDescent="0.25">
      <c r="A2496" s="4" t="str">
        <f>"Journal of Chemical Technology and Biotechnology"</f>
        <v>Journal of Chemical Technology and Biotechnology</v>
      </c>
      <c r="B2496" s="4" t="s">
        <v>6</v>
      </c>
      <c r="C2496" s="4" t="str">
        <f t="shared" si="93"/>
        <v>-</v>
      </c>
      <c r="D2496" s="4" t="str">
        <f>"02682575"</f>
        <v>02682575</v>
      </c>
      <c r="E2496" s="4" t="str">
        <f>"10974660"</f>
        <v>10974660</v>
      </c>
      <c r="F2496" s="4" t="s">
        <v>142</v>
      </c>
    </row>
    <row r="2497" spans="1:6" x14ac:dyDescent="0.25">
      <c r="A2497" s="4" t="str">
        <f>"Journal of Chemical Thermodynamics"</f>
        <v>Journal of Chemical Thermodynamics</v>
      </c>
      <c r="B2497" s="4" t="s">
        <v>6</v>
      </c>
      <c r="C2497" s="4" t="str">
        <f t="shared" si="93"/>
        <v>-</v>
      </c>
      <c r="D2497" s="4" t="str">
        <f>"00219614"</f>
        <v>00219614</v>
      </c>
      <c r="E2497" s="4" t="str">
        <f>"10963626"</f>
        <v>10963626</v>
      </c>
      <c r="F2497" s="4" t="s">
        <v>193</v>
      </c>
    </row>
    <row r="2498" spans="1:6" x14ac:dyDescent="0.25">
      <c r="A2498" s="4" t="str">
        <f>"Journal of China Universities of Posts and Telecommunications"</f>
        <v>Journal of China Universities of Posts and Telecommunications</v>
      </c>
      <c r="B2498" s="4" t="s">
        <v>6</v>
      </c>
      <c r="C2498" s="4" t="str">
        <f t="shared" si="93"/>
        <v>-</v>
      </c>
      <c r="D2498" s="4" t="str">
        <f>"10058885"</f>
        <v>10058885</v>
      </c>
      <c r="E2498" s="4" t="str">
        <f>"-"</f>
        <v>-</v>
      </c>
      <c r="F2498" s="4" t="s">
        <v>675</v>
      </c>
    </row>
    <row r="2499" spans="1:6" x14ac:dyDescent="0.25">
      <c r="A2499" s="4" t="str">
        <f>"Journal of Chinese Corrosion Engineering"</f>
        <v>Journal of Chinese Corrosion Engineering</v>
      </c>
      <c r="B2499" s="4" t="s">
        <v>6</v>
      </c>
      <c r="C2499" s="4" t="str">
        <f t="shared" si="93"/>
        <v>-</v>
      </c>
      <c r="D2499" s="4" t="str">
        <f>"10162356"</f>
        <v>10162356</v>
      </c>
      <c r="E2499" s="4" t="str">
        <f>"-"</f>
        <v>-</v>
      </c>
      <c r="F2499" s="4" t="s">
        <v>676</v>
      </c>
    </row>
    <row r="2500" spans="1:6" x14ac:dyDescent="0.25">
      <c r="A2500" s="4" t="str">
        <f>"Journal of Chinese Institute of Food Science and Technology"</f>
        <v>Journal of Chinese Institute of Food Science and Technology</v>
      </c>
      <c r="B2500" s="4" t="s">
        <v>6</v>
      </c>
      <c r="C2500" s="4" t="str">
        <f t="shared" si="93"/>
        <v>-</v>
      </c>
      <c r="D2500" s="4" t="str">
        <f>"10097848"</f>
        <v>10097848</v>
      </c>
      <c r="E2500" s="4" t="str">
        <f>"-"</f>
        <v>-</v>
      </c>
      <c r="F2500" s="4" t="s">
        <v>677</v>
      </c>
    </row>
    <row r="2501" spans="1:6" x14ac:dyDescent="0.25">
      <c r="A2501" s="4" t="str">
        <f>"Journal of Chinese Mass Spectrometry Society"</f>
        <v>Journal of Chinese Mass Spectrometry Society</v>
      </c>
      <c r="B2501" s="4" t="s">
        <v>6</v>
      </c>
      <c r="C2501" s="4" t="str">
        <f t="shared" si="93"/>
        <v>-</v>
      </c>
      <c r="D2501" s="4" t="str">
        <f>"10042997"</f>
        <v>10042997</v>
      </c>
      <c r="E2501" s="4" t="str">
        <f>"-"</f>
        <v>-</v>
      </c>
      <c r="F2501" s="4" t="s">
        <v>678</v>
      </c>
    </row>
    <row r="2502" spans="1:6" x14ac:dyDescent="0.25">
      <c r="A2502" s="4" t="str">
        <f>"Journal of Chromatography A"</f>
        <v>Journal of Chromatography A</v>
      </c>
      <c r="B2502" s="4" t="s">
        <v>6</v>
      </c>
      <c r="C2502" s="4" t="str">
        <f t="shared" si="93"/>
        <v>-</v>
      </c>
      <c r="D2502" s="4" t="str">
        <f>"00219673"</f>
        <v>00219673</v>
      </c>
      <c r="E2502" s="4" t="str">
        <f>"18733778"</f>
        <v>18733778</v>
      </c>
      <c r="F2502" s="4" t="s">
        <v>55</v>
      </c>
    </row>
    <row r="2503" spans="1:6" x14ac:dyDescent="0.25">
      <c r="A2503" s="4" t="str">
        <f>"Journal of Chromatography B: Analytical Technologies in the Biomedical and Life Sciences"</f>
        <v>Journal of Chromatography B: Analytical Technologies in the Biomedical and Life Sciences</v>
      </c>
      <c r="B2503" s="4" t="s">
        <v>6</v>
      </c>
      <c r="C2503" s="4" t="str">
        <f t="shared" si="93"/>
        <v>-</v>
      </c>
      <c r="D2503" s="4" t="str">
        <f>"15700232"</f>
        <v>15700232</v>
      </c>
      <c r="E2503" s="4" t="str">
        <f>"1873376X"</f>
        <v>1873376X</v>
      </c>
      <c r="F2503" s="4" t="s">
        <v>55</v>
      </c>
    </row>
    <row r="2504" spans="1:6" x14ac:dyDescent="0.25">
      <c r="A2504" s="4" t="str">
        <f>"Journal of Circuits, Systems and Computers"</f>
        <v>Journal of Circuits, Systems and Computers</v>
      </c>
      <c r="B2504" s="4" t="s">
        <v>6</v>
      </c>
      <c r="C2504" s="4" t="str">
        <f t="shared" si="93"/>
        <v>-</v>
      </c>
      <c r="D2504" s="4" t="str">
        <f>"02181266"</f>
        <v>02181266</v>
      </c>
      <c r="E2504" s="4" t="str">
        <f>"-"</f>
        <v>-</v>
      </c>
      <c r="F2504" s="4" t="s">
        <v>157</v>
      </c>
    </row>
    <row r="2505" spans="1:6" x14ac:dyDescent="0.25">
      <c r="A2505" s="4" t="str">
        <f>"Journal of Civil Engineering and Management"</f>
        <v>Journal of Civil Engineering and Management</v>
      </c>
      <c r="B2505" s="4" t="s">
        <v>6</v>
      </c>
      <c r="C2505" s="4" t="str">
        <f t="shared" si="93"/>
        <v>-</v>
      </c>
      <c r="D2505" s="4" t="str">
        <f>"13923730"</f>
        <v>13923730</v>
      </c>
      <c r="E2505" s="4" t="str">
        <f>"18223605"</f>
        <v>18223605</v>
      </c>
      <c r="F2505" s="4" t="s">
        <v>60</v>
      </c>
    </row>
    <row r="2506" spans="1:6" x14ac:dyDescent="0.25">
      <c r="A2506" s="4" t="str">
        <f>"Journal of Civil Structural Health Monitoring"</f>
        <v>Journal of Civil Structural Health Monitoring</v>
      </c>
      <c r="B2506" s="4" t="s">
        <v>6</v>
      </c>
      <c r="C2506" s="4" t="str">
        <f t="shared" si="93"/>
        <v>-</v>
      </c>
      <c r="D2506" s="4" t="str">
        <f>"21905452"</f>
        <v>21905452</v>
      </c>
      <c r="E2506" s="4" t="str">
        <f>"21905479"</f>
        <v>21905479</v>
      </c>
      <c r="F2506" s="4" t="s">
        <v>42</v>
      </c>
    </row>
    <row r="2507" spans="1:6" x14ac:dyDescent="0.25">
      <c r="A2507" s="4" t="str">
        <f>"Journal of Cleaner Production"</f>
        <v>Journal of Cleaner Production</v>
      </c>
      <c r="B2507" s="4" t="s">
        <v>6</v>
      </c>
      <c r="C2507" s="4" t="str">
        <f t="shared" si="93"/>
        <v>-</v>
      </c>
      <c r="D2507" s="4" t="str">
        <f>"09596526"</f>
        <v>09596526</v>
      </c>
      <c r="E2507" s="4" t="str">
        <f>"-"</f>
        <v>-</v>
      </c>
      <c r="F2507" s="4" t="s">
        <v>19</v>
      </c>
    </row>
    <row r="2508" spans="1:6" x14ac:dyDescent="0.25">
      <c r="A2508" s="4" t="str">
        <f>"Journal of Climate"</f>
        <v>Journal of Climate</v>
      </c>
      <c r="B2508" s="4" t="s">
        <v>6</v>
      </c>
      <c r="C2508" s="4" t="str">
        <f t="shared" si="93"/>
        <v>-</v>
      </c>
      <c r="D2508" s="4" t="str">
        <f>"08948755"</f>
        <v>08948755</v>
      </c>
      <c r="E2508" s="4" t="str">
        <f>"-"</f>
        <v>-</v>
      </c>
      <c r="F2508" s="4" t="s">
        <v>225</v>
      </c>
    </row>
    <row r="2509" spans="1:6" x14ac:dyDescent="0.25">
      <c r="A2509" s="4" t="str">
        <f>"Journal of Clinical Monitoring and Computing"</f>
        <v>Journal of Clinical Monitoring and Computing</v>
      </c>
      <c r="B2509" s="4" t="s">
        <v>6</v>
      </c>
      <c r="C2509" s="4" t="str">
        <f t="shared" si="93"/>
        <v>-</v>
      </c>
      <c r="D2509" s="4" t="str">
        <f>"13871307"</f>
        <v>13871307</v>
      </c>
      <c r="E2509" s="4" t="str">
        <f>"15732614"</f>
        <v>15732614</v>
      </c>
      <c r="F2509" s="4" t="s">
        <v>31</v>
      </c>
    </row>
    <row r="2510" spans="1:6" x14ac:dyDescent="0.25">
      <c r="A2510" s="4" t="str">
        <f>"Journal of Cloud Computing"</f>
        <v>Journal of Cloud Computing</v>
      </c>
      <c r="B2510" s="4" t="s">
        <v>6</v>
      </c>
      <c r="C2510" s="4" t="str">
        <f t="shared" si="93"/>
        <v>-</v>
      </c>
      <c r="D2510" s="4" t="str">
        <f>"-"</f>
        <v>-</v>
      </c>
      <c r="E2510" s="4" t="str">
        <f>"2192113X"</f>
        <v>2192113X</v>
      </c>
      <c r="F2510" s="4" t="s">
        <v>42</v>
      </c>
    </row>
    <row r="2511" spans="1:6" x14ac:dyDescent="0.25">
      <c r="A2511" s="4" t="str">
        <f>"Journal of CO2 Utilization"</f>
        <v>Journal of CO2 Utilization</v>
      </c>
      <c r="B2511" s="4" t="s">
        <v>6</v>
      </c>
      <c r="C2511" s="4" t="str">
        <f t="shared" si="93"/>
        <v>-</v>
      </c>
      <c r="D2511" s="4" t="str">
        <f>"22129820"</f>
        <v>22129820</v>
      </c>
      <c r="E2511" s="4" t="str">
        <f>"-"</f>
        <v>-</v>
      </c>
      <c r="F2511" s="4" t="s">
        <v>19</v>
      </c>
    </row>
    <row r="2512" spans="1:6" x14ac:dyDescent="0.25">
      <c r="A2512" s="4" t="str">
        <f>"Journal of Coatings Technology Research"</f>
        <v>Journal of Coatings Technology Research</v>
      </c>
      <c r="B2512" s="4" t="s">
        <v>6</v>
      </c>
      <c r="C2512" s="4" t="str">
        <f t="shared" si="93"/>
        <v>-</v>
      </c>
      <c r="D2512" s="4" t="str">
        <f>"15470091"</f>
        <v>15470091</v>
      </c>
      <c r="E2512" s="4" t="str">
        <f>"-"</f>
        <v>-</v>
      </c>
      <c r="F2512" s="4" t="s">
        <v>57</v>
      </c>
    </row>
    <row r="2513" spans="1:6" x14ac:dyDescent="0.25">
      <c r="A2513" s="4" t="str">
        <f>"Journal of Cognitive Engineering and Decision Making"</f>
        <v>Journal of Cognitive Engineering and Decision Making</v>
      </c>
      <c r="B2513" s="4" t="s">
        <v>6</v>
      </c>
      <c r="C2513" s="4" t="str">
        <f t="shared" si="93"/>
        <v>-</v>
      </c>
      <c r="D2513" s="4" t="str">
        <f>"15553434"</f>
        <v>15553434</v>
      </c>
      <c r="E2513" s="4" t="str">
        <f>"21695032"</f>
        <v>21695032</v>
      </c>
      <c r="F2513" s="4" t="s">
        <v>50</v>
      </c>
    </row>
    <row r="2514" spans="1:6" x14ac:dyDescent="0.25">
      <c r="A2514" s="4" t="s">
        <v>679</v>
      </c>
      <c r="B2514" s="4" t="s">
        <v>6</v>
      </c>
      <c r="C2514" s="4" t="s">
        <v>324</v>
      </c>
      <c r="E2514" s="4" t="s">
        <v>680</v>
      </c>
      <c r="F2514" s="4" t="s">
        <v>327</v>
      </c>
    </row>
    <row r="2515" spans="1:6" x14ac:dyDescent="0.25">
      <c r="A2515" s="4" t="str">
        <f>"Journal of Cold Regions Engineering"</f>
        <v>Journal of Cold Regions Engineering</v>
      </c>
      <c r="B2515" s="4" t="s">
        <v>6</v>
      </c>
      <c r="C2515" s="4" t="str">
        <f t="shared" ref="C2515:C2578" si="94">"-"</f>
        <v>-</v>
      </c>
      <c r="D2515" s="4" t="str">
        <f>"0887381X"</f>
        <v>0887381X</v>
      </c>
      <c r="E2515" s="4" t="str">
        <f>"-"</f>
        <v>-</v>
      </c>
      <c r="F2515" s="4" t="s">
        <v>111</v>
      </c>
    </row>
    <row r="2516" spans="1:6" x14ac:dyDescent="0.25">
      <c r="A2516" s="4" t="str">
        <f>"Journal of Colloid and Interface Science"</f>
        <v>Journal of Colloid and Interface Science</v>
      </c>
      <c r="B2516" s="4" t="s">
        <v>6</v>
      </c>
      <c r="C2516" s="4" t="str">
        <f t="shared" si="94"/>
        <v>-</v>
      </c>
      <c r="D2516" s="4" t="str">
        <f>"00219797"</f>
        <v>00219797</v>
      </c>
      <c r="E2516" s="4" t="str">
        <f>"10957103"</f>
        <v>10957103</v>
      </c>
      <c r="F2516" s="4" t="s">
        <v>71</v>
      </c>
    </row>
    <row r="2517" spans="1:6" x14ac:dyDescent="0.25">
      <c r="A2517" s="4" t="str">
        <f>"Journal of Combinatorial Designs"</f>
        <v>Journal of Combinatorial Designs</v>
      </c>
      <c r="B2517" s="4" t="s">
        <v>6</v>
      </c>
      <c r="C2517" s="4" t="str">
        <f t="shared" si="94"/>
        <v>-</v>
      </c>
      <c r="D2517" s="4" t="str">
        <f>"10638539"</f>
        <v>10638539</v>
      </c>
      <c r="E2517" s="4" t="str">
        <f>"15206610"</f>
        <v>15206610</v>
      </c>
      <c r="F2517" s="4" t="s">
        <v>87</v>
      </c>
    </row>
    <row r="2518" spans="1:6" x14ac:dyDescent="0.25">
      <c r="A2518" s="4" t="str">
        <f>"Journal of Combinatorial Mathematics and Combinatorial Computing"</f>
        <v>Journal of Combinatorial Mathematics and Combinatorial Computing</v>
      </c>
      <c r="B2518" s="4" t="s">
        <v>6</v>
      </c>
      <c r="C2518" s="4" t="str">
        <f t="shared" si="94"/>
        <v>-</v>
      </c>
      <c r="D2518" s="4" t="str">
        <f>"08353026"</f>
        <v>08353026</v>
      </c>
      <c r="E2518" s="4" t="str">
        <f>"-"</f>
        <v>-</v>
      </c>
      <c r="F2518" s="4" t="s">
        <v>681</v>
      </c>
    </row>
    <row r="2519" spans="1:6" x14ac:dyDescent="0.25">
      <c r="A2519" s="4" t="str">
        <f>"Journal of Combinatorial Optimization"</f>
        <v>Journal of Combinatorial Optimization</v>
      </c>
      <c r="B2519" s="4" t="s">
        <v>6</v>
      </c>
      <c r="C2519" s="4" t="str">
        <f t="shared" si="94"/>
        <v>-</v>
      </c>
      <c r="D2519" s="4" t="str">
        <f>"13826905"</f>
        <v>13826905</v>
      </c>
      <c r="E2519" s="4" t="str">
        <f>"15732886"</f>
        <v>15732886</v>
      </c>
      <c r="F2519" s="4" t="s">
        <v>57</v>
      </c>
    </row>
    <row r="2520" spans="1:6" x14ac:dyDescent="0.25">
      <c r="A2520" s="4" t="str">
        <f>"Journal of Commercial Biotechnology"</f>
        <v>Journal of Commercial Biotechnology</v>
      </c>
      <c r="B2520" s="4" t="s">
        <v>6</v>
      </c>
      <c r="C2520" s="4" t="str">
        <f t="shared" si="94"/>
        <v>-</v>
      </c>
      <c r="D2520" s="4" t="str">
        <f>"14628732"</f>
        <v>14628732</v>
      </c>
      <c r="E2520" s="4" t="str">
        <f>"1478565X"</f>
        <v>1478565X</v>
      </c>
      <c r="F2520" s="4" t="s">
        <v>682</v>
      </c>
    </row>
    <row r="2521" spans="1:6" x14ac:dyDescent="0.25">
      <c r="A2521" s="4" t="str">
        <f>"Journal of Communications"</f>
        <v>Journal of Communications</v>
      </c>
      <c r="B2521" s="4" t="s">
        <v>6</v>
      </c>
      <c r="C2521" s="4" t="str">
        <f t="shared" si="94"/>
        <v>-</v>
      </c>
      <c r="D2521" s="4" t="str">
        <f>"17962021"</f>
        <v>17962021</v>
      </c>
      <c r="E2521" s="4" t="str">
        <f>"-"</f>
        <v>-</v>
      </c>
      <c r="F2521" s="4" t="s">
        <v>683</v>
      </c>
    </row>
    <row r="2522" spans="1:6" x14ac:dyDescent="0.25">
      <c r="A2522" s="4" t="str">
        <f>"Journal of Communications and Networks"</f>
        <v>Journal of Communications and Networks</v>
      </c>
      <c r="B2522" s="4" t="s">
        <v>6</v>
      </c>
      <c r="C2522" s="4" t="str">
        <f t="shared" si="94"/>
        <v>-</v>
      </c>
      <c r="D2522" s="4" t="str">
        <f>"12292370"</f>
        <v>12292370</v>
      </c>
      <c r="E2522" s="4" t="str">
        <f>"-"</f>
        <v>-</v>
      </c>
      <c r="F2522" s="4" t="s">
        <v>684</v>
      </c>
    </row>
    <row r="2523" spans="1:6" x14ac:dyDescent="0.25">
      <c r="A2523" s="4" t="str">
        <f>"Journal of Communications Technology and Electronics"</f>
        <v>Journal of Communications Technology and Electronics</v>
      </c>
      <c r="B2523" s="4" t="s">
        <v>6</v>
      </c>
      <c r="C2523" s="4" t="str">
        <f t="shared" si="94"/>
        <v>-</v>
      </c>
      <c r="D2523" s="4" t="str">
        <f>"10642269"</f>
        <v>10642269</v>
      </c>
      <c r="E2523" s="4" t="str">
        <f>"-"</f>
        <v>-</v>
      </c>
      <c r="F2523" s="4" t="s">
        <v>24</v>
      </c>
    </row>
    <row r="2524" spans="1:6" x14ac:dyDescent="0.25">
      <c r="A2524" s="4" t="str">
        <f>"Journal of Complex Networks"</f>
        <v>Journal of Complex Networks</v>
      </c>
      <c r="B2524" s="4" t="s">
        <v>6</v>
      </c>
      <c r="C2524" s="4" t="str">
        <f t="shared" si="94"/>
        <v>-</v>
      </c>
      <c r="D2524" s="4" t="str">
        <f>"20511310"</f>
        <v>20511310</v>
      </c>
      <c r="E2524" s="4" t="str">
        <f>"20511329"</f>
        <v>20511329</v>
      </c>
      <c r="F2524" s="4" t="s">
        <v>126</v>
      </c>
    </row>
    <row r="2525" spans="1:6" x14ac:dyDescent="0.25">
      <c r="A2525" s="4" t="str">
        <f>"Journal of Complexity"</f>
        <v>Journal of Complexity</v>
      </c>
      <c r="B2525" s="4" t="s">
        <v>6</v>
      </c>
      <c r="C2525" s="4" t="str">
        <f t="shared" si="94"/>
        <v>-</v>
      </c>
      <c r="D2525" s="4" t="str">
        <f>"0885064X"</f>
        <v>0885064X</v>
      </c>
      <c r="E2525" s="4" t="str">
        <f>"10902708"</f>
        <v>10902708</v>
      </c>
      <c r="F2525" s="4" t="s">
        <v>71</v>
      </c>
    </row>
    <row r="2526" spans="1:6" x14ac:dyDescent="0.25">
      <c r="A2526" s="4" t="str">
        <f>"Journal of Composite Materials"</f>
        <v>Journal of Composite Materials</v>
      </c>
      <c r="B2526" s="4" t="s">
        <v>6</v>
      </c>
      <c r="C2526" s="4" t="str">
        <f t="shared" si="94"/>
        <v>-</v>
      </c>
      <c r="D2526" s="4" t="str">
        <f>"00219983"</f>
        <v>00219983</v>
      </c>
      <c r="E2526" s="4" t="str">
        <f>"1530793X"</f>
        <v>1530793X</v>
      </c>
      <c r="F2526" s="4" t="s">
        <v>212</v>
      </c>
    </row>
    <row r="2527" spans="1:6" x14ac:dyDescent="0.25">
      <c r="A2527" s="4" t="str">
        <f>"Journal of Composites for Construction"</f>
        <v>Journal of Composites for Construction</v>
      </c>
      <c r="B2527" s="4" t="s">
        <v>6</v>
      </c>
      <c r="C2527" s="4" t="str">
        <f t="shared" si="94"/>
        <v>-</v>
      </c>
      <c r="D2527" s="4" t="str">
        <f>"10900268"</f>
        <v>10900268</v>
      </c>
      <c r="E2527" s="4" t="str">
        <f>"-"</f>
        <v>-</v>
      </c>
      <c r="F2527" s="4" t="s">
        <v>111</v>
      </c>
    </row>
    <row r="2528" spans="1:6" x14ac:dyDescent="0.25">
      <c r="A2528" s="4" t="str">
        <f>"Journal of Computational and Applied Mathematics"</f>
        <v>Journal of Computational and Applied Mathematics</v>
      </c>
      <c r="B2528" s="4" t="s">
        <v>6</v>
      </c>
      <c r="C2528" s="4" t="str">
        <f t="shared" si="94"/>
        <v>-</v>
      </c>
      <c r="D2528" s="4" t="str">
        <f>"03770427"</f>
        <v>03770427</v>
      </c>
      <c r="E2528" s="4" t="str">
        <f>"-"</f>
        <v>-</v>
      </c>
      <c r="F2528" s="4" t="s">
        <v>55</v>
      </c>
    </row>
    <row r="2529" spans="1:6" x14ac:dyDescent="0.25">
      <c r="A2529" s="4" t="str">
        <f>"Journal of Computational and Nonlinear Dynamics"</f>
        <v>Journal of Computational and Nonlinear Dynamics</v>
      </c>
      <c r="B2529" s="4" t="s">
        <v>6</v>
      </c>
      <c r="C2529" s="4" t="str">
        <f t="shared" si="94"/>
        <v>-</v>
      </c>
      <c r="D2529" s="4" t="str">
        <f>"15551415"</f>
        <v>15551415</v>
      </c>
      <c r="E2529" s="4" t="str">
        <f>"15551423"</f>
        <v>15551423</v>
      </c>
      <c r="F2529" s="4" t="s">
        <v>73</v>
      </c>
    </row>
    <row r="2530" spans="1:6" x14ac:dyDescent="0.25">
      <c r="A2530" s="4" t="str">
        <f>"Journal of Computational and Theoretical Nanoscience"</f>
        <v>Journal of Computational and Theoretical Nanoscience</v>
      </c>
      <c r="B2530" s="4" t="s">
        <v>6</v>
      </c>
      <c r="C2530" s="4" t="str">
        <f t="shared" si="94"/>
        <v>-</v>
      </c>
      <c r="D2530" s="4" t="str">
        <f>"15461955"</f>
        <v>15461955</v>
      </c>
      <c r="E2530" s="4" t="str">
        <f>"15461963"</f>
        <v>15461963</v>
      </c>
      <c r="F2530" s="4" t="s">
        <v>654</v>
      </c>
    </row>
    <row r="2531" spans="1:6" x14ac:dyDescent="0.25">
      <c r="A2531" s="4" t="str">
        <f>"Journal of Computational Chemistry"</f>
        <v>Journal of Computational Chemistry</v>
      </c>
      <c r="B2531" s="4" t="s">
        <v>6</v>
      </c>
      <c r="C2531" s="4" t="str">
        <f t="shared" si="94"/>
        <v>-</v>
      </c>
      <c r="D2531" s="4" t="str">
        <f>"01928651"</f>
        <v>01928651</v>
      </c>
      <c r="E2531" s="4" t="str">
        <f>"1096987X"</f>
        <v>1096987X</v>
      </c>
      <c r="F2531" s="4" t="s">
        <v>87</v>
      </c>
    </row>
    <row r="2532" spans="1:6" x14ac:dyDescent="0.25">
      <c r="A2532" s="4" t="str">
        <f>"Journal of Computational Electronics"</f>
        <v>Journal of Computational Electronics</v>
      </c>
      <c r="B2532" s="4" t="s">
        <v>6</v>
      </c>
      <c r="C2532" s="4" t="str">
        <f t="shared" si="94"/>
        <v>-</v>
      </c>
      <c r="D2532" s="4" t="str">
        <f>"15698025"</f>
        <v>15698025</v>
      </c>
      <c r="E2532" s="4" t="str">
        <f>"15728137"</f>
        <v>15728137</v>
      </c>
      <c r="F2532" s="4" t="s">
        <v>57</v>
      </c>
    </row>
    <row r="2533" spans="1:6" x14ac:dyDescent="0.25">
      <c r="A2533" s="4" t="str">
        <f>"Journal of Computational Methods in Sciences and Engineering"</f>
        <v>Journal of Computational Methods in Sciences and Engineering</v>
      </c>
      <c r="B2533" s="4" t="s">
        <v>6</v>
      </c>
      <c r="C2533" s="4" t="str">
        <f t="shared" si="94"/>
        <v>-</v>
      </c>
      <c r="D2533" s="4" t="str">
        <f>"14727978"</f>
        <v>14727978</v>
      </c>
      <c r="E2533" s="4" t="str">
        <f>"-"</f>
        <v>-</v>
      </c>
      <c r="F2533" s="4" t="s">
        <v>103</v>
      </c>
    </row>
    <row r="2534" spans="1:6" x14ac:dyDescent="0.25">
      <c r="A2534" s="4" t="str">
        <f>"Journal of Computational Multiphase Flows"</f>
        <v>Journal of Computational Multiphase Flows</v>
      </c>
      <c r="B2534" s="4" t="s">
        <v>6</v>
      </c>
      <c r="C2534" s="4" t="str">
        <f t="shared" si="94"/>
        <v>-</v>
      </c>
      <c r="D2534" s="4" t="str">
        <f>"1757482X"</f>
        <v>1757482X</v>
      </c>
      <c r="E2534" s="4" t="str">
        <f>"-"</f>
        <v>-</v>
      </c>
      <c r="F2534" s="4" t="s">
        <v>58</v>
      </c>
    </row>
    <row r="2535" spans="1:6" x14ac:dyDescent="0.25">
      <c r="A2535" s="4" t="str">
        <f>"Journal of Computational Science"</f>
        <v>Journal of Computational Science</v>
      </c>
      <c r="B2535" s="4" t="s">
        <v>6</v>
      </c>
      <c r="C2535" s="4" t="str">
        <f t="shared" si="94"/>
        <v>-</v>
      </c>
      <c r="D2535" s="4" t="str">
        <f>"18777503"</f>
        <v>18777503</v>
      </c>
      <c r="E2535" s="4" t="str">
        <f>"-"</f>
        <v>-</v>
      </c>
      <c r="F2535" s="4" t="s">
        <v>55</v>
      </c>
    </row>
    <row r="2536" spans="1:6" x14ac:dyDescent="0.25">
      <c r="A2536" s="4" t="str">
        <f>"Journal of Computer and System Sciences"</f>
        <v>Journal of Computer and System Sciences</v>
      </c>
      <c r="B2536" s="4" t="s">
        <v>6</v>
      </c>
      <c r="C2536" s="4" t="str">
        <f t="shared" si="94"/>
        <v>-</v>
      </c>
      <c r="D2536" s="4" t="str">
        <f>"00220000"</f>
        <v>00220000</v>
      </c>
      <c r="E2536" s="4" t="str">
        <f>"10902724"</f>
        <v>10902724</v>
      </c>
      <c r="F2536" s="4" t="s">
        <v>71</v>
      </c>
    </row>
    <row r="2537" spans="1:6" x14ac:dyDescent="0.25">
      <c r="A2537" s="4" t="str">
        <f>"Journal of Computer and Systems Sciences International"</f>
        <v>Journal of Computer and Systems Sciences International</v>
      </c>
      <c r="B2537" s="4" t="s">
        <v>6</v>
      </c>
      <c r="C2537" s="4" t="str">
        <f t="shared" si="94"/>
        <v>-</v>
      </c>
      <c r="D2537" s="4" t="str">
        <f>"10642307"</f>
        <v>10642307</v>
      </c>
      <c r="E2537" s="4" t="str">
        <f>"-"</f>
        <v>-</v>
      </c>
      <c r="F2537" s="4" t="s">
        <v>24</v>
      </c>
    </row>
    <row r="2538" spans="1:6" x14ac:dyDescent="0.25">
      <c r="A2538" s="4" t="str">
        <f>"Journal of Computer Information Systems"</f>
        <v>Journal of Computer Information Systems</v>
      </c>
      <c r="B2538" s="4" t="s">
        <v>6</v>
      </c>
      <c r="C2538" s="4" t="str">
        <f t="shared" si="94"/>
        <v>-</v>
      </c>
      <c r="D2538" s="4" t="str">
        <f>"08874417"</f>
        <v>08874417</v>
      </c>
      <c r="E2538" s="4" t="str">
        <f>"-"</f>
        <v>-</v>
      </c>
      <c r="F2538" s="4" t="s">
        <v>685</v>
      </c>
    </row>
    <row r="2539" spans="1:6" x14ac:dyDescent="0.25">
      <c r="A2539" s="4" t="str">
        <f>"Journal of Computer Science and Technology"</f>
        <v>Journal of Computer Science and Technology</v>
      </c>
      <c r="B2539" s="4" t="s">
        <v>6</v>
      </c>
      <c r="C2539" s="4" t="str">
        <f t="shared" si="94"/>
        <v>-</v>
      </c>
      <c r="D2539" s="4" t="str">
        <f>"10009000"</f>
        <v>10009000</v>
      </c>
      <c r="E2539" s="4" t="str">
        <f>"-"</f>
        <v>-</v>
      </c>
      <c r="F2539" s="4" t="s">
        <v>57</v>
      </c>
    </row>
    <row r="2540" spans="1:6" x14ac:dyDescent="0.25">
      <c r="A2540" s="4" t="str">
        <f>"Journal of Computer Security"</f>
        <v>Journal of Computer Security</v>
      </c>
      <c r="B2540" s="4" t="s">
        <v>6</v>
      </c>
      <c r="C2540" s="4" t="str">
        <f t="shared" si="94"/>
        <v>-</v>
      </c>
      <c r="D2540" s="4" t="str">
        <f>"0926227X"</f>
        <v>0926227X</v>
      </c>
      <c r="E2540" s="4" t="str">
        <f>"-"</f>
        <v>-</v>
      </c>
      <c r="F2540" s="4" t="s">
        <v>103</v>
      </c>
    </row>
    <row r="2541" spans="1:6" x14ac:dyDescent="0.25">
      <c r="A2541" s="4" t="str">
        <f>"Journal of Computer Virology and Hacking Techniques"</f>
        <v>Journal of Computer Virology and Hacking Techniques</v>
      </c>
      <c r="B2541" s="4" t="s">
        <v>6</v>
      </c>
      <c r="C2541" s="4" t="str">
        <f t="shared" si="94"/>
        <v>-</v>
      </c>
      <c r="D2541" s="4" t="str">
        <f>"22742042"</f>
        <v>22742042</v>
      </c>
      <c r="E2541" s="4" t="str">
        <f>"22638733"</f>
        <v>22638733</v>
      </c>
      <c r="F2541" s="4" t="s">
        <v>123</v>
      </c>
    </row>
    <row r="2542" spans="1:6" x14ac:dyDescent="0.25">
      <c r="A2542" s="4" t="str">
        <f>"Journal of Computer-Mediated Communication"</f>
        <v>Journal of Computer-Mediated Communication</v>
      </c>
      <c r="B2542" s="4" t="s">
        <v>6</v>
      </c>
      <c r="C2542" s="4" t="str">
        <f t="shared" si="94"/>
        <v>-</v>
      </c>
      <c r="D2542" s="4" t="str">
        <f>"-"</f>
        <v>-</v>
      </c>
      <c r="E2542" s="4" t="str">
        <f>"10836101"</f>
        <v>10836101</v>
      </c>
      <c r="F2542" s="4" t="s">
        <v>261</v>
      </c>
    </row>
    <row r="2543" spans="1:6" x14ac:dyDescent="0.25">
      <c r="A2543" s="4" t="str">
        <f>"Journal of Computers (Taiwan)"</f>
        <v>Journal of Computers (Taiwan)</v>
      </c>
      <c r="B2543" s="4" t="s">
        <v>6</v>
      </c>
      <c r="C2543" s="4" t="str">
        <f t="shared" si="94"/>
        <v>-</v>
      </c>
      <c r="D2543" s="4" t="str">
        <f>"19911599"</f>
        <v>19911599</v>
      </c>
      <c r="E2543" s="4" t="str">
        <f>"2312993X"</f>
        <v>2312993X</v>
      </c>
      <c r="F2543" s="4" t="s">
        <v>686</v>
      </c>
    </row>
    <row r="2544" spans="1:6" x14ac:dyDescent="0.25">
      <c r="A2544" s="4" t="str">
        <f>"Journal of Computing and Cultural Heritage"</f>
        <v>Journal of Computing and Cultural Heritage</v>
      </c>
      <c r="B2544" s="4" t="s">
        <v>6</v>
      </c>
      <c r="C2544" s="4" t="str">
        <f t="shared" si="94"/>
        <v>-</v>
      </c>
      <c r="D2544" s="4" t="str">
        <f>"15564673"</f>
        <v>15564673</v>
      </c>
      <c r="E2544" s="4" t="str">
        <f>"15564711"</f>
        <v>15564711</v>
      </c>
      <c r="F2544" s="4" t="s">
        <v>21</v>
      </c>
    </row>
    <row r="2545" spans="1:6" x14ac:dyDescent="0.25">
      <c r="A2545" s="4" t="str">
        <f>"Journal of Computing and Information Science in Engineering"</f>
        <v>Journal of Computing and Information Science in Engineering</v>
      </c>
      <c r="B2545" s="4" t="s">
        <v>6</v>
      </c>
      <c r="C2545" s="4" t="str">
        <f t="shared" si="94"/>
        <v>-</v>
      </c>
      <c r="D2545" s="4" t="str">
        <f>"15309827"</f>
        <v>15309827</v>
      </c>
      <c r="E2545" s="4" t="str">
        <f>"-"</f>
        <v>-</v>
      </c>
      <c r="F2545" s="4" t="s">
        <v>73</v>
      </c>
    </row>
    <row r="2546" spans="1:6" x14ac:dyDescent="0.25">
      <c r="A2546" s="4" t="str">
        <f>"Journal of Computing and Information Technology"</f>
        <v>Journal of Computing and Information Technology</v>
      </c>
      <c r="B2546" s="4" t="s">
        <v>6</v>
      </c>
      <c r="C2546" s="4" t="str">
        <f t="shared" si="94"/>
        <v>-</v>
      </c>
      <c r="D2546" s="4" t="str">
        <f>"13301136"</f>
        <v>13301136</v>
      </c>
      <c r="E2546" s="4" t="str">
        <f>"-"</f>
        <v>-</v>
      </c>
      <c r="F2546" s="4" t="s">
        <v>311</v>
      </c>
    </row>
    <row r="2547" spans="1:6" x14ac:dyDescent="0.25">
      <c r="A2547" s="4" t="str">
        <f>"Journal of Computing in Civil Engineering"</f>
        <v>Journal of Computing in Civil Engineering</v>
      </c>
      <c r="B2547" s="4" t="s">
        <v>6</v>
      </c>
      <c r="C2547" s="4" t="str">
        <f t="shared" si="94"/>
        <v>-</v>
      </c>
      <c r="D2547" s="4" t="str">
        <f>"08873801"</f>
        <v>08873801</v>
      </c>
      <c r="E2547" s="4" t="str">
        <f>"-"</f>
        <v>-</v>
      </c>
      <c r="F2547" s="4" t="s">
        <v>111</v>
      </c>
    </row>
    <row r="2548" spans="1:6" x14ac:dyDescent="0.25">
      <c r="A2548" s="4" t="str">
        <f>"Journal of Computing Science and Engineering"</f>
        <v>Journal of Computing Science and Engineering</v>
      </c>
      <c r="B2548" s="4" t="s">
        <v>6</v>
      </c>
      <c r="C2548" s="4" t="str">
        <f t="shared" si="94"/>
        <v>-</v>
      </c>
      <c r="D2548" s="4" t="str">
        <f>"19764677"</f>
        <v>19764677</v>
      </c>
      <c r="E2548" s="4" t="str">
        <f>"20938020"</f>
        <v>20938020</v>
      </c>
      <c r="F2548" s="4" t="s">
        <v>687</v>
      </c>
    </row>
    <row r="2549" spans="1:6" x14ac:dyDescent="0.25">
      <c r="A2549" s="4" t="str">
        <f>"Journal of Construction Engineering and Management"</f>
        <v>Journal of Construction Engineering and Management</v>
      </c>
      <c r="B2549" s="4" t="s">
        <v>6</v>
      </c>
      <c r="C2549" s="4" t="str">
        <f t="shared" si="94"/>
        <v>-</v>
      </c>
      <c r="D2549" s="4" t="str">
        <f>"07339364"</f>
        <v>07339364</v>
      </c>
      <c r="E2549" s="4" t="str">
        <f>"-"</f>
        <v>-</v>
      </c>
      <c r="F2549" s="4" t="s">
        <v>111</v>
      </c>
    </row>
    <row r="2550" spans="1:6" x14ac:dyDescent="0.25">
      <c r="A2550" s="4" t="str">
        <f>"Journal of Constructional Steel Research"</f>
        <v>Journal of Constructional Steel Research</v>
      </c>
      <c r="B2550" s="4" t="s">
        <v>6</v>
      </c>
      <c r="C2550" s="4" t="str">
        <f t="shared" si="94"/>
        <v>-</v>
      </c>
      <c r="D2550" s="4" t="str">
        <f>"0143974X"</f>
        <v>0143974X</v>
      </c>
      <c r="E2550" s="4" t="str">
        <f>"-"</f>
        <v>-</v>
      </c>
      <c r="F2550" s="4" t="s">
        <v>19</v>
      </c>
    </row>
    <row r="2551" spans="1:6" x14ac:dyDescent="0.25">
      <c r="A2551" s="4" t="str">
        <f>"Journal of Contaminant Hydrology"</f>
        <v>Journal of Contaminant Hydrology</v>
      </c>
      <c r="B2551" s="4" t="s">
        <v>6</v>
      </c>
      <c r="C2551" s="4" t="str">
        <f t="shared" si="94"/>
        <v>-</v>
      </c>
      <c r="D2551" s="4" t="str">
        <f>"01697722"</f>
        <v>01697722</v>
      </c>
      <c r="E2551" s="4" t="str">
        <f>"18736009"</f>
        <v>18736009</v>
      </c>
      <c r="F2551" s="4" t="s">
        <v>55</v>
      </c>
    </row>
    <row r="2552" spans="1:6" x14ac:dyDescent="0.25">
      <c r="A2552" s="4" t="str">
        <f>"Journal of Control Science and Engineering"</f>
        <v>Journal of Control Science and Engineering</v>
      </c>
      <c r="B2552" s="4" t="s">
        <v>6</v>
      </c>
      <c r="C2552" s="4" t="str">
        <f t="shared" si="94"/>
        <v>-</v>
      </c>
      <c r="D2552" s="4" t="str">
        <f>"16875249"</f>
        <v>16875249</v>
      </c>
      <c r="E2552" s="4" t="str">
        <f>"16875257"</f>
        <v>16875257</v>
      </c>
      <c r="F2552" s="4" t="s">
        <v>54</v>
      </c>
    </row>
    <row r="2553" spans="1:6" x14ac:dyDescent="0.25">
      <c r="A2553" s="4" t="str">
        <f>"Journal of Control, Automation and Electrical Systems"</f>
        <v>Journal of Control, Automation and Electrical Systems</v>
      </c>
      <c r="B2553" s="4" t="s">
        <v>6</v>
      </c>
      <c r="C2553" s="4" t="str">
        <f t="shared" si="94"/>
        <v>-</v>
      </c>
      <c r="D2553" s="4" t="str">
        <f>"21953880"</f>
        <v>21953880</v>
      </c>
      <c r="E2553" s="4" t="str">
        <f>"21953899"</f>
        <v>21953899</v>
      </c>
      <c r="F2553" s="4" t="s">
        <v>57</v>
      </c>
    </row>
    <row r="2554" spans="1:6" x14ac:dyDescent="0.25">
      <c r="A2554" s="4" t="str">
        <f>"Journal of Controlled Release"</f>
        <v>Journal of Controlled Release</v>
      </c>
      <c r="B2554" s="4" t="s">
        <v>6</v>
      </c>
      <c r="C2554" s="4" t="str">
        <f t="shared" si="94"/>
        <v>-</v>
      </c>
      <c r="D2554" s="4" t="str">
        <f>"01683659"</f>
        <v>01683659</v>
      </c>
      <c r="E2554" s="4" t="str">
        <f>"18734995"</f>
        <v>18734995</v>
      </c>
      <c r="F2554" s="4" t="s">
        <v>55</v>
      </c>
    </row>
    <row r="2555" spans="1:6" x14ac:dyDescent="0.25">
      <c r="A2555" s="4" t="str">
        <f>"Journal of Corrosion Science and Engineering"</f>
        <v>Journal of Corrosion Science and Engineering</v>
      </c>
      <c r="B2555" s="4" t="s">
        <v>6</v>
      </c>
      <c r="C2555" s="4" t="str">
        <f t="shared" si="94"/>
        <v>-</v>
      </c>
      <c r="D2555" s="4" t="str">
        <f>"14668858"</f>
        <v>14668858</v>
      </c>
      <c r="E2555" s="4" t="str">
        <f>"-"</f>
        <v>-</v>
      </c>
      <c r="F2555" s="4" t="s">
        <v>688</v>
      </c>
    </row>
    <row r="2556" spans="1:6" x14ac:dyDescent="0.25">
      <c r="A2556" s="4" t="str">
        <f>"Journal of Cotton Science"</f>
        <v>Journal of Cotton Science</v>
      </c>
      <c r="B2556" s="4" t="s">
        <v>6</v>
      </c>
      <c r="C2556" s="4" t="str">
        <f t="shared" si="94"/>
        <v>-</v>
      </c>
      <c r="D2556" s="4" t="str">
        <f>"15236919"</f>
        <v>15236919</v>
      </c>
      <c r="E2556" s="4" t="str">
        <f>"15243303"</f>
        <v>15243303</v>
      </c>
      <c r="F2556" s="4" t="s">
        <v>689</v>
      </c>
    </row>
    <row r="2557" spans="1:6" x14ac:dyDescent="0.25">
      <c r="A2557" s="4" t="str">
        <f>"Journal of Cryptographic Engineering"</f>
        <v>Journal of Cryptographic Engineering</v>
      </c>
      <c r="B2557" s="4" t="s">
        <v>6</v>
      </c>
      <c r="C2557" s="4" t="str">
        <f t="shared" si="94"/>
        <v>-</v>
      </c>
      <c r="D2557" s="4" t="str">
        <f>"21908508"</f>
        <v>21908508</v>
      </c>
      <c r="E2557" s="4" t="str">
        <f>"21908516"</f>
        <v>21908516</v>
      </c>
      <c r="F2557" s="4" t="s">
        <v>42</v>
      </c>
    </row>
    <row r="2558" spans="1:6" x14ac:dyDescent="0.25">
      <c r="A2558" s="4" t="str">
        <f>"Journal of Cryptology"</f>
        <v>Journal of Cryptology</v>
      </c>
      <c r="B2558" s="4" t="s">
        <v>6</v>
      </c>
      <c r="C2558" s="4" t="str">
        <f t="shared" si="94"/>
        <v>-</v>
      </c>
      <c r="D2558" s="4" t="str">
        <f>"09332790"</f>
        <v>09332790</v>
      </c>
      <c r="E2558" s="4" t="str">
        <f>"14321378"</f>
        <v>14321378</v>
      </c>
      <c r="F2558" s="4" t="s">
        <v>57</v>
      </c>
    </row>
    <row r="2559" spans="1:6" x14ac:dyDescent="0.25">
      <c r="A2559" s="4" t="str">
        <f>"Journal of Crystal Growth"</f>
        <v>Journal of Crystal Growth</v>
      </c>
      <c r="B2559" s="4" t="s">
        <v>6</v>
      </c>
      <c r="C2559" s="4" t="str">
        <f t="shared" si="94"/>
        <v>-</v>
      </c>
      <c r="D2559" s="4" t="str">
        <f>"00220248"</f>
        <v>00220248</v>
      </c>
      <c r="E2559" s="4" t="str">
        <f>"-"</f>
        <v>-</v>
      </c>
      <c r="F2559" s="4" t="s">
        <v>55</v>
      </c>
    </row>
    <row r="2560" spans="1:6" x14ac:dyDescent="0.25">
      <c r="A2560" s="4" t="str">
        <f>"Journal of Culinary Science and Technology"</f>
        <v>Journal of Culinary Science and Technology</v>
      </c>
      <c r="B2560" s="4" t="s">
        <v>6</v>
      </c>
      <c r="C2560" s="4" t="str">
        <f t="shared" si="94"/>
        <v>-</v>
      </c>
      <c r="D2560" s="4" t="str">
        <f>"15428052"</f>
        <v>15428052</v>
      </c>
      <c r="E2560" s="4" t="str">
        <f>"15428044"</f>
        <v>15428044</v>
      </c>
      <c r="F2560" s="4" t="s">
        <v>96</v>
      </c>
    </row>
    <row r="2561" spans="1:6" x14ac:dyDescent="0.25">
      <c r="A2561" s="4" t="str">
        <f>"Journal of Dam Safety"</f>
        <v>Journal of Dam Safety</v>
      </c>
      <c r="B2561" s="4" t="s">
        <v>22</v>
      </c>
      <c r="C2561" s="4" t="str">
        <f t="shared" si="94"/>
        <v>-</v>
      </c>
      <c r="D2561" s="4" t="str">
        <f>"19449836"</f>
        <v>19449836</v>
      </c>
      <c r="E2561" s="4" t="str">
        <f>"-"</f>
        <v>-</v>
      </c>
      <c r="F2561" s="4" t="s">
        <v>690</v>
      </c>
    </row>
    <row r="2562" spans="1:6" x14ac:dyDescent="0.25">
      <c r="A2562" s="4" t="str">
        <f>"Journal of Data and Information Quality"</f>
        <v>Journal of Data and Information Quality</v>
      </c>
      <c r="B2562" s="4" t="s">
        <v>6</v>
      </c>
      <c r="C2562" s="4" t="str">
        <f t="shared" si="94"/>
        <v>-</v>
      </c>
      <c r="D2562" s="4" t="str">
        <f>"19361955"</f>
        <v>19361955</v>
      </c>
      <c r="E2562" s="4" t="str">
        <f>"19361963"</f>
        <v>19361963</v>
      </c>
      <c r="F2562" s="4" t="s">
        <v>21</v>
      </c>
    </row>
    <row r="2563" spans="1:6" x14ac:dyDescent="0.25">
      <c r="A2563" s="4" t="str">
        <f>"Journal of Database Management"</f>
        <v>Journal of Database Management</v>
      </c>
      <c r="B2563" s="4" t="s">
        <v>6</v>
      </c>
      <c r="C2563" s="4" t="str">
        <f t="shared" si="94"/>
        <v>-</v>
      </c>
      <c r="D2563" s="4" t="str">
        <f>"10638016"</f>
        <v>10638016</v>
      </c>
      <c r="E2563" s="4" t="str">
        <f>"15338010"</f>
        <v>15338010</v>
      </c>
      <c r="F2563" s="4" t="s">
        <v>537</v>
      </c>
    </row>
    <row r="2564" spans="1:6" x14ac:dyDescent="0.25">
      <c r="A2564" s="4" t="str">
        <f>"Journal of Decision Systems"</f>
        <v>Journal of Decision Systems</v>
      </c>
      <c r="B2564" s="4" t="s">
        <v>6</v>
      </c>
      <c r="C2564" s="4" t="str">
        <f t="shared" si="94"/>
        <v>-</v>
      </c>
      <c r="D2564" s="4" t="str">
        <f>"12460125"</f>
        <v>12460125</v>
      </c>
      <c r="E2564" s="4" t="str">
        <f>"21167052"</f>
        <v>21167052</v>
      </c>
      <c r="F2564" s="4" t="s">
        <v>60</v>
      </c>
    </row>
    <row r="2565" spans="1:6" x14ac:dyDescent="0.25">
      <c r="A2565" s="4" t="str">
        <f>"Journal of Defense Modeling and Simulation"</f>
        <v>Journal of Defense Modeling and Simulation</v>
      </c>
      <c r="B2565" s="4" t="s">
        <v>6</v>
      </c>
      <c r="C2565" s="4" t="str">
        <f t="shared" si="94"/>
        <v>-</v>
      </c>
      <c r="D2565" s="4" t="str">
        <f>"15485129"</f>
        <v>15485129</v>
      </c>
      <c r="E2565" s="4" t="str">
        <f>"1557380X"</f>
        <v>1557380X</v>
      </c>
      <c r="F2565" s="4" t="s">
        <v>50</v>
      </c>
    </row>
    <row r="2566" spans="1:6" x14ac:dyDescent="0.25">
      <c r="A2566" s="4" t="str">
        <f>"Journal of Digital Imaging"</f>
        <v>Journal of Digital Imaging</v>
      </c>
      <c r="B2566" s="4" t="s">
        <v>6</v>
      </c>
      <c r="C2566" s="4" t="str">
        <f t="shared" si="94"/>
        <v>-</v>
      </c>
      <c r="D2566" s="4" t="str">
        <f>"08971889"</f>
        <v>08971889</v>
      </c>
      <c r="E2566" s="4" t="str">
        <f>"1618727X"</f>
        <v>1618727X</v>
      </c>
      <c r="F2566" s="4" t="s">
        <v>57</v>
      </c>
    </row>
    <row r="2567" spans="1:6" x14ac:dyDescent="0.25">
      <c r="A2567" s="4" t="str">
        <f>"Journal of Digital Information Management"</f>
        <v>Journal of Digital Information Management</v>
      </c>
      <c r="B2567" s="4" t="s">
        <v>6</v>
      </c>
      <c r="C2567" s="4" t="str">
        <f t="shared" si="94"/>
        <v>-</v>
      </c>
      <c r="D2567" s="4" t="str">
        <f>"09727272"</f>
        <v>09727272</v>
      </c>
      <c r="E2567" s="4" t="str">
        <f>"-"</f>
        <v>-</v>
      </c>
      <c r="F2567" s="4" t="s">
        <v>691</v>
      </c>
    </row>
    <row r="2568" spans="1:6" x14ac:dyDescent="0.25">
      <c r="A2568" s="4" t="str">
        <f>"Journal of Disaster Research"</f>
        <v>Journal of Disaster Research</v>
      </c>
      <c r="B2568" s="4" t="s">
        <v>6</v>
      </c>
      <c r="C2568" s="4" t="str">
        <f t="shared" si="94"/>
        <v>-</v>
      </c>
      <c r="D2568" s="4" t="str">
        <f>"18812473"</f>
        <v>18812473</v>
      </c>
      <c r="E2568" s="4" t="str">
        <f>"18838030"</f>
        <v>18838030</v>
      </c>
      <c r="F2568" s="4" t="s">
        <v>565</v>
      </c>
    </row>
    <row r="2569" spans="1:6" x14ac:dyDescent="0.25">
      <c r="A2569" s="4" t="str">
        <f>"Journal of Discrete Algorithms"</f>
        <v>Journal of Discrete Algorithms</v>
      </c>
      <c r="B2569" s="4" t="s">
        <v>6</v>
      </c>
      <c r="C2569" s="4" t="str">
        <f t="shared" si="94"/>
        <v>-</v>
      </c>
      <c r="D2569" s="4" t="str">
        <f>"15708667"</f>
        <v>15708667</v>
      </c>
      <c r="E2569" s="4" t="str">
        <f>"-"</f>
        <v>-</v>
      </c>
      <c r="F2569" s="4" t="s">
        <v>55</v>
      </c>
    </row>
    <row r="2570" spans="1:6" x14ac:dyDescent="0.25">
      <c r="A2570" s="4" t="str">
        <f>"Journal of Discrete Mathematical Sciences and Cryptography"</f>
        <v>Journal of Discrete Mathematical Sciences and Cryptography</v>
      </c>
      <c r="B2570" s="4" t="s">
        <v>6</v>
      </c>
      <c r="C2570" s="4" t="str">
        <f t="shared" si="94"/>
        <v>-</v>
      </c>
      <c r="D2570" s="4" t="str">
        <f>"09720529"</f>
        <v>09720529</v>
      </c>
      <c r="E2570" s="4" t="str">
        <f>"-"</f>
        <v>-</v>
      </c>
      <c r="F2570" s="4" t="s">
        <v>692</v>
      </c>
    </row>
    <row r="2571" spans="1:6" x14ac:dyDescent="0.25">
      <c r="A2571" s="4" t="str">
        <f>"Journal of Dispersion Science and Technology"</f>
        <v>Journal of Dispersion Science and Technology</v>
      </c>
      <c r="B2571" s="4" t="s">
        <v>6</v>
      </c>
      <c r="C2571" s="4" t="str">
        <f t="shared" si="94"/>
        <v>-</v>
      </c>
      <c r="D2571" s="4" t="str">
        <f>"01932691"</f>
        <v>01932691</v>
      </c>
      <c r="E2571" s="4" t="str">
        <f>"15322351"</f>
        <v>15322351</v>
      </c>
      <c r="F2571" s="4" t="s">
        <v>96</v>
      </c>
    </row>
    <row r="2572" spans="1:6" x14ac:dyDescent="0.25">
      <c r="A2572" s="4" t="str">
        <f>"Journal of Dynamic Systems, Measurement and Control, Transactions of the ASME"</f>
        <v>Journal of Dynamic Systems, Measurement and Control, Transactions of the ASME</v>
      </c>
      <c r="B2572" s="4" t="s">
        <v>6</v>
      </c>
      <c r="C2572" s="4" t="str">
        <f t="shared" si="94"/>
        <v>-</v>
      </c>
      <c r="D2572" s="4" t="str">
        <f>"00220434"</f>
        <v>00220434</v>
      </c>
      <c r="E2572" s="4" t="str">
        <f>"15289028"</f>
        <v>15289028</v>
      </c>
      <c r="F2572" s="4" t="s">
        <v>73</v>
      </c>
    </row>
    <row r="2573" spans="1:6" x14ac:dyDescent="0.25">
      <c r="A2573" s="4" t="str">
        <f>"Journal of Dynamical and Control Systems"</f>
        <v>Journal of Dynamical and Control Systems</v>
      </c>
      <c r="B2573" s="4" t="s">
        <v>6</v>
      </c>
      <c r="C2573" s="4" t="str">
        <f t="shared" si="94"/>
        <v>-</v>
      </c>
      <c r="D2573" s="4" t="str">
        <f>"10792724"</f>
        <v>10792724</v>
      </c>
      <c r="E2573" s="4" t="str">
        <f>"15738698"</f>
        <v>15738698</v>
      </c>
      <c r="F2573" s="4" t="s">
        <v>57</v>
      </c>
    </row>
    <row r="2574" spans="1:6" x14ac:dyDescent="0.25">
      <c r="A2574" s="4" t="str">
        <f>"Journal of Earthquake Engineering"</f>
        <v>Journal of Earthquake Engineering</v>
      </c>
      <c r="B2574" s="4" t="s">
        <v>6</v>
      </c>
      <c r="C2574" s="4" t="str">
        <f t="shared" si="94"/>
        <v>-</v>
      </c>
      <c r="D2574" s="4" t="str">
        <f>"13632469"</f>
        <v>13632469</v>
      </c>
      <c r="E2574" s="4" t="str">
        <f>"-"</f>
        <v>-</v>
      </c>
      <c r="F2574" s="4" t="s">
        <v>60</v>
      </c>
    </row>
    <row r="2575" spans="1:6" x14ac:dyDescent="0.25">
      <c r="A2575" s="4" t="str">
        <f>"Journal of Econometrics"</f>
        <v>Journal of Econometrics</v>
      </c>
      <c r="B2575" s="4" t="s">
        <v>6</v>
      </c>
      <c r="C2575" s="4" t="str">
        <f t="shared" si="94"/>
        <v>-</v>
      </c>
      <c r="D2575" s="4" t="str">
        <f>"03044076"</f>
        <v>03044076</v>
      </c>
      <c r="E2575" s="4" t="str">
        <f>"18726895"</f>
        <v>18726895</v>
      </c>
      <c r="F2575" s="4" t="s">
        <v>19</v>
      </c>
    </row>
    <row r="2576" spans="1:6" x14ac:dyDescent="0.25">
      <c r="A2576" s="4" t="str">
        <f>"Journal of Elasticity"</f>
        <v>Journal of Elasticity</v>
      </c>
      <c r="B2576" s="4" t="s">
        <v>6</v>
      </c>
      <c r="C2576" s="4" t="str">
        <f t="shared" si="94"/>
        <v>-</v>
      </c>
      <c r="D2576" s="4" t="str">
        <f>"03743535"</f>
        <v>03743535</v>
      </c>
      <c r="E2576" s="4" t="str">
        <f>"15732681"</f>
        <v>15732681</v>
      </c>
      <c r="F2576" s="4" t="s">
        <v>31</v>
      </c>
    </row>
    <row r="2577" spans="1:6" x14ac:dyDescent="0.25">
      <c r="A2577" s="4" t="str">
        <f>"Journal of Elastomers and Plastics"</f>
        <v>Journal of Elastomers and Plastics</v>
      </c>
      <c r="B2577" s="4" t="s">
        <v>6</v>
      </c>
      <c r="C2577" s="4" t="str">
        <f t="shared" si="94"/>
        <v>-</v>
      </c>
      <c r="D2577" s="4" t="str">
        <f>"00952443"</f>
        <v>00952443</v>
      </c>
      <c r="E2577" s="4" t="str">
        <f>"15308006"</f>
        <v>15308006</v>
      </c>
      <c r="F2577" s="4" t="s">
        <v>212</v>
      </c>
    </row>
    <row r="2578" spans="1:6" x14ac:dyDescent="0.25">
      <c r="A2578" s="4" t="str">
        <f>"Journal of Electrical and Computer Engineering"</f>
        <v>Journal of Electrical and Computer Engineering</v>
      </c>
      <c r="B2578" s="4" t="s">
        <v>6</v>
      </c>
      <c r="C2578" s="4" t="str">
        <f t="shared" si="94"/>
        <v>-</v>
      </c>
      <c r="D2578" s="4" t="str">
        <f>"20900147"</f>
        <v>20900147</v>
      </c>
      <c r="E2578" s="4" t="str">
        <f>"20900155"</f>
        <v>20900155</v>
      </c>
      <c r="F2578" s="4" t="s">
        <v>54</v>
      </c>
    </row>
    <row r="2579" spans="1:6" x14ac:dyDescent="0.25">
      <c r="A2579" s="4" t="str">
        <f>"Journal of Electrical Engineering and Technology"</f>
        <v>Journal of Electrical Engineering and Technology</v>
      </c>
      <c r="B2579" s="4" t="s">
        <v>6</v>
      </c>
      <c r="C2579" s="4" t="str">
        <f t="shared" ref="C2579:C2642" si="95">"-"</f>
        <v>-</v>
      </c>
      <c r="D2579" s="4" t="str">
        <f>"19750102"</f>
        <v>19750102</v>
      </c>
      <c r="E2579" s="4" t="str">
        <f>"-"</f>
        <v>-</v>
      </c>
      <c r="F2579" s="4" t="s">
        <v>693</v>
      </c>
    </row>
    <row r="2580" spans="1:6" x14ac:dyDescent="0.25">
      <c r="A2580" s="4" t="str">
        <f>"Journal of Electrical Systems"</f>
        <v>Journal of Electrical Systems</v>
      </c>
      <c r="B2580" s="4" t="s">
        <v>6</v>
      </c>
      <c r="C2580" s="4" t="str">
        <f t="shared" si="95"/>
        <v>-</v>
      </c>
      <c r="D2580" s="4" t="str">
        <f>"11125209"</f>
        <v>11125209</v>
      </c>
      <c r="E2580" s="4" t="str">
        <f>"-"</f>
        <v>-</v>
      </c>
      <c r="F2580" s="4" t="s">
        <v>694</v>
      </c>
    </row>
    <row r="2581" spans="1:6" x14ac:dyDescent="0.25">
      <c r="A2581" s="4" t="str">
        <f>"Journal of Electroanalytical Chemistry"</f>
        <v>Journal of Electroanalytical Chemistry</v>
      </c>
      <c r="B2581" s="4" t="s">
        <v>6</v>
      </c>
      <c r="C2581" s="4" t="str">
        <f t="shared" si="95"/>
        <v>-</v>
      </c>
      <c r="D2581" s="4" t="str">
        <f>"15726657"</f>
        <v>15726657</v>
      </c>
      <c r="E2581" s="4" t="str">
        <f>"-"</f>
        <v>-</v>
      </c>
      <c r="F2581" s="4" t="s">
        <v>55</v>
      </c>
    </row>
    <row r="2582" spans="1:6" x14ac:dyDescent="0.25">
      <c r="A2582" s="4" t="str">
        <f>"Journal of Electroceramics"</f>
        <v>Journal of Electroceramics</v>
      </c>
      <c r="B2582" s="4" t="s">
        <v>6</v>
      </c>
      <c r="C2582" s="4" t="str">
        <f t="shared" si="95"/>
        <v>-</v>
      </c>
      <c r="D2582" s="4" t="str">
        <f>"13853449"</f>
        <v>13853449</v>
      </c>
      <c r="E2582" s="4" t="str">
        <f>"15738663"</f>
        <v>15738663</v>
      </c>
      <c r="F2582" s="4" t="s">
        <v>57</v>
      </c>
    </row>
    <row r="2583" spans="1:6" x14ac:dyDescent="0.25">
      <c r="A2583" s="4" t="str">
        <f>"Journal of Electromagnetic Waves and Applications"</f>
        <v>Journal of Electromagnetic Waves and Applications</v>
      </c>
      <c r="B2583" s="4" t="s">
        <v>6</v>
      </c>
      <c r="C2583" s="4" t="str">
        <f t="shared" si="95"/>
        <v>-</v>
      </c>
      <c r="D2583" s="4" t="str">
        <f>"09205071"</f>
        <v>09205071</v>
      </c>
      <c r="E2583" s="4" t="str">
        <f>"15693937"</f>
        <v>15693937</v>
      </c>
      <c r="F2583" s="4" t="s">
        <v>60</v>
      </c>
    </row>
    <row r="2584" spans="1:6" x14ac:dyDescent="0.25">
      <c r="A2584" s="4" t="str">
        <f>"Journal of Electron Spectroscopy and Related Phenomena"</f>
        <v>Journal of Electron Spectroscopy and Related Phenomena</v>
      </c>
      <c r="B2584" s="4" t="s">
        <v>6</v>
      </c>
      <c r="C2584" s="4" t="str">
        <f t="shared" si="95"/>
        <v>-</v>
      </c>
      <c r="D2584" s="4" t="str">
        <f>"03682048"</f>
        <v>03682048</v>
      </c>
      <c r="E2584" s="4" t="str">
        <f>"-"</f>
        <v>-</v>
      </c>
      <c r="F2584" s="4" t="s">
        <v>55</v>
      </c>
    </row>
    <row r="2585" spans="1:6" x14ac:dyDescent="0.25">
      <c r="A2585" s="4" t="str">
        <f>"Journal of Electronic Commerce in Organizations"</f>
        <v>Journal of Electronic Commerce in Organizations</v>
      </c>
      <c r="B2585" s="4" t="s">
        <v>6</v>
      </c>
      <c r="C2585" s="4" t="str">
        <f t="shared" si="95"/>
        <v>-</v>
      </c>
      <c r="D2585" s="4" t="str">
        <f>"15392937"</f>
        <v>15392937</v>
      </c>
      <c r="E2585" s="4" t="str">
        <f>"15392929"</f>
        <v>15392929</v>
      </c>
      <c r="F2585" s="4" t="s">
        <v>537</v>
      </c>
    </row>
    <row r="2586" spans="1:6" x14ac:dyDescent="0.25">
      <c r="A2586" s="4" t="str">
        <f>"Journal of Electronic Imaging"</f>
        <v>Journal of Electronic Imaging</v>
      </c>
      <c r="B2586" s="4" t="s">
        <v>6</v>
      </c>
      <c r="C2586" s="4" t="str">
        <f t="shared" si="95"/>
        <v>-</v>
      </c>
      <c r="D2586" s="4" t="str">
        <f>"10179909"</f>
        <v>10179909</v>
      </c>
      <c r="E2586" s="4" t="str">
        <f>"1560229X"</f>
        <v>1560229X</v>
      </c>
      <c r="F2586" s="4" t="s">
        <v>663</v>
      </c>
    </row>
    <row r="2587" spans="1:6" x14ac:dyDescent="0.25">
      <c r="A2587" s="4" t="str">
        <f>"Journal of Electronic Materials"</f>
        <v>Journal of Electronic Materials</v>
      </c>
      <c r="B2587" s="4" t="s">
        <v>6</v>
      </c>
      <c r="C2587" s="4" t="str">
        <f t="shared" si="95"/>
        <v>-</v>
      </c>
      <c r="D2587" s="4" t="str">
        <f>"03615235"</f>
        <v>03615235</v>
      </c>
      <c r="E2587" s="4" t="str">
        <f>"-"</f>
        <v>-</v>
      </c>
      <c r="F2587" s="4" t="s">
        <v>57</v>
      </c>
    </row>
    <row r="2588" spans="1:6" x14ac:dyDescent="0.25">
      <c r="A2588" s="4" t="str">
        <f>"Journal of Electronic Packaging, Transactions of the ASME"</f>
        <v>Journal of Electronic Packaging, Transactions of the ASME</v>
      </c>
      <c r="B2588" s="4" t="s">
        <v>6</v>
      </c>
      <c r="C2588" s="4" t="str">
        <f t="shared" si="95"/>
        <v>-</v>
      </c>
      <c r="D2588" s="4" t="str">
        <f>"10437398"</f>
        <v>10437398</v>
      </c>
      <c r="E2588" s="4" t="str">
        <f>"15289044"</f>
        <v>15289044</v>
      </c>
      <c r="F2588" s="4" t="s">
        <v>73</v>
      </c>
    </row>
    <row r="2589" spans="1:6" x14ac:dyDescent="0.25">
      <c r="A2589" s="4" t="str">
        <f>"Journal of Electronic Testing: Theory and Applications (JETTA)"</f>
        <v>Journal of Electronic Testing: Theory and Applications (JETTA)</v>
      </c>
      <c r="B2589" s="4" t="s">
        <v>6</v>
      </c>
      <c r="C2589" s="4" t="str">
        <f t="shared" si="95"/>
        <v>-</v>
      </c>
      <c r="D2589" s="4" t="str">
        <f>"09238174"</f>
        <v>09238174</v>
      </c>
      <c r="E2589" s="4" t="str">
        <f>"15730727"</f>
        <v>15730727</v>
      </c>
      <c r="F2589" s="4" t="s">
        <v>57</v>
      </c>
    </row>
    <row r="2590" spans="1:6" x14ac:dyDescent="0.25">
      <c r="A2590" s="4" t="str">
        <f>"Journal of Electrostatics"</f>
        <v>Journal of Electrostatics</v>
      </c>
      <c r="B2590" s="4" t="s">
        <v>6</v>
      </c>
      <c r="C2590" s="4" t="str">
        <f t="shared" si="95"/>
        <v>-</v>
      </c>
      <c r="D2590" s="4" t="str">
        <f>"03043886"</f>
        <v>03043886</v>
      </c>
      <c r="E2590" s="4" t="str">
        <f>"-"</f>
        <v>-</v>
      </c>
      <c r="F2590" s="4" t="s">
        <v>55</v>
      </c>
    </row>
    <row r="2591" spans="1:6" x14ac:dyDescent="0.25">
      <c r="A2591" s="4" t="str">
        <f>"Journal of Energy Chemistry"</f>
        <v>Journal of Energy Chemistry</v>
      </c>
      <c r="B2591" s="4" t="s">
        <v>6</v>
      </c>
      <c r="C2591" s="4" t="str">
        <f t="shared" si="95"/>
        <v>-</v>
      </c>
      <c r="D2591" s="4" t="str">
        <f>"20954956"</f>
        <v>20954956</v>
      </c>
      <c r="E2591" s="4" t="str">
        <f>"-"</f>
        <v>-</v>
      </c>
      <c r="F2591" s="4" t="s">
        <v>55</v>
      </c>
    </row>
    <row r="2592" spans="1:6" x14ac:dyDescent="0.25">
      <c r="A2592" s="4" t="str">
        <f>"Journal of Energy Engineering"</f>
        <v>Journal of Energy Engineering</v>
      </c>
      <c r="B2592" s="4" t="s">
        <v>6</v>
      </c>
      <c r="C2592" s="4" t="str">
        <f t="shared" si="95"/>
        <v>-</v>
      </c>
      <c r="D2592" s="4" t="str">
        <f>"07339402"</f>
        <v>07339402</v>
      </c>
      <c r="E2592" s="4" t="str">
        <f>"-"</f>
        <v>-</v>
      </c>
      <c r="F2592" s="4" t="s">
        <v>111</v>
      </c>
    </row>
    <row r="2593" spans="1:6" x14ac:dyDescent="0.25">
      <c r="A2593" s="4" t="str">
        <f>"Journal of Energy Resources Technology, Transactions of the ASME"</f>
        <v>Journal of Energy Resources Technology, Transactions of the ASME</v>
      </c>
      <c r="B2593" s="4" t="s">
        <v>6</v>
      </c>
      <c r="C2593" s="4" t="str">
        <f t="shared" si="95"/>
        <v>-</v>
      </c>
      <c r="D2593" s="4" t="str">
        <f>"01950738"</f>
        <v>01950738</v>
      </c>
      <c r="E2593" s="4" t="str">
        <f>"15288994"</f>
        <v>15288994</v>
      </c>
      <c r="F2593" s="4" t="s">
        <v>73</v>
      </c>
    </row>
    <row r="2594" spans="1:6" x14ac:dyDescent="0.25">
      <c r="A2594" s="4" t="str">
        <f>"Journal of Engineered Fibers and Fabrics"</f>
        <v>Journal of Engineered Fibers and Fabrics</v>
      </c>
      <c r="B2594" s="4" t="s">
        <v>6</v>
      </c>
      <c r="C2594" s="4" t="str">
        <f t="shared" si="95"/>
        <v>-</v>
      </c>
      <c r="D2594" s="4" t="str">
        <f>"-"</f>
        <v>-</v>
      </c>
      <c r="E2594" s="4" t="str">
        <f>"15589250"</f>
        <v>15589250</v>
      </c>
      <c r="F2594" s="4" t="s">
        <v>695</v>
      </c>
    </row>
    <row r="2595" spans="1:6" x14ac:dyDescent="0.25">
      <c r="A2595" s="4" t="str">
        <f>"Journal of Engineering"</f>
        <v>Journal of Engineering</v>
      </c>
      <c r="B2595" s="4" t="s">
        <v>6</v>
      </c>
      <c r="C2595" s="4" t="str">
        <f t="shared" si="95"/>
        <v>-</v>
      </c>
      <c r="D2595" s="4" t="str">
        <f>"-"</f>
        <v>-</v>
      </c>
      <c r="E2595" s="4" t="str">
        <f>"20513305"</f>
        <v>20513305</v>
      </c>
      <c r="F2595" s="4" t="s">
        <v>370</v>
      </c>
    </row>
    <row r="2596" spans="1:6" x14ac:dyDescent="0.25">
      <c r="A2596" s="4" t="str">
        <f>"Journal of Engineering and Applied Science"</f>
        <v>Journal of Engineering and Applied Science</v>
      </c>
      <c r="B2596" s="4" t="s">
        <v>6</v>
      </c>
      <c r="C2596" s="4" t="str">
        <f t="shared" si="95"/>
        <v>-</v>
      </c>
      <c r="D2596" s="4" t="str">
        <f>"11101903"</f>
        <v>11101903</v>
      </c>
      <c r="E2596" s="4" t="str">
        <f>"-"</f>
        <v>-</v>
      </c>
      <c r="F2596" s="4" t="s">
        <v>696</v>
      </c>
    </row>
    <row r="2597" spans="1:6" x14ac:dyDescent="0.25">
      <c r="A2597" s="4" t="str">
        <f>"Journal of Engineering and Technological Sciences"</f>
        <v>Journal of Engineering and Technological Sciences</v>
      </c>
      <c r="B2597" s="4" t="s">
        <v>6</v>
      </c>
      <c r="C2597" s="4" t="str">
        <f t="shared" si="95"/>
        <v>-</v>
      </c>
      <c r="D2597" s="4" t="str">
        <f>"23375779"</f>
        <v>23375779</v>
      </c>
      <c r="E2597" s="4" t="str">
        <f>"-"</f>
        <v>-</v>
      </c>
      <c r="F2597" s="4" t="s">
        <v>697</v>
      </c>
    </row>
    <row r="2598" spans="1:6" x14ac:dyDescent="0.25">
      <c r="A2598" s="4" t="str">
        <f>"Journal of Engineering and Technology Management - JET-M"</f>
        <v>Journal of Engineering and Technology Management - JET-M</v>
      </c>
      <c r="B2598" s="4" t="s">
        <v>6</v>
      </c>
      <c r="C2598" s="4" t="str">
        <f t="shared" si="95"/>
        <v>-</v>
      </c>
      <c r="D2598" s="4" t="str">
        <f>"09234748"</f>
        <v>09234748</v>
      </c>
      <c r="E2598" s="4" t="str">
        <f>"16084799"</f>
        <v>16084799</v>
      </c>
      <c r="F2598" s="4" t="s">
        <v>55</v>
      </c>
    </row>
    <row r="2599" spans="1:6" x14ac:dyDescent="0.25">
      <c r="A2599" s="4" t="str">
        <f>"Journal of Engineering Design"</f>
        <v>Journal of Engineering Design</v>
      </c>
      <c r="B2599" s="4" t="s">
        <v>6</v>
      </c>
      <c r="C2599" s="4" t="str">
        <f t="shared" si="95"/>
        <v>-</v>
      </c>
      <c r="D2599" s="4" t="str">
        <f>"09544828"</f>
        <v>09544828</v>
      </c>
      <c r="E2599" s="4" t="str">
        <f>"14661837"</f>
        <v>14661837</v>
      </c>
      <c r="F2599" s="4" t="s">
        <v>60</v>
      </c>
    </row>
    <row r="2600" spans="1:6" x14ac:dyDescent="0.25">
      <c r="A2600" s="4" t="str">
        <f>"Journal of Engineering Education"</f>
        <v>Journal of Engineering Education</v>
      </c>
      <c r="B2600" s="4" t="s">
        <v>6</v>
      </c>
      <c r="C2600" s="4" t="str">
        <f t="shared" si="95"/>
        <v>-</v>
      </c>
      <c r="D2600" s="4" t="str">
        <f>"10694730"</f>
        <v>10694730</v>
      </c>
      <c r="E2600" s="4" t="str">
        <f>"-"</f>
        <v>-</v>
      </c>
      <c r="F2600" s="4" t="s">
        <v>195</v>
      </c>
    </row>
    <row r="2601" spans="1:6" x14ac:dyDescent="0.25">
      <c r="A2601" s="4" t="str">
        <f>"Journal of Engineering for Gas Turbines and Power"</f>
        <v>Journal of Engineering for Gas Turbines and Power</v>
      </c>
      <c r="B2601" s="4" t="s">
        <v>6</v>
      </c>
      <c r="C2601" s="4" t="str">
        <f t="shared" si="95"/>
        <v>-</v>
      </c>
      <c r="D2601" s="4" t="str">
        <f>"07424795"</f>
        <v>07424795</v>
      </c>
      <c r="E2601" s="4" t="str">
        <f>"15288919"</f>
        <v>15288919</v>
      </c>
      <c r="F2601" s="4" t="s">
        <v>73</v>
      </c>
    </row>
    <row r="2602" spans="1:6" x14ac:dyDescent="0.25">
      <c r="A2602" s="4" t="str">
        <f>"Journal of Engineering Materials and Technology, Transactions of the ASME"</f>
        <v>Journal of Engineering Materials and Technology, Transactions of the ASME</v>
      </c>
      <c r="B2602" s="4" t="s">
        <v>6</v>
      </c>
      <c r="C2602" s="4" t="str">
        <f t="shared" si="95"/>
        <v>-</v>
      </c>
      <c r="D2602" s="4" t="str">
        <f>"00944289"</f>
        <v>00944289</v>
      </c>
      <c r="E2602" s="4" t="str">
        <f>"15288889"</f>
        <v>15288889</v>
      </c>
      <c r="F2602" s="4" t="s">
        <v>73</v>
      </c>
    </row>
    <row r="2603" spans="1:6" x14ac:dyDescent="0.25">
      <c r="A2603" s="4" t="str">
        <f>"Journal of Engineering Mathematics"</f>
        <v>Journal of Engineering Mathematics</v>
      </c>
      <c r="B2603" s="4" t="s">
        <v>6</v>
      </c>
      <c r="C2603" s="4" t="str">
        <f t="shared" si="95"/>
        <v>-</v>
      </c>
      <c r="D2603" s="4" t="str">
        <f>"00220833"</f>
        <v>00220833</v>
      </c>
      <c r="E2603" s="4" t="str">
        <f>"15732703"</f>
        <v>15732703</v>
      </c>
      <c r="F2603" s="4" t="s">
        <v>31</v>
      </c>
    </row>
    <row r="2604" spans="1:6" x14ac:dyDescent="0.25">
      <c r="A2604" s="4" t="str">
        <f>"Journal of Engineering Mechanics"</f>
        <v>Journal of Engineering Mechanics</v>
      </c>
      <c r="B2604" s="4" t="s">
        <v>6</v>
      </c>
      <c r="C2604" s="4" t="str">
        <f t="shared" si="95"/>
        <v>-</v>
      </c>
      <c r="D2604" s="4" t="str">
        <f>"07339399"</f>
        <v>07339399</v>
      </c>
      <c r="E2604" s="4" t="str">
        <f>"-"</f>
        <v>-</v>
      </c>
      <c r="F2604" s="4" t="s">
        <v>111</v>
      </c>
    </row>
    <row r="2605" spans="1:6" x14ac:dyDescent="0.25">
      <c r="A2605" s="4" t="str">
        <f>"Journal of Engineering Physics and Thermophysics"</f>
        <v>Journal of Engineering Physics and Thermophysics</v>
      </c>
      <c r="B2605" s="4" t="s">
        <v>6</v>
      </c>
      <c r="C2605" s="4" t="str">
        <f t="shared" si="95"/>
        <v>-</v>
      </c>
      <c r="D2605" s="4" t="str">
        <f>"10620125"</f>
        <v>10620125</v>
      </c>
      <c r="E2605" s="4" t="str">
        <f>"-"</f>
        <v>-</v>
      </c>
      <c r="F2605" s="4" t="s">
        <v>57</v>
      </c>
    </row>
    <row r="2606" spans="1:6" x14ac:dyDescent="0.25">
      <c r="A2606" s="4" t="str">
        <f>"Journal of Engineering Science and Technology Review"</f>
        <v>Journal of Engineering Science and Technology Review</v>
      </c>
      <c r="B2606" s="4" t="s">
        <v>6</v>
      </c>
      <c r="C2606" s="4" t="str">
        <f t="shared" si="95"/>
        <v>-</v>
      </c>
      <c r="D2606" s="4" t="str">
        <f>"17919320"</f>
        <v>17919320</v>
      </c>
      <c r="E2606" s="4" t="str">
        <f>"17912377"</f>
        <v>17912377</v>
      </c>
      <c r="F2606" s="4" t="s">
        <v>698</v>
      </c>
    </row>
    <row r="2607" spans="1:6" x14ac:dyDescent="0.25">
      <c r="A2607" s="4" t="str">
        <f>"Journal of Engineering Technology"</f>
        <v>Journal of Engineering Technology</v>
      </c>
      <c r="B2607" s="4" t="s">
        <v>6</v>
      </c>
      <c r="C2607" s="4" t="str">
        <f t="shared" si="95"/>
        <v>-</v>
      </c>
      <c r="D2607" s="4" t="str">
        <f>"07479964"</f>
        <v>07479964</v>
      </c>
      <c r="E2607" s="4" t="str">
        <f>"-"</f>
        <v>-</v>
      </c>
      <c r="F2607" s="4" t="s">
        <v>78</v>
      </c>
    </row>
    <row r="2608" spans="1:6" x14ac:dyDescent="0.25">
      <c r="A2608" s="4" t="str">
        <f>"Journal of Engineering Thermophysics"</f>
        <v>Journal of Engineering Thermophysics</v>
      </c>
      <c r="B2608" s="4" t="s">
        <v>6</v>
      </c>
      <c r="C2608" s="4" t="str">
        <f t="shared" si="95"/>
        <v>-</v>
      </c>
      <c r="D2608" s="4" t="str">
        <f>"18102328"</f>
        <v>18102328</v>
      </c>
      <c r="E2608" s="4" t="str">
        <f>"19905432"</f>
        <v>19905432</v>
      </c>
      <c r="F2608" s="4" t="s">
        <v>24</v>
      </c>
    </row>
    <row r="2609" spans="1:6" x14ac:dyDescent="0.25">
      <c r="A2609" s="4" t="str">
        <f>"Journal of Engineering, Design and Technology"</f>
        <v>Journal of Engineering, Design and Technology</v>
      </c>
      <c r="B2609" s="4" t="s">
        <v>6</v>
      </c>
      <c r="C2609" s="4" t="str">
        <f t="shared" si="95"/>
        <v>-</v>
      </c>
      <c r="D2609" s="4" t="str">
        <f>"17260531"</f>
        <v>17260531</v>
      </c>
      <c r="E2609" s="4" t="str">
        <f>"-"</f>
        <v>-</v>
      </c>
      <c r="F2609" s="4" t="s">
        <v>110</v>
      </c>
    </row>
    <row r="2610" spans="1:6" x14ac:dyDescent="0.25">
      <c r="A2610" s="4" t="str">
        <f>"Journal of Enhanced Heat Transfer"</f>
        <v>Journal of Enhanced Heat Transfer</v>
      </c>
      <c r="B2610" s="4" t="s">
        <v>6</v>
      </c>
      <c r="C2610" s="4" t="str">
        <f t="shared" si="95"/>
        <v>-</v>
      </c>
      <c r="D2610" s="4" t="str">
        <f>"10655131"</f>
        <v>10655131</v>
      </c>
      <c r="E2610" s="4" t="str">
        <f>"-"</f>
        <v>-</v>
      </c>
      <c r="F2610" s="4" t="s">
        <v>69</v>
      </c>
    </row>
    <row r="2611" spans="1:6" x14ac:dyDescent="0.25">
      <c r="A2611" s="4" t="str">
        <f>"Journal of Environmental and Engineering Geophysics"</f>
        <v>Journal of Environmental and Engineering Geophysics</v>
      </c>
      <c r="B2611" s="4" t="s">
        <v>6</v>
      </c>
      <c r="C2611" s="4" t="str">
        <f t="shared" si="95"/>
        <v>-</v>
      </c>
      <c r="D2611" s="4" t="str">
        <f>"10831363"</f>
        <v>10831363</v>
      </c>
      <c r="E2611" s="4" t="str">
        <f>"19432658 "</f>
        <v xml:space="preserve">19432658 </v>
      </c>
      <c r="F2611" s="4" t="s">
        <v>458</v>
      </c>
    </row>
    <row r="2612" spans="1:6" x14ac:dyDescent="0.25">
      <c r="A2612" s="4" t="str">
        <f>"Journal of Environmental Chemical Engineering"</f>
        <v>Journal of Environmental Chemical Engineering</v>
      </c>
      <c r="B2612" s="4" t="s">
        <v>6</v>
      </c>
      <c r="C2612" s="4" t="str">
        <f t="shared" si="95"/>
        <v>-</v>
      </c>
      <c r="D2612" s="4" t="str">
        <f>"-"</f>
        <v>-</v>
      </c>
      <c r="E2612" s="4" t="str">
        <f>"22133437"</f>
        <v>22133437</v>
      </c>
      <c r="F2612" s="4" t="s">
        <v>19</v>
      </c>
    </row>
    <row r="2613" spans="1:6" x14ac:dyDescent="0.25">
      <c r="A2613" s="4" t="str">
        <f>"Journal of Environmental Economics and Management"</f>
        <v>Journal of Environmental Economics and Management</v>
      </c>
      <c r="B2613" s="4" t="s">
        <v>6</v>
      </c>
      <c r="C2613" s="4" t="str">
        <f t="shared" si="95"/>
        <v>-</v>
      </c>
      <c r="D2613" s="4" t="str">
        <f>"00950696"</f>
        <v>00950696</v>
      </c>
      <c r="E2613" s="4" t="str">
        <f>"10960449"</f>
        <v>10960449</v>
      </c>
      <c r="F2613" s="4" t="s">
        <v>71</v>
      </c>
    </row>
    <row r="2614" spans="1:6" x14ac:dyDescent="0.25">
      <c r="A2614" s="4" t="str">
        <f>"Journal of Environmental Engineering (Japan)"</f>
        <v>Journal of Environmental Engineering (Japan)</v>
      </c>
      <c r="B2614" s="4" t="s">
        <v>6</v>
      </c>
      <c r="C2614" s="4" t="str">
        <f t="shared" si="95"/>
        <v>-</v>
      </c>
      <c r="D2614" s="4" t="str">
        <f>"13480685"</f>
        <v>13480685</v>
      </c>
      <c r="E2614" s="4" t="str">
        <f>"1881817X"</f>
        <v>1881817X</v>
      </c>
      <c r="F2614" s="4" t="s">
        <v>107</v>
      </c>
    </row>
    <row r="2615" spans="1:6" x14ac:dyDescent="0.25">
      <c r="A2615" s="4" t="str">
        <f>"Journal of Environmental Engineering (United States)"</f>
        <v>Journal of Environmental Engineering (United States)</v>
      </c>
      <c r="B2615" s="4" t="s">
        <v>6</v>
      </c>
      <c r="C2615" s="4" t="str">
        <f t="shared" si="95"/>
        <v>-</v>
      </c>
      <c r="D2615" s="4" t="str">
        <f>"07339372"</f>
        <v>07339372</v>
      </c>
      <c r="E2615" s="4" t="str">
        <f>"-"</f>
        <v>-</v>
      </c>
      <c r="F2615" s="4" t="s">
        <v>111</v>
      </c>
    </row>
    <row r="2616" spans="1:6" x14ac:dyDescent="0.25">
      <c r="A2616" s="4" t="str">
        <f>"Journal of Environmental Engineering and Landscape Management"</f>
        <v>Journal of Environmental Engineering and Landscape Management</v>
      </c>
      <c r="B2616" s="4" t="s">
        <v>6</v>
      </c>
      <c r="C2616" s="4" t="str">
        <f t="shared" si="95"/>
        <v>-</v>
      </c>
      <c r="D2616" s="4" t="str">
        <f>"16486897"</f>
        <v>16486897</v>
      </c>
      <c r="E2616" s="4" t="str">
        <f>"18224199"</f>
        <v>18224199</v>
      </c>
      <c r="F2616" s="4" t="s">
        <v>699</v>
      </c>
    </row>
    <row r="2617" spans="1:6" x14ac:dyDescent="0.25">
      <c r="A2617" s="4" t="str">
        <f>"Journal of Environmental Quality"</f>
        <v>Journal of Environmental Quality</v>
      </c>
      <c r="B2617" s="4" t="s">
        <v>6</v>
      </c>
      <c r="C2617" s="4" t="str">
        <f t="shared" si="95"/>
        <v>-</v>
      </c>
      <c r="D2617" s="4" t="str">
        <f>"00472425"</f>
        <v>00472425</v>
      </c>
      <c r="E2617" s="4" t="str">
        <f>"15372537"</f>
        <v>15372537</v>
      </c>
      <c r="F2617" s="4" t="s">
        <v>700</v>
      </c>
    </row>
    <row r="2618" spans="1:6" x14ac:dyDescent="0.25">
      <c r="A2618" s="4" t="str">
        <f>"Journal of Environmental Radioactivity"</f>
        <v>Journal of Environmental Radioactivity</v>
      </c>
      <c r="B2618" s="4" t="s">
        <v>6</v>
      </c>
      <c r="C2618" s="4" t="str">
        <f t="shared" si="95"/>
        <v>-</v>
      </c>
      <c r="D2618" s="4" t="str">
        <f>"0265931X"</f>
        <v>0265931X</v>
      </c>
      <c r="E2618" s="4" t="str">
        <f>"18791700"</f>
        <v>18791700</v>
      </c>
      <c r="F2618" s="4" t="s">
        <v>19</v>
      </c>
    </row>
    <row r="2619" spans="1:6" ht="30" x14ac:dyDescent="0.25">
      <c r="A2619" s="4" t="str">
        <f>"Journal of Environmental Science and Health - Part A Toxic/Hazardous Substances and Environmental Engineering"</f>
        <v>Journal of Environmental Science and Health - Part A Toxic/Hazardous Substances and Environmental Engineering</v>
      </c>
      <c r="B2619" s="4" t="s">
        <v>6</v>
      </c>
      <c r="C2619" s="4" t="str">
        <f t="shared" si="95"/>
        <v>-</v>
      </c>
      <c r="D2619" s="4" t="str">
        <f>"10934529"</f>
        <v>10934529</v>
      </c>
      <c r="E2619" s="4" t="str">
        <f>"15324117"</f>
        <v>15324117</v>
      </c>
      <c r="F2619" s="4" t="s">
        <v>96</v>
      </c>
    </row>
    <row r="2620" spans="1:6" ht="30" x14ac:dyDescent="0.25">
      <c r="A2620" s="4" t="str">
        <f>"Journal of Environmental Science and Health - Part B Pesticides, Food Contaminants, and Agricultural Wastes"</f>
        <v>Journal of Environmental Science and Health - Part B Pesticides, Food Contaminants, and Agricultural Wastes</v>
      </c>
      <c r="B2620" s="4" t="s">
        <v>6</v>
      </c>
      <c r="C2620" s="4" t="str">
        <f t="shared" si="95"/>
        <v>-</v>
      </c>
      <c r="D2620" s="4" t="str">
        <f>"03601234"</f>
        <v>03601234</v>
      </c>
      <c r="E2620" s="4" t="str">
        <f>"15324109"</f>
        <v>15324109</v>
      </c>
      <c r="F2620" s="4" t="s">
        <v>96</v>
      </c>
    </row>
    <row r="2621" spans="1:6" ht="30" x14ac:dyDescent="0.25">
      <c r="A2621" s="4" t="str">
        <f>"Journal of Environmental Science and Health - Part C Environmental Carcinogenesis and Ecotoxicology Reviews"</f>
        <v>Journal of Environmental Science and Health - Part C Environmental Carcinogenesis and Ecotoxicology Reviews</v>
      </c>
      <c r="B2621" s="4" t="s">
        <v>6</v>
      </c>
      <c r="C2621" s="4" t="str">
        <f t="shared" si="95"/>
        <v>-</v>
      </c>
      <c r="D2621" s="4" t="str">
        <f>"10590501"</f>
        <v>10590501</v>
      </c>
      <c r="E2621" s="4" t="str">
        <f>"15324095"</f>
        <v>15324095</v>
      </c>
      <c r="F2621" s="4" t="s">
        <v>96</v>
      </c>
    </row>
    <row r="2622" spans="1:6" x14ac:dyDescent="0.25">
      <c r="A2622" s="4" t="str">
        <f>"Journal of Environmental Sciences (China)"</f>
        <v>Journal of Environmental Sciences (China)</v>
      </c>
      <c r="B2622" s="4" t="s">
        <v>6</v>
      </c>
      <c r="C2622" s="4" t="str">
        <f t="shared" si="95"/>
        <v>-</v>
      </c>
      <c r="D2622" s="4" t="str">
        <f>"10010742"</f>
        <v>10010742</v>
      </c>
      <c r="E2622" s="4" t="str">
        <f>"-"</f>
        <v>-</v>
      </c>
      <c r="F2622" s="4" t="s">
        <v>412</v>
      </c>
    </row>
    <row r="2623" spans="1:6" x14ac:dyDescent="0.25">
      <c r="A2623" s="4" t="str">
        <f>"Journal of Environmental Systems"</f>
        <v>Journal of Environmental Systems</v>
      </c>
      <c r="B2623" s="4" t="s">
        <v>6</v>
      </c>
      <c r="C2623" s="4" t="str">
        <f t="shared" si="95"/>
        <v>-</v>
      </c>
      <c r="D2623" s="4" t="str">
        <f>"00472433"</f>
        <v>00472433</v>
      </c>
      <c r="E2623" s="4" t="str">
        <f>"15413802"</f>
        <v>15413802</v>
      </c>
      <c r="F2623" s="4" t="s">
        <v>661</v>
      </c>
    </row>
    <row r="2624" spans="1:6" x14ac:dyDescent="0.25">
      <c r="A2624" s="4" t="str">
        <f>"Journal of Essential Oil Research"</f>
        <v>Journal of Essential Oil Research</v>
      </c>
      <c r="B2624" s="4" t="s">
        <v>6</v>
      </c>
      <c r="C2624" s="4" t="str">
        <f t="shared" si="95"/>
        <v>-</v>
      </c>
      <c r="D2624" s="4" t="str">
        <f>"10412905"</f>
        <v>10412905</v>
      </c>
      <c r="E2624" s="4" t="str">
        <f>"-"</f>
        <v>-</v>
      </c>
      <c r="F2624" s="4" t="s">
        <v>96</v>
      </c>
    </row>
    <row r="2625" spans="1:6" x14ac:dyDescent="0.25">
      <c r="A2625" s="4" t="str">
        <f>"Journal of Experimental and Theoretical Artificial Intelligence"</f>
        <v>Journal of Experimental and Theoretical Artificial Intelligence</v>
      </c>
      <c r="B2625" s="4" t="s">
        <v>6</v>
      </c>
      <c r="C2625" s="4" t="str">
        <f t="shared" si="95"/>
        <v>-</v>
      </c>
      <c r="D2625" s="4" t="str">
        <f>"0952813X"</f>
        <v>0952813X</v>
      </c>
      <c r="E2625" s="4" t="str">
        <f>"13623079"</f>
        <v>13623079</v>
      </c>
      <c r="F2625" s="4" t="s">
        <v>60</v>
      </c>
    </row>
    <row r="2626" spans="1:6" x14ac:dyDescent="0.25">
      <c r="A2626" s="4" t="str">
        <f>"Journal of Experimental and Theoretical Physics"</f>
        <v>Journal of Experimental and Theoretical Physics</v>
      </c>
      <c r="B2626" s="4" t="s">
        <v>6</v>
      </c>
      <c r="C2626" s="4" t="str">
        <f t="shared" si="95"/>
        <v>-</v>
      </c>
      <c r="D2626" s="4" t="str">
        <f>"10637761"</f>
        <v>10637761</v>
      </c>
      <c r="E2626" s="4" t="str">
        <f>"-"</f>
        <v>-</v>
      </c>
      <c r="F2626" s="4" t="s">
        <v>24</v>
      </c>
    </row>
    <row r="2627" spans="1:6" x14ac:dyDescent="0.25">
      <c r="A2627" s="4" t="str">
        <f>"Journal of Experimental Nanoscience"</f>
        <v>Journal of Experimental Nanoscience</v>
      </c>
      <c r="B2627" s="4" t="s">
        <v>6</v>
      </c>
      <c r="C2627" s="4" t="str">
        <f t="shared" si="95"/>
        <v>-</v>
      </c>
      <c r="D2627" s="4" t="str">
        <f>"17458080"</f>
        <v>17458080</v>
      </c>
      <c r="E2627" s="4" t="str">
        <f>"17458099"</f>
        <v>17458099</v>
      </c>
      <c r="F2627" s="4" t="s">
        <v>60</v>
      </c>
    </row>
    <row r="2628" spans="1:6" x14ac:dyDescent="0.25">
      <c r="A2628" s="4" t="str">
        <f>"Journal of Explosives Engineering"</f>
        <v>Journal of Explosives Engineering</v>
      </c>
      <c r="B2628" s="4" t="s">
        <v>22</v>
      </c>
      <c r="C2628" s="4" t="str">
        <f t="shared" si="95"/>
        <v>-</v>
      </c>
      <c r="D2628" s="4" t="str">
        <f>"08890668"</f>
        <v>08890668</v>
      </c>
      <c r="E2628" s="4" t="str">
        <f>"-"</f>
        <v>-</v>
      </c>
      <c r="F2628" s="4" t="s">
        <v>701</v>
      </c>
    </row>
    <row r="2629" spans="1:6" x14ac:dyDescent="0.25">
      <c r="A2629" s="4" t="str">
        <f>"Journal of Failure Analysis and Prevention"</f>
        <v>Journal of Failure Analysis and Prevention</v>
      </c>
      <c r="B2629" s="4" t="s">
        <v>6</v>
      </c>
      <c r="C2629" s="4" t="str">
        <f t="shared" si="95"/>
        <v>-</v>
      </c>
      <c r="D2629" s="4" t="str">
        <f>"15477029"</f>
        <v>15477029</v>
      </c>
      <c r="E2629" s="4" t="str">
        <f>"-"</f>
        <v>-</v>
      </c>
      <c r="F2629" s="4" t="s">
        <v>57</v>
      </c>
    </row>
    <row r="2630" spans="1:6" x14ac:dyDescent="0.25">
      <c r="A2630" s="4" t="str">
        <f>"Journal of Field Robotics"</f>
        <v>Journal of Field Robotics</v>
      </c>
      <c r="B2630" s="4" t="s">
        <v>6</v>
      </c>
      <c r="C2630" s="4" t="str">
        <f t="shared" si="95"/>
        <v>-</v>
      </c>
      <c r="D2630" s="4" t="str">
        <f>"15564959"</f>
        <v>15564959</v>
      </c>
      <c r="E2630" s="4" t="str">
        <f>"15564967"</f>
        <v>15564967</v>
      </c>
      <c r="F2630" s="4" t="s">
        <v>87</v>
      </c>
    </row>
    <row r="2631" spans="1:6" x14ac:dyDescent="0.25">
      <c r="A2631" s="4" t="str">
        <f>"Journal of Fire Protection Engineering"</f>
        <v>Journal of Fire Protection Engineering</v>
      </c>
      <c r="B2631" s="4" t="s">
        <v>6</v>
      </c>
      <c r="C2631" s="4" t="str">
        <f t="shared" si="95"/>
        <v>-</v>
      </c>
      <c r="D2631" s="4" t="str">
        <f>"10423915"</f>
        <v>10423915</v>
      </c>
      <c r="E2631" s="4" t="str">
        <f>"1532172X"</f>
        <v>1532172X</v>
      </c>
      <c r="F2631" s="4" t="s">
        <v>212</v>
      </c>
    </row>
    <row r="2632" spans="1:6" x14ac:dyDescent="0.25">
      <c r="A2632" s="4" t="str">
        <f>"Journal of Fire Sciences"</f>
        <v>Journal of Fire Sciences</v>
      </c>
      <c r="B2632" s="4" t="s">
        <v>6</v>
      </c>
      <c r="C2632" s="4" t="str">
        <f t="shared" si="95"/>
        <v>-</v>
      </c>
      <c r="D2632" s="4" t="str">
        <f>"07349041"</f>
        <v>07349041</v>
      </c>
      <c r="E2632" s="4" t="str">
        <f>"15308049"</f>
        <v>15308049</v>
      </c>
      <c r="F2632" s="4" t="s">
        <v>212</v>
      </c>
    </row>
    <row r="2633" spans="1:6" x14ac:dyDescent="0.25">
      <c r="A2633" s="4" t="str">
        <f>"Journal of Flow Visualization and Image Processing"</f>
        <v>Journal of Flow Visualization and Image Processing</v>
      </c>
      <c r="B2633" s="4" t="s">
        <v>6</v>
      </c>
      <c r="C2633" s="4" t="str">
        <f t="shared" si="95"/>
        <v>-</v>
      </c>
      <c r="D2633" s="4" t="str">
        <f>"10653090"</f>
        <v>10653090</v>
      </c>
      <c r="E2633" s="4" t="str">
        <f>"-"</f>
        <v>-</v>
      </c>
      <c r="F2633" s="4" t="s">
        <v>69</v>
      </c>
    </row>
    <row r="2634" spans="1:6" x14ac:dyDescent="0.25">
      <c r="A2634" s="4" t="str">
        <f>"Journal of Fluid Mechanics"</f>
        <v>Journal of Fluid Mechanics</v>
      </c>
      <c r="B2634" s="4" t="s">
        <v>6</v>
      </c>
      <c r="C2634" s="4" t="str">
        <f t="shared" si="95"/>
        <v>-</v>
      </c>
      <c r="D2634" s="4" t="str">
        <f>"00221120"</f>
        <v>00221120</v>
      </c>
      <c r="E2634" s="4" t="str">
        <f>"14697645"</f>
        <v>14697645</v>
      </c>
      <c r="F2634" s="4" t="s">
        <v>152</v>
      </c>
    </row>
    <row r="2635" spans="1:6" x14ac:dyDescent="0.25">
      <c r="A2635" s="4" t="str">
        <f>"Journal of Fluids and Structures"</f>
        <v>Journal of Fluids and Structures</v>
      </c>
      <c r="B2635" s="4" t="s">
        <v>6</v>
      </c>
      <c r="C2635" s="4" t="str">
        <f t="shared" si="95"/>
        <v>-</v>
      </c>
      <c r="D2635" s="4" t="str">
        <f>"08899746"</f>
        <v>08899746</v>
      </c>
      <c r="E2635" s="4" t="str">
        <f>"10958622"</f>
        <v>10958622</v>
      </c>
      <c r="F2635" s="4" t="s">
        <v>193</v>
      </c>
    </row>
    <row r="2636" spans="1:6" x14ac:dyDescent="0.25">
      <c r="A2636" s="4" t="str">
        <f>"Journal of Fluids Engineering, Transactions of the ASME"</f>
        <v>Journal of Fluids Engineering, Transactions of the ASME</v>
      </c>
      <c r="B2636" s="4" t="s">
        <v>6</v>
      </c>
      <c r="C2636" s="4" t="str">
        <f t="shared" si="95"/>
        <v>-</v>
      </c>
      <c r="D2636" s="4" t="str">
        <f>"00982202"</f>
        <v>00982202</v>
      </c>
      <c r="E2636" s="4" t="str">
        <f>"1528901X"</f>
        <v>1528901X</v>
      </c>
      <c r="F2636" s="4" t="s">
        <v>73</v>
      </c>
    </row>
    <row r="2637" spans="1:6" x14ac:dyDescent="0.25">
      <c r="A2637" s="4" t="str">
        <f>"Journal of Fluorescence"</f>
        <v>Journal of Fluorescence</v>
      </c>
      <c r="B2637" s="4" t="s">
        <v>6</v>
      </c>
      <c r="C2637" s="4" t="str">
        <f t="shared" si="95"/>
        <v>-</v>
      </c>
      <c r="D2637" s="4" t="str">
        <f>"10530509"</f>
        <v>10530509</v>
      </c>
      <c r="E2637" s="4" t="str">
        <f>"-"</f>
        <v>-</v>
      </c>
      <c r="F2637" s="4" t="s">
        <v>57</v>
      </c>
    </row>
    <row r="2638" spans="1:6" x14ac:dyDescent="0.25">
      <c r="A2638" s="4" t="str">
        <f>"Journal of Food Biochemistry"</f>
        <v>Journal of Food Biochemistry</v>
      </c>
      <c r="B2638" s="4" t="s">
        <v>6</v>
      </c>
      <c r="C2638" s="4" t="str">
        <f t="shared" si="95"/>
        <v>-</v>
      </c>
      <c r="D2638" s="4" t="str">
        <f>"01458884"</f>
        <v>01458884</v>
      </c>
      <c r="E2638" s="4" t="str">
        <f>"17454514"</f>
        <v>17454514</v>
      </c>
      <c r="F2638" s="4" t="s">
        <v>209</v>
      </c>
    </row>
    <row r="2639" spans="1:6" x14ac:dyDescent="0.25">
      <c r="A2639" s="4" t="str">
        <f>"Journal of Food Engineering"</f>
        <v>Journal of Food Engineering</v>
      </c>
      <c r="B2639" s="4" t="s">
        <v>6</v>
      </c>
      <c r="C2639" s="4" t="str">
        <f t="shared" si="95"/>
        <v>-</v>
      </c>
      <c r="D2639" s="4" t="str">
        <f>"02608774"</f>
        <v>02608774</v>
      </c>
      <c r="E2639" s="4" t="str">
        <f>"-"</f>
        <v>-</v>
      </c>
      <c r="F2639" s="4" t="s">
        <v>19</v>
      </c>
    </row>
    <row r="2640" spans="1:6" x14ac:dyDescent="0.25">
      <c r="A2640" s="4" t="str">
        <f>"Journal of Food Measurement and Characterization"</f>
        <v>Journal of Food Measurement and Characterization</v>
      </c>
      <c r="B2640" s="4" t="s">
        <v>6</v>
      </c>
      <c r="C2640" s="4" t="str">
        <f t="shared" si="95"/>
        <v>-</v>
      </c>
      <c r="D2640" s="4" t="str">
        <f>"21934126"</f>
        <v>21934126</v>
      </c>
      <c r="E2640" s="4" t="str">
        <f>"21934134"</f>
        <v>21934134</v>
      </c>
      <c r="F2640" s="4" t="s">
        <v>42</v>
      </c>
    </row>
    <row r="2641" spans="1:6" x14ac:dyDescent="0.25">
      <c r="A2641" s="4" t="str">
        <f>"Journal of Food Process Engineering"</f>
        <v>Journal of Food Process Engineering</v>
      </c>
      <c r="B2641" s="4" t="s">
        <v>6</v>
      </c>
      <c r="C2641" s="4" t="str">
        <f t="shared" si="95"/>
        <v>-</v>
      </c>
      <c r="D2641" s="4" t="str">
        <f>"01458876"</f>
        <v>01458876</v>
      </c>
      <c r="E2641" s="4" t="str">
        <f>"17454530"</f>
        <v>17454530</v>
      </c>
      <c r="F2641" s="4" t="s">
        <v>291</v>
      </c>
    </row>
    <row r="2642" spans="1:6" x14ac:dyDescent="0.25">
      <c r="A2642" s="4" t="str">
        <f>"Journal of Food Processing and Preservation"</f>
        <v>Journal of Food Processing and Preservation</v>
      </c>
      <c r="B2642" s="4" t="s">
        <v>6</v>
      </c>
      <c r="C2642" s="4" t="str">
        <f t="shared" si="95"/>
        <v>-</v>
      </c>
      <c r="D2642" s="4" t="str">
        <f>"01458892"</f>
        <v>01458892</v>
      </c>
      <c r="E2642" s="4" t="str">
        <f>"17454549"</f>
        <v>17454549</v>
      </c>
      <c r="F2642" s="4" t="s">
        <v>209</v>
      </c>
    </row>
    <row r="2643" spans="1:6" x14ac:dyDescent="0.25">
      <c r="A2643" s="4" t="str">
        <f>"Journal of Food Quality"</f>
        <v>Journal of Food Quality</v>
      </c>
      <c r="B2643" s="4" t="s">
        <v>6</v>
      </c>
      <c r="C2643" s="4" t="str">
        <f t="shared" ref="C2643:C2706" si="96">"-"</f>
        <v>-</v>
      </c>
      <c r="D2643" s="4" t="str">
        <f>"01469428"</f>
        <v>01469428</v>
      </c>
      <c r="E2643" s="4" t="str">
        <f>"17454557"</f>
        <v>17454557</v>
      </c>
      <c r="F2643" s="4" t="s">
        <v>209</v>
      </c>
    </row>
    <row r="2644" spans="1:6" x14ac:dyDescent="0.25">
      <c r="A2644" s="4" t="str">
        <f>"Journal of Food Science and Technology"</f>
        <v>Journal of Food Science and Technology</v>
      </c>
      <c r="B2644" s="4" t="s">
        <v>6</v>
      </c>
      <c r="C2644" s="4" t="str">
        <f t="shared" si="96"/>
        <v>-</v>
      </c>
      <c r="D2644" s="4" t="str">
        <f>"00221155"</f>
        <v>00221155</v>
      </c>
      <c r="E2644" s="4" t="str">
        <f>"09758402"</f>
        <v>09758402</v>
      </c>
      <c r="F2644" s="4" t="s">
        <v>101</v>
      </c>
    </row>
    <row r="2645" spans="1:6" x14ac:dyDescent="0.25">
      <c r="A2645" s="4" t="str">
        <f>"Journal of Forecasting"</f>
        <v>Journal of Forecasting</v>
      </c>
      <c r="B2645" s="4" t="s">
        <v>6</v>
      </c>
      <c r="C2645" s="4" t="str">
        <f t="shared" si="96"/>
        <v>-</v>
      </c>
      <c r="D2645" s="4" t="str">
        <f>"02776693"</f>
        <v>02776693</v>
      </c>
      <c r="E2645" s="4" t="str">
        <f>"1099131X"</f>
        <v>1099131X</v>
      </c>
      <c r="F2645" s="4" t="s">
        <v>142</v>
      </c>
    </row>
    <row r="2646" spans="1:6" x14ac:dyDescent="0.25">
      <c r="A2646" s="4" t="str">
        <f>"Journal of Forest Economics"</f>
        <v>Journal of Forest Economics</v>
      </c>
      <c r="B2646" s="4" t="s">
        <v>6</v>
      </c>
      <c r="C2646" s="4" t="str">
        <f t="shared" si="96"/>
        <v>-</v>
      </c>
      <c r="D2646" s="4" t="str">
        <f>"11046899"</f>
        <v>11046899</v>
      </c>
      <c r="E2646" s="4" t="str">
        <f>"16181530"</f>
        <v>16181530</v>
      </c>
      <c r="F2646" s="4" t="s">
        <v>100</v>
      </c>
    </row>
    <row r="2647" spans="1:6" x14ac:dyDescent="0.25">
      <c r="A2647" s="4" t="str">
        <f>"Journal of Forest Research"</f>
        <v>Journal of Forest Research</v>
      </c>
      <c r="B2647" s="4" t="s">
        <v>6</v>
      </c>
      <c r="C2647" s="4" t="str">
        <f t="shared" si="96"/>
        <v>-</v>
      </c>
      <c r="D2647" s="4" t="str">
        <f>"13416979"</f>
        <v>13416979</v>
      </c>
      <c r="E2647" s="4" t="str">
        <f>"16107403"</f>
        <v>16107403</v>
      </c>
      <c r="F2647" s="4" t="s">
        <v>127</v>
      </c>
    </row>
    <row r="2648" spans="1:6" x14ac:dyDescent="0.25">
      <c r="A2648" s="4" t="str">
        <f>"Journal of Forest Science"</f>
        <v>Journal of Forest Science</v>
      </c>
      <c r="B2648" s="4" t="s">
        <v>6</v>
      </c>
      <c r="C2648" s="4" t="str">
        <f t="shared" si="96"/>
        <v>-</v>
      </c>
      <c r="D2648" s="4" t="str">
        <f>"12124834"</f>
        <v>12124834</v>
      </c>
      <c r="E2648" s="4" t="str">
        <f>"-"</f>
        <v>-</v>
      </c>
      <c r="F2648" s="4" t="s">
        <v>318</v>
      </c>
    </row>
    <row r="2649" spans="1:6" x14ac:dyDescent="0.25">
      <c r="A2649" s="4" t="str">
        <f>"Journal of Forestry"</f>
        <v>Journal of Forestry</v>
      </c>
      <c r="B2649" s="4" t="s">
        <v>6</v>
      </c>
      <c r="C2649" s="4" t="str">
        <f t="shared" si="96"/>
        <v>-</v>
      </c>
      <c r="D2649" s="4" t="str">
        <f>"00221201"</f>
        <v>00221201</v>
      </c>
      <c r="E2649" s="4" t="str">
        <f>"-"</f>
        <v>-</v>
      </c>
      <c r="F2649" s="4" t="s">
        <v>426</v>
      </c>
    </row>
    <row r="2650" spans="1:6" x14ac:dyDescent="0.25">
      <c r="A2650" s="4" t="str">
        <f>"Journal of Friction and Wear"</f>
        <v>Journal of Friction and Wear</v>
      </c>
      <c r="B2650" s="4" t="s">
        <v>6</v>
      </c>
      <c r="C2650" s="4" t="str">
        <f t="shared" si="96"/>
        <v>-</v>
      </c>
      <c r="D2650" s="4" t="str">
        <f>"10683666"</f>
        <v>10683666</v>
      </c>
      <c r="E2650" s="4" t="str">
        <f>"19349386"</f>
        <v>19349386</v>
      </c>
      <c r="F2650" s="4" t="s">
        <v>145</v>
      </c>
    </row>
    <row r="2651" spans="1:6" x14ac:dyDescent="0.25">
      <c r="A2651" s="4" t="str">
        <f>"Journal of Fuel Cell Science and Technology"</f>
        <v>Journal of Fuel Cell Science and Technology</v>
      </c>
      <c r="B2651" s="4" t="s">
        <v>6</v>
      </c>
      <c r="C2651" s="4" t="str">
        <f t="shared" si="96"/>
        <v>-</v>
      </c>
      <c r="D2651" s="4" t="str">
        <f>"1550624X"</f>
        <v>1550624X</v>
      </c>
      <c r="E2651" s="4" t="str">
        <f>"15516989"</f>
        <v>15516989</v>
      </c>
      <c r="F2651" s="4" t="s">
        <v>73</v>
      </c>
    </row>
    <row r="2652" spans="1:6" x14ac:dyDescent="0.25">
      <c r="A2652" s="4" t="str">
        <f>"Journal of Functional Programming"</f>
        <v>Journal of Functional Programming</v>
      </c>
      <c r="B2652" s="4" t="s">
        <v>6</v>
      </c>
      <c r="C2652" s="4" t="str">
        <f t="shared" si="96"/>
        <v>-</v>
      </c>
      <c r="D2652" s="4" t="str">
        <f>"09567968"</f>
        <v>09567968</v>
      </c>
      <c r="E2652" s="4" t="str">
        <f>"14697653"</f>
        <v>14697653</v>
      </c>
      <c r="F2652" s="4" t="s">
        <v>152</v>
      </c>
    </row>
    <row r="2653" spans="1:6" x14ac:dyDescent="0.25">
      <c r="A2653" s="4" t="str">
        <f>"Journal of Fusion Energy"</f>
        <v>Journal of Fusion Energy</v>
      </c>
      <c r="B2653" s="4" t="s">
        <v>6</v>
      </c>
      <c r="C2653" s="4" t="str">
        <f t="shared" si="96"/>
        <v>-</v>
      </c>
      <c r="D2653" s="4" t="str">
        <f>"01640313"</f>
        <v>01640313</v>
      </c>
      <c r="E2653" s="4" t="str">
        <f>"-"</f>
        <v>-</v>
      </c>
      <c r="F2653" s="4" t="s">
        <v>57</v>
      </c>
    </row>
    <row r="2654" spans="1:6" x14ac:dyDescent="0.25">
      <c r="A2654" s="4" t="str">
        <f>"Journal of Geochemical Exploration"</f>
        <v>Journal of Geochemical Exploration</v>
      </c>
      <c r="B2654" s="4" t="s">
        <v>6</v>
      </c>
      <c r="C2654" s="4" t="str">
        <f t="shared" si="96"/>
        <v>-</v>
      </c>
      <c r="D2654" s="4" t="str">
        <f>"03756742"</f>
        <v>03756742</v>
      </c>
      <c r="E2654" s="4" t="str">
        <f>"-"</f>
        <v>-</v>
      </c>
      <c r="F2654" s="4" t="s">
        <v>55</v>
      </c>
    </row>
    <row r="2655" spans="1:6" x14ac:dyDescent="0.25">
      <c r="A2655" s="4" t="str">
        <f>"Journal of GeoEngineering"</f>
        <v>Journal of GeoEngineering</v>
      </c>
      <c r="B2655" s="4" t="s">
        <v>6</v>
      </c>
      <c r="C2655" s="4" t="str">
        <f t="shared" si="96"/>
        <v>-</v>
      </c>
      <c r="D2655" s="4" t="str">
        <f>"19908326"</f>
        <v>19908326</v>
      </c>
      <c r="E2655" s="4" t="str">
        <f>"-"</f>
        <v>-</v>
      </c>
      <c r="F2655" s="4" t="s">
        <v>702</v>
      </c>
    </row>
    <row r="2656" spans="1:6" x14ac:dyDescent="0.25">
      <c r="A2656" s="4" t="str">
        <f>"Journal of Geotechnical and Geoenvironmental Engineering"</f>
        <v>Journal of Geotechnical and Geoenvironmental Engineering</v>
      </c>
      <c r="B2656" s="4" t="s">
        <v>6</v>
      </c>
      <c r="C2656" s="4" t="str">
        <f t="shared" si="96"/>
        <v>-</v>
      </c>
      <c r="D2656" s="4" t="str">
        <f>"10900241"</f>
        <v>10900241</v>
      </c>
      <c r="E2656" s="4" t="str">
        <f>"-"</f>
        <v>-</v>
      </c>
      <c r="F2656" s="4" t="s">
        <v>111</v>
      </c>
    </row>
    <row r="2657" spans="1:6" x14ac:dyDescent="0.25">
      <c r="A2657" s="4" t="str">
        <f>"Journal of Global Information Management"</f>
        <v>Journal of Global Information Management</v>
      </c>
      <c r="B2657" s="4" t="s">
        <v>6</v>
      </c>
      <c r="C2657" s="4" t="str">
        <f t="shared" si="96"/>
        <v>-</v>
      </c>
      <c r="D2657" s="4" t="str">
        <f>"10627375"</f>
        <v>10627375</v>
      </c>
      <c r="E2657" s="4" t="str">
        <f>"15337995"</f>
        <v>15337995</v>
      </c>
      <c r="F2657" s="4" t="s">
        <v>537</v>
      </c>
    </row>
    <row r="2658" spans="1:6" x14ac:dyDescent="0.25">
      <c r="A2658" s="4" t="str">
        <f>"Journal of Global Optimization"</f>
        <v>Journal of Global Optimization</v>
      </c>
      <c r="B2658" s="4" t="s">
        <v>6</v>
      </c>
      <c r="C2658" s="4" t="str">
        <f t="shared" si="96"/>
        <v>-</v>
      </c>
      <c r="D2658" s="4" t="str">
        <f>"09255001"</f>
        <v>09255001</v>
      </c>
      <c r="E2658" s="4" t="str">
        <f>"15732916"</f>
        <v>15732916</v>
      </c>
      <c r="F2658" s="4" t="s">
        <v>57</v>
      </c>
    </row>
    <row r="2659" spans="1:6" x14ac:dyDescent="0.25">
      <c r="A2659" s="4" t="str">
        <f>"Journal of Graph Theory"</f>
        <v>Journal of Graph Theory</v>
      </c>
      <c r="B2659" s="4" t="s">
        <v>6</v>
      </c>
      <c r="C2659" s="4" t="str">
        <f t="shared" si="96"/>
        <v>-</v>
      </c>
      <c r="D2659" s="4" t="str">
        <f>"03649024"</f>
        <v>03649024</v>
      </c>
      <c r="E2659" s="4" t="str">
        <f>"10970118"</f>
        <v>10970118</v>
      </c>
      <c r="F2659" s="4" t="s">
        <v>241</v>
      </c>
    </row>
    <row r="2660" spans="1:6" x14ac:dyDescent="0.25">
      <c r="A2660" s="4" t="str">
        <f>"Journal of Great Lakes Research"</f>
        <v>Journal of Great Lakes Research</v>
      </c>
      <c r="B2660" s="4" t="s">
        <v>6</v>
      </c>
      <c r="C2660" s="4" t="str">
        <f t="shared" si="96"/>
        <v>-</v>
      </c>
      <c r="D2660" s="4" t="str">
        <f>"03801330"</f>
        <v>03801330</v>
      </c>
      <c r="E2660" s="4" t="str">
        <f>"-"</f>
        <v>-</v>
      </c>
      <c r="F2660" s="4" t="s">
        <v>703</v>
      </c>
    </row>
    <row r="2661" spans="1:6" x14ac:dyDescent="0.25">
      <c r="A2661" s="4" t="str">
        <f>"Journal of Grid Computing"</f>
        <v>Journal of Grid Computing</v>
      </c>
      <c r="B2661" s="4" t="s">
        <v>6</v>
      </c>
      <c r="C2661" s="4" t="str">
        <f t="shared" si="96"/>
        <v>-</v>
      </c>
      <c r="D2661" s="4" t="str">
        <f>"15707873"</f>
        <v>15707873</v>
      </c>
      <c r="E2661" s="4" t="str">
        <f>"15729184"</f>
        <v>15729184</v>
      </c>
      <c r="F2661" s="4" t="s">
        <v>31</v>
      </c>
    </row>
    <row r="2662" spans="1:6" x14ac:dyDescent="0.25">
      <c r="A2662" s="4" t="str">
        <f>"Journal of Guidance, Control, and Dynamics"</f>
        <v>Journal of Guidance, Control, and Dynamics</v>
      </c>
      <c r="B2662" s="4" t="s">
        <v>6</v>
      </c>
      <c r="C2662" s="4" t="str">
        <f t="shared" si="96"/>
        <v>-</v>
      </c>
      <c r="D2662" s="4" t="str">
        <f>"07315090"</f>
        <v>07315090</v>
      </c>
      <c r="E2662" s="4" t="str">
        <f>"-"</f>
        <v>-</v>
      </c>
      <c r="F2662" s="4" t="s">
        <v>104</v>
      </c>
    </row>
    <row r="2663" spans="1:6" x14ac:dyDescent="0.25">
      <c r="A2663" s="4" t="str">
        <f>"Journal of Hazardous Materials"</f>
        <v>Journal of Hazardous Materials</v>
      </c>
      <c r="B2663" s="4" t="s">
        <v>6</v>
      </c>
      <c r="C2663" s="4" t="str">
        <f t="shared" si="96"/>
        <v>-</v>
      </c>
      <c r="D2663" s="4" t="str">
        <f>"03043894"</f>
        <v>03043894</v>
      </c>
      <c r="E2663" s="4" t="str">
        <f>"18733336"</f>
        <v>18733336</v>
      </c>
      <c r="F2663" s="4" t="s">
        <v>55</v>
      </c>
    </row>
    <row r="2664" spans="1:6" x14ac:dyDescent="0.25">
      <c r="A2664" s="4" t="str">
        <f>"Journal of Hazardous, Toxic, and Radioactive Waste"</f>
        <v>Journal of Hazardous, Toxic, and Radioactive Waste</v>
      </c>
      <c r="B2664" s="4" t="s">
        <v>6</v>
      </c>
      <c r="C2664" s="4" t="str">
        <f t="shared" si="96"/>
        <v>-</v>
      </c>
      <c r="D2664" s="4" t="str">
        <f>"21535493"</f>
        <v>21535493</v>
      </c>
      <c r="E2664" s="4" t="str">
        <f>"21535515"</f>
        <v>21535515</v>
      </c>
      <c r="F2664" s="4" t="s">
        <v>111</v>
      </c>
    </row>
    <row r="2665" spans="1:6" x14ac:dyDescent="0.25">
      <c r="A2665" s="4" t="str">
        <f>"Journal of Healthcare Engineering"</f>
        <v>Journal of Healthcare Engineering</v>
      </c>
      <c r="B2665" s="4" t="s">
        <v>6</v>
      </c>
      <c r="C2665" s="4" t="str">
        <f t="shared" si="96"/>
        <v>-</v>
      </c>
      <c r="D2665" s="4" t="str">
        <f>"20402295"</f>
        <v>20402295</v>
      </c>
      <c r="E2665" s="4" t="str">
        <f>"20402309"</f>
        <v>20402309</v>
      </c>
      <c r="F2665" s="4" t="s">
        <v>58</v>
      </c>
    </row>
    <row r="2666" spans="1:6" x14ac:dyDescent="0.25">
      <c r="A2666" s="4" t="str">
        <f>"Journal of Heat Transfer"</f>
        <v>Journal of Heat Transfer</v>
      </c>
      <c r="B2666" s="4" t="s">
        <v>6</v>
      </c>
      <c r="C2666" s="4" t="str">
        <f t="shared" si="96"/>
        <v>-</v>
      </c>
      <c r="D2666" s="4" t="str">
        <f>"00221481"</f>
        <v>00221481</v>
      </c>
      <c r="E2666" s="4" t="str">
        <f>"15288943"</f>
        <v>15288943</v>
      </c>
      <c r="F2666" s="4" t="s">
        <v>73</v>
      </c>
    </row>
    <row r="2667" spans="1:6" x14ac:dyDescent="0.25">
      <c r="A2667" s="4" t="str">
        <f>"Journal of Heuristics"</f>
        <v>Journal of Heuristics</v>
      </c>
      <c r="B2667" s="4" t="s">
        <v>6</v>
      </c>
      <c r="C2667" s="4" t="str">
        <f t="shared" si="96"/>
        <v>-</v>
      </c>
      <c r="D2667" s="4" t="str">
        <f>"13811231"</f>
        <v>13811231</v>
      </c>
      <c r="E2667" s="4" t="str">
        <f>"15729397"</f>
        <v>15729397</v>
      </c>
      <c r="F2667" s="4" t="s">
        <v>57</v>
      </c>
    </row>
    <row r="2668" spans="1:6" x14ac:dyDescent="0.25">
      <c r="A2668" s="4" t="str">
        <f>"Journal of High Speed Networks"</f>
        <v>Journal of High Speed Networks</v>
      </c>
      <c r="B2668" s="4" t="s">
        <v>6</v>
      </c>
      <c r="C2668" s="4" t="str">
        <f t="shared" si="96"/>
        <v>-</v>
      </c>
      <c r="D2668" s="4" t="str">
        <f>"09266801"</f>
        <v>09266801</v>
      </c>
      <c r="E2668" s="4" t="str">
        <f>"-"</f>
        <v>-</v>
      </c>
      <c r="F2668" s="4" t="s">
        <v>103</v>
      </c>
    </row>
    <row r="2669" spans="1:6" x14ac:dyDescent="0.25">
      <c r="A2669" s="4" t="str">
        <f>"Journal of High Technology Management Research"</f>
        <v>Journal of High Technology Management Research</v>
      </c>
      <c r="B2669" s="4" t="s">
        <v>6</v>
      </c>
      <c r="C2669" s="4" t="str">
        <f t="shared" si="96"/>
        <v>-</v>
      </c>
      <c r="D2669" s="4" t="str">
        <f>"10478310"</f>
        <v>10478310</v>
      </c>
      <c r="E2669" s="4" t="str">
        <f>"-"</f>
        <v>-</v>
      </c>
      <c r="F2669" s="4" t="s">
        <v>19</v>
      </c>
    </row>
    <row r="2670" spans="1:6" x14ac:dyDescent="0.25">
      <c r="A2670" s="4" t="str">
        <f>"Journal of Horticultural Research"</f>
        <v>Journal of Horticultural Research</v>
      </c>
      <c r="B2670" s="4" t="s">
        <v>6</v>
      </c>
      <c r="C2670" s="4" t="str">
        <f t="shared" si="96"/>
        <v>-</v>
      </c>
      <c r="D2670" s="4" t="str">
        <f>"23005009"</f>
        <v>23005009</v>
      </c>
      <c r="E2670" s="4" t="str">
        <f>"23533978"</f>
        <v>23533978</v>
      </c>
      <c r="F2670" s="4" t="s">
        <v>704</v>
      </c>
    </row>
    <row r="2671" spans="1:6" x14ac:dyDescent="0.25">
      <c r="A2671" s="4" t="str">
        <f>"Journal of Hydraulic Engineering"</f>
        <v>Journal of Hydraulic Engineering</v>
      </c>
      <c r="B2671" s="4" t="s">
        <v>6</v>
      </c>
      <c r="C2671" s="4" t="str">
        <f t="shared" si="96"/>
        <v>-</v>
      </c>
      <c r="D2671" s="4" t="str">
        <f>"07339429"</f>
        <v>07339429</v>
      </c>
      <c r="E2671" s="4" t="str">
        <f>"19437900"</f>
        <v>19437900</v>
      </c>
      <c r="F2671" s="4" t="s">
        <v>111</v>
      </c>
    </row>
    <row r="2672" spans="1:6" x14ac:dyDescent="0.25">
      <c r="A2672" s="4" t="str">
        <f>"Journal of Hydraulic Research"</f>
        <v>Journal of Hydraulic Research</v>
      </c>
      <c r="B2672" s="4" t="s">
        <v>6</v>
      </c>
      <c r="C2672" s="4" t="str">
        <f t="shared" si="96"/>
        <v>-</v>
      </c>
      <c r="D2672" s="4" t="str">
        <f>"00221686"</f>
        <v>00221686</v>
      </c>
      <c r="E2672" s="4" t="str">
        <f>"-"</f>
        <v>-</v>
      </c>
      <c r="F2672" s="4" t="s">
        <v>60</v>
      </c>
    </row>
    <row r="2673" spans="1:6" x14ac:dyDescent="0.25">
      <c r="A2673" s="4" t="str">
        <f>"Journal of Hydrodynamics"</f>
        <v>Journal of Hydrodynamics</v>
      </c>
      <c r="B2673" s="4" t="s">
        <v>6</v>
      </c>
      <c r="C2673" s="4" t="str">
        <f t="shared" si="96"/>
        <v>-</v>
      </c>
      <c r="D2673" s="4" t="str">
        <f>"10016058"</f>
        <v>10016058</v>
      </c>
      <c r="E2673" s="4" t="str">
        <f>"-"</f>
        <v>-</v>
      </c>
      <c r="F2673" s="4" t="s">
        <v>705</v>
      </c>
    </row>
    <row r="2674" spans="1:6" x14ac:dyDescent="0.25">
      <c r="A2674" s="4" t="str">
        <f>"Journal of Hydro-Environment Research"</f>
        <v>Journal of Hydro-Environment Research</v>
      </c>
      <c r="B2674" s="4" t="s">
        <v>6</v>
      </c>
      <c r="C2674" s="4" t="str">
        <f t="shared" si="96"/>
        <v>-</v>
      </c>
      <c r="D2674" s="4" t="str">
        <f>"15706443"</f>
        <v>15706443</v>
      </c>
      <c r="E2674" s="4" t="str">
        <f>"-"</f>
        <v>-</v>
      </c>
      <c r="F2674" s="4" t="s">
        <v>55</v>
      </c>
    </row>
    <row r="2675" spans="1:6" x14ac:dyDescent="0.25">
      <c r="A2675" s="4" t="str">
        <f>"Journal of Hydrologic Engineering"</f>
        <v>Journal of Hydrologic Engineering</v>
      </c>
      <c r="B2675" s="4" t="s">
        <v>6</v>
      </c>
      <c r="C2675" s="4" t="str">
        <f t="shared" si="96"/>
        <v>-</v>
      </c>
      <c r="D2675" s="4" t="str">
        <f>"10840699"</f>
        <v>10840699</v>
      </c>
      <c r="E2675" s="4" t="str">
        <f>"-"</f>
        <v>-</v>
      </c>
      <c r="F2675" s="4" t="s">
        <v>111</v>
      </c>
    </row>
    <row r="2676" spans="1:6" x14ac:dyDescent="0.25">
      <c r="A2676" s="4" t="str">
        <f>"Journal of Hydrology"</f>
        <v>Journal of Hydrology</v>
      </c>
      <c r="B2676" s="4" t="s">
        <v>6</v>
      </c>
      <c r="C2676" s="4" t="str">
        <f t="shared" si="96"/>
        <v>-</v>
      </c>
      <c r="D2676" s="4" t="str">
        <f>"00221694"</f>
        <v>00221694</v>
      </c>
      <c r="E2676" s="4" t="str">
        <f>"-"</f>
        <v>-</v>
      </c>
      <c r="F2676" s="4" t="s">
        <v>55</v>
      </c>
    </row>
    <row r="2677" spans="1:6" x14ac:dyDescent="0.25">
      <c r="A2677" s="4" t="str">
        <f>"Journal of Hydrology and Hydromechanics"</f>
        <v>Journal of Hydrology and Hydromechanics</v>
      </c>
      <c r="B2677" s="4" t="s">
        <v>6</v>
      </c>
      <c r="C2677" s="4" t="str">
        <f t="shared" si="96"/>
        <v>-</v>
      </c>
      <c r="D2677" s="4" t="str">
        <f>"0042790X"</f>
        <v>0042790X</v>
      </c>
      <c r="E2677" s="4" t="str">
        <f>"13384333"</f>
        <v>13384333</v>
      </c>
      <c r="F2677" s="4" t="s">
        <v>149</v>
      </c>
    </row>
    <row r="2678" spans="1:6" x14ac:dyDescent="0.25">
      <c r="A2678" s="4" t="str">
        <f>"Journal of Imaging Science and Technology"</f>
        <v>Journal of Imaging Science and Technology</v>
      </c>
      <c r="B2678" s="4" t="s">
        <v>6</v>
      </c>
      <c r="C2678" s="4" t="str">
        <f t="shared" si="96"/>
        <v>-</v>
      </c>
      <c r="D2678" s="4" t="str">
        <f>"10623701"</f>
        <v>10623701</v>
      </c>
      <c r="E2678" s="4" t="str">
        <f>"19433522"</f>
        <v>19433522</v>
      </c>
      <c r="F2678" s="4" t="s">
        <v>415</v>
      </c>
    </row>
    <row r="2679" spans="1:6" x14ac:dyDescent="0.25">
      <c r="A2679" s="4" t="str">
        <f>"Journal of Industrial and Engineering Chemistry"</f>
        <v>Journal of Industrial and Engineering Chemistry</v>
      </c>
      <c r="B2679" s="4" t="s">
        <v>6</v>
      </c>
      <c r="C2679" s="4" t="str">
        <f t="shared" si="96"/>
        <v>-</v>
      </c>
      <c r="D2679" s="4" t="str">
        <f>"1226086X"</f>
        <v>1226086X</v>
      </c>
      <c r="E2679" s="4" t="str">
        <f>"22345957"</f>
        <v>22345957</v>
      </c>
      <c r="F2679" s="4" t="s">
        <v>706</v>
      </c>
    </row>
    <row r="2680" spans="1:6" x14ac:dyDescent="0.25">
      <c r="A2680" s="4" t="str">
        <f>"Journal of Industrial and Production Engineering"</f>
        <v>Journal of Industrial and Production Engineering</v>
      </c>
      <c r="B2680" s="4" t="s">
        <v>6</v>
      </c>
      <c r="C2680" s="4" t="str">
        <f t="shared" si="96"/>
        <v>-</v>
      </c>
      <c r="D2680" s="4" t="str">
        <f>"21681015"</f>
        <v>21681015</v>
      </c>
      <c r="E2680" s="4" t="str">
        <f>"21681023"</f>
        <v>21681023</v>
      </c>
      <c r="F2680" s="4" t="s">
        <v>60</v>
      </c>
    </row>
    <row r="2681" spans="1:6" x14ac:dyDescent="0.25">
      <c r="A2681" s="4" t="str">
        <f>"Journal of Industrial Ecology"</f>
        <v>Journal of Industrial Ecology</v>
      </c>
      <c r="B2681" s="4" t="s">
        <v>6</v>
      </c>
      <c r="C2681" s="4" t="str">
        <f t="shared" si="96"/>
        <v>-</v>
      </c>
      <c r="D2681" s="4" t="str">
        <f>"10881980"</f>
        <v>10881980</v>
      </c>
      <c r="E2681" s="4" t="str">
        <f>"15309290"</f>
        <v>15309290</v>
      </c>
      <c r="F2681" s="4" t="s">
        <v>707</v>
      </c>
    </row>
    <row r="2682" spans="1:6" x14ac:dyDescent="0.25">
      <c r="A2682" s="4" t="str">
        <f>"Journal of Industrial Textiles"</f>
        <v>Journal of Industrial Textiles</v>
      </c>
      <c r="B2682" s="4" t="s">
        <v>6</v>
      </c>
      <c r="C2682" s="4" t="str">
        <f t="shared" si="96"/>
        <v>-</v>
      </c>
      <c r="D2682" s="4" t="str">
        <f>"15280837"</f>
        <v>15280837</v>
      </c>
      <c r="E2682" s="4" t="str">
        <f>"15308057"</f>
        <v>15308057</v>
      </c>
      <c r="F2682" s="4" t="s">
        <v>212</v>
      </c>
    </row>
    <row r="2683" spans="1:6" x14ac:dyDescent="0.25">
      <c r="A2683" s="4" t="str">
        <f>"Journal of Information Display"</f>
        <v>Journal of Information Display</v>
      </c>
      <c r="B2683" s="4" t="s">
        <v>6</v>
      </c>
      <c r="C2683" s="4" t="str">
        <f t="shared" si="96"/>
        <v>-</v>
      </c>
      <c r="D2683" s="4" t="str">
        <f>"15980316"</f>
        <v>15980316</v>
      </c>
      <c r="E2683" s="4" t="str">
        <f>"21581606"</f>
        <v>21581606</v>
      </c>
      <c r="F2683" s="4" t="s">
        <v>60</v>
      </c>
    </row>
    <row r="2684" spans="1:6" x14ac:dyDescent="0.25">
      <c r="A2684" s="4" t="str">
        <f>"Journal of Information Hiding and Multimedia Signal Processing"</f>
        <v>Journal of Information Hiding and Multimedia Signal Processing</v>
      </c>
      <c r="B2684" s="4" t="s">
        <v>6</v>
      </c>
      <c r="C2684" s="4" t="str">
        <f t="shared" si="96"/>
        <v>-</v>
      </c>
      <c r="D2684" s="4" t="str">
        <f>"20734212"</f>
        <v>20734212</v>
      </c>
      <c r="E2684" s="4" t="str">
        <f>"20734239"</f>
        <v>20734239</v>
      </c>
      <c r="F2684" s="4" t="s">
        <v>708</v>
      </c>
    </row>
    <row r="2685" spans="1:6" x14ac:dyDescent="0.25">
      <c r="A2685" s="4" t="str">
        <f>"Journal of Information Processing Systems"</f>
        <v>Journal of Information Processing Systems</v>
      </c>
      <c r="B2685" s="4" t="s">
        <v>6</v>
      </c>
      <c r="C2685" s="4" t="str">
        <f t="shared" si="96"/>
        <v>-</v>
      </c>
      <c r="D2685" s="4" t="str">
        <f>"1976913X"</f>
        <v>1976913X</v>
      </c>
      <c r="E2685" s="4" t="str">
        <f>"2092805X"</f>
        <v>2092805X</v>
      </c>
      <c r="F2685" s="4" t="s">
        <v>709</v>
      </c>
    </row>
    <row r="2686" spans="1:6" x14ac:dyDescent="0.25">
      <c r="A2686" s="4" t="str">
        <f>"Journal of Information Science"</f>
        <v>Journal of Information Science</v>
      </c>
      <c r="B2686" s="4" t="s">
        <v>6</v>
      </c>
      <c r="C2686" s="4" t="str">
        <f t="shared" si="96"/>
        <v>-</v>
      </c>
      <c r="D2686" s="4" t="str">
        <f>"01655515"</f>
        <v>01655515</v>
      </c>
      <c r="E2686" s="4" t="str">
        <f>"17416485"</f>
        <v>17416485</v>
      </c>
      <c r="F2686" s="4" t="s">
        <v>212</v>
      </c>
    </row>
    <row r="2687" spans="1:6" x14ac:dyDescent="0.25">
      <c r="A2687" s="4" t="str">
        <f>"Journal of Information Science and Engineering"</f>
        <v>Journal of Information Science and Engineering</v>
      </c>
      <c r="B2687" s="4" t="s">
        <v>6</v>
      </c>
      <c r="C2687" s="4" t="str">
        <f t="shared" si="96"/>
        <v>-</v>
      </c>
      <c r="D2687" s="4" t="str">
        <f>"10162364"</f>
        <v>10162364</v>
      </c>
      <c r="E2687" s="4" t="str">
        <f>"-"</f>
        <v>-</v>
      </c>
      <c r="F2687" s="4" t="s">
        <v>710</v>
      </c>
    </row>
    <row r="2688" spans="1:6" x14ac:dyDescent="0.25">
      <c r="A2688" s="4" t="str">
        <f>"Journal of Information Security and Applications"</f>
        <v>Journal of Information Security and Applications</v>
      </c>
      <c r="B2688" s="4" t="s">
        <v>6</v>
      </c>
      <c r="C2688" s="4" t="str">
        <f t="shared" si="96"/>
        <v>-</v>
      </c>
      <c r="D2688" s="4" t="str">
        <f>"22142134"</f>
        <v>22142134</v>
      </c>
      <c r="E2688" s="4" t="str">
        <f>"22142126"</f>
        <v>22142126</v>
      </c>
      <c r="F2688" s="4" t="s">
        <v>19</v>
      </c>
    </row>
    <row r="2689" spans="1:6" x14ac:dyDescent="0.25">
      <c r="A2689" s="4" t="str">
        <f>"Journal of Information Systems Education"</f>
        <v>Journal of Information Systems Education</v>
      </c>
      <c r="B2689" s="4" t="s">
        <v>6</v>
      </c>
      <c r="C2689" s="4" t="str">
        <f t="shared" si="96"/>
        <v>-</v>
      </c>
      <c r="D2689" s="4" t="str">
        <f>"10553096"</f>
        <v>10553096</v>
      </c>
      <c r="E2689" s="4" t="str">
        <f>"-"</f>
        <v>-</v>
      </c>
      <c r="F2689" s="4" t="s">
        <v>711</v>
      </c>
    </row>
    <row r="2690" spans="1:6" x14ac:dyDescent="0.25">
      <c r="A2690" s="4" t="str">
        <f>"Journal of Information Technology"</f>
        <v>Journal of Information Technology</v>
      </c>
      <c r="B2690" s="4" t="s">
        <v>6</v>
      </c>
      <c r="C2690" s="4" t="str">
        <f t="shared" si="96"/>
        <v>-</v>
      </c>
      <c r="D2690" s="4" t="str">
        <f>"02683962"</f>
        <v>02683962</v>
      </c>
      <c r="E2690" s="4" t="str">
        <f>"14664437"</f>
        <v>14664437</v>
      </c>
      <c r="F2690" s="4" t="s">
        <v>397</v>
      </c>
    </row>
    <row r="2691" spans="1:6" x14ac:dyDescent="0.25">
      <c r="A2691" s="4" t="str">
        <f>"Journal of Information Technology Education: Discussion Cases"</f>
        <v>Journal of Information Technology Education: Discussion Cases</v>
      </c>
      <c r="B2691" s="4" t="s">
        <v>6</v>
      </c>
      <c r="C2691" s="4" t="str">
        <f t="shared" si="96"/>
        <v>-</v>
      </c>
      <c r="D2691" s="4" t="str">
        <f>"21661316"</f>
        <v>21661316</v>
      </c>
      <c r="E2691" s="4" t="str">
        <f>"21661324"</f>
        <v>21661324</v>
      </c>
      <c r="F2691" s="4" t="s">
        <v>546</v>
      </c>
    </row>
    <row r="2692" spans="1:6" x14ac:dyDescent="0.25">
      <c r="A2692" s="4" t="str">
        <f>"Journal of Information Technology Education: Innovations in Practice"</f>
        <v>Journal of Information Technology Education: Innovations in Practice</v>
      </c>
      <c r="B2692" s="4" t="s">
        <v>6</v>
      </c>
      <c r="C2692" s="4" t="str">
        <f t="shared" si="96"/>
        <v>-</v>
      </c>
      <c r="D2692" s="4" t="str">
        <f>"21653151"</f>
        <v>21653151</v>
      </c>
      <c r="E2692" s="4" t="str">
        <f>"2165316X"</f>
        <v>2165316X</v>
      </c>
      <c r="F2692" s="4" t="s">
        <v>546</v>
      </c>
    </row>
    <row r="2693" spans="1:6" x14ac:dyDescent="0.25">
      <c r="A2693" s="4" t="str">
        <f>"Journal of Information Technology Education: Research"</f>
        <v>Journal of Information Technology Education: Research</v>
      </c>
      <c r="B2693" s="4" t="s">
        <v>6</v>
      </c>
      <c r="C2693" s="4" t="str">
        <f t="shared" si="96"/>
        <v>-</v>
      </c>
      <c r="E2693" s="4" t="str">
        <f>"15393585"</f>
        <v>15393585</v>
      </c>
      <c r="F2693" s="4" t="s">
        <v>546</v>
      </c>
    </row>
    <row r="2694" spans="1:6" x14ac:dyDescent="0.25">
      <c r="A2694" s="4" t="str">
        <f>"Journal of Information Technology in Construction"</f>
        <v>Journal of Information Technology in Construction</v>
      </c>
      <c r="B2694" s="4" t="s">
        <v>6</v>
      </c>
      <c r="C2694" s="4" t="str">
        <f t="shared" si="96"/>
        <v>-</v>
      </c>
      <c r="D2694" s="4" t="str">
        <f>"14036835"</f>
        <v>14036835</v>
      </c>
      <c r="E2694" s="4" t="str">
        <f>"14006529"</f>
        <v>14006529</v>
      </c>
      <c r="F2694" s="4" t="s">
        <v>712</v>
      </c>
    </row>
    <row r="2695" spans="1:6" x14ac:dyDescent="0.25">
      <c r="A2695" s="4" t="str">
        <f>"Journal of Information Technology Research"</f>
        <v>Journal of Information Technology Research</v>
      </c>
      <c r="B2695" s="4" t="s">
        <v>6</v>
      </c>
      <c r="C2695" s="4" t="str">
        <f t="shared" si="96"/>
        <v>-</v>
      </c>
      <c r="D2695" s="4" t="str">
        <f>"19387857"</f>
        <v>19387857</v>
      </c>
      <c r="E2695" s="4" t="str">
        <f>"19387865"</f>
        <v>19387865</v>
      </c>
      <c r="F2695" s="4" t="s">
        <v>537</v>
      </c>
    </row>
    <row r="2696" spans="1:6" x14ac:dyDescent="0.25">
      <c r="A2696" s="4" t="str">
        <f>"Journal of Informetrics"</f>
        <v>Journal of Informetrics</v>
      </c>
      <c r="B2696" s="4" t="s">
        <v>6</v>
      </c>
      <c r="C2696" s="4" t="str">
        <f t="shared" si="96"/>
        <v>-</v>
      </c>
      <c r="D2696" s="4" t="str">
        <f>"17511577"</f>
        <v>17511577</v>
      </c>
      <c r="E2696" s="4" t="str">
        <f>"18755879"</f>
        <v>18755879</v>
      </c>
      <c r="F2696" s="4" t="s">
        <v>19</v>
      </c>
    </row>
    <row r="2697" spans="1:6" x14ac:dyDescent="0.25">
      <c r="A2697" s="4" t="str">
        <f>"Journal of Infrared, Millimeter, and Terahertz Waves"</f>
        <v>Journal of Infrared, Millimeter, and Terahertz Waves</v>
      </c>
      <c r="B2697" s="4" t="s">
        <v>6</v>
      </c>
      <c r="C2697" s="4" t="str">
        <f t="shared" si="96"/>
        <v>-</v>
      </c>
      <c r="D2697" s="4" t="str">
        <f>"18666892"</f>
        <v>18666892</v>
      </c>
      <c r="E2697" s="4" t="str">
        <f>"18666906"</f>
        <v>18666906</v>
      </c>
      <c r="F2697" s="4" t="s">
        <v>57</v>
      </c>
    </row>
    <row r="2698" spans="1:6" x14ac:dyDescent="0.25">
      <c r="A2698" s="4" t="str">
        <f>"Journal of Infrastructure Systems"</f>
        <v>Journal of Infrastructure Systems</v>
      </c>
      <c r="B2698" s="4" t="s">
        <v>6</v>
      </c>
      <c r="C2698" s="4" t="str">
        <f t="shared" si="96"/>
        <v>-</v>
      </c>
      <c r="D2698" s="4" t="str">
        <f>"10760342"</f>
        <v>10760342</v>
      </c>
      <c r="E2698" s="4" t="str">
        <f>"-"</f>
        <v>-</v>
      </c>
      <c r="F2698" s="4" t="s">
        <v>111</v>
      </c>
    </row>
    <row r="2699" spans="1:6" x14ac:dyDescent="0.25">
      <c r="A2699" s="4" t="str">
        <f>"Journal of Innovative Optical Health Sciences"</f>
        <v>Journal of Innovative Optical Health Sciences</v>
      </c>
      <c r="B2699" s="4" t="s">
        <v>6</v>
      </c>
      <c r="C2699" s="4" t="str">
        <f t="shared" si="96"/>
        <v>-</v>
      </c>
      <c r="D2699" s="4" t="str">
        <f>"17935458"</f>
        <v>17935458</v>
      </c>
      <c r="E2699" s="4" t="str">
        <f>"17937205"</f>
        <v>17937205</v>
      </c>
      <c r="F2699" s="4" t="s">
        <v>157</v>
      </c>
    </row>
    <row r="2700" spans="1:6" x14ac:dyDescent="0.25">
      <c r="A2700" s="4" t="str">
        <f>"Journal of Inorganic and Organometallic Polymers and Materials"</f>
        <v>Journal of Inorganic and Organometallic Polymers and Materials</v>
      </c>
      <c r="B2700" s="4" t="s">
        <v>6</v>
      </c>
      <c r="C2700" s="4" t="str">
        <f t="shared" si="96"/>
        <v>-</v>
      </c>
      <c r="D2700" s="4" t="str">
        <f>"15741443"</f>
        <v>15741443</v>
      </c>
      <c r="E2700" s="4" t="str">
        <f>"15741451"</f>
        <v>15741451</v>
      </c>
      <c r="F2700" s="4" t="s">
        <v>57</v>
      </c>
    </row>
    <row r="2701" spans="1:6" x14ac:dyDescent="0.25">
      <c r="A2701" s="4" t="str">
        <f>"Journal of Insect Biotechnology and Sericology"</f>
        <v>Journal of Insect Biotechnology and Sericology</v>
      </c>
      <c r="B2701" s="4" t="s">
        <v>6</v>
      </c>
      <c r="C2701" s="4" t="str">
        <f t="shared" si="96"/>
        <v>-</v>
      </c>
      <c r="D2701" s="4" t="str">
        <f>"13468073"</f>
        <v>13468073</v>
      </c>
      <c r="E2701" s="4" t="str">
        <f>"18847978"</f>
        <v>18847978</v>
      </c>
      <c r="F2701" s="4" t="s">
        <v>713</v>
      </c>
    </row>
    <row r="2702" spans="1:6" x14ac:dyDescent="0.25">
      <c r="A2702" s="4" t="str">
        <f>"Journal of Institute of Control, Robotics and Systems"</f>
        <v>Journal of Institute of Control, Robotics and Systems</v>
      </c>
      <c r="B2702" s="4" t="s">
        <v>6</v>
      </c>
      <c r="C2702" s="4" t="str">
        <f t="shared" si="96"/>
        <v>-</v>
      </c>
      <c r="D2702" s="4" t="str">
        <f>"19765622"</f>
        <v>19765622</v>
      </c>
      <c r="E2702" s="4" t="str">
        <f>"-"</f>
        <v>-</v>
      </c>
      <c r="F2702" s="4" t="s">
        <v>573</v>
      </c>
    </row>
    <row r="2703" spans="1:6" x14ac:dyDescent="0.25">
      <c r="A2703" s="4" t="str">
        <f>"Journal of Instrumentation"</f>
        <v>Journal of Instrumentation</v>
      </c>
      <c r="B2703" s="4" t="s">
        <v>6</v>
      </c>
      <c r="C2703" s="4" t="str">
        <f t="shared" si="96"/>
        <v>-</v>
      </c>
      <c r="D2703" s="4" t="str">
        <f>"-"</f>
        <v>-</v>
      </c>
      <c r="E2703" s="4" t="str">
        <f>"17480221"</f>
        <v>17480221</v>
      </c>
      <c r="F2703" s="4" t="s">
        <v>184</v>
      </c>
    </row>
    <row r="2704" spans="1:6" x14ac:dyDescent="0.25">
      <c r="A2704" s="4" t="str">
        <f>"Journal of Integrated Design and Process Science"</f>
        <v>Journal of Integrated Design and Process Science</v>
      </c>
      <c r="B2704" s="4" t="s">
        <v>6</v>
      </c>
      <c r="C2704" s="4" t="str">
        <f t="shared" si="96"/>
        <v>-</v>
      </c>
      <c r="D2704" s="4" t="str">
        <f>"10920617"</f>
        <v>10920617</v>
      </c>
      <c r="E2704" s="4" t="str">
        <f>"-"</f>
        <v>-</v>
      </c>
      <c r="F2704" s="4" t="s">
        <v>103</v>
      </c>
    </row>
    <row r="2705" spans="1:6" x14ac:dyDescent="0.25">
      <c r="A2705" s="4" t="str">
        <f>"Journal of Intelligent and Fuzzy Systems"</f>
        <v>Journal of Intelligent and Fuzzy Systems</v>
      </c>
      <c r="B2705" s="4" t="s">
        <v>6</v>
      </c>
      <c r="C2705" s="4" t="str">
        <f t="shared" si="96"/>
        <v>-</v>
      </c>
      <c r="D2705" s="4" t="str">
        <f>"10641246"</f>
        <v>10641246</v>
      </c>
      <c r="E2705" s="4" t="str">
        <f>"18758967"</f>
        <v>18758967</v>
      </c>
      <c r="F2705" s="4" t="s">
        <v>103</v>
      </c>
    </row>
    <row r="2706" spans="1:6" x14ac:dyDescent="0.25">
      <c r="A2706" s="4" t="str">
        <f>"Journal of Intelligent and Robotic Systems: Theory and Applications"</f>
        <v>Journal of Intelligent and Robotic Systems: Theory and Applications</v>
      </c>
      <c r="B2706" s="4" t="s">
        <v>6</v>
      </c>
      <c r="C2706" s="4" t="str">
        <f t="shared" si="96"/>
        <v>-</v>
      </c>
      <c r="D2706" s="4" t="str">
        <f>"09210296"</f>
        <v>09210296</v>
      </c>
      <c r="E2706" s="4" t="str">
        <f>"15730409"</f>
        <v>15730409</v>
      </c>
      <c r="F2706" s="4" t="s">
        <v>31</v>
      </c>
    </row>
    <row r="2707" spans="1:6" x14ac:dyDescent="0.25">
      <c r="A2707" s="4" t="str">
        <f>"Journal of Intelligent Information Systems"</f>
        <v>Journal of Intelligent Information Systems</v>
      </c>
      <c r="B2707" s="4" t="s">
        <v>6</v>
      </c>
      <c r="C2707" s="4" t="str">
        <f t="shared" ref="C2707:C2716" si="97">"-"</f>
        <v>-</v>
      </c>
      <c r="D2707" s="4" t="str">
        <f>"09259902"</f>
        <v>09259902</v>
      </c>
      <c r="E2707" s="4" t="str">
        <f>"15737675"</f>
        <v>15737675</v>
      </c>
      <c r="F2707" s="4" t="s">
        <v>57</v>
      </c>
    </row>
    <row r="2708" spans="1:6" x14ac:dyDescent="0.25">
      <c r="A2708" s="4" t="str">
        <f>"Journal of Intelligent Manufacturing"</f>
        <v>Journal of Intelligent Manufacturing</v>
      </c>
      <c r="B2708" s="4" t="s">
        <v>6</v>
      </c>
      <c r="C2708" s="4" t="str">
        <f t="shared" si="97"/>
        <v>-</v>
      </c>
      <c r="D2708" s="4" t="str">
        <f>"09565515"</f>
        <v>09565515</v>
      </c>
      <c r="E2708" s="4" t="str">
        <f>"15728145"</f>
        <v>15728145</v>
      </c>
      <c r="F2708" s="4" t="s">
        <v>57</v>
      </c>
    </row>
    <row r="2709" spans="1:6" x14ac:dyDescent="0.25">
      <c r="A2709" s="4" t="str">
        <f>"Journal of Intelligent Material Systems and Structures"</f>
        <v>Journal of Intelligent Material Systems and Structures</v>
      </c>
      <c r="B2709" s="4" t="s">
        <v>6</v>
      </c>
      <c r="C2709" s="4" t="str">
        <f t="shared" si="97"/>
        <v>-</v>
      </c>
      <c r="D2709" s="4" t="str">
        <f>"1045389X"</f>
        <v>1045389X</v>
      </c>
      <c r="E2709" s="4" t="str">
        <f>"15308138"</f>
        <v>15308138</v>
      </c>
      <c r="F2709" s="4" t="s">
        <v>212</v>
      </c>
    </row>
    <row r="2710" spans="1:6" x14ac:dyDescent="0.25">
      <c r="A2710" s="4" t="str">
        <f>"Journal of Intelligent Systems"</f>
        <v>Journal of Intelligent Systems</v>
      </c>
      <c r="B2710" s="4" t="s">
        <v>6</v>
      </c>
      <c r="C2710" s="4" t="str">
        <f t="shared" si="97"/>
        <v>-</v>
      </c>
      <c r="D2710" s="4" t="str">
        <f>"03341860"</f>
        <v>03341860</v>
      </c>
      <c r="E2710" s="4" t="str">
        <f>"-"</f>
        <v>-</v>
      </c>
      <c r="F2710" s="4" t="s">
        <v>189</v>
      </c>
    </row>
    <row r="2711" spans="1:6" x14ac:dyDescent="0.25">
      <c r="A2711" s="4" t="str">
        <f>"Journal of Intelligent Transportation Systems: Technology, Planning, and Operations"</f>
        <v>Journal of Intelligent Transportation Systems: Technology, Planning, and Operations</v>
      </c>
      <c r="B2711" s="4" t="s">
        <v>6</v>
      </c>
      <c r="C2711" s="4" t="str">
        <f t="shared" si="97"/>
        <v>-</v>
      </c>
      <c r="D2711" s="4" t="str">
        <f>"15472450"</f>
        <v>15472450</v>
      </c>
      <c r="E2711" s="4" t="str">
        <f>"15472442"</f>
        <v>15472442</v>
      </c>
      <c r="F2711" s="4" t="s">
        <v>96</v>
      </c>
    </row>
    <row r="2712" spans="1:6" x14ac:dyDescent="0.25">
      <c r="A2712" s="4" t="str">
        <f>"Journal of Interconnection Networks"</f>
        <v>Journal of Interconnection Networks</v>
      </c>
      <c r="B2712" s="4" t="s">
        <v>6</v>
      </c>
      <c r="C2712" s="4" t="str">
        <f t="shared" si="97"/>
        <v>-</v>
      </c>
      <c r="D2712" s="4" t="str">
        <f>"21922659"</f>
        <v>21922659</v>
      </c>
      <c r="E2712" s="4" t="str">
        <f>"-"</f>
        <v>-</v>
      </c>
      <c r="F2712" s="4" t="s">
        <v>157</v>
      </c>
    </row>
    <row r="2713" spans="1:6" x14ac:dyDescent="0.25">
      <c r="A2713" s="4" t="str">
        <f>"Journal of Interdisciplinary Mathematics"</f>
        <v>Journal of Interdisciplinary Mathematics</v>
      </c>
      <c r="B2713" s="4" t="s">
        <v>6</v>
      </c>
      <c r="C2713" s="4" t="str">
        <f t="shared" si="97"/>
        <v>-</v>
      </c>
      <c r="D2713" s="4" t="str">
        <f>"09720502"</f>
        <v>09720502</v>
      </c>
      <c r="E2713" s="4" t="str">
        <f>"-"</f>
        <v>-</v>
      </c>
      <c r="F2713" s="4" t="s">
        <v>692</v>
      </c>
    </row>
    <row r="2714" spans="1:6" x14ac:dyDescent="0.25">
      <c r="A2714" s="4" t="str">
        <f>"Journal of Internet Services and Applications"</f>
        <v>Journal of Internet Services and Applications</v>
      </c>
      <c r="B2714" s="4" t="s">
        <v>6</v>
      </c>
      <c r="C2714" s="4" t="str">
        <f t="shared" si="97"/>
        <v>-</v>
      </c>
      <c r="D2714" s="4" t="str">
        <f>"18674828"</f>
        <v>18674828</v>
      </c>
      <c r="E2714" s="4" t="str">
        <f>"18690238"</f>
        <v>18690238</v>
      </c>
      <c r="F2714" s="4" t="s">
        <v>62</v>
      </c>
    </row>
    <row r="2715" spans="1:6" x14ac:dyDescent="0.25">
      <c r="A2715" s="4" t="str">
        <f>"Journal of Internet Technology"</f>
        <v>Journal of Internet Technology</v>
      </c>
      <c r="B2715" s="4" t="s">
        <v>6</v>
      </c>
      <c r="C2715" s="4" t="str">
        <f t="shared" si="97"/>
        <v>-</v>
      </c>
      <c r="D2715" s="4" t="str">
        <f>"16079264"</f>
        <v>16079264</v>
      </c>
      <c r="E2715" s="4" t="str">
        <f>"20794029"</f>
        <v>20794029</v>
      </c>
      <c r="F2715" s="4" t="s">
        <v>714</v>
      </c>
    </row>
    <row r="2716" spans="1:6" x14ac:dyDescent="0.25">
      <c r="A2716" s="4" t="str">
        <f>"Journal of Inverse and Ill-Posed Problems"</f>
        <v>Journal of Inverse and Ill-Posed Problems</v>
      </c>
      <c r="B2716" s="4" t="s">
        <v>6</v>
      </c>
      <c r="C2716" s="4" t="str">
        <f t="shared" si="97"/>
        <v>-</v>
      </c>
      <c r="D2716" s="4" t="str">
        <f>"09280219"</f>
        <v>09280219</v>
      </c>
      <c r="E2716" s="4" t="str">
        <f>"-"</f>
        <v>-</v>
      </c>
      <c r="F2716" s="4" t="s">
        <v>189</v>
      </c>
    </row>
    <row r="2717" spans="1:6" x14ac:dyDescent="0.25">
      <c r="A2717" s="4" t="s">
        <v>715</v>
      </c>
      <c r="B2717" s="4" t="s">
        <v>6</v>
      </c>
      <c r="D2717" s="4" t="s">
        <v>716</v>
      </c>
      <c r="F2717" s="4" t="s">
        <v>717</v>
      </c>
    </row>
    <row r="2718" spans="1:6" x14ac:dyDescent="0.25">
      <c r="A2718" s="4" t="str">
        <f>"Journal of Irrigation and Drainage Engineering"</f>
        <v>Journal of Irrigation and Drainage Engineering</v>
      </c>
      <c r="B2718" s="4" t="s">
        <v>6</v>
      </c>
      <c r="C2718" s="4" t="str">
        <f>"-"</f>
        <v>-</v>
      </c>
      <c r="D2718" s="4" t="str">
        <f>"07339437"</f>
        <v>07339437</v>
      </c>
      <c r="E2718" s="4" t="str">
        <f>"-"</f>
        <v>-</v>
      </c>
      <c r="F2718" s="4" t="s">
        <v>111</v>
      </c>
    </row>
    <row r="2719" spans="1:6" x14ac:dyDescent="0.25">
      <c r="A2719" s="4" t="str">
        <f>"Journal of Japan Industrial Management Association"</f>
        <v>Journal of Japan Industrial Management Association</v>
      </c>
      <c r="B2719" s="4" t="s">
        <v>6</v>
      </c>
      <c r="C2719" s="4" t="str">
        <f>"-"</f>
        <v>-</v>
      </c>
      <c r="D2719" s="4" t="str">
        <f>"13422618"</f>
        <v>13422618</v>
      </c>
      <c r="E2719" s="4" t="str">
        <f>"-"</f>
        <v>-</v>
      </c>
      <c r="F2719" s="4" t="s">
        <v>718</v>
      </c>
    </row>
    <row r="2720" spans="1:6" x14ac:dyDescent="0.25">
      <c r="A2720" s="4" t="str">
        <f>"Journal of Japan Institute of Electronics Packaging"</f>
        <v>Journal of Japan Institute of Electronics Packaging</v>
      </c>
      <c r="B2720" s="4" t="s">
        <v>6</v>
      </c>
      <c r="C2720" s="4" t="str">
        <f>"-"</f>
        <v>-</v>
      </c>
      <c r="D2720" s="4" t="str">
        <f>"13439677"</f>
        <v>13439677</v>
      </c>
      <c r="E2720" s="4" t="str">
        <f>"1884121X"</f>
        <v>1884121X</v>
      </c>
      <c r="F2720" s="4" t="s">
        <v>719</v>
      </c>
    </row>
    <row r="2721" spans="1:6" x14ac:dyDescent="0.25">
      <c r="A2721" s="4" t="str">
        <f>"Journal of Korean Institute of Metals and Materials"</f>
        <v>Journal of Korean Institute of Metals and Materials</v>
      </c>
      <c r="B2721" s="4" t="s">
        <v>6</v>
      </c>
      <c r="C2721" s="4" t="str">
        <f>"-"</f>
        <v>-</v>
      </c>
      <c r="D2721" s="4" t="str">
        <f>"17388228"</f>
        <v>17388228</v>
      </c>
      <c r="E2721" s="4" t="str">
        <f>"-"</f>
        <v>-</v>
      </c>
      <c r="F2721" s="4" t="s">
        <v>720</v>
      </c>
    </row>
    <row r="2722" spans="1:6" x14ac:dyDescent="0.25">
      <c r="A2722" s="4" t="str">
        <f>"Journal of Laboratory Automation"</f>
        <v>Journal of Laboratory Automation</v>
      </c>
      <c r="B2722" s="4" t="s">
        <v>6</v>
      </c>
      <c r="C2722" s="4" t="str">
        <f>"-"</f>
        <v>-</v>
      </c>
      <c r="D2722" s="4" t="str">
        <f>"22110682"</f>
        <v>22110682</v>
      </c>
      <c r="E2722" s="4" t="str">
        <f>"22110690"</f>
        <v>22110690</v>
      </c>
      <c r="F2722" s="4" t="s">
        <v>50</v>
      </c>
    </row>
    <row r="2723" spans="1:6" x14ac:dyDescent="0.25">
      <c r="A2723" s="4" t="s">
        <v>721</v>
      </c>
      <c r="B2723" s="4" t="s">
        <v>6</v>
      </c>
      <c r="D2723" s="4" t="s">
        <v>722</v>
      </c>
      <c r="F2723" s="4" t="s">
        <v>37</v>
      </c>
    </row>
    <row r="2724" spans="1:6" x14ac:dyDescent="0.25">
      <c r="A2724" s="4" t="str">
        <f>"Journal of Laser Applications"</f>
        <v>Journal of Laser Applications</v>
      </c>
      <c r="B2724" s="4" t="s">
        <v>6</v>
      </c>
      <c r="C2724" s="4" t="str">
        <f t="shared" ref="C2724:C2787" si="98">"-"</f>
        <v>-</v>
      </c>
      <c r="D2724" s="4" t="str">
        <f>"1042346X"</f>
        <v>1042346X</v>
      </c>
      <c r="E2724" s="4" t="str">
        <f>"-"</f>
        <v>-</v>
      </c>
      <c r="F2724" s="4" t="s">
        <v>723</v>
      </c>
    </row>
    <row r="2725" spans="1:6" x14ac:dyDescent="0.25">
      <c r="A2725" s="4" t="str">
        <f>"Journal of Laser Micro Nanoengineering"</f>
        <v>Journal of Laser Micro Nanoengineering</v>
      </c>
      <c r="B2725" s="4" t="s">
        <v>6</v>
      </c>
      <c r="C2725" s="4" t="str">
        <f t="shared" si="98"/>
        <v>-</v>
      </c>
      <c r="D2725" s="4" t="str">
        <f>"-"</f>
        <v>-</v>
      </c>
      <c r="E2725" s="4" t="str">
        <f>"18800688"</f>
        <v>18800688</v>
      </c>
      <c r="F2725" s="4" t="s">
        <v>724</v>
      </c>
    </row>
    <row r="2726" spans="1:6" x14ac:dyDescent="0.25">
      <c r="A2726" s="4" t="str">
        <f>"Journal of Light and Visual Environment"</f>
        <v>Journal of Light and Visual Environment</v>
      </c>
      <c r="B2726" s="4" t="s">
        <v>6</v>
      </c>
      <c r="C2726" s="4" t="str">
        <f t="shared" si="98"/>
        <v>-</v>
      </c>
      <c r="D2726" s="4" t="str">
        <f>"03878805"</f>
        <v>03878805</v>
      </c>
      <c r="E2726" s="4" t="str">
        <f>"13498398"</f>
        <v>13498398</v>
      </c>
      <c r="F2726" s="4" t="s">
        <v>725</v>
      </c>
    </row>
    <row r="2727" spans="1:6" x14ac:dyDescent="0.25">
      <c r="A2727" s="4" t="str">
        <f>"Journal of Lightwave Technology"</f>
        <v>Journal of Lightwave Technology</v>
      </c>
      <c r="B2727" s="4" t="s">
        <v>6</v>
      </c>
      <c r="C2727" s="4" t="str">
        <f t="shared" si="98"/>
        <v>-</v>
      </c>
      <c r="D2727" s="4" t="str">
        <f>"07338724"</f>
        <v>07338724</v>
      </c>
      <c r="E2727" s="4" t="str">
        <f>"-"</f>
        <v>-</v>
      </c>
      <c r="F2727" s="4" t="s">
        <v>105</v>
      </c>
    </row>
    <row r="2728" spans="1:6" x14ac:dyDescent="0.25">
      <c r="A2728" s="4" t="str">
        <f>"Journal of Liquid Chromatography and Related Technologies"</f>
        <v>Journal of Liquid Chromatography and Related Technologies</v>
      </c>
      <c r="B2728" s="4" t="s">
        <v>6</v>
      </c>
      <c r="C2728" s="4" t="str">
        <f t="shared" si="98"/>
        <v>-</v>
      </c>
      <c r="D2728" s="4" t="str">
        <f>"10826076"</f>
        <v>10826076</v>
      </c>
      <c r="E2728" s="4" t="str">
        <f>"1520572X"</f>
        <v>1520572X</v>
      </c>
      <c r="F2728" s="4" t="s">
        <v>96</v>
      </c>
    </row>
    <row r="2729" spans="1:6" x14ac:dyDescent="0.25">
      <c r="A2729" s="4" t="str">
        <f>"Journal of Location Based Services"</f>
        <v>Journal of Location Based Services</v>
      </c>
      <c r="B2729" s="4" t="s">
        <v>6</v>
      </c>
      <c r="C2729" s="4" t="str">
        <f t="shared" si="98"/>
        <v>-</v>
      </c>
      <c r="D2729" s="4" t="str">
        <f>"17489725"</f>
        <v>17489725</v>
      </c>
      <c r="E2729" s="4" t="str">
        <f>"17489733"</f>
        <v>17489733</v>
      </c>
      <c r="F2729" s="4" t="s">
        <v>60</v>
      </c>
    </row>
    <row r="2730" spans="1:6" x14ac:dyDescent="0.25">
      <c r="A2730" s="4" t="str">
        <f>"Journal of Logic and Computation"</f>
        <v>Journal of Logic and Computation</v>
      </c>
      <c r="B2730" s="4" t="s">
        <v>6</v>
      </c>
      <c r="C2730" s="4" t="str">
        <f t="shared" si="98"/>
        <v>-</v>
      </c>
      <c r="D2730" s="4" t="str">
        <f>"0955792X"</f>
        <v>0955792X</v>
      </c>
      <c r="E2730" s="4" t="str">
        <f>"1465363X"</f>
        <v>1465363X</v>
      </c>
      <c r="F2730" s="4" t="s">
        <v>126</v>
      </c>
    </row>
    <row r="2731" spans="1:6" x14ac:dyDescent="0.25">
      <c r="A2731" s="4" t="str">
        <f>"Journal of Logical and Algebraic Methods in Programming"</f>
        <v>Journal of Logical and Algebraic Methods in Programming</v>
      </c>
      <c r="B2731" s="4" t="s">
        <v>6</v>
      </c>
      <c r="C2731" s="4" t="str">
        <f t="shared" si="98"/>
        <v>-</v>
      </c>
      <c r="D2731" s="4" t="str">
        <f>"-"</f>
        <v>-</v>
      </c>
      <c r="E2731" s="4" t="str">
        <f>"23522216"</f>
        <v>23522216</v>
      </c>
      <c r="F2731" s="4" t="s">
        <v>141</v>
      </c>
    </row>
    <row r="2732" spans="1:6" x14ac:dyDescent="0.25">
      <c r="A2732" s="4" t="str">
        <f>"Journal of Long-Term Effects of Medical Implants"</f>
        <v>Journal of Long-Term Effects of Medical Implants</v>
      </c>
      <c r="B2732" s="4" t="s">
        <v>6</v>
      </c>
      <c r="C2732" s="4" t="str">
        <f t="shared" si="98"/>
        <v>-</v>
      </c>
      <c r="D2732" s="4" t="str">
        <f>"10506934"</f>
        <v>10506934</v>
      </c>
      <c r="E2732" s="4" t="str">
        <f>"19404379 "</f>
        <v xml:space="preserve">19404379 </v>
      </c>
      <c r="F2732" s="4" t="s">
        <v>69</v>
      </c>
    </row>
    <row r="2733" spans="1:6" x14ac:dyDescent="0.25">
      <c r="A2733" s="4" t="str">
        <f>"Journal of Loss Prevention in the Process Industries"</f>
        <v>Journal of Loss Prevention in the Process Industries</v>
      </c>
      <c r="B2733" s="4" t="s">
        <v>6</v>
      </c>
      <c r="C2733" s="4" t="str">
        <f t="shared" si="98"/>
        <v>-</v>
      </c>
      <c r="D2733" s="4" t="str">
        <f>"09504230"</f>
        <v>09504230</v>
      </c>
      <c r="E2733" s="4" t="str">
        <f>"-"</f>
        <v>-</v>
      </c>
      <c r="F2733" s="4" t="s">
        <v>19</v>
      </c>
    </row>
    <row r="2734" spans="1:6" x14ac:dyDescent="0.25">
      <c r="A2734" s="4" t="str">
        <f>"Journal of Low Frequency Noise Vibration and Active Control"</f>
        <v>Journal of Low Frequency Noise Vibration and Active Control</v>
      </c>
      <c r="B2734" s="4" t="s">
        <v>6</v>
      </c>
      <c r="C2734" s="4" t="str">
        <f t="shared" si="98"/>
        <v>-</v>
      </c>
      <c r="D2734" s="4" t="str">
        <f>"02630923"</f>
        <v>02630923</v>
      </c>
      <c r="E2734" s="4" t="str">
        <f>"-"</f>
        <v>-</v>
      </c>
      <c r="F2734" s="4" t="s">
        <v>58</v>
      </c>
    </row>
    <row r="2735" spans="1:6" x14ac:dyDescent="0.25">
      <c r="A2735" s="4" t="str">
        <f>"Journal of Low Power Electronics"</f>
        <v>Journal of Low Power Electronics</v>
      </c>
      <c r="B2735" s="4" t="s">
        <v>6</v>
      </c>
      <c r="C2735" s="4" t="str">
        <f t="shared" si="98"/>
        <v>-</v>
      </c>
      <c r="D2735" s="4" t="str">
        <f>"15461998"</f>
        <v>15461998</v>
      </c>
      <c r="E2735" s="4" t="str">
        <f>"15462005"</f>
        <v>15462005</v>
      </c>
      <c r="F2735" s="4" t="s">
        <v>654</v>
      </c>
    </row>
    <row r="2736" spans="1:6" x14ac:dyDescent="0.25">
      <c r="A2736" s="4" t="str">
        <f>"Journal of Low Temperature Physics"</f>
        <v>Journal of Low Temperature Physics</v>
      </c>
      <c r="B2736" s="4" t="s">
        <v>6</v>
      </c>
      <c r="C2736" s="4" t="str">
        <f t="shared" si="98"/>
        <v>-</v>
      </c>
      <c r="D2736" s="4" t="str">
        <f>"00222291"</f>
        <v>00222291</v>
      </c>
      <c r="E2736" s="4" t="str">
        <f>"15737357"</f>
        <v>15737357</v>
      </c>
      <c r="F2736" s="4" t="s">
        <v>57</v>
      </c>
    </row>
    <row r="2737" spans="1:6" x14ac:dyDescent="0.25">
      <c r="A2737" s="4" t="str">
        <f>"Journal of Luminescence"</f>
        <v>Journal of Luminescence</v>
      </c>
      <c r="B2737" s="4" t="s">
        <v>6</v>
      </c>
      <c r="C2737" s="4" t="str">
        <f t="shared" si="98"/>
        <v>-</v>
      </c>
      <c r="D2737" s="4" t="str">
        <f>"00222313"</f>
        <v>00222313</v>
      </c>
      <c r="E2737" s="4" t="str">
        <f>"-"</f>
        <v>-</v>
      </c>
      <c r="F2737" s="4" t="s">
        <v>55</v>
      </c>
    </row>
    <row r="2738" spans="1:6" x14ac:dyDescent="0.25">
      <c r="A2738" s="4" t="str">
        <f>"Journal of Machine Learning Research"</f>
        <v>Journal of Machine Learning Research</v>
      </c>
      <c r="B2738" s="4" t="s">
        <v>6</v>
      </c>
      <c r="C2738" s="4" t="str">
        <f t="shared" si="98"/>
        <v>-</v>
      </c>
      <c r="D2738" s="4" t="str">
        <f>"15324435"</f>
        <v>15324435</v>
      </c>
      <c r="E2738" s="4" t="str">
        <f>"15337928"</f>
        <v>15337928</v>
      </c>
      <c r="F2738" s="4" t="s">
        <v>726</v>
      </c>
    </row>
    <row r="2739" spans="1:6" x14ac:dyDescent="0.25">
      <c r="A2739" s="4" t="str">
        <f>"Journal of Machinery Manufacture and Reliability"</f>
        <v>Journal of Machinery Manufacture and Reliability</v>
      </c>
      <c r="B2739" s="4" t="s">
        <v>6</v>
      </c>
      <c r="C2739" s="4" t="str">
        <f t="shared" si="98"/>
        <v>-</v>
      </c>
      <c r="D2739" s="4" t="str">
        <f>"10526188"</f>
        <v>10526188</v>
      </c>
      <c r="E2739" s="4" t="str">
        <f>"19349394"</f>
        <v>19349394</v>
      </c>
      <c r="F2739" s="4" t="s">
        <v>145</v>
      </c>
    </row>
    <row r="2740" spans="1:6" x14ac:dyDescent="0.25">
      <c r="A2740" s="4" t="str">
        <f>"Journal of Macromolecular Science, Part A: Pure and Applied Chemistry"</f>
        <v>Journal of Macromolecular Science, Part A: Pure and Applied Chemistry</v>
      </c>
      <c r="B2740" s="4" t="s">
        <v>6</v>
      </c>
      <c r="C2740" s="4" t="str">
        <f t="shared" si="98"/>
        <v>-</v>
      </c>
      <c r="D2740" s="4" t="str">
        <f>"10601325"</f>
        <v>10601325</v>
      </c>
      <c r="E2740" s="4" t="str">
        <f>"15205738"</f>
        <v>15205738</v>
      </c>
      <c r="F2740" s="4" t="s">
        <v>96</v>
      </c>
    </row>
    <row r="2741" spans="1:6" x14ac:dyDescent="0.25">
      <c r="A2741" s="4" t="str">
        <f>"Journal of Macromolecular Science, Part B: Physics"</f>
        <v>Journal of Macromolecular Science, Part B: Physics</v>
      </c>
      <c r="B2741" s="4" t="s">
        <v>6</v>
      </c>
      <c r="C2741" s="4" t="str">
        <f t="shared" si="98"/>
        <v>-</v>
      </c>
      <c r="D2741" s="4" t="str">
        <f>"00222348"</f>
        <v>00222348</v>
      </c>
      <c r="E2741" s="4" t="str">
        <f>"1525609X"</f>
        <v>1525609X</v>
      </c>
      <c r="F2741" s="4" t="s">
        <v>96</v>
      </c>
    </row>
    <row r="2742" spans="1:6" x14ac:dyDescent="0.25">
      <c r="A2742" s="4" t="str">
        <f>"Journal of Magnetic Resonance"</f>
        <v>Journal of Magnetic Resonance</v>
      </c>
      <c r="B2742" s="4" t="s">
        <v>6</v>
      </c>
      <c r="C2742" s="4" t="str">
        <f t="shared" si="98"/>
        <v>-</v>
      </c>
      <c r="D2742" s="4" t="str">
        <f>"10907807"</f>
        <v>10907807</v>
      </c>
      <c r="E2742" s="4" t="str">
        <f>"10960856"</f>
        <v>10960856</v>
      </c>
      <c r="F2742" s="4" t="s">
        <v>71</v>
      </c>
    </row>
    <row r="2743" spans="1:6" x14ac:dyDescent="0.25">
      <c r="A2743" s="4" t="str">
        <f>"Journal of Magnetism and Magnetic Materials"</f>
        <v>Journal of Magnetism and Magnetic Materials</v>
      </c>
      <c r="B2743" s="4" t="s">
        <v>6</v>
      </c>
      <c r="C2743" s="4" t="str">
        <f t="shared" si="98"/>
        <v>-</v>
      </c>
      <c r="D2743" s="4" t="str">
        <f>"03048853"</f>
        <v>03048853</v>
      </c>
      <c r="E2743" s="4" t="str">
        <f>"-"</f>
        <v>-</v>
      </c>
      <c r="F2743" s="4" t="s">
        <v>55</v>
      </c>
    </row>
    <row r="2744" spans="1:6" x14ac:dyDescent="0.25">
      <c r="A2744" s="4" t="str">
        <f>"Journal of Management in Engineering"</f>
        <v>Journal of Management in Engineering</v>
      </c>
      <c r="B2744" s="4" t="s">
        <v>6</v>
      </c>
      <c r="C2744" s="4" t="str">
        <f t="shared" si="98"/>
        <v>-</v>
      </c>
      <c r="D2744" s="4" t="str">
        <f>"0742597X"</f>
        <v>0742597X</v>
      </c>
      <c r="E2744" s="4" t="str">
        <f>"-"</f>
        <v>-</v>
      </c>
      <c r="F2744" s="4" t="s">
        <v>111</v>
      </c>
    </row>
    <row r="2745" spans="1:6" x14ac:dyDescent="0.25">
      <c r="A2745" s="4" t="str">
        <f>"Journal of Management Information Systems"</f>
        <v>Journal of Management Information Systems</v>
      </c>
      <c r="B2745" s="4" t="s">
        <v>6</v>
      </c>
      <c r="C2745" s="4" t="str">
        <f t="shared" si="98"/>
        <v>-</v>
      </c>
      <c r="D2745" s="4" t="str">
        <f>"07421222"</f>
        <v>07421222</v>
      </c>
      <c r="E2745" s="4" t="str">
        <f>"1557928X "</f>
        <v xml:space="preserve">1557928X </v>
      </c>
      <c r="F2745" s="4" t="s">
        <v>211</v>
      </c>
    </row>
    <row r="2746" spans="1:6" x14ac:dyDescent="0.25">
      <c r="A2746" s="4" t="str">
        <f>"Journal of Manufacturing Processes"</f>
        <v>Journal of Manufacturing Processes</v>
      </c>
      <c r="B2746" s="4" t="s">
        <v>6</v>
      </c>
      <c r="C2746" s="4" t="str">
        <f t="shared" si="98"/>
        <v>-</v>
      </c>
      <c r="D2746" s="4" t="str">
        <f>"15266125"</f>
        <v>15266125</v>
      </c>
      <c r="E2746" s="4" t="str">
        <f>"-"</f>
        <v>-</v>
      </c>
      <c r="F2746" s="4" t="s">
        <v>19</v>
      </c>
    </row>
    <row r="2747" spans="1:6" x14ac:dyDescent="0.25">
      <c r="A2747" s="4" t="str">
        <f>"Journal of Manufacturing Science and Engineering, Transactions of the ASME"</f>
        <v>Journal of Manufacturing Science and Engineering, Transactions of the ASME</v>
      </c>
      <c r="B2747" s="4" t="s">
        <v>6</v>
      </c>
      <c r="C2747" s="4" t="str">
        <f t="shared" si="98"/>
        <v>-</v>
      </c>
      <c r="D2747" s="4" t="str">
        <f>"10871357"</f>
        <v>10871357</v>
      </c>
      <c r="E2747" s="4" t="str">
        <f>"15288935"</f>
        <v>15288935</v>
      </c>
      <c r="F2747" s="4" t="s">
        <v>73</v>
      </c>
    </row>
    <row r="2748" spans="1:6" x14ac:dyDescent="0.25">
      <c r="A2748" s="4" t="str">
        <f>"Journal of Manufacturing Systems"</f>
        <v>Journal of Manufacturing Systems</v>
      </c>
      <c r="B2748" s="4" t="s">
        <v>6</v>
      </c>
      <c r="C2748" s="4" t="str">
        <f t="shared" si="98"/>
        <v>-</v>
      </c>
      <c r="D2748" s="4" t="str">
        <f>"02786125"</f>
        <v>02786125</v>
      </c>
      <c r="E2748" s="4" t="str">
        <f>"-"</f>
        <v>-</v>
      </c>
      <c r="F2748" s="4" t="s">
        <v>55</v>
      </c>
    </row>
    <row r="2749" spans="1:6" x14ac:dyDescent="0.25">
      <c r="A2749" s="4" t="str">
        <f>"Journal of Manufacturing Technology Management"</f>
        <v>Journal of Manufacturing Technology Management</v>
      </c>
      <c r="B2749" s="4" t="s">
        <v>6</v>
      </c>
      <c r="C2749" s="4" t="str">
        <f t="shared" si="98"/>
        <v>-</v>
      </c>
      <c r="D2749" s="4" t="str">
        <f>"1741038X"</f>
        <v>1741038X</v>
      </c>
      <c r="E2749" s="4" t="str">
        <f>"-"</f>
        <v>-</v>
      </c>
      <c r="F2749" s="4" t="s">
        <v>110</v>
      </c>
    </row>
    <row r="2750" spans="1:6" x14ac:dyDescent="0.25">
      <c r="A2750" s="4" t="str">
        <f>"Journal of Marine Environmental Engineering"</f>
        <v>Journal of Marine Environmental Engineering</v>
      </c>
      <c r="B2750" s="4" t="s">
        <v>6</v>
      </c>
      <c r="C2750" s="4" t="str">
        <f t="shared" si="98"/>
        <v>-</v>
      </c>
      <c r="D2750" s="4" t="str">
        <f>"1061026X"</f>
        <v>1061026X</v>
      </c>
      <c r="E2750" s="4" t="str">
        <f>"10290427"</f>
        <v>10290427</v>
      </c>
      <c r="F2750" s="4" t="s">
        <v>485</v>
      </c>
    </row>
    <row r="2751" spans="1:6" x14ac:dyDescent="0.25">
      <c r="A2751" s="4" t="str">
        <f>"Journal of Marine Science and Technology (Japan)"</f>
        <v>Journal of Marine Science and Technology (Japan)</v>
      </c>
      <c r="B2751" s="4" t="s">
        <v>6</v>
      </c>
      <c r="C2751" s="4" t="str">
        <f t="shared" si="98"/>
        <v>-</v>
      </c>
      <c r="D2751" s="4" t="str">
        <f>"09484280"</f>
        <v>09484280</v>
      </c>
      <c r="E2751" s="4" t="str">
        <f>"-"</f>
        <v>-</v>
      </c>
      <c r="F2751" s="4" t="s">
        <v>127</v>
      </c>
    </row>
    <row r="2752" spans="1:6" x14ac:dyDescent="0.25">
      <c r="A2752" s="4" t="str">
        <f>"Journal of Marine Science and Technology (Taiwan)"</f>
        <v>Journal of Marine Science and Technology (Taiwan)</v>
      </c>
      <c r="B2752" s="4" t="s">
        <v>6</v>
      </c>
      <c r="C2752" s="4" t="str">
        <f t="shared" si="98"/>
        <v>-</v>
      </c>
      <c r="D2752" s="4" t="str">
        <f>"10232796"</f>
        <v>10232796</v>
      </c>
      <c r="E2752" s="4" t="str">
        <f>"-"</f>
        <v>-</v>
      </c>
      <c r="F2752" s="4" t="s">
        <v>727</v>
      </c>
    </row>
    <row r="2753" spans="1:6" x14ac:dyDescent="0.25">
      <c r="A2753" s="4" t="str">
        <f>"Journal of Marine Systems"</f>
        <v>Journal of Marine Systems</v>
      </c>
      <c r="B2753" s="4" t="s">
        <v>6</v>
      </c>
      <c r="C2753" s="4" t="str">
        <f t="shared" si="98"/>
        <v>-</v>
      </c>
      <c r="D2753" s="4" t="str">
        <f>"09247963"</f>
        <v>09247963</v>
      </c>
      <c r="E2753" s="4" t="str">
        <f>"-"</f>
        <v>-</v>
      </c>
      <c r="F2753" s="4" t="s">
        <v>55</v>
      </c>
    </row>
    <row r="2754" spans="1:6" x14ac:dyDescent="0.25">
      <c r="A2754" s="4" t="str">
        <f>"Journal of Mass Spectrometry"</f>
        <v>Journal of Mass Spectrometry</v>
      </c>
      <c r="B2754" s="4" t="s">
        <v>6</v>
      </c>
      <c r="C2754" s="4" t="str">
        <f t="shared" si="98"/>
        <v>-</v>
      </c>
      <c r="D2754" s="4" t="str">
        <f>"10765174"</f>
        <v>10765174</v>
      </c>
      <c r="E2754" s="4" t="str">
        <f>"10969888"</f>
        <v>10969888</v>
      </c>
      <c r="F2754" s="4" t="s">
        <v>142</v>
      </c>
    </row>
    <row r="2755" spans="1:6" x14ac:dyDescent="0.25">
      <c r="A2755" s="4" t="str">
        <f>"Journal of Materials Chemistry A"</f>
        <v>Journal of Materials Chemistry A</v>
      </c>
      <c r="B2755" s="4" t="s">
        <v>6</v>
      </c>
      <c r="C2755" s="4" t="str">
        <f t="shared" si="98"/>
        <v>-</v>
      </c>
      <c r="D2755" s="4" t="str">
        <f>"20507488"</f>
        <v>20507488</v>
      </c>
      <c r="E2755" s="4" t="str">
        <f>"20507496"</f>
        <v>20507496</v>
      </c>
      <c r="F2755" s="4" t="s">
        <v>121</v>
      </c>
    </row>
    <row r="2756" spans="1:6" x14ac:dyDescent="0.25">
      <c r="A2756" s="4" t="str">
        <f>"Journal of Materials Chemistry B"</f>
        <v>Journal of Materials Chemistry B</v>
      </c>
      <c r="B2756" s="4" t="s">
        <v>6</v>
      </c>
      <c r="C2756" s="4" t="str">
        <f t="shared" si="98"/>
        <v>-</v>
      </c>
      <c r="D2756" s="4" t="str">
        <f>"20507518"</f>
        <v>20507518</v>
      </c>
      <c r="E2756" s="4" t="str">
        <f>"2050750X"</f>
        <v>2050750X</v>
      </c>
      <c r="F2756" s="4" t="s">
        <v>121</v>
      </c>
    </row>
    <row r="2757" spans="1:6" x14ac:dyDescent="0.25">
      <c r="A2757" s="4" t="str">
        <f>"Journal of Materials Chemistry C"</f>
        <v>Journal of Materials Chemistry C</v>
      </c>
      <c r="B2757" s="4" t="s">
        <v>6</v>
      </c>
      <c r="C2757" s="4" t="str">
        <f t="shared" si="98"/>
        <v>-</v>
      </c>
      <c r="D2757" s="4" t="str">
        <f>"20507534"</f>
        <v>20507534</v>
      </c>
      <c r="E2757" s="4" t="str">
        <f>"20507526"</f>
        <v>20507526</v>
      </c>
      <c r="F2757" s="4" t="s">
        <v>121</v>
      </c>
    </row>
    <row r="2758" spans="1:6" x14ac:dyDescent="0.25">
      <c r="A2758" s="4" t="str">
        <f>"Journal of Materials Engineering and Performance"</f>
        <v>Journal of Materials Engineering and Performance</v>
      </c>
      <c r="B2758" s="4" t="s">
        <v>6</v>
      </c>
      <c r="C2758" s="4" t="str">
        <f t="shared" si="98"/>
        <v>-</v>
      </c>
      <c r="D2758" s="4" t="str">
        <f>"10599495"</f>
        <v>10599495</v>
      </c>
      <c r="E2758" s="4" t="str">
        <f>"15441024"</f>
        <v>15441024</v>
      </c>
      <c r="F2758" s="4" t="s">
        <v>57</v>
      </c>
    </row>
    <row r="2759" spans="1:6" x14ac:dyDescent="0.25">
      <c r="A2759" s="4" t="str">
        <f>"Journal of Materials in Civil Engineering"</f>
        <v>Journal of Materials in Civil Engineering</v>
      </c>
      <c r="B2759" s="4" t="s">
        <v>6</v>
      </c>
      <c r="C2759" s="4" t="str">
        <f t="shared" si="98"/>
        <v>-</v>
      </c>
      <c r="D2759" s="4" t="str">
        <f>"08991561"</f>
        <v>08991561</v>
      </c>
      <c r="E2759" s="4" t="str">
        <f>"-"</f>
        <v>-</v>
      </c>
      <c r="F2759" s="4" t="s">
        <v>111</v>
      </c>
    </row>
    <row r="2760" spans="1:6" x14ac:dyDescent="0.25">
      <c r="A2760" s="4" t="str">
        <f>"Journal of Materials Processing Technology"</f>
        <v>Journal of Materials Processing Technology</v>
      </c>
      <c r="B2760" s="4" t="s">
        <v>6</v>
      </c>
      <c r="C2760" s="4" t="str">
        <f t="shared" si="98"/>
        <v>-</v>
      </c>
      <c r="D2760" s="4" t="str">
        <f>"09240136"</f>
        <v>09240136</v>
      </c>
      <c r="E2760" s="4" t="str">
        <f>"-"</f>
        <v>-</v>
      </c>
      <c r="F2760" s="4" t="s">
        <v>19</v>
      </c>
    </row>
    <row r="2761" spans="1:6" x14ac:dyDescent="0.25">
      <c r="A2761" s="4" t="str">
        <f>"Journal of Materials Research"</f>
        <v>Journal of Materials Research</v>
      </c>
      <c r="B2761" s="4" t="s">
        <v>6</v>
      </c>
      <c r="C2761" s="4" t="str">
        <f t="shared" si="98"/>
        <v>-</v>
      </c>
      <c r="D2761" s="4" t="str">
        <f>"08842914"</f>
        <v>08842914</v>
      </c>
      <c r="E2761" s="4" t="str">
        <f>"20445326"</f>
        <v>20445326</v>
      </c>
      <c r="F2761" s="4" t="s">
        <v>152</v>
      </c>
    </row>
    <row r="2762" spans="1:6" x14ac:dyDescent="0.25">
      <c r="A2762" s="4" t="str">
        <f>"Journal of Materials Research and Technology"</f>
        <v>Journal of Materials Research and Technology</v>
      </c>
      <c r="B2762" s="4" t="s">
        <v>6</v>
      </c>
      <c r="C2762" s="4" t="str">
        <f t="shared" si="98"/>
        <v>-</v>
      </c>
      <c r="D2762" s="4" t="str">
        <f>"22387854"</f>
        <v>22387854</v>
      </c>
      <c r="E2762" s="4" t="str">
        <f>"-"</f>
        <v>-</v>
      </c>
      <c r="F2762" s="4" t="s">
        <v>728</v>
      </c>
    </row>
    <row r="2763" spans="1:6" x14ac:dyDescent="0.25">
      <c r="A2763" s="4" t="str">
        <f>"Journal of Materials Science"</f>
        <v>Journal of Materials Science</v>
      </c>
      <c r="B2763" s="4" t="s">
        <v>6</v>
      </c>
      <c r="C2763" s="4" t="str">
        <f t="shared" si="98"/>
        <v>-</v>
      </c>
      <c r="D2763" s="4" t="str">
        <f>"00222461"</f>
        <v>00222461</v>
      </c>
      <c r="E2763" s="4" t="str">
        <f>"15734803"</f>
        <v>15734803</v>
      </c>
      <c r="F2763" s="4" t="s">
        <v>57</v>
      </c>
    </row>
    <row r="2764" spans="1:6" x14ac:dyDescent="0.25">
      <c r="A2764" s="4" t="str">
        <f>"Journal of Materials Science and Technology"</f>
        <v>Journal of Materials Science and Technology</v>
      </c>
      <c r="B2764" s="4" t="s">
        <v>6</v>
      </c>
      <c r="C2764" s="4" t="str">
        <f t="shared" si="98"/>
        <v>-</v>
      </c>
      <c r="D2764" s="4" t="str">
        <f>"10050302"</f>
        <v>10050302</v>
      </c>
      <c r="E2764" s="4" t="str">
        <f>"-"</f>
        <v>-</v>
      </c>
      <c r="F2764" s="4" t="s">
        <v>729</v>
      </c>
    </row>
    <row r="2765" spans="1:6" x14ac:dyDescent="0.25">
      <c r="A2765" s="4" t="str">
        <f>"Journal of Materials Science: Materials in Electronics"</f>
        <v>Journal of Materials Science: Materials in Electronics</v>
      </c>
      <c r="B2765" s="4" t="s">
        <v>6</v>
      </c>
      <c r="C2765" s="4" t="str">
        <f t="shared" si="98"/>
        <v>-</v>
      </c>
      <c r="D2765" s="4" t="str">
        <f>"09574522"</f>
        <v>09574522</v>
      </c>
      <c r="E2765" s="4" t="str">
        <f>"1573482X"</f>
        <v>1573482X</v>
      </c>
      <c r="F2765" s="4" t="s">
        <v>57</v>
      </c>
    </row>
    <row r="2766" spans="1:6" x14ac:dyDescent="0.25">
      <c r="A2766" s="4" t="str">
        <f>"Journal of Materials Science: Materials in Medicine"</f>
        <v>Journal of Materials Science: Materials in Medicine</v>
      </c>
      <c r="B2766" s="4" t="s">
        <v>6</v>
      </c>
      <c r="C2766" s="4" t="str">
        <f t="shared" si="98"/>
        <v>-</v>
      </c>
      <c r="D2766" s="4" t="str">
        <f>"09574530"</f>
        <v>09574530</v>
      </c>
      <c r="E2766" s="4" t="str">
        <f>"15734838"</f>
        <v>15734838</v>
      </c>
      <c r="F2766" s="4" t="s">
        <v>57</v>
      </c>
    </row>
    <row r="2767" spans="1:6" x14ac:dyDescent="0.25">
      <c r="A2767" s="4" t="str">
        <f>"Journal of Mathematical Fluid Mechanics"</f>
        <v>Journal of Mathematical Fluid Mechanics</v>
      </c>
      <c r="B2767" s="4" t="s">
        <v>6</v>
      </c>
      <c r="C2767" s="4" t="str">
        <f t="shared" si="98"/>
        <v>-</v>
      </c>
      <c r="D2767" s="4" t="str">
        <f>"14226928"</f>
        <v>14226928</v>
      </c>
      <c r="E2767" s="4" t="str">
        <f>"14226952"</f>
        <v>14226952</v>
      </c>
      <c r="F2767" s="4" t="s">
        <v>730</v>
      </c>
    </row>
    <row r="2768" spans="1:6" x14ac:dyDescent="0.25">
      <c r="A2768" s="4" t="str">
        <f>"Journal of Mathematical Imaging and Vision"</f>
        <v>Journal of Mathematical Imaging and Vision</v>
      </c>
      <c r="B2768" s="4" t="s">
        <v>6</v>
      </c>
      <c r="C2768" s="4" t="str">
        <f t="shared" si="98"/>
        <v>-</v>
      </c>
      <c r="D2768" s="4" t="str">
        <f>"09249907"</f>
        <v>09249907</v>
      </c>
      <c r="E2768" s="4" t="str">
        <f>"15737683"</f>
        <v>15737683</v>
      </c>
      <c r="F2768" s="4" t="s">
        <v>57</v>
      </c>
    </row>
    <row r="2769" spans="1:6" x14ac:dyDescent="0.25">
      <c r="A2769" s="4" t="str">
        <f>"Journal of Mathematics in Industry"</f>
        <v>Journal of Mathematics in Industry</v>
      </c>
      <c r="B2769" s="4" t="s">
        <v>6</v>
      </c>
      <c r="C2769" s="4" t="str">
        <f t="shared" si="98"/>
        <v>-</v>
      </c>
      <c r="D2769" s="4" t="str">
        <f>"-"</f>
        <v>-</v>
      </c>
      <c r="E2769" s="4" t="str">
        <f>"21905983"</f>
        <v>21905983</v>
      </c>
      <c r="F2769" s="4" t="s">
        <v>42</v>
      </c>
    </row>
    <row r="2770" spans="1:6" x14ac:dyDescent="0.25">
      <c r="A2770" s="4" t="str">
        <f>"Journal of Mechanical Design, Transactions of the ASME"</f>
        <v>Journal of Mechanical Design, Transactions of the ASME</v>
      </c>
      <c r="B2770" s="4" t="s">
        <v>6</v>
      </c>
      <c r="C2770" s="4" t="str">
        <f t="shared" si="98"/>
        <v>-</v>
      </c>
      <c r="D2770" s="4" t="str">
        <f>"10500472"</f>
        <v>10500472</v>
      </c>
      <c r="E2770" s="4" t="str">
        <f>"-"</f>
        <v>-</v>
      </c>
      <c r="F2770" s="4" t="s">
        <v>73</v>
      </c>
    </row>
    <row r="2771" spans="1:6" x14ac:dyDescent="0.25">
      <c r="A2771" s="4" t="str">
        <f>"Journal of Mechanical Engineering Research and Developments"</f>
        <v>Journal of Mechanical Engineering Research and Developments</v>
      </c>
      <c r="B2771" s="4" t="s">
        <v>6</v>
      </c>
      <c r="C2771" s="4" t="str">
        <f t="shared" si="98"/>
        <v>-</v>
      </c>
      <c r="D2771" s="4" t="str">
        <f>"10241752"</f>
        <v>10241752</v>
      </c>
      <c r="E2771" s="4" t="str">
        <f>"-"</f>
        <v>-</v>
      </c>
      <c r="F2771" s="4" t="s">
        <v>731</v>
      </c>
    </row>
    <row r="2772" spans="1:6" x14ac:dyDescent="0.25">
      <c r="A2772" s="4" t="str">
        <f>"Journal of Mechanical Science and Technology"</f>
        <v>Journal of Mechanical Science and Technology</v>
      </c>
      <c r="B2772" s="4" t="s">
        <v>6</v>
      </c>
      <c r="C2772" s="4" t="str">
        <f t="shared" si="98"/>
        <v>-</v>
      </c>
      <c r="D2772" s="4" t="str">
        <f>"1738494X"</f>
        <v>1738494X</v>
      </c>
      <c r="E2772" s="4" t="str">
        <f>"-"</f>
        <v>-</v>
      </c>
      <c r="F2772" s="4" t="s">
        <v>732</v>
      </c>
    </row>
    <row r="2773" spans="1:6" x14ac:dyDescent="0.25">
      <c r="A2773" s="4" t="str">
        <f>"Journal of Mechanics"</f>
        <v>Journal of Mechanics</v>
      </c>
      <c r="B2773" s="4" t="s">
        <v>6</v>
      </c>
      <c r="C2773" s="4" t="str">
        <f t="shared" si="98"/>
        <v>-</v>
      </c>
      <c r="D2773" s="4" t="str">
        <f>"17277191"</f>
        <v>17277191</v>
      </c>
      <c r="E2773" s="4" t="str">
        <f>"18118216"</f>
        <v>18118216</v>
      </c>
      <c r="F2773" s="4" t="s">
        <v>152</v>
      </c>
    </row>
    <row r="2774" spans="1:6" x14ac:dyDescent="0.25">
      <c r="A2774" s="4" t="str">
        <f>"Journal of Mechanics in Medicine and Biology"</f>
        <v>Journal of Mechanics in Medicine and Biology</v>
      </c>
      <c r="B2774" s="4" t="s">
        <v>6</v>
      </c>
      <c r="C2774" s="4" t="str">
        <f t="shared" si="98"/>
        <v>-</v>
      </c>
      <c r="D2774" s="4" t="str">
        <f>"02195194"</f>
        <v>02195194</v>
      </c>
      <c r="E2774" s="4" t="str">
        <f>"-"</f>
        <v>-</v>
      </c>
      <c r="F2774" s="4" t="s">
        <v>157</v>
      </c>
    </row>
    <row r="2775" spans="1:6" x14ac:dyDescent="0.25">
      <c r="A2775" s="4" t="str">
        <f>"Journal of Mechanics of Materials and Structures"</f>
        <v>Journal of Mechanics of Materials and Structures</v>
      </c>
      <c r="B2775" s="4" t="s">
        <v>6</v>
      </c>
      <c r="C2775" s="4" t="str">
        <f t="shared" si="98"/>
        <v>-</v>
      </c>
      <c r="D2775" s="4" t="str">
        <f>"15593959"</f>
        <v>15593959</v>
      </c>
      <c r="E2775" s="4" t="str">
        <f>"-"</f>
        <v>-</v>
      </c>
      <c r="F2775" s="4" t="s">
        <v>733</v>
      </c>
    </row>
    <row r="2776" spans="1:6" x14ac:dyDescent="0.25">
      <c r="A2776" s="4" t="str">
        <f>"Journal of Mechanisms and Robotics"</f>
        <v>Journal of Mechanisms and Robotics</v>
      </c>
      <c r="B2776" s="4" t="s">
        <v>6</v>
      </c>
      <c r="C2776" s="4" t="str">
        <f t="shared" si="98"/>
        <v>-</v>
      </c>
      <c r="D2776" s="4" t="str">
        <f>"19424302"</f>
        <v>19424302</v>
      </c>
      <c r="E2776" s="4" t="str">
        <f>"19424310"</f>
        <v>19424310</v>
      </c>
      <c r="F2776" s="4" t="s">
        <v>73</v>
      </c>
    </row>
    <row r="2777" spans="1:6" x14ac:dyDescent="0.25">
      <c r="A2777" s="4" t="str">
        <f>"Journal of Medical and Biological Engineering"</f>
        <v>Journal of Medical and Biological Engineering</v>
      </c>
      <c r="B2777" s="4" t="s">
        <v>6</v>
      </c>
      <c r="C2777" s="4" t="str">
        <f t="shared" si="98"/>
        <v>-</v>
      </c>
      <c r="D2777" s="4" t="str">
        <f>"16090985"</f>
        <v>16090985</v>
      </c>
      <c r="E2777" s="4" t="str">
        <f>"21994757"</f>
        <v>21994757</v>
      </c>
      <c r="F2777" s="4" t="s">
        <v>582</v>
      </c>
    </row>
    <row r="2778" spans="1:6" x14ac:dyDescent="0.25">
      <c r="A2778" s="4" t="str">
        <f>"Journal of Medical Devices, Transactions of the ASME"</f>
        <v>Journal of Medical Devices, Transactions of the ASME</v>
      </c>
      <c r="B2778" s="4" t="s">
        <v>6</v>
      </c>
      <c r="C2778" s="4" t="str">
        <f t="shared" si="98"/>
        <v>-</v>
      </c>
      <c r="D2778" s="4" t="str">
        <f>"19326181"</f>
        <v>19326181</v>
      </c>
      <c r="E2778" s="4" t="str">
        <f>"1932619X"</f>
        <v>1932619X</v>
      </c>
      <c r="F2778" s="4" t="s">
        <v>73</v>
      </c>
    </row>
    <row r="2779" spans="1:6" x14ac:dyDescent="0.25">
      <c r="A2779" s="4" t="str">
        <f>"Journal of Medical Engineering and Technology"</f>
        <v>Journal of Medical Engineering and Technology</v>
      </c>
      <c r="B2779" s="4" t="s">
        <v>6</v>
      </c>
      <c r="C2779" s="4" t="str">
        <f t="shared" si="98"/>
        <v>-</v>
      </c>
      <c r="D2779" s="4" t="str">
        <f>"03091902"</f>
        <v>03091902</v>
      </c>
      <c r="E2779" s="4" t="str">
        <f>"1464522X"</f>
        <v>1464522X</v>
      </c>
      <c r="F2779" s="4" t="s">
        <v>12</v>
      </c>
    </row>
    <row r="2780" spans="1:6" x14ac:dyDescent="0.25">
      <c r="A2780" s="4" t="str">
        <f>"Journal of Membrane Science"</f>
        <v>Journal of Membrane Science</v>
      </c>
      <c r="B2780" s="4" t="s">
        <v>6</v>
      </c>
      <c r="C2780" s="4" t="str">
        <f t="shared" si="98"/>
        <v>-</v>
      </c>
      <c r="D2780" s="4" t="str">
        <f>"03767388"</f>
        <v>03767388</v>
      </c>
      <c r="E2780" s="4" t="str">
        <f>"18733123"</f>
        <v>18733123</v>
      </c>
      <c r="F2780" s="4" t="s">
        <v>55</v>
      </c>
    </row>
    <row r="2781" spans="1:6" x14ac:dyDescent="0.25">
      <c r="A2781" s="4" t="str">
        <f>"Journal of Metamorphic Geology"</f>
        <v>Journal of Metamorphic Geology</v>
      </c>
      <c r="B2781" s="4" t="s">
        <v>6</v>
      </c>
      <c r="C2781" s="4" t="str">
        <f t="shared" si="98"/>
        <v>-</v>
      </c>
      <c r="D2781" s="4" t="str">
        <f>"02634929"</f>
        <v>02634929</v>
      </c>
      <c r="E2781" s="4" t="str">
        <f>"15251314"</f>
        <v>15251314</v>
      </c>
      <c r="F2781" s="4" t="s">
        <v>291</v>
      </c>
    </row>
    <row r="2782" spans="1:6" x14ac:dyDescent="0.25">
      <c r="A2782" s="4" t="str">
        <f>"Journal of Micro and Nano-Manufacturing"</f>
        <v>Journal of Micro and Nano-Manufacturing</v>
      </c>
      <c r="B2782" s="4" t="s">
        <v>6</v>
      </c>
      <c r="C2782" s="4" t="str">
        <f t="shared" si="98"/>
        <v>-</v>
      </c>
      <c r="D2782" s="4" t="str">
        <f>"21660468"</f>
        <v>21660468</v>
      </c>
      <c r="E2782" s="4" t="str">
        <f>"21660476"</f>
        <v>21660476</v>
      </c>
      <c r="F2782" s="4" t="s">
        <v>73</v>
      </c>
    </row>
    <row r="2783" spans="1:6" x14ac:dyDescent="0.25">
      <c r="A2783" s="4" t="str">
        <f>"Journal of Micro/ Nanolithography, MEMS, and MOEMS"</f>
        <v>Journal of Micro/ Nanolithography, MEMS, and MOEMS</v>
      </c>
      <c r="B2783" s="4" t="s">
        <v>6</v>
      </c>
      <c r="C2783" s="4" t="str">
        <f t="shared" si="98"/>
        <v>-</v>
      </c>
      <c r="D2783" s="4" t="str">
        <f>"19325150"</f>
        <v>19325150</v>
      </c>
      <c r="E2783" s="4" t="str">
        <f>"19325134"</f>
        <v>19325134</v>
      </c>
      <c r="F2783" s="4" t="s">
        <v>663</v>
      </c>
    </row>
    <row r="2784" spans="1:6" x14ac:dyDescent="0.25">
      <c r="A2784" s="4" t="str">
        <f>"Journal of Micro-Bio Robotics"</f>
        <v>Journal of Micro-Bio Robotics</v>
      </c>
      <c r="B2784" s="4" t="s">
        <v>6</v>
      </c>
      <c r="C2784" s="4" t="str">
        <f t="shared" si="98"/>
        <v>-</v>
      </c>
      <c r="D2784" s="4" t="str">
        <f>"-"</f>
        <v>-</v>
      </c>
      <c r="E2784" s="4" t="str">
        <f>"-"</f>
        <v>-</v>
      </c>
      <c r="F2784" s="4" t="s">
        <v>42</v>
      </c>
    </row>
    <row r="2785" spans="1:6" x14ac:dyDescent="0.25">
      <c r="A2785" s="4" t="str">
        <f>"Journal of Microelectromechanical Systems"</f>
        <v>Journal of Microelectromechanical Systems</v>
      </c>
      <c r="B2785" s="4" t="s">
        <v>6</v>
      </c>
      <c r="C2785" s="4" t="str">
        <f t="shared" si="98"/>
        <v>-</v>
      </c>
      <c r="D2785" s="4" t="str">
        <f>"10577157"</f>
        <v>10577157</v>
      </c>
      <c r="E2785" s="4" t="str">
        <f>"-"</f>
        <v>-</v>
      </c>
      <c r="F2785" s="4" t="s">
        <v>105</v>
      </c>
    </row>
    <row r="2786" spans="1:6" x14ac:dyDescent="0.25">
      <c r="A2786" s="4" t="str">
        <f>"Journal of Microelectronics and Electronic Packaging"</f>
        <v>Journal of Microelectronics and Electronic Packaging</v>
      </c>
      <c r="B2786" s="4" t="s">
        <v>6</v>
      </c>
      <c r="C2786" s="4" t="str">
        <f t="shared" si="98"/>
        <v>-</v>
      </c>
      <c r="D2786" s="4" t="str">
        <f>"15514897"</f>
        <v>15514897</v>
      </c>
      <c r="E2786" s="4" t="str">
        <f>"-"</f>
        <v>-</v>
      </c>
      <c r="F2786" s="4" t="s">
        <v>93</v>
      </c>
    </row>
    <row r="2787" spans="1:6" x14ac:dyDescent="0.25">
      <c r="A2787" s="4" t="str">
        <f>"Journal of Micromechanics and Microengineering"</f>
        <v>Journal of Micromechanics and Microengineering</v>
      </c>
      <c r="B2787" s="4" t="s">
        <v>6</v>
      </c>
      <c r="C2787" s="4" t="str">
        <f t="shared" si="98"/>
        <v>-</v>
      </c>
      <c r="D2787" s="4" t="str">
        <f>"09601317"</f>
        <v>09601317</v>
      </c>
      <c r="E2787" s="4" t="str">
        <f>"13616439"</f>
        <v>13616439</v>
      </c>
      <c r="F2787" s="4" t="s">
        <v>184</v>
      </c>
    </row>
    <row r="2788" spans="1:6" x14ac:dyDescent="0.25">
      <c r="A2788" s="4" t="str">
        <f>"Journal of Microwave Power and Electromagnetic Energy"</f>
        <v>Journal of Microwave Power and Electromagnetic Energy</v>
      </c>
      <c r="B2788" s="4" t="s">
        <v>6</v>
      </c>
      <c r="C2788" s="4" t="str">
        <f t="shared" ref="C2788:C2851" si="99">"-"</f>
        <v>-</v>
      </c>
      <c r="D2788" s="4" t="str">
        <f>"08327823"</f>
        <v>08327823</v>
      </c>
      <c r="E2788" s="4" t="str">
        <f>"-"</f>
        <v>-</v>
      </c>
      <c r="F2788" s="4" t="s">
        <v>734</v>
      </c>
    </row>
    <row r="2789" spans="1:6" x14ac:dyDescent="0.25">
      <c r="A2789" s="4" t="str">
        <f>"Journal of Microwaves, Optoelectronics and Electromagnetic Applications"</f>
        <v>Journal of Microwaves, Optoelectronics and Electromagnetic Applications</v>
      </c>
      <c r="B2789" s="4" t="s">
        <v>6</v>
      </c>
      <c r="C2789" s="4" t="str">
        <f t="shared" si="99"/>
        <v>-</v>
      </c>
      <c r="D2789" s="4" t="str">
        <f>"21791074"</f>
        <v>21791074</v>
      </c>
      <c r="E2789" s="4" t="str">
        <f>"-"</f>
        <v>-</v>
      </c>
      <c r="F2789" s="4" t="s">
        <v>735</v>
      </c>
    </row>
    <row r="2790" spans="1:6" x14ac:dyDescent="0.25">
      <c r="A2790" s="4" t="str">
        <f>"Journal of Mines, Metals and Fuels"</f>
        <v>Journal of Mines, Metals and Fuels</v>
      </c>
      <c r="B2790" s="4" t="s">
        <v>6</v>
      </c>
      <c r="C2790" s="4" t="str">
        <f t="shared" si="99"/>
        <v>-</v>
      </c>
      <c r="D2790" s="4" t="str">
        <f>"00222755"</f>
        <v>00222755</v>
      </c>
      <c r="E2790" s="4" t="str">
        <f>"-"</f>
        <v>-</v>
      </c>
      <c r="F2790" s="4" t="s">
        <v>692</v>
      </c>
    </row>
    <row r="2791" spans="1:6" x14ac:dyDescent="0.25">
      <c r="A2791" s="4" t="str">
        <f>"Journal of Mining Science"</f>
        <v>Journal of Mining Science</v>
      </c>
      <c r="B2791" s="4" t="s">
        <v>6</v>
      </c>
      <c r="C2791" s="4" t="str">
        <f t="shared" si="99"/>
        <v>-</v>
      </c>
      <c r="D2791" s="4" t="str">
        <f>"10627391"</f>
        <v>10627391</v>
      </c>
      <c r="E2791" s="4" t="str">
        <f>"-"</f>
        <v>-</v>
      </c>
      <c r="F2791" s="4" t="s">
        <v>57</v>
      </c>
    </row>
    <row r="2792" spans="1:6" x14ac:dyDescent="0.25">
      <c r="A2792" s="4" t="str">
        <f>"Journal of Mobile Multimedia"</f>
        <v>Journal of Mobile Multimedia</v>
      </c>
      <c r="B2792" s="4" t="s">
        <v>6</v>
      </c>
      <c r="C2792" s="4" t="str">
        <f t="shared" si="99"/>
        <v>-</v>
      </c>
      <c r="D2792" s="4" t="str">
        <f>"15504646"</f>
        <v>15504646</v>
      </c>
      <c r="E2792" s="4" t="str">
        <f>"-"</f>
        <v>-</v>
      </c>
      <c r="F2792" s="4" t="s">
        <v>736</v>
      </c>
    </row>
    <row r="2793" spans="1:6" x14ac:dyDescent="0.25">
      <c r="A2793" s="4" t="str">
        <f>"Journal of Modern Optics"</f>
        <v>Journal of Modern Optics</v>
      </c>
      <c r="B2793" s="4" t="s">
        <v>6</v>
      </c>
      <c r="C2793" s="4" t="str">
        <f t="shared" si="99"/>
        <v>-</v>
      </c>
      <c r="D2793" s="4" t="str">
        <f>"09500340"</f>
        <v>09500340</v>
      </c>
      <c r="E2793" s="4" t="str">
        <f>"13623044"</f>
        <v>13623044</v>
      </c>
      <c r="F2793" s="4" t="s">
        <v>60</v>
      </c>
    </row>
    <row r="2794" spans="1:6" x14ac:dyDescent="0.25">
      <c r="A2794" s="4" t="str">
        <f>"Journal of Molecular Catalysis A: Chemical"</f>
        <v>Journal of Molecular Catalysis A: Chemical</v>
      </c>
      <c r="B2794" s="4" t="s">
        <v>6</v>
      </c>
      <c r="C2794" s="4" t="str">
        <f t="shared" si="99"/>
        <v>-</v>
      </c>
      <c r="D2794" s="4" t="str">
        <f>"13811169"</f>
        <v>13811169</v>
      </c>
      <c r="E2794" s="4" t="str">
        <f>"-"</f>
        <v>-</v>
      </c>
      <c r="F2794" s="4" t="s">
        <v>55</v>
      </c>
    </row>
    <row r="2795" spans="1:6" x14ac:dyDescent="0.25">
      <c r="A2795" s="4" t="str">
        <f>"Journal of Molecular Catalysis B: Enzymatic"</f>
        <v>Journal of Molecular Catalysis B: Enzymatic</v>
      </c>
      <c r="B2795" s="4" t="s">
        <v>6</v>
      </c>
      <c r="C2795" s="4" t="str">
        <f t="shared" si="99"/>
        <v>-</v>
      </c>
      <c r="D2795" s="4" t="str">
        <f>"13811177"</f>
        <v>13811177</v>
      </c>
      <c r="E2795" s="4" t="str">
        <f>"18733158"</f>
        <v>18733158</v>
      </c>
      <c r="F2795" s="4" t="s">
        <v>55</v>
      </c>
    </row>
    <row r="2796" spans="1:6" x14ac:dyDescent="0.25">
      <c r="A2796" s="4" t="str">
        <f>"Journal of Molecular Graphics and Modelling"</f>
        <v>Journal of Molecular Graphics and Modelling</v>
      </c>
      <c r="B2796" s="4" t="s">
        <v>6</v>
      </c>
      <c r="C2796" s="4" t="str">
        <f t="shared" si="99"/>
        <v>-</v>
      </c>
      <c r="D2796" s="4" t="str">
        <f>"10933263"</f>
        <v>10933263</v>
      </c>
      <c r="E2796" s="4" t="str">
        <f>"18734243"</f>
        <v>18734243</v>
      </c>
      <c r="F2796" s="4" t="s">
        <v>141</v>
      </c>
    </row>
    <row r="2797" spans="1:6" x14ac:dyDescent="0.25">
      <c r="A2797" s="4" t="str">
        <f>"Journal of Molecular Liquids"</f>
        <v>Journal of Molecular Liquids</v>
      </c>
      <c r="B2797" s="4" t="s">
        <v>6</v>
      </c>
      <c r="C2797" s="4" t="str">
        <f t="shared" si="99"/>
        <v>-</v>
      </c>
      <c r="D2797" s="4" t="str">
        <f>"01677322"</f>
        <v>01677322</v>
      </c>
      <c r="E2797" s="4" t="str">
        <f>"-"</f>
        <v>-</v>
      </c>
      <c r="F2797" s="4" t="s">
        <v>55</v>
      </c>
    </row>
    <row r="2798" spans="1:6" x14ac:dyDescent="0.25">
      <c r="A2798" s="4" t="str">
        <f>"Journal of Molecular Spectroscopy"</f>
        <v>Journal of Molecular Spectroscopy</v>
      </c>
      <c r="B2798" s="4" t="s">
        <v>6</v>
      </c>
      <c r="C2798" s="4" t="str">
        <f t="shared" si="99"/>
        <v>-</v>
      </c>
      <c r="D2798" s="4" t="str">
        <f>"00222852"</f>
        <v>00222852</v>
      </c>
      <c r="E2798" s="4" t="str">
        <f>"1096083X"</f>
        <v>1096083X</v>
      </c>
      <c r="F2798" s="4" t="s">
        <v>71</v>
      </c>
    </row>
    <row r="2799" spans="1:6" x14ac:dyDescent="0.25">
      <c r="A2799" s="4" t="str">
        <f>"Journal of Molecular Structure"</f>
        <v>Journal of Molecular Structure</v>
      </c>
      <c r="B2799" s="4" t="s">
        <v>6</v>
      </c>
      <c r="C2799" s="4" t="str">
        <f t="shared" si="99"/>
        <v>-</v>
      </c>
      <c r="D2799" s="4" t="str">
        <f>"00222860"</f>
        <v>00222860</v>
      </c>
      <c r="E2799" s="4" t="str">
        <f>"-"</f>
        <v>-</v>
      </c>
      <c r="F2799" s="4" t="s">
        <v>55</v>
      </c>
    </row>
    <row r="2800" spans="1:6" x14ac:dyDescent="0.25">
      <c r="A2800" s="4" t="str">
        <f>"Journal of Multiple-Valued Logic and Soft Computing"</f>
        <v>Journal of Multiple-Valued Logic and Soft Computing</v>
      </c>
      <c r="B2800" s="4" t="s">
        <v>6</v>
      </c>
      <c r="C2800" s="4" t="str">
        <f t="shared" si="99"/>
        <v>-</v>
      </c>
      <c r="D2800" s="4" t="str">
        <f>"15423980"</f>
        <v>15423980</v>
      </c>
      <c r="E2800" s="4" t="str">
        <f>"-"</f>
        <v>-</v>
      </c>
      <c r="F2800" s="4" t="s">
        <v>485</v>
      </c>
    </row>
    <row r="2801" spans="1:6" x14ac:dyDescent="0.25">
      <c r="A2801" s="4" t="str">
        <f>"Journal of Nano Research"</f>
        <v>Journal of Nano Research</v>
      </c>
      <c r="B2801" s="4" t="s">
        <v>6</v>
      </c>
      <c r="C2801" s="4" t="str">
        <f t="shared" si="99"/>
        <v>-</v>
      </c>
      <c r="D2801" s="4" t="str">
        <f>"16625250"</f>
        <v>16625250</v>
      </c>
      <c r="E2801" s="4" t="str">
        <f>"16619897"</f>
        <v>16619897</v>
      </c>
      <c r="F2801" s="4" t="s">
        <v>320</v>
      </c>
    </row>
    <row r="2802" spans="1:6" x14ac:dyDescent="0.25">
      <c r="A2802" s="4" t="str">
        <f>"Journal of Nanobiotechnology"</f>
        <v>Journal of Nanobiotechnology</v>
      </c>
      <c r="B2802" s="4" t="s">
        <v>6</v>
      </c>
      <c r="C2802" s="4" t="str">
        <f t="shared" si="99"/>
        <v>-</v>
      </c>
      <c r="D2802" s="4" t="str">
        <f>"-"</f>
        <v>-</v>
      </c>
      <c r="E2802" s="4" t="str">
        <f>"14773155"</f>
        <v>14773155</v>
      </c>
      <c r="F2802" s="4" t="s">
        <v>186</v>
      </c>
    </row>
    <row r="2803" spans="1:6" x14ac:dyDescent="0.25">
      <c r="A2803" s="4" t="str">
        <f>"Journal of Nanoelectronics and Optoelectronics"</f>
        <v>Journal of Nanoelectronics and Optoelectronics</v>
      </c>
      <c r="B2803" s="4" t="s">
        <v>6</v>
      </c>
      <c r="C2803" s="4" t="str">
        <f t="shared" si="99"/>
        <v>-</v>
      </c>
      <c r="D2803" s="4" t="str">
        <f>"1555130X"</f>
        <v>1555130X</v>
      </c>
      <c r="E2803" s="4" t="str">
        <f>"15551318"</f>
        <v>15551318</v>
      </c>
      <c r="F2803" s="4" t="s">
        <v>654</v>
      </c>
    </row>
    <row r="2804" spans="1:6" x14ac:dyDescent="0.25">
      <c r="A2804" s="4" t="str">
        <f>"Journal of Nanomaterials"</f>
        <v>Journal of Nanomaterials</v>
      </c>
      <c r="B2804" s="4" t="s">
        <v>6</v>
      </c>
      <c r="C2804" s="4" t="str">
        <f t="shared" si="99"/>
        <v>-</v>
      </c>
      <c r="D2804" s="4" t="str">
        <f>"16874110"</f>
        <v>16874110</v>
      </c>
      <c r="E2804" s="4" t="str">
        <f>"16874129"</f>
        <v>16874129</v>
      </c>
      <c r="F2804" s="4" t="s">
        <v>54</v>
      </c>
    </row>
    <row r="2805" spans="1:6" x14ac:dyDescent="0.25">
      <c r="A2805" s="4" t="str">
        <f>"Journal of Nanomechanics and Micromechanics"</f>
        <v>Journal of Nanomechanics and Micromechanics</v>
      </c>
      <c r="B2805" s="4" t="s">
        <v>6</v>
      </c>
      <c r="C2805" s="4" t="str">
        <f t="shared" si="99"/>
        <v>-</v>
      </c>
      <c r="D2805" s="4" t="str">
        <f>"21535434"</f>
        <v>21535434</v>
      </c>
      <c r="E2805" s="4" t="str">
        <f>"21535477"</f>
        <v>21535477</v>
      </c>
      <c r="F2805" s="4" t="s">
        <v>111</v>
      </c>
    </row>
    <row r="2806" spans="1:6" x14ac:dyDescent="0.25">
      <c r="A2806" s="4" t="str">
        <f>"Journal of Nanoparticle Research"</f>
        <v>Journal of Nanoparticle Research</v>
      </c>
      <c r="B2806" s="4" t="s">
        <v>6</v>
      </c>
      <c r="C2806" s="4" t="str">
        <f t="shared" si="99"/>
        <v>-</v>
      </c>
      <c r="D2806" s="4" t="str">
        <f>"13880764"</f>
        <v>13880764</v>
      </c>
      <c r="E2806" s="4" t="str">
        <f>"1572896X"</f>
        <v>1572896X</v>
      </c>
      <c r="F2806" s="4" t="s">
        <v>31</v>
      </c>
    </row>
    <row r="2807" spans="1:6" x14ac:dyDescent="0.25">
      <c r="A2807" s="4" t="str">
        <f>"Journal of Nanophotonics"</f>
        <v>Journal of Nanophotonics</v>
      </c>
      <c r="B2807" s="4" t="s">
        <v>6</v>
      </c>
      <c r="C2807" s="4" t="str">
        <f t="shared" si="99"/>
        <v>-</v>
      </c>
      <c r="D2807" s="4" t="str">
        <f>"-"</f>
        <v>-</v>
      </c>
      <c r="E2807" s="4" t="str">
        <f>"19342608"</f>
        <v>19342608</v>
      </c>
      <c r="F2807" s="4" t="s">
        <v>663</v>
      </c>
    </row>
    <row r="2808" spans="1:6" x14ac:dyDescent="0.25">
      <c r="A2808" s="4" t="str">
        <f>"Journal of Nanoscience and Nanotechnology"</f>
        <v>Journal of Nanoscience and Nanotechnology</v>
      </c>
      <c r="B2808" s="4" t="s">
        <v>6</v>
      </c>
      <c r="C2808" s="4" t="str">
        <f t="shared" si="99"/>
        <v>-</v>
      </c>
      <c r="D2808" s="4" t="str">
        <f>"15334880"</f>
        <v>15334880</v>
      </c>
      <c r="E2808" s="4" t="str">
        <f>"15334899"</f>
        <v>15334899</v>
      </c>
      <c r="F2808" s="4" t="s">
        <v>654</v>
      </c>
    </row>
    <row r="2809" spans="1:6" x14ac:dyDescent="0.25">
      <c r="A2809" s="4" t="str">
        <f>"Journal of Nanostructured Polymers and Nanocomposites"</f>
        <v>Journal of Nanostructured Polymers and Nanocomposites</v>
      </c>
      <c r="B2809" s="4" t="s">
        <v>6</v>
      </c>
      <c r="C2809" s="4" t="str">
        <f t="shared" si="99"/>
        <v>-</v>
      </c>
      <c r="D2809" s="4" t="str">
        <f>"17904439"</f>
        <v>17904439</v>
      </c>
      <c r="E2809" s="4" t="str">
        <f>"-"</f>
        <v>-</v>
      </c>
      <c r="F2809" s="4" t="s">
        <v>737</v>
      </c>
    </row>
    <row r="2810" spans="1:6" x14ac:dyDescent="0.25">
      <c r="A2810" s="4" t="str">
        <f>"Journal of Nanotechnology"</f>
        <v>Journal of Nanotechnology</v>
      </c>
      <c r="B2810" s="4" t="s">
        <v>6</v>
      </c>
      <c r="C2810" s="4" t="str">
        <f t="shared" si="99"/>
        <v>-</v>
      </c>
      <c r="D2810" s="4" t="str">
        <f>"16879503"</f>
        <v>16879503</v>
      </c>
      <c r="E2810" s="4" t="str">
        <f>"16879511"</f>
        <v>16879511</v>
      </c>
      <c r="F2810" s="4" t="s">
        <v>54</v>
      </c>
    </row>
    <row r="2811" spans="1:6" x14ac:dyDescent="0.25">
      <c r="A2811" s="4" t="str">
        <f>"Journal of Nanotechnology in Engineering and Medicine"</f>
        <v>Journal of Nanotechnology in Engineering and Medicine</v>
      </c>
      <c r="B2811" s="4" t="s">
        <v>6</v>
      </c>
      <c r="C2811" s="4" t="str">
        <f t="shared" si="99"/>
        <v>-</v>
      </c>
      <c r="D2811" s="4" t="str">
        <f>"19492944"</f>
        <v>19492944</v>
      </c>
      <c r="E2811" s="4" t="str">
        <f>"19492952"</f>
        <v>19492952</v>
      </c>
      <c r="F2811" s="4" t="s">
        <v>73</v>
      </c>
    </row>
    <row r="2812" spans="1:6" x14ac:dyDescent="0.25">
      <c r="A2812" s="4" t="str">
        <f>"Journal of Natural Fibers"</f>
        <v>Journal of Natural Fibers</v>
      </c>
      <c r="B2812" s="4" t="s">
        <v>6</v>
      </c>
      <c r="C2812" s="4" t="str">
        <f t="shared" si="99"/>
        <v>-</v>
      </c>
      <c r="D2812" s="4" t="str">
        <f>"15440478"</f>
        <v>15440478</v>
      </c>
      <c r="E2812" s="4" t="str">
        <f>"1544046X"</f>
        <v>1544046X</v>
      </c>
      <c r="F2812" s="4" t="s">
        <v>96</v>
      </c>
    </row>
    <row r="2813" spans="1:6" x14ac:dyDescent="0.25">
      <c r="A2813" s="4" t="str">
        <f>"Journal of Natural Gas Science and Engineering"</f>
        <v>Journal of Natural Gas Science and Engineering</v>
      </c>
      <c r="B2813" s="4" t="s">
        <v>6</v>
      </c>
      <c r="C2813" s="4" t="str">
        <f t="shared" si="99"/>
        <v>-</v>
      </c>
      <c r="D2813" s="4" t="str">
        <f>"18755100"</f>
        <v>18755100</v>
      </c>
      <c r="E2813" s="4" t="str">
        <f>"-"</f>
        <v>-</v>
      </c>
      <c r="F2813" s="4" t="s">
        <v>55</v>
      </c>
    </row>
    <row r="2814" spans="1:6" x14ac:dyDescent="0.25">
      <c r="A2814" s="4" t="str">
        <f>"Journal of Network and Computer Applications"</f>
        <v>Journal of Network and Computer Applications</v>
      </c>
      <c r="B2814" s="4" t="s">
        <v>6</v>
      </c>
      <c r="C2814" s="4" t="str">
        <f t="shared" si="99"/>
        <v>-</v>
      </c>
      <c r="D2814" s="4" t="str">
        <f>"10848045"</f>
        <v>10848045</v>
      </c>
      <c r="E2814" s="4" t="str">
        <f>"10958592"</f>
        <v>10958592</v>
      </c>
      <c r="F2814" s="4" t="s">
        <v>193</v>
      </c>
    </row>
    <row r="2815" spans="1:6" x14ac:dyDescent="0.25">
      <c r="A2815" s="4" t="str">
        <f>"Journal of Network and Systems Management"</f>
        <v>Journal of Network and Systems Management</v>
      </c>
      <c r="B2815" s="4" t="s">
        <v>6</v>
      </c>
      <c r="C2815" s="4" t="str">
        <f t="shared" si="99"/>
        <v>-</v>
      </c>
      <c r="D2815" s="4" t="str">
        <f>"10647570"</f>
        <v>10647570</v>
      </c>
      <c r="E2815" s="4" t="str">
        <f>"-"</f>
        <v>-</v>
      </c>
      <c r="F2815" s="4" t="s">
        <v>57</v>
      </c>
    </row>
    <row r="2816" spans="1:6" x14ac:dyDescent="0.25">
      <c r="A2816" s="4" t="str">
        <f>"Journal of Neural Engineering"</f>
        <v>Journal of Neural Engineering</v>
      </c>
      <c r="B2816" s="4" t="s">
        <v>6</v>
      </c>
      <c r="C2816" s="4" t="str">
        <f t="shared" si="99"/>
        <v>-</v>
      </c>
      <c r="D2816" s="4" t="str">
        <f>"17412560"</f>
        <v>17412560</v>
      </c>
      <c r="E2816" s="4" t="str">
        <f>"17412552"</f>
        <v>17412552</v>
      </c>
      <c r="F2816" s="4" t="s">
        <v>184</v>
      </c>
    </row>
    <row r="2817" spans="1:6" x14ac:dyDescent="0.25">
      <c r="A2817" s="4" t="str">
        <f>"Journal of New England Water Environment Association"</f>
        <v>Journal of New England Water Environment Association</v>
      </c>
      <c r="B2817" s="4" t="s">
        <v>6</v>
      </c>
      <c r="C2817" s="4" t="str">
        <f t="shared" si="99"/>
        <v>-</v>
      </c>
      <c r="D2817" s="4" t="str">
        <f>"10773002"</f>
        <v>10773002</v>
      </c>
      <c r="E2817" s="4" t="str">
        <f>"-"</f>
        <v>-</v>
      </c>
      <c r="F2817" s="4" t="s">
        <v>738</v>
      </c>
    </row>
    <row r="2818" spans="1:6" x14ac:dyDescent="0.25">
      <c r="A2818" s="4" t="str">
        <f>"Journal of New Materials for Electrochemical Systems"</f>
        <v>Journal of New Materials for Electrochemical Systems</v>
      </c>
      <c r="B2818" s="4" t="s">
        <v>6</v>
      </c>
      <c r="C2818" s="4" t="str">
        <f t="shared" si="99"/>
        <v>-</v>
      </c>
      <c r="D2818" s="4" t="str">
        <f>"14802422"</f>
        <v>14802422</v>
      </c>
      <c r="E2818" s="4" t="str">
        <f>"-"</f>
        <v>-</v>
      </c>
      <c r="F2818" s="4" t="s">
        <v>739</v>
      </c>
    </row>
    <row r="2819" spans="1:6" x14ac:dyDescent="0.25">
      <c r="A2819" s="4" t="str">
        <f>"Journal of Non-Crystalline Solids"</f>
        <v>Journal of Non-Crystalline Solids</v>
      </c>
      <c r="B2819" s="4" t="s">
        <v>6</v>
      </c>
      <c r="C2819" s="4" t="str">
        <f t="shared" si="99"/>
        <v>-</v>
      </c>
      <c r="D2819" s="4" t="str">
        <f>"00223093"</f>
        <v>00223093</v>
      </c>
      <c r="E2819" s="4" t="str">
        <f>"-"</f>
        <v>-</v>
      </c>
      <c r="F2819" s="4" t="s">
        <v>55</v>
      </c>
    </row>
    <row r="2820" spans="1:6" x14ac:dyDescent="0.25">
      <c r="A2820" s="4" t="str">
        <f>"Journal of Nondestructive Evaluation"</f>
        <v>Journal of Nondestructive Evaluation</v>
      </c>
      <c r="B2820" s="4" t="s">
        <v>6</v>
      </c>
      <c r="C2820" s="4" t="str">
        <f t="shared" si="99"/>
        <v>-</v>
      </c>
      <c r="D2820" s="4" t="str">
        <f>"01959298"</f>
        <v>01959298</v>
      </c>
      <c r="E2820" s="4" t="str">
        <f>"15734862"</f>
        <v>15734862</v>
      </c>
      <c r="F2820" s="4" t="s">
        <v>57</v>
      </c>
    </row>
    <row r="2821" spans="1:6" x14ac:dyDescent="0.25">
      <c r="A2821" s="4" t="str">
        <f>"Journal of Non-Equilibrium Thermodynamics"</f>
        <v>Journal of Non-Equilibrium Thermodynamics</v>
      </c>
      <c r="B2821" s="4" t="s">
        <v>6</v>
      </c>
      <c r="C2821" s="4" t="str">
        <f t="shared" si="99"/>
        <v>-</v>
      </c>
      <c r="D2821" s="4" t="str">
        <f>"03400204"</f>
        <v>03400204</v>
      </c>
      <c r="E2821" s="4" t="str">
        <f>"14374358"</f>
        <v>14374358</v>
      </c>
      <c r="F2821" s="4" t="s">
        <v>189</v>
      </c>
    </row>
    <row r="2822" spans="1:6" x14ac:dyDescent="0.25">
      <c r="A2822" s="4" t="str">
        <f>"Journal of Nonlinear Science"</f>
        <v>Journal of Nonlinear Science</v>
      </c>
      <c r="B2822" s="4" t="s">
        <v>6</v>
      </c>
      <c r="C2822" s="4" t="str">
        <f t="shared" si="99"/>
        <v>-</v>
      </c>
      <c r="D2822" s="4" t="str">
        <f>"09388974"</f>
        <v>09388974</v>
      </c>
      <c r="E2822" s="4" t="str">
        <f>"14321467"</f>
        <v>14321467</v>
      </c>
      <c r="F2822" s="4" t="s">
        <v>57</v>
      </c>
    </row>
    <row r="2823" spans="1:6" x14ac:dyDescent="0.25">
      <c r="A2823" s="4" t="str">
        <f>"Journal of Non-Newtonian Fluid Mechanics"</f>
        <v>Journal of Non-Newtonian Fluid Mechanics</v>
      </c>
      <c r="B2823" s="4" t="s">
        <v>6</v>
      </c>
      <c r="C2823" s="4" t="str">
        <f t="shared" si="99"/>
        <v>-</v>
      </c>
      <c r="D2823" s="4" t="str">
        <f>"03770257"</f>
        <v>03770257</v>
      </c>
      <c r="E2823" s="4" t="str">
        <f>"-"</f>
        <v>-</v>
      </c>
      <c r="F2823" s="4" t="s">
        <v>55</v>
      </c>
    </row>
    <row r="2824" spans="1:6" x14ac:dyDescent="0.25">
      <c r="A2824" s="4" t="str">
        <f>"Journal of Nuclear Materials"</f>
        <v>Journal of Nuclear Materials</v>
      </c>
      <c r="B2824" s="4" t="s">
        <v>6</v>
      </c>
      <c r="C2824" s="4" t="str">
        <f t="shared" si="99"/>
        <v>-</v>
      </c>
      <c r="D2824" s="4" t="str">
        <f>"00223115"</f>
        <v>00223115</v>
      </c>
      <c r="E2824" s="4" t="str">
        <f>"-"</f>
        <v>-</v>
      </c>
      <c r="F2824" s="4" t="s">
        <v>55</v>
      </c>
    </row>
    <row r="2825" spans="1:6" x14ac:dyDescent="0.25">
      <c r="A2825" s="4" t="str">
        <f>"Journal of Nuclear Materials Management"</f>
        <v>Journal of Nuclear Materials Management</v>
      </c>
      <c r="B2825" s="4" t="s">
        <v>6</v>
      </c>
      <c r="C2825" s="4" t="str">
        <f t="shared" si="99"/>
        <v>-</v>
      </c>
      <c r="D2825" s="4" t="str">
        <f>"08936188"</f>
        <v>08936188</v>
      </c>
      <c r="E2825" s="4" t="str">
        <f>"-"</f>
        <v>-</v>
      </c>
      <c r="F2825" s="4" t="s">
        <v>740</v>
      </c>
    </row>
    <row r="2826" spans="1:6" x14ac:dyDescent="0.25">
      <c r="A2826" s="4" t="str">
        <f>"Journal of Nuclear Science and Technology"</f>
        <v>Journal of Nuclear Science and Technology</v>
      </c>
      <c r="B2826" s="4" t="s">
        <v>6</v>
      </c>
      <c r="C2826" s="4" t="str">
        <f t="shared" si="99"/>
        <v>-</v>
      </c>
      <c r="D2826" s="4" t="str">
        <f>"00223131"</f>
        <v>00223131</v>
      </c>
      <c r="E2826" s="4" t="str">
        <f>"-"</f>
        <v>-</v>
      </c>
      <c r="F2826" s="4" t="s">
        <v>60</v>
      </c>
    </row>
    <row r="2827" spans="1:6" x14ac:dyDescent="0.25">
      <c r="A2827" s="4" t="str">
        <f>"Journal of Numerical Mathematics"</f>
        <v>Journal of Numerical Mathematics</v>
      </c>
      <c r="B2827" s="4" t="s">
        <v>6</v>
      </c>
      <c r="C2827" s="4" t="str">
        <f t="shared" si="99"/>
        <v>-</v>
      </c>
      <c r="D2827" s="4" t="str">
        <f>"15702820"</f>
        <v>15702820</v>
      </c>
      <c r="E2827" s="4" t="str">
        <f>"-"</f>
        <v>-</v>
      </c>
      <c r="F2827" s="4" t="s">
        <v>189</v>
      </c>
    </row>
    <row r="2828" spans="1:6" x14ac:dyDescent="0.25">
      <c r="A2828" s="4" t="str">
        <f>"Journal of Offshore Mechanics and Arctic Engineering"</f>
        <v>Journal of Offshore Mechanics and Arctic Engineering</v>
      </c>
      <c r="B2828" s="4" t="s">
        <v>6</v>
      </c>
      <c r="C2828" s="4" t="str">
        <f t="shared" si="99"/>
        <v>-</v>
      </c>
      <c r="D2828" s="4" t="str">
        <f>"08927219"</f>
        <v>08927219</v>
      </c>
      <c r="E2828" s="4" t="str">
        <f>"1528896X"</f>
        <v>1528896X</v>
      </c>
      <c r="F2828" s="4" t="s">
        <v>73</v>
      </c>
    </row>
    <row r="2829" spans="1:6" x14ac:dyDescent="0.25">
      <c r="A2829" s="4" t="str">
        <f>"Journal of Oleo Science"</f>
        <v>Journal of Oleo Science</v>
      </c>
      <c r="B2829" s="4" t="s">
        <v>6</v>
      </c>
      <c r="C2829" s="4" t="str">
        <f t="shared" si="99"/>
        <v>-</v>
      </c>
      <c r="D2829" s="4" t="str">
        <f>"13458957"</f>
        <v>13458957</v>
      </c>
      <c r="E2829" s="4" t="str">
        <f>"13473352"</f>
        <v>13473352</v>
      </c>
      <c r="F2829" s="4" t="s">
        <v>741</v>
      </c>
    </row>
    <row r="2830" spans="1:6" x14ac:dyDescent="0.25">
      <c r="A2830" s="4" t="str">
        <f>"Journal of Operations Management"</f>
        <v>Journal of Operations Management</v>
      </c>
      <c r="B2830" s="4" t="s">
        <v>6</v>
      </c>
      <c r="C2830" s="4" t="str">
        <f t="shared" si="99"/>
        <v>-</v>
      </c>
      <c r="D2830" s="4" t="str">
        <f>"02726963"</f>
        <v>02726963</v>
      </c>
      <c r="E2830" s="4" t="str">
        <f>"-"</f>
        <v>-</v>
      </c>
      <c r="F2830" s="4" t="s">
        <v>55</v>
      </c>
    </row>
    <row r="2831" spans="1:6" x14ac:dyDescent="0.25">
      <c r="A2831" s="4" t="str">
        <f>"Journal of Optical Communications"</f>
        <v>Journal of Optical Communications</v>
      </c>
      <c r="B2831" s="4" t="s">
        <v>6</v>
      </c>
      <c r="C2831" s="4" t="str">
        <f t="shared" si="99"/>
        <v>-</v>
      </c>
      <c r="D2831" s="4" t="str">
        <f>"01734911"</f>
        <v>01734911</v>
      </c>
      <c r="E2831" s="4" t="str">
        <f>"-"</f>
        <v>-</v>
      </c>
      <c r="F2831" s="4" t="s">
        <v>189</v>
      </c>
    </row>
    <row r="2832" spans="1:6" x14ac:dyDescent="0.25">
      <c r="A2832" s="4" t="str">
        <f>"Journal of Optical Communications and Networking"</f>
        <v>Journal of Optical Communications and Networking</v>
      </c>
      <c r="B2832" s="4" t="s">
        <v>6</v>
      </c>
      <c r="C2832" s="4" t="str">
        <f t="shared" si="99"/>
        <v>-</v>
      </c>
      <c r="D2832" s="4" t="str">
        <f>"19430620"</f>
        <v>19430620</v>
      </c>
      <c r="E2832" s="4" t="str">
        <f>"-"</f>
        <v>-</v>
      </c>
      <c r="F2832" s="4" t="s">
        <v>105</v>
      </c>
    </row>
    <row r="2833" spans="1:6" x14ac:dyDescent="0.25">
      <c r="A2833" s="4" t="str">
        <f>"Journal of Optical Technology (A Translation of Opticheskii Zhurnal)"</f>
        <v>Journal of Optical Technology (A Translation of Opticheskii Zhurnal)</v>
      </c>
      <c r="B2833" s="4" t="s">
        <v>6</v>
      </c>
      <c r="C2833" s="4" t="str">
        <f t="shared" si="99"/>
        <v>-</v>
      </c>
      <c r="D2833" s="4" t="str">
        <f>"10709762"</f>
        <v>10709762</v>
      </c>
      <c r="E2833" s="4" t="str">
        <f>"10910786"</f>
        <v>10910786</v>
      </c>
      <c r="F2833" s="4" t="s">
        <v>86</v>
      </c>
    </row>
    <row r="2834" spans="1:6" x14ac:dyDescent="0.25">
      <c r="A2834" s="4" t="str">
        <f>"Journal of Optics (India)"</f>
        <v>Journal of Optics (India)</v>
      </c>
      <c r="B2834" s="4" t="s">
        <v>6</v>
      </c>
      <c r="C2834" s="4" t="str">
        <f t="shared" si="99"/>
        <v>-</v>
      </c>
      <c r="D2834" s="4" t="str">
        <f>"09728821"</f>
        <v>09728821</v>
      </c>
      <c r="E2834" s="4" t="str">
        <f>"09746900"</f>
        <v>09746900</v>
      </c>
      <c r="F2834" s="4" t="s">
        <v>742</v>
      </c>
    </row>
    <row r="2835" spans="1:6" x14ac:dyDescent="0.25">
      <c r="A2835" s="4" t="str">
        <f>"Journal of Optics (United Kingdom)"</f>
        <v>Journal of Optics (United Kingdom)</v>
      </c>
      <c r="B2835" s="4" t="s">
        <v>6</v>
      </c>
      <c r="C2835" s="4" t="str">
        <f t="shared" si="99"/>
        <v>-</v>
      </c>
      <c r="D2835" s="4" t="str">
        <f>"20408978"</f>
        <v>20408978</v>
      </c>
      <c r="E2835" s="4" t="str">
        <f>"20408986"</f>
        <v>20408986</v>
      </c>
      <c r="F2835" s="4" t="s">
        <v>184</v>
      </c>
    </row>
    <row r="2836" spans="1:6" x14ac:dyDescent="0.25">
      <c r="A2836" s="4" t="str">
        <f>"Journal of Organic Chemistry"</f>
        <v>Journal of Organic Chemistry</v>
      </c>
      <c r="B2836" s="4" t="s">
        <v>6</v>
      </c>
      <c r="C2836" s="4" t="str">
        <f t="shared" si="99"/>
        <v>-</v>
      </c>
      <c r="D2836" s="4" t="str">
        <f>"00223263"</f>
        <v>00223263</v>
      </c>
      <c r="E2836" s="4" t="str">
        <f>"15206904"</f>
        <v>15206904</v>
      </c>
      <c r="F2836" s="4" t="s">
        <v>28</v>
      </c>
    </row>
    <row r="2837" spans="1:6" x14ac:dyDescent="0.25">
      <c r="A2837" s="4" t="str">
        <f>"Journal of Organizational and End User Computing"</f>
        <v>Journal of Organizational and End User Computing</v>
      </c>
      <c r="B2837" s="4" t="s">
        <v>6</v>
      </c>
      <c r="C2837" s="4" t="str">
        <f t="shared" si="99"/>
        <v>-</v>
      </c>
      <c r="D2837" s="4" t="str">
        <f>"15462234"</f>
        <v>15462234</v>
      </c>
      <c r="E2837" s="4" t="str">
        <f>"15465012"</f>
        <v>15465012</v>
      </c>
      <c r="F2837" s="4" t="s">
        <v>537</v>
      </c>
    </row>
    <row r="2838" spans="1:6" x14ac:dyDescent="0.25">
      <c r="A2838" s="4" t="str">
        <f>"Journal of Organometallic Chemistry"</f>
        <v>Journal of Organometallic Chemistry</v>
      </c>
      <c r="B2838" s="4" t="s">
        <v>6</v>
      </c>
      <c r="C2838" s="4" t="str">
        <f t="shared" si="99"/>
        <v>-</v>
      </c>
      <c r="D2838" s="4" t="str">
        <f>"0022328X"</f>
        <v>0022328X</v>
      </c>
      <c r="E2838" s="4" t="str">
        <f>"-"</f>
        <v>-</v>
      </c>
      <c r="F2838" s="4" t="s">
        <v>55</v>
      </c>
    </row>
    <row r="2839" spans="1:6" x14ac:dyDescent="0.25">
      <c r="A2839" s="4" t="str">
        <f>"Journal of Packaging Science and Technology"</f>
        <v>Journal of Packaging Science and Technology</v>
      </c>
      <c r="B2839" s="4" t="s">
        <v>6</v>
      </c>
      <c r="C2839" s="4" t="str">
        <f t="shared" si="99"/>
        <v>-</v>
      </c>
      <c r="D2839" s="4" t="str">
        <f>"09185283"</f>
        <v>09185283</v>
      </c>
      <c r="E2839" s="4" t="str">
        <f>"-"</f>
        <v>-</v>
      </c>
      <c r="F2839" s="4" t="s">
        <v>743</v>
      </c>
    </row>
    <row r="2840" spans="1:6" x14ac:dyDescent="0.25">
      <c r="A2840" s="4" t="str">
        <f>"Journal of Parallel and Distributed Computing"</f>
        <v>Journal of Parallel and Distributed Computing</v>
      </c>
      <c r="B2840" s="4" t="s">
        <v>6</v>
      </c>
      <c r="C2840" s="4" t="str">
        <f t="shared" si="99"/>
        <v>-</v>
      </c>
      <c r="D2840" s="4" t="str">
        <f>"07437315"</f>
        <v>07437315</v>
      </c>
      <c r="E2840" s="4" t="str">
        <f>"-"</f>
        <v>-</v>
      </c>
      <c r="F2840" s="4" t="s">
        <v>71</v>
      </c>
    </row>
    <row r="2841" spans="1:6" x14ac:dyDescent="0.25">
      <c r="A2841" s="4" t="str">
        <f>"Journal of Performance of Constructed Facilities"</f>
        <v>Journal of Performance of Constructed Facilities</v>
      </c>
      <c r="B2841" s="4" t="s">
        <v>6</v>
      </c>
      <c r="C2841" s="4" t="str">
        <f t="shared" si="99"/>
        <v>-</v>
      </c>
      <c r="D2841" s="4" t="str">
        <f>"08873828"</f>
        <v>08873828</v>
      </c>
      <c r="E2841" s="4" t="str">
        <f>"-"</f>
        <v>-</v>
      </c>
      <c r="F2841" s="4" t="s">
        <v>111</v>
      </c>
    </row>
    <row r="2842" spans="1:6" x14ac:dyDescent="0.25">
      <c r="A2842" s="4" t="str">
        <f>"Journal of Petroleum Exploration and Production Technology"</f>
        <v>Journal of Petroleum Exploration and Production Technology</v>
      </c>
      <c r="B2842" s="4" t="s">
        <v>6</v>
      </c>
      <c r="C2842" s="4" t="str">
        <f t="shared" si="99"/>
        <v>-</v>
      </c>
      <c r="D2842" s="4" t="str">
        <f>"21900558"</f>
        <v>21900558</v>
      </c>
      <c r="E2842" s="4" t="str">
        <f>"21900566"</f>
        <v>21900566</v>
      </c>
      <c r="F2842" s="4" t="s">
        <v>42</v>
      </c>
    </row>
    <row r="2843" spans="1:6" x14ac:dyDescent="0.25">
      <c r="A2843" s="4" t="str">
        <f>"Journal of Petroleum Geology"</f>
        <v>Journal of Petroleum Geology</v>
      </c>
      <c r="B2843" s="4" t="s">
        <v>6</v>
      </c>
      <c r="C2843" s="4" t="str">
        <f t="shared" si="99"/>
        <v>-</v>
      </c>
      <c r="D2843" s="4" t="str">
        <f>"01416421"</f>
        <v>01416421</v>
      </c>
      <c r="E2843" s="4" t="str">
        <f>"17475457"</f>
        <v>17475457</v>
      </c>
      <c r="F2843" s="4" t="s">
        <v>209</v>
      </c>
    </row>
    <row r="2844" spans="1:6" x14ac:dyDescent="0.25">
      <c r="A2844" s="4" t="str">
        <f>"Journal of Petroleum Science and Engineering"</f>
        <v>Journal of Petroleum Science and Engineering</v>
      </c>
      <c r="B2844" s="4" t="s">
        <v>6</v>
      </c>
      <c r="C2844" s="4" t="str">
        <f t="shared" si="99"/>
        <v>-</v>
      </c>
      <c r="D2844" s="4" t="str">
        <f>"09204105"</f>
        <v>09204105</v>
      </c>
      <c r="E2844" s="4" t="str">
        <f>"-"</f>
        <v>-</v>
      </c>
      <c r="F2844" s="4" t="s">
        <v>55</v>
      </c>
    </row>
    <row r="2845" spans="1:6" x14ac:dyDescent="0.25">
      <c r="A2845" s="4" t="str">
        <f>"Journal of Phase Equilibria and Diffusion"</f>
        <v>Journal of Phase Equilibria and Diffusion</v>
      </c>
      <c r="B2845" s="4" t="s">
        <v>6</v>
      </c>
      <c r="C2845" s="4" t="str">
        <f t="shared" si="99"/>
        <v>-</v>
      </c>
      <c r="D2845" s="4" t="str">
        <f>"15477037"</f>
        <v>15477037</v>
      </c>
      <c r="E2845" s="4" t="str">
        <f>"-"</f>
        <v>-</v>
      </c>
      <c r="F2845" s="4" t="s">
        <v>57</v>
      </c>
    </row>
    <row r="2846" spans="1:6" x14ac:dyDescent="0.25">
      <c r="A2846" s="4" t="str">
        <f>"Journal of Photochemistry and Photobiology C: Photochemistry Reviews"</f>
        <v>Journal of Photochemistry and Photobiology C: Photochemistry Reviews</v>
      </c>
      <c r="B2846" s="4" t="s">
        <v>6</v>
      </c>
      <c r="C2846" s="4" t="str">
        <f t="shared" si="99"/>
        <v>-</v>
      </c>
      <c r="D2846" s="4" t="str">
        <f>"13895567"</f>
        <v>13895567</v>
      </c>
      <c r="E2846" s="4" t="str">
        <f>"-"</f>
        <v>-</v>
      </c>
      <c r="F2846" s="4" t="s">
        <v>55</v>
      </c>
    </row>
    <row r="2847" spans="1:6" x14ac:dyDescent="0.25">
      <c r="A2847" s="4" t="str">
        <f>"Journal of Photonics for Energy"</f>
        <v>Journal of Photonics for Energy</v>
      </c>
      <c r="B2847" s="4" t="s">
        <v>6</v>
      </c>
      <c r="C2847" s="4" t="str">
        <f t="shared" si="99"/>
        <v>-</v>
      </c>
      <c r="D2847" s="4" t="str">
        <f>"-"</f>
        <v>-</v>
      </c>
      <c r="E2847" s="4" t="str">
        <f>"19477988"</f>
        <v>19477988</v>
      </c>
      <c r="F2847" s="4" t="s">
        <v>663</v>
      </c>
    </row>
    <row r="2848" spans="1:6" x14ac:dyDescent="0.25">
      <c r="A2848" s="4" t="str">
        <f>"Journal of Physical Chemistry A"</f>
        <v>Journal of Physical Chemistry A</v>
      </c>
      <c r="B2848" s="4" t="s">
        <v>6</v>
      </c>
      <c r="C2848" s="4" t="str">
        <f t="shared" si="99"/>
        <v>-</v>
      </c>
      <c r="D2848" s="4" t="str">
        <f>"10895639"</f>
        <v>10895639</v>
      </c>
      <c r="E2848" s="4" t="str">
        <f>"15205215"</f>
        <v>15205215</v>
      </c>
      <c r="F2848" s="4" t="s">
        <v>28</v>
      </c>
    </row>
    <row r="2849" spans="1:6" x14ac:dyDescent="0.25">
      <c r="A2849" s="4" t="str">
        <f>"Journal of Physical Chemistry B"</f>
        <v>Journal of Physical Chemistry B</v>
      </c>
      <c r="B2849" s="4" t="s">
        <v>6</v>
      </c>
      <c r="C2849" s="4" t="str">
        <f t="shared" si="99"/>
        <v>-</v>
      </c>
      <c r="D2849" s="4" t="str">
        <f>"15206106"</f>
        <v>15206106</v>
      </c>
      <c r="E2849" s="4" t="str">
        <f>"15205207"</f>
        <v>15205207</v>
      </c>
      <c r="F2849" s="4" t="s">
        <v>28</v>
      </c>
    </row>
    <row r="2850" spans="1:6" x14ac:dyDescent="0.25">
      <c r="A2850" s="4" t="str">
        <f>"Journal of Physical Chemistry C"</f>
        <v>Journal of Physical Chemistry C</v>
      </c>
      <c r="B2850" s="4" t="s">
        <v>6</v>
      </c>
      <c r="C2850" s="4" t="str">
        <f t="shared" si="99"/>
        <v>-</v>
      </c>
      <c r="D2850" s="4" t="str">
        <f>"19327447"</f>
        <v>19327447</v>
      </c>
      <c r="E2850" s="4" t="str">
        <f>"19327455"</f>
        <v>19327455</v>
      </c>
      <c r="F2850" s="4" t="s">
        <v>28</v>
      </c>
    </row>
    <row r="2851" spans="1:6" x14ac:dyDescent="0.25">
      <c r="A2851" s="4" t="str">
        <f>"Journal of Physical Chemistry Letters"</f>
        <v>Journal of Physical Chemistry Letters</v>
      </c>
      <c r="B2851" s="4" t="s">
        <v>6</v>
      </c>
      <c r="C2851" s="4" t="str">
        <f t="shared" si="99"/>
        <v>-</v>
      </c>
      <c r="D2851" s="4" t="str">
        <f>"-"</f>
        <v>-</v>
      </c>
      <c r="E2851" s="4" t="str">
        <f>"19487185"</f>
        <v>19487185</v>
      </c>
      <c r="F2851" s="4" t="s">
        <v>28</v>
      </c>
    </row>
    <row r="2852" spans="1:6" x14ac:dyDescent="0.25">
      <c r="A2852" s="4" t="str">
        <f>"Journal of Physical Oceanography"</f>
        <v>Journal of Physical Oceanography</v>
      </c>
      <c r="B2852" s="4" t="s">
        <v>6</v>
      </c>
      <c r="C2852" s="4" t="str">
        <f t="shared" ref="C2852:C2891" si="100">"-"</f>
        <v>-</v>
      </c>
      <c r="D2852" s="4" t="str">
        <f>"00223670"</f>
        <v>00223670</v>
      </c>
      <c r="E2852" s="4" t="str">
        <f>"15200485"</f>
        <v>15200485</v>
      </c>
      <c r="F2852" s="4" t="s">
        <v>225</v>
      </c>
    </row>
    <row r="2853" spans="1:6" x14ac:dyDescent="0.25">
      <c r="A2853" s="4" t="str">
        <f>"Journal of Physical Organic Chemistry"</f>
        <v>Journal of Physical Organic Chemistry</v>
      </c>
      <c r="B2853" s="4" t="s">
        <v>6</v>
      </c>
      <c r="C2853" s="4" t="str">
        <f t="shared" si="100"/>
        <v>-</v>
      </c>
      <c r="D2853" s="4" t="str">
        <f>"08943230"</f>
        <v>08943230</v>
      </c>
      <c r="E2853" s="4" t="str">
        <f>"10991395"</f>
        <v>10991395</v>
      </c>
      <c r="F2853" s="4" t="s">
        <v>142</v>
      </c>
    </row>
    <row r="2854" spans="1:6" x14ac:dyDescent="0.25">
      <c r="A2854" s="4" t="str">
        <f>"Journal of Physical Science"</f>
        <v>Journal of Physical Science</v>
      </c>
      <c r="B2854" s="4" t="s">
        <v>6</v>
      </c>
      <c r="C2854" s="4" t="str">
        <f t="shared" si="100"/>
        <v>-</v>
      </c>
      <c r="D2854" s="4" t="str">
        <f>"16753402"</f>
        <v>16753402</v>
      </c>
      <c r="E2854" s="4" t="str">
        <f>"21804230"</f>
        <v>21804230</v>
      </c>
      <c r="F2854" s="4" t="s">
        <v>744</v>
      </c>
    </row>
    <row r="2855" spans="1:6" x14ac:dyDescent="0.25">
      <c r="A2855" s="4" t="str">
        <f>"Journal of Physics and Chemistry of Solids"</f>
        <v>Journal of Physics and Chemistry of Solids</v>
      </c>
      <c r="B2855" s="4" t="s">
        <v>6</v>
      </c>
      <c r="C2855" s="4" t="str">
        <f t="shared" si="100"/>
        <v>-</v>
      </c>
      <c r="D2855" s="4" t="str">
        <f>"00223697"</f>
        <v>00223697</v>
      </c>
      <c r="E2855" s="4" t="str">
        <f>"-"</f>
        <v>-</v>
      </c>
      <c r="F2855" s="4" t="s">
        <v>19</v>
      </c>
    </row>
    <row r="2856" spans="1:6" x14ac:dyDescent="0.25">
      <c r="A2856" s="4" t="str">
        <f>"Journal of Physics B: Atomic, Molecular and Optical Physics"</f>
        <v>Journal of Physics B: Atomic, Molecular and Optical Physics</v>
      </c>
      <c r="B2856" s="4" t="s">
        <v>6</v>
      </c>
      <c r="C2856" s="4" t="str">
        <f t="shared" si="100"/>
        <v>-</v>
      </c>
      <c r="D2856" s="4" t="str">
        <f>"09534075"</f>
        <v>09534075</v>
      </c>
      <c r="E2856" s="4" t="str">
        <f>"13616455"</f>
        <v>13616455</v>
      </c>
      <c r="F2856" s="4" t="s">
        <v>184</v>
      </c>
    </row>
    <row r="2857" spans="1:6" x14ac:dyDescent="0.25">
      <c r="A2857" s="4" t="str">
        <f>"Journal of Physics Condensed Matter"</f>
        <v>Journal of Physics Condensed Matter</v>
      </c>
      <c r="B2857" s="4" t="s">
        <v>6</v>
      </c>
      <c r="C2857" s="4" t="str">
        <f t="shared" si="100"/>
        <v>-</v>
      </c>
      <c r="D2857" s="4" t="str">
        <f>"09538984"</f>
        <v>09538984</v>
      </c>
      <c r="E2857" s="4" t="str">
        <f>"1361648X"</f>
        <v>1361648X</v>
      </c>
      <c r="F2857" s="4" t="s">
        <v>184</v>
      </c>
    </row>
    <row r="2858" spans="1:6" x14ac:dyDescent="0.25">
      <c r="A2858" s="4" t="str">
        <f>"Journal of Physics D: Applied Physics"</f>
        <v>Journal of Physics D: Applied Physics</v>
      </c>
      <c r="B2858" s="4" t="s">
        <v>6</v>
      </c>
      <c r="C2858" s="4" t="str">
        <f t="shared" si="100"/>
        <v>-</v>
      </c>
      <c r="D2858" s="4" t="str">
        <f>"00223727"</f>
        <v>00223727</v>
      </c>
      <c r="E2858" s="4" t="str">
        <f>"13616463"</f>
        <v>13616463</v>
      </c>
      <c r="F2858" s="4" t="s">
        <v>184</v>
      </c>
    </row>
    <row r="2859" spans="1:6" x14ac:dyDescent="0.25">
      <c r="A2859" s="4" t="str">
        <f>"Journal of Physics: Conference Series"</f>
        <v>Journal of Physics: Conference Series</v>
      </c>
      <c r="B2859" s="4" t="s">
        <v>6</v>
      </c>
      <c r="C2859" s="4" t="str">
        <f t="shared" si="100"/>
        <v>-</v>
      </c>
      <c r="D2859" s="4" t="str">
        <f>"17426588"</f>
        <v>17426588</v>
      </c>
      <c r="E2859" s="4" t="str">
        <f>"17426596"</f>
        <v>17426596</v>
      </c>
      <c r="F2859" s="4" t="s">
        <v>184</v>
      </c>
    </row>
    <row r="2860" spans="1:6" x14ac:dyDescent="0.25">
      <c r="A2860" s="4" t="str">
        <f>"Journal of Pipeline Engineering"</f>
        <v>Journal of Pipeline Engineering</v>
      </c>
      <c r="B2860" s="4" t="s">
        <v>6</v>
      </c>
      <c r="C2860" s="4" t="str">
        <f t="shared" si="100"/>
        <v>-</v>
      </c>
      <c r="D2860" s="4" t="str">
        <f>"17532116"</f>
        <v>17532116</v>
      </c>
      <c r="E2860" s="4" t="str">
        <f>"-"</f>
        <v>-</v>
      </c>
      <c r="F2860" s="4" t="s">
        <v>745</v>
      </c>
    </row>
    <row r="2861" spans="1:6" x14ac:dyDescent="0.25">
      <c r="A2861" s="4" t="str">
        <f>"Journal of Pipeline Systems Engineering and Practice"</f>
        <v>Journal of Pipeline Systems Engineering and Practice</v>
      </c>
      <c r="B2861" s="4" t="s">
        <v>6</v>
      </c>
      <c r="C2861" s="4" t="str">
        <f t="shared" si="100"/>
        <v>-</v>
      </c>
      <c r="D2861" s="4" t="str">
        <f>"19491190"</f>
        <v>19491190</v>
      </c>
      <c r="E2861" s="4" t="str">
        <f>"19491204"</f>
        <v>19491204</v>
      </c>
      <c r="F2861" s="4" t="s">
        <v>111</v>
      </c>
    </row>
    <row r="2862" spans="1:6" x14ac:dyDescent="0.25">
      <c r="A2862" s="4" t="str">
        <f>"Journal of Planar Chromatography - Modern TLC"</f>
        <v>Journal of Planar Chromatography - Modern TLC</v>
      </c>
      <c r="B2862" s="4" t="s">
        <v>6</v>
      </c>
      <c r="C2862" s="4" t="str">
        <f t="shared" si="100"/>
        <v>-</v>
      </c>
      <c r="D2862" s="4" t="str">
        <f>"09334173"</f>
        <v>09334173</v>
      </c>
      <c r="E2862" s="4" t="str">
        <f>"17890993"</f>
        <v>17890993</v>
      </c>
      <c r="F2862" s="4" t="s">
        <v>746</v>
      </c>
    </row>
    <row r="2863" spans="1:6" x14ac:dyDescent="0.25">
      <c r="A2863" s="4" t="str">
        <f>"Journal of Plasma Physics"</f>
        <v>Journal of Plasma Physics</v>
      </c>
      <c r="B2863" s="4" t="s">
        <v>6</v>
      </c>
      <c r="C2863" s="4" t="str">
        <f t="shared" si="100"/>
        <v>-</v>
      </c>
      <c r="D2863" s="4" t="str">
        <f>"00223778"</f>
        <v>00223778</v>
      </c>
      <c r="E2863" s="4" t="str">
        <f>"14697807"</f>
        <v>14697807</v>
      </c>
      <c r="F2863" s="4" t="s">
        <v>152</v>
      </c>
    </row>
    <row r="2864" spans="1:6" x14ac:dyDescent="0.25">
      <c r="A2864" s="4" t="str">
        <f>"Journal of Plastic Film and Sheeting"</f>
        <v>Journal of Plastic Film and Sheeting</v>
      </c>
      <c r="B2864" s="4" t="s">
        <v>6</v>
      </c>
      <c r="C2864" s="4" t="str">
        <f t="shared" si="100"/>
        <v>-</v>
      </c>
      <c r="D2864" s="4" t="str">
        <f>"87560879"</f>
        <v>87560879</v>
      </c>
      <c r="E2864" s="4" t="str">
        <f>"15308014"</f>
        <v>15308014</v>
      </c>
      <c r="F2864" s="4" t="s">
        <v>212</v>
      </c>
    </row>
    <row r="2865" spans="1:6" x14ac:dyDescent="0.25">
      <c r="A2865" s="4" t="str">
        <f>"Journal of Polymer Engineering"</f>
        <v>Journal of Polymer Engineering</v>
      </c>
      <c r="B2865" s="4" t="s">
        <v>6</v>
      </c>
      <c r="C2865" s="4" t="str">
        <f t="shared" si="100"/>
        <v>-</v>
      </c>
      <c r="D2865" s="4" t="str">
        <f>"03346447"</f>
        <v>03346447</v>
      </c>
      <c r="E2865" s="4" t="str">
        <f>"-"</f>
        <v>-</v>
      </c>
      <c r="F2865" s="4" t="s">
        <v>189</v>
      </c>
    </row>
    <row r="2866" spans="1:6" x14ac:dyDescent="0.25">
      <c r="A2866" s="4" t="str">
        <f>"Journal of Polymer Research"</f>
        <v>Journal of Polymer Research</v>
      </c>
      <c r="B2866" s="4" t="s">
        <v>6</v>
      </c>
      <c r="C2866" s="4" t="str">
        <f t="shared" si="100"/>
        <v>-</v>
      </c>
      <c r="D2866" s="4" t="str">
        <f>"10229760"</f>
        <v>10229760</v>
      </c>
      <c r="E2866" s="4" t="str">
        <f>"15728935"</f>
        <v>15728935</v>
      </c>
      <c r="F2866" s="4" t="s">
        <v>31</v>
      </c>
    </row>
    <row r="2867" spans="1:6" x14ac:dyDescent="0.25">
      <c r="A2867" s="4" t="str">
        <f>"Journal of Polymer Science, Part A: Polymer Chemistry"</f>
        <v>Journal of Polymer Science, Part A: Polymer Chemistry</v>
      </c>
      <c r="B2867" s="4" t="s">
        <v>6</v>
      </c>
      <c r="C2867" s="4" t="str">
        <f t="shared" si="100"/>
        <v>-</v>
      </c>
      <c r="D2867" s="4" t="str">
        <f>"0887624X"</f>
        <v>0887624X</v>
      </c>
      <c r="E2867" s="4" t="str">
        <f>"10990518"</f>
        <v>10990518</v>
      </c>
      <c r="F2867" s="4" t="s">
        <v>87</v>
      </c>
    </row>
    <row r="2868" spans="1:6" x14ac:dyDescent="0.25">
      <c r="A2868" s="4" t="str">
        <f>"Journal of Polymer Science, Part B: Polymer Physics"</f>
        <v>Journal of Polymer Science, Part B: Polymer Physics</v>
      </c>
      <c r="B2868" s="4" t="s">
        <v>6</v>
      </c>
      <c r="C2868" s="4" t="str">
        <f t="shared" si="100"/>
        <v>-</v>
      </c>
      <c r="D2868" s="4" t="str">
        <f>"08876266"</f>
        <v>08876266</v>
      </c>
      <c r="E2868" s="4" t="str">
        <f>"10990488"</f>
        <v>10990488</v>
      </c>
      <c r="F2868" s="4" t="s">
        <v>87</v>
      </c>
    </row>
    <row r="2869" spans="1:6" x14ac:dyDescent="0.25">
      <c r="A2869" s="4" t="str">
        <f>"Journal of Polymers and the Environment"</f>
        <v>Journal of Polymers and the Environment</v>
      </c>
      <c r="B2869" s="4" t="s">
        <v>6</v>
      </c>
      <c r="C2869" s="4" t="str">
        <f t="shared" si="100"/>
        <v>-</v>
      </c>
      <c r="D2869" s="4" t="str">
        <f>"15662543"</f>
        <v>15662543</v>
      </c>
      <c r="E2869" s="4" t="str">
        <f>"-"</f>
        <v>-</v>
      </c>
      <c r="F2869" s="4" t="s">
        <v>57</v>
      </c>
    </row>
    <row r="2870" spans="1:6" x14ac:dyDescent="0.25">
      <c r="A2870" s="4" t="str">
        <f>"Journal of Porous Materials"</f>
        <v>Journal of Porous Materials</v>
      </c>
      <c r="B2870" s="4" t="s">
        <v>6</v>
      </c>
      <c r="C2870" s="4" t="str">
        <f t="shared" si="100"/>
        <v>-</v>
      </c>
      <c r="D2870" s="4" t="str">
        <f>"13802224"</f>
        <v>13802224</v>
      </c>
      <c r="E2870" s="4" t="str">
        <f>"15734854"</f>
        <v>15734854</v>
      </c>
      <c r="F2870" s="4" t="s">
        <v>57</v>
      </c>
    </row>
    <row r="2871" spans="1:6" x14ac:dyDescent="0.25">
      <c r="A2871" s="4" t="str">
        <f>"Journal of Porous Media"</f>
        <v>Journal of Porous Media</v>
      </c>
      <c r="B2871" s="4" t="s">
        <v>6</v>
      </c>
      <c r="C2871" s="4" t="str">
        <f t="shared" si="100"/>
        <v>-</v>
      </c>
      <c r="D2871" s="4" t="str">
        <f>"1091028X"</f>
        <v>1091028X</v>
      </c>
      <c r="E2871" s="4" t="str">
        <f>"19340508 "</f>
        <v xml:space="preserve">19340508 </v>
      </c>
      <c r="F2871" s="4" t="s">
        <v>69</v>
      </c>
    </row>
    <row r="2872" spans="1:6" x14ac:dyDescent="0.25">
      <c r="A2872" s="4" t="str">
        <f>"Journal of Power Electronics"</f>
        <v>Journal of Power Electronics</v>
      </c>
      <c r="B2872" s="4" t="s">
        <v>6</v>
      </c>
      <c r="C2872" s="4" t="str">
        <f t="shared" si="100"/>
        <v>-</v>
      </c>
      <c r="D2872" s="4" t="str">
        <f>"15982092"</f>
        <v>15982092</v>
      </c>
      <c r="E2872" s="4" t="str">
        <f>"-"</f>
        <v>-</v>
      </c>
      <c r="F2872" s="4" t="s">
        <v>747</v>
      </c>
    </row>
    <row r="2873" spans="1:6" x14ac:dyDescent="0.25">
      <c r="A2873" s="4" t="str">
        <f>"Journal of Power Sources"</f>
        <v>Journal of Power Sources</v>
      </c>
      <c r="B2873" s="4" t="s">
        <v>6</v>
      </c>
      <c r="C2873" s="4" t="str">
        <f t="shared" si="100"/>
        <v>-</v>
      </c>
      <c r="D2873" s="4" t="str">
        <f>"03787753"</f>
        <v>03787753</v>
      </c>
      <c r="E2873" s="4" t="str">
        <f>"-"</f>
        <v>-</v>
      </c>
      <c r="F2873" s="4" t="s">
        <v>55</v>
      </c>
    </row>
    <row r="2874" spans="1:6" x14ac:dyDescent="0.25">
      <c r="A2874" s="4" t="str">
        <f>"Journal of Power Technologies"</f>
        <v>Journal of Power Technologies</v>
      </c>
      <c r="B2874" s="4" t="s">
        <v>6</v>
      </c>
      <c r="C2874" s="4" t="str">
        <f t="shared" si="100"/>
        <v>-</v>
      </c>
      <c r="D2874" s="4" t="str">
        <f>"20834187"</f>
        <v>20834187</v>
      </c>
      <c r="E2874" s="4" t="str">
        <f>"20834195"</f>
        <v>20834195</v>
      </c>
      <c r="F2874" s="4" t="s">
        <v>748</v>
      </c>
    </row>
    <row r="2875" spans="1:6" x14ac:dyDescent="0.25">
      <c r="A2875" s="4" t="str">
        <f>"Journal of Pressure Vessel Technology, Transactions of the ASME"</f>
        <v>Journal of Pressure Vessel Technology, Transactions of the ASME</v>
      </c>
      <c r="B2875" s="4" t="s">
        <v>6</v>
      </c>
      <c r="C2875" s="4" t="str">
        <f t="shared" si="100"/>
        <v>-</v>
      </c>
      <c r="D2875" s="4" t="str">
        <f>"00949930"</f>
        <v>00949930</v>
      </c>
      <c r="E2875" s="4" t="str">
        <f>"15288978"</f>
        <v>15288978</v>
      </c>
      <c r="F2875" s="4" t="s">
        <v>73</v>
      </c>
    </row>
    <row r="2876" spans="1:6" x14ac:dyDescent="0.25">
      <c r="A2876" s="4" t="str">
        <f>"Journal of Process Control"</f>
        <v>Journal of Process Control</v>
      </c>
      <c r="B2876" s="4" t="s">
        <v>6</v>
      </c>
      <c r="C2876" s="4" t="str">
        <f t="shared" si="100"/>
        <v>-</v>
      </c>
      <c r="D2876" s="4" t="str">
        <f>"09591524"</f>
        <v>09591524</v>
      </c>
      <c r="E2876" s="4" t="str">
        <f>"-"</f>
        <v>-</v>
      </c>
      <c r="F2876" s="4" t="s">
        <v>19</v>
      </c>
    </row>
    <row r="2877" spans="1:6" x14ac:dyDescent="0.25">
      <c r="A2877" s="4" t="str">
        <f>"Journal of Product Innovation Management"</f>
        <v>Journal of Product Innovation Management</v>
      </c>
      <c r="B2877" s="4" t="s">
        <v>6</v>
      </c>
      <c r="C2877" s="4" t="str">
        <f t="shared" si="100"/>
        <v>-</v>
      </c>
      <c r="D2877" s="4" t="str">
        <f>"07376782"</f>
        <v>07376782</v>
      </c>
      <c r="E2877" s="4" t="str">
        <f>"15405885"</f>
        <v>15405885</v>
      </c>
      <c r="F2877" s="4" t="s">
        <v>209</v>
      </c>
    </row>
    <row r="2878" spans="1:6" x14ac:dyDescent="0.25">
      <c r="A2878" s="4" t="str">
        <f>"Journal of Professional Issues in Engineering Education and Practice"</f>
        <v>Journal of Professional Issues in Engineering Education and Practice</v>
      </c>
      <c r="B2878" s="4" t="s">
        <v>6</v>
      </c>
      <c r="C2878" s="4" t="str">
        <f t="shared" si="100"/>
        <v>-</v>
      </c>
      <c r="D2878" s="4" t="str">
        <f>"10523928"</f>
        <v>10523928</v>
      </c>
      <c r="E2878" s="4" t="str">
        <f t="shared" ref="E2878:E2884" si="101">"-"</f>
        <v>-</v>
      </c>
      <c r="F2878" s="4" t="s">
        <v>111</v>
      </c>
    </row>
    <row r="2879" spans="1:6" x14ac:dyDescent="0.25">
      <c r="A2879" s="4" t="str">
        <f>"Journal of Propulsion and Power"</f>
        <v>Journal of Propulsion and Power</v>
      </c>
      <c r="B2879" s="4" t="s">
        <v>6</v>
      </c>
      <c r="C2879" s="4" t="str">
        <f t="shared" si="100"/>
        <v>-</v>
      </c>
      <c r="D2879" s="4" t="str">
        <f>"07484658"</f>
        <v>07484658</v>
      </c>
      <c r="E2879" s="4" t="str">
        <f t="shared" si="101"/>
        <v>-</v>
      </c>
      <c r="F2879" s="4" t="s">
        <v>104</v>
      </c>
    </row>
    <row r="2880" spans="1:6" x14ac:dyDescent="0.25">
      <c r="A2880" s="4" t="str">
        <f>"Journal of Protective Coatings and Linings"</f>
        <v>Journal of Protective Coatings and Linings</v>
      </c>
      <c r="B2880" s="4" t="s">
        <v>6</v>
      </c>
      <c r="C2880" s="4" t="str">
        <f t="shared" si="100"/>
        <v>-</v>
      </c>
      <c r="D2880" s="4" t="str">
        <f>"87551985"</f>
        <v>87551985</v>
      </c>
      <c r="E2880" s="4" t="str">
        <f t="shared" si="101"/>
        <v>-</v>
      </c>
      <c r="F2880" s="4" t="s">
        <v>749</v>
      </c>
    </row>
    <row r="2881" spans="1:6" x14ac:dyDescent="0.25">
      <c r="A2881" s="4" t="str">
        <f>"Journal of Quality"</f>
        <v>Journal of Quality</v>
      </c>
      <c r="B2881" s="4" t="s">
        <v>6</v>
      </c>
      <c r="C2881" s="4" t="str">
        <f t="shared" si="100"/>
        <v>-</v>
      </c>
      <c r="D2881" s="4" t="str">
        <f>"10220690"</f>
        <v>10220690</v>
      </c>
      <c r="E2881" s="4" t="str">
        <f t="shared" si="101"/>
        <v>-</v>
      </c>
      <c r="F2881" s="4" t="s">
        <v>750</v>
      </c>
    </row>
    <row r="2882" spans="1:6" x14ac:dyDescent="0.25">
      <c r="A2882" s="4" t="str">
        <f>"Journal of Quality in Maintenance Engineering"</f>
        <v>Journal of Quality in Maintenance Engineering</v>
      </c>
      <c r="B2882" s="4" t="s">
        <v>6</v>
      </c>
      <c r="C2882" s="4" t="str">
        <f t="shared" si="100"/>
        <v>-</v>
      </c>
      <c r="D2882" s="4" t="str">
        <f>"13552511"</f>
        <v>13552511</v>
      </c>
      <c r="E2882" s="4" t="str">
        <f t="shared" si="101"/>
        <v>-</v>
      </c>
      <c r="F2882" s="4" t="s">
        <v>110</v>
      </c>
    </row>
    <row r="2883" spans="1:6" x14ac:dyDescent="0.25">
      <c r="A2883" s="4" t="str">
        <f>"Journal of Quality Technology"</f>
        <v>Journal of Quality Technology</v>
      </c>
      <c r="B2883" s="4" t="s">
        <v>6</v>
      </c>
      <c r="C2883" s="4" t="str">
        <f t="shared" si="100"/>
        <v>-</v>
      </c>
      <c r="D2883" s="4" t="str">
        <f>"00224065"</f>
        <v>00224065</v>
      </c>
      <c r="E2883" s="4" t="str">
        <f t="shared" si="101"/>
        <v>-</v>
      </c>
      <c r="F2883" s="4" t="s">
        <v>159</v>
      </c>
    </row>
    <row r="2884" spans="1:6" x14ac:dyDescent="0.25">
      <c r="A2884" s="4" t="str">
        <f>"Journal of Quantitative Spectroscopy and Radiative Transfer"</f>
        <v>Journal of Quantitative Spectroscopy and Radiative Transfer</v>
      </c>
      <c r="B2884" s="4" t="s">
        <v>6</v>
      </c>
      <c r="C2884" s="4" t="str">
        <f t="shared" si="100"/>
        <v>-</v>
      </c>
      <c r="D2884" s="4" t="str">
        <f>"00224073"</f>
        <v>00224073</v>
      </c>
      <c r="E2884" s="4" t="str">
        <f t="shared" si="101"/>
        <v>-</v>
      </c>
      <c r="F2884" s="4" t="s">
        <v>19</v>
      </c>
    </row>
    <row r="2885" spans="1:6" x14ac:dyDescent="0.25">
      <c r="A2885" s="4" t="str">
        <f>"Journal of Radiological Protection"</f>
        <v>Journal of Radiological Protection</v>
      </c>
      <c r="B2885" s="4" t="s">
        <v>6</v>
      </c>
      <c r="C2885" s="4" t="str">
        <f t="shared" si="100"/>
        <v>-</v>
      </c>
      <c r="D2885" s="4" t="str">
        <f>"09524746"</f>
        <v>09524746</v>
      </c>
      <c r="E2885" s="4" t="str">
        <f>"13616498"</f>
        <v>13616498</v>
      </c>
      <c r="F2885" s="4" t="s">
        <v>184</v>
      </c>
    </row>
    <row r="2886" spans="1:6" x14ac:dyDescent="0.25">
      <c r="A2886" s="4" t="str">
        <f>"Journal of Rail Transport Planning and Management"</f>
        <v>Journal of Rail Transport Planning and Management</v>
      </c>
      <c r="B2886" s="4" t="s">
        <v>6</v>
      </c>
      <c r="C2886" s="4" t="str">
        <f t="shared" si="100"/>
        <v>-</v>
      </c>
      <c r="D2886" s="4" t="str">
        <f>"22109706"</f>
        <v>22109706</v>
      </c>
      <c r="E2886" s="4" t="str">
        <f>"-"</f>
        <v>-</v>
      </c>
      <c r="F2886" s="4" t="s">
        <v>55</v>
      </c>
    </row>
    <row r="2887" spans="1:6" x14ac:dyDescent="0.25">
      <c r="A2887" s="4" t="str">
        <f>"Journal of Railway Engineering Society"</f>
        <v>Journal of Railway Engineering Society</v>
      </c>
      <c r="B2887" s="4" t="s">
        <v>6</v>
      </c>
      <c r="C2887" s="4" t="str">
        <f t="shared" si="100"/>
        <v>-</v>
      </c>
      <c r="D2887" s="4" t="str">
        <f>"10062106"</f>
        <v>10062106</v>
      </c>
      <c r="E2887" s="4" t="str">
        <f>"-"</f>
        <v>-</v>
      </c>
      <c r="F2887" s="4" t="s">
        <v>751</v>
      </c>
    </row>
    <row r="2888" spans="1:6" x14ac:dyDescent="0.25">
      <c r="A2888" s="4" t="str">
        <f>"Journal of Rare Earths"</f>
        <v>Journal of Rare Earths</v>
      </c>
      <c r="B2888" s="4" t="s">
        <v>6</v>
      </c>
      <c r="C2888" s="4" t="str">
        <f t="shared" si="100"/>
        <v>-</v>
      </c>
      <c r="D2888" s="4" t="str">
        <f>"10020721"</f>
        <v>10020721</v>
      </c>
      <c r="E2888" s="4" t="str">
        <f>"-"</f>
        <v>-</v>
      </c>
      <c r="F2888" s="4" t="s">
        <v>752</v>
      </c>
    </row>
    <row r="2889" spans="1:6" x14ac:dyDescent="0.25">
      <c r="A2889" s="4" t="str">
        <f>"Journal of Real-Time Image Processing"</f>
        <v>Journal of Real-Time Image Processing</v>
      </c>
      <c r="B2889" s="4" t="s">
        <v>6</v>
      </c>
      <c r="C2889" s="4" t="str">
        <f t="shared" si="100"/>
        <v>-</v>
      </c>
      <c r="D2889" s="4" t="str">
        <f>"18618200"</f>
        <v>18618200</v>
      </c>
      <c r="E2889" s="4" t="str">
        <f>"-"</f>
        <v>-</v>
      </c>
      <c r="F2889" s="4" t="s">
        <v>42</v>
      </c>
    </row>
    <row r="2890" spans="1:6" x14ac:dyDescent="0.25">
      <c r="A2890" s="4" t="str">
        <f>"Journal of Rehabilitation Research and Development"</f>
        <v>Journal of Rehabilitation Research and Development</v>
      </c>
      <c r="B2890" s="4" t="s">
        <v>6</v>
      </c>
      <c r="C2890" s="4" t="str">
        <f t="shared" si="100"/>
        <v>-</v>
      </c>
      <c r="D2890" s="4" t="str">
        <f>"07487711"</f>
        <v>07487711</v>
      </c>
      <c r="E2890" s="4" t="str">
        <f>"19381352"</f>
        <v>19381352</v>
      </c>
      <c r="F2890" s="4" t="s">
        <v>753</v>
      </c>
    </row>
    <row r="2891" spans="1:6" x14ac:dyDescent="0.25">
      <c r="A2891" s="4" t="str">
        <f>"Journal of Reinforced Plastics and Composites"</f>
        <v>Journal of Reinforced Plastics and Composites</v>
      </c>
      <c r="B2891" s="4" t="s">
        <v>6</v>
      </c>
      <c r="C2891" s="4" t="str">
        <f t="shared" si="100"/>
        <v>-</v>
      </c>
      <c r="D2891" s="4" t="str">
        <f>"07316844"</f>
        <v>07316844</v>
      </c>
      <c r="E2891" s="4" t="str">
        <f>"15307964"</f>
        <v>15307964</v>
      </c>
      <c r="F2891" s="4" t="s">
        <v>212</v>
      </c>
    </row>
    <row r="2892" spans="1:6" x14ac:dyDescent="0.25">
      <c r="A2892" s="4" t="s">
        <v>754</v>
      </c>
      <c r="B2892" s="4" t="s">
        <v>6</v>
      </c>
      <c r="D2892" s="4" t="s">
        <v>755</v>
      </c>
      <c r="F2892" s="4" t="s">
        <v>37</v>
      </c>
    </row>
    <row r="2893" spans="1:6" x14ac:dyDescent="0.25">
      <c r="A2893" s="4" t="str">
        <f>"Journal of Renewable and Sustainable Energy"</f>
        <v>Journal of Renewable and Sustainable Energy</v>
      </c>
      <c r="B2893" s="4" t="s">
        <v>6</v>
      </c>
      <c r="C2893" s="4" t="str">
        <f>"-"</f>
        <v>-</v>
      </c>
      <c r="D2893" s="4" t="str">
        <f>"-"</f>
        <v>-</v>
      </c>
      <c r="E2893" s="4" t="str">
        <f>"19417012"</f>
        <v>19417012</v>
      </c>
      <c r="F2893" s="4" t="s">
        <v>108</v>
      </c>
    </row>
    <row r="2894" spans="1:6" x14ac:dyDescent="0.25">
      <c r="A2894" s="4" t="str">
        <f>"Journal of Research in Science Teaching"</f>
        <v>Journal of Research in Science Teaching</v>
      </c>
      <c r="B2894" s="4" t="s">
        <v>6</v>
      </c>
      <c r="C2894" s="4" t="str">
        <f t="shared" ref="C2894:C2955" si="102">"-"</f>
        <v>-</v>
      </c>
      <c r="D2894" s="4" t="str">
        <f>"00224308"</f>
        <v>00224308</v>
      </c>
      <c r="E2894" s="4" t="str">
        <f>"10982736"</f>
        <v>10982736</v>
      </c>
      <c r="F2894" s="4" t="s">
        <v>87</v>
      </c>
    </row>
    <row r="2895" spans="1:6" x14ac:dyDescent="0.25">
      <c r="A2895" s="4" t="str">
        <f>"Journal of Research of the National Institute of Standards and Technology"</f>
        <v>Journal of Research of the National Institute of Standards and Technology</v>
      </c>
      <c r="B2895" s="4" t="s">
        <v>6</v>
      </c>
      <c r="C2895" s="4" t="str">
        <f t="shared" si="102"/>
        <v>-</v>
      </c>
      <c r="D2895" s="4" t="str">
        <f>"1044677X"</f>
        <v>1044677X</v>
      </c>
      <c r="E2895" s="4" t="str">
        <f>"-"</f>
        <v>-</v>
      </c>
      <c r="F2895" s="4" t="s">
        <v>756</v>
      </c>
    </row>
    <row r="2896" spans="1:6" x14ac:dyDescent="0.25">
      <c r="A2896" s="4" t="str">
        <f>"Journal of Residuals Science and Technology"</f>
        <v>Journal of Residuals Science and Technology</v>
      </c>
      <c r="B2896" s="4" t="s">
        <v>6</v>
      </c>
      <c r="C2896" s="4" t="str">
        <f t="shared" si="102"/>
        <v>-</v>
      </c>
      <c r="D2896" s="4" t="str">
        <f>"15448053"</f>
        <v>15448053</v>
      </c>
      <c r="E2896" s="4" t="str">
        <f>"-"</f>
        <v>-</v>
      </c>
      <c r="F2896" s="4" t="s">
        <v>757</v>
      </c>
    </row>
    <row r="2897" spans="1:6" x14ac:dyDescent="0.25">
      <c r="A2897" s="4" t="str">
        <f>"Journal of Rheology"</f>
        <v>Journal of Rheology</v>
      </c>
      <c r="B2897" s="4" t="s">
        <v>6</v>
      </c>
      <c r="C2897" s="4" t="str">
        <f t="shared" si="102"/>
        <v>-</v>
      </c>
      <c r="D2897" s="4" t="str">
        <f>"01486055"</f>
        <v>01486055</v>
      </c>
      <c r="E2897" s="4" t="str">
        <f>"15208516"</f>
        <v>15208516</v>
      </c>
      <c r="F2897" s="4" t="s">
        <v>758</v>
      </c>
    </row>
    <row r="2898" spans="1:6" x14ac:dyDescent="0.25">
      <c r="A2898" s="4" t="str">
        <f>"Journal of Risk Research"</f>
        <v>Journal of Risk Research</v>
      </c>
      <c r="B2898" s="4" t="s">
        <v>6</v>
      </c>
      <c r="C2898" s="4" t="str">
        <f t="shared" si="102"/>
        <v>-</v>
      </c>
      <c r="D2898" s="4" t="str">
        <f>"13669877"</f>
        <v>13669877</v>
      </c>
      <c r="E2898" s="4" t="str">
        <f>"14664461"</f>
        <v>14664461</v>
      </c>
      <c r="F2898" s="4" t="s">
        <v>211</v>
      </c>
    </row>
    <row r="2899" spans="1:6" x14ac:dyDescent="0.25">
      <c r="A2899" s="4" t="str">
        <f>"Journal of Robotics"</f>
        <v>Journal of Robotics</v>
      </c>
      <c r="B2899" s="4" t="s">
        <v>6</v>
      </c>
      <c r="C2899" s="4" t="str">
        <f t="shared" si="102"/>
        <v>-</v>
      </c>
      <c r="D2899" s="4" t="str">
        <f>"16879600"</f>
        <v>16879600</v>
      </c>
      <c r="E2899" s="4" t="str">
        <f>"16879619"</f>
        <v>16879619</v>
      </c>
      <c r="F2899" s="4" t="s">
        <v>54</v>
      </c>
    </row>
    <row r="2900" spans="1:6" x14ac:dyDescent="0.25">
      <c r="A2900" s="4" t="str">
        <f>"Journal of Robotics and Mechatronics"</f>
        <v>Journal of Robotics and Mechatronics</v>
      </c>
      <c r="B2900" s="4" t="s">
        <v>6</v>
      </c>
      <c r="C2900" s="4" t="str">
        <f t="shared" si="102"/>
        <v>-</v>
      </c>
      <c r="D2900" s="4" t="str">
        <f>"09153942"</f>
        <v>09153942</v>
      </c>
      <c r="E2900" s="4" t="str">
        <f>"18838049"</f>
        <v>18838049</v>
      </c>
      <c r="F2900" s="4" t="s">
        <v>565</v>
      </c>
    </row>
    <row r="2901" spans="1:6" x14ac:dyDescent="0.25">
      <c r="A2901" s="4" t="str">
        <f>"Journal of Safety Research"</f>
        <v>Journal of Safety Research</v>
      </c>
      <c r="B2901" s="4" t="s">
        <v>6</v>
      </c>
      <c r="C2901" s="4" t="str">
        <f t="shared" si="102"/>
        <v>-</v>
      </c>
      <c r="D2901" s="4" t="str">
        <f>"00224375"</f>
        <v>00224375</v>
      </c>
      <c r="E2901" s="4" t="str">
        <f>"-"</f>
        <v>-</v>
      </c>
      <c r="F2901" s="4" t="s">
        <v>19</v>
      </c>
    </row>
    <row r="2902" spans="1:6" x14ac:dyDescent="0.25">
      <c r="A2902" s="4" t="str">
        <f>"Journal of Sandwich Structures and Materials"</f>
        <v>Journal of Sandwich Structures and Materials</v>
      </c>
      <c r="B2902" s="4" t="s">
        <v>6</v>
      </c>
      <c r="C2902" s="4" t="str">
        <f t="shared" si="102"/>
        <v>-</v>
      </c>
      <c r="D2902" s="4" t="str">
        <f>"10996362"</f>
        <v>10996362</v>
      </c>
      <c r="E2902" s="4" t="str">
        <f>"15307972"</f>
        <v>15307972</v>
      </c>
      <c r="F2902" s="4" t="s">
        <v>212</v>
      </c>
    </row>
    <row r="2903" spans="1:6" x14ac:dyDescent="0.25">
      <c r="A2903" s="4" t="str">
        <f>"Journal of Scheduling"</f>
        <v>Journal of Scheduling</v>
      </c>
      <c r="B2903" s="4" t="s">
        <v>6</v>
      </c>
      <c r="C2903" s="4" t="str">
        <f t="shared" si="102"/>
        <v>-</v>
      </c>
      <c r="D2903" s="4" t="str">
        <f>"10946136"</f>
        <v>10946136</v>
      </c>
      <c r="E2903" s="4" t="str">
        <f>"-"</f>
        <v>-</v>
      </c>
      <c r="F2903" s="4" t="s">
        <v>57</v>
      </c>
    </row>
    <row r="2904" spans="1:6" x14ac:dyDescent="0.25">
      <c r="A2904" s="4" t="str">
        <f>"Journal of Scientific Computing"</f>
        <v>Journal of Scientific Computing</v>
      </c>
      <c r="B2904" s="4" t="s">
        <v>6</v>
      </c>
      <c r="C2904" s="4" t="str">
        <f t="shared" si="102"/>
        <v>-</v>
      </c>
      <c r="D2904" s="4" t="str">
        <f>"08857474"</f>
        <v>08857474</v>
      </c>
      <c r="E2904" s="4" t="str">
        <f>"-"</f>
        <v>-</v>
      </c>
      <c r="F2904" s="4" t="s">
        <v>57</v>
      </c>
    </row>
    <row r="2905" spans="1:6" x14ac:dyDescent="0.25">
      <c r="A2905" s="4" t="str">
        <f>"Journal of Scientific Exploration"</f>
        <v>Journal of Scientific Exploration</v>
      </c>
      <c r="B2905" s="4" t="s">
        <v>6</v>
      </c>
      <c r="C2905" s="4" t="str">
        <f t="shared" si="102"/>
        <v>-</v>
      </c>
      <c r="D2905" s="4" t="str">
        <f>"08923310"</f>
        <v>08923310</v>
      </c>
      <c r="E2905" s="4" t="str">
        <f>"-"</f>
        <v>-</v>
      </c>
      <c r="F2905" s="4" t="s">
        <v>759</v>
      </c>
    </row>
    <row r="2906" spans="1:6" x14ac:dyDescent="0.25">
      <c r="A2906" s="4" t="str">
        <f>"Journal of Semiconductor Technology and Science"</f>
        <v>Journal of Semiconductor Technology and Science</v>
      </c>
      <c r="B2906" s="4" t="s">
        <v>6</v>
      </c>
      <c r="C2906" s="4" t="str">
        <f t="shared" si="102"/>
        <v>-</v>
      </c>
      <c r="D2906" s="4" t="str">
        <f>"15981657"</f>
        <v>15981657</v>
      </c>
      <c r="E2906" s="4" t="str">
        <f>"-"</f>
        <v>-</v>
      </c>
      <c r="F2906" s="4" t="s">
        <v>760</v>
      </c>
    </row>
    <row r="2907" spans="1:6" x14ac:dyDescent="0.25">
      <c r="A2907" s="4" t="str">
        <f>"Journal of Sensors"</f>
        <v>Journal of Sensors</v>
      </c>
      <c r="B2907" s="4" t="s">
        <v>6</v>
      </c>
      <c r="C2907" s="4" t="str">
        <f t="shared" si="102"/>
        <v>-</v>
      </c>
      <c r="D2907" s="4" t="str">
        <f>"1687725X"</f>
        <v>1687725X</v>
      </c>
      <c r="E2907" s="4" t="str">
        <f>"16877268"</f>
        <v>16877268</v>
      </c>
      <c r="F2907" s="4" t="s">
        <v>54</v>
      </c>
    </row>
    <row r="2908" spans="1:6" x14ac:dyDescent="0.25">
      <c r="A2908" s="4" t="str">
        <f>"Journal of Sensory Studies"</f>
        <v>Journal of Sensory Studies</v>
      </c>
      <c r="B2908" s="4" t="s">
        <v>6</v>
      </c>
      <c r="C2908" s="4" t="str">
        <f t="shared" si="102"/>
        <v>-</v>
      </c>
      <c r="D2908" s="4" t="str">
        <f>"08878250"</f>
        <v>08878250</v>
      </c>
      <c r="E2908" s="4" t="str">
        <f>"1745459X"</f>
        <v>1745459X</v>
      </c>
      <c r="F2908" s="4" t="s">
        <v>209</v>
      </c>
    </row>
    <row r="2909" spans="1:6" x14ac:dyDescent="0.25">
      <c r="A2909" s="4" t="str">
        <f>"Journal of Separation Science"</f>
        <v>Journal of Separation Science</v>
      </c>
      <c r="B2909" s="4" t="s">
        <v>6</v>
      </c>
      <c r="C2909" s="4" t="str">
        <f t="shared" si="102"/>
        <v>-</v>
      </c>
      <c r="D2909" s="4" t="str">
        <f>"16159306"</f>
        <v>16159306</v>
      </c>
      <c r="E2909" s="4" t="str">
        <f>"16159314"</f>
        <v>16159314</v>
      </c>
      <c r="F2909" s="4" t="s">
        <v>63</v>
      </c>
    </row>
    <row r="2910" spans="1:6" x14ac:dyDescent="0.25">
      <c r="A2910" s="4" t="str">
        <f>"Journal of Shanghai Jiaotong University (Science)"</f>
        <v>Journal of Shanghai Jiaotong University (Science)</v>
      </c>
      <c r="B2910" s="4" t="s">
        <v>6</v>
      </c>
      <c r="C2910" s="4" t="str">
        <f t="shared" si="102"/>
        <v>-</v>
      </c>
      <c r="D2910" s="4" t="str">
        <f>"10071172"</f>
        <v>10071172</v>
      </c>
      <c r="E2910" s="4" t="str">
        <f>"19958188"</f>
        <v>19958188</v>
      </c>
      <c r="F2910" s="4" t="s">
        <v>761</v>
      </c>
    </row>
    <row r="2911" spans="1:6" x14ac:dyDescent="0.25">
      <c r="A2911" s="4" t="str">
        <f>"Journal of Ship Production and Design"</f>
        <v>Journal of Ship Production and Design</v>
      </c>
      <c r="B2911" s="4" t="s">
        <v>6</v>
      </c>
      <c r="C2911" s="4" t="str">
        <f t="shared" si="102"/>
        <v>-</v>
      </c>
      <c r="D2911" s="4" t="str">
        <f>"21582866"</f>
        <v>21582866</v>
      </c>
      <c r="E2911" s="4" t="str">
        <f>"21582874"</f>
        <v>21582874</v>
      </c>
      <c r="F2911" s="4" t="s">
        <v>762</v>
      </c>
    </row>
    <row r="2912" spans="1:6" x14ac:dyDescent="0.25">
      <c r="A2912" s="4" t="str">
        <f>"Journal of Ship Research"</f>
        <v>Journal of Ship Research</v>
      </c>
      <c r="B2912" s="4" t="s">
        <v>6</v>
      </c>
      <c r="C2912" s="4" t="str">
        <f t="shared" si="102"/>
        <v>-</v>
      </c>
      <c r="D2912" s="4" t="str">
        <f>"00224502"</f>
        <v>00224502</v>
      </c>
      <c r="E2912" s="4" t="str">
        <f>"15420604"</f>
        <v>15420604</v>
      </c>
      <c r="F2912" s="4" t="s">
        <v>762</v>
      </c>
    </row>
    <row r="2913" spans="1:6" x14ac:dyDescent="0.25">
      <c r="A2913" s="4" t="str">
        <f>"Journal of Signal Processing Systems"</f>
        <v>Journal of Signal Processing Systems</v>
      </c>
      <c r="B2913" s="4" t="s">
        <v>6</v>
      </c>
      <c r="C2913" s="4" t="str">
        <f t="shared" si="102"/>
        <v>-</v>
      </c>
      <c r="D2913" s="4" t="str">
        <f>"19398018"</f>
        <v>19398018</v>
      </c>
      <c r="E2913" s="4" t="str">
        <f>"19398115"</f>
        <v>19398115</v>
      </c>
      <c r="F2913" s="4" t="s">
        <v>57</v>
      </c>
    </row>
    <row r="2914" spans="1:6" x14ac:dyDescent="0.25">
      <c r="A2914" s="4" t="str">
        <f>"Journal of Simulation"</f>
        <v>Journal of Simulation</v>
      </c>
      <c r="B2914" s="4" t="s">
        <v>6</v>
      </c>
      <c r="C2914" s="4" t="str">
        <f t="shared" si="102"/>
        <v>-</v>
      </c>
      <c r="D2914" s="4" t="str">
        <f>"17477778"</f>
        <v>17477778</v>
      </c>
      <c r="E2914" s="4" t="str">
        <f>"17477786"</f>
        <v>17477786</v>
      </c>
      <c r="F2914" s="4" t="s">
        <v>397</v>
      </c>
    </row>
    <row r="2915" spans="1:6" x14ac:dyDescent="0.25">
      <c r="A2915" s="4" t="str">
        <f>"Journal of Software Engineering"</f>
        <v>Journal of Software Engineering</v>
      </c>
      <c r="B2915" s="4" t="s">
        <v>6</v>
      </c>
      <c r="C2915" s="4" t="str">
        <f t="shared" si="102"/>
        <v>-</v>
      </c>
      <c r="D2915" s="4" t="str">
        <f>"18194311"</f>
        <v>18194311</v>
      </c>
      <c r="E2915" s="4" t="str">
        <f>"21520941"</f>
        <v>21520941</v>
      </c>
      <c r="F2915" s="4" t="s">
        <v>763</v>
      </c>
    </row>
    <row r="2916" spans="1:6" x14ac:dyDescent="0.25">
      <c r="A2916" s="4" t="str">
        <f>"Journal of Software: Evolution and Process"</f>
        <v>Journal of Software: Evolution and Process</v>
      </c>
      <c r="B2916" s="4" t="s">
        <v>6</v>
      </c>
      <c r="C2916" s="4" t="str">
        <f t="shared" si="102"/>
        <v>-</v>
      </c>
      <c r="D2916" s="4" t="str">
        <f>"-"</f>
        <v>-</v>
      </c>
      <c r="E2916" s="4" t="str">
        <f>"20477481"</f>
        <v>20477481</v>
      </c>
      <c r="F2916" s="4" t="s">
        <v>142</v>
      </c>
    </row>
    <row r="2917" spans="1:6" x14ac:dyDescent="0.25">
      <c r="A2917" s="4" t="str">
        <f>"Journal of Solar Energy Engineering, Transactions of the ASME"</f>
        <v>Journal of Solar Energy Engineering, Transactions of the ASME</v>
      </c>
      <c r="B2917" s="4" t="s">
        <v>6</v>
      </c>
      <c r="C2917" s="4" t="str">
        <f t="shared" si="102"/>
        <v>-</v>
      </c>
      <c r="D2917" s="4" t="str">
        <f>"01996231"</f>
        <v>01996231</v>
      </c>
      <c r="E2917" s="4" t="str">
        <f>"15288986"</f>
        <v>15288986</v>
      </c>
      <c r="F2917" s="4" t="s">
        <v>73</v>
      </c>
    </row>
    <row r="2918" spans="1:6" x14ac:dyDescent="0.25">
      <c r="A2918" s="4" t="str">
        <f>"Journal of Sol-Gel Science and Technology"</f>
        <v>Journal of Sol-Gel Science and Technology</v>
      </c>
      <c r="B2918" s="4" t="s">
        <v>6</v>
      </c>
      <c r="C2918" s="4" t="str">
        <f t="shared" si="102"/>
        <v>-</v>
      </c>
      <c r="D2918" s="4" t="str">
        <f>"09280707"</f>
        <v>09280707</v>
      </c>
      <c r="E2918" s="4" t="str">
        <f>"15734846"</f>
        <v>15734846</v>
      </c>
      <c r="F2918" s="4" t="s">
        <v>57</v>
      </c>
    </row>
    <row r="2919" spans="1:6" x14ac:dyDescent="0.25">
      <c r="A2919" s="4" t="str">
        <f>"Journal of Solid State Chemistry"</f>
        <v>Journal of Solid State Chemistry</v>
      </c>
      <c r="B2919" s="4" t="s">
        <v>6</v>
      </c>
      <c r="C2919" s="4" t="str">
        <f t="shared" si="102"/>
        <v>-</v>
      </c>
      <c r="D2919" s="4" t="str">
        <f>"00224596"</f>
        <v>00224596</v>
      </c>
      <c r="E2919" s="4" t="str">
        <f>"1095726X"</f>
        <v>1095726X</v>
      </c>
      <c r="F2919" s="4" t="s">
        <v>71</v>
      </c>
    </row>
    <row r="2920" spans="1:6" x14ac:dyDescent="0.25">
      <c r="A2920" s="4" t="str">
        <f>"Journal of Solid State Electrochemistry"</f>
        <v>Journal of Solid State Electrochemistry</v>
      </c>
      <c r="B2920" s="4" t="s">
        <v>6</v>
      </c>
      <c r="C2920" s="4" t="str">
        <f t="shared" si="102"/>
        <v>-</v>
      </c>
      <c r="D2920" s="4" t="str">
        <f>"14328488"</f>
        <v>14328488</v>
      </c>
      <c r="E2920" s="4" t="str">
        <f>"-"</f>
        <v>-</v>
      </c>
      <c r="F2920" s="4" t="s">
        <v>57</v>
      </c>
    </row>
    <row r="2921" spans="1:6" x14ac:dyDescent="0.25">
      <c r="A2921" s="4" t="str">
        <f>"Journal of Solid Waste Technology and Management"</f>
        <v>Journal of Solid Waste Technology and Management</v>
      </c>
      <c r="B2921" s="4" t="s">
        <v>6</v>
      </c>
      <c r="C2921" s="4" t="str">
        <f t="shared" si="102"/>
        <v>-</v>
      </c>
      <c r="D2921" s="4" t="str">
        <f>"10881697"</f>
        <v>10881697</v>
      </c>
      <c r="E2921" s="4" t="str">
        <f>"-"</f>
        <v>-</v>
      </c>
      <c r="F2921" s="4" t="s">
        <v>764</v>
      </c>
    </row>
    <row r="2922" spans="1:6" x14ac:dyDescent="0.25">
      <c r="A2922" s="4" t="str">
        <f>"Journal of Sound and Vibration"</f>
        <v>Journal of Sound and Vibration</v>
      </c>
      <c r="B2922" s="4" t="s">
        <v>6</v>
      </c>
      <c r="C2922" s="4" t="str">
        <f t="shared" si="102"/>
        <v>-</v>
      </c>
      <c r="D2922" s="4" t="str">
        <f>"0022460X"</f>
        <v>0022460X</v>
      </c>
      <c r="E2922" s="4" t="str">
        <f>"10958568"</f>
        <v>10958568</v>
      </c>
      <c r="F2922" s="4" t="s">
        <v>193</v>
      </c>
    </row>
    <row r="2923" spans="1:6" x14ac:dyDescent="0.25">
      <c r="A2923" s="4" t="str">
        <f>"Journal of Southeast University (English Edition)"</f>
        <v>Journal of Southeast University (English Edition)</v>
      </c>
      <c r="B2923" s="4" t="s">
        <v>6</v>
      </c>
      <c r="C2923" s="4" t="str">
        <f t="shared" si="102"/>
        <v>-</v>
      </c>
      <c r="D2923" s="4" t="str">
        <f>"10037985"</f>
        <v>10037985</v>
      </c>
      <c r="E2923" s="4" t="str">
        <f>"-"</f>
        <v>-</v>
      </c>
      <c r="F2923" s="4" t="s">
        <v>343</v>
      </c>
    </row>
    <row r="2924" spans="1:6" x14ac:dyDescent="0.25">
      <c r="A2924" s="4" t="str">
        <f>"Journal of Spacecraft and Rockets"</f>
        <v>Journal of Spacecraft and Rockets</v>
      </c>
      <c r="B2924" s="4" t="s">
        <v>6</v>
      </c>
      <c r="C2924" s="4" t="str">
        <f t="shared" si="102"/>
        <v>-</v>
      </c>
      <c r="D2924" s="4" t="str">
        <f>"00224650"</f>
        <v>00224650</v>
      </c>
      <c r="E2924" s="4" t="str">
        <f>"-"</f>
        <v>-</v>
      </c>
      <c r="F2924" s="4" t="s">
        <v>104</v>
      </c>
    </row>
    <row r="2925" spans="1:6" x14ac:dyDescent="0.25">
      <c r="A2925" s="4" t="str">
        <f>"Journal of Spacecraft Technology"</f>
        <v>Journal of Spacecraft Technology</v>
      </c>
      <c r="B2925" s="4" t="s">
        <v>6</v>
      </c>
      <c r="C2925" s="4" t="str">
        <f t="shared" si="102"/>
        <v>-</v>
      </c>
      <c r="D2925" s="4" t="str">
        <f>"09711600"</f>
        <v>09711600</v>
      </c>
      <c r="E2925" s="4" t="str">
        <f>"-"</f>
        <v>-</v>
      </c>
      <c r="F2925" s="4" t="s">
        <v>765</v>
      </c>
    </row>
    <row r="2926" spans="1:6" x14ac:dyDescent="0.25">
      <c r="A2926" s="4" t="str">
        <f>"Journal of Spectroscopy"</f>
        <v>Journal of Spectroscopy</v>
      </c>
      <c r="B2926" s="4" t="s">
        <v>6</v>
      </c>
      <c r="C2926" s="4" t="str">
        <f t="shared" si="102"/>
        <v>-</v>
      </c>
      <c r="D2926" s="4" t="str">
        <f>"23144920"</f>
        <v>23144920</v>
      </c>
      <c r="E2926" s="4" t="str">
        <f>"23144939"</f>
        <v>23144939</v>
      </c>
      <c r="F2926" s="4" t="s">
        <v>54</v>
      </c>
    </row>
    <row r="2927" spans="1:6" x14ac:dyDescent="0.25">
      <c r="A2927" s="4" t="str">
        <f>"Journal of Strain Analysis for Engineering Design"</f>
        <v>Journal of Strain Analysis for Engineering Design</v>
      </c>
      <c r="B2927" s="4" t="s">
        <v>6</v>
      </c>
      <c r="C2927" s="4" t="str">
        <f t="shared" si="102"/>
        <v>-</v>
      </c>
      <c r="D2927" s="4" t="str">
        <f>"03093247"</f>
        <v>03093247</v>
      </c>
      <c r="E2927" s="4" t="str">
        <f>"20413130"</f>
        <v>20413130</v>
      </c>
      <c r="F2927" s="4" t="s">
        <v>212</v>
      </c>
    </row>
    <row r="2928" spans="1:6" x14ac:dyDescent="0.25">
      <c r="A2928" s="4" t="str">
        <f>"Journal of Strategic Information Systems"</f>
        <v>Journal of Strategic Information Systems</v>
      </c>
      <c r="B2928" s="4" t="s">
        <v>6</v>
      </c>
      <c r="C2928" s="4" t="str">
        <f t="shared" si="102"/>
        <v>-</v>
      </c>
      <c r="D2928" s="4" t="str">
        <f>"09638687"</f>
        <v>09638687</v>
      </c>
      <c r="E2928" s="4" t="str">
        <f>"-"</f>
        <v>-</v>
      </c>
      <c r="F2928" s="4" t="s">
        <v>55</v>
      </c>
    </row>
    <row r="2929" spans="1:6" x14ac:dyDescent="0.25">
      <c r="A2929" s="4" t="str">
        <f>"Journal of Structural and Construction Engineering"</f>
        <v>Journal of Structural and Construction Engineering</v>
      </c>
      <c r="B2929" s="4" t="s">
        <v>6</v>
      </c>
      <c r="C2929" s="4" t="str">
        <f t="shared" si="102"/>
        <v>-</v>
      </c>
      <c r="D2929" s="4" t="str">
        <f>"13404202"</f>
        <v>13404202</v>
      </c>
      <c r="E2929" s="4" t="str">
        <f>"18818153"</f>
        <v>18818153</v>
      </c>
      <c r="F2929" s="4" t="s">
        <v>107</v>
      </c>
    </row>
    <row r="2930" spans="1:6" x14ac:dyDescent="0.25">
      <c r="A2930" s="4" t="str">
        <f>"Journal of Structural Engineering (India)"</f>
        <v>Journal of Structural Engineering (India)</v>
      </c>
      <c r="B2930" s="4" t="s">
        <v>6</v>
      </c>
      <c r="C2930" s="4" t="str">
        <f t="shared" si="102"/>
        <v>-</v>
      </c>
      <c r="D2930" s="4" t="str">
        <f>"09700137"</f>
        <v>09700137</v>
      </c>
      <c r="E2930" s="4" t="str">
        <f>"-"</f>
        <v>-</v>
      </c>
      <c r="F2930" s="4" t="s">
        <v>766</v>
      </c>
    </row>
    <row r="2931" spans="1:6" x14ac:dyDescent="0.25">
      <c r="A2931" s="4" t="str">
        <f>"Journal of Structural Engineering (United States)"</f>
        <v>Journal of Structural Engineering (United States)</v>
      </c>
      <c r="B2931" s="4" t="s">
        <v>6</v>
      </c>
      <c r="C2931" s="4" t="str">
        <f t="shared" si="102"/>
        <v>-</v>
      </c>
      <c r="D2931" s="4" t="str">
        <f>"07339445"</f>
        <v>07339445</v>
      </c>
      <c r="E2931" s="4" t="str">
        <f>"-"</f>
        <v>-</v>
      </c>
      <c r="F2931" s="4" t="s">
        <v>111</v>
      </c>
    </row>
    <row r="2932" spans="1:6" x14ac:dyDescent="0.25">
      <c r="A2932" s="4" t="str">
        <f>"Journal of Structural Fire Engineering"</f>
        <v>Journal of Structural Fire Engineering</v>
      </c>
      <c r="B2932" s="4" t="s">
        <v>6</v>
      </c>
      <c r="C2932" s="4" t="str">
        <f t="shared" si="102"/>
        <v>-</v>
      </c>
      <c r="D2932" s="4" t="str">
        <f>"20402317"</f>
        <v>20402317</v>
      </c>
      <c r="E2932" s="4" t="str">
        <f>"20402325"</f>
        <v>20402325</v>
      </c>
      <c r="F2932" s="4" t="s">
        <v>58</v>
      </c>
    </row>
    <row r="2933" spans="1:6" x14ac:dyDescent="0.25">
      <c r="A2933" s="4" t="str">
        <f>"Journal of Structural Geology"</f>
        <v>Journal of Structural Geology</v>
      </c>
      <c r="B2933" s="4" t="s">
        <v>6</v>
      </c>
      <c r="C2933" s="4" t="str">
        <f t="shared" si="102"/>
        <v>-</v>
      </c>
      <c r="D2933" s="4" t="str">
        <f>"01918141"</f>
        <v>01918141</v>
      </c>
      <c r="E2933" s="4" t="str">
        <f>"-"</f>
        <v>-</v>
      </c>
      <c r="F2933" s="4" t="s">
        <v>19</v>
      </c>
    </row>
    <row r="2934" spans="1:6" x14ac:dyDescent="0.25">
      <c r="A2934" s="4" t="str">
        <f>"Journal of Supercomputing"</f>
        <v>Journal of Supercomputing</v>
      </c>
      <c r="B2934" s="4" t="s">
        <v>6</v>
      </c>
      <c r="C2934" s="4" t="str">
        <f t="shared" si="102"/>
        <v>-</v>
      </c>
      <c r="D2934" s="4" t="str">
        <f>"09208542"</f>
        <v>09208542</v>
      </c>
      <c r="E2934" s="4" t="str">
        <f>"15730484"</f>
        <v>15730484</v>
      </c>
      <c r="F2934" s="4" t="s">
        <v>57</v>
      </c>
    </row>
    <row r="2935" spans="1:6" x14ac:dyDescent="0.25">
      <c r="A2935" s="4" t="str">
        <f>"Journal of Superconductivity and Novel Magnetism"</f>
        <v>Journal of Superconductivity and Novel Magnetism</v>
      </c>
      <c r="B2935" s="4" t="s">
        <v>6</v>
      </c>
      <c r="C2935" s="4" t="str">
        <f t="shared" si="102"/>
        <v>-</v>
      </c>
      <c r="D2935" s="4" t="str">
        <f>"15571939"</f>
        <v>15571939</v>
      </c>
      <c r="E2935" s="4" t="str">
        <f>"15571947"</f>
        <v>15571947</v>
      </c>
      <c r="F2935" s="4" t="s">
        <v>57</v>
      </c>
    </row>
    <row r="2936" spans="1:6" x14ac:dyDescent="0.25">
      <c r="A2936" s="4" t="str">
        <f>"Journal of Supercritical Fluids"</f>
        <v>Journal of Supercritical Fluids</v>
      </c>
      <c r="B2936" s="4" t="s">
        <v>6</v>
      </c>
      <c r="C2936" s="4" t="str">
        <f t="shared" si="102"/>
        <v>-</v>
      </c>
      <c r="D2936" s="4" t="str">
        <f>"08968446"</f>
        <v>08968446</v>
      </c>
      <c r="E2936" s="4" t="str">
        <f>"-"</f>
        <v>-</v>
      </c>
      <c r="F2936" s="4" t="s">
        <v>55</v>
      </c>
    </row>
    <row r="2937" spans="1:6" x14ac:dyDescent="0.25">
      <c r="A2937" s="4" t="str">
        <f>"Journal of Superhard Materials"</f>
        <v>Journal of Superhard Materials</v>
      </c>
      <c r="B2937" s="4" t="s">
        <v>6</v>
      </c>
      <c r="C2937" s="4" t="str">
        <f t="shared" si="102"/>
        <v>-</v>
      </c>
      <c r="D2937" s="4" t="str">
        <f>"10634576"</f>
        <v>10634576</v>
      </c>
      <c r="E2937" s="4" t="str">
        <f>"19349408"</f>
        <v>19349408</v>
      </c>
      <c r="F2937" s="4" t="s">
        <v>145</v>
      </c>
    </row>
    <row r="2938" spans="1:6" x14ac:dyDescent="0.25">
      <c r="A2938" s="4" t="str">
        <f>"Journal of Surface Investigation"</f>
        <v>Journal of Surface Investigation</v>
      </c>
      <c r="B2938" s="4" t="s">
        <v>6</v>
      </c>
      <c r="C2938" s="4" t="str">
        <f t="shared" si="102"/>
        <v>-</v>
      </c>
      <c r="D2938" s="4" t="str">
        <f>"10274510"</f>
        <v>10274510</v>
      </c>
      <c r="E2938" s="4" t="str">
        <f>"18197094"</f>
        <v>18197094</v>
      </c>
      <c r="F2938" s="4" t="s">
        <v>24</v>
      </c>
    </row>
    <row r="2939" spans="1:6" x14ac:dyDescent="0.25">
      <c r="A2939" s="4" t="str">
        <f>"Journal of Surfactants and Detergents"</f>
        <v>Journal of Surfactants and Detergents</v>
      </c>
      <c r="B2939" s="4" t="s">
        <v>6</v>
      </c>
      <c r="C2939" s="4" t="str">
        <f t="shared" si="102"/>
        <v>-</v>
      </c>
      <c r="D2939" s="4" t="str">
        <f>"10973958"</f>
        <v>10973958</v>
      </c>
      <c r="E2939" s="4" t="str">
        <f>"15589293"</f>
        <v>15589293</v>
      </c>
      <c r="F2939" s="4" t="s">
        <v>42</v>
      </c>
    </row>
    <row r="2940" spans="1:6" x14ac:dyDescent="0.25">
      <c r="A2940" s="4" t="str">
        <f>"Journal of Surveying Engineering"</f>
        <v>Journal of Surveying Engineering</v>
      </c>
      <c r="B2940" s="4" t="s">
        <v>6</v>
      </c>
      <c r="C2940" s="4" t="str">
        <f t="shared" si="102"/>
        <v>-</v>
      </c>
      <c r="D2940" s="4" t="str">
        <f>"07339453"</f>
        <v>07339453</v>
      </c>
      <c r="E2940" s="4" t="str">
        <f>"-"</f>
        <v>-</v>
      </c>
      <c r="F2940" s="4" t="s">
        <v>111</v>
      </c>
    </row>
    <row r="2941" spans="1:6" x14ac:dyDescent="0.25">
      <c r="A2941" s="4" t="str">
        <f>"Journal of Sustainable Forestry"</f>
        <v>Journal of Sustainable Forestry</v>
      </c>
      <c r="B2941" s="4" t="s">
        <v>6</v>
      </c>
      <c r="C2941" s="4" t="str">
        <f t="shared" si="102"/>
        <v>-</v>
      </c>
      <c r="D2941" s="4" t="str">
        <f>"10549811"</f>
        <v>10549811</v>
      </c>
      <c r="E2941" s="4" t="str">
        <f>"1540756X"</f>
        <v>1540756X</v>
      </c>
      <c r="F2941" s="4" t="s">
        <v>96</v>
      </c>
    </row>
    <row r="2942" spans="1:6" x14ac:dyDescent="0.25">
      <c r="A2942" s="4" t="str">
        <f>"Journal of Synchrotron Radiation"</f>
        <v>Journal of Synchrotron Radiation</v>
      </c>
      <c r="B2942" s="4" t="s">
        <v>6</v>
      </c>
      <c r="C2942" s="4" t="str">
        <f t="shared" si="102"/>
        <v>-</v>
      </c>
      <c r="D2942" s="4" t="str">
        <f>"09090495"</f>
        <v>09090495</v>
      </c>
      <c r="E2942" s="4" t="str">
        <f>"16005775"</f>
        <v>16005775</v>
      </c>
      <c r="F2942" s="4" t="s">
        <v>33</v>
      </c>
    </row>
    <row r="2943" spans="1:6" x14ac:dyDescent="0.25">
      <c r="A2943" s="4" t="str">
        <f>"Journal of Systems and Software"</f>
        <v>Journal of Systems and Software</v>
      </c>
      <c r="B2943" s="4" t="s">
        <v>6</v>
      </c>
      <c r="C2943" s="4" t="str">
        <f t="shared" si="102"/>
        <v>-</v>
      </c>
      <c r="D2943" s="4" t="str">
        <f>"01641212"</f>
        <v>01641212</v>
      </c>
      <c r="E2943" s="4" t="str">
        <f>"-"</f>
        <v>-</v>
      </c>
      <c r="F2943" s="4" t="s">
        <v>141</v>
      </c>
    </row>
    <row r="2944" spans="1:6" x14ac:dyDescent="0.25">
      <c r="A2944" s="4" t="str">
        <f>"Journal of Systems Architecture"</f>
        <v>Journal of Systems Architecture</v>
      </c>
      <c r="B2944" s="4" t="s">
        <v>6</v>
      </c>
      <c r="C2944" s="4" t="str">
        <f t="shared" si="102"/>
        <v>-</v>
      </c>
      <c r="D2944" s="4" t="str">
        <f>"13837621"</f>
        <v>13837621</v>
      </c>
      <c r="E2944" s="4" t="str">
        <f>"-"</f>
        <v>-</v>
      </c>
      <c r="F2944" s="4" t="s">
        <v>55</v>
      </c>
    </row>
    <row r="2945" spans="1:6" x14ac:dyDescent="0.25">
      <c r="A2945" s="4" t="str">
        <f>"Journal of Systems Engineering and Electronics"</f>
        <v>Journal of Systems Engineering and Electronics</v>
      </c>
      <c r="B2945" s="4" t="s">
        <v>6</v>
      </c>
      <c r="C2945" s="4" t="str">
        <f t="shared" si="102"/>
        <v>-</v>
      </c>
      <c r="D2945" s="4" t="str">
        <f>"10044132"</f>
        <v>10044132</v>
      </c>
      <c r="E2945" s="4" t="str">
        <f>"-"</f>
        <v>-</v>
      </c>
      <c r="F2945" s="4" t="s">
        <v>767</v>
      </c>
    </row>
    <row r="2946" spans="1:6" x14ac:dyDescent="0.25">
      <c r="A2946" s="4" t="str">
        <f>"Journal of Systems Science and Complexity"</f>
        <v>Journal of Systems Science and Complexity</v>
      </c>
      <c r="B2946" s="4" t="s">
        <v>6</v>
      </c>
      <c r="C2946" s="4" t="str">
        <f t="shared" si="102"/>
        <v>-</v>
      </c>
      <c r="D2946" s="4" t="str">
        <f>"10096124"</f>
        <v>10096124</v>
      </c>
      <c r="E2946" s="4" t="str">
        <f>"15597067"</f>
        <v>15597067</v>
      </c>
      <c r="F2946" s="4" t="s">
        <v>57</v>
      </c>
    </row>
    <row r="2947" spans="1:6" x14ac:dyDescent="0.25">
      <c r="A2947" s="4" t="str">
        <f>"Journal of Systems Science and Systems Engineering"</f>
        <v>Journal of Systems Science and Systems Engineering</v>
      </c>
      <c r="B2947" s="4" t="s">
        <v>6</v>
      </c>
      <c r="C2947" s="4" t="str">
        <f t="shared" si="102"/>
        <v>-</v>
      </c>
      <c r="D2947" s="4" t="str">
        <f>"10043756"</f>
        <v>10043756</v>
      </c>
      <c r="E2947" s="4" t="str">
        <f>"-"</f>
        <v>-</v>
      </c>
      <c r="F2947" s="4" t="s">
        <v>42</v>
      </c>
    </row>
    <row r="2948" spans="1:6" x14ac:dyDescent="0.25">
      <c r="A2948" s="4" t="str">
        <f>"Journal of Taiwan Agricultural Engineering"</f>
        <v>Journal of Taiwan Agricultural Engineering</v>
      </c>
      <c r="B2948" s="4" t="s">
        <v>6</v>
      </c>
      <c r="C2948" s="4" t="str">
        <f t="shared" si="102"/>
        <v>-</v>
      </c>
      <c r="D2948" s="4" t="str">
        <f>"02575744"</f>
        <v>02575744</v>
      </c>
      <c r="E2948" s="4" t="str">
        <f>"-"</f>
        <v>-</v>
      </c>
      <c r="F2948" s="4" t="s">
        <v>768</v>
      </c>
    </row>
    <row r="2949" spans="1:6" x14ac:dyDescent="0.25">
      <c r="A2949" s="4" t="str">
        <f>"Journal of Taiwan Society of Naval Architects and Marine Engineers"</f>
        <v>Journal of Taiwan Society of Naval Architects and Marine Engineers</v>
      </c>
      <c r="B2949" s="4" t="s">
        <v>6</v>
      </c>
      <c r="C2949" s="4" t="str">
        <f t="shared" si="102"/>
        <v>-</v>
      </c>
      <c r="D2949" s="4" t="str">
        <f>"10234535"</f>
        <v>10234535</v>
      </c>
      <c r="E2949" s="4" t="str">
        <f>"-"</f>
        <v>-</v>
      </c>
      <c r="F2949" s="4" t="s">
        <v>769</v>
      </c>
    </row>
    <row r="2950" spans="1:6" x14ac:dyDescent="0.25">
      <c r="A2950" s="4" t="str">
        <f>"Journal of Technology"</f>
        <v>Journal of Technology</v>
      </c>
      <c r="B2950" s="4" t="s">
        <v>6</v>
      </c>
      <c r="C2950" s="4" t="str">
        <f t="shared" si="102"/>
        <v>-</v>
      </c>
      <c r="D2950" s="4" t="str">
        <f>"10123407"</f>
        <v>10123407</v>
      </c>
      <c r="E2950" s="4" t="str">
        <f>"-"</f>
        <v>-</v>
      </c>
      <c r="F2950" s="4" t="s">
        <v>770</v>
      </c>
    </row>
    <row r="2951" spans="1:6" x14ac:dyDescent="0.25">
      <c r="A2951" s="4" t="str">
        <f>"Journal of Technology Transfer"</f>
        <v>Journal of Technology Transfer</v>
      </c>
      <c r="B2951" s="4" t="s">
        <v>6</v>
      </c>
      <c r="C2951" s="4" t="str">
        <f t="shared" si="102"/>
        <v>-</v>
      </c>
      <c r="D2951" s="4" t="str">
        <f>"08929912"</f>
        <v>08929912</v>
      </c>
      <c r="E2951" s="4" t="str">
        <f>"15737047"</f>
        <v>15737047</v>
      </c>
      <c r="F2951" s="4" t="s">
        <v>57</v>
      </c>
    </row>
    <row r="2952" spans="1:6" x14ac:dyDescent="0.25">
      <c r="A2952" s="4" t="str">
        <f>"Journal of Technology, Management, and Applied Engineering"</f>
        <v>Journal of Technology, Management, and Applied Engineering</v>
      </c>
      <c r="B2952" s="4" t="s">
        <v>6</v>
      </c>
      <c r="C2952" s="4" t="str">
        <f t="shared" si="102"/>
        <v>-</v>
      </c>
      <c r="D2952" s="4" t="str">
        <f>"-"</f>
        <v>-</v>
      </c>
      <c r="E2952" s="4" t="str">
        <f>"21660123 "</f>
        <v xml:space="preserve">21660123 </v>
      </c>
      <c r="F2952" s="4" t="s">
        <v>771</v>
      </c>
    </row>
    <row r="2953" spans="1:6" x14ac:dyDescent="0.25">
      <c r="A2953" s="4" t="str">
        <f>"Journal of Terramechanics"</f>
        <v>Journal of Terramechanics</v>
      </c>
      <c r="B2953" s="4" t="s">
        <v>6</v>
      </c>
      <c r="C2953" s="4" t="str">
        <f t="shared" si="102"/>
        <v>-</v>
      </c>
      <c r="D2953" s="4" t="str">
        <f>"00224898"</f>
        <v>00224898</v>
      </c>
      <c r="E2953" s="4" t="str">
        <f>"-"</f>
        <v>-</v>
      </c>
      <c r="F2953" s="4" t="s">
        <v>19</v>
      </c>
    </row>
    <row r="2954" spans="1:6" x14ac:dyDescent="0.25">
      <c r="A2954" s="4" t="str">
        <f>"Journal of Testing and Evaluation"</f>
        <v>Journal of Testing and Evaluation</v>
      </c>
      <c r="B2954" s="4" t="s">
        <v>6</v>
      </c>
      <c r="C2954" s="4" t="str">
        <f t="shared" si="102"/>
        <v>-</v>
      </c>
      <c r="D2954" s="4" t="str">
        <f>"00903973"</f>
        <v>00903973</v>
      </c>
      <c r="E2954" s="4" t="str">
        <f>"-"</f>
        <v>-</v>
      </c>
      <c r="F2954" s="4" t="s">
        <v>75</v>
      </c>
    </row>
    <row r="2955" spans="1:6" x14ac:dyDescent="0.25">
      <c r="A2955" s="4" t="str">
        <f>"Journal of Textile Engineering"</f>
        <v>Journal of Textile Engineering</v>
      </c>
      <c r="B2955" s="4" t="s">
        <v>6</v>
      </c>
      <c r="C2955" s="4" t="str">
        <f t="shared" si="102"/>
        <v>-</v>
      </c>
      <c r="D2955" s="4" t="str">
        <f>"13468235"</f>
        <v>13468235</v>
      </c>
      <c r="E2955" s="4" t="str">
        <f>"18801986"</f>
        <v>18801986</v>
      </c>
      <c r="F2955" s="4" t="s">
        <v>772</v>
      </c>
    </row>
    <row r="2956" spans="1:6" x14ac:dyDescent="0.25">
      <c r="A2956" s="4" t="s">
        <v>773</v>
      </c>
      <c r="B2956" s="4" t="s">
        <v>6</v>
      </c>
      <c r="D2956" s="4" t="s">
        <v>774</v>
      </c>
      <c r="F2956" s="4" t="s">
        <v>775</v>
      </c>
    </row>
    <row r="2957" spans="1:6" x14ac:dyDescent="0.25">
      <c r="A2957" s="4" t="str">
        <f>"Journal of Texture Studies"</f>
        <v>Journal of Texture Studies</v>
      </c>
      <c r="B2957" s="4" t="s">
        <v>6</v>
      </c>
      <c r="C2957" s="4" t="str">
        <f t="shared" ref="C2957:C3020" si="103">"-"</f>
        <v>-</v>
      </c>
      <c r="D2957" s="4" t="str">
        <f>"00224901"</f>
        <v>00224901</v>
      </c>
      <c r="E2957" s="4" t="str">
        <f>"17454603"</f>
        <v>17454603</v>
      </c>
      <c r="F2957" s="4" t="s">
        <v>209</v>
      </c>
    </row>
    <row r="2958" spans="1:6" x14ac:dyDescent="0.25">
      <c r="A2958" s="4" t="str">
        <f>"Journal of the ACM"</f>
        <v>Journal of the ACM</v>
      </c>
      <c r="B2958" s="4" t="s">
        <v>6</v>
      </c>
      <c r="C2958" s="4" t="str">
        <f t="shared" si="103"/>
        <v>-</v>
      </c>
      <c r="D2958" s="4" t="str">
        <f>"00045411"</f>
        <v>00045411</v>
      </c>
      <c r="E2958" s="4" t="str">
        <f>"1557735X"</f>
        <v>1557735X</v>
      </c>
      <c r="F2958" s="4" t="s">
        <v>21</v>
      </c>
    </row>
    <row r="2959" spans="1:6" x14ac:dyDescent="0.25">
      <c r="A2959" s="4" t="str">
        <f>"Journal of the Acoustical Society of America"</f>
        <v>Journal of the Acoustical Society of America</v>
      </c>
      <c r="B2959" s="4" t="s">
        <v>6</v>
      </c>
      <c r="C2959" s="4" t="str">
        <f t="shared" si="103"/>
        <v>-</v>
      </c>
      <c r="D2959" s="4" t="str">
        <f>"00014966"</f>
        <v>00014966</v>
      </c>
      <c r="E2959" s="4" t="str">
        <f>"-"</f>
        <v>-</v>
      </c>
      <c r="F2959" s="4" t="s">
        <v>776</v>
      </c>
    </row>
    <row r="2960" spans="1:6" x14ac:dyDescent="0.25">
      <c r="A2960" s="4" t="str">
        <f>"Journal of the Air and Waste Management Association"</f>
        <v>Journal of the Air and Waste Management Association</v>
      </c>
      <c r="B2960" s="4" t="s">
        <v>6</v>
      </c>
      <c r="C2960" s="4" t="str">
        <f t="shared" si="103"/>
        <v>-</v>
      </c>
      <c r="D2960" s="4" t="str">
        <f>" 10962247 "</f>
        <v xml:space="preserve"> 10962247 </v>
      </c>
      <c r="E2960" s="4" t="str">
        <f>"21622906"</f>
        <v>21622906</v>
      </c>
      <c r="F2960" s="4" t="s">
        <v>96</v>
      </c>
    </row>
    <row r="2961" spans="1:6" x14ac:dyDescent="0.25">
      <c r="A2961" s="4" t="str">
        <f>"Journal of the American Ceramic Society"</f>
        <v>Journal of the American Ceramic Society</v>
      </c>
      <c r="B2961" s="4" t="s">
        <v>6</v>
      </c>
      <c r="C2961" s="4" t="str">
        <f t="shared" si="103"/>
        <v>-</v>
      </c>
      <c r="D2961" s="4" t="str">
        <f>"00027820"</f>
        <v>00027820</v>
      </c>
      <c r="E2961" s="4" t="str">
        <f>"15512916"</f>
        <v>15512916</v>
      </c>
      <c r="F2961" s="4" t="s">
        <v>291</v>
      </c>
    </row>
    <row r="2962" spans="1:6" x14ac:dyDescent="0.25">
      <c r="A2962" s="4" t="str">
        <f>"Journal of the American Chemical Society"</f>
        <v>Journal of the American Chemical Society</v>
      </c>
      <c r="B2962" s="4" t="s">
        <v>6</v>
      </c>
      <c r="C2962" s="4" t="str">
        <f t="shared" si="103"/>
        <v>-</v>
      </c>
      <c r="D2962" s="4" t="str">
        <f>"00027863"</f>
        <v>00027863</v>
      </c>
      <c r="E2962" s="4" t="str">
        <f>"15205126"</f>
        <v>15205126</v>
      </c>
      <c r="F2962" s="4" t="s">
        <v>28</v>
      </c>
    </row>
    <row r="2963" spans="1:6" x14ac:dyDescent="0.25">
      <c r="A2963" s="4" t="str">
        <f>"Journal of the American Helicopter Society"</f>
        <v>Journal of the American Helicopter Society</v>
      </c>
      <c r="B2963" s="4" t="s">
        <v>6</v>
      </c>
      <c r="C2963" s="4" t="str">
        <f t="shared" si="103"/>
        <v>-</v>
      </c>
      <c r="D2963" s="4" t="str">
        <f>"00028711"</f>
        <v>00028711</v>
      </c>
      <c r="E2963" s="4" t="str">
        <f>"-"</f>
        <v>-</v>
      </c>
      <c r="F2963" s="4" t="s">
        <v>129</v>
      </c>
    </row>
    <row r="2964" spans="1:6" x14ac:dyDescent="0.25">
      <c r="A2964" s="4" t="str">
        <f>"Journal of the American Leather Chemists Association"</f>
        <v>Journal of the American Leather Chemists Association</v>
      </c>
      <c r="B2964" s="4" t="s">
        <v>6</v>
      </c>
      <c r="C2964" s="4" t="str">
        <f t="shared" si="103"/>
        <v>-</v>
      </c>
      <c r="D2964" s="4" t="str">
        <f>"00029726"</f>
        <v>00029726</v>
      </c>
      <c r="E2964" s="4" t="str">
        <f>"-"</f>
        <v>-</v>
      </c>
      <c r="F2964" s="4" t="s">
        <v>777</v>
      </c>
    </row>
    <row r="2965" spans="1:6" x14ac:dyDescent="0.25">
      <c r="A2965" s="4" t="str">
        <f>"Journal of the American Society for Information Science and Technology"</f>
        <v>Journal of the American Society for Information Science and Technology</v>
      </c>
      <c r="B2965" s="4" t="s">
        <v>6</v>
      </c>
      <c r="C2965" s="4" t="str">
        <f t="shared" si="103"/>
        <v>-</v>
      </c>
      <c r="D2965" s="4" t="str">
        <f>"15322882"</f>
        <v>15322882</v>
      </c>
      <c r="E2965" s="4" t="str">
        <f>"15322890"</f>
        <v>15322890</v>
      </c>
      <c r="F2965" s="4" t="s">
        <v>87</v>
      </c>
    </row>
    <row r="2966" spans="1:6" x14ac:dyDescent="0.25">
      <c r="A2966" s="4" t="str">
        <f>"Journal of the American Society for Mass Spectrometry"</f>
        <v>Journal of the American Society for Mass Spectrometry</v>
      </c>
      <c r="B2966" s="4" t="s">
        <v>6</v>
      </c>
      <c r="C2966" s="4" t="str">
        <f t="shared" si="103"/>
        <v>-</v>
      </c>
      <c r="D2966" s="4" t="str">
        <f>"10440305"</f>
        <v>10440305</v>
      </c>
      <c r="E2966" s="4" t="str">
        <f>"18791123"</f>
        <v>18791123</v>
      </c>
      <c r="F2966" s="4" t="s">
        <v>57</v>
      </c>
    </row>
    <row r="2967" spans="1:6" x14ac:dyDescent="0.25">
      <c r="A2967" s="4" t="str">
        <f>"Journal of the American Water Resources Association"</f>
        <v>Journal of the American Water Resources Association</v>
      </c>
      <c r="B2967" s="4" t="s">
        <v>6</v>
      </c>
      <c r="C2967" s="4" t="str">
        <f t="shared" si="103"/>
        <v>-</v>
      </c>
      <c r="D2967" s="4" t="str">
        <f>"1093474X"</f>
        <v>1093474X</v>
      </c>
      <c r="E2967" s="4" t="str">
        <f>"17521688"</f>
        <v>17521688</v>
      </c>
      <c r="F2967" s="4" t="s">
        <v>291</v>
      </c>
    </row>
    <row r="2968" spans="1:6" x14ac:dyDescent="0.25">
      <c r="A2968" s="4" t="str">
        <f>"Journal of the Association for Information Science and Technology"</f>
        <v>Journal of the Association for Information Science and Technology</v>
      </c>
      <c r="B2968" s="4" t="s">
        <v>6</v>
      </c>
      <c r="C2968" s="4" t="str">
        <f t="shared" si="103"/>
        <v>-</v>
      </c>
      <c r="D2968" s="4" t="str">
        <f>"23301635"</f>
        <v>23301635</v>
      </c>
      <c r="E2968" s="4" t="str">
        <f>"23301643"</f>
        <v>23301643</v>
      </c>
      <c r="F2968" s="4" t="s">
        <v>87</v>
      </c>
    </row>
    <row r="2969" spans="1:6" x14ac:dyDescent="0.25">
      <c r="A2969" s="4" t="str">
        <f>"Journal of the Association of Information Systems"</f>
        <v>Journal of the Association of Information Systems</v>
      </c>
      <c r="B2969" s="4" t="s">
        <v>6</v>
      </c>
      <c r="C2969" s="4" t="str">
        <f t="shared" si="103"/>
        <v>-</v>
      </c>
      <c r="D2969" s="4" t="str">
        <f>"15369323"</f>
        <v>15369323</v>
      </c>
      <c r="E2969" s="4" t="str">
        <f>"15583457"</f>
        <v>15583457</v>
      </c>
      <c r="F2969" s="4" t="s">
        <v>289</v>
      </c>
    </row>
    <row r="2970" spans="1:6" x14ac:dyDescent="0.25">
      <c r="A2970" s="4" t="str">
        <f>"Journal of the Astronautical Sciences"</f>
        <v>Journal of the Astronautical Sciences</v>
      </c>
      <c r="B2970" s="4" t="s">
        <v>6</v>
      </c>
      <c r="C2970" s="4" t="str">
        <f t="shared" si="103"/>
        <v>-</v>
      </c>
      <c r="D2970" s="4" t="str">
        <f>"00219142"</f>
        <v>00219142</v>
      </c>
      <c r="E2970" s="4" t="str">
        <f>"-"</f>
        <v>-</v>
      </c>
      <c r="F2970" s="4" t="s">
        <v>778</v>
      </c>
    </row>
    <row r="2971" spans="1:6" x14ac:dyDescent="0.25">
      <c r="A2971" s="4" t="str">
        <f>"Journal of the Atmospheric Sciences"</f>
        <v>Journal of the Atmospheric Sciences</v>
      </c>
      <c r="B2971" s="4" t="s">
        <v>6</v>
      </c>
      <c r="C2971" s="4" t="str">
        <f t="shared" si="103"/>
        <v>-</v>
      </c>
      <c r="D2971" s="4" t="str">
        <f>"00224928"</f>
        <v>00224928</v>
      </c>
      <c r="E2971" s="4" t="str">
        <f>"15200469"</f>
        <v>15200469</v>
      </c>
      <c r="F2971" s="4" t="s">
        <v>225</v>
      </c>
    </row>
    <row r="2972" spans="1:6" x14ac:dyDescent="0.25">
      <c r="A2972" s="4" t="str">
        <f>"Journal of the Australian Ceramic Society"</f>
        <v>Journal of the Australian Ceramic Society</v>
      </c>
      <c r="B2972" s="4" t="s">
        <v>6</v>
      </c>
      <c r="C2972" s="4" t="str">
        <f t="shared" si="103"/>
        <v>-</v>
      </c>
      <c r="D2972" s="4" t="str">
        <f>"0004881X"</f>
        <v>0004881X</v>
      </c>
      <c r="E2972" s="4" t="str">
        <f>"-"</f>
        <v>-</v>
      </c>
      <c r="F2972" s="4" t="s">
        <v>779</v>
      </c>
    </row>
    <row r="2973" spans="1:6" x14ac:dyDescent="0.25">
      <c r="A2973" s="4" t="str">
        <f>"Journal of the Brazilian Computer Society"</f>
        <v>Journal of the Brazilian Computer Society</v>
      </c>
      <c r="B2973" s="4" t="s">
        <v>6</v>
      </c>
      <c r="C2973" s="4" t="str">
        <f t="shared" si="103"/>
        <v>-</v>
      </c>
      <c r="D2973" s="4" t="str">
        <f>"01046500"</f>
        <v>01046500</v>
      </c>
      <c r="E2973" s="4" t="str">
        <f>"16784804"</f>
        <v>16784804</v>
      </c>
      <c r="F2973" s="4" t="s">
        <v>62</v>
      </c>
    </row>
    <row r="2974" spans="1:6" x14ac:dyDescent="0.25">
      <c r="A2974" s="4" t="str">
        <f>"Journal of the Brazilian Society of Mechanical Sciences and Engineering"</f>
        <v>Journal of the Brazilian Society of Mechanical Sciences and Engineering</v>
      </c>
      <c r="B2974" s="4" t="s">
        <v>6</v>
      </c>
      <c r="C2974" s="4" t="str">
        <f t="shared" si="103"/>
        <v>-</v>
      </c>
      <c r="D2974" s="4" t="str">
        <f>"16785878"</f>
        <v>16785878</v>
      </c>
      <c r="E2974" s="4" t="str">
        <f>"18063691"</f>
        <v>18063691</v>
      </c>
      <c r="F2974" s="4" t="s">
        <v>42</v>
      </c>
    </row>
    <row r="2975" spans="1:6" x14ac:dyDescent="0.25">
      <c r="A2975" s="4" t="str">
        <f>"Journal of the Chinese Institute of Civil and Hydraulic Engineering"</f>
        <v>Journal of the Chinese Institute of Civil and Hydraulic Engineering</v>
      </c>
      <c r="B2975" s="4" t="s">
        <v>6</v>
      </c>
      <c r="C2975" s="4" t="str">
        <f t="shared" si="103"/>
        <v>-</v>
      </c>
      <c r="D2975" s="4" t="str">
        <f>"10155856"</f>
        <v>10155856</v>
      </c>
      <c r="E2975" s="4" t="str">
        <f>"-"</f>
        <v>-</v>
      </c>
      <c r="F2975" s="4" t="s">
        <v>780</v>
      </c>
    </row>
    <row r="2976" spans="1:6" ht="30" x14ac:dyDescent="0.25">
      <c r="A2976" s="4" t="str">
        <f>"Journal of the Chinese Institute of Engineers, Transactions of the Chinese Institute of Engineers,Series A/Chung-kuo Kung Ch'eng Hsuch K'an"</f>
        <v>Journal of the Chinese Institute of Engineers, Transactions of the Chinese Institute of Engineers,Series A/Chung-kuo Kung Ch'eng Hsuch K'an</v>
      </c>
      <c r="B2976" s="4" t="s">
        <v>6</v>
      </c>
      <c r="C2976" s="4" t="str">
        <f t="shared" si="103"/>
        <v>-</v>
      </c>
      <c r="D2976" s="4" t="str">
        <f>"02533839"</f>
        <v>02533839</v>
      </c>
      <c r="E2976" s="4" t="str">
        <f>"21587299"</f>
        <v>21587299</v>
      </c>
      <c r="F2976" s="4" t="s">
        <v>60</v>
      </c>
    </row>
    <row r="2977" spans="1:6" ht="30" x14ac:dyDescent="0.25">
      <c r="A2977" s="4" t="str">
        <f>"Journal of the Chinese Society of Mechanical Engineers, Transactions of the Chinese Institute of Engineers, Series C/Chung-Kuo Chi Hsueh Kung Ch'eng Hsuebo Pao"</f>
        <v>Journal of the Chinese Society of Mechanical Engineers, Transactions of the Chinese Institute of Engineers, Series C/Chung-Kuo Chi Hsueh Kung Ch'eng Hsuebo Pao</v>
      </c>
      <c r="B2977" s="4" t="s">
        <v>6</v>
      </c>
      <c r="C2977" s="4" t="str">
        <f t="shared" si="103"/>
        <v>-</v>
      </c>
      <c r="D2977" s="4" t="str">
        <f>"02579731"</f>
        <v>02579731</v>
      </c>
      <c r="E2977" s="4" t="str">
        <f>"-"</f>
        <v>-</v>
      </c>
      <c r="F2977" s="4" t="s">
        <v>273</v>
      </c>
    </row>
    <row r="2978" spans="1:6" x14ac:dyDescent="0.25">
      <c r="A2978" s="4" t="str">
        <f>"Journal of the Electrochemical Society"</f>
        <v>Journal of the Electrochemical Society</v>
      </c>
      <c r="B2978" s="4" t="s">
        <v>6</v>
      </c>
      <c r="C2978" s="4" t="str">
        <f t="shared" si="103"/>
        <v>-</v>
      </c>
      <c r="D2978" s="4" t="str">
        <f>"00134651"</f>
        <v>00134651</v>
      </c>
      <c r="E2978" s="4" t="str">
        <f>"19457111"</f>
        <v>19457111</v>
      </c>
      <c r="F2978" s="4" t="s">
        <v>354</v>
      </c>
    </row>
    <row r="2979" spans="1:6" x14ac:dyDescent="0.25">
      <c r="A2979" s="4" t="str">
        <f>"Journal of the Energy Institute"</f>
        <v>Journal of the Energy Institute</v>
      </c>
      <c r="B2979" s="4" t="s">
        <v>6</v>
      </c>
      <c r="C2979" s="4" t="str">
        <f t="shared" si="103"/>
        <v>-</v>
      </c>
      <c r="D2979" s="4" t="str">
        <f>"01442600"</f>
        <v>01442600</v>
      </c>
      <c r="E2979" s="4" t="str">
        <f>"17460220"</f>
        <v>17460220</v>
      </c>
      <c r="F2979" s="4" t="s">
        <v>55</v>
      </c>
    </row>
    <row r="2980" spans="1:6" x14ac:dyDescent="0.25">
      <c r="A2980" s="4" t="str">
        <f>"Journal of the European Ceramic Society"</f>
        <v>Journal of the European Ceramic Society</v>
      </c>
      <c r="B2980" s="4" t="s">
        <v>6</v>
      </c>
      <c r="C2980" s="4" t="str">
        <f t="shared" si="103"/>
        <v>-</v>
      </c>
      <c r="D2980" s="4" t="str">
        <f>"09552219"</f>
        <v>09552219</v>
      </c>
      <c r="E2980" s="4" t="str">
        <f>"1873619X"</f>
        <v>1873619X</v>
      </c>
      <c r="F2980" s="4" t="s">
        <v>19</v>
      </c>
    </row>
    <row r="2981" spans="1:6" x14ac:dyDescent="0.25">
      <c r="A2981" s="4" t="str">
        <f>"Journal of the European Optical Society"</f>
        <v>Journal of the European Optical Society</v>
      </c>
      <c r="B2981" s="4" t="s">
        <v>6</v>
      </c>
      <c r="C2981" s="4" t="str">
        <f t="shared" si="103"/>
        <v>-</v>
      </c>
      <c r="D2981" s="4" t="str">
        <f>"-"</f>
        <v>-</v>
      </c>
      <c r="E2981" s="4" t="str">
        <f>"19902573"</f>
        <v>19902573</v>
      </c>
      <c r="F2981" s="4" t="s">
        <v>781</v>
      </c>
    </row>
    <row r="2982" spans="1:6" x14ac:dyDescent="0.25">
      <c r="A2982" s="4" t="str">
        <f>"Journal of the Faculty of Engineering and Architecture of Gazi University"</f>
        <v>Journal of the Faculty of Engineering and Architecture of Gazi University</v>
      </c>
      <c r="B2982" s="4" t="s">
        <v>6</v>
      </c>
      <c r="C2982" s="4" t="str">
        <f t="shared" si="103"/>
        <v>-</v>
      </c>
      <c r="D2982" s="4" t="str">
        <f>"13001884"</f>
        <v>13001884</v>
      </c>
      <c r="E2982" s="4" t="str">
        <f>"-"</f>
        <v>-</v>
      </c>
      <c r="F2982" s="4" t="s">
        <v>782</v>
      </c>
    </row>
    <row r="2983" spans="1:6" x14ac:dyDescent="0.25">
      <c r="A2983" s="4" t="str">
        <f>"Journal of the Franklin Institute"</f>
        <v>Journal of the Franklin Institute</v>
      </c>
      <c r="B2983" s="4" t="s">
        <v>6</v>
      </c>
      <c r="C2983" s="4" t="str">
        <f t="shared" si="103"/>
        <v>-</v>
      </c>
      <c r="D2983" s="4" t="str">
        <f>"00160032"</f>
        <v>00160032</v>
      </c>
      <c r="E2983" s="4" t="str">
        <f>"-"</f>
        <v>-</v>
      </c>
      <c r="F2983" s="4" t="s">
        <v>19</v>
      </c>
    </row>
    <row r="2984" spans="1:6" x14ac:dyDescent="0.25">
      <c r="A2984" s="4" t="str">
        <f>"Journal of the Geological Society"</f>
        <v>Journal of the Geological Society</v>
      </c>
      <c r="B2984" s="4" t="s">
        <v>6</v>
      </c>
      <c r="C2984" s="4" t="str">
        <f t="shared" si="103"/>
        <v>-</v>
      </c>
      <c r="D2984" s="4" t="str">
        <f>"00167649"</f>
        <v>00167649</v>
      </c>
      <c r="E2984" s="4" t="str">
        <f>"-"</f>
        <v>-</v>
      </c>
      <c r="F2984" s="4" t="s">
        <v>783</v>
      </c>
    </row>
    <row r="2985" spans="1:6" x14ac:dyDescent="0.25">
      <c r="A2985" s="4" t="str">
        <f>"Journal of the IEST"</f>
        <v>Journal of the IEST</v>
      </c>
      <c r="B2985" s="4" t="s">
        <v>6</v>
      </c>
      <c r="C2985" s="4" t="str">
        <f t="shared" si="103"/>
        <v>-</v>
      </c>
      <c r="D2985" s="4" t="str">
        <f>"10984321"</f>
        <v>10984321</v>
      </c>
      <c r="E2985" s="4" t="str">
        <f>"-"</f>
        <v>-</v>
      </c>
      <c r="F2985" s="4" t="s">
        <v>784</v>
      </c>
    </row>
    <row r="2986" spans="1:6" x14ac:dyDescent="0.25">
      <c r="A2986" s="4" t="str">
        <f>"Journal of the Illuminating Engineering Institute of Japan (Shomei Gakkai Shi)"</f>
        <v>Journal of the Illuminating Engineering Institute of Japan (Shomei Gakkai Shi)</v>
      </c>
      <c r="B2986" s="4" t="s">
        <v>6</v>
      </c>
      <c r="C2986" s="4" t="str">
        <f t="shared" si="103"/>
        <v>-</v>
      </c>
      <c r="D2986" s="4" t="str">
        <f>"00192341"</f>
        <v>00192341</v>
      </c>
      <c r="E2986" s="4" t="str">
        <f>"1349838X"</f>
        <v>1349838X</v>
      </c>
      <c r="F2986" s="4" t="s">
        <v>725</v>
      </c>
    </row>
    <row r="2987" spans="1:6" x14ac:dyDescent="0.25">
      <c r="A2987" s="4" t="str">
        <f>"Journal of the Indian Institute of Science"</f>
        <v>Journal of the Indian Institute of Science</v>
      </c>
      <c r="B2987" s="4" t="s">
        <v>6</v>
      </c>
      <c r="C2987" s="4" t="str">
        <f t="shared" si="103"/>
        <v>-</v>
      </c>
      <c r="D2987" s="4" t="str">
        <f>"09704140"</f>
        <v>09704140</v>
      </c>
      <c r="E2987" s="4" t="str">
        <f>"-"</f>
        <v>-</v>
      </c>
      <c r="F2987" s="4" t="s">
        <v>785</v>
      </c>
    </row>
    <row r="2988" spans="1:6" x14ac:dyDescent="0.25">
      <c r="A2988" s="4" t="str">
        <f>"Journal of the Institute of Brewing"</f>
        <v>Journal of the Institute of Brewing</v>
      </c>
      <c r="B2988" s="4" t="s">
        <v>6</v>
      </c>
      <c r="C2988" s="4" t="str">
        <f t="shared" si="103"/>
        <v>-</v>
      </c>
      <c r="D2988" s="4" t="str">
        <f>"00469750"</f>
        <v>00469750</v>
      </c>
      <c r="E2988" s="4" t="str">
        <f>"20500416"</f>
        <v>20500416</v>
      </c>
      <c r="F2988" s="4" t="s">
        <v>87</v>
      </c>
    </row>
    <row r="2989" spans="1:6" x14ac:dyDescent="0.25">
      <c r="A2989" s="4" t="str">
        <f>"Journal of the Institute of Conservation"</f>
        <v>Journal of the Institute of Conservation</v>
      </c>
      <c r="B2989" s="4" t="s">
        <v>6</v>
      </c>
      <c r="C2989" s="4" t="str">
        <f t="shared" si="103"/>
        <v>-</v>
      </c>
      <c r="D2989" s="4" t="str">
        <f>"19455224"</f>
        <v>19455224</v>
      </c>
      <c r="E2989" s="4" t="str">
        <f>"19455232"</f>
        <v>19455232</v>
      </c>
      <c r="F2989" s="4" t="s">
        <v>211</v>
      </c>
    </row>
    <row r="2990" spans="1:6" x14ac:dyDescent="0.25">
      <c r="A2990" s="4" t="str">
        <f>"Journal of the Institute of Electrical Engineers of Japan"</f>
        <v>Journal of the Institute of Electrical Engineers of Japan</v>
      </c>
      <c r="B2990" s="4" t="s">
        <v>6</v>
      </c>
      <c r="C2990" s="4" t="str">
        <f t="shared" si="103"/>
        <v>-</v>
      </c>
      <c r="D2990" s="4" t="str">
        <f>"13405551"</f>
        <v>13405551</v>
      </c>
      <c r="E2990" s="4" t="str">
        <f>"18814190"</f>
        <v>18814190</v>
      </c>
      <c r="F2990" s="4" t="s">
        <v>520</v>
      </c>
    </row>
    <row r="2991" spans="1:6" x14ac:dyDescent="0.25">
      <c r="A2991" s="4" t="str">
        <f>"Journal of the Institute of Electronics, Information and Communication Engineers"</f>
        <v>Journal of the Institute of Electronics, Information and Communication Engineers</v>
      </c>
      <c r="B2991" s="4" t="s">
        <v>6</v>
      </c>
      <c r="C2991" s="4" t="str">
        <f t="shared" si="103"/>
        <v>-</v>
      </c>
      <c r="D2991" s="4" t="str">
        <f>"09135693"</f>
        <v>09135693</v>
      </c>
      <c r="E2991" s="4" t="str">
        <f>"-"</f>
        <v>-</v>
      </c>
      <c r="F2991" s="4" t="s">
        <v>521</v>
      </c>
    </row>
    <row r="2992" spans="1:6" x14ac:dyDescent="0.25">
      <c r="A2992" s="4" t="str">
        <f>"Journal of the Institute of Image Electronics Engineers of Japan"</f>
        <v>Journal of the Institute of Image Electronics Engineers of Japan</v>
      </c>
      <c r="B2992" s="4" t="s">
        <v>6</v>
      </c>
      <c r="C2992" s="4" t="str">
        <f t="shared" si="103"/>
        <v>-</v>
      </c>
      <c r="D2992" s="4" t="str">
        <f>"02859831"</f>
        <v>02859831</v>
      </c>
      <c r="E2992" s="4" t="str">
        <f>"13480316"</f>
        <v>13480316</v>
      </c>
      <c r="F2992" s="4" t="s">
        <v>786</v>
      </c>
    </row>
    <row r="2993" spans="1:6" x14ac:dyDescent="0.25">
      <c r="A2993" s="4" t="str">
        <f>"Journal of the Institute of Telecommunications Professionals"</f>
        <v>Journal of the Institute of Telecommunications Professionals</v>
      </c>
      <c r="B2993" s="4" t="s">
        <v>6</v>
      </c>
      <c r="C2993" s="4" t="str">
        <f t="shared" si="103"/>
        <v>-</v>
      </c>
      <c r="D2993" s="4" t="str">
        <f>"17559278"</f>
        <v>17559278</v>
      </c>
      <c r="E2993" s="4" t="str">
        <f t="shared" ref="E2993:E3006" si="104">"-"</f>
        <v>-</v>
      </c>
      <c r="F2993" s="4" t="s">
        <v>787</v>
      </c>
    </row>
    <row r="2994" spans="1:6" x14ac:dyDescent="0.25">
      <c r="A2994" s="4" t="str">
        <f>"Journal of the Institution of Engineers (India), Part CP: Computer Engineering Division"</f>
        <v>Journal of the Institution of Engineers (India), Part CP: Computer Engineering Division</v>
      </c>
      <c r="B2994" s="4" t="s">
        <v>6</v>
      </c>
      <c r="C2994" s="4" t="str">
        <f t="shared" si="103"/>
        <v>-</v>
      </c>
      <c r="D2994" s="4" t="str">
        <f>"09710469"</f>
        <v>09710469</v>
      </c>
      <c r="E2994" s="4" t="str">
        <f t="shared" si="104"/>
        <v>-</v>
      </c>
      <c r="F2994" s="4" t="s">
        <v>788</v>
      </c>
    </row>
    <row r="2995" spans="1:6" x14ac:dyDescent="0.25">
      <c r="A2995" s="4" t="str">
        <f>"Journal of the Institution of Engineers (India), Part MM: Metallurgy and Material Science Division"</f>
        <v>Journal of the Institution of Engineers (India), Part MM: Metallurgy and Material Science Division</v>
      </c>
      <c r="B2995" s="4" t="s">
        <v>6</v>
      </c>
      <c r="C2995" s="4" t="str">
        <f t="shared" si="103"/>
        <v>-</v>
      </c>
      <c r="D2995" s="4" t="str">
        <f>"02574411"</f>
        <v>02574411</v>
      </c>
      <c r="E2995" s="4" t="str">
        <f t="shared" si="104"/>
        <v>-</v>
      </c>
      <c r="F2995" s="4" t="s">
        <v>788</v>
      </c>
    </row>
    <row r="2996" spans="1:6" x14ac:dyDescent="0.25">
      <c r="A2996" s="4" t="str">
        <f>"Journal of the Institution of Engineers (India), Part MR: Marine Engineering Division"</f>
        <v>Journal of the Institution of Engineers (India), Part MR: Marine Engineering Division</v>
      </c>
      <c r="B2996" s="4" t="s">
        <v>6</v>
      </c>
      <c r="C2996" s="4" t="str">
        <f t="shared" si="103"/>
        <v>-</v>
      </c>
      <c r="D2996" s="4" t="str">
        <f>"09710450"</f>
        <v>09710450</v>
      </c>
      <c r="E2996" s="4" t="str">
        <f t="shared" si="104"/>
        <v>-</v>
      </c>
      <c r="F2996" s="4" t="s">
        <v>788</v>
      </c>
    </row>
    <row r="2997" spans="1:6" x14ac:dyDescent="0.25">
      <c r="A2997" s="4" t="str">
        <f>"Journal of the Institution of Engineers (India), Part PR: Production Engineering Division"</f>
        <v>Journal of the Institution of Engineers (India), Part PR: Production Engineering Division</v>
      </c>
      <c r="B2997" s="4" t="s">
        <v>6</v>
      </c>
      <c r="C2997" s="4" t="str">
        <f t="shared" si="103"/>
        <v>-</v>
      </c>
      <c r="D2997" s="4" t="str">
        <f>"02576708"</f>
        <v>02576708</v>
      </c>
      <c r="E2997" s="4" t="str">
        <f t="shared" si="104"/>
        <v>-</v>
      </c>
      <c r="F2997" s="4" t="s">
        <v>788</v>
      </c>
    </row>
    <row r="2998" spans="1:6" x14ac:dyDescent="0.25">
      <c r="A2998" s="4" t="str">
        <f>"Journal of the Institution of Engineers (India), Part TX: Textile Engineering Division"</f>
        <v>Journal of the Institution of Engineers (India), Part TX: Textile Engineering Division</v>
      </c>
      <c r="B2998" s="4" t="s">
        <v>6</v>
      </c>
      <c r="C2998" s="4" t="str">
        <f t="shared" si="103"/>
        <v>-</v>
      </c>
      <c r="D2998" s="4" t="str">
        <f>"02574438"</f>
        <v>02574438</v>
      </c>
      <c r="E2998" s="4" t="str">
        <f t="shared" si="104"/>
        <v>-</v>
      </c>
      <c r="F2998" s="4" t="s">
        <v>788</v>
      </c>
    </row>
    <row r="2999" spans="1:6" x14ac:dyDescent="0.25">
      <c r="A2999" s="4" t="str">
        <f>"Journal of the Institution of Engineers (India): Aerospace Engineering Journal"</f>
        <v>Journal of the Institution of Engineers (India): Aerospace Engineering Journal</v>
      </c>
      <c r="B2999" s="4" t="s">
        <v>6</v>
      </c>
      <c r="C2999" s="4" t="str">
        <f t="shared" si="103"/>
        <v>-</v>
      </c>
      <c r="D2999" s="4" t="str">
        <f>"02573423"</f>
        <v>02573423</v>
      </c>
      <c r="E2999" s="4" t="str">
        <f t="shared" si="104"/>
        <v>-</v>
      </c>
      <c r="F2999" s="4" t="s">
        <v>788</v>
      </c>
    </row>
    <row r="3000" spans="1:6" x14ac:dyDescent="0.25">
      <c r="A3000" s="4" t="str">
        <f>"Journal of the Institution of Engineers (India): Agricultural Engineering Division"</f>
        <v>Journal of the Institution of Engineers (India): Agricultural Engineering Division</v>
      </c>
      <c r="B3000" s="4" t="s">
        <v>6</v>
      </c>
      <c r="C3000" s="4" t="str">
        <f t="shared" si="103"/>
        <v>-</v>
      </c>
      <c r="D3000" s="4" t="str">
        <f>"02573431"</f>
        <v>02573431</v>
      </c>
      <c r="E3000" s="4" t="str">
        <f t="shared" si="104"/>
        <v>-</v>
      </c>
      <c r="F3000" s="4" t="s">
        <v>788</v>
      </c>
    </row>
    <row r="3001" spans="1:6" x14ac:dyDescent="0.25">
      <c r="A3001" s="4" t="str">
        <f>"Journal of the Institution of Engineers (India): Architectural Engineering Division"</f>
        <v>Journal of the Institution of Engineers (India): Architectural Engineering Division</v>
      </c>
      <c r="B3001" s="4" t="s">
        <v>6</v>
      </c>
      <c r="C3001" s="4" t="str">
        <f t="shared" si="103"/>
        <v>-</v>
      </c>
      <c r="D3001" s="4" t="str">
        <f>"0257344X"</f>
        <v>0257344X</v>
      </c>
      <c r="E3001" s="4" t="str">
        <f t="shared" si="104"/>
        <v>-</v>
      </c>
      <c r="F3001" s="4" t="s">
        <v>788</v>
      </c>
    </row>
    <row r="3002" spans="1:6" x14ac:dyDescent="0.25">
      <c r="A3002" s="4" t="str">
        <f>"Journal of the Institution of Engineers (India): Chemical Engineering Division"</f>
        <v>Journal of the Institution of Engineers (India): Chemical Engineering Division</v>
      </c>
      <c r="B3002" s="4" t="s">
        <v>6</v>
      </c>
      <c r="C3002" s="4" t="str">
        <f t="shared" si="103"/>
        <v>-</v>
      </c>
      <c r="D3002" s="4" t="str">
        <f>"00203351"</f>
        <v>00203351</v>
      </c>
      <c r="E3002" s="4" t="str">
        <f t="shared" si="104"/>
        <v>-</v>
      </c>
      <c r="F3002" s="4" t="s">
        <v>788</v>
      </c>
    </row>
    <row r="3003" spans="1:6" x14ac:dyDescent="0.25">
      <c r="A3003" s="4" t="str">
        <f>"Journal of the Institution of Engineers (India): Civil Engineering Division"</f>
        <v>Journal of the Institution of Engineers (India): Civil Engineering Division</v>
      </c>
      <c r="B3003" s="4" t="s">
        <v>6</v>
      </c>
      <c r="C3003" s="4" t="str">
        <f t="shared" si="103"/>
        <v>-</v>
      </c>
      <c r="D3003" s="4" t="str">
        <f>"0020336X"</f>
        <v>0020336X</v>
      </c>
      <c r="E3003" s="4" t="str">
        <f t="shared" si="104"/>
        <v>-</v>
      </c>
      <c r="F3003" s="4" t="s">
        <v>788</v>
      </c>
    </row>
    <row r="3004" spans="1:6" x14ac:dyDescent="0.25">
      <c r="A3004" s="4" t="str">
        <f>"Journal of the Institution of Engineers (India): Electrical Engineering Division"</f>
        <v>Journal of the Institution of Engineers (India): Electrical Engineering Division</v>
      </c>
      <c r="B3004" s="4" t="s">
        <v>6</v>
      </c>
      <c r="C3004" s="4" t="str">
        <f t="shared" si="103"/>
        <v>-</v>
      </c>
      <c r="D3004" s="4" t="str">
        <f>"00203386"</f>
        <v>00203386</v>
      </c>
      <c r="E3004" s="4" t="str">
        <f t="shared" si="104"/>
        <v>-</v>
      </c>
      <c r="F3004" s="4" t="s">
        <v>788</v>
      </c>
    </row>
    <row r="3005" spans="1:6" x14ac:dyDescent="0.25">
      <c r="A3005" s="4" t="str">
        <f>"Journal of the Institution of Engineers (India): Environmental Engineering Division"</f>
        <v>Journal of the Institution of Engineers (India): Environmental Engineering Division</v>
      </c>
      <c r="B3005" s="4" t="s">
        <v>6</v>
      </c>
      <c r="C3005" s="4" t="str">
        <f t="shared" si="103"/>
        <v>-</v>
      </c>
      <c r="D3005" s="4" t="str">
        <f>"0251110X"</f>
        <v>0251110X</v>
      </c>
      <c r="E3005" s="4" t="str">
        <f t="shared" si="104"/>
        <v>-</v>
      </c>
      <c r="F3005" s="4" t="s">
        <v>788</v>
      </c>
    </row>
    <row r="3006" spans="1:6" x14ac:dyDescent="0.25">
      <c r="A3006" s="4" t="str">
        <f>"Journal of the Institution of Engineers (India): Mechanical Engineering Division"</f>
        <v>Journal of the Institution of Engineers (India): Mechanical Engineering Division</v>
      </c>
      <c r="B3006" s="4" t="s">
        <v>6</v>
      </c>
      <c r="C3006" s="4" t="str">
        <f t="shared" si="103"/>
        <v>-</v>
      </c>
      <c r="D3006" s="4" t="str">
        <f>"00203408"</f>
        <v>00203408</v>
      </c>
      <c r="E3006" s="4" t="str">
        <f t="shared" si="104"/>
        <v>-</v>
      </c>
      <c r="F3006" s="4" t="s">
        <v>788</v>
      </c>
    </row>
    <row r="3007" spans="1:6" x14ac:dyDescent="0.25">
      <c r="A3007" s="4" t="str">
        <f>"Journal of the International Association for Shell and Spatial Structures"</f>
        <v>Journal of the International Association for Shell and Spatial Structures</v>
      </c>
      <c r="B3007" s="4" t="s">
        <v>6</v>
      </c>
      <c r="C3007" s="4" t="str">
        <f t="shared" si="103"/>
        <v>-</v>
      </c>
      <c r="D3007" s="4" t="str">
        <f>"1028365X"</f>
        <v>1028365X</v>
      </c>
      <c r="E3007" s="4" t="str">
        <f>"19969015"</f>
        <v>19969015</v>
      </c>
      <c r="F3007" s="4" t="s">
        <v>789</v>
      </c>
    </row>
    <row r="3008" spans="1:6" x14ac:dyDescent="0.25">
      <c r="A3008" s="4" t="str">
        <f>"Journal of the Japan Petroleum Institute"</f>
        <v>Journal of the Japan Petroleum Institute</v>
      </c>
      <c r="B3008" s="4" t="s">
        <v>6</v>
      </c>
      <c r="C3008" s="4" t="str">
        <f t="shared" si="103"/>
        <v>-</v>
      </c>
      <c r="D3008" s="4" t="str">
        <f>"13468804"</f>
        <v>13468804</v>
      </c>
      <c r="E3008" s="4" t="str">
        <f>"1349273X"</f>
        <v>1349273X</v>
      </c>
      <c r="F3008" s="4" t="s">
        <v>790</v>
      </c>
    </row>
    <row r="3009" spans="1:6" x14ac:dyDescent="0.25">
      <c r="A3009" s="4" t="str">
        <f>"Journal of the Japan Research Association for Textile End-Uses"</f>
        <v>Journal of the Japan Research Association for Textile End-Uses</v>
      </c>
      <c r="B3009" s="4" t="s">
        <v>6</v>
      </c>
      <c r="C3009" s="4" t="str">
        <f t="shared" si="103"/>
        <v>-</v>
      </c>
      <c r="D3009" s="4" t="str">
        <f>"00372072"</f>
        <v>00372072</v>
      </c>
      <c r="E3009" s="4" t="str">
        <f>"-"</f>
        <v>-</v>
      </c>
      <c r="F3009" s="4" t="s">
        <v>791</v>
      </c>
    </row>
    <row r="3010" spans="1:6" x14ac:dyDescent="0.25">
      <c r="A3010" s="4" t="str">
        <f>"Journal of the Korean Ceramic Society"</f>
        <v>Journal of the Korean Ceramic Society</v>
      </c>
      <c r="B3010" s="4" t="s">
        <v>6</v>
      </c>
      <c r="C3010" s="4" t="str">
        <f t="shared" si="103"/>
        <v>-</v>
      </c>
      <c r="D3010" s="4" t="str">
        <f>"12297801"</f>
        <v>12297801</v>
      </c>
      <c r="E3010" s="4" t="str">
        <f>"-"</f>
        <v>-</v>
      </c>
      <c r="F3010" s="4" t="s">
        <v>792</v>
      </c>
    </row>
    <row r="3011" spans="1:6" x14ac:dyDescent="0.25">
      <c r="A3011" s="4" t="str">
        <f>"Journal of the Korean Chemical Society"</f>
        <v>Journal of the Korean Chemical Society</v>
      </c>
      <c r="B3011" s="4" t="s">
        <v>6</v>
      </c>
      <c r="C3011" s="4" t="str">
        <f t="shared" si="103"/>
        <v>-</v>
      </c>
      <c r="D3011" s="4" t="str">
        <f>"10172548"</f>
        <v>10172548</v>
      </c>
      <c r="E3011" s="4" t="str">
        <f>"-"</f>
        <v>-</v>
      </c>
      <c r="F3011" s="4" t="s">
        <v>230</v>
      </c>
    </row>
    <row r="3012" spans="1:6" x14ac:dyDescent="0.25">
      <c r="A3012" s="4" t="str">
        <f>"Journal of the Korean Wood Science and Technology"</f>
        <v>Journal of the Korean Wood Science and Technology</v>
      </c>
      <c r="B3012" s="4" t="s">
        <v>6</v>
      </c>
      <c r="C3012" s="4" t="str">
        <f t="shared" si="103"/>
        <v>-</v>
      </c>
      <c r="D3012" s="4" t="str">
        <f>"10170715"</f>
        <v>10170715</v>
      </c>
      <c r="E3012" s="4" t="str">
        <f>"22337180"</f>
        <v>22337180</v>
      </c>
      <c r="F3012" s="4" t="s">
        <v>793</v>
      </c>
    </row>
    <row r="3013" spans="1:6" x14ac:dyDescent="0.25">
      <c r="A3013" s="4" t="str">
        <f>"Journal of the Mechanical Behavior of Biomedical Materials"</f>
        <v>Journal of the Mechanical Behavior of Biomedical Materials</v>
      </c>
      <c r="B3013" s="4" t="s">
        <v>6</v>
      </c>
      <c r="C3013" s="4" t="str">
        <f t="shared" si="103"/>
        <v>-</v>
      </c>
      <c r="D3013" s="4" t="str">
        <f>"17516161"</f>
        <v>17516161</v>
      </c>
      <c r="E3013" s="4" t="str">
        <f>"18780180"</f>
        <v>18780180</v>
      </c>
      <c r="F3013" s="4" t="s">
        <v>19</v>
      </c>
    </row>
    <row r="3014" spans="1:6" x14ac:dyDescent="0.25">
      <c r="A3014" s="4" t="str">
        <f>"Journal of the Mechanics and Physics of Solids"</f>
        <v>Journal of the Mechanics and Physics of Solids</v>
      </c>
      <c r="B3014" s="4" t="s">
        <v>6</v>
      </c>
      <c r="C3014" s="4" t="str">
        <f t="shared" si="103"/>
        <v>-</v>
      </c>
      <c r="D3014" s="4" t="str">
        <f>"00225096"</f>
        <v>00225096</v>
      </c>
      <c r="E3014" s="4" t="str">
        <f>"-"</f>
        <v>-</v>
      </c>
      <c r="F3014" s="4" t="s">
        <v>19</v>
      </c>
    </row>
    <row r="3015" spans="1:6" x14ac:dyDescent="0.25">
      <c r="A3015" s="4" t="str">
        <f>"Journal of the Mine Ventilation Society of South Africa"</f>
        <v>Journal of the Mine Ventilation Society of South Africa</v>
      </c>
      <c r="B3015" s="4" t="s">
        <v>6</v>
      </c>
      <c r="C3015" s="4" t="str">
        <f t="shared" si="103"/>
        <v>-</v>
      </c>
      <c r="D3015" s="4" t="str">
        <f>"03683206"</f>
        <v>03683206</v>
      </c>
      <c r="E3015" s="4" t="str">
        <f>"-"</f>
        <v>-</v>
      </c>
      <c r="F3015" s="4" t="s">
        <v>794</v>
      </c>
    </row>
    <row r="3016" spans="1:6" x14ac:dyDescent="0.25">
      <c r="A3016" s="4" t="str">
        <f>"Journal of the National Institute of Information and Communications Technology"</f>
        <v>Journal of the National Institute of Information and Communications Technology</v>
      </c>
      <c r="B3016" s="4" t="s">
        <v>6</v>
      </c>
      <c r="C3016" s="4" t="str">
        <f t="shared" si="103"/>
        <v>-</v>
      </c>
      <c r="D3016" s="4" t="str">
        <f>"13493205"</f>
        <v>13493205</v>
      </c>
      <c r="E3016" s="4" t="str">
        <f>"-"</f>
        <v>-</v>
      </c>
      <c r="F3016" s="4" t="s">
        <v>795</v>
      </c>
    </row>
    <row r="3017" spans="1:6" x14ac:dyDescent="0.25">
      <c r="A3017" s="4" t="str">
        <f>"Journal of the New England Water Works Association"</f>
        <v>Journal of the New England Water Works Association</v>
      </c>
      <c r="B3017" s="4" t="s">
        <v>6</v>
      </c>
      <c r="C3017" s="4" t="str">
        <f t="shared" si="103"/>
        <v>-</v>
      </c>
      <c r="D3017" s="4" t="str">
        <f>"00284939"</f>
        <v>00284939</v>
      </c>
      <c r="E3017" s="4" t="str">
        <f>"-"</f>
        <v>-</v>
      </c>
      <c r="F3017" s="4" t="s">
        <v>796</v>
      </c>
    </row>
    <row r="3018" spans="1:6" x14ac:dyDescent="0.25">
      <c r="A3018" s="4" t="str">
        <f>"Journal of the Operational Research Society"</f>
        <v>Journal of the Operational Research Society</v>
      </c>
      <c r="B3018" s="4" t="s">
        <v>6</v>
      </c>
      <c r="C3018" s="4" t="str">
        <f t="shared" si="103"/>
        <v>-</v>
      </c>
      <c r="D3018" s="4" t="str">
        <f>"01605682"</f>
        <v>01605682</v>
      </c>
      <c r="E3018" s="4" t="str">
        <f>"14769360"</f>
        <v>14769360</v>
      </c>
      <c r="F3018" s="4" t="s">
        <v>397</v>
      </c>
    </row>
    <row r="3019" spans="1:6" x14ac:dyDescent="0.25">
      <c r="A3019" s="4" t="str">
        <f>"Journal of the Optical Society of America A: Optics and Image Science, and Vision"</f>
        <v>Journal of the Optical Society of America A: Optics and Image Science, and Vision</v>
      </c>
      <c r="B3019" s="4" t="s">
        <v>6</v>
      </c>
      <c r="C3019" s="4" t="str">
        <f t="shared" si="103"/>
        <v>-</v>
      </c>
      <c r="D3019" s="4" t="str">
        <f>"10847529"</f>
        <v>10847529</v>
      </c>
      <c r="E3019" s="4" t="str">
        <f>"15208532"</f>
        <v>15208532</v>
      </c>
      <c r="F3019" s="4" t="s">
        <v>86</v>
      </c>
    </row>
    <row r="3020" spans="1:6" x14ac:dyDescent="0.25">
      <c r="A3020" s="4" t="str">
        <f>"Journal of the Optical Society of America B: Optical Physics"</f>
        <v>Journal of the Optical Society of America B: Optical Physics</v>
      </c>
      <c r="B3020" s="4" t="s">
        <v>6</v>
      </c>
      <c r="C3020" s="4" t="str">
        <f t="shared" si="103"/>
        <v>-</v>
      </c>
      <c r="D3020" s="4" t="str">
        <f>"07403224"</f>
        <v>07403224</v>
      </c>
      <c r="E3020" s="4" t="str">
        <f>"-"</f>
        <v>-</v>
      </c>
      <c r="F3020" s="4" t="s">
        <v>86</v>
      </c>
    </row>
    <row r="3021" spans="1:6" x14ac:dyDescent="0.25">
      <c r="A3021" s="4" t="str">
        <f>"Journal of the Optical Society of Korea"</f>
        <v>Journal of the Optical Society of Korea</v>
      </c>
      <c r="B3021" s="4" t="s">
        <v>6</v>
      </c>
      <c r="C3021" s="4" t="str">
        <f t="shared" ref="C3021:C3067" si="105">"-"</f>
        <v>-</v>
      </c>
      <c r="D3021" s="4" t="str">
        <f>"12264776"</f>
        <v>12264776</v>
      </c>
      <c r="E3021" s="4" t="str">
        <f>"20936885"</f>
        <v>20936885</v>
      </c>
      <c r="F3021" s="4" t="s">
        <v>797</v>
      </c>
    </row>
    <row r="3022" spans="1:6" x14ac:dyDescent="0.25">
      <c r="A3022" s="4" t="str">
        <f>"Journal of the Royal Society Interface"</f>
        <v>Journal of the Royal Society Interface</v>
      </c>
      <c r="B3022" s="4" t="s">
        <v>6</v>
      </c>
      <c r="C3022" s="4" t="str">
        <f t="shared" si="105"/>
        <v>-</v>
      </c>
      <c r="D3022" s="4" t="str">
        <f>"17425689"</f>
        <v>17425689</v>
      </c>
      <c r="E3022" s="4" t="str">
        <f>"17425662"</f>
        <v>17425662</v>
      </c>
      <c r="F3022" s="4" t="s">
        <v>798</v>
      </c>
    </row>
    <row r="3023" spans="1:6" x14ac:dyDescent="0.25">
      <c r="A3023" s="4" t="str">
        <f>"Journal of the Society for Information Display"</f>
        <v>Journal of the Society for Information Display</v>
      </c>
      <c r="B3023" s="4" t="s">
        <v>6</v>
      </c>
      <c r="C3023" s="4" t="str">
        <f t="shared" si="105"/>
        <v>-</v>
      </c>
      <c r="D3023" s="4" t="str">
        <f>"10710922"</f>
        <v>10710922</v>
      </c>
      <c r="E3023" s="4" t="str">
        <f>"19383657"</f>
        <v>19383657</v>
      </c>
      <c r="F3023" s="4" t="s">
        <v>195</v>
      </c>
    </row>
    <row r="3024" spans="1:6" x14ac:dyDescent="0.25">
      <c r="A3024" s="4" t="str">
        <f>"Journal of the Society of Leather Technologists and Chemists"</f>
        <v>Journal of the Society of Leather Technologists and Chemists</v>
      </c>
      <c r="B3024" s="4" t="s">
        <v>6</v>
      </c>
      <c r="C3024" s="4" t="str">
        <f t="shared" si="105"/>
        <v>-</v>
      </c>
      <c r="D3024" s="4" t="str">
        <f>"01440322"</f>
        <v>01440322</v>
      </c>
      <c r="E3024" s="4" t="str">
        <f>"-"</f>
        <v>-</v>
      </c>
      <c r="F3024" s="4" t="s">
        <v>799</v>
      </c>
    </row>
    <row r="3025" spans="1:6" x14ac:dyDescent="0.25">
      <c r="A3025" s="4" t="str">
        <f>"Journal of the South African Institution of Civil Engineering"</f>
        <v>Journal of the South African Institution of Civil Engineering</v>
      </c>
      <c r="B3025" s="4" t="s">
        <v>6</v>
      </c>
      <c r="C3025" s="4" t="str">
        <f t="shared" si="105"/>
        <v>-</v>
      </c>
      <c r="D3025" s="4" t="str">
        <f>"10212019"</f>
        <v>10212019</v>
      </c>
      <c r="E3025" s="4" t="str">
        <f>"-"</f>
        <v>-</v>
      </c>
      <c r="F3025" s="4" t="s">
        <v>800</v>
      </c>
    </row>
    <row r="3026" spans="1:6" x14ac:dyDescent="0.25">
      <c r="A3026" s="4" t="str">
        <f>"Journal of the Southern African Institute of Mining and Metallurgy"</f>
        <v>Journal of the Southern African Institute of Mining and Metallurgy</v>
      </c>
      <c r="B3026" s="4" t="s">
        <v>6</v>
      </c>
      <c r="C3026" s="4" t="str">
        <f t="shared" si="105"/>
        <v>-</v>
      </c>
      <c r="D3026" s="4" t="str">
        <f>"22256253"</f>
        <v>22256253</v>
      </c>
      <c r="E3026" s="4" t="str">
        <f>"-"</f>
        <v>-</v>
      </c>
      <c r="F3026" s="4" t="s">
        <v>801</v>
      </c>
    </row>
    <row r="3027" spans="1:6" x14ac:dyDescent="0.25">
      <c r="A3027" s="4" t="str">
        <f>"Journal of the Taiwan Institute of Chemical Engineers"</f>
        <v>Journal of the Taiwan Institute of Chemical Engineers</v>
      </c>
      <c r="B3027" s="4" t="s">
        <v>6</v>
      </c>
      <c r="C3027" s="4" t="str">
        <f t="shared" si="105"/>
        <v>-</v>
      </c>
      <c r="D3027" s="4" t="str">
        <f>"18761070"</f>
        <v>18761070</v>
      </c>
      <c r="E3027" s="4" t="str">
        <f>"-"</f>
        <v>-</v>
      </c>
      <c r="F3027" s="4" t="s">
        <v>802</v>
      </c>
    </row>
    <row r="3028" spans="1:6" x14ac:dyDescent="0.25">
      <c r="A3028" s="4" t="str">
        <f>"Journal of the Textile Institute"</f>
        <v>Journal of the Textile Institute</v>
      </c>
      <c r="B3028" s="4" t="s">
        <v>6</v>
      </c>
      <c r="C3028" s="4" t="str">
        <f t="shared" si="105"/>
        <v>-</v>
      </c>
      <c r="D3028" s="4" t="str">
        <f>"00405000"</f>
        <v>00405000</v>
      </c>
      <c r="E3028" s="4" t="str">
        <f>"17542340"</f>
        <v>17542340</v>
      </c>
      <c r="F3028" s="4" t="s">
        <v>60</v>
      </c>
    </row>
    <row r="3029" spans="1:6" x14ac:dyDescent="0.25">
      <c r="A3029" s="4" t="str">
        <f>"Journal of the Vacuum Society of Japan"</f>
        <v>Journal of the Vacuum Society of Japan</v>
      </c>
      <c r="B3029" s="4" t="s">
        <v>6</v>
      </c>
      <c r="C3029" s="4" t="str">
        <f t="shared" si="105"/>
        <v>-</v>
      </c>
      <c r="D3029" s="4" t="str">
        <f>"18822398"</f>
        <v>18822398</v>
      </c>
      <c r="E3029" s="4" t="str">
        <f>"-"</f>
        <v>-</v>
      </c>
      <c r="F3029" s="4" t="s">
        <v>803</v>
      </c>
    </row>
    <row r="3030" spans="1:6" x14ac:dyDescent="0.25">
      <c r="A3030" s="4" t="str">
        <f>"Journal of Theoretical and Applied Mechanics"</f>
        <v>Journal of Theoretical and Applied Mechanics</v>
      </c>
      <c r="B3030" s="4" t="s">
        <v>6</v>
      </c>
      <c r="C3030" s="4" t="str">
        <f t="shared" si="105"/>
        <v>-</v>
      </c>
      <c r="D3030" s="4" t="str">
        <f>"14292955"</f>
        <v>14292955</v>
      </c>
      <c r="E3030" s="4" t="str">
        <f>"-"</f>
        <v>-</v>
      </c>
      <c r="F3030" s="4" t="s">
        <v>804</v>
      </c>
    </row>
    <row r="3031" spans="1:6" x14ac:dyDescent="0.25">
      <c r="A3031" s="4" t="str">
        <f>"Journal of Thermal Analysis and Calorimetry"</f>
        <v>Journal of Thermal Analysis and Calorimetry</v>
      </c>
      <c r="B3031" s="4" t="s">
        <v>6</v>
      </c>
      <c r="C3031" s="4" t="str">
        <f t="shared" si="105"/>
        <v>-</v>
      </c>
      <c r="D3031" s="4" t="str">
        <f>"13886150"</f>
        <v>13886150</v>
      </c>
      <c r="E3031" s="4" t="str">
        <f>"15882926"</f>
        <v>15882926</v>
      </c>
      <c r="F3031" s="4" t="s">
        <v>31</v>
      </c>
    </row>
    <row r="3032" spans="1:6" x14ac:dyDescent="0.25">
      <c r="A3032" s="4" t="str">
        <f>"Journal of Thermal Science"</f>
        <v>Journal of Thermal Science</v>
      </c>
      <c r="B3032" s="4" t="s">
        <v>6</v>
      </c>
      <c r="C3032" s="4" t="str">
        <f t="shared" si="105"/>
        <v>-</v>
      </c>
      <c r="D3032" s="4" t="str">
        <f>"10032169"</f>
        <v>10032169</v>
      </c>
      <c r="E3032" s="4" t="str">
        <f>"-"</f>
        <v>-</v>
      </c>
      <c r="F3032" s="4" t="s">
        <v>37</v>
      </c>
    </row>
    <row r="3033" spans="1:6" x14ac:dyDescent="0.25">
      <c r="A3033" s="4" t="str">
        <f>"Journal of Thermal Science and Engineering Applications"</f>
        <v>Journal of Thermal Science and Engineering Applications</v>
      </c>
      <c r="B3033" s="4" t="s">
        <v>6</v>
      </c>
      <c r="C3033" s="4" t="str">
        <f t="shared" si="105"/>
        <v>-</v>
      </c>
      <c r="D3033" s="4" t="str">
        <f>"19485085"</f>
        <v>19485085</v>
      </c>
      <c r="E3033" s="4" t="str">
        <f>"19485093"</f>
        <v>19485093</v>
      </c>
      <c r="F3033" s="4" t="s">
        <v>73</v>
      </c>
    </row>
    <row r="3034" spans="1:6" x14ac:dyDescent="0.25">
      <c r="A3034" s="4" t="str">
        <f>"Journal of Thermal Science and Technology"</f>
        <v>Journal of Thermal Science and Technology</v>
      </c>
      <c r="B3034" s="4" t="s">
        <v>6</v>
      </c>
      <c r="C3034" s="4" t="str">
        <f t="shared" si="105"/>
        <v>-</v>
      </c>
      <c r="D3034" s="4" t="str">
        <f>"-"</f>
        <v>-</v>
      </c>
      <c r="E3034" s="4" t="str">
        <f>"18805566"</f>
        <v>18805566</v>
      </c>
      <c r="F3034" s="4" t="s">
        <v>653</v>
      </c>
    </row>
    <row r="3035" spans="1:6" x14ac:dyDescent="0.25">
      <c r="A3035" s="4" t="str">
        <f>"Journal of Thermal Spray Technology"</f>
        <v>Journal of Thermal Spray Technology</v>
      </c>
      <c r="B3035" s="4" t="s">
        <v>6</v>
      </c>
      <c r="C3035" s="4" t="str">
        <f t="shared" si="105"/>
        <v>-</v>
      </c>
      <c r="D3035" s="4" t="str">
        <f>"10599630"</f>
        <v>10599630</v>
      </c>
      <c r="E3035" s="4" t="str">
        <f>"-"</f>
        <v>-</v>
      </c>
      <c r="F3035" s="4" t="s">
        <v>57</v>
      </c>
    </row>
    <row r="3036" spans="1:6" x14ac:dyDescent="0.25">
      <c r="A3036" s="4" t="str">
        <f>"Journal of Thermal Stresses"</f>
        <v>Journal of Thermal Stresses</v>
      </c>
      <c r="B3036" s="4" t="s">
        <v>6</v>
      </c>
      <c r="C3036" s="4" t="str">
        <f t="shared" si="105"/>
        <v>-</v>
      </c>
      <c r="D3036" s="4" t="str">
        <f>"01495739"</f>
        <v>01495739</v>
      </c>
      <c r="E3036" s="4" t="str">
        <f>"1521074X"</f>
        <v>1521074X</v>
      </c>
      <c r="F3036" s="4" t="s">
        <v>60</v>
      </c>
    </row>
    <row r="3037" spans="1:6" x14ac:dyDescent="0.25">
      <c r="A3037" s="4" t="str">
        <f>"Journal of Thermophysics and Heat Transfer"</f>
        <v>Journal of Thermophysics and Heat Transfer</v>
      </c>
      <c r="B3037" s="4" t="s">
        <v>6</v>
      </c>
      <c r="C3037" s="4" t="str">
        <f t="shared" si="105"/>
        <v>-</v>
      </c>
      <c r="D3037" s="4" t="str">
        <f>"08878722"</f>
        <v>08878722</v>
      </c>
      <c r="E3037" s="4" t="str">
        <f>"-"</f>
        <v>-</v>
      </c>
      <c r="F3037" s="4" t="s">
        <v>104</v>
      </c>
    </row>
    <row r="3038" spans="1:6" x14ac:dyDescent="0.25">
      <c r="A3038" s="4" t="str">
        <f>"Journal of Thermoplastic Composite Materials"</f>
        <v>Journal of Thermoplastic Composite Materials</v>
      </c>
      <c r="B3038" s="4" t="s">
        <v>6</v>
      </c>
      <c r="C3038" s="4" t="str">
        <f t="shared" si="105"/>
        <v>-</v>
      </c>
      <c r="D3038" s="4" t="str">
        <f>"08927057"</f>
        <v>08927057</v>
      </c>
      <c r="E3038" s="4" t="str">
        <f>"15307980"</f>
        <v>15307980</v>
      </c>
      <c r="F3038" s="4" t="s">
        <v>212</v>
      </c>
    </row>
    <row r="3039" spans="1:6" x14ac:dyDescent="0.25">
      <c r="A3039" s="4" t="str">
        <f>"Journal of Transportation Engineering"</f>
        <v>Journal of Transportation Engineering</v>
      </c>
      <c r="B3039" s="4" t="s">
        <v>6</v>
      </c>
      <c r="C3039" s="4" t="str">
        <f t="shared" si="105"/>
        <v>-</v>
      </c>
      <c r="D3039" s="4" t="str">
        <f>"0733947X"</f>
        <v>0733947X</v>
      </c>
      <c r="E3039" s="4" t="str">
        <f>"-"</f>
        <v>-</v>
      </c>
      <c r="F3039" s="4" t="s">
        <v>111</v>
      </c>
    </row>
    <row r="3040" spans="1:6" x14ac:dyDescent="0.25">
      <c r="A3040" s="4" t="str">
        <f>"Journal of Transportation Systems Engineering and Information Technology"</f>
        <v>Journal of Transportation Systems Engineering and Information Technology</v>
      </c>
      <c r="B3040" s="4" t="s">
        <v>6</v>
      </c>
      <c r="C3040" s="4" t="str">
        <f t="shared" si="105"/>
        <v>-</v>
      </c>
      <c r="D3040" s="4" t="str">
        <f>"15706672"</f>
        <v>15706672</v>
      </c>
      <c r="E3040" s="4" t="str">
        <f>"-"</f>
        <v>-</v>
      </c>
      <c r="F3040" s="4" t="s">
        <v>55</v>
      </c>
    </row>
    <row r="3041" spans="1:6" x14ac:dyDescent="0.25">
      <c r="A3041" s="4" t="str">
        <f>"Journal of Tribology"</f>
        <v>Journal of Tribology</v>
      </c>
      <c r="B3041" s="4" t="s">
        <v>6</v>
      </c>
      <c r="C3041" s="4" t="str">
        <f t="shared" si="105"/>
        <v>-</v>
      </c>
      <c r="D3041" s="4" t="str">
        <f>"07424787"</f>
        <v>07424787</v>
      </c>
      <c r="E3041" s="4" t="str">
        <f>"15288897"</f>
        <v>15288897</v>
      </c>
      <c r="F3041" s="4" t="s">
        <v>73</v>
      </c>
    </row>
    <row r="3042" spans="1:6" x14ac:dyDescent="0.25">
      <c r="A3042" s="4" t="str">
        <f>"Journal of Tropical Forest Science"</f>
        <v>Journal of Tropical Forest Science</v>
      </c>
      <c r="B3042" s="4" t="s">
        <v>6</v>
      </c>
      <c r="C3042" s="4" t="str">
        <f t="shared" si="105"/>
        <v>-</v>
      </c>
      <c r="D3042" s="4" t="str">
        <f>"01281283"</f>
        <v>01281283</v>
      </c>
      <c r="E3042" s="4" t="str">
        <f>"-"</f>
        <v>-</v>
      </c>
      <c r="F3042" s="4" t="s">
        <v>805</v>
      </c>
    </row>
    <row r="3043" spans="1:6" x14ac:dyDescent="0.25">
      <c r="A3043" s="4" t="str">
        <f>"Journal of Turbomachinery"</f>
        <v>Journal of Turbomachinery</v>
      </c>
      <c r="B3043" s="4" t="s">
        <v>6</v>
      </c>
      <c r="C3043" s="4" t="str">
        <f t="shared" si="105"/>
        <v>-</v>
      </c>
      <c r="D3043" s="4" t="str">
        <f>"0889504X"</f>
        <v>0889504X</v>
      </c>
      <c r="E3043" s="4" t="str">
        <f>"15288900"</f>
        <v>15288900</v>
      </c>
      <c r="F3043" s="4" t="s">
        <v>73</v>
      </c>
    </row>
    <row r="3044" spans="1:6" x14ac:dyDescent="0.25">
      <c r="A3044" s="4" t="str">
        <f>"Journal of Ultrasound in Medicine"</f>
        <v>Journal of Ultrasound in Medicine</v>
      </c>
      <c r="B3044" s="4" t="s">
        <v>6</v>
      </c>
      <c r="C3044" s="4" t="str">
        <f t="shared" si="105"/>
        <v>-</v>
      </c>
      <c r="D3044" s="4" t="str">
        <f>"02784297"</f>
        <v>02784297</v>
      </c>
      <c r="E3044" s="4" t="str">
        <f>"15509613"</f>
        <v>15509613</v>
      </c>
      <c r="F3044" s="4" t="s">
        <v>806</v>
      </c>
    </row>
    <row r="3045" spans="1:6" x14ac:dyDescent="0.25">
      <c r="A3045" s="4" t="str">
        <f>"Journal of Unconventional Oil and Gas Resources"</f>
        <v>Journal of Unconventional Oil and Gas Resources</v>
      </c>
      <c r="B3045" s="4" t="s">
        <v>6</v>
      </c>
      <c r="C3045" s="4" t="str">
        <f t="shared" si="105"/>
        <v>-</v>
      </c>
      <c r="D3045" s="4" t="str">
        <f>"-"</f>
        <v>-</v>
      </c>
      <c r="E3045" s="4" t="str">
        <f>"22133976"</f>
        <v>22133976</v>
      </c>
      <c r="F3045" s="4" t="s">
        <v>19</v>
      </c>
    </row>
    <row r="3046" spans="1:6" x14ac:dyDescent="0.25">
      <c r="A3046" s="4" t="str">
        <f>"Journal of Urban Planning and Development"</f>
        <v>Journal of Urban Planning and Development</v>
      </c>
      <c r="B3046" s="4" t="s">
        <v>6</v>
      </c>
      <c r="C3046" s="4" t="str">
        <f t="shared" si="105"/>
        <v>-</v>
      </c>
      <c r="D3046" s="4" t="str">
        <f>"07339488"</f>
        <v>07339488</v>
      </c>
      <c r="E3046" s="4" t="str">
        <f>"-"</f>
        <v>-</v>
      </c>
      <c r="F3046" s="4" t="s">
        <v>111</v>
      </c>
    </row>
    <row r="3047" spans="1:6" x14ac:dyDescent="0.25">
      <c r="A3047" s="4" t="str">
        <f>"Journal of Vacuum Science and Technology A: Vacuum, Surfaces and Films"</f>
        <v>Journal of Vacuum Science and Technology A: Vacuum, Surfaces and Films</v>
      </c>
      <c r="B3047" s="4" t="s">
        <v>6</v>
      </c>
      <c r="C3047" s="4" t="str">
        <f t="shared" si="105"/>
        <v>-</v>
      </c>
      <c r="D3047" s="4" t="str">
        <f>"07342101"</f>
        <v>07342101</v>
      </c>
      <c r="E3047" s="4" t="str">
        <f>"15208559"</f>
        <v>15208559</v>
      </c>
      <c r="F3047" s="4" t="s">
        <v>807</v>
      </c>
    </row>
    <row r="3048" spans="1:6" x14ac:dyDescent="0.25">
      <c r="A3048" s="4" t="str">
        <f>"Journal of Vacuum Science and Technology B: Nanotechnology and Microelectronics"</f>
        <v>Journal of Vacuum Science and Technology B: Nanotechnology and Microelectronics</v>
      </c>
      <c r="B3048" s="4" t="s">
        <v>6</v>
      </c>
      <c r="C3048" s="4" t="str">
        <f t="shared" si="105"/>
        <v>-</v>
      </c>
      <c r="D3048" s="4" t="str">
        <f>"21662746"</f>
        <v>21662746</v>
      </c>
      <c r="E3048" s="4" t="str">
        <f>"21662754"</f>
        <v>21662754</v>
      </c>
      <c r="F3048" s="4" t="s">
        <v>108</v>
      </c>
    </row>
    <row r="3049" spans="1:6" x14ac:dyDescent="0.25">
      <c r="A3049" s="4" t="str">
        <f>"Journal of Validation Technology"</f>
        <v>Journal of Validation Technology</v>
      </c>
      <c r="B3049" s="4" t="s">
        <v>6</v>
      </c>
      <c r="C3049" s="4" t="str">
        <f t="shared" si="105"/>
        <v>-</v>
      </c>
      <c r="D3049" s="4" t="str">
        <f>"10796630"</f>
        <v>10796630</v>
      </c>
      <c r="E3049" s="4" t="str">
        <f>"21507090"</f>
        <v>21507090</v>
      </c>
      <c r="F3049" s="4" t="s">
        <v>808</v>
      </c>
    </row>
    <row r="3050" spans="1:6" x14ac:dyDescent="0.25">
      <c r="A3050" s="4" t="str">
        <f>"Journal of Vibration and Acoustics, Transactions of the ASME"</f>
        <v>Journal of Vibration and Acoustics, Transactions of the ASME</v>
      </c>
      <c r="B3050" s="4" t="s">
        <v>6</v>
      </c>
      <c r="C3050" s="4" t="str">
        <f t="shared" si="105"/>
        <v>-</v>
      </c>
      <c r="D3050" s="4" t="str">
        <f>"10489002"</f>
        <v>10489002</v>
      </c>
      <c r="E3050" s="4" t="str">
        <f>"15288927"</f>
        <v>15288927</v>
      </c>
      <c r="F3050" s="4" t="s">
        <v>73</v>
      </c>
    </row>
    <row r="3051" spans="1:6" x14ac:dyDescent="0.25">
      <c r="A3051" s="4" t="str">
        <f>"Journal of Vibroengineering"</f>
        <v>Journal of Vibroengineering</v>
      </c>
      <c r="B3051" s="4" t="s">
        <v>6</v>
      </c>
      <c r="C3051" s="4" t="str">
        <f t="shared" si="105"/>
        <v>-</v>
      </c>
      <c r="D3051" s="4" t="str">
        <f>"13928716"</f>
        <v>13928716</v>
      </c>
      <c r="E3051" s="4" t="str">
        <f>"-"</f>
        <v>-</v>
      </c>
      <c r="F3051" s="4" t="s">
        <v>809</v>
      </c>
    </row>
    <row r="3052" spans="1:6" x14ac:dyDescent="0.25">
      <c r="A3052" s="4" t="str">
        <f>"Journal of Vinyl and Additive Technology"</f>
        <v>Journal of Vinyl and Additive Technology</v>
      </c>
      <c r="B3052" s="4" t="s">
        <v>6</v>
      </c>
      <c r="C3052" s="4" t="str">
        <f t="shared" si="105"/>
        <v>-</v>
      </c>
      <c r="D3052" s="4" t="str">
        <f>"10835601"</f>
        <v>10835601</v>
      </c>
      <c r="E3052" s="4" t="str">
        <f>"15480585"</f>
        <v>15480585</v>
      </c>
      <c r="F3052" s="4" t="s">
        <v>142</v>
      </c>
    </row>
    <row r="3053" spans="1:6" x14ac:dyDescent="0.25">
      <c r="A3053" s="4" t="str">
        <f>"Journal of Visual Communication and Image Representation"</f>
        <v>Journal of Visual Communication and Image Representation</v>
      </c>
      <c r="B3053" s="4" t="s">
        <v>6</v>
      </c>
      <c r="C3053" s="4" t="str">
        <f t="shared" si="105"/>
        <v>-</v>
      </c>
      <c r="D3053" s="4" t="str">
        <f>"10473203"</f>
        <v>10473203</v>
      </c>
      <c r="E3053" s="4" t="str">
        <f>"10959076"</f>
        <v>10959076</v>
      </c>
      <c r="F3053" s="4" t="s">
        <v>71</v>
      </c>
    </row>
    <row r="3054" spans="1:6" x14ac:dyDescent="0.25">
      <c r="A3054" s="4" t="str">
        <f>"Journal of Volcanology and Geothermal Research"</f>
        <v>Journal of Volcanology and Geothermal Research</v>
      </c>
      <c r="B3054" s="4" t="s">
        <v>6</v>
      </c>
      <c r="C3054" s="4" t="str">
        <f t="shared" si="105"/>
        <v>-</v>
      </c>
      <c r="D3054" s="4" t="str">
        <f>"03770273"</f>
        <v>03770273</v>
      </c>
      <c r="E3054" s="4" t="str">
        <f>"-"</f>
        <v>-</v>
      </c>
      <c r="F3054" s="4" t="s">
        <v>55</v>
      </c>
    </row>
    <row r="3055" spans="1:6" x14ac:dyDescent="0.25">
      <c r="A3055" s="4" t="str">
        <f>"Journal of Water and Climate Change"</f>
        <v>Journal of Water and Climate Change</v>
      </c>
      <c r="B3055" s="4" t="s">
        <v>6</v>
      </c>
      <c r="C3055" s="4" t="str">
        <f t="shared" si="105"/>
        <v>-</v>
      </c>
      <c r="D3055" s="4" t="str">
        <f>"20402244"</f>
        <v>20402244</v>
      </c>
      <c r="E3055" s="4" t="str">
        <f>"-"</f>
        <v>-</v>
      </c>
      <c r="F3055" s="4" t="s">
        <v>810</v>
      </c>
    </row>
    <row r="3056" spans="1:6" x14ac:dyDescent="0.25">
      <c r="A3056" s="4" t="str">
        <f>"Journal of Water Chemistry and Technology"</f>
        <v>Journal of Water Chemistry and Technology</v>
      </c>
      <c r="B3056" s="4" t="s">
        <v>6</v>
      </c>
      <c r="C3056" s="4" t="str">
        <f t="shared" si="105"/>
        <v>-</v>
      </c>
      <c r="D3056" s="4" t="str">
        <f>"1063455X"</f>
        <v>1063455X</v>
      </c>
      <c r="E3056" s="4" t="str">
        <f>"1934936X"</f>
        <v>1934936X</v>
      </c>
      <c r="F3056" s="4" t="s">
        <v>145</v>
      </c>
    </row>
    <row r="3057" spans="1:6" x14ac:dyDescent="0.25">
      <c r="A3057" s="4" t="str">
        <f>"Journal of Water Resources Planning and Management"</f>
        <v>Journal of Water Resources Planning and Management</v>
      </c>
      <c r="B3057" s="4" t="s">
        <v>6</v>
      </c>
      <c r="C3057" s="4" t="str">
        <f t="shared" si="105"/>
        <v>-</v>
      </c>
      <c r="D3057" s="4" t="str">
        <f>"07339496"</f>
        <v>07339496</v>
      </c>
      <c r="E3057" s="4" t="str">
        <f>"-"</f>
        <v>-</v>
      </c>
      <c r="F3057" s="4" t="s">
        <v>111</v>
      </c>
    </row>
    <row r="3058" spans="1:6" x14ac:dyDescent="0.25">
      <c r="A3058" s="4" t="str">
        <f>"Journal of Water Supply: Research and Technology - AQUA"</f>
        <v>Journal of Water Supply: Research and Technology - AQUA</v>
      </c>
      <c r="B3058" s="4" t="s">
        <v>6</v>
      </c>
      <c r="C3058" s="4" t="str">
        <f t="shared" si="105"/>
        <v>-</v>
      </c>
      <c r="D3058" s="4" t="str">
        <f>"00037214"</f>
        <v>00037214</v>
      </c>
      <c r="E3058" s="4" t="str">
        <f>"-"</f>
        <v>-</v>
      </c>
      <c r="F3058" s="4" t="s">
        <v>810</v>
      </c>
    </row>
    <row r="3059" spans="1:6" x14ac:dyDescent="0.25">
      <c r="A3059" s="4" t="str">
        <f>"Journal of Waterway, Port, Coastal and Ocean Engineering"</f>
        <v>Journal of Waterway, Port, Coastal and Ocean Engineering</v>
      </c>
      <c r="B3059" s="4" t="s">
        <v>6</v>
      </c>
      <c r="C3059" s="4" t="str">
        <f t="shared" si="105"/>
        <v>-</v>
      </c>
      <c r="D3059" s="4" t="str">
        <f>"0733950X"</f>
        <v>0733950X</v>
      </c>
      <c r="E3059" s="4" t="str">
        <f>"-"</f>
        <v>-</v>
      </c>
      <c r="F3059" s="4" t="s">
        <v>111</v>
      </c>
    </row>
    <row r="3060" spans="1:6" x14ac:dyDescent="0.25">
      <c r="A3060" s="4" t="str">
        <f>"Journal of Web Engineering"</f>
        <v>Journal of Web Engineering</v>
      </c>
      <c r="B3060" s="4" t="s">
        <v>6</v>
      </c>
      <c r="C3060" s="4" t="str">
        <f t="shared" si="105"/>
        <v>-</v>
      </c>
      <c r="D3060" s="4" t="str">
        <f>"15409589"</f>
        <v>15409589</v>
      </c>
      <c r="E3060" s="4" t="str">
        <f>"-"</f>
        <v>-</v>
      </c>
      <c r="F3060" s="4" t="s">
        <v>736</v>
      </c>
    </row>
    <row r="3061" spans="1:6" x14ac:dyDescent="0.25">
      <c r="A3061" s="4" t="str">
        <f>"Journal of Web Semantics"</f>
        <v>Journal of Web Semantics</v>
      </c>
      <c r="B3061" s="4" t="s">
        <v>6</v>
      </c>
      <c r="C3061" s="4" t="str">
        <f t="shared" si="105"/>
        <v>-</v>
      </c>
      <c r="D3061" s="4" t="str">
        <f>"15708268"</f>
        <v>15708268</v>
      </c>
      <c r="E3061" s="4" t="str">
        <f>"-"</f>
        <v>-</v>
      </c>
      <c r="F3061" s="4" t="s">
        <v>55</v>
      </c>
    </row>
    <row r="3062" spans="1:6" x14ac:dyDescent="0.25">
      <c r="A3062" s="4" t="str">
        <f>"Journal of Wind Engineering"</f>
        <v>Journal of Wind Engineering</v>
      </c>
      <c r="B3062" s="4" t="s">
        <v>6</v>
      </c>
      <c r="C3062" s="4" t="str">
        <f t="shared" si="105"/>
        <v>-</v>
      </c>
      <c r="D3062" s="4" t="str">
        <f>"13493507"</f>
        <v>13493507</v>
      </c>
      <c r="E3062" s="4" t="str">
        <f>"1349340X"</f>
        <v>1349340X</v>
      </c>
      <c r="F3062" s="4" t="s">
        <v>811</v>
      </c>
    </row>
    <row r="3063" spans="1:6" x14ac:dyDescent="0.25">
      <c r="A3063" s="4" t="str">
        <f>"Journal of Wind Engineering and Industrial Aerodynamics"</f>
        <v>Journal of Wind Engineering and Industrial Aerodynamics</v>
      </c>
      <c r="B3063" s="4" t="s">
        <v>6</v>
      </c>
      <c r="C3063" s="4" t="str">
        <f t="shared" si="105"/>
        <v>-</v>
      </c>
      <c r="D3063" s="4" t="str">
        <f>"01676105"</f>
        <v>01676105</v>
      </c>
      <c r="E3063" s="4" t="str">
        <f>"-"</f>
        <v>-</v>
      </c>
      <c r="F3063" s="4" t="s">
        <v>55</v>
      </c>
    </row>
    <row r="3064" spans="1:6" x14ac:dyDescent="0.25">
      <c r="A3064" s="4" t="str">
        <f>"Journal of Wood Chemistry and Technology"</f>
        <v>Journal of Wood Chemistry and Technology</v>
      </c>
      <c r="B3064" s="4" t="s">
        <v>6</v>
      </c>
      <c r="C3064" s="4" t="str">
        <f t="shared" si="105"/>
        <v>-</v>
      </c>
      <c r="D3064" s="4" t="str">
        <f>"02773813"</f>
        <v>02773813</v>
      </c>
      <c r="E3064" s="4" t="str">
        <f>"15322319"</f>
        <v>15322319</v>
      </c>
      <c r="F3064" s="4" t="s">
        <v>96</v>
      </c>
    </row>
    <row r="3065" spans="1:6" x14ac:dyDescent="0.25">
      <c r="A3065" s="4" t="str">
        <f>"Journal of Wood Science"</f>
        <v>Journal of Wood Science</v>
      </c>
      <c r="B3065" s="4" t="s">
        <v>6</v>
      </c>
      <c r="C3065" s="4" t="str">
        <f t="shared" si="105"/>
        <v>-</v>
      </c>
      <c r="D3065" s="4" t="str">
        <f>"14350211"</f>
        <v>14350211</v>
      </c>
      <c r="E3065" s="4" t="str">
        <f>"-"</f>
        <v>-</v>
      </c>
      <c r="F3065" s="4" t="s">
        <v>127</v>
      </c>
    </row>
    <row r="3066" spans="1:6" x14ac:dyDescent="0.25">
      <c r="A3066" s="4" t="str">
        <f>"Journal of X-Ray Science and Technology"</f>
        <v>Journal of X-Ray Science and Technology</v>
      </c>
      <c r="B3066" s="4" t="s">
        <v>6</v>
      </c>
      <c r="C3066" s="4" t="str">
        <f t="shared" si="105"/>
        <v>-</v>
      </c>
      <c r="D3066" s="4" t="str">
        <f>"08953996"</f>
        <v>08953996</v>
      </c>
      <c r="E3066" s="4" t="str">
        <f>"-"</f>
        <v>-</v>
      </c>
      <c r="F3066" s="4" t="s">
        <v>103</v>
      </c>
    </row>
    <row r="3067" spans="1:6" x14ac:dyDescent="0.25">
      <c r="A3067" s="4" t="str">
        <f>"Journal of Zhejiang University: Science A"</f>
        <v>Journal of Zhejiang University: Science A</v>
      </c>
      <c r="B3067" s="4" t="s">
        <v>6</v>
      </c>
      <c r="C3067" s="4" t="str">
        <f t="shared" si="105"/>
        <v>-</v>
      </c>
      <c r="D3067" s="4" t="str">
        <f>"1673565X"</f>
        <v>1673565X</v>
      </c>
      <c r="E3067" s="4" t="str">
        <f>"18621775"</f>
        <v>18621775</v>
      </c>
      <c r="F3067" s="4" t="s">
        <v>441</v>
      </c>
    </row>
    <row r="3068" spans="1:6" x14ac:dyDescent="0.25">
      <c r="A3068" s="4" t="s">
        <v>812</v>
      </c>
      <c r="B3068" s="4" t="s">
        <v>6</v>
      </c>
      <c r="D3068" s="4">
        <v>18612032</v>
      </c>
      <c r="E3068" s="4">
        <v>18612040</v>
      </c>
      <c r="F3068" s="4" t="s">
        <v>42</v>
      </c>
    </row>
    <row r="3069" spans="1:6" x14ac:dyDescent="0.25">
      <c r="A3069" s="4" t="str">
        <f>"Journal on Multimodal User Interfaces"</f>
        <v>Journal on Multimodal User Interfaces</v>
      </c>
      <c r="B3069" s="4" t="s">
        <v>6</v>
      </c>
      <c r="C3069" s="4" t="str">
        <f t="shared" ref="C3069:C3092" si="106">"-"</f>
        <v>-</v>
      </c>
      <c r="D3069" s="4" t="str">
        <f>"17837677"</f>
        <v>17837677</v>
      </c>
      <c r="E3069" s="4" t="str">
        <f>"17838738"</f>
        <v>17838738</v>
      </c>
      <c r="F3069" s="4" t="s">
        <v>42</v>
      </c>
    </row>
    <row r="3070" spans="1:6" x14ac:dyDescent="0.25">
      <c r="A3070" s="4" t="str">
        <f>"Journal Wuhan University of Technology, Materials Science Edition"</f>
        <v>Journal Wuhan University of Technology, Materials Science Edition</v>
      </c>
      <c r="B3070" s="4" t="s">
        <v>6</v>
      </c>
      <c r="C3070" s="4" t="str">
        <f t="shared" si="106"/>
        <v>-</v>
      </c>
      <c r="D3070" s="4" t="str">
        <f>"10002413"</f>
        <v>10002413</v>
      </c>
      <c r="E3070" s="4" t="str">
        <f>"-"</f>
        <v>-</v>
      </c>
      <c r="F3070" s="4" t="s">
        <v>813</v>
      </c>
    </row>
    <row r="3071" spans="1:6" x14ac:dyDescent="0.25">
      <c r="A3071" s="4" t="str">
        <f>"JPT, Journal of Petroleum Technology"</f>
        <v>JPT, Journal of Petroleum Technology</v>
      </c>
      <c r="B3071" s="4" t="s">
        <v>6</v>
      </c>
      <c r="C3071" s="4" t="str">
        <f t="shared" si="106"/>
        <v>-</v>
      </c>
      <c r="D3071" s="4" t="str">
        <f>"01492136"</f>
        <v>01492136</v>
      </c>
      <c r="E3071" s="4" t="str">
        <f>"-"</f>
        <v>-</v>
      </c>
      <c r="F3071" s="4" t="s">
        <v>671</v>
      </c>
    </row>
    <row r="3072" spans="1:6" x14ac:dyDescent="0.25">
      <c r="A3072" s="4" t="str">
        <f>"JVC/Journal of Vibration and Control"</f>
        <v>JVC/Journal of Vibration and Control</v>
      </c>
      <c r="B3072" s="4" t="s">
        <v>6</v>
      </c>
      <c r="C3072" s="4" t="str">
        <f t="shared" si="106"/>
        <v>-</v>
      </c>
      <c r="D3072" s="4" t="str">
        <f>"10775463"</f>
        <v>10775463</v>
      </c>
      <c r="E3072" s="4" t="str">
        <f>"17412986"</f>
        <v>17412986</v>
      </c>
      <c r="F3072" s="4" t="s">
        <v>50</v>
      </c>
    </row>
    <row r="3073" spans="1:6" x14ac:dyDescent="0.25">
      <c r="A3073" s="4" t="str">
        <f>"Kagaku Kogaku Ronbunshu"</f>
        <v>Kagaku Kogaku Ronbunshu</v>
      </c>
      <c r="B3073" s="4" t="s">
        <v>6</v>
      </c>
      <c r="C3073" s="4" t="str">
        <f t="shared" si="106"/>
        <v>-</v>
      </c>
      <c r="D3073" s="4" t="str">
        <f>"0386216X"</f>
        <v>0386216X</v>
      </c>
      <c r="E3073" s="4" t="str">
        <f>"13499203"</f>
        <v>13499203</v>
      </c>
      <c r="F3073" s="4" t="s">
        <v>674</v>
      </c>
    </row>
    <row r="3074" spans="1:6" x14ac:dyDescent="0.25">
      <c r="A3074" s="4" t="str">
        <f>"Keikinzoku Yosetsu/Journal of Light Metal Welding and Construction"</f>
        <v>Keikinzoku Yosetsu/Journal of Light Metal Welding and Construction</v>
      </c>
      <c r="B3074" s="4" t="s">
        <v>6</v>
      </c>
      <c r="C3074" s="4" t="str">
        <f t="shared" si="106"/>
        <v>-</v>
      </c>
      <c r="D3074" s="4" t="str">
        <f>"03685306"</f>
        <v>03685306</v>
      </c>
      <c r="E3074" s="4" t="str">
        <f>"-"</f>
        <v>-</v>
      </c>
      <c r="F3074" s="4" t="s">
        <v>814</v>
      </c>
    </row>
    <row r="3075" spans="1:6" x14ac:dyDescent="0.25">
      <c r="A3075" s="4" t="str">
        <f>"Keikinzoku/Journal of Japan Institute of Light Metals"</f>
        <v>Keikinzoku/Journal of Japan Institute of Light Metals</v>
      </c>
      <c r="B3075" s="4" t="s">
        <v>6</v>
      </c>
      <c r="C3075" s="4" t="str">
        <f t="shared" si="106"/>
        <v>-</v>
      </c>
      <c r="D3075" s="4" t="str">
        <f>"04515994"</f>
        <v>04515994</v>
      </c>
      <c r="E3075" s="4" t="str">
        <f>"-"</f>
        <v>-</v>
      </c>
      <c r="F3075" s="4" t="s">
        <v>815</v>
      </c>
    </row>
    <row r="3076" spans="1:6" x14ac:dyDescent="0.25">
      <c r="A3076" s="4" t="str">
        <f>"Kemija u industriji/Journal of Chemists and Chemical Engineers"</f>
        <v>Kemija u industriji/Journal of Chemists and Chemical Engineers</v>
      </c>
      <c r="B3076" s="4" t="s">
        <v>6</v>
      </c>
      <c r="C3076" s="4" t="str">
        <f t="shared" si="106"/>
        <v>-</v>
      </c>
      <c r="D3076" s="4" t="str">
        <f>"00229830"</f>
        <v>00229830</v>
      </c>
      <c r="E3076" s="4" t="str">
        <f>"13349090"</f>
        <v>13349090</v>
      </c>
      <c r="F3076" s="4" t="s">
        <v>816</v>
      </c>
    </row>
    <row r="3077" spans="1:6" x14ac:dyDescent="0.25">
      <c r="A3077" s="4" t="str">
        <f>"Keramische Zeitschrift"</f>
        <v>Keramische Zeitschrift</v>
      </c>
      <c r="B3077" s="4" t="s">
        <v>6</v>
      </c>
      <c r="C3077" s="4" t="str">
        <f t="shared" si="106"/>
        <v>-</v>
      </c>
      <c r="D3077" s="4" t="str">
        <f>"00230561"</f>
        <v>00230561</v>
      </c>
      <c r="E3077" s="4" t="str">
        <f>"-"</f>
        <v>-</v>
      </c>
      <c r="F3077" s="4" t="s">
        <v>817</v>
      </c>
    </row>
    <row r="3078" spans="1:6" x14ac:dyDescent="0.25">
      <c r="A3078" s="4" t="str">
        <f>"Kerntechnik"</f>
        <v>Kerntechnik</v>
      </c>
      <c r="B3078" s="4" t="s">
        <v>6</v>
      </c>
      <c r="C3078" s="4" t="str">
        <f t="shared" si="106"/>
        <v>-</v>
      </c>
      <c r="D3078" s="4" t="str">
        <f>"09323902"</f>
        <v>09323902</v>
      </c>
      <c r="E3078" s="4" t="str">
        <f>"-"</f>
        <v>-</v>
      </c>
      <c r="F3078" s="4" t="s">
        <v>490</v>
      </c>
    </row>
    <row r="3079" spans="1:6" x14ac:dyDescent="0.25">
      <c r="A3079" s="4" t="str">
        <f>"Key Engineering Materials"</f>
        <v>Key Engineering Materials</v>
      </c>
      <c r="B3079" s="4" t="s">
        <v>29</v>
      </c>
      <c r="C3079" s="4" t="str">
        <f t="shared" si="106"/>
        <v>-</v>
      </c>
      <c r="D3079" s="4" t="str">
        <f>"10139826"</f>
        <v>10139826</v>
      </c>
      <c r="E3079" s="4" t="str">
        <f>"-"</f>
        <v>-</v>
      </c>
      <c r="F3079" s="4" t="s">
        <v>320</v>
      </c>
    </row>
    <row r="3080" spans="1:6" x14ac:dyDescent="0.25">
      <c r="A3080" s="4" t="str">
        <f>"KGK Kautschuk Gummi Kunststoffe"</f>
        <v>KGK Kautschuk Gummi Kunststoffe</v>
      </c>
      <c r="B3080" s="4" t="s">
        <v>6</v>
      </c>
      <c r="C3080" s="4" t="str">
        <f t="shared" si="106"/>
        <v>-</v>
      </c>
      <c r="D3080" s="4" t="str">
        <f>"09483276"</f>
        <v>09483276</v>
      </c>
      <c r="E3080" s="4" t="str">
        <f>"-"</f>
        <v>-</v>
      </c>
      <c r="F3080" s="4" t="s">
        <v>818</v>
      </c>
    </row>
    <row r="3081" spans="1:6" x14ac:dyDescent="0.25">
      <c r="A3081" s="4" t="str">
        <f>"Knowledge Engineering Review"</f>
        <v>Knowledge Engineering Review</v>
      </c>
      <c r="B3081" s="4" t="s">
        <v>6</v>
      </c>
      <c r="C3081" s="4" t="str">
        <f t="shared" si="106"/>
        <v>-</v>
      </c>
      <c r="D3081" s="4" t="str">
        <f>"02698889"</f>
        <v>02698889</v>
      </c>
      <c r="E3081" s="4" t="str">
        <f>"14698005"</f>
        <v>14698005</v>
      </c>
      <c r="F3081" s="4" t="s">
        <v>152</v>
      </c>
    </row>
    <row r="3082" spans="1:6" x14ac:dyDescent="0.25">
      <c r="A3082" s="4" t="str">
        <f>"Knowledge-Based Systems"</f>
        <v>Knowledge-Based Systems</v>
      </c>
      <c r="B3082" s="4" t="s">
        <v>6</v>
      </c>
      <c r="C3082" s="4" t="str">
        <f t="shared" si="106"/>
        <v>-</v>
      </c>
      <c r="D3082" s="4" t="str">
        <f>"09507051"</f>
        <v>09507051</v>
      </c>
      <c r="E3082" s="4" t="str">
        <f>"-"</f>
        <v>-</v>
      </c>
      <c r="F3082" s="4" t="s">
        <v>55</v>
      </c>
    </row>
    <row r="3083" spans="1:6" x14ac:dyDescent="0.25">
      <c r="A3083" s="4" t="str">
        <f>"Kobunshi"</f>
        <v>Kobunshi</v>
      </c>
      <c r="B3083" s="4" t="s">
        <v>6</v>
      </c>
      <c r="C3083" s="4" t="str">
        <f t="shared" si="106"/>
        <v>-</v>
      </c>
      <c r="D3083" s="4" t="str">
        <f>"04541138"</f>
        <v>04541138</v>
      </c>
      <c r="E3083" s="4" t="str">
        <f>"-"</f>
        <v>-</v>
      </c>
      <c r="F3083" s="4" t="s">
        <v>819</v>
      </c>
    </row>
    <row r="3084" spans="1:6" x14ac:dyDescent="0.25">
      <c r="A3084" s="4" t="str">
        <f>"Kobunshi Ronbunshu"</f>
        <v>Kobunshi Ronbunshu</v>
      </c>
      <c r="B3084" s="4" t="s">
        <v>6</v>
      </c>
      <c r="C3084" s="4" t="str">
        <f t="shared" si="106"/>
        <v>-</v>
      </c>
      <c r="D3084" s="4" t="str">
        <f>"03862186"</f>
        <v>03862186</v>
      </c>
      <c r="E3084" s="4" t="str">
        <f>"-"</f>
        <v>-</v>
      </c>
      <c r="F3084" s="4" t="s">
        <v>819</v>
      </c>
    </row>
    <row r="3085" spans="1:6" x14ac:dyDescent="0.25">
      <c r="A3085" s="4" t="str">
        <f>"KONA Powder and Particle Journal"</f>
        <v>KONA Powder and Particle Journal</v>
      </c>
      <c r="B3085" s="4" t="s">
        <v>6</v>
      </c>
      <c r="C3085" s="4" t="str">
        <f t="shared" si="106"/>
        <v>-</v>
      </c>
      <c r="D3085" s="4" t="str">
        <f>"02884534"</f>
        <v>02884534</v>
      </c>
      <c r="E3085" s="4" t="str">
        <f>"21875537"</f>
        <v>21875537</v>
      </c>
      <c r="F3085" s="4" t="s">
        <v>820</v>
      </c>
    </row>
    <row r="3086" spans="1:6" x14ac:dyDescent="0.25">
      <c r="A3086" s="4" t="str">
        <f>"Kongzhi Lilun Yu Yingyong/Control Theory and Applications"</f>
        <v>Kongzhi Lilun Yu Yingyong/Control Theory and Applications</v>
      </c>
      <c r="B3086" s="4" t="s">
        <v>6</v>
      </c>
      <c r="C3086" s="4" t="str">
        <f t="shared" si="106"/>
        <v>-</v>
      </c>
      <c r="D3086" s="4" t="str">
        <f>"10008152"</f>
        <v>10008152</v>
      </c>
      <c r="E3086" s="4" t="str">
        <f>"-"</f>
        <v>-</v>
      </c>
      <c r="F3086" s="4" t="s">
        <v>307</v>
      </c>
    </row>
    <row r="3087" spans="1:6" x14ac:dyDescent="0.25">
      <c r="A3087" s="4" t="str">
        <f>"Kongzhi yu Juece/Control and Decision"</f>
        <v>Kongzhi yu Juece/Control and Decision</v>
      </c>
      <c r="B3087" s="4" t="s">
        <v>6</v>
      </c>
      <c r="C3087" s="4" t="str">
        <f t="shared" si="106"/>
        <v>-</v>
      </c>
      <c r="D3087" s="4" t="str">
        <f>"10010920"</f>
        <v>10010920</v>
      </c>
      <c r="E3087" s="4" t="str">
        <f>"-"</f>
        <v>-</v>
      </c>
      <c r="F3087" s="4" t="s">
        <v>821</v>
      </c>
    </row>
    <row r="3088" spans="1:6" x14ac:dyDescent="0.25">
      <c r="A3088" s="4" t="str">
        <f>"Konstruktion"</f>
        <v>Konstruktion</v>
      </c>
      <c r="B3088" s="4" t="s">
        <v>6</v>
      </c>
      <c r="C3088" s="4" t="str">
        <f t="shared" si="106"/>
        <v>-</v>
      </c>
      <c r="D3088" s="4" t="str">
        <f>"07205953"</f>
        <v>07205953</v>
      </c>
      <c r="E3088" s="4" t="str">
        <f>"-"</f>
        <v>-</v>
      </c>
      <c r="F3088" s="4" t="s">
        <v>822</v>
      </c>
    </row>
    <row r="3089" spans="1:6" x14ac:dyDescent="0.25">
      <c r="A3089" s="4" t="str">
        <f>"Korean Journal of Materials Research"</f>
        <v>Korean Journal of Materials Research</v>
      </c>
      <c r="B3089" s="4" t="s">
        <v>6</v>
      </c>
      <c r="C3089" s="4" t="str">
        <f t="shared" si="106"/>
        <v>-</v>
      </c>
      <c r="D3089" s="4" t="str">
        <f>"12250562"</f>
        <v>12250562</v>
      </c>
      <c r="E3089" s="4" t="str">
        <f>"-"</f>
        <v>-</v>
      </c>
      <c r="F3089" s="4" t="s">
        <v>823</v>
      </c>
    </row>
    <row r="3090" spans="1:6" x14ac:dyDescent="0.25">
      <c r="A3090" s="4" t="str">
        <f>"KSCE Journal of Civil Engineering"</f>
        <v>KSCE Journal of Civil Engineering</v>
      </c>
      <c r="B3090" s="4" t="s">
        <v>6</v>
      </c>
      <c r="C3090" s="4" t="str">
        <f t="shared" si="106"/>
        <v>-</v>
      </c>
      <c r="D3090" s="4" t="str">
        <f>"12267988"</f>
        <v>12267988</v>
      </c>
      <c r="E3090" s="4" t="str">
        <f>"19763808"</f>
        <v>19763808</v>
      </c>
      <c r="F3090" s="4" t="s">
        <v>42</v>
      </c>
    </row>
    <row r="3091" spans="1:6" x14ac:dyDescent="0.25">
      <c r="A3091" s="4" t="str">
        <f>"KSII Transactions on Internet and Information Systems"</f>
        <v>KSII Transactions on Internet and Information Systems</v>
      </c>
      <c r="B3091" s="4" t="s">
        <v>6</v>
      </c>
      <c r="C3091" s="4" t="str">
        <f t="shared" si="106"/>
        <v>-</v>
      </c>
      <c r="D3091" s="4" t="str">
        <f>"19767277"</f>
        <v>19767277</v>
      </c>
      <c r="E3091" s="4" t="str">
        <f>"22881468"</f>
        <v>22881468</v>
      </c>
      <c r="F3091" s="4" t="s">
        <v>824</v>
      </c>
    </row>
    <row r="3092" spans="1:6" x14ac:dyDescent="0.25">
      <c r="A3092" s="4" t="str">
        <f>"Kuei Suan Jen Hsueh Pao/Journal of the Chinese Ceramic Society"</f>
        <v>Kuei Suan Jen Hsueh Pao/Journal of the Chinese Ceramic Society</v>
      </c>
      <c r="B3092" s="4" t="s">
        <v>6</v>
      </c>
      <c r="C3092" s="4" t="str">
        <f t="shared" si="106"/>
        <v>-</v>
      </c>
      <c r="D3092" s="4" t="str">
        <f>"04545648"</f>
        <v>04545648</v>
      </c>
      <c r="E3092" s="4" t="str">
        <f>"-"</f>
        <v>-</v>
      </c>
      <c r="F3092" s="4" t="s">
        <v>825</v>
      </c>
    </row>
    <row r="3093" spans="1:6" x14ac:dyDescent="0.25">
      <c r="A3093" s="4" t="s">
        <v>826</v>
      </c>
      <c r="B3093" s="4" t="s">
        <v>6</v>
      </c>
      <c r="D3093" s="4" t="s">
        <v>827</v>
      </c>
      <c r="F3093" s="4" t="s">
        <v>37</v>
      </c>
    </row>
    <row r="3094" spans="1:6" x14ac:dyDescent="0.25">
      <c r="A3094" s="4" t="str">
        <f>"Kyokai Joho Imeji Zasshi/Journal of the Institute of Image Information and Television Engineers"</f>
        <v>Kyokai Joho Imeji Zasshi/Journal of the Institute of Image Information and Television Engineers</v>
      </c>
      <c r="B3094" s="4" t="s">
        <v>6</v>
      </c>
      <c r="C3094" s="4" t="str">
        <f t="shared" ref="C3094:C3157" si="107">"-"</f>
        <v>-</v>
      </c>
      <c r="D3094" s="4" t="str">
        <f>"13426907"</f>
        <v>13426907</v>
      </c>
      <c r="E3094" s="4" t="str">
        <f>"-"</f>
        <v>-</v>
      </c>
      <c r="F3094" s="4" t="s">
        <v>828</v>
      </c>
    </row>
    <row r="3095" spans="1:6" x14ac:dyDescent="0.25">
      <c r="A3095" s="4" t="str">
        <f>"Kyushu Tokai Daigaku Nogakubu Kiyo/Proceedings of School of Agriculture Kyushu Tokai University"</f>
        <v>Kyushu Tokai Daigaku Nogakubu Kiyo/Proceedings of School of Agriculture Kyushu Tokai University</v>
      </c>
      <c r="B3095" s="4" t="s">
        <v>8</v>
      </c>
      <c r="C3095" s="4" t="str">
        <f t="shared" si="107"/>
        <v>-</v>
      </c>
      <c r="D3095" s="4" t="str">
        <f>"02868180"</f>
        <v>02868180</v>
      </c>
      <c r="E3095" s="4" t="str">
        <f>"-"</f>
        <v>-</v>
      </c>
      <c r="F3095" s="4" t="s">
        <v>829</v>
      </c>
    </row>
    <row r="3096" spans="1:6" x14ac:dyDescent="0.25">
      <c r="A3096" s="4" t="str">
        <f>"Land Degradation and Development"</f>
        <v>Land Degradation and Development</v>
      </c>
      <c r="B3096" s="4" t="s">
        <v>6</v>
      </c>
      <c r="C3096" s="4" t="str">
        <f t="shared" si="107"/>
        <v>-</v>
      </c>
      <c r="D3096" s="4" t="str">
        <f>"10853278"</f>
        <v>10853278</v>
      </c>
      <c r="E3096" s="4" t="str">
        <f>"1099145X"</f>
        <v>1099145X</v>
      </c>
      <c r="F3096" s="4" t="s">
        <v>142</v>
      </c>
    </row>
    <row r="3097" spans="1:6" x14ac:dyDescent="0.25">
      <c r="A3097" s="4" t="str">
        <f>"Landscape and Urban Planning"</f>
        <v>Landscape and Urban Planning</v>
      </c>
      <c r="B3097" s="4" t="s">
        <v>6</v>
      </c>
      <c r="C3097" s="4" t="str">
        <f t="shared" si="107"/>
        <v>-</v>
      </c>
      <c r="D3097" s="4" t="str">
        <f>"01692046"</f>
        <v>01692046</v>
      </c>
      <c r="E3097" s="4" t="str">
        <f>"-"</f>
        <v>-</v>
      </c>
      <c r="F3097" s="4" t="s">
        <v>55</v>
      </c>
    </row>
    <row r="3098" spans="1:6" x14ac:dyDescent="0.25">
      <c r="A3098" s="4" t="str">
        <f>"Landslides"</f>
        <v>Landslides</v>
      </c>
      <c r="B3098" s="4" t="s">
        <v>6</v>
      </c>
      <c r="C3098" s="4" t="str">
        <f t="shared" si="107"/>
        <v>-</v>
      </c>
      <c r="D3098" s="4" t="str">
        <f>"1612510X"</f>
        <v>1612510X</v>
      </c>
      <c r="E3098" s="4" t="str">
        <f>"16125118"</f>
        <v>16125118</v>
      </c>
      <c r="F3098" s="4" t="s">
        <v>42</v>
      </c>
    </row>
    <row r="3099" spans="1:6" x14ac:dyDescent="0.25">
      <c r="A3099" s="4" t="str">
        <f>"Langmuir"</f>
        <v>Langmuir</v>
      </c>
      <c r="B3099" s="4" t="s">
        <v>6</v>
      </c>
      <c r="C3099" s="4" t="str">
        <f t="shared" si="107"/>
        <v>-</v>
      </c>
      <c r="D3099" s="4" t="str">
        <f>"07437463"</f>
        <v>07437463</v>
      </c>
      <c r="E3099" s="4" t="str">
        <f>"15205827"</f>
        <v>15205827</v>
      </c>
      <c r="F3099" s="4" t="s">
        <v>28</v>
      </c>
    </row>
    <row r="3100" spans="1:6" x14ac:dyDescent="0.25">
      <c r="A3100" s="4" t="str">
        <f>"Laser and Particle Beams"</f>
        <v>Laser and Particle Beams</v>
      </c>
      <c r="B3100" s="4" t="s">
        <v>6</v>
      </c>
      <c r="C3100" s="4" t="str">
        <f t="shared" si="107"/>
        <v>-</v>
      </c>
      <c r="D3100" s="4" t="str">
        <f>"02630346"</f>
        <v>02630346</v>
      </c>
      <c r="E3100" s="4" t="str">
        <f>"1469803X"</f>
        <v>1469803X</v>
      </c>
      <c r="F3100" s="4" t="s">
        <v>152</v>
      </c>
    </row>
    <row r="3101" spans="1:6" x14ac:dyDescent="0.25">
      <c r="A3101" s="4" t="str">
        <f>"Laser and Photonics Reviews"</f>
        <v>Laser and Photonics Reviews</v>
      </c>
      <c r="B3101" s="4" t="s">
        <v>6</v>
      </c>
      <c r="C3101" s="4" t="str">
        <f t="shared" si="107"/>
        <v>-</v>
      </c>
      <c r="D3101" s="4" t="str">
        <f>"18638880"</f>
        <v>18638880</v>
      </c>
      <c r="E3101" s="4" t="str">
        <f>"18638899"</f>
        <v>18638899</v>
      </c>
      <c r="F3101" s="4" t="s">
        <v>63</v>
      </c>
    </row>
    <row r="3102" spans="1:6" x14ac:dyDescent="0.25">
      <c r="A3102" s="4" t="str">
        <f>"Laser Focus World"</f>
        <v>Laser Focus World</v>
      </c>
      <c r="B3102" s="4" t="s">
        <v>22</v>
      </c>
      <c r="C3102" s="4" t="str">
        <f t="shared" si="107"/>
        <v>-</v>
      </c>
      <c r="D3102" s="4" t="str">
        <f>"10438092"</f>
        <v>10438092</v>
      </c>
      <c r="E3102" s="4" t="str">
        <f>"-"</f>
        <v>-</v>
      </c>
      <c r="F3102" s="4" t="s">
        <v>830</v>
      </c>
    </row>
    <row r="3103" spans="1:6" x14ac:dyDescent="0.25">
      <c r="A3103" s="4" t="str">
        <f>"Laser Physics"</f>
        <v>Laser Physics</v>
      </c>
      <c r="B3103" s="4" t="s">
        <v>6</v>
      </c>
      <c r="C3103" s="4" t="str">
        <f t="shared" si="107"/>
        <v>-</v>
      </c>
      <c r="D3103" s="4" t="str">
        <f>"1054660X"</f>
        <v>1054660X</v>
      </c>
      <c r="E3103" s="4" t="str">
        <f>"15556611"</f>
        <v>15556611</v>
      </c>
      <c r="F3103" s="4" t="s">
        <v>184</v>
      </c>
    </row>
    <row r="3104" spans="1:6" x14ac:dyDescent="0.25">
      <c r="A3104" s="4" t="str">
        <f>"Lasers in Engineering"</f>
        <v>Lasers in Engineering</v>
      </c>
      <c r="B3104" s="4" t="s">
        <v>6</v>
      </c>
      <c r="C3104" s="4" t="str">
        <f t="shared" si="107"/>
        <v>-</v>
      </c>
      <c r="D3104" s="4" t="str">
        <f>"08981507"</f>
        <v>08981507</v>
      </c>
      <c r="E3104" s="4" t="str">
        <f>"-"</f>
        <v>-</v>
      </c>
      <c r="F3104" s="4" t="s">
        <v>485</v>
      </c>
    </row>
    <row r="3105" spans="1:6" x14ac:dyDescent="0.25">
      <c r="A3105" s="4" t="str">
        <f>"Leadership and Management in Engineering"</f>
        <v>Leadership and Management in Engineering</v>
      </c>
      <c r="B3105" s="4" t="s">
        <v>6</v>
      </c>
      <c r="C3105" s="4" t="str">
        <f t="shared" si="107"/>
        <v>-</v>
      </c>
      <c r="D3105" s="4" t="str">
        <f>"15326748"</f>
        <v>15326748</v>
      </c>
      <c r="E3105" s="4" t="str">
        <f>"-"</f>
        <v>-</v>
      </c>
      <c r="F3105" s="4" t="s">
        <v>111</v>
      </c>
    </row>
    <row r="3106" spans="1:6" x14ac:dyDescent="0.25">
      <c r="A3106" s="4" t="str">
        <f>"Leading Edge"</f>
        <v>Leading Edge</v>
      </c>
      <c r="B3106" s="4" t="s">
        <v>6</v>
      </c>
      <c r="C3106" s="4" t="str">
        <f t="shared" si="107"/>
        <v>-</v>
      </c>
      <c r="D3106" s="4" t="str">
        <f>"1070485X"</f>
        <v>1070485X</v>
      </c>
      <c r="E3106" s="4" t="str">
        <f>"19383789"</f>
        <v>19383789</v>
      </c>
      <c r="F3106" s="4" t="s">
        <v>458</v>
      </c>
    </row>
    <row r="3107" spans="1:6" x14ac:dyDescent="0.25">
      <c r="A3107" s="4" t="str">
        <f>"Leather and Footwear Journal"</f>
        <v>Leather and Footwear Journal</v>
      </c>
      <c r="B3107" s="4" t="s">
        <v>6</v>
      </c>
      <c r="C3107" s="4" t="str">
        <f t="shared" si="107"/>
        <v>-</v>
      </c>
      <c r="D3107" s="4" t="str">
        <f>"15834433"</f>
        <v>15834433</v>
      </c>
      <c r="E3107" s="4" t="str">
        <f>"-"</f>
        <v>-</v>
      </c>
      <c r="F3107" s="4" t="s">
        <v>831</v>
      </c>
    </row>
    <row r="3108" spans="1:6" x14ac:dyDescent="0.25">
      <c r="A3108" s="4" t="str">
        <f>"Lecture Notes in Applied and Computational Mechanics"</f>
        <v>Lecture Notes in Applied and Computational Mechanics</v>
      </c>
      <c r="B3108" s="4" t="s">
        <v>29</v>
      </c>
      <c r="C3108" s="4" t="str">
        <f t="shared" si="107"/>
        <v>-</v>
      </c>
      <c r="D3108" s="4" t="str">
        <f>"16137736"</f>
        <v>16137736</v>
      </c>
      <c r="E3108" s="4" t="str">
        <f>"-"</f>
        <v>-</v>
      </c>
      <c r="F3108" s="4" t="s">
        <v>42</v>
      </c>
    </row>
    <row r="3109" spans="1:6" x14ac:dyDescent="0.25">
      <c r="A3109" s="4" t="str">
        <f>"Lecture Notes in Business Information Processing"</f>
        <v>Lecture Notes in Business Information Processing</v>
      </c>
      <c r="B3109" s="4" t="s">
        <v>29</v>
      </c>
      <c r="C3109" s="4" t="str">
        <f t="shared" si="107"/>
        <v>-</v>
      </c>
      <c r="D3109" s="4" t="str">
        <f>"18651348"</f>
        <v>18651348</v>
      </c>
      <c r="E3109" s="4" t="str">
        <f>"-"</f>
        <v>-</v>
      </c>
      <c r="F3109" s="4" t="s">
        <v>42</v>
      </c>
    </row>
    <row r="3110" spans="1:6" x14ac:dyDescent="0.25">
      <c r="A3110" s="4" t="str">
        <f>"Lecture Notes in Computational Science and Engineering"</f>
        <v>Lecture Notes in Computational Science and Engineering</v>
      </c>
      <c r="B3110" s="4" t="s">
        <v>29</v>
      </c>
      <c r="C3110" s="4" t="str">
        <f t="shared" si="107"/>
        <v>-</v>
      </c>
      <c r="D3110" s="4" t="str">
        <f>"14397358"</f>
        <v>14397358</v>
      </c>
      <c r="E3110" s="4" t="str">
        <f>"-"</f>
        <v>-</v>
      </c>
      <c r="F3110" s="4" t="s">
        <v>42</v>
      </c>
    </row>
    <row r="3111" spans="1:6" ht="30" x14ac:dyDescent="0.25">
      <c r="A3111" s="4" t="str">
        <f>"Lecture Notes in Computer Science (including subseries Lecture Notes in Artificial Intelligence and Lecture Notes in Bioinformatics)"</f>
        <v>Lecture Notes in Computer Science (including subseries Lecture Notes in Artificial Intelligence and Lecture Notes in Bioinformatics)</v>
      </c>
      <c r="B3111" s="4" t="s">
        <v>29</v>
      </c>
      <c r="C3111" s="4" t="str">
        <f t="shared" si="107"/>
        <v>-</v>
      </c>
      <c r="D3111" s="4" t="str">
        <f>"03029743"</f>
        <v>03029743</v>
      </c>
      <c r="E3111" s="4" t="str">
        <f>"16113349"</f>
        <v>16113349</v>
      </c>
      <c r="F3111" s="4" t="s">
        <v>42</v>
      </c>
    </row>
    <row r="3112" spans="1:6" x14ac:dyDescent="0.25">
      <c r="A3112" s="4" t="str">
        <f>"Lecture Notes in Control and Information Sciences"</f>
        <v>Lecture Notes in Control and Information Sciences</v>
      </c>
      <c r="B3112" s="4" t="s">
        <v>29</v>
      </c>
      <c r="C3112" s="4" t="str">
        <f t="shared" si="107"/>
        <v>-</v>
      </c>
      <c r="D3112" s="4" t="str">
        <f>"01708643"</f>
        <v>01708643</v>
      </c>
      <c r="E3112" s="4" t="str">
        <f>"-"</f>
        <v>-</v>
      </c>
      <c r="F3112" s="4" t="s">
        <v>42</v>
      </c>
    </row>
    <row r="3113" spans="1:6" x14ac:dyDescent="0.25">
      <c r="A3113" s="4" t="str">
        <f>"Lecture Notes in Electrical Engineering"</f>
        <v>Lecture Notes in Electrical Engineering</v>
      </c>
      <c r="B3113" s="4" t="s">
        <v>29</v>
      </c>
      <c r="C3113" s="4" t="str">
        <f t="shared" si="107"/>
        <v>-</v>
      </c>
      <c r="D3113" s="4" t="str">
        <f>"18761100"</f>
        <v>18761100</v>
      </c>
      <c r="E3113" s="4" t="str">
        <f>"18761119"</f>
        <v>18761119</v>
      </c>
      <c r="F3113" s="4" t="s">
        <v>42</v>
      </c>
    </row>
    <row r="3114" spans="1:6" x14ac:dyDescent="0.25">
      <c r="A3114" s="4" t="str">
        <f>"Lecture Notes in Energy"</f>
        <v>Lecture Notes in Energy</v>
      </c>
      <c r="B3114" s="4" t="s">
        <v>29</v>
      </c>
      <c r="C3114" s="4" t="str">
        <f t="shared" si="107"/>
        <v>-</v>
      </c>
      <c r="D3114" s="4" t="str">
        <f>"21951284"</f>
        <v>21951284</v>
      </c>
      <c r="E3114" s="4" t="str">
        <f>"21951292"</f>
        <v>21951292</v>
      </c>
      <c r="F3114" s="4" t="s">
        <v>42</v>
      </c>
    </row>
    <row r="3115" spans="1:6" x14ac:dyDescent="0.25">
      <c r="A3115" s="4" t="str">
        <f>"Lecture Notes in Engineering and Computer Science"</f>
        <v>Lecture Notes in Engineering and Computer Science</v>
      </c>
      <c r="B3115" s="4" t="s">
        <v>8</v>
      </c>
      <c r="C3115" s="4" t="str">
        <f t="shared" si="107"/>
        <v>-</v>
      </c>
      <c r="D3115" s="4" t="str">
        <f>"20780958"</f>
        <v>20780958</v>
      </c>
      <c r="E3115" s="4" t="str">
        <f>"-"</f>
        <v>-</v>
      </c>
      <c r="F3115" s="4" t="s">
        <v>832</v>
      </c>
    </row>
    <row r="3116" spans="1:6" x14ac:dyDescent="0.25">
      <c r="A3116" s="4" t="str">
        <f>"Lecture Notes in Geoinformation and Cartography"</f>
        <v>Lecture Notes in Geoinformation and Cartography</v>
      </c>
      <c r="B3116" s="4" t="s">
        <v>8</v>
      </c>
      <c r="C3116" s="4" t="str">
        <f t="shared" si="107"/>
        <v>-</v>
      </c>
      <c r="D3116" s="4" t="str">
        <f>"18632351"</f>
        <v>18632351</v>
      </c>
      <c r="E3116" s="4" t="str">
        <f>"-"</f>
        <v>-</v>
      </c>
      <c r="F3116" s="4" t="s">
        <v>162</v>
      </c>
    </row>
    <row r="3117" spans="1:6" x14ac:dyDescent="0.25">
      <c r="A3117" s="4" t="str">
        <f>"Lecture Notes in Informatics (LNI), Proceedings - Series of the Gesellschaft fur Informatik (GI)"</f>
        <v>Lecture Notes in Informatics (LNI), Proceedings - Series of the Gesellschaft fur Informatik (GI)</v>
      </c>
      <c r="B3117" s="4" t="s">
        <v>8</v>
      </c>
      <c r="C3117" s="4" t="str">
        <f t="shared" si="107"/>
        <v>-</v>
      </c>
      <c r="D3117" s="4" t="str">
        <f>"16175468"</f>
        <v>16175468</v>
      </c>
      <c r="E3117" s="4" t="str">
        <f>"-"</f>
        <v>-</v>
      </c>
      <c r="F3117" s="4" t="s">
        <v>833</v>
      </c>
    </row>
    <row r="3118" spans="1:6" x14ac:dyDescent="0.25">
      <c r="A3118" s="4" t="str">
        <f>"Lecture Notes in Statistics"</f>
        <v>Lecture Notes in Statistics</v>
      </c>
      <c r="B3118" s="4" t="s">
        <v>8</v>
      </c>
      <c r="C3118" s="4" t="str">
        <f t="shared" si="107"/>
        <v>-</v>
      </c>
      <c r="D3118" s="4" t="str">
        <f>"09300325"</f>
        <v>09300325</v>
      </c>
      <c r="E3118" s="4" t="str">
        <f>"21977186"</f>
        <v>21977186</v>
      </c>
      <c r="F3118" s="4" t="s">
        <v>834</v>
      </c>
    </row>
    <row r="3119" spans="1:6" ht="30" x14ac:dyDescent="0.25">
      <c r="A3119" s="4" t="str">
        <f>"Lecture Notes of the Institute for Computer Sciences, Social-Informatics and Telecommunications Engineering, LNICST"</f>
        <v>Lecture Notes of the Institute for Computer Sciences, Social-Informatics and Telecommunications Engineering, LNICST</v>
      </c>
      <c r="B3119" s="4" t="s">
        <v>29</v>
      </c>
      <c r="C3119" s="4" t="str">
        <f t="shared" si="107"/>
        <v>-</v>
      </c>
      <c r="D3119" s="4" t="str">
        <f>"18678211"</f>
        <v>18678211</v>
      </c>
      <c r="E3119" s="4" t="str">
        <f>"-"</f>
        <v>-</v>
      </c>
      <c r="F3119" s="4" t="s">
        <v>42</v>
      </c>
    </row>
    <row r="3120" spans="1:6" x14ac:dyDescent="0.25">
      <c r="A3120" s="4" t="str">
        <f>"Leibniz International Proceedings in Informatics, LIPIcs"</f>
        <v>Leibniz International Proceedings in Informatics, LIPIcs</v>
      </c>
      <c r="B3120" s="4" t="s">
        <v>8</v>
      </c>
      <c r="C3120" s="4" t="str">
        <f t="shared" si="107"/>
        <v>-</v>
      </c>
      <c r="D3120" s="4" t="str">
        <f>"18688969"</f>
        <v>18688969</v>
      </c>
      <c r="E3120" s="4" t="str">
        <f>"-"</f>
        <v>-</v>
      </c>
      <c r="F3120" s="4" t="s">
        <v>835</v>
      </c>
    </row>
    <row r="3121" spans="1:6" x14ac:dyDescent="0.25">
      <c r="A3121" s="4" t="str">
        <f>"LEOS Summer Topical Meeting"</f>
        <v>LEOS Summer Topical Meeting</v>
      </c>
      <c r="B3121" s="4" t="s">
        <v>8</v>
      </c>
      <c r="C3121" s="4" t="str">
        <f t="shared" si="107"/>
        <v>-</v>
      </c>
      <c r="D3121" s="4" t="str">
        <f>"10994742"</f>
        <v>10994742</v>
      </c>
      <c r="E3121" s="4" t="str">
        <f>"-"</f>
        <v>-</v>
      </c>
      <c r="F3121" s="4" t="s">
        <v>105</v>
      </c>
    </row>
    <row r="3122" spans="1:6" x14ac:dyDescent="0.25">
      <c r="A3122" s="4" t="str">
        <f>"LEUKOS - Journal of Illuminating Engineering Society of North America"</f>
        <v>LEUKOS - Journal of Illuminating Engineering Society of North America</v>
      </c>
      <c r="B3122" s="4" t="s">
        <v>6</v>
      </c>
      <c r="C3122" s="4" t="str">
        <f t="shared" si="107"/>
        <v>-</v>
      </c>
      <c r="D3122" s="4" t="str">
        <f>"15502724"</f>
        <v>15502724</v>
      </c>
      <c r="E3122" s="4" t="str">
        <f>"15502716"</f>
        <v>15502716</v>
      </c>
      <c r="F3122" s="4" t="s">
        <v>96</v>
      </c>
    </row>
    <row r="3123" spans="1:6" x14ac:dyDescent="0.25">
      <c r="A3123" s="4" t="str">
        <f>"LIA Today"</f>
        <v>LIA Today</v>
      </c>
      <c r="B3123" s="4" t="s">
        <v>6</v>
      </c>
      <c r="C3123" s="4" t="str">
        <f t="shared" si="107"/>
        <v>-</v>
      </c>
      <c r="D3123" s="4" t="str">
        <f>"-"</f>
        <v>-</v>
      </c>
      <c r="E3123" s="4" t="str">
        <f>"-"</f>
        <v>-</v>
      </c>
      <c r="F3123" s="4" t="s">
        <v>723</v>
      </c>
    </row>
    <row r="3124" spans="1:6" x14ac:dyDescent="0.25">
      <c r="A3124" s="4" t="str">
        <f>"Light and Engineering"</f>
        <v>Light and Engineering</v>
      </c>
      <c r="B3124" s="4" t="s">
        <v>6</v>
      </c>
      <c r="C3124" s="4" t="str">
        <f t="shared" si="107"/>
        <v>-</v>
      </c>
      <c r="D3124" s="4" t="str">
        <f>"02362945"</f>
        <v>02362945</v>
      </c>
      <c r="E3124" s="4" t="str">
        <f>"-"</f>
        <v>-</v>
      </c>
      <c r="F3124" s="4" t="s">
        <v>836</v>
      </c>
    </row>
    <row r="3125" spans="1:6" x14ac:dyDescent="0.25">
      <c r="A3125" s="4" t="str">
        <f>"Light: Science and Applications"</f>
        <v>Light: Science and Applications</v>
      </c>
      <c r="B3125" s="4" t="s">
        <v>6</v>
      </c>
      <c r="C3125" s="4" t="str">
        <f t="shared" si="107"/>
        <v>-</v>
      </c>
      <c r="D3125" s="4" t="str">
        <f>"-"</f>
        <v>-</v>
      </c>
      <c r="E3125" s="4" t="str">
        <f>"20477538"</f>
        <v>20477538</v>
      </c>
      <c r="F3125" s="4" t="s">
        <v>837</v>
      </c>
    </row>
    <row r="3126" spans="1:6" x14ac:dyDescent="0.25">
      <c r="A3126" s="4" t="str">
        <f>"Lighting Research and Technology"</f>
        <v>Lighting Research and Technology</v>
      </c>
      <c r="B3126" s="4" t="s">
        <v>6</v>
      </c>
      <c r="C3126" s="4" t="str">
        <f t="shared" si="107"/>
        <v>-</v>
      </c>
      <c r="D3126" s="4" t="str">
        <f>"14771535"</f>
        <v>14771535</v>
      </c>
      <c r="E3126" s="4" t="str">
        <f>"-"</f>
        <v>-</v>
      </c>
      <c r="F3126" s="4" t="s">
        <v>212</v>
      </c>
    </row>
    <row r="3127" spans="1:6" x14ac:dyDescent="0.25">
      <c r="A3127" s="4" t="str">
        <f>"Linear Algebra and Its Applications"</f>
        <v>Linear Algebra and Its Applications</v>
      </c>
      <c r="B3127" s="4" t="s">
        <v>6</v>
      </c>
      <c r="C3127" s="4" t="str">
        <f t="shared" si="107"/>
        <v>-</v>
      </c>
      <c r="D3127" s="4" t="str">
        <f>"00243795"</f>
        <v>00243795</v>
      </c>
      <c r="E3127" s="4" t="str">
        <f>"-"</f>
        <v>-</v>
      </c>
      <c r="F3127" s="4" t="s">
        <v>141</v>
      </c>
    </row>
    <row r="3128" spans="1:6" x14ac:dyDescent="0.25">
      <c r="A3128" s="4" t="str">
        <f>"Lipid Technology"</f>
        <v>Lipid Technology</v>
      </c>
      <c r="B3128" s="4" t="s">
        <v>6</v>
      </c>
      <c r="C3128" s="4" t="str">
        <f t="shared" si="107"/>
        <v>-</v>
      </c>
      <c r="D3128" s="4" t="str">
        <f>"0956666X"</f>
        <v>0956666X</v>
      </c>
      <c r="E3128" s="4" t="str">
        <f>"18635377"</f>
        <v>18635377</v>
      </c>
      <c r="F3128" s="4" t="s">
        <v>63</v>
      </c>
    </row>
    <row r="3129" spans="1:6" x14ac:dyDescent="0.25">
      <c r="A3129" s="4" t="str">
        <f>"Lithosphere"</f>
        <v>Lithosphere</v>
      </c>
      <c r="B3129" s="4" t="s">
        <v>6</v>
      </c>
      <c r="C3129" s="4" t="str">
        <f t="shared" si="107"/>
        <v>-</v>
      </c>
      <c r="D3129" s="4" t="str">
        <f>"19418264"</f>
        <v>19418264</v>
      </c>
      <c r="E3129" s="4" t="str">
        <f>"19474253"</f>
        <v>19474253</v>
      </c>
      <c r="F3129" s="4" t="s">
        <v>228</v>
      </c>
    </row>
    <row r="3130" spans="1:6" x14ac:dyDescent="0.25">
      <c r="A3130" s="4" t="str">
        <f>"Lixue Xuebao/Chinese Journal of Theoretical and Applied Mechanics"</f>
        <v>Lixue Xuebao/Chinese Journal of Theoretical and Applied Mechanics</v>
      </c>
      <c r="B3130" s="4" t="s">
        <v>6</v>
      </c>
      <c r="C3130" s="4" t="str">
        <f t="shared" si="107"/>
        <v>-</v>
      </c>
      <c r="D3130" s="4" t="str">
        <f>"04591879"</f>
        <v>04591879</v>
      </c>
      <c r="E3130" s="4" t="str">
        <f>"-"</f>
        <v>-</v>
      </c>
      <c r="F3130" s="4" t="s">
        <v>838</v>
      </c>
    </row>
    <row r="3131" spans="1:6" x14ac:dyDescent="0.25">
      <c r="A3131" s="4" t="str">
        <f>"Logical Methods in Computer Science"</f>
        <v>Logical Methods in Computer Science</v>
      </c>
      <c r="B3131" s="4" t="s">
        <v>6</v>
      </c>
      <c r="C3131" s="4" t="str">
        <f t="shared" si="107"/>
        <v>-</v>
      </c>
      <c r="D3131" s="4" t="str">
        <f>"-"</f>
        <v>-</v>
      </c>
      <c r="E3131" s="4" t="str">
        <f>"18605974"</f>
        <v>18605974</v>
      </c>
      <c r="F3131" s="4" t="s">
        <v>839</v>
      </c>
    </row>
    <row r="3132" spans="1:6" x14ac:dyDescent="0.25">
      <c r="A3132" s="4" t="str">
        <f>"Long Range Planning"</f>
        <v>Long Range Planning</v>
      </c>
      <c r="B3132" s="4" t="s">
        <v>6</v>
      </c>
      <c r="C3132" s="4" t="str">
        <f t="shared" si="107"/>
        <v>-</v>
      </c>
      <c r="D3132" s="4" t="str">
        <f>"00246301"</f>
        <v>00246301</v>
      </c>
      <c r="E3132" s="4" t="str">
        <f>"18731872"</f>
        <v>18731872</v>
      </c>
      <c r="F3132" s="4" t="s">
        <v>19</v>
      </c>
    </row>
    <row r="3133" spans="1:6" x14ac:dyDescent="0.25">
      <c r="A3133" s="4" t="str">
        <f>"Lowland Technology International"</f>
        <v>Lowland Technology International</v>
      </c>
      <c r="B3133" s="4" t="s">
        <v>6</v>
      </c>
      <c r="C3133" s="4" t="str">
        <f t="shared" si="107"/>
        <v>-</v>
      </c>
      <c r="D3133" s="4" t="str">
        <f>"13449656"</f>
        <v>13449656</v>
      </c>
      <c r="E3133" s="4" t="str">
        <f>"-"</f>
        <v>-</v>
      </c>
      <c r="F3133" s="4" t="s">
        <v>840</v>
      </c>
    </row>
    <row r="3134" spans="1:6" x14ac:dyDescent="0.25">
      <c r="A3134" s="4" t="str">
        <f>"Lubrication Science"</f>
        <v>Lubrication Science</v>
      </c>
      <c r="B3134" s="4" t="s">
        <v>6</v>
      </c>
      <c r="C3134" s="4" t="str">
        <f t="shared" si="107"/>
        <v>-</v>
      </c>
      <c r="D3134" s="4" t="str">
        <f>"09540075"</f>
        <v>09540075</v>
      </c>
      <c r="E3134" s="4" t="str">
        <f>"15576833"</f>
        <v>15576833</v>
      </c>
      <c r="F3134" s="4" t="s">
        <v>142</v>
      </c>
    </row>
    <row r="3135" spans="1:6" x14ac:dyDescent="0.25">
      <c r="A3135" s="4" t="str">
        <f>"LWT - Food Science and Technology"</f>
        <v>LWT - Food Science and Technology</v>
      </c>
      <c r="B3135" s="4" t="s">
        <v>6</v>
      </c>
      <c r="C3135" s="4" t="str">
        <f t="shared" si="107"/>
        <v>-</v>
      </c>
      <c r="D3135" s="4" t="str">
        <f>"00236438"</f>
        <v>00236438</v>
      </c>
      <c r="E3135" s="4" t="str">
        <f>"-"</f>
        <v>-</v>
      </c>
      <c r="F3135" s="4" t="s">
        <v>193</v>
      </c>
    </row>
    <row r="3136" spans="1:6" x14ac:dyDescent="0.25">
      <c r="A3136" s="4" t="str">
        <f>"Machine Graphics and Vision"</f>
        <v>Machine Graphics and Vision</v>
      </c>
      <c r="B3136" s="4" t="s">
        <v>6</v>
      </c>
      <c r="C3136" s="4" t="str">
        <f t="shared" si="107"/>
        <v>-</v>
      </c>
      <c r="D3136" s="4" t="str">
        <f>"12300535"</f>
        <v>12300535</v>
      </c>
      <c r="E3136" s="4" t="str">
        <f>"-"</f>
        <v>-</v>
      </c>
      <c r="F3136" s="4" t="s">
        <v>841</v>
      </c>
    </row>
    <row r="3137" spans="1:6" x14ac:dyDescent="0.25">
      <c r="A3137" s="4" t="str">
        <f>"Machine Learning"</f>
        <v>Machine Learning</v>
      </c>
      <c r="B3137" s="4" t="s">
        <v>6</v>
      </c>
      <c r="C3137" s="4" t="str">
        <f t="shared" si="107"/>
        <v>-</v>
      </c>
      <c r="D3137" s="4" t="str">
        <f>"08856125"</f>
        <v>08856125</v>
      </c>
      <c r="E3137" s="4" t="str">
        <f>"15730565"</f>
        <v>15730565</v>
      </c>
      <c r="F3137" s="4" t="s">
        <v>57</v>
      </c>
    </row>
    <row r="3138" spans="1:6" x14ac:dyDescent="0.25">
      <c r="A3138" s="4" t="str">
        <f>"Machine Translation"</f>
        <v>Machine Translation</v>
      </c>
      <c r="B3138" s="4" t="s">
        <v>6</v>
      </c>
      <c r="C3138" s="4" t="str">
        <f t="shared" si="107"/>
        <v>-</v>
      </c>
      <c r="D3138" s="4" t="str">
        <f>"09226567"</f>
        <v>09226567</v>
      </c>
      <c r="E3138" s="4" t="str">
        <f>"15730573"</f>
        <v>15730573</v>
      </c>
      <c r="F3138" s="4" t="s">
        <v>31</v>
      </c>
    </row>
    <row r="3139" spans="1:6" x14ac:dyDescent="0.25">
      <c r="A3139" s="4" t="str">
        <f>"Machine Vision and Applications"</f>
        <v>Machine Vision and Applications</v>
      </c>
      <c r="B3139" s="4" t="s">
        <v>6</v>
      </c>
      <c r="C3139" s="4" t="str">
        <f t="shared" si="107"/>
        <v>-</v>
      </c>
      <c r="D3139" s="4" t="str">
        <f>"09328092"</f>
        <v>09328092</v>
      </c>
      <c r="E3139" s="4" t="str">
        <f>"14321769"</f>
        <v>14321769</v>
      </c>
      <c r="F3139" s="4" t="s">
        <v>42</v>
      </c>
    </row>
    <row r="3140" spans="1:6" x14ac:dyDescent="0.25">
      <c r="A3140" s="4" t="str">
        <f>"Machining Science and Technology"</f>
        <v>Machining Science and Technology</v>
      </c>
      <c r="B3140" s="4" t="s">
        <v>6</v>
      </c>
      <c r="C3140" s="4" t="str">
        <f t="shared" si="107"/>
        <v>-</v>
      </c>
      <c r="D3140" s="4" t="str">
        <f>"10910344"</f>
        <v>10910344</v>
      </c>
      <c r="E3140" s="4" t="str">
        <f>"15322483"</f>
        <v>15322483</v>
      </c>
      <c r="F3140" s="4" t="s">
        <v>96</v>
      </c>
    </row>
    <row r="3141" spans="1:6" x14ac:dyDescent="0.25">
      <c r="A3141" s="4" t="str">
        <f>"Macromolecular Bioscience"</f>
        <v>Macromolecular Bioscience</v>
      </c>
      <c r="B3141" s="4" t="s">
        <v>6</v>
      </c>
      <c r="C3141" s="4" t="str">
        <f t="shared" si="107"/>
        <v>-</v>
      </c>
      <c r="D3141" s="4" t="str">
        <f>"16165187"</f>
        <v>16165187</v>
      </c>
      <c r="E3141" s="4" t="str">
        <f>"16165195"</f>
        <v>16165195</v>
      </c>
      <c r="F3141" s="4" t="s">
        <v>63</v>
      </c>
    </row>
    <row r="3142" spans="1:6" x14ac:dyDescent="0.25">
      <c r="A3142" s="4" t="str">
        <f>"Macromolecular Chemistry and Physics"</f>
        <v>Macromolecular Chemistry and Physics</v>
      </c>
      <c r="B3142" s="4" t="s">
        <v>6</v>
      </c>
      <c r="C3142" s="4" t="str">
        <f t="shared" si="107"/>
        <v>-</v>
      </c>
      <c r="D3142" s="4" t="str">
        <f>"10221352"</f>
        <v>10221352</v>
      </c>
      <c r="E3142" s="4" t="str">
        <f>"15213935"</f>
        <v>15213935</v>
      </c>
      <c r="F3142" s="4" t="s">
        <v>63</v>
      </c>
    </row>
    <row r="3143" spans="1:6" x14ac:dyDescent="0.25">
      <c r="A3143" s="4" t="str">
        <f>"Macromolecular Materials and Engineering"</f>
        <v>Macromolecular Materials and Engineering</v>
      </c>
      <c r="B3143" s="4" t="s">
        <v>6</v>
      </c>
      <c r="C3143" s="4" t="str">
        <f t="shared" si="107"/>
        <v>-</v>
      </c>
      <c r="D3143" s="4" t="str">
        <f>"14387492"</f>
        <v>14387492</v>
      </c>
      <c r="E3143" s="4" t="str">
        <f>"14392054"</f>
        <v>14392054</v>
      </c>
      <c r="F3143" s="4" t="s">
        <v>63</v>
      </c>
    </row>
    <row r="3144" spans="1:6" x14ac:dyDescent="0.25">
      <c r="A3144" s="4" t="str">
        <f>"Macromolecular Rapid Communications"</f>
        <v>Macromolecular Rapid Communications</v>
      </c>
      <c r="B3144" s="4" t="s">
        <v>6</v>
      </c>
      <c r="C3144" s="4" t="str">
        <f t="shared" si="107"/>
        <v>-</v>
      </c>
      <c r="D3144" s="4" t="str">
        <f>"10221336"</f>
        <v>10221336</v>
      </c>
      <c r="E3144" s="4" t="str">
        <f>"15213927"</f>
        <v>15213927</v>
      </c>
      <c r="F3144" s="4" t="s">
        <v>63</v>
      </c>
    </row>
    <row r="3145" spans="1:6" x14ac:dyDescent="0.25">
      <c r="A3145" s="4" t="str">
        <f>"Macromolecular Reaction Engineering"</f>
        <v>Macromolecular Reaction Engineering</v>
      </c>
      <c r="B3145" s="4" t="s">
        <v>6</v>
      </c>
      <c r="C3145" s="4" t="str">
        <f t="shared" si="107"/>
        <v>-</v>
      </c>
      <c r="D3145" s="4" t="str">
        <f>"1862832X"</f>
        <v>1862832X</v>
      </c>
      <c r="E3145" s="4" t="str">
        <f>"18628338"</f>
        <v>18628338</v>
      </c>
      <c r="F3145" s="4" t="s">
        <v>63</v>
      </c>
    </row>
    <row r="3146" spans="1:6" x14ac:dyDescent="0.25">
      <c r="A3146" s="4" t="str">
        <f>"Macromolecular Research"</f>
        <v>Macromolecular Research</v>
      </c>
      <c r="B3146" s="4" t="s">
        <v>6</v>
      </c>
      <c r="C3146" s="4" t="str">
        <f t="shared" si="107"/>
        <v>-</v>
      </c>
      <c r="D3146" s="4" t="str">
        <f>"15985032"</f>
        <v>15985032</v>
      </c>
      <c r="E3146" s="4" t="str">
        <f>"20927673"</f>
        <v>20927673</v>
      </c>
      <c r="F3146" s="4" t="s">
        <v>842</v>
      </c>
    </row>
    <row r="3147" spans="1:6" x14ac:dyDescent="0.25">
      <c r="A3147" s="4" t="str">
        <f>"Macromolecular Symposia"</f>
        <v>Macromolecular Symposia</v>
      </c>
      <c r="B3147" s="4" t="s">
        <v>6</v>
      </c>
      <c r="C3147" s="4" t="str">
        <f t="shared" si="107"/>
        <v>-</v>
      </c>
      <c r="D3147" s="4" t="str">
        <f>"10221360"</f>
        <v>10221360</v>
      </c>
      <c r="E3147" s="4" t="str">
        <f>"15213900"</f>
        <v>15213900</v>
      </c>
      <c r="F3147" s="4" t="s">
        <v>63</v>
      </c>
    </row>
    <row r="3148" spans="1:6" x14ac:dyDescent="0.25">
      <c r="A3148" s="4" t="str">
        <f>"Macromolecular Theory and Simulations"</f>
        <v>Macromolecular Theory and Simulations</v>
      </c>
      <c r="B3148" s="4" t="s">
        <v>6</v>
      </c>
      <c r="C3148" s="4" t="str">
        <f t="shared" si="107"/>
        <v>-</v>
      </c>
      <c r="D3148" s="4" t="str">
        <f>"10221344"</f>
        <v>10221344</v>
      </c>
      <c r="E3148" s="4" t="str">
        <f>"15213919"</f>
        <v>15213919</v>
      </c>
      <c r="F3148" s="4" t="s">
        <v>63</v>
      </c>
    </row>
    <row r="3149" spans="1:6" x14ac:dyDescent="0.25">
      <c r="A3149" s="4" t="str">
        <f>"Macromolecules"</f>
        <v>Macromolecules</v>
      </c>
      <c r="B3149" s="4" t="s">
        <v>6</v>
      </c>
      <c r="C3149" s="4" t="str">
        <f t="shared" si="107"/>
        <v>-</v>
      </c>
      <c r="D3149" s="4" t="str">
        <f>"00249297"</f>
        <v>00249297</v>
      </c>
      <c r="E3149" s="4" t="str">
        <f>"15205835"</f>
        <v>15205835</v>
      </c>
      <c r="F3149" s="4" t="s">
        <v>28</v>
      </c>
    </row>
    <row r="3150" spans="1:6" x14ac:dyDescent="0.25">
      <c r="A3150" s="4" t="str">
        <f>"Madencilik"</f>
        <v>Madencilik</v>
      </c>
      <c r="B3150" s="4" t="s">
        <v>6</v>
      </c>
      <c r="C3150" s="4" t="str">
        <f t="shared" si="107"/>
        <v>-</v>
      </c>
      <c r="D3150" s="4" t="str">
        <f>"00249416"</f>
        <v>00249416</v>
      </c>
      <c r="E3150" s="4" t="str">
        <f>"-"</f>
        <v>-</v>
      </c>
      <c r="F3150" s="4" t="s">
        <v>843</v>
      </c>
    </row>
    <row r="3151" spans="1:6" x14ac:dyDescent="0.25">
      <c r="A3151" s="4" t="str">
        <f>"Magazine of Civil Engineering"</f>
        <v>Magazine of Civil Engineering</v>
      </c>
      <c r="B3151" s="4" t="s">
        <v>6</v>
      </c>
      <c r="C3151" s="4" t="str">
        <f t="shared" si="107"/>
        <v>-</v>
      </c>
      <c r="D3151" s="4" t="str">
        <f>"20714726"</f>
        <v>20714726</v>
      </c>
      <c r="E3151" s="4" t="str">
        <f>"20710305"</f>
        <v>20710305</v>
      </c>
      <c r="F3151" s="4" t="s">
        <v>844</v>
      </c>
    </row>
    <row r="3152" spans="1:6" x14ac:dyDescent="0.25">
      <c r="A3152" s="4" t="str">
        <f>"Magazine of Concrete Research"</f>
        <v>Magazine of Concrete Research</v>
      </c>
      <c r="B3152" s="4" t="s">
        <v>6</v>
      </c>
      <c r="C3152" s="4" t="str">
        <f t="shared" si="107"/>
        <v>-</v>
      </c>
      <c r="D3152" s="4" t="str">
        <f>"00249831"</f>
        <v>00249831</v>
      </c>
      <c r="E3152" s="4" t="str">
        <f>"1751763X"</f>
        <v>1751763X</v>
      </c>
      <c r="F3152" s="4" t="s">
        <v>74</v>
      </c>
    </row>
    <row r="3153" spans="1:6" x14ac:dyDescent="0.25">
      <c r="A3153" s="4" t="str">
        <f>"Magnesium Technology"</f>
        <v>Magnesium Technology</v>
      </c>
      <c r="B3153" s="4" t="s">
        <v>8</v>
      </c>
      <c r="C3153" s="4" t="str">
        <f t="shared" si="107"/>
        <v>-</v>
      </c>
      <c r="D3153" s="4" t="str">
        <f>"15454150"</f>
        <v>15454150</v>
      </c>
      <c r="E3153" s="4" t="str">
        <f>"-"</f>
        <v>-</v>
      </c>
      <c r="F3153" s="4" t="s">
        <v>648</v>
      </c>
    </row>
    <row r="3154" spans="1:6" x14ac:dyDescent="0.25">
      <c r="A3154" s="4" t="str">
        <f>"Management Science"</f>
        <v>Management Science</v>
      </c>
      <c r="B3154" s="4" t="s">
        <v>6</v>
      </c>
      <c r="C3154" s="4" t="str">
        <f t="shared" si="107"/>
        <v>-</v>
      </c>
      <c r="D3154" s="4" t="str">
        <f>"00251909"</f>
        <v>00251909</v>
      </c>
      <c r="E3154" s="4" t="str">
        <f>"15265501"</f>
        <v>15265501</v>
      </c>
      <c r="F3154" s="4" t="s">
        <v>538</v>
      </c>
    </row>
    <row r="3155" spans="1:6" x14ac:dyDescent="0.25">
      <c r="A3155" s="4" t="str">
        <f>"Manufacturing and Service Operations Management"</f>
        <v>Manufacturing and Service Operations Management</v>
      </c>
      <c r="B3155" s="4" t="s">
        <v>6</v>
      </c>
      <c r="C3155" s="4" t="str">
        <f t="shared" si="107"/>
        <v>-</v>
      </c>
      <c r="D3155" s="4" t="str">
        <f>"15234614"</f>
        <v>15234614</v>
      </c>
      <c r="E3155" s="4" t="str">
        <f>"15265498"</f>
        <v>15265498</v>
      </c>
      <c r="F3155" s="4" t="s">
        <v>538</v>
      </c>
    </row>
    <row r="3156" spans="1:6" x14ac:dyDescent="0.25">
      <c r="A3156" s="4" t="str">
        <f>"Manufacturing Engineering"</f>
        <v>Manufacturing Engineering</v>
      </c>
      <c r="B3156" s="4" t="s">
        <v>22</v>
      </c>
      <c r="C3156" s="4" t="str">
        <f t="shared" si="107"/>
        <v>-</v>
      </c>
      <c r="D3156" s="4" t="str">
        <f>"03610853"</f>
        <v>03610853</v>
      </c>
      <c r="E3156" s="4" t="str">
        <f>"-"</f>
        <v>-</v>
      </c>
      <c r="F3156" s="4" t="s">
        <v>845</v>
      </c>
    </row>
    <row r="3157" spans="1:6" x14ac:dyDescent="0.25">
      <c r="A3157" s="4" t="str">
        <f>"Manufacturing Technology"</f>
        <v>Manufacturing Technology</v>
      </c>
      <c r="B3157" s="4" t="s">
        <v>6</v>
      </c>
      <c r="C3157" s="4" t="str">
        <f t="shared" si="107"/>
        <v>-</v>
      </c>
      <c r="D3157" s="4" t="str">
        <f>"12132489"</f>
        <v>12132489</v>
      </c>
      <c r="E3157" s="4" t="str">
        <f>"-"</f>
        <v>-</v>
      </c>
      <c r="F3157" s="4" t="s">
        <v>846</v>
      </c>
    </row>
    <row r="3158" spans="1:6" x14ac:dyDescent="0.25">
      <c r="A3158" s="4" t="str">
        <f>"Mari Papel y Corrugado"</f>
        <v>Mari Papel y Corrugado</v>
      </c>
      <c r="B3158" s="4" t="s">
        <v>6</v>
      </c>
      <c r="C3158" s="4" t="str">
        <f t="shared" ref="C3158:C3183" si="108">"-"</f>
        <v>-</v>
      </c>
      <c r="D3158" s="4" t="str">
        <f>"17943396"</f>
        <v>17943396</v>
      </c>
      <c r="E3158" s="4" t="str">
        <f>"-"</f>
        <v>-</v>
      </c>
      <c r="F3158" s="4" t="s">
        <v>847</v>
      </c>
    </row>
    <row r="3159" spans="1:6" x14ac:dyDescent="0.25">
      <c r="A3159" s="4" t="str">
        <f>"Marine and Petroleum Geology"</f>
        <v>Marine and Petroleum Geology</v>
      </c>
      <c r="B3159" s="4" t="s">
        <v>6</v>
      </c>
      <c r="C3159" s="4" t="str">
        <f t="shared" si="108"/>
        <v>-</v>
      </c>
      <c r="D3159" s="4" t="str">
        <f>"02648172"</f>
        <v>02648172</v>
      </c>
      <c r="E3159" s="4" t="str">
        <f>"-"</f>
        <v>-</v>
      </c>
      <c r="F3159" s="4" t="s">
        <v>19</v>
      </c>
    </row>
    <row r="3160" spans="1:6" x14ac:dyDescent="0.25">
      <c r="A3160" s="4" t="str">
        <f>"Marine Biotechnology"</f>
        <v>Marine Biotechnology</v>
      </c>
      <c r="B3160" s="4" t="s">
        <v>6</v>
      </c>
      <c r="C3160" s="4" t="str">
        <f t="shared" si="108"/>
        <v>-</v>
      </c>
      <c r="D3160" s="4" t="str">
        <f>"14362228"</f>
        <v>14362228</v>
      </c>
      <c r="E3160" s="4" t="str">
        <f>"14362236"</f>
        <v>14362236</v>
      </c>
      <c r="F3160" s="4" t="s">
        <v>57</v>
      </c>
    </row>
    <row r="3161" spans="1:6" x14ac:dyDescent="0.25">
      <c r="A3161" s="4" t="str">
        <f>"Marine Environmental Research"</f>
        <v>Marine Environmental Research</v>
      </c>
      <c r="B3161" s="4" t="s">
        <v>6</v>
      </c>
      <c r="C3161" s="4" t="str">
        <f t="shared" si="108"/>
        <v>-</v>
      </c>
      <c r="D3161" s="4" t="str">
        <f>"01411136"</f>
        <v>01411136</v>
      </c>
      <c r="E3161" s="4" t="str">
        <f>"18790291"</f>
        <v>18790291</v>
      </c>
      <c r="F3161" s="4" t="s">
        <v>19</v>
      </c>
    </row>
    <row r="3162" spans="1:6" x14ac:dyDescent="0.25">
      <c r="A3162" s="4" t="str">
        <f>"Marine Geology"</f>
        <v>Marine Geology</v>
      </c>
      <c r="B3162" s="4" t="s">
        <v>6</v>
      </c>
      <c r="C3162" s="4" t="str">
        <f t="shared" si="108"/>
        <v>-</v>
      </c>
      <c r="D3162" s="4" t="str">
        <f>"00253227"</f>
        <v>00253227</v>
      </c>
      <c r="E3162" s="4" t="str">
        <f>"-"</f>
        <v>-</v>
      </c>
      <c r="F3162" s="4" t="s">
        <v>55</v>
      </c>
    </row>
    <row r="3163" spans="1:6" x14ac:dyDescent="0.25">
      <c r="A3163" s="4" t="str">
        <f>"Marine Geophysical Research"</f>
        <v>Marine Geophysical Research</v>
      </c>
      <c r="B3163" s="4" t="s">
        <v>6</v>
      </c>
      <c r="C3163" s="4" t="str">
        <f t="shared" si="108"/>
        <v>-</v>
      </c>
      <c r="D3163" s="4" t="str">
        <f>"00253235"</f>
        <v>00253235</v>
      </c>
      <c r="E3163" s="4" t="str">
        <f>"15730581"</f>
        <v>15730581</v>
      </c>
      <c r="F3163" s="4" t="s">
        <v>31</v>
      </c>
    </row>
    <row r="3164" spans="1:6" x14ac:dyDescent="0.25">
      <c r="A3164" s="4" t="str">
        <f>"Marine Georesources and Geotechnology"</f>
        <v>Marine Georesources and Geotechnology</v>
      </c>
      <c r="B3164" s="4" t="s">
        <v>6</v>
      </c>
      <c r="C3164" s="4" t="str">
        <f t="shared" si="108"/>
        <v>-</v>
      </c>
      <c r="D3164" s="4" t="str">
        <f>"1064119X"</f>
        <v>1064119X</v>
      </c>
      <c r="E3164" s="4" t="str">
        <f>"15210618"</f>
        <v>15210618</v>
      </c>
      <c r="F3164" s="4" t="s">
        <v>60</v>
      </c>
    </row>
    <row r="3165" spans="1:6" x14ac:dyDescent="0.25">
      <c r="A3165" s="4" t="str">
        <f>"Marine Pollution Bulletin"</f>
        <v>Marine Pollution Bulletin</v>
      </c>
      <c r="B3165" s="4" t="s">
        <v>6</v>
      </c>
      <c r="C3165" s="4" t="str">
        <f t="shared" si="108"/>
        <v>-</v>
      </c>
      <c r="D3165" s="4" t="str">
        <f>"0025326X"</f>
        <v>0025326X</v>
      </c>
      <c r="E3165" s="4" t="str">
        <f>"18793363"</f>
        <v>18793363</v>
      </c>
      <c r="F3165" s="4" t="s">
        <v>19</v>
      </c>
    </row>
    <row r="3166" spans="1:6" x14ac:dyDescent="0.25">
      <c r="A3166" s="4" t="str">
        <f>"Marine Structures"</f>
        <v>Marine Structures</v>
      </c>
      <c r="B3166" s="4" t="s">
        <v>6</v>
      </c>
      <c r="C3166" s="4" t="str">
        <f t="shared" si="108"/>
        <v>-</v>
      </c>
      <c r="D3166" s="4" t="str">
        <f>"09518339"</f>
        <v>09518339</v>
      </c>
      <c r="E3166" s="4" t="str">
        <f>"-"</f>
        <v>-</v>
      </c>
      <c r="F3166" s="4" t="s">
        <v>19</v>
      </c>
    </row>
    <row r="3167" spans="1:6" x14ac:dyDescent="0.25">
      <c r="A3167" s="4" t="str">
        <f>"Marine Technology"</f>
        <v>Marine Technology</v>
      </c>
      <c r="B3167" s="4" t="s">
        <v>6</v>
      </c>
      <c r="C3167" s="4" t="str">
        <f t="shared" si="108"/>
        <v>-</v>
      </c>
      <c r="D3167" s="4" t="str">
        <f>"00253316"</f>
        <v>00253316</v>
      </c>
      <c r="E3167" s="4" t="str">
        <f>"21534721"</f>
        <v>21534721</v>
      </c>
      <c r="F3167" s="4" t="s">
        <v>762</v>
      </c>
    </row>
    <row r="3168" spans="1:6" x14ac:dyDescent="0.25">
      <c r="A3168" s="4" t="str">
        <f>"Marine Technology Society Journal"</f>
        <v>Marine Technology Society Journal</v>
      </c>
      <c r="B3168" s="4" t="s">
        <v>6</v>
      </c>
      <c r="C3168" s="4" t="str">
        <f t="shared" si="108"/>
        <v>-</v>
      </c>
      <c r="D3168" s="4" t="str">
        <f>"00253324"</f>
        <v>00253324</v>
      </c>
      <c r="E3168" s="4" t="str">
        <f>"19481209"</f>
        <v>19481209</v>
      </c>
      <c r="F3168" s="4" t="s">
        <v>848</v>
      </c>
    </row>
    <row r="3169" spans="1:6" x14ac:dyDescent="0.25">
      <c r="A3169" s="4" t="str">
        <f>"Mass Spectrometry Reviews"</f>
        <v>Mass Spectrometry Reviews</v>
      </c>
      <c r="B3169" s="4" t="s">
        <v>6</v>
      </c>
      <c r="C3169" s="4" t="str">
        <f t="shared" si="108"/>
        <v>-</v>
      </c>
      <c r="D3169" s="4" t="str">
        <f>"02777037"</f>
        <v>02777037</v>
      </c>
      <c r="E3169" s="4" t="str">
        <f>"10982787"</f>
        <v>10982787</v>
      </c>
      <c r="F3169" s="4" t="s">
        <v>87</v>
      </c>
    </row>
    <row r="3170" spans="1:6" x14ac:dyDescent="0.25">
      <c r="A3170" s="4" t="str">
        <f>"MATEC Web of Conferences"</f>
        <v>MATEC Web of Conferences</v>
      </c>
      <c r="B3170" s="4" t="s">
        <v>8</v>
      </c>
      <c r="C3170" s="4" t="str">
        <f t="shared" si="108"/>
        <v>-</v>
      </c>
      <c r="D3170" s="4" t="str">
        <f>"-"</f>
        <v>-</v>
      </c>
      <c r="E3170" s="4" t="str">
        <f>"2261236X"</f>
        <v>2261236X</v>
      </c>
      <c r="F3170" s="4" t="s">
        <v>161</v>
      </c>
    </row>
    <row r="3171" spans="1:6" x14ac:dyDescent="0.25">
      <c r="A3171" s="4" t="str">
        <f>"Materiales de Construccion"</f>
        <v>Materiales de Construccion</v>
      </c>
      <c r="B3171" s="4" t="s">
        <v>6</v>
      </c>
      <c r="C3171" s="4" t="str">
        <f t="shared" si="108"/>
        <v>-</v>
      </c>
      <c r="D3171" s="4" t="str">
        <f>"04652746"</f>
        <v>04652746</v>
      </c>
      <c r="E3171" s="4" t="str">
        <f>"19883226"</f>
        <v>19883226</v>
      </c>
      <c r="F3171" s="4" t="s">
        <v>849</v>
      </c>
    </row>
    <row r="3172" spans="1:6" x14ac:dyDescent="0.25">
      <c r="A3172" s="4" t="str">
        <f>"Materialpruefung/Materials Testing"</f>
        <v>Materialpruefung/Materials Testing</v>
      </c>
      <c r="B3172" s="4" t="s">
        <v>6</v>
      </c>
      <c r="C3172" s="4" t="str">
        <f t="shared" si="108"/>
        <v>-</v>
      </c>
      <c r="D3172" s="4" t="str">
        <f>"00255300"</f>
        <v>00255300</v>
      </c>
      <c r="E3172" s="4" t="str">
        <f>"-"</f>
        <v>-</v>
      </c>
      <c r="F3172" s="4" t="s">
        <v>490</v>
      </c>
    </row>
    <row r="3173" spans="1:6" x14ac:dyDescent="0.25">
      <c r="A3173" s="4" t="str">
        <f>"Materials"</f>
        <v>Materials</v>
      </c>
      <c r="B3173" s="4" t="s">
        <v>6</v>
      </c>
      <c r="C3173" s="4" t="str">
        <f t="shared" si="108"/>
        <v>-</v>
      </c>
      <c r="D3173" s="4" t="str">
        <f>"-"</f>
        <v>-</v>
      </c>
      <c r="E3173" s="4" t="str">
        <f>"19961944"</f>
        <v>19961944</v>
      </c>
      <c r="F3173" s="4" t="s">
        <v>114</v>
      </c>
    </row>
    <row r="3174" spans="1:6" x14ac:dyDescent="0.25">
      <c r="A3174" s="4" t="str">
        <f>"Materials and Corrosion"</f>
        <v>Materials and Corrosion</v>
      </c>
      <c r="B3174" s="4" t="s">
        <v>6</v>
      </c>
      <c r="C3174" s="4" t="str">
        <f t="shared" si="108"/>
        <v>-</v>
      </c>
      <c r="D3174" s="4" t="str">
        <f>"09475117"</f>
        <v>09475117</v>
      </c>
      <c r="E3174" s="4" t="str">
        <f>"15214176"</f>
        <v>15214176</v>
      </c>
      <c r="F3174" s="4" t="s">
        <v>63</v>
      </c>
    </row>
    <row r="3175" spans="1:6" x14ac:dyDescent="0.25">
      <c r="A3175" s="4" t="str">
        <f>"Materials and Design"</f>
        <v>Materials and Design</v>
      </c>
      <c r="B3175" s="4" t="s">
        <v>6</v>
      </c>
      <c r="C3175" s="4" t="str">
        <f t="shared" si="108"/>
        <v>-</v>
      </c>
      <c r="D3175" s="4" t="str">
        <f>"02641275"</f>
        <v>02641275</v>
      </c>
      <c r="E3175" s="4" t="str">
        <f>"18734197"</f>
        <v>18734197</v>
      </c>
      <c r="F3175" s="4" t="s">
        <v>19</v>
      </c>
    </row>
    <row r="3176" spans="1:6" x14ac:dyDescent="0.25">
      <c r="A3176" s="4" t="str">
        <f>"Materials and Manufacturing Processes"</f>
        <v>Materials and Manufacturing Processes</v>
      </c>
      <c r="B3176" s="4" t="s">
        <v>6</v>
      </c>
      <c r="C3176" s="4" t="str">
        <f t="shared" si="108"/>
        <v>-</v>
      </c>
      <c r="D3176" s="4" t="str">
        <f>"10426914"</f>
        <v>10426914</v>
      </c>
      <c r="E3176" s="4" t="str">
        <f>"15322475"</f>
        <v>15322475</v>
      </c>
      <c r="F3176" s="4" t="s">
        <v>96</v>
      </c>
    </row>
    <row r="3177" spans="1:6" x14ac:dyDescent="0.25">
      <c r="A3177" s="4" t="str">
        <f>"Materials and Structures/Materiaux et Constructions"</f>
        <v>Materials and Structures/Materiaux et Constructions</v>
      </c>
      <c r="B3177" s="4" t="s">
        <v>6</v>
      </c>
      <c r="C3177" s="4" t="str">
        <f t="shared" si="108"/>
        <v>-</v>
      </c>
      <c r="D3177" s="4" t="str">
        <f>"13595997"</f>
        <v>13595997</v>
      </c>
      <c r="E3177" s="4" t="str">
        <f>"-"</f>
        <v>-</v>
      </c>
      <c r="F3177" s="4" t="s">
        <v>162</v>
      </c>
    </row>
    <row r="3178" spans="1:6" x14ac:dyDescent="0.25">
      <c r="A3178" s="4" t="str">
        <f>"Materials at High Temperatures"</f>
        <v>Materials at High Temperatures</v>
      </c>
      <c r="B3178" s="4" t="s">
        <v>6</v>
      </c>
      <c r="C3178" s="4" t="str">
        <f t="shared" si="108"/>
        <v>-</v>
      </c>
      <c r="D3178" s="4" t="str">
        <f>"09603409"</f>
        <v>09603409</v>
      </c>
      <c r="E3178" s="4" t="str">
        <f>"-"</f>
        <v>-</v>
      </c>
      <c r="F3178" s="4" t="s">
        <v>70</v>
      </c>
    </row>
    <row r="3179" spans="1:6" x14ac:dyDescent="0.25">
      <c r="A3179" s="4" t="str">
        <f>"Materials Characterization"</f>
        <v>Materials Characterization</v>
      </c>
      <c r="B3179" s="4" t="s">
        <v>6</v>
      </c>
      <c r="C3179" s="4" t="str">
        <f t="shared" si="108"/>
        <v>-</v>
      </c>
      <c r="D3179" s="4" t="str">
        <f>"10445803"</f>
        <v>10445803</v>
      </c>
      <c r="E3179" s="4" t="str">
        <f>"-"</f>
        <v>-</v>
      </c>
      <c r="F3179" s="4" t="s">
        <v>141</v>
      </c>
    </row>
    <row r="3180" spans="1:6" x14ac:dyDescent="0.25">
      <c r="A3180" s="4" t="str">
        <f>"Materials Chemistry and Physics"</f>
        <v>Materials Chemistry and Physics</v>
      </c>
      <c r="B3180" s="4" t="s">
        <v>6</v>
      </c>
      <c r="C3180" s="4" t="str">
        <f t="shared" si="108"/>
        <v>-</v>
      </c>
      <c r="D3180" s="4" t="str">
        <f>"02540584"</f>
        <v>02540584</v>
      </c>
      <c r="E3180" s="4" t="str">
        <f>"-"</f>
        <v>-</v>
      </c>
      <c r="F3180" s="4" t="s">
        <v>19</v>
      </c>
    </row>
    <row r="3181" spans="1:6" x14ac:dyDescent="0.25">
      <c r="A3181" s="4" t="str">
        <f>"Materials Forum"</f>
        <v>Materials Forum</v>
      </c>
      <c r="B3181" s="4" t="s">
        <v>6</v>
      </c>
      <c r="C3181" s="4" t="str">
        <f t="shared" si="108"/>
        <v>-</v>
      </c>
      <c r="D3181" s="4" t="str">
        <f>"08832900"</f>
        <v>08832900</v>
      </c>
      <c r="E3181" s="4" t="str">
        <f>"-"</f>
        <v>-</v>
      </c>
      <c r="F3181" s="4" t="s">
        <v>850</v>
      </c>
    </row>
    <row r="3182" spans="1:6" x14ac:dyDescent="0.25">
      <c r="A3182" s="4" t="str">
        <f>"Materials Letters"</f>
        <v>Materials Letters</v>
      </c>
      <c r="B3182" s="4" t="s">
        <v>6</v>
      </c>
      <c r="C3182" s="4" t="str">
        <f t="shared" si="108"/>
        <v>-</v>
      </c>
      <c r="D3182" s="4" t="str">
        <f>"0167577X"</f>
        <v>0167577X</v>
      </c>
      <c r="E3182" s="4" t="str">
        <f>"18734979"</f>
        <v>18734979</v>
      </c>
      <c r="F3182" s="4" t="s">
        <v>55</v>
      </c>
    </row>
    <row r="3183" spans="1:6" x14ac:dyDescent="0.25">
      <c r="A3183" s="4" t="str">
        <f>"Materials Performance"</f>
        <v>Materials Performance</v>
      </c>
      <c r="B3183" s="4" t="s">
        <v>22</v>
      </c>
      <c r="C3183" s="4" t="str">
        <f t="shared" si="108"/>
        <v>-</v>
      </c>
      <c r="D3183" s="4" t="str">
        <f>"00941492"</f>
        <v>00941492</v>
      </c>
      <c r="E3183" s="4" t="str">
        <f>"-"</f>
        <v>-</v>
      </c>
      <c r="F3183" s="4" t="s">
        <v>309</v>
      </c>
    </row>
    <row r="3184" spans="1:6" x14ac:dyDescent="0.25">
      <c r="A3184" s="4" t="s">
        <v>851</v>
      </c>
      <c r="B3184" s="4" t="s">
        <v>6</v>
      </c>
      <c r="E3184" s="4" t="s">
        <v>852</v>
      </c>
      <c r="F3184" s="4" t="s">
        <v>75</v>
      </c>
    </row>
    <row r="3185" spans="1:6" x14ac:dyDescent="0.25">
      <c r="A3185" s="4" t="str">
        <f>"Materials Physics and Mechanics"</f>
        <v>Materials Physics and Mechanics</v>
      </c>
      <c r="B3185" s="4" t="s">
        <v>6</v>
      </c>
      <c r="C3185" s="4" t="str">
        <f>"-"</f>
        <v>-</v>
      </c>
      <c r="D3185" s="4" t="str">
        <f>"16052730"</f>
        <v>16052730</v>
      </c>
      <c r="E3185" s="4" t="str">
        <f>"16058119"</f>
        <v>16058119</v>
      </c>
      <c r="F3185" s="4" t="s">
        <v>853</v>
      </c>
    </row>
    <row r="3186" spans="1:6" x14ac:dyDescent="0.25">
      <c r="A3186" s="4" t="str">
        <f>"Materials Research"</f>
        <v>Materials Research</v>
      </c>
      <c r="B3186" s="4" t="s">
        <v>6</v>
      </c>
      <c r="C3186" s="4" t="str">
        <f>"-"</f>
        <v>-</v>
      </c>
      <c r="D3186" s="4" t="str">
        <f>"15161439"</f>
        <v>15161439</v>
      </c>
      <c r="E3186" s="4" t="str">
        <f>"-"</f>
        <v>-</v>
      </c>
      <c r="F3186" s="4" t="s">
        <v>854</v>
      </c>
    </row>
    <row r="3187" spans="1:6" x14ac:dyDescent="0.25">
      <c r="A3187" s="4" t="str">
        <f>"Materials Research Bulletin"</f>
        <v>Materials Research Bulletin</v>
      </c>
      <c r="B3187" s="4" t="s">
        <v>6</v>
      </c>
      <c r="C3187" s="4" t="str">
        <f>"-"</f>
        <v>-</v>
      </c>
      <c r="D3187" s="4" t="str">
        <f>"00255408"</f>
        <v>00255408</v>
      </c>
      <c r="E3187" s="4" t="str">
        <f>"-"</f>
        <v>-</v>
      </c>
      <c r="F3187" s="4" t="s">
        <v>19</v>
      </c>
    </row>
    <row r="3188" spans="1:6" x14ac:dyDescent="0.25">
      <c r="A3188" s="4" t="str">
        <f>"Materials Research Innovations"</f>
        <v>Materials Research Innovations</v>
      </c>
      <c r="B3188" s="4" t="s">
        <v>6</v>
      </c>
      <c r="C3188" s="4" t="str">
        <f>"-"</f>
        <v>-</v>
      </c>
      <c r="D3188" s="4" t="str">
        <f>"14328917"</f>
        <v>14328917</v>
      </c>
      <c r="E3188" s="4" t="str">
        <f>"1433075X"</f>
        <v>1433075X</v>
      </c>
      <c r="F3188" s="4" t="s">
        <v>70</v>
      </c>
    </row>
    <row r="3189" spans="1:6" x14ac:dyDescent="0.25">
      <c r="A3189" s="4" t="str">
        <f>"Materials Research Society Symposium Proceedings"</f>
        <v>Materials Research Society Symposium Proceedings</v>
      </c>
      <c r="B3189" s="4" t="s">
        <v>8</v>
      </c>
      <c r="C3189" s="4" t="str">
        <f>"-"</f>
        <v>-</v>
      </c>
      <c r="D3189" s="4" t="str">
        <f>"02729172"</f>
        <v>02729172</v>
      </c>
      <c r="E3189" s="4" t="str">
        <f>"-"</f>
        <v>-</v>
      </c>
      <c r="F3189" s="4" t="s">
        <v>66</v>
      </c>
    </row>
    <row r="3190" spans="1:6" x14ac:dyDescent="0.25">
      <c r="A3190" s="4" t="s">
        <v>855</v>
      </c>
      <c r="B3190" s="4" t="s">
        <v>6</v>
      </c>
      <c r="D3190" s="4" t="s">
        <v>856</v>
      </c>
      <c r="F3190" s="4" t="s">
        <v>857</v>
      </c>
    </row>
    <row r="3191" spans="1:6" x14ac:dyDescent="0.25">
      <c r="A3191" s="4" t="str">
        <f>"Materials Science"</f>
        <v>Materials Science</v>
      </c>
      <c r="B3191" s="4" t="s">
        <v>6</v>
      </c>
      <c r="C3191" s="4" t="str">
        <f t="shared" ref="C3191:C3254" si="109">"-"</f>
        <v>-</v>
      </c>
      <c r="D3191" s="4" t="str">
        <f>"1068820X"</f>
        <v>1068820X</v>
      </c>
      <c r="E3191" s="4" t="str">
        <f>"1573885X"</f>
        <v>1573885X</v>
      </c>
      <c r="F3191" s="4" t="s">
        <v>57</v>
      </c>
    </row>
    <row r="3192" spans="1:6" x14ac:dyDescent="0.25">
      <c r="A3192" s="4" t="str">
        <f>"Materials Science and Engineering A"</f>
        <v>Materials Science and Engineering A</v>
      </c>
      <c r="B3192" s="4" t="s">
        <v>6</v>
      </c>
      <c r="C3192" s="4" t="str">
        <f t="shared" si="109"/>
        <v>-</v>
      </c>
      <c r="D3192" s="4" t="str">
        <f>"09215093"</f>
        <v>09215093</v>
      </c>
      <c r="E3192" s="4" t="str">
        <f>"-"</f>
        <v>-</v>
      </c>
      <c r="F3192" s="4" t="s">
        <v>19</v>
      </c>
    </row>
    <row r="3193" spans="1:6" x14ac:dyDescent="0.25">
      <c r="A3193" s="4" t="str">
        <f>"Materials Science and Engineering B: Solid-State Materials for Advanced Technology"</f>
        <v>Materials Science and Engineering B: Solid-State Materials for Advanced Technology</v>
      </c>
      <c r="B3193" s="4" t="s">
        <v>6</v>
      </c>
      <c r="C3193" s="4" t="str">
        <f t="shared" si="109"/>
        <v>-</v>
      </c>
      <c r="D3193" s="4" t="str">
        <f>"09215107"</f>
        <v>09215107</v>
      </c>
      <c r="E3193" s="4" t="str">
        <f>"-"</f>
        <v>-</v>
      </c>
      <c r="F3193" s="4" t="s">
        <v>19</v>
      </c>
    </row>
    <row r="3194" spans="1:6" x14ac:dyDescent="0.25">
      <c r="A3194" s="4" t="str">
        <f>"Materials Science and Engineering C"</f>
        <v>Materials Science and Engineering C</v>
      </c>
      <c r="B3194" s="4" t="s">
        <v>6</v>
      </c>
      <c r="C3194" s="4" t="str">
        <f t="shared" si="109"/>
        <v>-</v>
      </c>
      <c r="D3194" s="4" t="str">
        <f>"09284931"</f>
        <v>09284931</v>
      </c>
      <c r="E3194" s="4" t="str">
        <f>"-"</f>
        <v>-</v>
      </c>
      <c r="F3194" s="4" t="s">
        <v>19</v>
      </c>
    </row>
    <row r="3195" spans="1:6" x14ac:dyDescent="0.25">
      <c r="A3195" s="4" t="str">
        <f>"Materials Science and Engineering R: Reports"</f>
        <v>Materials Science and Engineering R: Reports</v>
      </c>
      <c r="B3195" s="4" t="s">
        <v>6</v>
      </c>
      <c r="C3195" s="4" t="str">
        <f t="shared" si="109"/>
        <v>-</v>
      </c>
      <c r="D3195" s="4" t="str">
        <f>"0927796X"</f>
        <v>0927796X</v>
      </c>
      <c r="E3195" s="4" t="str">
        <f>"-"</f>
        <v>-</v>
      </c>
      <c r="F3195" s="4" t="s">
        <v>19</v>
      </c>
    </row>
    <row r="3196" spans="1:6" x14ac:dyDescent="0.25">
      <c r="A3196" s="4" t="str">
        <f>"Materials Science and Technology (United Kingdom)"</f>
        <v>Materials Science and Technology (United Kingdom)</v>
      </c>
      <c r="B3196" s="4" t="s">
        <v>6</v>
      </c>
      <c r="C3196" s="4" t="str">
        <f t="shared" si="109"/>
        <v>-</v>
      </c>
      <c r="D3196" s="4" t="str">
        <f>"02670836"</f>
        <v>02670836</v>
      </c>
      <c r="E3196" s="4" t="str">
        <f>"17432847"</f>
        <v>17432847</v>
      </c>
      <c r="F3196" s="4" t="s">
        <v>70</v>
      </c>
    </row>
    <row r="3197" spans="1:6" x14ac:dyDescent="0.25">
      <c r="A3197" s="4" t="str">
        <f>"Materials Science and Technology (United States)"</f>
        <v>Materials Science and Technology (United States)</v>
      </c>
      <c r="B3197" s="4" t="s">
        <v>8</v>
      </c>
      <c r="C3197" s="4" t="str">
        <f t="shared" si="109"/>
        <v>-</v>
      </c>
      <c r="D3197" s="4" t="str">
        <f>"15462498"</f>
        <v>15462498</v>
      </c>
      <c r="E3197" s="4" t="str">
        <f>"-"</f>
        <v>-</v>
      </c>
      <c r="F3197" s="4" t="s">
        <v>113</v>
      </c>
    </row>
    <row r="3198" spans="1:6" x14ac:dyDescent="0.25">
      <c r="A3198" s="4" t="str">
        <f>"Materials Science Forum"</f>
        <v>Materials Science Forum</v>
      </c>
      <c r="B3198" s="4" t="s">
        <v>29</v>
      </c>
      <c r="C3198" s="4" t="str">
        <f t="shared" si="109"/>
        <v>-</v>
      </c>
      <c r="D3198" s="4" t="str">
        <f>"02555476"</f>
        <v>02555476</v>
      </c>
      <c r="E3198" s="4" t="str">
        <f>"-"</f>
        <v>-</v>
      </c>
      <c r="F3198" s="4" t="s">
        <v>320</v>
      </c>
    </row>
    <row r="3199" spans="1:6" x14ac:dyDescent="0.25">
      <c r="A3199" s="4" t="str">
        <f>"Materials Science in Semiconductor Processing"</f>
        <v>Materials Science in Semiconductor Processing</v>
      </c>
      <c r="B3199" s="4" t="s">
        <v>6</v>
      </c>
      <c r="C3199" s="4" t="str">
        <f t="shared" si="109"/>
        <v>-</v>
      </c>
      <c r="D3199" s="4" t="str">
        <f>"13698001"</f>
        <v>13698001</v>
      </c>
      <c r="E3199" s="4" t="str">
        <f>"-"</f>
        <v>-</v>
      </c>
      <c r="F3199" s="4" t="s">
        <v>19</v>
      </c>
    </row>
    <row r="3200" spans="1:6" x14ac:dyDescent="0.25">
      <c r="A3200" s="4" t="str">
        <f>"Materials Science- Poland"</f>
        <v>Materials Science- Poland</v>
      </c>
      <c r="B3200" s="4" t="s">
        <v>6</v>
      </c>
      <c r="C3200" s="4" t="str">
        <f t="shared" si="109"/>
        <v>-</v>
      </c>
      <c r="D3200" s="4" t="str">
        <f>"20831331"</f>
        <v>20831331</v>
      </c>
      <c r="E3200" s="4" t="str">
        <f>"2083134X"</f>
        <v>2083134X</v>
      </c>
      <c r="F3200" s="4" t="s">
        <v>189</v>
      </c>
    </row>
    <row r="3201" spans="1:6" x14ac:dyDescent="0.25">
      <c r="A3201" s="4" t="str">
        <f>"Materials Technology"</f>
        <v>Materials Technology</v>
      </c>
      <c r="B3201" s="4" t="s">
        <v>6</v>
      </c>
      <c r="C3201" s="4" t="str">
        <f t="shared" si="109"/>
        <v>-</v>
      </c>
      <c r="D3201" s="4" t="str">
        <f>"10667857"</f>
        <v>10667857</v>
      </c>
      <c r="E3201" s="4" t="str">
        <f>"17535557"</f>
        <v>17535557</v>
      </c>
      <c r="F3201" s="4" t="s">
        <v>70</v>
      </c>
    </row>
    <row r="3202" spans="1:6" x14ac:dyDescent="0.25">
      <c r="A3202" s="4" t="str">
        <f>"Materials Today"</f>
        <v>Materials Today</v>
      </c>
      <c r="B3202" s="4" t="s">
        <v>6</v>
      </c>
      <c r="C3202" s="4" t="str">
        <f t="shared" si="109"/>
        <v>-</v>
      </c>
      <c r="D3202" s="4" t="str">
        <f>"13697021"</f>
        <v>13697021</v>
      </c>
      <c r="E3202" s="4" t="str">
        <f>"18734103"</f>
        <v>18734103</v>
      </c>
      <c r="F3202" s="4" t="s">
        <v>55</v>
      </c>
    </row>
    <row r="3203" spans="1:6" x14ac:dyDescent="0.25">
      <c r="A3203" s="4" t="str">
        <f>"Materials Transactions"</f>
        <v>Materials Transactions</v>
      </c>
      <c r="B3203" s="4" t="s">
        <v>6</v>
      </c>
      <c r="C3203" s="4" t="str">
        <f t="shared" si="109"/>
        <v>-</v>
      </c>
      <c r="D3203" s="4" t="str">
        <f>"13459678"</f>
        <v>13459678</v>
      </c>
      <c r="E3203" s="4" t="str">
        <f>"-"</f>
        <v>-</v>
      </c>
      <c r="F3203" s="4" t="s">
        <v>858</v>
      </c>
    </row>
    <row r="3204" spans="1:6" x14ac:dyDescent="0.25">
      <c r="A3204" s="4" t="str">
        <f>"Materials World"</f>
        <v>Materials World</v>
      </c>
      <c r="B3204" s="4" t="s">
        <v>22</v>
      </c>
      <c r="C3204" s="4" t="str">
        <f t="shared" si="109"/>
        <v>-</v>
      </c>
      <c r="D3204" s="4" t="str">
        <f>"09678638"</f>
        <v>09678638</v>
      </c>
      <c r="E3204" s="4" t="str">
        <f>"-"</f>
        <v>-</v>
      </c>
      <c r="F3204" s="4" t="s">
        <v>859</v>
      </c>
    </row>
    <row r="3205" spans="1:6" x14ac:dyDescent="0.25">
      <c r="A3205" s="4" t="str">
        <f>"Materialwissenschaft und Werkstofftechnik"</f>
        <v>Materialwissenschaft und Werkstofftechnik</v>
      </c>
      <c r="B3205" s="4" t="s">
        <v>6</v>
      </c>
      <c r="C3205" s="4" t="str">
        <f t="shared" si="109"/>
        <v>-</v>
      </c>
      <c r="D3205" s="4" t="str">
        <f>"09335137"</f>
        <v>09335137</v>
      </c>
      <c r="E3205" s="4" t="str">
        <f>"15214052"</f>
        <v>15214052</v>
      </c>
      <c r="F3205" s="4" t="s">
        <v>63</v>
      </c>
    </row>
    <row r="3206" spans="1:6" x14ac:dyDescent="0.25">
      <c r="A3206" s="4" t="str">
        <f>"Materiaux et Techniques"</f>
        <v>Materiaux et Techniques</v>
      </c>
      <c r="B3206" s="4" t="s">
        <v>6</v>
      </c>
      <c r="C3206" s="4" t="str">
        <f t="shared" si="109"/>
        <v>-</v>
      </c>
      <c r="D3206" s="4" t="str">
        <f>"00326895"</f>
        <v>00326895</v>
      </c>
      <c r="E3206" s="4" t="str">
        <f>"17783771"</f>
        <v>17783771</v>
      </c>
      <c r="F3206" s="4" t="s">
        <v>161</v>
      </c>
    </row>
    <row r="3207" spans="1:6" x14ac:dyDescent="0.25">
      <c r="A3207" s="4" t="str">
        <f>"Mathematical and Computational Applications"</f>
        <v>Mathematical and Computational Applications</v>
      </c>
      <c r="B3207" s="4" t="s">
        <v>6</v>
      </c>
      <c r="C3207" s="4" t="str">
        <f t="shared" si="109"/>
        <v>-</v>
      </c>
      <c r="D3207" s="4" t="str">
        <f>"1300686X"</f>
        <v>1300686X</v>
      </c>
      <c r="E3207" s="4" t="str">
        <f>"-"</f>
        <v>-</v>
      </c>
      <c r="F3207" s="4" t="s">
        <v>860</v>
      </c>
    </row>
    <row r="3208" spans="1:6" x14ac:dyDescent="0.25">
      <c r="A3208" s="4" t="str">
        <f>"Mathematical and Computational Forestry and Natural-Resource Sciences"</f>
        <v>Mathematical and Computational Forestry and Natural-Resource Sciences</v>
      </c>
      <c r="B3208" s="4" t="s">
        <v>6</v>
      </c>
      <c r="C3208" s="4" t="str">
        <f t="shared" si="109"/>
        <v>-</v>
      </c>
      <c r="D3208" s="4" t="str">
        <f>"-"</f>
        <v>-</v>
      </c>
      <c r="E3208" s="4" t="str">
        <f>"19467664"</f>
        <v>19467664</v>
      </c>
      <c r="F3208" s="4" t="s">
        <v>861</v>
      </c>
    </row>
    <row r="3209" spans="1:6" x14ac:dyDescent="0.25">
      <c r="A3209" s="4" t="str">
        <f>"Mathematical and Computer Modelling of Dynamical Systems"</f>
        <v>Mathematical and Computer Modelling of Dynamical Systems</v>
      </c>
      <c r="B3209" s="4" t="s">
        <v>6</v>
      </c>
      <c r="C3209" s="4" t="str">
        <f t="shared" si="109"/>
        <v>-</v>
      </c>
      <c r="D3209" s="4" t="str">
        <f>"13873954"</f>
        <v>13873954</v>
      </c>
      <c r="E3209" s="4" t="str">
        <f>"17445051"</f>
        <v>17445051</v>
      </c>
      <c r="F3209" s="4" t="s">
        <v>60</v>
      </c>
    </row>
    <row r="3210" spans="1:6" x14ac:dyDescent="0.25">
      <c r="A3210" s="4" t="str">
        <f>"Mathematical Biosciences"</f>
        <v>Mathematical Biosciences</v>
      </c>
      <c r="B3210" s="4" t="s">
        <v>6</v>
      </c>
      <c r="C3210" s="4" t="str">
        <f t="shared" si="109"/>
        <v>-</v>
      </c>
      <c r="D3210" s="4" t="str">
        <f>"00255564"</f>
        <v>00255564</v>
      </c>
      <c r="E3210" s="4" t="str">
        <f>"18793134"</f>
        <v>18793134</v>
      </c>
      <c r="F3210" s="4" t="s">
        <v>141</v>
      </c>
    </row>
    <row r="3211" spans="1:6" x14ac:dyDescent="0.25">
      <c r="A3211" s="4" t="str">
        <f>"Mathematical Geosciences"</f>
        <v>Mathematical Geosciences</v>
      </c>
      <c r="B3211" s="4" t="s">
        <v>6</v>
      </c>
      <c r="C3211" s="4" t="str">
        <f t="shared" si="109"/>
        <v>-</v>
      </c>
      <c r="D3211" s="4" t="str">
        <f>"18748961"</f>
        <v>18748961</v>
      </c>
      <c r="E3211" s="4" t="str">
        <f>"18748953"</f>
        <v>18748953</v>
      </c>
      <c r="F3211" s="4" t="s">
        <v>42</v>
      </c>
    </row>
    <row r="3212" spans="1:6" x14ac:dyDescent="0.25">
      <c r="A3212" s="4" t="str">
        <f>"Mathematical Methods in Electromagnetic Theory, MMET, Conference Proceedings"</f>
        <v>Mathematical Methods in Electromagnetic Theory, MMET, Conference Proceedings</v>
      </c>
      <c r="B3212" s="4" t="s">
        <v>8</v>
      </c>
      <c r="C3212" s="4" t="str">
        <f t="shared" si="109"/>
        <v>-</v>
      </c>
      <c r="D3212" s="4" t="str">
        <f>"-"</f>
        <v>-</v>
      </c>
      <c r="E3212" s="4" t="str">
        <f>"-"</f>
        <v>-</v>
      </c>
      <c r="F3212" s="4" t="s">
        <v>105</v>
      </c>
    </row>
    <row r="3213" spans="1:6" x14ac:dyDescent="0.25">
      <c r="A3213" s="4" t="str">
        <f>"Mathematical Methods in the Applied Sciences"</f>
        <v>Mathematical Methods in the Applied Sciences</v>
      </c>
      <c r="B3213" s="4" t="s">
        <v>6</v>
      </c>
      <c r="C3213" s="4" t="str">
        <f t="shared" si="109"/>
        <v>-</v>
      </c>
      <c r="D3213" s="4" t="str">
        <f>"01704214"</f>
        <v>01704214</v>
      </c>
      <c r="E3213" s="4" t="str">
        <f>"10991476"</f>
        <v>10991476</v>
      </c>
      <c r="F3213" s="4" t="s">
        <v>142</v>
      </c>
    </row>
    <row r="3214" spans="1:6" x14ac:dyDescent="0.25">
      <c r="A3214" s="4" t="str">
        <f>"Mathematical Methods of Operations Research"</f>
        <v>Mathematical Methods of Operations Research</v>
      </c>
      <c r="B3214" s="4" t="s">
        <v>6</v>
      </c>
      <c r="C3214" s="4" t="str">
        <f t="shared" si="109"/>
        <v>-</v>
      </c>
      <c r="D3214" s="4" t="str">
        <f>"14322994"</f>
        <v>14322994</v>
      </c>
      <c r="E3214" s="4" t="str">
        <f>"14325217"</f>
        <v>14325217</v>
      </c>
      <c r="F3214" s="4" t="s">
        <v>42</v>
      </c>
    </row>
    <row r="3215" spans="1:6" x14ac:dyDescent="0.25">
      <c r="A3215" s="4" t="str">
        <f>"Mathematical Modelling of Natural Phenomena"</f>
        <v>Mathematical Modelling of Natural Phenomena</v>
      </c>
      <c r="B3215" s="4" t="s">
        <v>6</v>
      </c>
      <c r="C3215" s="4" t="str">
        <f t="shared" si="109"/>
        <v>-</v>
      </c>
      <c r="D3215" s="4" t="str">
        <f>"09735348"</f>
        <v>09735348</v>
      </c>
      <c r="E3215" s="4" t="str">
        <f>"17606101"</f>
        <v>17606101</v>
      </c>
      <c r="F3215" s="4" t="s">
        <v>161</v>
      </c>
    </row>
    <row r="3216" spans="1:6" x14ac:dyDescent="0.25">
      <c r="A3216" s="4" t="str">
        <f>"Mathematical Models and Methods in Applied Sciences"</f>
        <v>Mathematical Models and Methods in Applied Sciences</v>
      </c>
      <c r="B3216" s="4" t="s">
        <v>6</v>
      </c>
      <c r="C3216" s="4" t="str">
        <f t="shared" si="109"/>
        <v>-</v>
      </c>
      <c r="D3216" s="4" t="str">
        <f>"02182025"</f>
        <v>02182025</v>
      </c>
      <c r="E3216" s="4" t="str">
        <f>"-"</f>
        <v>-</v>
      </c>
      <c r="F3216" s="4" t="s">
        <v>157</v>
      </c>
    </row>
    <row r="3217" spans="1:6" x14ac:dyDescent="0.25">
      <c r="A3217" s="4" t="str">
        <f>"Mathematical Problems in Engineering"</f>
        <v>Mathematical Problems in Engineering</v>
      </c>
      <c r="B3217" s="4" t="s">
        <v>6</v>
      </c>
      <c r="C3217" s="4" t="str">
        <f t="shared" si="109"/>
        <v>-</v>
      </c>
      <c r="D3217" s="4" t="str">
        <f>"1024123X"</f>
        <v>1024123X</v>
      </c>
      <c r="E3217" s="4" t="str">
        <f>"15635147"</f>
        <v>15635147</v>
      </c>
      <c r="F3217" s="4" t="s">
        <v>54</v>
      </c>
    </row>
    <row r="3218" spans="1:6" x14ac:dyDescent="0.25">
      <c r="A3218" s="4" t="str">
        <f>"Mathematical Programming"</f>
        <v>Mathematical Programming</v>
      </c>
      <c r="B3218" s="4" t="s">
        <v>6</v>
      </c>
      <c r="C3218" s="4" t="str">
        <f t="shared" si="109"/>
        <v>-</v>
      </c>
      <c r="D3218" s="4" t="str">
        <f>"00255610"</f>
        <v>00255610</v>
      </c>
      <c r="E3218" s="4" t="str">
        <f>"14364646"</f>
        <v>14364646</v>
      </c>
      <c r="F3218" s="4" t="s">
        <v>42</v>
      </c>
    </row>
    <row r="3219" spans="1:6" x14ac:dyDescent="0.25">
      <c r="A3219" s="4" t="str">
        <f>"Mathematical Programming Computation"</f>
        <v>Mathematical Programming Computation</v>
      </c>
      <c r="B3219" s="4" t="s">
        <v>6</v>
      </c>
      <c r="C3219" s="4" t="str">
        <f t="shared" si="109"/>
        <v>-</v>
      </c>
      <c r="D3219" s="4" t="str">
        <f>"18672949"</f>
        <v>18672949</v>
      </c>
      <c r="E3219" s="4" t="str">
        <f>"18672957"</f>
        <v>18672957</v>
      </c>
      <c r="F3219" s="4" t="s">
        <v>42</v>
      </c>
    </row>
    <row r="3220" spans="1:6" x14ac:dyDescent="0.25">
      <c r="A3220" s="4" t="str">
        <f>"Mathematical Scientist"</f>
        <v>Mathematical Scientist</v>
      </c>
      <c r="B3220" s="4" t="s">
        <v>6</v>
      </c>
      <c r="C3220" s="4" t="str">
        <f t="shared" si="109"/>
        <v>-</v>
      </c>
      <c r="D3220" s="4" t="str">
        <f>"03123685"</f>
        <v>03123685</v>
      </c>
      <c r="E3220" s="4" t="str">
        <f>"14756080"</f>
        <v>14756080</v>
      </c>
      <c r="F3220" s="4" t="s">
        <v>72</v>
      </c>
    </row>
    <row r="3221" spans="1:6" x14ac:dyDescent="0.25">
      <c r="A3221" s="4" t="str">
        <f>"Mathematical Structures in Computer Science"</f>
        <v>Mathematical Structures in Computer Science</v>
      </c>
      <c r="B3221" s="4" t="s">
        <v>6</v>
      </c>
      <c r="C3221" s="4" t="str">
        <f t="shared" si="109"/>
        <v>-</v>
      </c>
      <c r="D3221" s="4" t="str">
        <f>"09601295"</f>
        <v>09601295</v>
      </c>
      <c r="E3221" s="4" t="str">
        <f>"-"</f>
        <v>-</v>
      </c>
      <c r="F3221" s="4" t="s">
        <v>152</v>
      </c>
    </row>
    <row r="3222" spans="1:6" x14ac:dyDescent="0.25">
      <c r="A3222" s="4" t="str">
        <f>"Mathematics and Computers in Simulation"</f>
        <v>Mathematics and Computers in Simulation</v>
      </c>
      <c r="B3222" s="4" t="s">
        <v>6</v>
      </c>
      <c r="C3222" s="4" t="str">
        <f t="shared" si="109"/>
        <v>-</v>
      </c>
      <c r="D3222" s="4" t="str">
        <f>"03784754"</f>
        <v>03784754</v>
      </c>
      <c r="E3222" s="4" t="str">
        <f>"-"</f>
        <v>-</v>
      </c>
      <c r="F3222" s="4" t="s">
        <v>55</v>
      </c>
    </row>
    <row r="3223" spans="1:6" x14ac:dyDescent="0.25">
      <c r="A3223" s="4" t="str">
        <f>"Mathematics and Mechanics of Solids"</f>
        <v>Mathematics and Mechanics of Solids</v>
      </c>
      <c r="B3223" s="4" t="s">
        <v>6</v>
      </c>
      <c r="C3223" s="4" t="str">
        <f t="shared" si="109"/>
        <v>-</v>
      </c>
      <c r="D3223" s="4" t="str">
        <f>"10812865"</f>
        <v>10812865</v>
      </c>
      <c r="E3223" s="4" t="str">
        <f>"17413028"</f>
        <v>17413028</v>
      </c>
      <c r="F3223" s="4" t="s">
        <v>50</v>
      </c>
    </row>
    <row r="3224" spans="1:6" x14ac:dyDescent="0.25">
      <c r="A3224" s="4" t="str">
        <f>"Mathematics and Visualization"</f>
        <v>Mathematics and Visualization</v>
      </c>
      <c r="B3224" s="4" t="s">
        <v>29</v>
      </c>
      <c r="C3224" s="4" t="str">
        <f t="shared" si="109"/>
        <v>-</v>
      </c>
      <c r="D3224" s="4" t="str">
        <f>"16123786"</f>
        <v>16123786</v>
      </c>
      <c r="E3224" s="4" t="str">
        <f>"2197666X"</f>
        <v>2197666X</v>
      </c>
      <c r="F3224" s="4" t="s">
        <v>79</v>
      </c>
    </row>
    <row r="3225" spans="1:6" x14ac:dyDescent="0.25">
      <c r="A3225" s="4" t="str">
        <f>"Mathematics of Control, Signals, and Systems"</f>
        <v>Mathematics of Control, Signals, and Systems</v>
      </c>
      <c r="B3225" s="4" t="s">
        <v>6</v>
      </c>
      <c r="C3225" s="4" t="str">
        <f t="shared" si="109"/>
        <v>-</v>
      </c>
      <c r="D3225" s="4" t="str">
        <f>"09324194"</f>
        <v>09324194</v>
      </c>
      <c r="E3225" s="4" t="str">
        <f>"1435568X"</f>
        <v>1435568X</v>
      </c>
      <c r="F3225" s="4" t="s">
        <v>62</v>
      </c>
    </row>
    <row r="3226" spans="1:6" x14ac:dyDescent="0.25">
      <c r="A3226" s="4" t="str">
        <f>"Mathematics of Operations Research"</f>
        <v>Mathematics of Operations Research</v>
      </c>
      <c r="B3226" s="4" t="s">
        <v>6</v>
      </c>
      <c r="C3226" s="4" t="str">
        <f t="shared" si="109"/>
        <v>-</v>
      </c>
      <c r="D3226" s="4" t="str">
        <f>"0364765X"</f>
        <v>0364765X</v>
      </c>
      <c r="E3226" s="4" t="str">
        <f>"15265471"</f>
        <v>15265471</v>
      </c>
      <c r="F3226" s="4" t="s">
        <v>538</v>
      </c>
    </row>
    <row r="3227" spans="1:6" x14ac:dyDescent="0.25">
      <c r="A3227" s="4" t="str">
        <f>"MCB Molecular and Cellular Biomechanics"</f>
        <v>MCB Molecular and Cellular Biomechanics</v>
      </c>
      <c r="B3227" s="4" t="s">
        <v>6</v>
      </c>
      <c r="C3227" s="4" t="str">
        <f t="shared" si="109"/>
        <v>-</v>
      </c>
      <c r="D3227" s="4" t="str">
        <f>"15565297"</f>
        <v>15565297</v>
      </c>
      <c r="E3227" s="4" t="str">
        <f>"15565300"</f>
        <v>15565300</v>
      </c>
      <c r="F3227" s="4" t="s">
        <v>287</v>
      </c>
    </row>
    <row r="3228" spans="1:6" x14ac:dyDescent="0.25">
      <c r="A3228" s="4" t="str">
        <f>"Measurement and Control (United Kingdom)"</f>
        <v>Measurement and Control (United Kingdom)</v>
      </c>
      <c r="B3228" s="4" t="s">
        <v>6</v>
      </c>
      <c r="C3228" s="4" t="str">
        <f t="shared" si="109"/>
        <v>-</v>
      </c>
      <c r="D3228" s="4" t="str">
        <f>"00202940"</f>
        <v>00202940</v>
      </c>
      <c r="E3228" s="4" t="str">
        <f>"-"</f>
        <v>-</v>
      </c>
      <c r="F3228" s="4" t="s">
        <v>212</v>
      </c>
    </row>
    <row r="3229" spans="1:6" x14ac:dyDescent="0.25">
      <c r="A3229" s="4" t="str">
        <f>"Measurement Science and Technology"</f>
        <v>Measurement Science and Technology</v>
      </c>
      <c r="B3229" s="4" t="s">
        <v>6</v>
      </c>
      <c r="C3229" s="4" t="str">
        <f t="shared" si="109"/>
        <v>-</v>
      </c>
      <c r="D3229" s="4" t="str">
        <f>"09570233"</f>
        <v>09570233</v>
      </c>
      <c r="E3229" s="4" t="str">
        <f>"13616501"</f>
        <v>13616501</v>
      </c>
      <c r="F3229" s="4" t="s">
        <v>184</v>
      </c>
    </row>
    <row r="3230" spans="1:6" x14ac:dyDescent="0.25">
      <c r="A3230" s="4" t="str">
        <f>"Measurement Science Review"</f>
        <v>Measurement Science Review</v>
      </c>
      <c r="B3230" s="4" t="s">
        <v>6</v>
      </c>
      <c r="C3230" s="4" t="str">
        <f t="shared" si="109"/>
        <v>-</v>
      </c>
      <c r="D3230" s="4" t="str">
        <f>"-"</f>
        <v>-</v>
      </c>
      <c r="E3230" s="4" t="str">
        <f>"13358871"</f>
        <v>13358871</v>
      </c>
      <c r="F3230" s="4" t="s">
        <v>862</v>
      </c>
    </row>
    <row r="3231" spans="1:6" x14ac:dyDescent="0.25">
      <c r="A3231" s="4" t="str">
        <f>"Measurement Techniques"</f>
        <v>Measurement Techniques</v>
      </c>
      <c r="B3231" s="4" t="s">
        <v>6</v>
      </c>
      <c r="C3231" s="4" t="str">
        <f t="shared" si="109"/>
        <v>-</v>
      </c>
      <c r="D3231" s="4" t="str">
        <f>"05431972"</f>
        <v>05431972</v>
      </c>
      <c r="E3231" s="4" t="str">
        <f>"15738906"</f>
        <v>15738906</v>
      </c>
      <c r="F3231" s="4" t="s">
        <v>57</v>
      </c>
    </row>
    <row r="3232" spans="1:6" x14ac:dyDescent="0.25">
      <c r="A3232" s="4" t="str">
        <f>"Measurement: Journal of the International Measurement Confederation"</f>
        <v>Measurement: Journal of the International Measurement Confederation</v>
      </c>
      <c r="B3232" s="4" t="s">
        <v>6</v>
      </c>
      <c r="C3232" s="4" t="str">
        <f t="shared" si="109"/>
        <v>-</v>
      </c>
      <c r="D3232" s="4" t="str">
        <f>"02632241"</f>
        <v>02632241</v>
      </c>
      <c r="E3232" s="4" t="str">
        <f>"-"</f>
        <v>-</v>
      </c>
      <c r="F3232" s="4" t="s">
        <v>55</v>
      </c>
    </row>
    <row r="3233" spans="1:6" x14ac:dyDescent="0.25">
      <c r="A3233" s="4" t="str">
        <f>"Meat Science"</f>
        <v>Meat Science</v>
      </c>
      <c r="B3233" s="4" t="s">
        <v>6</v>
      </c>
      <c r="C3233" s="4" t="str">
        <f t="shared" si="109"/>
        <v>-</v>
      </c>
      <c r="D3233" s="4" t="str">
        <f>"03091740"</f>
        <v>03091740</v>
      </c>
      <c r="E3233" s="4" t="str">
        <f>"-"</f>
        <v>-</v>
      </c>
      <c r="F3233" s="4" t="s">
        <v>19</v>
      </c>
    </row>
    <row r="3234" spans="1:6" x14ac:dyDescent="0.25">
      <c r="A3234" s="4" t="str">
        <f>"Meccanica"</f>
        <v>Meccanica</v>
      </c>
      <c r="B3234" s="4" t="s">
        <v>6</v>
      </c>
      <c r="C3234" s="4" t="str">
        <f t="shared" si="109"/>
        <v>-</v>
      </c>
      <c r="D3234" s="4" t="str">
        <f>"00256455"</f>
        <v>00256455</v>
      </c>
      <c r="E3234" s="4" t="str">
        <f>"15729648"</f>
        <v>15729648</v>
      </c>
      <c r="F3234" s="4" t="s">
        <v>31</v>
      </c>
    </row>
    <row r="3235" spans="1:6" x14ac:dyDescent="0.25">
      <c r="A3235" s="4" t="str">
        <f>"Mechanical Systems and Signal Processing"</f>
        <v>Mechanical Systems and Signal Processing</v>
      </c>
      <c r="B3235" s="4" t="s">
        <v>6</v>
      </c>
      <c r="C3235" s="4" t="str">
        <f t="shared" si="109"/>
        <v>-</v>
      </c>
      <c r="D3235" s="4" t="str">
        <f>"08883270"</f>
        <v>08883270</v>
      </c>
      <c r="E3235" s="4" t="str">
        <f>"10961216"</f>
        <v>10961216</v>
      </c>
      <c r="F3235" s="4" t="s">
        <v>193</v>
      </c>
    </row>
    <row r="3236" spans="1:6" x14ac:dyDescent="0.25">
      <c r="A3236" s="4" t="str">
        <f>"Mechanics and Industry"</f>
        <v>Mechanics and Industry</v>
      </c>
      <c r="B3236" s="4" t="s">
        <v>6</v>
      </c>
      <c r="C3236" s="4" t="str">
        <f t="shared" si="109"/>
        <v>-</v>
      </c>
      <c r="D3236" s="4" t="str">
        <f>"22577777"</f>
        <v>22577777</v>
      </c>
      <c r="E3236" s="4" t="str">
        <f>"22577750"</f>
        <v>22577750</v>
      </c>
      <c r="F3236" s="4" t="s">
        <v>161</v>
      </c>
    </row>
    <row r="3237" spans="1:6" x14ac:dyDescent="0.25">
      <c r="A3237" s="4" t="str">
        <f>"Mechanics Based Design of Structures and Machines"</f>
        <v>Mechanics Based Design of Structures and Machines</v>
      </c>
      <c r="B3237" s="4" t="s">
        <v>6</v>
      </c>
      <c r="C3237" s="4" t="str">
        <f t="shared" si="109"/>
        <v>-</v>
      </c>
      <c r="D3237" s="4" t="str">
        <f>"15397734"</f>
        <v>15397734</v>
      </c>
      <c r="E3237" s="4" t="str">
        <f>"15397742"</f>
        <v>15397742</v>
      </c>
      <c r="F3237" s="4" t="s">
        <v>96</v>
      </c>
    </row>
    <row r="3238" spans="1:6" x14ac:dyDescent="0.25">
      <c r="A3238" s="4" t="str">
        <f>"Mechanics of Advanced Materials and Structures"</f>
        <v>Mechanics of Advanced Materials and Structures</v>
      </c>
      <c r="B3238" s="4" t="s">
        <v>6</v>
      </c>
      <c r="C3238" s="4" t="str">
        <f t="shared" si="109"/>
        <v>-</v>
      </c>
      <c r="D3238" s="4" t="str">
        <f>"15376494"</f>
        <v>15376494</v>
      </c>
      <c r="E3238" s="4" t="str">
        <f>"15376532"</f>
        <v>15376532</v>
      </c>
      <c r="F3238" s="4" t="s">
        <v>96</v>
      </c>
    </row>
    <row r="3239" spans="1:6" x14ac:dyDescent="0.25">
      <c r="A3239" s="4" t="str">
        <f>"Mechanics of Composite Materials"</f>
        <v>Mechanics of Composite Materials</v>
      </c>
      <c r="B3239" s="4" t="s">
        <v>6</v>
      </c>
      <c r="C3239" s="4" t="str">
        <f t="shared" si="109"/>
        <v>-</v>
      </c>
      <c r="D3239" s="4" t="str">
        <f>"01915665"</f>
        <v>01915665</v>
      </c>
      <c r="E3239" s="4" t="str">
        <f>"-"</f>
        <v>-</v>
      </c>
      <c r="F3239" s="4" t="s">
        <v>57</v>
      </c>
    </row>
    <row r="3240" spans="1:6" x14ac:dyDescent="0.25">
      <c r="A3240" s="4" t="str">
        <f>"Mechanics of Materials"</f>
        <v>Mechanics of Materials</v>
      </c>
      <c r="B3240" s="4" t="s">
        <v>6</v>
      </c>
      <c r="C3240" s="4" t="str">
        <f t="shared" si="109"/>
        <v>-</v>
      </c>
      <c r="D3240" s="4" t="str">
        <f>"01676636"</f>
        <v>01676636</v>
      </c>
      <c r="E3240" s="4" t="str">
        <f>"-"</f>
        <v>-</v>
      </c>
      <c r="F3240" s="4" t="s">
        <v>55</v>
      </c>
    </row>
    <row r="3241" spans="1:6" x14ac:dyDescent="0.25">
      <c r="A3241" s="4" t="str">
        <f>"Mechanics of Time-Dependent Materials"</f>
        <v>Mechanics of Time-Dependent Materials</v>
      </c>
      <c r="B3241" s="4" t="s">
        <v>6</v>
      </c>
      <c r="C3241" s="4" t="str">
        <f t="shared" si="109"/>
        <v>-</v>
      </c>
      <c r="D3241" s="4" t="str">
        <f>"13852000"</f>
        <v>13852000</v>
      </c>
      <c r="E3241" s="4" t="str">
        <f>"15732738"</f>
        <v>15732738</v>
      </c>
      <c r="F3241" s="4" t="s">
        <v>31</v>
      </c>
    </row>
    <row r="3242" spans="1:6" x14ac:dyDescent="0.25">
      <c r="A3242" s="4" t="str">
        <f>"Mechanics Research Communications"</f>
        <v>Mechanics Research Communications</v>
      </c>
      <c r="B3242" s="4" t="s">
        <v>6</v>
      </c>
      <c r="C3242" s="4" t="str">
        <f t="shared" si="109"/>
        <v>-</v>
      </c>
      <c r="D3242" s="4" t="str">
        <f>"00936413"</f>
        <v>00936413</v>
      </c>
      <c r="E3242" s="4" t="str">
        <f>"-"</f>
        <v>-</v>
      </c>
      <c r="F3242" s="4" t="s">
        <v>19</v>
      </c>
    </row>
    <row r="3243" spans="1:6" x14ac:dyDescent="0.25">
      <c r="A3243" s="4" t="str">
        <f>"Mechanika"</f>
        <v>Mechanika</v>
      </c>
      <c r="B3243" s="4" t="s">
        <v>6</v>
      </c>
      <c r="C3243" s="4" t="str">
        <f t="shared" si="109"/>
        <v>-</v>
      </c>
      <c r="D3243" s="4" t="str">
        <f>"13921207"</f>
        <v>13921207</v>
      </c>
      <c r="E3243" s="4" t="str">
        <f>"-"</f>
        <v>-</v>
      </c>
      <c r="F3243" s="4" t="s">
        <v>863</v>
      </c>
    </row>
    <row r="3244" spans="1:6" x14ac:dyDescent="0.25">
      <c r="A3244" s="4" t="str">
        <f>"Mechanism and Machine Theory"</f>
        <v>Mechanism and Machine Theory</v>
      </c>
      <c r="B3244" s="4" t="s">
        <v>6</v>
      </c>
      <c r="C3244" s="4" t="str">
        <f t="shared" si="109"/>
        <v>-</v>
      </c>
      <c r="D3244" s="4" t="str">
        <f>"0094114X"</f>
        <v>0094114X</v>
      </c>
      <c r="E3244" s="4" t="str">
        <f>"-"</f>
        <v>-</v>
      </c>
      <c r="F3244" s="4" t="s">
        <v>19</v>
      </c>
    </row>
    <row r="3245" spans="1:6" x14ac:dyDescent="0.25">
      <c r="A3245" s="4" t="str">
        <f>"Mechanisms and Machine Science"</f>
        <v>Mechanisms and Machine Science</v>
      </c>
      <c r="B3245" s="4" t="s">
        <v>29</v>
      </c>
      <c r="C3245" s="4" t="str">
        <f t="shared" si="109"/>
        <v>-</v>
      </c>
      <c r="D3245" s="4" t="str">
        <f>"22110984"</f>
        <v>22110984</v>
      </c>
      <c r="E3245" s="4" t="str">
        <f>"22110992"</f>
        <v>22110992</v>
      </c>
      <c r="F3245" s="4" t="s">
        <v>162</v>
      </c>
    </row>
    <row r="3246" spans="1:6" x14ac:dyDescent="0.25">
      <c r="A3246" s="4" t="str">
        <f>"Mechatronics"</f>
        <v>Mechatronics</v>
      </c>
      <c r="B3246" s="4" t="s">
        <v>6</v>
      </c>
      <c r="C3246" s="4" t="str">
        <f t="shared" si="109"/>
        <v>-</v>
      </c>
      <c r="D3246" s="4" t="str">
        <f>"09574158"</f>
        <v>09574158</v>
      </c>
      <c r="E3246" s="4" t="str">
        <f>"-"</f>
        <v>-</v>
      </c>
      <c r="F3246" s="4" t="s">
        <v>19</v>
      </c>
    </row>
    <row r="3247" spans="1:6" x14ac:dyDescent="0.25">
      <c r="A3247" s="4" t="str">
        <f>"Mechatronik"</f>
        <v>Mechatronik</v>
      </c>
      <c r="B3247" s="4" t="s">
        <v>22</v>
      </c>
      <c r="C3247" s="4" t="str">
        <f t="shared" si="109"/>
        <v>-</v>
      </c>
      <c r="D3247" s="4" t="str">
        <f>"18672590"</f>
        <v>18672590</v>
      </c>
      <c r="E3247" s="4" t="str">
        <f>"-"</f>
        <v>-</v>
      </c>
      <c r="F3247" s="4" t="s">
        <v>864</v>
      </c>
    </row>
    <row r="3248" spans="1:6" x14ac:dyDescent="0.25">
      <c r="A3248" s="4" t="str">
        <f>"Medical and Biological Engineering and Computing"</f>
        <v>Medical and Biological Engineering and Computing</v>
      </c>
      <c r="B3248" s="4" t="s">
        <v>6</v>
      </c>
      <c r="C3248" s="4" t="str">
        <f t="shared" si="109"/>
        <v>-</v>
      </c>
      <c r="D3248" s="4" t="str">
        <f>"01400118"</f>
        <v>01400118</v>
      </c>
      <c r="E3248" s="4" t="str">
        <f>"17410444"</f>
        <v>17410444</v>
      </c>
      <c r="F3248" s="4" t="s">
        <v>42</v>
      </c>
    </row>
    <row r="3249" spans="1:6" x14ac:dyDescent="0.25">
      <c r="A3249" s="4" t="str">
        <f>"Medical Devices: Evidence and Research"</f>
        <v>Medical Devices: Evidence and Research</v>
      </c>
      <c r="B3249" s="4" t="s">
        <v>6</v>
      </c>
      <c r="C3249" s="4" t="str">
        <f t="shared" si="109"/>
        <v>-</v>
      </c>
      <c r="D3249" s="4" t="str">
        <f>"-"</f>
        <v>-</v>
      </c>
      <c r="E3249" s="4" t="str">
        <f>"11791470"</f>
        <v>11791470</v>
      </c>
      <c r="F3249" s="4" t="s">
        <v>865</v>
      </c>
    </row>
    <row r="3250" spans="1:6" x14ac:dyDescent="0.25">
      <c r="A3250" s="4" t="str">
        <f>"Medical Engineering and Physics"</f>
        <v>Medical Engineering and Physics</v>
      </c>
      <c r="B3250" s="4" t="s">
        <v>6</v>
      </c>
      <c r="C3250" s="4" t="str">
        <f t="shared" si="109"/>
        <v>-</v>
      </c>
      <c r="D3250" s="4" t="str">
        <f>"13504533"</f>
        <v>13504533</v>
      </c>
      <c r="E3250" s="4" t="str">
        <f>"18734030"</f>
        <v>18734030</v>
      </c>
      <c r="F3250" s="4" t="s">
        <v>19</v>
      </c>
    </row>
    <row r="3251" spans="1:6" x14ac:dyDescent="0.25">
      <c r="A3251" s="4" t="str">
        <f>"Medical Image Analysis"</f>
        <v>Medical Image Analysis</v>
      </c>
      <c r="B3251" s="4" t="s">
        <v>6</v>
      </c>
      <c r="C3251" s="4" t="str">
        <f t="shared" si="109"/>
        <v>-</v>
      </c>
      <c r="D3251" s="4" t="str">
        <f>"13618415"</f>
        <v>13618415</v>
      </c>
      <c r="E3251" s="4" t="str">
        <f>"13618423"</f>
        <v>13618423</v>
      </c>
      <c r="F3251" s="4" t="s">
        <v>55</v>
      </c>
    </row>
    <row r="3252" spans="1:6" x14ac:dyDescent="0.25">
      <c r="A3252" s="4" t="str">
        <f>"Mediterranean Journal of Measurement and Control"</f>
        <v>Mediterranean Journal of Measurement and Control</v>
      </c>
      <c r="B3252" s="4" t="s">
        <v>6</v>
      </c>
      <c r="C3252" s="4" t="str">
        <f t="shared" si="109"/>
        <v>-</v>
      </c>
      <c r="D3252" s="4" t="str">
        <f>"17439310"</f>
        <v>17439310</v>
      </c>
      <c r="E3252" s="4" t="str">
        <f>"-"</f>
        <v>-</v>
      </c>
      <c r="F3252" s="4" t="s">
        <v>866</v>
      </c>
    </row>
    <row r="3253" spans="1:6" x14ac:dyDescent="0.25">
      <c r="A3253" s="4" t="str">
        <f>"Mediterranean Microwave Symposium"</f>
        <v>Mediterranean Microwave Symposium</v>
      </c>
      <c r="B3253" s="4" t="s">
        <v>8</v>
      </c>
      <c r="C3253" s="4" t="str">
        <f t="shared" si="109"/>
        <v>-</v>
      </c>
      <c r="D3253" s="4" t="str">
        <f>"21579822"</f>
        <v>21579822</v>
      </c>
      <c r="E3253" s="4" t="str">
        <f>"21579830"</f>
        <v>21579830</v>
      </c>
      <c r="F3253" s="4" t="s">
        <v>9</v>
      </c>
    </row>
    <row r="3254" spans="1:6" x14ac:dyDescent="0.25">
      <c r="A3254" s="4" t="str">
        <f>"Meitan Xuebao/Journal of the China Coal Society"</f>
        <v>Meitan Xuebao/Journal of the China Coal Society</v>
      </c>
      <c r="B3254" s="4" t="s">
        <v>6</v>
      </c>
      <c r="C3254" s="4" t="str">
        <f t="shared" si="109"/>
        <v>-</v>
      </c>
      <c r="D3254" s="4" t="str">
        <f>"02539993"</f>
        <v>02539993</v>
      </c>
      <c r="E3254" s="4" t="str">
        <f>"-"</f>
        <v>-</v>
      </c>
      <c r="F3254" s="4" t="s">
        <v>867</v>
      </c>
    </row>
    <row r="3255" spans="1:6" x14ac:dyDescent="0.25">
      <c r="A3255" s="4" t="str">
        <f>"Membrane Technology"</f>
        <v>Membrane Technology</v>
      </c>
      <c r="B3255" s="4" t="s">
        <v>6</v>
      </c>
      <c r="C3255" s="4" t="str">
        <f t="shared" ref="C3255:C3318" si="110">"-"</f>
        <v>-</v>
      </c>
      <c r="D3255" s="4" t="str">
        <f>"09582118"</f>
        <v>09582118</v>
      </c>
      <c r="E3255" s="4" t="str">
        <f>"-"</f>
        <v>-</v>
      </c>
      <c r="F3255" s="4" t="s">
        <v>19</v>
      </c>
    </row>
    <row r="3256" spans="1:6" x14ac:dyDescent="0.25">
      <c r="A3256" s="4" t="str">
        <f>"Membrane Water Treatment"</f>
        <v>Membrane Water Treatment</v>
      </c>
      <c r="B3256" s="4" t="s">
        <v>6</v>
      </c>
      <c r="C3256" s="4" t="str">
        <f t="shared" si="110"/>
        <v>-</v>
      </c>
      <c r="D3256" s="4" t="str">
        <f>"20058624"</f>
        <v>20058624</v>
      </c>
      <c r="E3256" s="4" t="str">
        <f>"20927037"</f>
        <v>20927037</v>
      </c>
      <c r="F3256" s="4" t="s">
        <v>297</v>
      </c>
    </row>
    <row r="3257" spans="1:6" x14ac:dyDescent="0.25">
      <c r="A3257" s="4" t="str">
        <f>"Membranes"</f>
        <v>Membranes</v>
      </c>
      <c r="B3257" s="4" t="s">
        <v>6</v>
      </c>
      <c r="C3257" s="4" t="str">
        <f t="shared" si="110"/>
        <v>-</v>
      </c>
      <c r="D3257" s="4" t="str">
        <f>"-"</f>
        <v>-</v>
      </c>
      <c r="E3257" s="4" t="str">
        <f>"20770375"</f>
        <v>20770375</v>
      </c>
      <c r="F3257" s="4" t="s">
        <v>114</v>
      </c>
    </row>
    <row r="3258" spans="1:6" x14ac:dyDescent="0.25">
      <c r="A3258" s="4" t="str">
        <f>"Memetic Computing"</f>
        <v>Memetic Computing</v>
      </c>
      <c r="B3258" s="4" t="s">
        <v>6</v>
      </c>
      <c r="C3258" s="4" t="str">
        <f t="shared" si="110"/>
        <v>-</v>
      </c>
      <c r="D3258" s="4" t="str">
        <f>"18659284"</f>
        <v>18659284</v>
      </c>
      <c r="E3258" s="4" t="str">
        <f>"18659292"</f>
        <v>18659292</v>
      </c>
      <c r="F3258" s="4" t="s">
        <v>42</v>
      </c>
    </row>
    <row r="3259" spans="1:6" x14ac:dyDescent="0.25">
      <c r="A3259" s="4" t="str">
        <f>"Memoir of the Geological Society of America"</f>
        <v>Memoir of the Geological Society of America</v>
      </c>
      <c r="B3259" s="4" t="s">
        <v>29</v>
      </c>
      <c r="C3259" s="4" t="str">
        <f t="shared" si="110"/>
        <v>-</v>
      </c>
      <c r="D3259" s="4" t="str">
        <f>"00721069"</f>
        <v>00721069</v>
      </c>
      <c r="E3259" s="4" t="str">
        <f>"-"</f>
        <v>-</v>
      </c>
      <c r="F3259" s="4" t="s">
        <v>228</v>
      </c>
    </row>
    <row r="3260" spans="1:6" x14ac:dyDescent="0.25">
      <c r="A3260" s="4" t="str">
        <f>"Memoirs of the Faculty of Engineering, Kyushu University"</f>
        <v>Memoirs of the Faculty of Engineering, Kyushu University</v>
      </c>
      <c r="B3260" s="4" t="s">
        <v>6</v>
      </c>
      <c r="C3260" s="4" t="str">
        <f t="shared" si="110"/>
        <v>-</v>
      </c>
      <c r="D3260" s="4" t="str">
        <f>"-"</f>
        <v>-</v>
      </c>
      <c r="E3260" s="4" t="str">
        <f>"1880148X"</f>
        <v>1880148X</v>
      </c>
      <c r="F3260" s="4" t="s">
        <v>868</v>
      </c>
    </row>
    <row r="3261" spans="1:6" x14ac:dyDescent="0.25">
      <c r="A3261" s="4" t="str">
        <f>"Memorie della Societa Astronomica Italiana - Journal of the Italian Astronomical Society"</f>
        <v>Memorie della Societa Astronomica Italiana - Journal of the Italian Astronomical Society</v>
      </c>
      <c r="B3261" s="4" t="s">
        <v>8</v>
      </c>
      <c r="C3261" s="4" t="str">
        <f t="shared" si="110"/>
        <v>-</v>
      </c>
      <c r="D3261" s="4" t="str">
        <f>"1824016X"</f>
        <v>1824016X</v>
      </c>
      <c r="E3261" s="4" t="str">
        <f>"-"</f>
        <v>-</v>
      </c>
      <c r="F3261" s="4" t="s">
        <v>869</v>
      </c>
    </row>
    <row r="3262" spans="1:6" x14ac:dyDescent="0.25">
      <c r="A3262" s="4" t="str">
        <f>"Metabolic Engineering"</f>
        <v>Metabolic Engineering</v>
      </c>
      <c r="B3262" s="4" t="s">
        <v>6</v>
      </c>
      <c r="C3262" s="4" t="str">
        <f t="shared" si="110"/>
        <v>-</v>
      </c>
      <c r="D3262" s="4" t="str">
        <f>"10967176"</f>
        <v>10967176</v>
      </c>
      <c r="E3262" s="4" t="str">
        <f>"10967184"</f>
        <v>10967184</v>
      </c>
      <c r="F3262" s="4" t="s">
        <v>71</v>
      </c>
    </row>
    <row r="3263" spans="1:6" x14ac:dyDescent="0.25">
      <c r="A3263" s="4" t="str">
        <f>"Metal Casting Design and Purchasing"</f>
        <v>Metal Casting Design and Purchasing</v>
      </c>
      <c r="B3263" s="4" t="s">
        <v>22</v>
      </c>
      <c r="C3263" s="4" t="str">
        <f t="shared" si="110"/>
        <v>-</v>
      </c>
      <c r="D3263" s="4" t="str">
        <f>"15234371"</f>
        <v>15234371</v>
      </c>
      <c r="E3263" s="4" t="str">
        <f>"-"</f>
        <v>-</v>
      </c>
      <c r="F3263" s="4" t="s">
        <v>589</v>
      </c>
    </row>
    <row r="3264" spans="1:6" x14ac:dyDescent="0.25">
      <c r="A3264" s="4" t="str">
        <f>"Metal Powder Report"</f>
        <v>Metal Powder Report</v>
      </c>
      <c r="B3264" s="4" t="s">
        <v>6</v>
      </c>
      <c r="C3264" s="4" t="str">
        <f t="shared" si="110"/>
        <v>-</v>
      </c>
      <c r="D3264" s="4" t="str">
        <f>"00260657"</f>
        <v>00260657</v>
      </c>
      <c r="E3264" s="4" t="str">
        <f>"-"</f>
        <v>-</v>
      </c>
      <c r="F3264" s="4" t="s">
        <v>19</v>
      </c>
    </row>
    <row r="3265" spans="1:6" x14ac:dyDescent="0.25">
      <c r="A3265" s="4" t="str">
        <f>"Metal Science and Heat Treatment"</f>
        <v>Metal Science and Heat Treatment</v>
      </c>
      <c r="B3265" s="4" t="s">
        <v>6</v>
      </c>
      <c r="C3265" s="4" t="str">
        <f t="shared" si="110"/>
        <v>-</v>
      </c>
      <c r="D3265" s="4" t="str">
        <f>"00260673"</f>
        <v>00260673</v>
      </c>
      <c r="E3265" s="4" t="str">
        <f>"15738973"</f>
        <v>15738973</v>
      </c>
      <c r="F3265" s="4" t="s">
        <v>57</v>
      </c>
    </row>
    <row r="3266" spans="1:6" x14ac:dyDescent="0.25">
      <c r="A3266" s="4" t="str">
        <f>"Metallography, Microstructure, and Analysis"</f>
        <v>Metallography, Microstructure, and Analysis</v>
      </c>
      <c r="B3266" s="4" t="s">
        <v>6</v>
      </c>
      <c r="C3266" s="4" t="str">
        <f t="shared" si="110"/>
        <v>-</v>
      </c>
      <c r="D3266" s="4" t="str">
        <f>"21929262"</f>
        <v>21929262</v>
      </c>
      <c r="E3266" s="4" t="str">
        <f>"21929270"</f>
        <v>21929270</v>
      </c>
      <c r="F3266" s="4" t="s">
        <v>57</v>
      </c>
    </row>
    <row r="3267" spans="1:6" x14ac:dyDescent="0.25">
      <c r="A3267" s="4" t="str">
        <f>"Metallomics"</f>
        <v>Metallomics</v>
      </c>
      <c r="B3267" s="4" t="s">
        <v>6</v>
      </c>
      <c r="C3267" s="4" t="str">
        <f t="shared" si="110"/>
        <v>-</v>
      </c>
      <c r="D3267" s="4" t="str">
        <f>"17565901"</f>
        <v>17565901</v>
      </c>
      <c r="E3267" s="4" t="str">
        <f>"1756591X"</f>
        <v>1756591X</v>
      </c>
      <c r="F3267" s="4" t="s">
        <v>121</v>
      </c>
    </row>
    <row r="3268" spans="1:6" x14ac:dyDescent="0.25">
      <c r="A3268" s="4" t="str">
        <f>"Metallurgia Italiana"</f>
        <v>Metallurgia Italiana</v>
      </c>
      <c r="B3268" s="4" t="s">
        <v>22</v>
      </c>
      <c r="C3268" s="4" t="str">
        <f t="shared" si="110"/>
        <v>-</v>
      </c>
      <c r="D3268" s="4" t="str">
        <f>"00260843"</f>
        <v>00260843</v>
      </c>
      <c r="E3268" s="4" t="str">
        <f>"-"</f>
        <v>-</v>
      </c>
      <c r="F3268" s="4" t="s">
        <v>870</v>
      </c>
    </row>
    <row r="3269" spans="1:6" x14ac:dyDescent="0.25">
      <c r="A3269" s="4" t="str">
        <f>"Metallurgical and Materials Transactions A: Physical Metallurgy and Materials Science"</f>
        <v>Metallurgical and Materials Transactions A: Physical Metallurgy and Materials Science</v>
      </c>
      <c r="B3269" s="4" t="s">
        <v>6</v>
      </c>
      <c r="C3269" s="4" t="str">
        <f t="shared" si="110"/>
        <v>-</v>
      </c>
      <c r="D3269" s="4" t="str">
        <f>"10735623"</f>
        <v>10735623</v>
      </c>
      <c r="E3269" s="4" t="str">
        <f>"-"</f>
        <v>-</v>
      </c>
      <c r="F3269" s="4" t="s">
        <v>871</v>
      </c>
    </row>
    <row r="3270" spans="1:6" x14ac:dyDescent="0.25">
      <c r="A3270" s="4" t="str">
        <f>"Metallurgical and Materials Transactions B: Process Metallurgy and Materials Processing Science"</f>
        <v>Metallurgical and Materials Transactions B: Process Metallurgy and Materials Processing Science</v>
      </c>
      <c r="B3270" s="4" t="s">
        <v>6</v>
      </c>
      <c r="C3270" s="4" t="str">
        <f t="shared" si="110"/>
        <v>-</v>
      </c>
      <c r="D3270" s="4" t="str">
        <f>"10735615"</f>
        <v>10735615</v>
      </c>
      <c r="E3270" s="4" t="str">
        <f>"-"</f>
        <v>-</v>
      </c>
      <c r="F3270" s="4" t="s">
        <v>871</v>
      </c>
    </row>
    <row r="3271" spans="1:6" x14ac:dyDescent="0.25">
      <c r="A3271" s="4" t="str">
        <f>"Metallurgical Research and Technology"</f>
        <v>Metallurgical Research and Technology</v>
      </c>
      <c r="B3271" s="4" t="s">
        <v>6</v>
      </c>
      <c r="C3271" s="4" t="str">
        <f t="shared" si="110"/>
        <v>-</v>
      </c>
      <c r="D3271" s="4" t="str">
        <f>"22713646"</f>
        <v>22713646</v>
      </c>
      <c r="E3271" s="4" t="str">
        <f>"22713654"</f>
        <v>22713654</v>
      </c>
      <c r="F3271" s="4" t="s">
        <v>161</v>
      </c>
    </row>
    <row r="3272" spans="1:6" x14ac:dyDescent="0.25">
      <c r="A3272" s="4" t="str">
        <f>"Metallurgist"</f>
        <v>Metallurgist</v>
      </c>
      <c r="B3272" s="4" t="s">
        <v>6</v>
      </c>
      <c r="C3272" s="4" t="str">
        <f t="shared" si="110"/>
        <v>-</v>
      </c>
      <c r="D3272" s="4" t="str">
        <f>"00260894"</f>
        <v>00260894</v>
      </c>
      <c r="E3272" s="4" t="str">
        <f>"15738892"</f>
        <v>15738892</v>
      </c>
      <c r="F3272" s="4" t="s">
        <v>57</v>
      </c>
    </row>
    <row r="3273" spans="1:6" x14ac:dyDescent="0.25">
      <c r="A3273" s="4" t="str">
        <f>"Metalurgia e Materiais"</f>
        <v>Metalurgia e Materiais</v>
      </c>
      <c r="B3273" s="4" t="s">
        <v>6</v>
      </c>
      <c r="C3273" s="4" t="str">
        <f t="shared" si="110"/>
        <v>-</v>
      </c>
      <c r="D3273" s="4" t="str">
        <f>"01040898"</f>
        <v>01040898</v>
      </c>
      <c r="E3273" s="4" t="str">
        <f>"-"</f>
        <v>-</v>
      </c>
      <c r="F3273" s="4" t="s">
        <v>872</v>
      </c>
    </row>
    <row r="3274" spans="1:6" x14ac:dyDescent="0.25">
      <c r="A3274" s="4" t="str">
        <f>"Metalurgija"</f>
        <v>Metalurgija</v>
      </c>
      <c r="B3274" s="4" t="s">
        <v>6</v>
      </c>
      <c r="C3274" s="4" t="str">
        <f t="shared" si="110"/>
        <v>-</v>
      </c>
      <c r="D3274" s="4" t="str">
        <f>"05435846"</f>
        <v>05435846</v>
      </c>
      <c r="E3274" s="4" t="str">
        <f>"-"</f>
        <v>-</v>
      </c>
      <c r="F3274" s="4" t="s">
        <v>873</v>
      </c>
    </row>
    <row r="3275" spans="1:6" x14ac:dyDescent="0.25">
      <c r="A3275" s="4" t="str">
        <f>"Metrologia"</f>
        <v>Metrologia</v>
      </c>
      <c r="B3275" s="4" t="s">
        <v>6</v>
      </c>
      <c r="C3275" s="4" t="str">
        <f t="shared" si="110"/>
        <v>-</v>
      </c>
      <c r="D3275" s="4" t="str">
        <f>"00261394"</f>
        <v>00261394</v>
      </c>
      <c r="E3275" s="4" t="str">
        <f>"16817575"</f>
        <v>16817575</v>
      </c>
      <c r="F3275" s="4" t="s">
        <v>184</v>
      </c>
    </row>
    <row r="3276" spans="1:6" x14ac:dyDescent="0.25">
      <c r="A3276" s="4" t="str">
        <f>"Metrology and Measurement Systems"</f>
        <v>Metrology and Measurement Systems</v>
      </c>
      <c r="B3276" s="4" t="s">
        <v>6</v>
      </c>
      <c r="C3276" s="4" t="str">
        <f t="shared" si="110"/>
        <v>-</v>
      </c>
      <c r="D3276" s="4" t="str">
        <f>"08608229"</f>
        <v>08608229</v>
      </c>
      <c r="E3276" s="4" t="str">
        <f>"-"</f>
        <v>-</v>
      </c>
      <c r="F3276" s="4" t="s">
        <v>874</v>
      </c>
    </row>
    <row r="3277" spans="1:6" x14ac:dyDescent="0.25">
      <c r="A3277" s="4" t="str">
        <f>"Micro and Nano Letters"</f>
        <v>Micro and Nano Letters</v>
      </c>
      <c r="B3277" s="4" t="s">
        <v>6</v>
      </c>
      <c r="C3277" s="4" t="str">
        <f t="shared" si="110"/>
        <v>-</v>
      </c>
      <c r="D3277" s="4" t="str">
        <f>"-"</f>
        <v>-</v>
      </c>
      <c r="E3277" s="4" t="str">
        <f>"17500443"</f>
        <v>17500443</v>
      </c>
      <c r="F3277" s="4" t="s">
        <v>370</v>
      </c>
    </row>
    <row r="3278" spans="1:6" x14ac:dyDescent="0.25">
      <c r="A3278" s="4" t="str">
        <f>"Micro and Nanosystems"</f>
        <v>Micro and Nanosystems</v>
      </c>
      <c r="B3278" s="4" t="s">
        <v>6</v>
      </c>
      <c r="C3278" s="4" t="str">
        <f t="shared" si="110"/>
        <v>-</v>
      </c>
      <c r="D3278" s="4" t="str">
        <f>"18764029"</f>
        <v>18764029</v>
      </c>
      <c r="E3278" s="4" t="str">
        <f>"18764037"</f>
        <v>18764037</v>
      </c>
      <c r="F3278" s="4" t="s">
        <v>316</v>
      </c>
    </row>
    <row r="3279" spans="1:6" x14ac:dyDescent="0.25">
      <c r="A3279" s="4" t="str">
        <f>"Microbiological Research"</f>
        <v>Microbiological Research</v>
      </c>
      <c r="B3279" s="4" t="s">
        <v>6</v>
      </c>
      <c r="C3279" s="4" t="str">
        <f t="shared" si="110"/>
        <v>-</v>
      </c>
      <c r="D3279" s="4" t="str">
        <f>"09445013"</f>
        <v>09445013</v>
      </c>
      <c r="E3279" s="4" t="str">
        <f>"-"</f>
        <v>-</v>
      </c>
      <c r="F3279" s="4" t="s">
        <v>100</v>
      </c>
    </row>
    <row r="3280" spans="1:6" x14ac:dyDescent="0.25">
      <c r="A3280" s="4" t="str">
        <f>"Microelectronic Engineering"</f>
        <v>Microelectronic Engineering</v>
      </c>
      <c r="B3280" s="4" t="s">
        <v>6</v>
      </c>
      <c r="C3280" s="4" t="str">
        <f t="shared" si="110"/>
        <v>-</v>
      </c>
      <c r="D3280" s="4" t="str">
        <f>"01679317"</f>
        <v>01679317</v>
      </c>
      <c r="E3280" s="4" t="str">
        <f>"-"</f>
        <v>-</v>
      </c>
      <c r="F3280" s="4" t="s">
        <v>55</v>
      </c>
    </row>
    <row r="3281" spans="1:6" x14ac:dyDescent="0.25">
      <c r="A3281" s="4" t="str">
        <f>"Microelectronics International"</f>
        <v>Microelectronics International</v>
      </c>
      <c r="B3281" s="4" t="s">
        <v>6</v>
      </c>
      <c r="C3281" s="4" t="str">
        <f t="shared" si="110"/>
        <v>-</v>
      </c>
      <c r="D3281" s="4" t="str">
        <f>"13565362"</f>
        <v>13565362</v>
      </c>
      <c r="E3281" s="4" t="str">
        <f>"-"</f>
        <v>-</v>
      </c>
      <c r="F3281" s="4" t="s">
        <v>110</v>
      </c>
    </row>
    <row r="3282" spans="1:6" x14ac:dyDescent="0.25">
      <c r="A3282" s="4" t="str">
        <f>"Microelectronics Journal"</f>
        <v>Microelectronics Journal</v>
      </c>
      <c r="B3282" s="4" t="s">
        <v>6</v>
      </c>
      <c r="C3282" s="4" t="str">
        <f t="shared" si="110"/>
        <v>-</v>
      </c>
      <c r="D3282" s="4" t="str">
        <f>"00262692"</f>
        <v>00262692</v>
      </c>
      <c r="E3282" s="4" t="str">
        <f>"-"</f>
        <v>-</v>
      </c>
      <c r="F3282" s="4" t="s">
        <v>19</v>
      </c>
    </row>
    <row r="3283" spans="1:6" x14ac:dyDescent="0.25">
      <c r="A3283" s="4" t="str">
        <f>"Microelectronics Reliability"</f>
        <v>Microelectronics Reliability</v>
      </c>
      <c r="B3283" s="4" t="s">
        <v>6</v>
      </c>
      <c r="C3283" s="4" t="str">
        <f t="shared" si="110"/>
        <v>-</v>
      </c>
      <c r="D3283" s="4" t="str">
        <f>"00262714"</f>
        <v>00262714</v>
      </c>
      <c r="E3283" s="4" t="str">
        <f>"-"</f>
        <v>-</v>
      </c>
      <c r="F3283" s="4" t="s">
        <v>19</v>
      </c>
    </row>
    <row r="3284" spans="1:6" x14ac:dyDescent="0.25">
      <c r="A3284" s="4" t="str">
        <f>"Microfluidics and Nanofluidics"</f>
        <v>Microfluidics and Nanofluidics</v>
      </c>
      <c r="B3284" s="4" t="s">
        <v>6</v>
      </c>
      <c r="C3284" s="4" t="str">
        <f t="shared" si="110"/>
        <v>-</v>
      </c>
      <c r="D3284" s="4" t="str">
        <f>"16134982"</f>
        <v>16134982</v>
      </c>
      <c r="E3284" s="4" t="str">
        <f>"16134990"</f>
        <v>16134990</v>
      </c>
      <c r="F3284" s="4" t="s">
        <v>42</v>
      </c>
    </row>
    <row r="3285" spans="1:6" x14ac:dyDescent="0.25">
      <c r="A3285" s="4" t="str">
        <f>"Microgravity Science and Technology"</f>
        <v>Microgravity Science and Technology</v>
      </c>
      <c r="B3285" s="4" t="s">
        <v>6</v>
      </c>
      <c r="C3285" s="4" t="str">
        <f t="shared" si="110"/>
        <v>-</v>
      </c>
      <c r="D3285" s="4" t="str">
        <f>"09380108"</f>
        <v>09380108</v>
      </c>
      <c r="E3285" s="4" t="str">
        <f>"18750494"</f>
        <v>18750494</v>
      </c>
      <c r="F3285" s="4" t="s">
        <v>31</v>
      </c>
    </row>
    <row r="3286" spans="1:6" x14ac:dyDescent="0.25">
      <c r="A3286" s="4" t="str">
        <f>"Micromachines"</f>
        <v>Micromachines</v>
      </c>
      <c r="B3286" s="4" t="s">
        <v>6</v>
      </c>
      <c r="C3286" s="4" t="str">
        <f t="shared" si="110"/>
        <v>-</v>
      </c>
      <c r="D3286" s="4" t="str">
        <f>"-"</f>
        <v>-</v>
      </c>
      <c r="E3286" s="4" t="str">
        <f>"2072666X"</f>
        <v>2072666X</v>
      </c>
      <c r="F3286" s="4" t="s">
        <v>114</v>
      </c>
    </row>
    <row r="3287" spans="1:6" x14ac:dyDescent="0.25">
      <c r="A3287" s="4" t="str">
        <f>"Micron"</f>
        <v>Micron</v>
      </c>
      <c r="B3287" s="4" t="s">
        <v>6</v>
      </c>
      <c r="C3287" s="4" t="str">
        <f t="shared" si="110"/>
        <v>-</v>
      </c>
      <c r="D3287" s="4" t="str">
        <f>"09684328"</f>
        <v>09684328</v>
      </c>
      <c r="E3287" s="4" t="str">
        <f>"-"</f>
        <v>-</v>
      </c>
      <c r="F3287" s="4" t="s">
        <v>19</v>
      </c>
    </row>
    <row r="3288" spans="1:6" x14ac:dyDescent="0.25">
      <c r="A3288" s="4" t="str">
        <f>"Microporous and Mesoporous Materials"</f>
        <v>Microporous and Mesoporous Materials</v>
      </c>
      <c r="B3288" s="4" t="s">
        <v>6</v>
      </c>
      <c r="C3288" s="4" t="str">
        <f t="shared" si="110"/>
        <v>-</v>
      </c>
      <c r="D3288" s="4" t="str">
        <f>"13871811"</f>
        <v>13871811</v>
      </c>
      <c r="E3288" s="4" t="str">
        <f>"-"</f>
        <v>-</v>
      </c>
      <c r="F3288" s="4" t="s">
        <v>55</v>
      </c>
    </row>
    <row r="3289" spans="1:6" x14ac:dyDescent="0.25">
      <c r="A3289" s="4" t="str">
        <f>"Microprocessors and Microsystems"</f>
        <v>Microprocessors and Microsystems</v>
      </c>
      <c r="B3289" s="4" t="s">
        <v>6</v>
      </c>
      <c r="C3289" s="4" t="str">
        <f t="shared" si="110"/>
        <v>-</v>
      </c>
      <c r="D3289" s="4" t="str">
        <f>"01419331"</f>
        <v>01419331</v>
      </c>
      <c r="E3289" s="4" t="str">
        <f>"-"</f>
        <v>-</v>
      </c>
      <c r="F3289" s="4" t="s">
        <v>55</v>
      </c>
    </row>
    <row r="3290" spans="1:6" x14ac:dyDescent="0.25">
      <c r="A3290" s="4" t="str">
        <f>"Microsystem Technologies"</f>
        <v>Microsystem Technologies</v>
      </c>
      <c r="B3290" s="4" t="s">
        <v>6</v>
      </c>
      <c r="C3290" s="4" t="str">
        <f t="shared" si="110"/>
        <v>-</v>
      </c>
      <c r="D3290" s="4" t="str">
        <f>"09467076"</f>
        <v>09467076</v>
      </c>
      <c r="E3290" s="4" t="str">
        <f>"-"</f>
        <v>-</v>
      </c>
      <c r="F3290" s="4" t="s">
        <v>42</v>
      </c>
    </row>
    <row r="3291" spans="1:6" x14ac:dyDescent="0.25">
      <c r="A3291" s="4" t="str">
        <f>"Microwave and Optical Technology Letters"</f>
        <v>Microwave and Optical Technology Letters</v>
      </c>
      <c r="B3291" s="4" t="s">
        <v>6</v>
      </c>
      <c r="C3291" s="4" t="str">
        <f t="shared" si="110"/>
        <v>-</v>
      </c>
      <c r="D3291" s="4" t="str">
        <f>"08952477"</f>
        <v>08952477</v>
      </c>
      <c r="E3291" s="4" t="str">
        <f>"10982760"</f>
        <v>10982760</v>
      </c>
      <c r="F3291" s="4" t="s">
        <v>87</v>
      </c>
    </row>
    <row r="3292" spans="1:6" x14ac:dyDescent="0.25">
      <c r="A3292" s="4" t="str">
        <f>"Microwave Journal"</f>
        <v>Microwave Journal</v>
      </c>
      <c r="B3292" s="4" t="s">
        <v>22</v>
      </c>
      <c r="C3292" s="4" t="str">
        <f t="shared" si="110"/>
        <v>-</v>
      </c>
      <c r="D3292" s="4" t="str">
        <f>"01926225"</f>
        <v>01926225</v>
      </c>
      <c r="E3292" s="4" t="str">
        <f>"-"</f>
        <v>-</v>
      </c>
      <c r="F3292" s="4" t="s">
        <v>875</v>
      </c>
    </row>
    <row r="3293" spans="1:6" x14ac:dyDescent="0.25">
      <c r="A3293" s="4" t="str">
        <f>"Middle East Conference on Biomedical Engineering, MECBME"</f>
        <v>Middle East Conference on Biomedical Engineering, MECBME</v>
      </c>
      <c r="B3293" s="4" t="s">
        <v>8</v>
      </c>
      <c r="C3293" s="4" t="str">
        <f t="shared" si="110"/>
        <v>-</v>
      </c>
      <c r="D3293" s="4" t="str">
        <f>"21654247"</f>
        <v>21654247</v>
      </c>
      <c r="E3293" s="4" t="str">
        <f>"21654255"</f>
        <v>21654255</v>
      </c>
      <c r="F3293" s="4" t="s">
        <v>9</v>
      </c>
    </row>
    <row r="3294" spans="1:6" x14ac:dyDescent="0.25">
      <c r="A3294" s="4" t="str">
        <f>"Midwest Symposium on Circuits and Systems"</f>
        <v>Midwest Symposium on Circuits and Systems</v>
      </c>
      <c r="B3294" s="4" t="s">
        <v>8</v>
      </c>
      <c r="C3294" s="4" t="str">
        <f t="shared" si="110"/>
        <v>-</v>
      </c>
      <c r="D3294" s="4" t="str">
        <f>"15483746"</f>
        <v>15483746</v>
      </c>
      <c r="E3294" s="4" t="str">
        <f>"-"</f>
        <v>-</v>
      </c>
      <c r="F3294" s="4" t="s">
        <v>105</v>
      </c>
    </row>
    <row r="3295" spans="1:6" x14ac:dyDescent="0.25">
      <c r="A3295" s="4" t="str">
        <f>"Military Operations Research"</f>
        <v>Military Operations Research</v>
      </c>
      <c r="B3295" s="4" t="s">
        <v>6</v>
      </c>
      <c r="C3295" s="4" t="str">
        <f t="shared" si="110"/>
        <v>-</v>
      </c>
      <c r="D3295" s="4" t="str">
        <f>"02755823"</f>
        <v>02755823</v>
      </c>
      <c r="E3295" s="4" t="str">
        <f>"-"</f>
        <v>-</v>
      </c>
      <c r="F3295" s="4" t="s">
        <v>876</v>
      </c>
    </row>
    <row r="3296" spans="1:6" x14ac:dyDescent="0.25">
      <c r="A3296" s="4" t="str">
        <f>"Minds and Machines"</f>
        <v>Minds and Machines</v>
      </c>
      <c r="B3296" s="4" t="s">
        <v>6</v>
      </c>
      <c r="C3296" s="4" t="str">
        <f t="shared" si="110"/>
        <v>-</v>
      </c>
      <c r="D3296" s="4" t="str">
        <f>"09246495"</f>
        <v>09246495</v>
      </c>
      <c r="E3296" s="4" t="str">
        <f>"15728641"</f>
        <v>15728641</v>
      </c>
      <c r="F3296" s="4" t="s">
        <v>31</v>
      </c>
    </row>
    <row r="3297" spans="1:6" x14ac:dyDescent="0.25">
      <c r="A3297" s="4" t="str">
        <f>"Mineral Processing and Extractive Metallurgy Review"</f>
        <v>Mineral Processing and Extractive Metallurgy Review</v>
      </c>
      <c r="B3297" s="4" t="s">
        <v>6</v>
      </c>
      <c r="C3297" s="4" t="str">
        <f t="shared" si="110"/>
        <v>-</v>
      </c>
      <c r="D3297" s="4" t="str">
        <f>"08827508"</f>
        <v>08827508</v>
      </c>
      <c r="E3297" s="4" t="str">
        <f>"15477401"</f>
        <v>15477401</v>
      </c>
      <c r="F3297" s="4" t="s">
        <v>96</v>
      </c>
    </row>
    <row r="3298" spans="1:6" x14ac:dyDescent="0.25">
      <c r="A3298" s="4" t="str">
        <f>"Mineralogical Magazine"</f>
        <v>Mineralogical Magazine</v>
      </c>
      <c r="B3298" s="4" t="s">
        <v>6</v>
      </c>
      <c r="C3298" s="4" t="str">
        <f t="shared" si="110"/>
        <v>-</v>
      </c>
      <c r="D3298" s="4" t="str">
        <f>"0026461X"</f>
        <v>0026461X</v>
      </c>
      <c r="E3298" s="4" t="str">
        <f>"14718022"</f>
        <v>14718022</v>
      </c>
      <c r="F3298" s="4" t="s">
        <v>284</v>
      </c>
    </row>
    <row r="3299" spans="1:6" x14ac:dyDescent="0.25">
      <c r="A3299" s="4" t="str">
        <f>"Minerals and Metallurgical Processing"</f>
        <v>Minerals and Metallurgical Processing</v>
      </c>
      <c r="B3299" s="4" t="s">
        <v>6</v>
      </c>
      <c r="C3299" s="4" t="str">
        <f t="shared" si="110"/>
        <v>-</v>
      </c>
      <c r="D3299" s="4" t="str">
        <f>"07479182"</f>
        <v>07479182</v>
      </c>
      <c r="E3299" s="4" t="str">
        <f>"-"</f>
        <v>-</v>
      </c>
      <c r="F3299" s="4" t="s">
        <v>877</v>
      </c>
    </row>
    <row r="3300" spans="1:6" x14ac:dyDescent="0.25">
      <c r="A3300" s="4" t="str">
        <f>"Minerals Engineering"</f>
        <v>Minerals Engineering</v>
      </c>
      <c r="B3300" s="4" t="s">
        <v>6</v>
      </c>
      <c r="C3300" s="4" t="str">
        <f t="shared" si="110"/>
        <v>-</v>
      </c>
      <c r="D3300" s="4" t="str">
        <f>"08926875"</f>
        <v>08926875</v>
      </c>
      <c r="E3300" s="4" t="str">
        <f>"-"</f>
        <v>-</v>
      </c>
      <c r="F3300" s="4" t="s">
        <v>19</v>
      </c>
    </row>
    <row r="3301" spans="1:6" x14ac:dyDescent="0.25">
      <c r="A3301" s="4" t="str">
        <f>"Mining Report"</f>
        <v>Mining Report</v>
      </c>
      <c r="B3301" s="4" t="s">
        <v>6</v>
      </c>
      <c r="C3301" s="4" t="str">
        <f t="shared" si="110"/>
        <v>-</v>
      </c>
      <c r="D3301" s="4" t="str">
        <f>"21956529"</f>
        <v>21956529</v>
      </c>
      <c r="E3301" s="4" t="str">
        <f>"21958378"</f>
        <v>21958378</v>
      </c>
      <c r="F3301" s="4" t="s">
        <v>209</v>
      </c>
    </row>
    <row r="3302" spans="1:6" x14ac:dyDescent="0.25">
      <c r="A3302" s="4" t="str">
        <f>"MIS Quarterly: Management Information Systems"</f>
        <v>MIS Quarterly: Management Information Systems</v>
      </c>
      <c r="B3302" s="4" t="s">
        <v>6</v>
      </c>
      <c r="C3302" s="4" t="str">
        <f t="shared" si="110"/>
        <v>-</v>
      </c>
      <c r="D3302" s="4" t="str">
        <f>"02767783"</f>
        <v>02767783</v>
      </c>
      <c r="E3302" s="4" t="str">
        <f>"21629730"</f>
        <v>21629730</v>
      </c>
      <c r="F3302" s="4" t="s">
        <v>878</v>
      </c>
    </row>
    <row r="3303" spans="1:6" x14ac:dyDescent="0.25">
      <c r="A3303" s="4" t="str">
        <f>"MMEDIA - International Conferences on Advances in Multimedia"</f>
        <v>MMEDIA - International Conferences on Advances in Multimedia</v>
      </c>
      <c r="B3303" s="4" t="s">
        <v>8</v>
      </c>
      <c r="C3303" s="4" t="str">
        <f t="shared" si="110"/>
        <v>-</v>
      </c>
      <c r="D3303" s="4" t="str">
        <f>"23084448"</f>
        <v>23084448</v>
      </c>
      <c r="E3303" s="4" t="str">
        <f>"-"</f>
        <v>-</v>
      </c>
      <c r="F3303" s="4" t="s">
        <v>373</v>
      </c>
    </row>
    <row r="3304" spans="1:6" x14ac:dyDescent="0.25">
      <c r="A3304" s="4" t="str">
        <f>"Mobile Information Systems"</f>
        <v>Mobile Information Systems</v>
      </c>
      <c r="B3304" s="4" t="s">
        <v>6</v>
      </c>
      <c r="C3304" s="4" t="str">
        <f t="shared" si="110"/>
        <v>-</v>
      </c>
      <c r="D3304" s="4" t="str">
        <f>"1574017X"</f>
        <v>1574017X</v>
      </c>
      <c r="E3304" s="4" t="str">
        <f>"1875905X"</f>
        <v>1875905X</v>
      </c>
      <c r="F3304" s="4" t="s">
        <v>103</v>
      </c>
    </row>
    <row r="3305" spans="1:6" x14ac:dyDescent="0.25">
      <c r="A3305" s="4" t="str">
        <f>"Mobile Networks and Applications"</f>
        <v>Mobile Networks and Applications</v>
      </c>
      <c r="B3305" s="4" t="s">
        <v>6</v>
      </c>
      <c r="C3305" s="4" t="str">
        <f t="shared" si="110"/>
        <v>-</v>
      </c>
      <c r="D3305" s="4" t="str">
        <f>"1383469X"</f>
        <v>1383469X</v>
      </c>
      <c r="E3305" s="4" t="str">
        <f>"15728153"</f>
        <v>15728153</v>
      </c>
      <c r="F3305" s="4" t="s">
        <v>57</v>
      </c>
    </row>
    <row r="3306" spans="1:6" x14ac:dyDescent="0.25">
      <c r="A3306" s="4" t="str">
        <f>"Mocaxue Xuebao/Tribology"</f>
        <v>Mocaxue Xuebao/Tribology</v>
      </c>
      <c r="B3306" s="4" t="s">
        <v>6</v>
      </c>
      <c r="C3306" s="4" t="str">
        <f t="shared" si="110"/>
        <v>-</v>
      </c>
      <c r="D3306" s="4" t="str">
        <f>"10040595"</f>
        <v>10040595</v>
      </c>
      <c r="E3306" s="4" t="str">
        <f>"-"</f>
        <v>-</v>
      </c>
      <c r="F3306" s="4" t="s">
        <v>37</v>
      </c>
    </row>
    <row r="3307" spans="1:6" x14ac:dyDescent="0.25">
      <c r="A3307" s="4" t="str">
        <f>"Modeling, Identification and Control"</f>
        <v>Modeling, Identification and Control</v>
      </c>
      <c r="B3307" s="4" t="s">
        <v>6</v>
      </c>
      <c r="C3307" s="4" t="str">
        <f t="shared" si="110"/>
        <v>-</v>
      </c>
      <c r="D3307" s="4" t="str">
        <f>"03327353"</f>
        <v>03327353</v>
      </c>
      <c r="E3307" s="4" t="str">
        <f>"-"</f>
        <v>-</v>
      </c>
      <c r="F3307" s="4" t="s">
        <v>879</v>
      </c>
    </row>
    <row r="3308" spans="1:6" x14ac:dyDescent="0.25">
      <c r="A3308" s="4" t="str">
        <f>"Modelling and Simulation in Materials Science and Engineering"</f>
        <v>Modelling and Simulation in Materials Science and Engineering</v>
      </c>
      <c r="B3308" s="4" t="s">
        <v>6</v>
      </c>
      <c r="C3308" s="4" t="str">
        <f t="shared" si="110"/>
        <v>-</v>
      </c>
      <c r="D3308" s="4" t="str">
        <f>"09650393"</f>
        <v>09650393</v>
      </c>
      <c r="E3308" s="4" t="str">
        <f>"1361651X"</f>
        <v>1361651X</v>
      </c>
      <c r="F3308" s="4" t="s">
        <v>184</v>
      </c>
    </row>
    <row r="3309" spans="1:6" x14ac:dyDescent="0.25">
      <c r="A3309" s="4" t="str">
        <f>"Modelling, Measurement and Control A"</f>
        <v>Modelling, Measurement and Control A</v>
      </c>
      <c r="B3309" s="4" t="s">
        <v>6</v>
      </c>
      <c r="C3309" s="4" t="str">
        <f t="shared" si="110"/>
        <v>-</v>
      </c>
      <c r="D3309" s="4" t="str">
        <f>"12595985"</f>
        <v>12595985</v>
      </c>
      <c r="E3309" s="4" t="str">
        <f>"-"</f>
        <v>-</v>
      </c>
      <c r="F3309" s="4" t="s">
        <v>84</v>
      </c>
    </row>
    <row r="3310" spans="1:6" x14ac:dyDescent="0.25">
      <c r="A3310" s="4" t="str">
        <f>"Modelling, Measurement and Control B"</f>
        <v>Modelling, Measurement and Control B</v>
      </c>
      <c r="B3310" s="4" t="s">
        <v>6</v>
      </c>
      <c r="C3310" s="4" t="str">
        <f t="shared" si="110"/>
        <v>-</v>
      </c>
      <c r="D3310" s="4" t="str">
        <f>"12595969"</f>
        <v>12595969</v>
      </c>
      <c r="E3310" s="4" t="str">
        <f>"-"</f>
        <v>-</v>
      </c>
      <c r="F3310" s="4" t="s">
        <v>84</v>
      </c>
    </row>
    <row r="3311" spans="1:6" x14ac:dyDescent="0.25">
      <c r="A3311" s="4" t="str">
        <f>"Modelling, Measurement and Control C"</f>
        <v>Modelling, Measurement and Control C</v>
      </c>
      <c r="B3311" s="4" t="s">
        <v>6</v>
      </c>
      <c r="C3311" s="4" t="str">
        <f t="shared" si="110"/>
        <v>-</v>
      </c>
      <c r="D3311" s="4" t="str">
        <f>"12595977"</f>
        <v>12595977</v>
      </c>
      <c r="E3311" s="4" t="str">
        <f>"-"</f>
        <v>-</v>
      </c>
      <c r="F3311" s="4" t="s">
        <v>84</v>
      </c>
    </row>
    <row r="3312" spans="1:6" x14ac:dyDescent="0.25">
      <c r="A3312" s="4" t="str">
        <f>"Molecular Biotechnology"</f>
        <v>Molecular Biotechnology</v>
      </c>
      <c r="B3312" s="4" t="s">
        <v>6</v>
      </c>
      <c r="C3312" s="4" t="str">
        <f t="shared" si="110"/>
        <v>-</v>
      </c>
      <c r="D3312" s="4" t="str">
        <f>"10736085"</f>
        <v>10736085</v>
      </c>
      <c r="E3312" s="4" t="str">
        <f>"15590305"</f>
        <v>15590305</v>
      </c>
      <c r="F3312" s="4" t="s">
        <v>139</v>
      </c>
    </row>
    <row r="3313" spans="1:6" x14ac:dyDescent="0.25">
      <c r="A3313" s="4" t="str">
        <f>"Molecular Crystals and Liquid Crystals"</f>
        <v>Molecular Crystals and Liquid Crystals</v>
      </c>
      <c r="B3313" s="4" t="s">
        <v>6</v>
      </c>
      <c r="C3313" s="4" t="str">
        <f t="shared" si="110"/>
        <v>-</v>
      </c>
      <c r="D3313" s="4" t="str">
        <f>"15421406"</f>
        <v>15421406</v>
      </c>
      <c r="E3313" s="4" t="str">
        <f>"15635287"</f>
        <v>15635287</v>
      </c>
      <c r="F3313" s="4" t="s">
        <v>96</v>
      </c>
    </row>
    <row r="3314" spans="1:6" x14ac:dyDescent="0.25">
      <c r="A3314" s="4" t="str">
        <f>"Molecular Imaging"</f>
        <v>Molecular Imaging</v>
      </c>
      <c r="B3314" s="4" t="s">
        <v>6</v>
      </c>
      <c r="C3314" s="4" t="str">
        <f t="shared" si="110"/>
        <v>-</v>
      </c>
      <c r="D3314" s="4" t="str">
        <f>"15353508"</f>
        <v>15353508</v>
      </c>
      <c r="E3314" s="4" t="str">
        <f>"-"</f>
        <v>-</v>
      </c>
      <c r="F3314" s="4" t="s">
        <v>880</v>
      </c>
    </row>
    <row r="3315" spans="1:6" x14ac:dyDescent="0.25">
      <c r="A3315" s="4" t="str">
        <f>"Molecular Physics"</f>
        <v>Molecular Physics</v>
      </c>
      <c r="B3315" s="4" t="s">
        <v>6</v>
      </c>
      <c r="C3315" s="4" t="str">
        <f t="shared" si="110"/>
        <v>-</v>
      </c>
      <c r="D3315" s="4" t="str">
        <f>"00268976"</f>
        <v>00268976</v>
      </c>
      <c r="E3315" s="4" t="str">
        <f>"13623028"</f>
        <v>13623028</v>
      </c>
      <c r="F3315" s="4" t="s">
        <v>60</v>
      </c>
    </row>
    <row r="3316" spans="1:6" x14ac:dyDescent="0.25">
      <c r="A3316" s="4" t="str">
        <f>"Molecular Simulation"</f>
        <v>Molecular Simulation</v>
      </c>
      <c r="B3316" s="4" t="s">
        <v>6</v>
      </c>
      <c r="C3316" s="4" t="str">
        <f t="shared" si="110"/>
        <v>-</v>
      </c>
      <c r="D3316" s="4" t="str">
        <f>"08927022"</f>
        <v>08927022</v>
      </c>
      <c r="E3316" s="4" t="str">
        <f>"10290435"</f>
        <v>10290435</v>
      </c>
      <c r="F3316" s="4" t="s">
        <v>60</v>
      </c>
    </row>
    <row r="3317" spans="1:6" x14ac:dyDescent="0.25">
      <c r="A3317" s="4" t="str">
        <f>"Mondo Digitale"</f>
        <v>Mondo Digitale</v>
      </c>
      <c r="B3317" s="4" t="s">
        <v>6</v>
      </c>
      <c r="C3317" s="4" t="str">
        <f t="shared" si="110"/>
        <v>-</v>
      </c>
      <c r="D3317" s="4" t="str">
        <f>"1720898X"</f>
        <v>1720898X</v>
      </c>
      <c r="E3317" s="4" t="str">
        <f>"-"</f>
        <v>-</v>
      </c>
      <c r="F3317" s="4" t="s">
        <v>881</v>
      </c>
    </row>
    <row r="3318" spans="1:6" x14ac:dyDescent="0.25">
      <c r="A3318" s="4" t="str">
        <f>"Monthly Weather Review"</f>
        <v>Monthly Weather Review</v>
      </c>
      <c r="B3318" s="4" t="s">
        <v>6</v>
      </c>
      <c r="C3318" s="4" t="str">
        <f t="shared" si="110"/>
        <v>-</v>
      </c>
      <c r="D3318" s="4" t="str">
        <f>"00270644"</f>
        <v>00270644</v>
      </c>
      <c r="E3318" s="4" t="str">
        <f>"15200493"</f>
        <v>15200493</v>
      </c>
      <c r="F3318" s="4" t="s">
        <v>225</v>
      </c>
    </row>
    <row r="3319" spans="1:6" x14ac:dyDescent="0.25">
      <c r="A3319" s="4" t="str">
        <f>"Moscow University Mechanics Bulletin"</f>
        <v>Moscow University Mechanics Bulletin</v>
      </c>
      <c r="B3319" s="4" t="s">
        <v>6</v>
      </c>
      <c r="C3319" s="4" t="str">
        <f t="shared" ref="C3319:C3338" si="111">"-"</f>
        <v>-</v>
      </c>
      <c r="D3319" s="4" t="str">
        <f>"00271330"</f>
        <v>00271330</v>
      </c>
      <c r="E3319" s="4" t="str">
        <f>"19348452"</f>
        <v>19348452</v>
      </c>
      <c r="F3319" s="4" t="s">
        <v>145</v>
      </c>
    </row>
    <row r="3320" spans="1:6" x14ac:dyDescent="0.25">
      <c r="A3320" s="4" t="str">
        <f>"MPT Metallurgical Plant and Technology International"</f>
        <v>MPT Metallurgical Plant and Technology International</v>
      </c>
      <c r="B3320" s="4" t="s">
        <v>22</v>
      </c>
      <c r="C3320" s="4" t="str">
        <f t="shared" si="111"/>
        <v>-</v>
      </c>
      <c r="D3320" s="4" t="str">
        <f>"09357254"</f>
        <v>09357254</v>
      </c>
      <c r="E3320" s="4" t="str">
        <f>"-"</f>
        <v>-</v>
      </c>
      <c r="F3320" s="4" t="s">
        <v>882</v>
      </c>
    </row>
    <row r="3321" spans="1:6" x14ac:dyDescent="0.25">
      <c r="A3321" s="4" t="str">
        <f>"MRS Bulletin"</f>
        <v>MRS Bulletin</v>
      </c>
      <c r="B3321" s="4" t="s">
        <v>6</v>
      </c>
      <c r="C3321" s="4" t="str">
        <f t="shared" si="111"/>
        <v>-</v>
      </c>
      <c r="D3321" s="4" t="str">
        <f>"08837694"</f>
        <v>08837694</v>
      </c>
      <c r="E3321" s="4" t="str">
        <f>"-"</f>
        <v>-</v>
      </c>
      <c r="F3321" s="4" t="s">
        <v>66</v>
      </c>
    </row>
    <row r="3322" spans="1:6" x14ac:dyDescent="0.25">
      <c r="A3322" s="4" t="str">
        <f>"MRS Communications"</f>
        <v>MRS Communications</v>
      </c>
      <c r="B3322" s="4" t="s">
        <v>6</v>
      </c>
      <c r="C3322" s="4" t="str">
        <f t="shared" si="111"/>
        <v>-</v>
      </c>
      <c r="D3322" s="4" t="str">
        <f>"21596859"</f>
        <v>21596859</v>
      </c>
      <c r="E3322" s="4" t="str">
        <f>"21596867"</f>
        <v>21596867</v>
      </c>
      <c r="F3322" s="4" t="s">
        <v>66</v>
      </c>
    </row>
    <row r="3323" spans="1:6" x14ac:dyDescent="0.25">
      <c r="A3323" s="4" t="str">
        <f>"MRS Energy and Sustainability - A Review Journal"</f>
        <v>MRS Energy and Sustainability - A Review Journal</v>
      </c>
      <c r="B3323" s="4" t="s">
        <v>6</v>
      </c>
      <c r="C3323" s="4" t="str">
        <f t="shared" si="111"/>
        <v>-</v>
      </c>
      <c r="D3323" s="4" t="str">
        <f>"-"</f>
        <v>-</v>
      </c>
      <c r="E3323" s="4" t="str">
        <f>"23292229"</f>
        <v>23292229</v>
      </c>
      <c r="F3323" s="4" t="s">
        <v>152</v>
      </c>
    </row>
    <row r="3324" spans="1:6" x14ac:dyDescent="0.25">
      <c r="A3324" s="4" t="str">
        <f>"Multiagent and Grid Systems"</f>
        <v>Multiagent and Grid Systems</v>
      </c>
      <c r="B3324" s="4" t="s">
        <v>6</v>
      </c>
      <c r="C3324" s="4" t="str">
        <f t="shared" si="111"/>
        <v>-</v>
      </c>
      <c r="D3324" s="4" t="str">
        <f>"15741702"</f>
        <v>15741702</v>
      </c>
      <c r="E3324" s="4" t="str">
        <f>"18759076"</f>
        <v>18759076</v>
      </c>
      <c r="F3324" s="4" t="s">
        <v>103</v>
      </c>
    </row>
    <row r="3325" spans="1:6" x14ac:dyDescent="0.25">
      <c r="A3325" s="4" t="str">
        <f>"Multibody System Dynamics"</f>
        <v>Multibody System Dynamics</v>
      </c>
      <c r="B3325" s="4" t="s">
        <v>6</v>
      </c>
      <c r="C3325" s="4" t="str">
        <f t="shared" si="111"/>
        <v>-</v>
      </c>
      <c r="D3325" s="4" t="str">
        <f>"13845640"</f>
        <v>13845640</v>
      </c>
      <c r="E3325" s="4" t="str">
        <f>"1573272X"</f>
        <v>1573272X</v>
      </c>
      <c r="F3325" s="4" t="s">
        <v>31</v>
      </c>
    </row>
    <row r="3326" spans="1:6" x14ac:dyDescent="0.25">
      <c r="A3326" s="4" t="str">
        <f>"Multidimensional Systems and Signal Processing"</f>
        <v>Multidimensional Systems and Signal Processing</v>
      </c>
      <c r="B3326" s="4" t="s">
        <v>6</v>
      </c>
      <c r="C3326" s="4" t="str">
        <f t="shared" si="111"/>
        <v>-</v>
      </c>
      <c r="D3326" s="4" t="str">
        <f>"09236082"</f>
        <v>09236082</v>
      </c>
      <c r="E3326" s="4" t="str">
        <f>"15730824"</f>
        <v>15730824</v>
      </c>
      <c r="F3326" s="4" t="s">
        <v>57</v>
      </c>
    </row>
    <row r="3327" spans="1:6" x14ac:dyDescent="0.25">
      <c r="A3327" s="4" t="str">
        <f>"Multidiscipline Modeling in Materials and Structures"</f>
        <v>Multidiscipline Modeling in Materials and Structures</v>
      </c>
      <c r="B3327" s="4" t="s">
        <v>6</v>
      </c>
      <c r="C3327" s="4" t="str">
        <f t="shared" si="111"/>
        <v>-</v>
      </c>
      <c r="D3327" s="4" t="str">
        <f>"15736105"</f>
        <v>15736105</v>
      </c>
      <c r="E3327" s="4" t="str">
        <f>"15736113"</f>
        <v>15736113</v>
      </c>
      <c r="F3327" s="4" t="s">
        <v>110</v>
      </c>
    </row>
    <row r="3328" spans="1:6" x14ac:dyDescent="0.25">
      <c r="A3328" s="4" t="str">
        <f>"Multimedia Systems"</f>
        <v>Multimedia Systems</v>
      </c>
      <c r="B3328" s="4" t="s">
        <v>6</v>
      </c>
      <c r="C3328" s="4" t="str">
        <f t="shared" si="111"/>
        <v>-</v>
      </c>
      <c r="D3328" s="4" t="str">
        <f>"09424962"</f>
        <v>09424962</v>
      </c>
      <c r="E3328" s="4" t="str">
        <f>"-"</f>
        <v>-</v>
      </c>
      <c r="F3328" s="4" t="s">
        <v>42</v>
      </c>
    </row>
    <row r="3329" spans="1:6" x14ac:dyDescent="0.25">
      <c r="A3329" s="4" t="str">
        <f>"Multimedia Tools and Applications"</f>
        <v>Multimedia Tools and Applications</v>
      </c>
      <c r="B3329" s="4" t="s">
        <v>6</v>
      </c>
      <c r="C3329" s="4" t="str">
        <f t="shared" si="111"/>
        <v>-</v>
      </c>
      <c r="D3329" s="4" t="str">
        <f>"13807501"</f>
        <v>13807501</v>
      </c>
      <c r="E3329" s="4" t="str">
        <f>"15737721"</f>
        <v>15737721</v>
      </c>
      <c r="F3329" s="4" t="s">
        <v>57</v>
      </c>
    </row>
    <row r="3330" spans="1:6" x14ac:dyDescent="0.25">
      <c r="A3330" s="4" t="str">
        <f>"Multiphase Science and Technology"</f>
        <v>Multiphase Science and Technology</v>
      </c>
      <c r="B3330" s="4" t="s">
        <v>6</v>
      </c>
      <c r="C3330" s="4" t="str">
        <f t="shared" si="111"/>
        <v>-</v>
      </c>
      <c r="D3330" s="4" t="str">
        <f>"02761459"</f>
        <v>02761459</v>
      </c>
      <c r="E3330" s="4" t="str">
        <f>"-"</f>
        <v>-</v>
      </c>
      <c r="F3330" s="4" t="s">
        <v>69</v>
      </c>
    </row>
    <row r="3331" spans="1:6" x14ac:dyDescent="0.25">
      <c r="A3331" s="4" t="str">
        <f>"Multiscale Modeling and Simulation"</f>
        <v>Multiscale Modeling and Simulation</v>
      </c>
      <c r="B3331" s="4" t="s">
        <v>6</v>
      </c>
      <c r="C3331" s="4" t="str">
        <f t="shared" si="111"/>
        <v>-</v>
      </c>
      <c r="D3331" s="4" t="str">
        <f>"15403459"</f>
        <v>15403459</v>
      </c>
      <c r="E3331" s="4" t="str">
        <f>"15403467"</f>
        <v>15403467</v>
      </c>
      <c r="F3331" s="4" t="s">
        <v>249</v>
      </c>
    </row>
    <row r="3332" spans="1:6" x14ac:dyDescent="0.25">
      <c r="A3332" s="4" t="str">
        <f>"Multisensory Research"</f>
        <v>Multisensory Research</v>
      </c>
      <c r="B3332" s="4" t="s">
        <v>6</v>
      </c>
      <c r="C3332" s="4" t="str">
        <f t="shared" si="111"/>
        <v>-</v>
      </c>
      <c r="D3332" s="4" t="str">
        <f>"22134794"</f>
        <v>22134794</v>
      </c>
      <c r="E3332" s="4" t="str">
        <f>"22134808"</f>
        <v>22134808</v>
      </c>
      <c r="F3332" s="4" t="s">
        <v>883</v>
      </c>
    </row>
    <row r="3333" spans="1:6" x14ac:dyDescent="0.25">
      <c r="A3333" s="4" t="str">
        <f>"NACE - International Corrosion Conference Series"</f>
        <v>NACE - International Corrosion Conference Series</v>
      </c>
      <c r="B3333" s="4" t="s">
        <v>29</v>
      </c>
      <c r="C3333" s="4" t="str">
        <f t="shared" si="111"/>
        <v>-</v>
      </c>
      <c r="D3333" s="4" t="str">
        <f>"03614409"</f>
        <v>03614409</v>
      </c>
      <c r="E3333" s="4" t="str">
        <f>"-"</f>
        <v>-</v>
      </c>
      <c r="F3333" s="4" t="s">
        <v>309</v>
      </c>
    </row>
    <row r="3334" spans="1:6" x14ac:dyDescent="0.25">
      <c r="A3334" s="4" t="str">
        <f>"Nano"</f>
        <v>Nano</v>
      </c>
      <c r="B3334" s="4" t="s">
        <v>6</v>
      </c>
      <c r="C3334" s="4" t="str">
        <f t="shared" si="111"/>
        <v>-</v>
      </c>
      <c r="D3334" s="4" t="str">
        <f>"17932920"</f>
        <v>17932920</v>
      </c>
      <c r="E3334" s="4" t="str">
        <f>"-"</f>
        <v>-</v>
      </c>
      <c r="F3334" s="4" t="s">
        <v>157</v>
      </c>
    </row>
    <row r="3335" spans="1:6" x14ac:dyDescent="0.25">
      <c r="A3335" s="4" t="str">
        <f>"Nano Biomedicine"</f>
        <v>Nano Biomedicine</v>
      </c>
      <c r="B3335" s="4" t="s">
        <v>6</v>
      </c>
      <c r="C3335" s="4" t="str">
        <f t="shared" si="111"/>
        <v>-</v>
      </c>
      <c r="D3335" s="4" t="str">
        <f>"18835198"</f>
        <v>18835198</v>
      </c>
      <c r="E3335" s="4" t="str">
        <f>"21854734"</f>
        <v>21854734</v>
      </c>
      <c r="F3335" s="4" t="s">
        <v>884</v>
      </c>
    </row>
    <row r="3336" spans="1:6" x14ac:dyDescent="0.25">
      <c r="A3336" s="4" t="str">
        <f>"Nano Communication Networks"</f>
        <v>Nano Communication Networks</v>
      </c>
      <c r="B3336" s="4" t="s">
        <v>6</v>
      </c>
      <c r="C3336" s="4" t="str">
        <f t="shared" si="111"/>
        <v>-</v>
      </c>
      <c r="D3336" s="4" t="str">
        <f>"18787789"</f>
        <v>18787789</v>
      </c>
      <c r="E3336" s="4" t="str">
        <f>"-"</f>
        <v>-</v>
      </c>
      <c r="F3336" s="4" t="s">
        <v>55</v>
      </c>
    </row>
    <row r="3337" spans="1:6" x14ac:dyDescent="0.25">
      <c r="A3337" s="4" t="str">
        <f>"Nano Energy"</f>
        <v>Nano Energy</v>
      </c>
      <c r="B3337" s="4" t="s">
        <v>6</v>
      </c>
      <c r="C3337" s="4" t="str">
        <f t="shared" si="111"/>
        <v>-</v>
      </c>
      <c r="D3337" s="4" t="str">
        <f>"22112855"</f>
        <v>22112855</v>
      </c>
      <c r="E3337" s="4" t="str">
        <f>"-"</f>
        <v>-</v>
      </c>
      <c r="F3337" s="4" t="s">
        <v>19</v>
      </c>
    </row>
    <row r="3338" spans="1:6" x14ac:dyDescent="0.25">
      <c r="A3338" s="4" t="str">
        <f>"Nano Letters"</f>
        <v>Nano Letters</v>
      </c>
      <c r="B3338" s="4" t="s">
        <v>6</v>
      </c>
      <c r="C3338" s="4" t="str">
        <f t="shared" si="111"/>
        <v>-</v>
      </c>
      <c r="D3338" s="4" t="str">
        <f>"15306984"</f>
        <v>15306984</v>
      </c>
      <c r="E3338" s="4" t="str">
        <f>"15306992"</f>
        <v>15306992</v>
      </c>
      <c r="F3338" s="4" t="s">
        <v>28</v>
      </c>
    </row>
    <row r="3339" spans="1:6" x14ac:dyDescent="0.25">
      <c r="A3339" s="4" t="s">
        <v>885</v>
      </c>
      <c r="B3339" s="4" t="s">
        <v>6</v>
      </c>
      <c r="D3339" s="4" t="s">
        <v>886</v>
      </c>
      <c r="E3339" s="4" t="s">
        <v>887</v>
      </c>
      <c r="F3339" s="4" t="s">
        <v>216</v>
      </c>
    </row>
    <row r="3340" spans="1:6" x14ac:dyDescent="0.25">
      <c r="A3340" s="4" t="str">
        <f>"Nano Today"</f>
        <v>Nano Today</v>
      </c>
      <c r="B3340" s="4" t="s">
        <v>6</v>
      </c>
      <c r="C3340" s="4" t="str">
        <f t="shared" ref="C3340:C3377" si="112">"-"</f>
        <v>-</v>
      </c>
      <c r="D3340" s="4" t="str">
        <f>"17480132"</f>
        <v>17480132</v>
      </c>
      <c r="E3340" s="4" t="str">
        <f>"1878044X"</f>
        <v>1878044X</v>
      </c>
      <c r="F3340" s="4" t="s">
        <v>55</v>
      </c>
    </row>
    <row r="3341" spans="1:6" x14ac:dyDescent="0.25">
      <c r="A3341" s="4" t="str">
        <f>"Nanomaterials and Energy"</f>
        <v>Nanomaterials and Energy</v>
      </c>
      <c r="B3341" s="4" t="s">
        <v>6</v>
      </c>
      <c r="C3341" s="4" t="str">
        <f t="shared" si="112"/>
        <v>-</v>
      </c>
      <c r="D3341" s="4" t="str">
        <f>"20459831"</f>
        <v>20459831</v>
      </c>
      <c r="E3341" s="4" t="str">
        <f>"2045984X"</f>
        <v>2045984X</v>
      </c>
      <c r="F3341" s="4" t="s">
        <v>185</v>
      </c>
    </row>
    <row r="3342" spans="1:6" x14ac:dyDescent="0.25">
      <c r="A3342" s="4" t="str">
        <f>"Nanomedicine: Nanotechnology, Biology, and Medicine"</f>
        <v>Nanomedicine: Nanotechnology, Biology, and Medicine</v>
      </c>
      <c r="B3342" s="4" t="s">
        <v>6</v>
      </c>
      <c r="C3342" s="4" t="str">
        <f t="shared" si="112"/>
        <v>-</v>
      </c>
      <c r="D3342" s="4" t="str">
        <f>"15499634"</f>
        <v>15499634</v>
      </c>
      <c r="E3342" s="4" t="str">
        <f>"15499642"</f>
        <v>15499642</v>
      </c>
      <c r="F3342" s="4" t="s">
        <v>141</v>
      </c>
    </row>
    <row r="3343" spans="1:6" x14ac:dyDescent="0.25">
      <c r="A3343" s="4" t="str">
        <f>"Nanophotonics"</f>
        <v>Nanophotonics</v>
      </c>
      <c r="B3343" s="4" t="s">
        <v>6</v>
      </c>
      <c r="C3343" s="4" t="str">
        <f t="shared" si="112"/>
        <v>-</v>
      </c>
      <c r="D3343" s="4" t="str">
        <f>"-"</f>
        <v>-</v>
      </c>
      <c r="E3343" s="4" t="str">
        <f>"21928614"</f>
        <v>21928614</v>
      </c>
      <c r="F3343" s="4" t="s">
        <v>189</v>
      </c>
    </row>
    <row r="3344" spans="1:6" x14ac:dyDescent="0.25">
      <c r="A3344" s="4" t="str">
        <f>"Nanoscale"</f>
        <v>Nanoscale</v>
      </c>
      <c r="B3344" s="4" t="s">
        <v>6</v>
      </c>
      <c r="C3344" s="4" t="str">
        <f t="shared" si="112"/>
        <v>-</v>
      </c>
      <c r="D3344" s="4" t="str">
        <f>"20403364"</f>
        <v>20403364</v>
      </c>
      <c r="E3344" s="4" t="str">
        <f>"20403372"</f>
        <v>20403372</v>
      </c>
      <c r="F3344" s="4" t="s">
        <v>121</v>
      </c>
    </row>
    <row r="3345" spans="1:6" x14ac:dyDescent="0.25">
      <c r="A3345" s="4" t="str">
        <f>"Nanoscale and Microscale Thermophysical Engineering"</f>
        <v>Nanoscale and Microscale Thermophysical Engineering</v>
      </c>
      <c r="B3345" s="4" t="s">
        <v>6</v>
      </c>
      <c r="C3345" s="4" t="str">
        <f t="shared" si="112"/>
        <v>-</v>
      </c>
      <c r="D3345" s="4" t="str">
        <f>"15567265"</f>
        <v>15567265</v>
      </c>
      <c r="E3345" s="4" t="str">
        <f>"15567273"</f>
        <v>15567273</v>
      </c>
      <c r="F3345" s="4" t="s">
        <v>96</v>
      </c>
    </row>
    <row r="3346" spans="1:6" x14ac:dyDescent="0.25">
      <c r="A3346" s="4" t="str">
        <f>"Nanoscale Research Letters"</f>
        <v>Nanoscale Research Letters</v>
      </c>
      <c r="B3346" s="4" t="s">
        <v>6</v>
      </c>
      <c r="C3346" s="4" t="str">
        <f t="shared" si="112"/>
        <v>-</v>
      </c>
      <c r="D3346" s="4" t="str">
        <f>"19317573"</f>
        <v>19317573</v>
      </c>
      <c r="E3346" s="4" t="str">
        <f>"1556276X"</f>
        <v>1556276X</v>
      </c>
      <c r="F3346" s="4" t="s">
        <v>57</v>
      </c>
    </row>
    <row r="3347" spans="1:6" x14ac:dyDescent="0.25">
      <c r="A3347" s="4" t="str">
        <f>"Nanoscience and Nanotechnology - Asia"</f>
        <v>Nanoscience and Nanotechnology - Asia</v>
      </c>
      <c r="B3347" s="4" t="s">
        <v>6</v>
      </c>
      <c r="C3347" s="4" t="str">
        <f t="shared" si="112"/>
        <v>-</v>
      </c>
      <c r="D3347" s="4" t="str">
        <f>"22106812"</f>
        <v>22106812</v>
      </c>
      <c r="E3347" s="4" t="str">
        <f>"22106820"</f>
        <v>22106820</v>
      </c>
      <c r="F3347" s="4" t="s">
        <v>316</v>
      </c>
    </row>
    <row r="3348" spans="1:6" x14ac:dyDescent="0.25">
      <c r="A3348" s="4" t="str">
        <f>"Nanoscience and Nanotechnology Letters"</f>
        <v>Nanoscience and Nanotechnology Letters</v>
      </c>
      <c r="B3348" s="4" t="s">
        <v>6</v>
      </c>
      <c r="C3348" s="4" t="str">
        <f t="shared" si="112"/>
        <v>-</v>
      </c>
      <c r="D3348" s="4" t="str">
        <f>"19414900"</f>
        <v>19414900</v>
      </c>
      <c r="E3348" s="4" t="str">
        <f>"19414919"</f>
        <v>19414919</v>
      </c>
      <c r="F3348" s="4" t="s">
        <v>654</v>
      </c>
    </row>
    <row r="3349" spans="1:6" x14ac:dyDescent="0.25">
      <c r="A3349" s="4" t="str">
        <f>"Nanotechnologies in Russia"</f>
        <v>Nanotechnologies in Russia</v>
      </c>
      <c r="B3349" s="4" t="s">
        <v>6</v>
      </c>
      <c r="C3349" s="4" t="str">
        <f t="shared" si="112"/>
        <v>-</v>
      </c>
      <c r="D3349" s="4" t="str">
        <f>"19950780"</f>
        <v>19950780</v>
      </c>
      <c r="E3349" s="4" t="str">
        <f>"19950799"</f>
        <v>19950799</v>
      </c>
      <c r="F3349" s="4" t="s">
        <v>24</v>
      </c>
    </row>
    <row r="3350" spans="1:6" x14ac:dyDescent="0.25">
      <c r="A3350" s="4" t="str">
        <f>"Nanotechnology"</f>
        <v>Nanotechnology</v>
      </c>
      <c r="B3350" s="4" t="s">
        <v>6</v>
      </c>
      <c r="C3350" s="4" t="str">
        <f t="shared" si="112"/>
        <v>-</v>
      </c>
      <c r="D3350" s="4" t="str">
        <f>"09574484"</f>
        <v>09574484</v>
      </c>
      <c r="E3350" s="4" t="str">
        <f>"13616528"</f>
        <v>13616528</v>
      </c>
      <c r="F3350" s="4" t="s">
        <v>184</v>
      </c>
    </row>
    <row r="3351" spans="1:6" x14ac:dyDescent="0.25">
      <c r="A3351" s="4" t="str">
        <f>"Nanotechnology Law and Business"</f>
        <v>Nanotechnology Law and Business</v>
      </c>
      <c r="B3351" s="4" t="s">
        <v>6</v>
      </c>
      <c r="C3351" s="4" t="str">
        <f t="shared" si="112"/>
        <v>-</v>
      </c>
      <c r="D3351" s="4" t="str">
        <f>"15462080"</f>
        <v>15462080</v>
      </c>
      <c r="E3351" s="4" t="str">
        <f>"1546203X"</f>
        <v>1546203X</v>
      </c>
      <c r="F3351" s="4" t="s">
        <v>888</v>
      </c>
    </row>
    <row r="3352" spans="1:6" x14ac:dyDescent="0.25">
      <c r="A3352" s="4" t="str">
        <f>"Nanotechnology Reviews"</f>
        <v>Nanotechnology Reviews</v>
      </c>
      <c r="B3352" s="4" t="s">
        <v>6</v>
      </c>
      <c r="C3352" s="4" t="str">
        <f t="shared" si="112"/>
        <v>-</v>
      </c>
      <c r="D3352" s="4" t="str">
        <f>"21919089"</f>
        <v>21919089</v>
      </c>
      <c r="E3352" s="4" t="str">
        <f>"21919097"</f>
        <v>21919097</v>
      </c>
      <c r="F3352" s="4" t="s">
        <v>189</v>
      </c>
    </row>
    <row r="3353" spans="1:6" x14ac:dyDescent="0.25">
      <c r="A3353" s="4" t="str">
        <f>"National Aerospace and Electronics Conference, Proceedings of the IEEE"</f>
        <v>National Aerospace and Electronics Conference, Proceedings of the IEEE</v>
      </c>
      <c r="B3353" s="4" t="s">
        <v>8</v>
      </c>
      <c r="C3353" s="4" t="str">
        <f t="shared" si="112"/>
        <v>-</v>
      </c>
      <c r="D3353" s="4" t="str">
        <f>"-"</f>
        <v>-</v>
      </c>
      <c r="E3353" s="4" t="str">
        <f>"-"</f>
        <v>-</v>
      </c>
      <c r="F3353" s="4" t="s">
        <v>105</v>
      </c>
    </row>
    <row r="3354" spans="1:6" ht="30" x14ac:dyDescent="0.25">
      <c r="A3354" s="4" t="str">
        <f>"National Electronic Packaging and Production Conference-Proceedings of the Technical Program (West and East)"</f>
        <v>National Electronic Packaging and Production Conference-Proceedings of the Technical Program (West and East)</v>
      </c>
      <c r="B3354" s="4" t="s">
        <v>8</v>
      </c>
      <c r="C3354" s="4" t="str">
        <f t="shared" si="112"/>
        <v>-</v>
      </c>
      <c r="D3354" s="4" t="str">
        <f>"04700155"</f>
        <v>04700155</v>
      </c>
      <c r="E3354" s="4" t="str">
        <f>"-"</f>
        <v>-</v>
      </c>
      <c r="F3354" s="4" t="s">
        <v>889</v>
      </c>
    </row>
    <row r="3355" spans="1:6" x14ac:dyDescent="0.25">
      <c r="A3355" s="4" t="str">
        <f>"National Radio Science Conference, NRSC, Proceedings"</f>
        <v>National Radio Science Conference, NRSC, Proceedings</v>
      </c>
      <c r="B3355" s="4" t="s">
        <v>8</v>
      </c>
      <c r="C3355" s="4" t="str">
        <f t="shared" si="112"/>
        <v>-</v>
      </c>
      <c r="D3355" s="4" t="str">
        <f>"-"</f>
        <v>-</v>
      </c>
      <c r="E3355" s="4" t="str">
        <f>"-"</f>
        <v>-</v>
      </c>
      <c r="F3355" s="4" t="s">
        <v>105</v>
      </c>
    </row>
    <row r="3356" spans="1:6" x14ac:dyDescent="0.25">
      <c r="A3356" s="4" t="str">
        <f>"Natural Computing"</f>
        <v>Natural Computing</v>
      </c>
      <c r="B3356" s="4" t="s">
        <v>6</v>
      </c>
      <c r="C3356" s="4" t="str">
        <f t="shared" si="112"/>
        <v>-</v>
      </c>
      <c r="D3356" s="4" t="str">
        <f>"15677818"</f>
        <v>15677818</v>
      </c>
      <c r="E3356" s="4" t="str">
        <f>"15729796"</f>
        <v>15729796</v>
      </c>
      <c r="F3356" s="4" t="s">
        <v>31</v>
      </c>
    </row>
    <row r="3357" spans="1:6" x14ac:dyDescent="0.25">
      <c r="A3357" s="4" t="str">
        <f>"Natural Gas Industry"</f>
        <v>Natural Gas Industry</v>
      </c>
      <c r="B3357" s="4" t="s">
        <v>6</v>
      </c>
      <c r="C3357" s="4" t="str">
        <f t="shared" si="112"/>
        <v>-</v>
      </c>
      <c r="D3357" s="4" t="str">
        <f>"10000976"</f>
        <v>10000976</v>
      </c>
      <c r="E3357" s="4" t="str">
        <f>"-"</f>
        <v>-</v>
      </c>
      <c r="F3357" s="4" t="s">
        <v>890</v>
      </c>
    </row>
    <row r="3358" spans="1:6" x14ac:dyDescent="0.25">
      <c r="A3358" s="4" t="str">
        <f>"Natural Hazards Review"</f>
        <v>Natural Hazards Review</v>
      </c>
      <c r="B3358" s="4" t="s">
        <v>6</v>
      </c>
      <c r="C3358" s="4" t="str">
        <f t="shared" si="112"/>
        <v>-</v>
      </c>
      <c r="D3358" s="4" t="str">
        <f>"15276988"</f>
        <v>15276988</v>
      </c>
      <c r="E3358" s="4" t="str">
        <f>"-"</f>
        <v>-</v>
      </c>
      <c r="F3358" s="4" t="s">
        <v>111</v>
      </c>
    </row>
    <row r="3359" spans="1:6" x14ac:dyDescent="0.25">
      <c r="A3359" s="4" t="str">
        <f>"Natural Language Engineering"</f>
        <v>Natural Language Engineering</v>
      </c>
      <c r="B3359" s="4" t="s">
        <v>6</v>
      </c>
      <c r="C3359" s="4" t="str">
        <f t="shared" si="112"/>
        <v>-</v>
      </c>
      <c r="D3359" s="4" t="str">
        <f>"13513249"</f>
        <v>13513249</v>
      </c>
      <c r="E3359" s="4" t="str">
        <f>"14698110"</f>
        <v>14698110</v>
      </c>
      <c r="F3359" s="4" t="s">
        <v>152</v>
      </c>
    </row>
    <row r="3360" spans="1:6" x14ac:dyDescent="0.25">
      <c r="A3360" s="4" t="str">
        <f>"Natural Phenomena"</f>
        <v>Natural Phenomena</v>
      </c>
      <c r="B3360" s="4" t="s">
        <v>6</v>
      </c>
      <c r="C3360" s="4" t="str">
        <f t="shared" si="112"/>
        <v>-</v>
      </c>
      <c r="D3360" s="4" t="str">
        <f>"18160867"</f>
        <v>18160867</v>
      </c>
      <c r="E3360" s="4" t="str">
        <f>"-"</f>
        <v>-</v>
      </c>
      <c r="F3360" s="4" t="s">
        <v>23</v>
      </c>
    </row>
    <row r="3361" spans="1:6" x14ac:dyDescent="0.25">
      <c r="A3361" s="4" t="str">
        <f>"Nature Biotechnology"</f>
        <v>Nature Biotechnology</v>
      </c>
      <c r="B3361" s="4" t="s">
        <v>6</v>
      </c>
      <c r="C3361" s="4" t="str">
        <f t="shared" si="112"/>
        <v>-</v>
      </c>
      <c r="D3361" s="4" t="str">
        <f>"10870156"</f>
        <v>10870156</v>
      </c>
      <c r="E3361" s="4" t="str">
        <f>"15461696"</f>
        <v>15461696</v>
      </c>
      <c r="F3361" s="4" t="s">
        <v>837</v>
      </c>
    </row>
    <row r="3362" spans="1:6" x14ac:dyDescent="0.25">
      <c r="A3362" s="4" t="str">
        <f>"Nature Environment and Pollution Technology"</f>
        <v>Nature Environment and Pollution Technology</v>
      </c>
      <c r="B3362" s="4" t="s">
        <v>6</v>
      </c>
      <c r="C3362" s="4" t="str">
        <f t="shared" si="112"/>
        <v>-</v>
      </c>
      <c r="D3362" s="4" t="str">
        <f>"09726268"</f>
        <v>09726268</v>
      </c>
      <c r="E3362" s="4" t="str">
        <f>"-"</f>
        <v>-</v>
      </c>
      <c r="F3362" s="4" t="s">
        <v>891</v>
      </c>
    </row>
    <row r="3363" spans="1:6" x14ac:dyDescent="0.25">
      <c r="A3363" s="4" t="str">
        <f>"Nature Materials"</f>
        <v>Nature Materials</v>
      </c>
      <c r="B3363" s="4" t="s">
        <v>6</v>
      </c>
      <c r="C3363" s="4" t="str">
        <f t="shared" si="112"/>
        <v>-</v>
      </c>
      <c r="D3363" s="4" t="str">
        <f>"14761122"</f>
        <v>14761122</v>
      </c>
      <c r="E3363" s="4" t="str">
        <f>"14764660"</f>
        <v>14764660</v>
      </c>
      <c r="F3363" s="4" t="s">
        <v>837</v>
      </c>
    </row>
    <row r="3364" spans="1:6" x14ac:dyDescent="0.25">
      <c r="A3364" s="4" t="str">
        <f>"Nature Photonics"</f>
        <v>Nature Photonics</v>
      </c>
      <c r="B3364" s="4" t="s">
        <v>6</v>
      </c>
      <c r="C3364" s="4" t="str">
        <f t="shared" si="112"/>
        <v>-</v>
      </c>
      <c r="D3364" s="4" t="str">
        <f>"17494885"</f>
        <v>17494885</v>
      </c>
      <c r="E3364" s="4" t="str">
        <f>"17494893"</f>
        <v>17494893</v>
      </c>
      <c r="F3364" s="4" t="s">
        <v>837</v>
      </c>
    </row>
    <row r="3365" spans="1:6" x14ac:dyDescent="0.25">
      <c r="A3365" s="4" t="str">
        <f>"Naukovyi Visnyk Natsionalnoho Hirnychoho Universytetu"</f>
        <v>Naukovyi Visnyk Natsionalnoho Hirnychoho Universytetu</v>
      </c>
      <c r="B3365" s="4" t="s">
        <v>6</v>
      </c>
      <c r="C3365" s="4" t="str">
        <f t="shared" si="112"/>
        <v>-</v>
      </c>
      <c r="D3365" s="4" t="str">
        <f>"20712227"</f>
        <v>20712227</v>
      </c>
      <c r="E3365" s="4" t="str">
        <f>"22232362"</f>
        <v>22232362</v>
      </c>
      <c r="F3365" s="4" t="s">
        <v>892</v>
      </c>
    </row>
    <row r="3366" spans="1:6" x14ac:dyDescent="0.25">
      <c r="A3366" s="4" t="str">
        <f>"Naval Engineers Journal"</f>
        <v>Naval Engineers Journal</v>
      </c>
      <c r="B3366" s="4" t="s">
        <v>6</v>
      </c>
      <c r="C3366" s="4" t="str">
        <f t="shared" si="112"/>
        <v>-</v>
      </c>
      <c r="D3366" s="4" t="str">
        <f>"00281425"</f>
        <v>00281425</v>
      </c>
      <c r="E3366" s="4" t="str">
        <f>"15593584"</f>
        <v>15593584</v>
      </c>
      <c r="F3366" s="4" t="s">
        <v>893</v>
      </c>
    </row>
    <row r="3367" spans="1:6" x14ac:dyDescent="0.25">
      <c r="A3367" s="4" t="str">
        <f>"Naval Research Logistics"</f>
        <v>Naval Research Logistics</v>
      </c>
      <c r="B3367" s="4" t="s">
        <v>6</v>
      </c>
      <c r="C3367" s="4" t="str">
        <f t="shared" si="112"/>
        <v>-</v>
      </c>
      <c r="D3367" s="4" t="str">
        <f>"0894069X"</f>
        <v>0894069X</v>
      </c>
      <c r="E3367" s="4" t="str">
        <f>"15206750"</f>
        <v>15206750</v>
      </c>
      <c r="F3367" s="4" t="s">
        <v>87</v>
      </c>
    </row>
    <row r="3368" spans="1:6" x14ac:dyDescent="0.25">
      <c r="A3368" s="4" t="str">
        <f>"Navigation, Journal of the Institute of Navigation"</f>
        <v>Navigation, Journal of the Institute of Navigation</v>
      </c>
      <c r="B3368" s="4" t="s">
        <v>6</v>
      </c>
      <c r="C3368" s="4" t="str">
        <f t="shared" si="112"/>
        <v>-</v>
      </c>
      <c r="D3368" s="4" t="str">
        <f>"00281522"</f>
        <v>00281522</v>
      </c>
      <c r="E3368" s="4" t="str">
        <f t="shared" ref="E3368:E3374" si="113">"-"</f>
        <v>-</v>
      </c>
      <c r="F3368" s="4" t="s">
        <v>156</v>
      </c>
    </row>
    <row r="3369" spans="1:6" x14ac:dyDescent="0.25">
      <c r="A3369" s="4" t="str">
        <f>"NCASI Proceedings"</f>
        <v>NCASI Proceedings</v>
      </c>
      <c r="B3369" s="4" t="s">
        <v>8</v>
      </c>
      <c r="C3369" s="4" t="str">
        <f t="shared" si="112"/>
        <v>-</v>
      </c>
      <c r="D3369" s="4" t="str">
        <f>"-"</f>
        <v>-</v>
      </c>
      <c r="E3369" s="4" t="str">
        <f t="shared" si="113"/>
        <v>-</v>
      </c>
      <c r="F3369" s="4" t="s">
        <v>894</v>
      </c>
    </row>
    <row r="3370" spans="1:6" x14ac:dyDescent="0.25">
      <c r="A3370" s="4" t="str">
        <f>"NCASI Technical Bulletin"</f>
        <v>NCASI Technical Bulletin</v>
      </c>
      <c r="B3370" s="4" t="s">
        <v>22</v>
      </c>
      <c r="C3370" s="4" t="str">
        <f t="shared" si="112"/>
        <v>-</v>
      </c>
      <c r="D3370" s="4" t="str">
        <f>"08860882"</f>
        <v>08860882</v>
      </c>
      <c r="E3370" s="4" t="str">
        <f t="shared" si="113"/>
        <v>-</v>
      </c>
      <c r="F3370" s="4" t="s">
        <v>894</v>
      </c>
    </row>
    <row r="3371" spans="1:6" x14ac:dyDescent="0.25">
      <c r="A3371" s="4" t="str">
        <f>"NDT and E International"</f>
        <v>NDT and E International</v>
      </c>
      <c r="B3371" s="4" t="s">
        <v>6</v>
      </c>
      <c r="C3371" s="4" t="str">
        <f t="shared" si="112"/>
        <v>-</v>
      </c>
      <c r="D3371" s="4" t="str">
        <f>"09638695"</f>
        <v>09638695</v>
      </c>
      <c r="E3371" s="4" t="str">
        <f t="shared" si="113"/>
        <v>-</v>
      </c>
      <c r="F3371" s="4" t="s">
        <v>19</v>
      </c>
    </row>
    <row r="3372" spans="1:6" x14ac:dyDescent="0.25">
      <c r="A3372" s="4" t="str">
        <f>"NEC Technical Journal"</f>
        <v>NEC Technical Journal</v>
      </c>
      <c r="B3372" s="4" t="s">
        <v>6</v>
      </c>
      <c r="C3372" s="4" t="str">
        <f t="shared" si="112"/>
        <v>-</v>
      </c>
      <c r="D3372" s="4" t="str">
        <f>"18805884"</f>
        <v>18805884</v>
      </c>
      <c r="E3372" s="4" t="str">
        <f t="shared" si="113"/>
        <v>-</v>
      </c>
      <c r="F3372" s="4" t="s">
        <v>895</v>
      </c>
    </row>
    <row r="3373" spans="1:6" x14ac:dyDescent="0.25">
      <c r="A3373" s="4" t="str">
        <f>"Neiranji Xuebao/Transactions of CSICE (Chinese Society for Internal Combustion Engines)"</f>
        <v>Neiranji Xuebao/Transactions of CSICE (Chinese Society for Internal Combustion Engines)</v>
      </c>
      <c r="B3373" s="4" t="s">
        <v>6</v>
      </c>
      <c r="C3373" s="4" t="str">
        <f t="shared" si="112"/>
        <v>-</v>
      </c>
      <c r="D3373" s="4" t="str">
        <f>"10000909"</f>
        <v>10000909</v>
      </c>
      <c r="E3373" s="4" t="str">
        <f t="shared" si="113"/>
        <v>-</v>
      </c>
      <c r="F3373" s="4" t="s">
        <v>896</v>
      </c>
    </row>
    <row r="3374" spans="1:6" x14ac:dyDescent="0.25">
      <c r="A3374" s="4" t="str">
        <f>"Network Security"</f>
        <v>Network Security</v>
      </c>
      <c r="B3374" s="4" t="s">
        <v>22</v>
      </c>
      <c r="C3374" s="4" t="str">
        <f t="shared" si="112"/>
        <v>-</v>
      </c>
      <c r="D3374" s="4" t="str">
        <f>"13534858"</f>
        <v>13534858</v>
      </c>
      <c r="E3374" s="4" t="str">
        <f t="shared" si="113"/>
        <v>-</v>
      </c>
      <c r="F3374" s="4" t="s">
        <v>19</v>
      </c>
    </row>
    <row r="3375" spans="1:6" x14ac:dyDescent="0.25">
      <c r="A3375" s="4" t="str">
        <f>"Networks"</f>
        <v>Networks</v>
      </c>
      <c r="B3375" s="4" t="s">
        <v>6</v>
      </c>
      <c r="C3375" s="4" t="str">
        <f t="shared" si="112"/>
        <v>-</v>
      </c>
      <c r="D3375" s="4" t="str">
        <f>"00283045"</f>
        <v>00283045</v>
      </c>
      <c r="E3375" s="4" t="str">
        <f>"10970037"</f>
        <v>10970037</v>
      </c>
      <c r="F3375" s="4" t="s">
        <v>241</v>
      </c>
    </row>
    <row r="3376" spans="1:6" x14ac:dyDescent="0.25">
      <c r="A3376" s="4" t="str">
        <f>"Networks and Heterogeneous Media"</f>
        <v>Networks and Heterogeneous Media</v>
      </c>
      <c r="B3376" s="4" t="s">
        <v>6</v>
      </c>
      <c r="C3376" s="4" t="str">
        <f t="shared" si="112"/>
        <v>-</v>
      </c>
      <c r="D3376" s="4" t="str">
        <f>"15561801"</f>
        <v>15561801</v>
      </c>
      <c r="E3376" s="4" t="str">
        <f>"1556181X"</f>
        <v>1556181X</v>
      </c>
      <c r="F3376" s="4" t="s">
        <v>897</v>
      </c>
    </row>
    <row r="3377" spans="1:6" x14ac:dyDescent="0.25">
      <c r="A3377" s="4" t="str">
        <f>"Networks and Spatial Economics"</f>
        <v>Networks and Spatial Economics</v>
      </c>
      <c r="B3377" s="4" t="s">
        <v>6</v>
      </c>
      <c r="C3377" s="4" t="str">
        <f t="shared" si="112"/>
        <v>-</v>
      </c>
      <c r="D3377" s="4" t="str">
        <f>"1566113X"</f>
        <v>1566113X</v>
      </c>
      <c r="E3377" s="4" t="str">
        <f>"15729427"</f>
        <v>15729427</v>
      </c>
      <c r="F3377" s="4" t="s">
        <v>57</v>
      </c>
    </row>
    <row r="3378" spans="1:6" x14ac:dyDescent="0.25">
      <c r="A3378" s="4" t="s">
        <v>898</v>
      </c>
      <c r="B3378" s="4" t="s">
        <v>6</v>
      </c>
      <c r="C3378" s="4" t="s">
        <v>324</v>
      </c>
      <c r="E3378" s="4" t="s">
        <v>899</v>
      </c>
      <c r="F3378" s="4" t="s">
        <v>327</v>
      </c>
    </row>
    <row r="3379" spans="1:6" x14ac:dyDescent="0.25">
      <c r="A3379" s="4" t="str">
        <f>"Neural Computing and Applications"</f>
        <v>Neural Computing and Applications</v>
      </c>
      <c r="B3379" s="4" t="s">
        <v>6</v>
      </c>
      <c r="C3379" s="4" t="str">
        <f t="shared" ref="C3379:C3442" si="114">"-"</f>
        <v>-</v>
      </c>
      <c r="D3379" s="4" t="str">
        <f>"09410643"</f>
        <v>09410643</v>
      </c>
      <c r="E3379" s="4" t="str">
        <f>"-"</f>
        <v>-</v>
      </c>
      <c r="F3379" s="4" t="s">
        <v>62</v>
      </c>
    </row>
    <row r="3380" spans="1:6" x14ac:dyDescent="0.25">
      <c r="A3380" s="4" t="str">
        <f>"Neural Network World"</f>
        <v>Neural Network World</v>
      </c>
      <c r="B3380" s="4" t="s">
        <v>6</v>
      </c>
      <c r="C3380" s="4" t="str">
        <f t="shared" si="114"/>
        <v>-</v>
      </c>
      <c r="D3380" s="4" t="str">
        <f>"12100552"</f>
        <v>12100552</v>
      </c>
      <c r="E3380" s="4" t="str">
        <f>"-"</f>
        <v>-</v>
      </c>
      <c r="F3380" s="4" t="s">
        <v>900</v>
      </c>
    </row>
    <row r="3381" spans="1:6" x14ac:dyDescent="0.25">
      <c r="A3381" s="4" t="str">
        <f>"Neural Networks"</f>
        <v>Neural Networks</v>
      </c>
      <c r="B3381" s="4" t="s">
        <v>6</v>
      </c>
      <c r="C3381" s="4" t="str">
        <f t="shared" si="114"/>
        <v>-</v>
      </c>
      <c r="D3381" s="4" t="str">
        <f>"08936080"</f>
        <v>08936080</v>
      </c>
      <c r="E3381" s="4" t="str">
        <f>"18792782"</f>
        <v>18792782</v>
      </c>
      <c r="F3381" s="4" t="s">
        <v>19</v>
      </c>
    </row>
    <row r="3382" spans="1:6" x14ac:dyDescent="0.25">
      <c r="A3382" s="4" t="str">
        <f>"Neural Networks for Signal Processing - Proceedings of the IEEE Workshop"</f>
        <v>Neural Networks for Signal Processing - Proceedings of the IEEE Workshop</v>
      </c>
      <c r="B3382" s="4" t="s">
        <v>8</v>
      </c>
      <c r="C3382" s="4" t="str">
        <f t="shared" si="114"/>
        <v>-</v>
      </c>
      <c r="D3382" s="4" t="str">
        <f>"-"</f>
        <v>-</v>
      </c>
      <c r="E3382" s="4" t="str">
        <f>"-"</f>
        <v>-</v>
      </c>
      <c r="F3382" s="4" t="s">
        <v>105</v>
      </c>
    </row>
    <row r="3383" spans="1:6" x14ac:dyDescent="0.25">
      <c r="A3383" s="4" t="str">
        <f>"Neural Processing Letters"</f>
        <v>Neural Processing Letters</v>
      </c>
      <c r="B3383" s="4" t="s">
        <v>6</v>
      </c>
      <c r="C3383" s="4" t="str">
        <f t="shared" si="114"/>
        <v>-</v>
      </c>
      <c r="D3383" s="4" t="str">
        <f>"13704621"</f>
        <v>13704621</v>
      </c>
      <c r="E3383" s="4" t="str">
        <f>"1573773X"</f>
        <v>1573773X</v>
      </c>
      <c r="F3383" s="4" t="s">
        <v>57</v>
      </c>
    </row>
    <row r="3384" spans="1:6" x14ac:dyDescent="0.25">
      <c r="A3384" s="4" t="str">
        <f>"Neurocomputing"</f>
        <v>Neurocomputing</v>
      </c>
      <c r="B3384" s="4" t="s">
        <v>6</v>
      </c>
      <c r="C3384" s="4" t="str">
        <f t="shared" si="114"/>
        <v>-</v>
      </c>
      <c r="D3384" s="4" t="str">
        <f>"09252312"</f>
        <v>09252312</v>
      </c>
      <c r="E3384" s="4" t="str">
        <f>"18728286"</f>
        <v>18728286</v>
      </c>
      <c r="F3384" s="4" t="s">
        <v>55</v>
      </c>
    </row>
    <row r="3385" spans="1:6" x14ac:dyDescent="0.25">
      <c r="A3385" s="4" t="str">
        <f>"Neurodiagnostic Journal"</f>
        <v>Neurodiagnostic Journal</v>
      </c>
      <c r="B3385" s="4" t="s">
        <v>6</v>
      </c>
      <c r="C3385" s="4" t="str">
        <f t="shared" si="114"/>
        <v>-</v>
      </c>
      <c r="D3385" s="4" t="str">
        <f>"21646821"</f>
        <v>21646821</v>
      </c>
      <c r="E3385" s="4" t="str">
        <f>"23758627 "</f>
        <v xml:space="preserve">23758627 </v>
      </c>
      <c r="F3385" s="4" t="s">
        <v>96</v>
      </c>
    </row>
    <row r="3386" spans="1:6" x14ac:dyDescent="0.25">
      <c r="A3386" s="4" t="str">
        <f>"Neurophotonics"</f>
        <v>Neurophotonics</v>
      </c>
      <c r="B3386" s="4" t="s">
        <v>6</v>
      </c>
      <c r="C3386" s="4" t="str">
        <f t="shared" si="114"/>
        <v>-</v>
      </c>
      <c r="D3386" s="4" t="str">
        <f>"2329423X"</f>
        <v>2329423X</v>
      </c>
      <c r="E3386" s="4" t="str">
        <f>"23294248"</f>
        <v>23294248</v>
      </c>
      <c r="F3386" s="4" t="s">
        <v>663</v>
      </c>
    </row>
    <row r="3387" spans="1:6" x14ac:dyDescent="0.25">
      <c r="A3387" s="4" t="str">
        <f>"New Biotechnology"</f>
        <v>New Biotechnology</v>
      </c>
      <c r="B3387" s="4" t="s">
        <v>6</v>
      </c>
      <c r="C3387" s="4" t="str">
        <f t="shared" si="114"/>
        <v>-</v>
      </c>
      <c r="D3387" s="4" t="str">
        <f>"18716784"</f>
        <v>18716784</v>
      </c>
      <c r="E3387" s="4" t="str">
        <f>"18764347"</f>
        <v>18764347</v>
      </c>
      <c r="F3387" s="4" t="s">
        <v>55</v>
      </c>
    </row>
    <row r="3388" spans="1:6" x14ac:dyDescent="0.25">
      <c r="A3388" s="4" t="str">
        <f>"New Forests"</f>
        <v>New Forests</v>
      </c>
      <c r="B3388" s="4" t="s">
        <v>6</v>
      </c>
      <c r="C3388" s="4" t="str">
        <f t="shared" si="114"/>
        <v>-</v>
      </c>
      <c r="D3388" s="4" t="str">
        <f>"01694286"</f>
        <v>01694286</v>
      </c>
      <c r="E3388" s="4" t="str">
        <f>"15735095"</f>
        <v>15735095</v>
      </c>
      <c r="F3388" s="4" t="s">
        <v>31</v>
      </c>
    </row>
    <row r="3389" spans="1:6" x14ac:dyDescent="0.25">
      <c r="A3389" s="4" t="str">
        <f>"New Generation Computing"</f>
        <v>New Generation Computing</v>
      </c>
      <c r="B3389" s="4" t="s">
        <v>6</v>
      </c>
      <c r="C3389" s="4" t="str">
        <f t="shared" si="114"/>
        <v>-</v>
      </c>
      <c r="D3389" s="4" t="str">
        <f>"02883635"</f>
        <v>02883635</v>
      </c>
      <c r="E3389" s="4" t="str">
        <f>"-"</f>
        <v>-</v>
      </c>
      <c r="F3389" s="4" t="s">
        <v>127</v>
      </c>
    </row>
    <row r="3390" spans="1:6" x14ac:dyDescent="0.25">
      <c r="A3390" s="4" t="str">
        <f>"New Journal of Physics"</f>
        <v>New Journal of Physics</v>
      </c>
      <c r="B3390" s="4" t="s">
        <v>6</v>
      </c>
      <c r="C3390" s="4" t="str">
        <f t="shared" si="114"/>
        <v>-</v>
      </c>
      <c r="D3390" s="4" t="str">
        <f>"13672630"</f>
        <v>13672630</v>
      </c>
      <c r="E3390" s="4" t="str">
        <f>"-"</f>
        <v>-</v>
      </c>
      <c r="F3390" s="4" t="s">
        <v>184</v>
      </c>
    </row>
    <row r="3391" spans="1:6" x14ac:dyDescent="0.25">
      <c r="A3391" s="4" t="str">
        <f>"New Review of Hypermedia and Multimedia"</f>
        <v>New Review of Hypermedia and Multimedia</v>
      </c>
      <c r="B3391" s="4" t="s">
        <v>6</v>
      </c>
      <c r="C3391" s="4" t="str">
        <f t="shared" si="114"/>
        <v>-</v>
      </c>
      <c r="D3391" s="4" t="str">
        <f>"13614568"</f>
        <v>13614568</v>
      </c>
      <c r="E3391" s="4" t="str">
        <f>"17407842"</f>
        <v>17407842</v>
      </c>
      <c r="F3391" s="4" t="s">
        <v>60</v>
      </c>
    </row>
    <row r="3392" spans="1:6" x14ac:dyDescent="0.25">
      <c r="A3392" s="4" t="str">
        <f>"New Zealand Journal of Forestry"</f>
        <v>New Zealand Journal of Forestry</v>
      </c>
      <c r="B3392" s="4" t="s">
        <v>6</v>
      </c>
      <c r="C3392" s="4" t="str">
        <f t="shared" si="114"/>
        <v>-</v>
      </c>
      <c r="D3392" s="4" t="str">
        <f>"11747986"</f>
        <v>11747986</v>
      </c>
      <c r="E3392" s="4" t="str">
        <f>"22531815"</f>
        <v>22531815</v>
      </c>
      <c r="F3392" s="4" t="s">
        <v>901</v>
      </c>
    </row>
    <row r="3393" spans="1:6" x14ac:dyDescent="0.25">
      <c r="A3393" s="4" t="str">
        <f>"New Zealand Journal of Forestry Science"</f>
        <v>New Zealand Journal of Forestry Science</v>
      </c>
      <c r="B3393" s="4" t="s">
        <v>6</v>
      </c>
      <c r="C3393" s="4" t="str">
        <f t="shared" si="114"/>
        <v>-</v>
      </c>
      <c r="D3393" s="4" t="str">
        <f>"00480134"</f>
        <v>00480134</v>
      </c>
      <c r="E3393" s="4" t="str">
        <f>"11795395"</f>
        <v>11795395</v>
      </c>
      <c r="F3393" s="4" t="s">
        <v>16</v>
      </c>
    </row>
    <row r="3394" spans="1:6" x14ac:dyDescent="0.25">
      <c r="A3394" s="4" t="str">
        <f>"NHK Laboratories Note"</f>
        <v>NHK Laboratories Note</v>
      </c>
      <c r="B3394" s="4" t="s">
        <v>6</v>
      </c>
      <c r="C3394" s="4" t="str">
        <f t="shared" si="114"/>
        <v>-</v>
      </c>
      <c r="D3394" s="4" t="str">
        <f>"-"</f>
        <v>-</v>
      </c>
      <c r="E3394" s="4" t="str">
        <f>"18806872"</f>
        <v>18806872</v>
      </c>
      <c r="F3394" s="4" t="s">
        <v>902</v>
      </c>
    </row>
    <row r="3395" spans="1:6" x14ac:dyDescent="0.25">
      <c r="A3395" s="4" t="str">
        <f>"Nihon Enerugi Gakkaishi/Journal of the Japan Institute of Energy"</f>
        <v>Nihon Enerugi Gakkaishi/Journal of the Japan Institute of Energy</v>
      </c>
      <c r="B3395" s="4" t="s">
        <v>6</v>
      </c>
      <c r="C3395" s="4" t="str">
        <f t="shared" si="114"/>
        <v>-</v>
      </c>
      <c r="D3395" s="4" t="str">
        <f>"09168753"</f>
        <v>09168753</v>
      </c>
      <c r="E3395" s="4" t="str">
        <f>"-"</f>
        <v>-</v>
      </c>
      <c r="F3395" s="4" t="s">
        <v>903</v>
      </c>
    </row>
    <row r="3396" spans="1:6" x14ac:dyDescent="0.25">
      <c r="A3396" s="4" t="str">
        <f>"Nihon Ringakkai Shi/Journal of the Japanese Forestry Society"</f>
        <v>Nihon Ringakkai Shi/Journal of the Japanese Forestry Society</v>
      </c>
      <c r="B3396" s="4" t="s">
        <v>6</v>
      </c>
      <c r="C3396" s="4" t="str">
        <f t="shared" si="114"/>
        <v>-</v>
      </c>
      <c r="D3396" s="4" t="str">
        <f>"0021485X"</f>
        <v>0021485X</v>
      </c>
      <c r="E3396" s="4" t="str">
        <f>"-"</f>
        <v>-</v>
      </c>
      <c r="F3396" s="4" t="s">
        <v>904</v>
      </c>
    </row>
    <row r="3397" spans="1:6" x14ac:dyDescent="0.25">
      <c r="A3397" s="4" t="str">
        <f>"NII Technical Reports"</f>
        <v>NII Technical Reports</v>
      </c>
      <c r="B3397" s="4" t="s">
        <v>6</v>
      </c>
      <c r="C3397" s="4" t="str">
        <f t="shared" si="114"/>
        <v>-</v>
      </c>
      <c r="D3397" s="4" t="str">
        <f>"13465597"</f>
        <v>13465597</v>
      </c>
      <c r="E3397" s="4" t="str">
        <f>"-"</f>
        <v>-</v>
      </c>
      <c r="F3397" s="4" t="s">
        <v>884</v>
      </c>
    </row>
    <row r="3398" spans="1:6" x14ac:dyDescent="0.25">
      <c r="A3398" s="4" t="str">
        <f>"Nippon Kinzoku Gakkaishi/Journal of the Japan Institute of Metals"</f>
        <v>Nippon Kinzoku Gakkaishi/Journal of the Japan Institute of Metals</v>
      </c>
      <c r="B3398" s="4" t="s">
        <v>6</v>
      </c>
      <c r="C3398" s="4" t="str">
        <f t="shared" si="114"/>
        <v>-</v>
      </c>
      <c r="D3398" s="4" t="str">
        <f>"00214876"</f>
        <v>00214876</v>
      </c>
      <c r="E3398" s="4" t="str">
        <f>"-"</f>
        <v>-</v>
      </c>
      <c r="F3398" s="4" t="s">
        <v>858</v>
      </c>
    </row>
    <row r="3399" spans="1:6" x14ac:dyDescent="0.25">
      <c r="A3399" s="4" t="str">
        <f>"Nippon Seramikkusu Kyokai Gakujutsu Ronbunshi/Journal of the Ceramic Society of Japan"</f>
        <v>Nippon Seramikkusu Kyokai Gakujutsu Ronbunshi/Journal of the Ceramic Society of Japan</v>
      </c>
      <c r="B3399" s="4" t="s">
        <v>6</v>
      </c>
      <c r="C3399" s="4" t="str">
        <f t="shared" si="114"/>
        <v>-</v>
      </c>
      <c r="D3399" s="4" t="str">
        <f>"18820743"</f>
        <v>18820743</v>
      </c>
      <c r="E3399" s="4" t="str">
        <f>"13486535"</f>
        <v>13486535</v>
      </c>
      <c r="F3399" s="4" t="s">
        <v>905</v>
      </c>
    </row>
    <row r="3400" spans="1:6" x14ac:dyDescent="0.25">
      <c r="A3400" s="4" t="str">
        <f>"Nippon Steel Technical Report"</f>
        <v>Nippon Steel Technical Report</v>
      </c>
      <c r="B3400" s="4" t="s">
        <v>6</v>
      </c>
      <c r="C3400" s="4" t="str">
        <f t="shared" si="114"/>
        <v>-</v>
      </c>
      <c r="D3400" s="4" t="str">
        <f>"0300306X"</f>
        <v>0300306X</v>
      </c>
      <c r="E3400" s="4" t="str">
        <f>"-"</f>
        <v>-</v>
      </c>
      <c r="F3400" s="4" t="s">
        <v>906</v>
      </c>
    </row>
    <row r="3401" spans="1:6" x14ac:dyDescent="0.25">
      <c r="A3401" s="4" t="str">
        <f>"NIST Special Publication"</f>
        <v>NIST Special Publication</v>
      </c>
      <c r="B3401" s="4" t="s">
        <v>8</v>
      </c>
      <c r="C3401" s="4" t="str">
        <f t="shared" si="114"/>
        <v>-</v>
      </c>
      <c r="D3401" s="4" t="str">
        <f>"1048776X"</f>
        <v>1048776X</v>
      </c>
      <c r="E3401" s="4" t="str">
        <f>"-"</f>
        <v>-</v>
      </c>
      <c r="F3401" s="4" t="s">
        <v>756</v>
      </c>
    </row>
    <row r="3402" spans="1:6" x14ac:dyDescent="0.25">
      <c r="A3402" s="4" t="str">
        <f>"NMR in Biomedicine"</f>
        <v>NMR in Biomedicine</v>
      </c>
      <c r="B3402" s="4" t="s">
        <v>6</v>
      </c>
      <c r="C3402" s="4" t="str">
        <f t="shared" si="114"/>
        <v>-</v>
      </c>
      <c r="D3402" s="4" t="str">
        <f>"09523480"</f>
        <v>09523480</v>
      </c>
      <c r="E3402" s="4" t="str">
        <f>"10991492"</f>
        <v>10991492</v>
      </c>
      <c r="F3402" s="4" t="s">
        <v>142</v>
      </c>
    </row>
    <row r="3403" spans="1:6" x14ac:dyDescent="0.25">
      <c r="A3403" s="4" t="str">
        <f>"Noise and Vibration Worldwide"</f>
        <v>Noise and Vibration Worldwide</v>
      </c>
      <c r="B3403" s="4" t="s">
        <v>6</v>
      </c>
      <c r="C3403" s="4" t="str">
        <f t="shared" si="114"/>
        <v>-</v>
      </c>
      <c r="D3403" s="4" t="str">
        <f>"09574565"</f>
        <v>09574565</v>
      </c>
      <c r="E3403" s="4" t="str">
        <f>"-"</f>
        <v>-</v>
      </c>
      <c r="F3403" s="4" t="s">
        <v>58</v>
      </c>
    </row>
    <row r="3404" spans="1:6" x14ac:dyDescent="0.25">
      <c r="A3404" s="4" t="str">
        <f>"Noise Control Engineering Journal"</f>
        <v>Noise Control Engineering Journal</v>
      </c>
      <c r="B3404" s="4" t="s">
        <v>6</v>
      </c>
      <c r="C3404" s="4" t="str">
        <f t="shared" si="114"/>
        <v>-</v>
      </c>
      <c r="D3404" s="4" t="str">
        <f>"07362501"</f>
        <v>07362501</v>
      </c>
      <c r="E3404" s="4" t="str">
        <f>"21688710"</f>
        <v>21688710</v>
      </c>
      <c r="F3404" s="4" t="s">
        <v>907</v>
      </c>
    </row>
    <row r="3405" spans="1:6" x14ac:dyDescent="0.25">
      <c r="A3405" s="4" t="str">
        <f>"Nondestructive Testing and Evaluation"</f>
        <v>Nondestructive Testing and Evaluation</v>
      </c>
      <c r="B3405" s="4" t="s">
        <v>6</v>
      </c>
      <c r="C3405" s="4" t="str">
        <f t="shared" si="114"/>
        <v>-</v>
      </c>
      <c r="D3405" s="4" t="str">
        <f>"10589759"</f>
        <v>10589759</v>
      </c>
      <c r="E3405" s="4" t="str">
        <f>"14772671"</f>
        <v>14772671</v>
      </c>
      <c r="F3405" s="4" t="s">
        <v>60</v>
      </c>
    </row>
    <row r="3406" spans="1:6" x14ac:dyDescent="0.25">
      <c r="A3406" s="4" t="str">
        <f>"Nongye Gongcheng Xuebao/Transactions of the Chinese Society of Agricultural Engineering"</f>
        <v>Nongye Gongcheng Xuebao/Transactions of the Chinese Society of Agricultural Engineering</v>
      </c>
      <c r="B3406" s="4" t="s">
        <v>6</v>
      </c>
      <c r="C3406" s="4" t="str">
        <f t="shared" si="114"/>
        <v>-</v>
      </c>
      <c r="D3406" s="4" t="str">
        <f>"10026819"</f>
        <v>10026819</v>
      </c>
      <c r="E3406" s="4" t="str">
        <f>"-"</f>
        <v>-</v>
      </c>
      <c r="F3406" s="4" t="s">
        <v>908</v>
      </c>
    </row>
    <row r="3407" spans="1:6" x14ac:dyDescent="0.25">
      <c r="A3407" s="4" t="str">
        <f>"Nongye Jixie Xuebao/Transactions of the Chinese Society for Agricultural Machinery"</f>
        <v>Nongye Jixie Xuebao/Transactions of the Chinese Society for Agricultural Machinery</v>
      </c>
      <c r="B3407" s="4" t="s">
        <v>6</v>
      </c>
      <c r="C3407" s="4" t="str">
        <f t="shared" si="114"/>
        <v>-</v>
      </c>
      <c r="D3407" s="4" t="str">
        <f>"10001298"</f>
        <v>10001298</v>
      </c>
      <c r="E3407" s="4" t="str">
        <f>"-"</f>
        <v>-</v>
      </c>
      <c r="F3407" s="4" t="s">
        <v>909</v>
      </c>
    </row>
    <row r="3408" spans="1:6" x14ac:dyDescent="0.25">
      <c r="A3408" s="4" t="str">
        <f>"Nonlinear Analysis, Theory, Methods and Applications"</f>
        <v>Nonlinear Analysis, Theory, Methods and Applications</v>
      </c>
      <c r="B3408" s="4" t="s">
        <v>6</v>
      </c>
      <c r="C3408" s="4" t="str">
        <f t="shared" si="114"/>
        <v>-</v>
      </c>
      <c r="D3408" s="4" t="str">
        <f>"0362546X"</f>
        <v>0362546X</v>
      </c>
      <c r="E3408" s="4" t="str">
        <f>"-"</f>
        <v>-</v>
      </c>
      <c r="F3408" s="4" t="s">
        <v>19</v>
      </c>
    </row>
    <row r="3409" spans="1:6" x14ac:dyDescent="0.25">
      <c r="A3409" s="4" t="str">
        <f>"Nonlinear Analysis: Hybrid Systems"</f>
        <v>Nonlinear Analysis: Hybrid Systems</v>
      </c>
      <c r="B3409" s="4" t="s">
        <v>6</v>
      </c>
      <c r="C3409" s="4" t="str">
        <f t="shared" si="114"/>
        <v>-</v>
      </c>
      <c r="D3409" s="4" t="str">
        <f>"1751570X"</f>
        <v>1751570X</v>
      </c>
      <c r="E3409" s="4" t="str">
        <f>"-"</f>
        <v>-</v>
      </c>
      <c r="F3409" s="4" t="s">
        <v>19</v>
      </c>
    </row>
    <row r="3410" spans="1:6" x14ac:dyDescent="0.25">
      <c r="A3410" s="4" t="str">
        <f>"Nonlinear Analysis: Real World Applications"</f>
        <v>Nonlinear Analysis: Real World Applications</v>
      </c>
      <c r="B3410" s="4" t="s">
        <v>6</v>
      </c>
      <c r="C3410" s="4" t="str">
        <f t="shared" si="114"/>
        <v>-</v>
      </c>
      <c r="D3410" s="4" t="str">
        <f>"14681218"</f>
        <v>14681218</v>
      </c>
      <c r="E3410" s="4" t="str">
        <f>"-"</f>
        <v>-</v>
      </c>
      <c r="F3410" s="4" t="s">
        <v>19</v>
      </c>
    </row>
    <row r="3411" spans="1:6" x14ac:dyDescent="0.25">
      <c r="A3411" s="4" t="str">
        <f>"Nonlinear Dynamics"</f>
        <v>Nonlinear Dynamics</v>
      </c>
      <c r="B3411" s="4" t="s">
        <v>6</v>
      </c>
      <c r="C3411" s="4" t="str">
        <f t="shared" si="114"/>
        <v>-</v>
      </c>
      <c r="D3411" s="4" t="str">
        <f>"0924090X"</f>
        <v>0924090X</v>
      </c>
      <c r="E3411" s="4" t="str">
        <f>"1573269X"</f>
        <v>1573269X</v>
      </c>
      <c r="F3411" s="4" t="s">
        <v>31</v>
      </c>
    </row>
    <row r="3412" spans="1:6" x14ac:dyDescent="0.25">
      <c r="A3412" s="4" t="str">
        <f>"Nonlinear Optics Quantum Optics"</f>
        <v>Nonlinear Optics Quantum Optics</v>
      </c>
      <c r="B3412" s="4" t="s">
        <v>6</v>
      </c>
      <c r="C3412" s="4" t="str">
        <f t="shared" si="114"/>
        <v>-</v>
      </c>
      <c r="D3412" s="4" t="str">
        <f>"15430537"</f>
        <v>15430537</v>
      </c>
      <c r="E3412" s="4" t="str">
        <f>"-"</f>
        <v>-</v>
      </c>
      <c r="F3412" s="4" t="s">
        <v>485</v>
      </c>
    </row>
    <row r="3413" spans="1:6" x14ac:dyDescent="0.25">
      <c r="A3413" s="4" t="str">
        <f>"Nonlinear Science Letters D: Conference Series"</f>
        <v>Nonlinear Science Letters D: Conference Series</v>
      </c>
      <c r="B3413" s="4" t="s">
        <v>6</v>
      </c>
      <c r="C3413" s="4" t="str">
        <f t="shared" si="114"/>
        <v>-</v>
      </c>
      <c r="D3413" s="4" t="str">
        <f>"20775113"</f>
        <v>20775113</v>
      </c>
      <c r="E3413" s="4" t="str">
        <f>"-"</f>
        <v>-</v>
      </c>
      <c r="F3413" s="4" t="s">
        <v>910</v>
      </c>
    </row>
    <row r="3414" spans="1:6" x14ac:dyDescent="0.25">
      <c r="A3414" s="4" t="str">
        <f>"Nordic Pulp and Paper Research Journal"</f>
        <v>Nordic Pulp and Paper Research Journal</v>
      </c>
      <c r="B3414" s="4" t="s">
        <v>6</v>
      </c>
      <c r="C3414" s="4" t="str">
        <f t="shared" si="114"/>
        <v>-</v>
      </c>
      <c r="D3414" s="4" t="str">
        <f>"02832631"</f>
        <v>02832631</v>
      </c>
      <c r="E3414" s="4" t="str">
        <f>"20000669"</f>
        <v>20000669</v>
      </c>
      <c r="F3414" s="4" t="s">
        <v>911</v>
      </c>
    </row>
    <row r="3415" spans="1:6" x14ac:dyDescent="0.25">
      <c r="A3415" s="4" t="str">
        <f>"Northern Journal of Applied Forestry"</f>
        <v>Northern Journal of Applied Forestry</v>
      </c>
      <c r="B3415" s="4" t="s">
        <v>6</v>
      </c>
      <c r="C3415" s="4" t="str">
        <f t="shared" si="114"/>
        <v>-</v>
      </c>
      <c r="D3415" s="4" t="str">
        <f>"07426348"</f>
        <v>07426348</v>
      </c>
      <c r="E3415" s="4" t="str">
        <f>"-"</f>
        <v>-</v>
      </c>
      <c r="F3415" s="4" t="s">
        <v>426</v>
      </c>
    </row>
    <row r="3416" spans="1:6" x14ac:dyDescent="0.25">
      <c r="A3416" s="4" t="str">
        <f>"NPAR Symposium on Non-Photorealistic Animation and Rendering"</f>
        <v>NPAR Symposium on Non-Photorealistic Animation and Rendering</v>
      </c>
      <c r="B3416" s="4" t="s">
        <v>8</v>
      </c>
      <c r="C3416" s="4" t="str">
        <f t="shared" si="114"/>
        <v>-</v>
      </c>
      <c r="D3416" s="4" t="str">
        <f>"-"</f>
        <v>-</v>
      </c>
      <c r="E3416" s="4" t="str">
        <f>"-"</f>
        <v>-</v>
      </c>
      <c r="F3416" s="4" t="s">
        <v>21</v>
      </c>
    </row>
    <row r="3417" spans="1:6" x14ac:dyDescent="0.25">
      <c r="A3417" s="4" t="str">
        <f>"NPG Asia Materials"</f>
        <v>NPG Asia Materials</v>
      </c>
      <c r="B3417" s="4" t="s">
        <v>6</v>
      </c>
      <c r="C3417" s="4" t="str">
        <f t="shared" si="114"/>
        <v>-</v>
      </c>
      <c r="D3417" s="4" t="str">
        <f>"18844049"</f>
        <v>18844049</v>
      </c>
      <c r="E3417" s="4" t="str">
        <f>"18844057"</f>
        <v>18844057</v>
      </c>
      <c r="F3417" s="4" t="s">
        <v>837</v>
      </c>
    </row>
    <row r="3418" spans="1:6" x14ac:dyDescent="0.25">
      <c r="A3418" s="4" t="str">
        <f>"NTT Technical Review"</f>
        <v>NTT Technical Review</v>
      </c>
      <c r="B3418" s="4" t="s">
        <v>6</v>
      </c>
      <c r="C3418" s="4" t="str">
        <f t="shared" si="114"/>
        <v>-</v>
      </c>
      <c r="D3418" s="4" t="str">
        <f>"13483447"</f>
        <v>13483447</v>
      </c>
      <c r="E3418" s="4" t="str">
        <f>"-"</f>
        <v>-</v>
      </c>
      <c r="F3418" s="4" t="s">
        <v>912</v>
      </c>
    </row>
    <row r="3419" spans="1:6" x14ac:dyDescent="0.25">
      <c r="A3419" s="4" t="str">
        <f>"Nuclear Engineering and Design"</f>
        <v>Nuclear Engineering and Design</v>
      </c>
      <c r="B3419" s="4" t="s">
        <v>6</v>
      </c>
      <c r="C3419" s="4" t="str">
        <f t="shared" si="114"/>
        <v>-</v>
      </c>
      <c r="D3419" s="4" t="str">
        <f>"00295493"</f>
        <v>00295493</v>
      </c>
      <c r="E3419" s="4" t="str">
        <f>"-"</f>
        <v>-</v>
      </c>
      <c r="F3419" s="4" t="s">
        <v>19</v>
      </c>
    </row>
    <row r="3420" spans="1:6" x14ac:dyDescent="0.25">
      <c r="A3420" s="4" t="str">
        <f>"Nuclear Fusion"</f>
        <v>Nuclear Fusion</v>
      </c>
      <c r="B3420" s="4" t="s">
        <v>6</v>
      </c>
      <c r="C3420" s="4" t="str">
        <f t="shared" si="114"/>
        <v>-</v>
      </c>
      <c r="D3420" s="4" t="str">
        <f>"00295515"</f>
        <v>00295515</v>
      </c>
      <c r="E3420" s="4" t="str">
        <f>"17414326"</f>
        <v>17414326</v>
      </c>
      <c r="F3420" s="4" t="s">
        <v>184</v>
      </c>
    </row>
    <row r="3421" spans="1:6" x14ac:dyDescent="0.25">
      <c r="A3421" s="4" t="str">
        <f>"Nuclear Future"</f>
        <v>Nuclear Future</v>
      </c>
      <c r="B3421" s="4" t="s">
        <v>6</v>
      </c>
      <c r="C3421" s="4" t="str">
        <f t="shared" si="114"/>
        <v>-</v>
      </c>
      <c r="D3421" s="4" t="str">
        <f>"17452058"</f>
        <v>17452058</v>
      </c>
      <c r="E3421" s="4" t="str">
        <f>"-"</f>
        <v>-</v>
      </c>
      <c r="F3421" s="4" t="s">
        <v>913</v>
      </c>
    </row>
    <row r="3422" spans="1:6" ht="30" x14ac:dyDescent="0.25">
      <c r="A3422" s="4" t="str">
        <f>"Nuclear Instruments and Methods in Physics Research, Section A: Accelerators, Spectrometers, Detectors and Associated Equipment"</f>
        <v>Nuclear Instruments and Methods in Physics Research, Section A: Accelerators, Spectrometers, Detectors and Associated Equipment</v>
      </c>
      <c r="B3422" s="4" t="s">
        <v>6</v>
      </c>
      <c r="C3422" s="4" t="str">
        <f t="shared" si="114"/>
        <v>-</v>
      </c>
      <c r="D3422" s="4" t="str">
        <f>"01689002"</f>
        <v>01689002</v>
      </c>
      <c r="E3422" s="4" t="str">
        <f>"-"</f>
        <v>-</v>
      </c>
      <c r="F3422" s="4" t="s">
        <v>55</v>
      </c>
    </row>
    <row r="3423" spans="1:6" ht="30" x14ac:dyDescent="0.25">
      <c r="A3423" s="4" t="str">
        <f>"Nuclear Instruments and Methods in Physics Research, Section B: Beam Interactions with Materials and Atoms"</f>
        <v>Nuclear Instruments and Methods in Physics Research, Section B: Beam Interactions with Materials and Atoms</v>
      </c>
      <c r="B3423" s="4" t="s">
        <v>6</v>
      </c>
      <c r="C3423" s="4" t="str">
        <f t="shared" si="114"/>
        <v>-</v>
      </c>
      <c r="D3423" s="4" t="str">
        <f>"0168583X"</f>
        <v>0168583X</v>
      </c>
      <c r="E3423" s="4" t="str">
        <f>"-"</f>
        <v>-</v>
      </c>
      <c r="F3423" s="4" t="s">
        <v>55</v>
      </c>
    </row>
    <row r="3424" spans="1:6" x14ac:dyDescent="0.25">
      <c r="A3424" s="4" t="str">
        <f>"Nuclear Science and Engineering"</f>
        <v>Nuclear Science and Engineering</v>
      </c>
      <c r="B3424" s="4" t="s">
        <v>6</v>
      </c>
      <c r="C3424" s="4" t="str">
        <f t="shared" si="114"/>
        <v>-</v>
      </c>
      <c r="D3424" s="4" t="str">
        <f>"00295639"</f>
        <v>00295639</v>
      </c>
      <c r="E3424" s="4" t="str">
        <f>"-"</f>
        <v>-</v>
      </c>
      <c r="F3424" s="4" t="s">
        <v>453</v>
      </c>
    </row>
    <row r="3425" spans="1:6" x14ac:dyDescent="0.25">
      <c r="A3425" s="4" t="str">
        <f>"Nuclear Technology"</f>
        <v>Nuclear Technology</v>
      </c>
      <c r="B3425" s="4" t="s">
        <v>6</v>
      </c>
      <c r="C3425" s="4" t="str">
        <f t="shared" si="114"/>
        <v>-</v>
      </c>
      <c r="D3425" s="4" t="str">
        <f>"00295450"</f>
        <v>00295450</v>
      </c>
      <c r="E3425" s="4" t="str">
        <f>"-"</f>
        <v>-</v>
      </c>
      <c r="F3425" s="4" t="s">
        <v>453</v>
      </c>
    </row>
    <row r="3426" spans="1:6" x14ac:dyDescent="0.25">
      <c r="A3426" s="4" t="str">
        <f>"Numerical Analysis and Applications"</f>
        <v>Numerical Analysis and Applications</v>
      </c>
      <c r="B3426" s="4" t="s">
        <v>6</v>
      </c>
      <c r="C3426" s="4" t="str">
        <f t="shared" si="114"/>
        <v>-</v>
      </c>
      <c r="D3426" s="4" t="str">
        <f>"19954239"</f>
        <v>19954239</v>
      </c>
      <c r="E3426" s="4" t="str">
        <f>"19954247"</f>
        <v>19954247</v>
      </c>
      <c r="F3426" s="4" t="s">
        <v>171</v>
      </c>
    </row>
    <row r="3427" spans="1:6" x14ac:dyDescent="0.25">
      <c r="A3427" s="4" t="str">
        <f>"Numerical Functional Analysis and Optimization"</f>
        <v>Numerical Functional Analysis and Optimization</v>
      </c>
      <c r="B3427" s="4" t="s">
        <v>6</v>
      </c>
      <c r="C3427" s="4" t="str">
        <f t="shared" si="114"/>
        <v>-</v>
      </c>
      <c r="D3427" s="4" t="str">
        <f>"01630563"</f>
        <v>01630563</v>
      </c>
      <c r="E3427" s="4" t="str">
        <f>"15322467"</f>
        <v>15322467</v>
      </c>
      <c r="F3427" s="4" t="s">
        <v>96</v>
      </c>
    </row>
    <row r="3428" spans="1:6" x14ac:dyDescent="0.25">
      <c r="A3428" s="4" t="str">
        <f>"Numerical Heat Transfer, Part B: Fundamentals"</f>
        <v>Numerical Heat Transfer, Part B: Fundamentals</v>
      </c>
      <c r="B3428" s="4" t="s">
        <v>6</v>
      </c>
      <c r="C3428" s="4" t="str">
        <f t="shared" si="114"/>
        <v>-</v>
      </c>
      <c r="D3428" s="4" t="str">
        <f>"10407790"</f>
        <v>10407790</v>
      </c>
      <c r="E3428" s="4" t="str">
        <f>"15210626"</f>
        <v>15210626</v>
      </c>
      <c r="F3428" s="4" t="s">
        <v>60</v>
      </c>
    </row>
    <row r="3429" spans="1:6" x14ac:dyDescent="0.25">
      <c r="A3429" s="4" t="str">
        <f>"Numerical Heat Transfer; Part A: Applications"</f>
        <v>Numerical Heat Transfer; Part A: Applications</v>
      </c>
      <c r="B3429" s="4" t="s">
        <v>6</v>
      </c>
      <c r="C3429" s="4" t="str">
        <f t="shared" si="114"/>
        <v>-</v>
      </c>
      <c r="D3429" s="4" t="str">
        <f>"10407782"</f>
        <v>10407782</v>
      </c>
      <c r="E3429" s="4" t="str">
        <f>"15210634"</f>
        <v>15210634</v>
      </c>
      <c r="F3429" s="4" t="s">
        <v>60</v>
      </c>
    </row>
    <row r="3430" spans="1:6" x14ac:dyDescent="0.25">
      <c r="A3430" s="4" t="str">
        <f>"Numerical Methods for Partial Differential Equations"</f>
        <v>Numerical Methods for Partial Differential Equations</v>
      </c>
      <c r="B3430" s="4" t="s">
        <v>6</v>
      </c>
      <c r="C3430" s="4" t="str">
        <f t="shared" si="114"/>
        <v>-</v>
      </c>
      <c r="D3430" s="4" t="str">
        <f>"0749159X"</f>
        <v>0749159X</v>
      </c>
      <c r="E3430" s="4" t="str">
        <f>"10982426"</f>
        <v>10982426</v>
      </c>
      <c r="F3430" s="4" t="s">
        <v>87</v>
      </c>
    </row>
    <row r="3431" spans="1:6" x14ac:dyDescent="0.25">
      <c r="A3431" s="4" t="str">
        <f>"O Papel"</f>
        <v>O Papel</v>
      </c>
      <c r="B3431" s="4" t="s">
        <v>22</v>
      </c>
      <c r="C3431" s="4" t="str">
        <f t="shared" si="114"/>
        <v>-</v>
      </c>
      <c r="D3431" s="4" t="str">
        <f>"00311057"</f>
        <v>00311057</v>
      </c>
      <c r="E3431" s="4" t="str">
        <f>"-"</f>
        <v>-</v>
      </c>
      <c r="F3431" s="4" t="s">
        <v>914</v>
      </c>
    </row>
    <row r="3432" spans="1:6" x14ac:dyDescent="0.25">
      <c r="A3432" s="4" t="str">
        <f>"Ocean and Coastal Management"</f>
        <v>Ocean and Coastal Management</v>
      </c>
      <c r="B3432" s="4" t="s">
        <v>6</v>
      </c>
      <c r="C3432" s="4" t="str">
        <f t="shared" si="114"/>
        <v>-</v>
      </c>
      <c r="D3432" s="4" t="str">
        <f>"09645691"</f>
        <v>09645691</v>
      </c>
      <c r="E3432" s="4" t="str">
        <f>"-"</f>
        <v>-</v>
      </c>
      <c r="F3432" s="4" t="s">
        <v>19</v>
      </c>
    </row>
    <row r="3433" spans="1:6" x14ac:dyDescent="0.25">
      <c r="A3433" s="4" t="str">
        <f>"Ocean Dynamics"</f>
        <v>Ocean Dynamics</v>
      </c>
      <c r="B3433" s="4" t="s">
        <v>6</v>
      </c>
      <c r="C3433" s="4" t="str">
        <f t="shared" si="114"/>
        <v>-</v>
      </c>
      <c r="D3433" s="4" t="str">
        <f>"16167341"</f>
        <v>16167341</v>
      </c>
      <c r="E3433" s="4" t="str">
        <f>"16167228"</f>
        <v>16167228</v>
      </c>
      <c r="F3433" s="4" t="s">
        <v>42</v>
      </c>
    </row>
    <row r="3434" spans="1:6" x14ac:dyDescent="0.25">
      <c r="A3434" s="4" t="str">
        <f>"Ocean Engineering"</f>
        <v>Ocean Engineering</v>
      </c>
      <c r="B3434" s="4" t="s">
        <v>6</v>
      </c>
      <c r="C3434" s="4" t="str">
        <f t="shared" si="114"/>
        <v>-</v>
      </c>
      <c r="D3434" s="4" t="str">
        <f>"00298018"</f>
        <v>00298018</v>
      </c>
      <c r="E3434" s="4" t="str">
        <f t="shared" ref="E3434:E3440" si="115">"-"</f>
        <v>-</v>
      </c>
      <c r="F3434" s="4" t="s">
        <v>19</v>
      </c>
    </row>
    <row r="3435" spans="1:6" x14ac:dyDescent="0.25">
      <c r="A3435" s="4" t="str">
        <f>"Ocean Modelling"</f>
        <v>Ocean Modelling</v>
      </c>
      <c r="B3435" s="4" t="s">
        <v>6</v>
      </c>
      <c r="C3435" s="4" t="str">
        <f t="shared" si="114"/>
        <v>-</v>
      </c>
      <c r="D3435" s="4" t="str">
        <f>"14635003"</f>
        <v>14635003</v>
      </c>
      <c r="E3435" s="4" t="str">
        <f t="shared" si="115"/>
        <v>-</v>
      </c>
      <c r="F3435" s="4" t="s">
        <v>19</v>
      </c>
    </row>
    <row r="3436" spans="1:6" x14ac:dyDescent="0.25">
      <c r="A3436" s="4" t="str">
        <f>"Oceans Conference Record (IEEE)"</f>
        <v>Oceans Conference Record (IEEE)</v>
      </c>
      <c r="B3436" s="4" t="s">
        <v>8</v>
      </c>
      <c r="C3436" s="4" t="str">
        <f t="shared" si="114"/>
        <v>-</v>
      </c>
      <c r="D3436" s="4" t="str">
        <f>"01977385"</f>
        <v>01977385</v>
      </c>
      <c r="E3436" s="4" t="str">
        <f t="shared" si="115"/>
        <v>-</v>
      </c>
      <c r="F3436" s="4" t="s">
        <v>105</v>
      </c>
    </row>
    <row r="3437" spans="1:6" x14ac:dyDescent="0.25">
      <c r="A3437" s="4" t="str">
        <f>"OCLC Systems and Services"</f>
        <v>OCLC Systems and Services</v>
      </c>
      <c r="B3437" s="4" t="s">
        <v>6</v>
      </c>
      <c r="C3437" s="4" t="str">
        <f t="shared" si="114"/>
        <v>-</v>
      </c>
      <c r="D3437" s="4" t="str">
        <f>"1065075X"</f>
        <v>1065075X</v>
      </c>
      <c r="E3437" s="4" t="str">
        <f t="shared" si="115"/>
        <v>-</v>
      </c>
      <c r="F3437" s="4" t="s">
        <v>110</v>
      </c>
    </row>
    <row r="3438" spans="1:6" x14ac:dyDescent="0.25">
      <c r="A3438" s="4" t="str">
        <f>"Offshore Europe Conference - Proceedings"</f>
        <v>Offshore Europe Conference - Proceedings</v>
      </c>
      <c r="B3438" s="4" t="s">
        <v>8</v>
      </c>
      <c r="C3438" s="4" t="str">
        <f t="shared" si="114"/>
        <v>-</v>
      </c>
      <c r="D3438" s="4" t="str">
        <f>"-"</f>
        <v>-</v>
      </c>
      <c r="E3438" s="4" t="str">
        <f t="shared" si="115"/>
        <v>-</v>
      </c>
      <c r="F3438" s="4" t="s">
        <v>915</v>
      </c>
    </row>
    <row r="3439" spans="1:6" x14ac:dyDescent="0.25">
      <c r="A3439" s="4" t="str">
        <f>"OGAI Journal (Oesterreichische Gesellschaft fuer Artificial Intelligence)"</f>
        <v>OGAI Journal (Oesterreichische Gesellschaft fuer Artificial Intelligence)</v>
      </c>
      <c r="B3439" s="4" t="s">
        <v>6</v>
      </c>
      <c r="C3439" s="4" t="str">
        <f t="shared" si="114"/>
        <v>-</v>
      </c>
      <c r="D3439" s="4" t="str">
        <f>"02544326"</f>
        <v>02544326</v>
      </c>
      <c r="E3439" s="4" t="str">
        <f t="shared" si="115"/>
        <v>-</v>
      </c>
      <c r="F3439" s="4" t="s">
        <v>916</v>
      </c>
    </row>
    <row r="3440" spans="1:6" x14ac:dyDescent="0.25">
      <c r="A3440" s="4" t="str">
        <f>"Oil and Gas Geology"</f>
        <v>Oil and Gas Geology</v>
      </c>
      <c r="B3440" s="4" t="s">
        <v>6</v>
      </c>
      <c r="C3440" s="4" t="str">
        <f t="shared" si="114"/>
        <v>-</v>
      </c>
      <c r="D3440" s="4" t="str">
        <f>"02539985"</f>
        <v>02539985</v>
      </c>
      <c r="E3440" s="4" t="str">
        <f t="shared" si="115"/>
        <v>-</v>
      </c>
      <c r="F3440" s="4" t="s">
        <v>917</v>
      </c>
    </row>
    <row r="3441" spans="1:6" x14ac:dyDescent="0.25">
      <c r="A3441" s="4" t="str">
        <f>"Oil and Gas Science and Technology"</f>
        <v>Oil and Gas Science and Technology</v>
      </c>
      <c r="B3441" s="4" t="s">
        <v>6</v>
      </c>
      <c r="C3441" s="4" t="str">
        <f t="shared" si="114"/>
        <v>-</v>
      </c>
      <c r="D3441" s="4" t="str">
        <f>"12944475"</f>
        <v>12944475</v>
      </c>
      <c r="E3441" s="4" t="str">
        <f>"19538189"</f>
        <v>19538189</v>
      </c>
      <c r="F3441" s="4" t="s">
        <v>918</v>
      </c>
    </row>
    <row r="3442" spans="1:6" x14ac:dyDescent="0.25">
      <c r="A3442" s="4" t="str">
        <f>"Oil Gas European Magazine"</f>
        <v>Oil Gas European Magazine</v>
      </c>
      <c r="B3442" s="4" t="s">
        <v>22</v>
      </c>
      <c r="C3442" s="4" t="str">
        <f t="shared" si="114"/>
        <v>-</v>
      </c>
      <c r="D3442" s="4" t="str">
        <f>"03425622"</f>
        <v>03425622</v>
      </c>
      <c r="E3442" s="4" t="str">
        <f>"-"</f>
        <v>-</v>
      </c>
      <c r="F3442" s="4" t="s">
        <v>919</v>
      </c>
    </row>
    <row r="3443" spans="1:6" x14ac:dyDescent="0.25">
      <c r="A3443" s="4" t="str">
        <f>"Oil Shale"</f>
        <v>Oil Shale</v>
      </c>
      <c r="B3443" s="4" t="s">
        <v>6</v>
      </c>
      <c r="C3443" s="4" t="str">
        <f t="shared" ref="C3443:D3474" si="116">"-"</f>
        <v>-</v>
      </c>
      <c r="D3443" s="4" t="str">
        <f>"0208189X"</f>
        <v>0208189X</v>
      </c>
      <c r="E3443" s="4" t="str">
        <f>"17367492"</f>
        <v>17367492</v>
      </c>
      <c r="F3443" s="4" t="s">
        <v>390</v>
      </c>
    </row>
    <row r="3444" spans="1:6" x14ac:dyDescent="0.25">
      <c r="A3444" s="4" t="str">
        <f>"Oilfield Review"</f>
        <v>Oilfield Review</v>
      </c>
      <c r="B3444" s="4" t="s">
        <v>6</v>
      </c>
      <c r="C3444" s="4" t="str">
        <f t="shared" si="116"/>
        <v>-</v>
      </c>
      <c r="D3444" s="4" t="str">
        <f>"09231730"</f>
        <v>09231730</v>
      </c>
      <c r="E3444" s="4" t="str">
        <f>"-"</f>
        <v>-</v>
      </c>
      <c r="F3444" s="4" t="s">
        <v>920</v>
      </c>
    </row>
    <row r="3445" spans="1:6" x14ac:dyDescent="0.25">
      <c r="A3445" s="4" t="str">
        <f>"Olympiads in Informatics"</f>
        <v>Olympiads in Informatics</v>
      </c>
      <c r="B3445" s="4" t="s">
        <v>8</v>
      </c>
      <c r="C3445" s="4" t="str">
        <f t="shared" si="116"/>
        <v>-</v>
      </c>
      <c r="D3445" s="4" t="str">
        <f>"18227732"</f>
        <v>18227732</v>
      </c>
      <c r="E3445" s="4" t="str">
        <f>"-"</f>
        <v>-</v>
      </c>
      <c r="F3445" s="4" t="s">
        <v>921</v>
      </c>
    </row>
    <row r="3446" spans="1:6" x14ac:dyDescent="0.25">
      <c r="A3446" s="4" t="str">
        <f>"Online Information Review"</f>
        <v>Online Information Review</v>
      </c>
      <c r="B3446" s="4" t="s">
        <v>6</v>
      </c>
      <c r="C3446" s="4" t="str">
        <f t="shared" si="116"/>
        <v>-</v>
      </c>
      <c r="D3446" s="4" t="str">
        <f>"14684527"</f>
        <v>14684527</v>
      </c>
      <c r="E3446" s="4" t="str">
        <f>"-"</f>
        <v>-</v>
      </c>
      <c r="F3446" s="4" t="s">
        <v>110</v>
      </c>
    </row>
    <row r="3447" spans="1:6" x14ac:dyDescent="0.25">
      <c r="A3447" s="4" t="str">
        <f>"Open Biomedical Engineering Journal"</f>
        <v>Open Biomedical Engineering Journal</v>
      </c>
      <c r="B3447" s="4" t="s">
        <v>6</v>
      </c>
      <c r="C3447" s="4" t="str">
        <f t="shared" si="116"/>
        <v>-</v>
      </c>
      <c r="D3447" s="4" t="str">
        <f t="shared" si="116"/>
        <v>-</v>
      </c>
      <c r="E3447" s="4" t="str">
        <f>"18741207"</f>
        <v>18741207</v>
      </c>
      <c r="F3447" s="4" t="s">
        <v>316</v>
      </c>
    </row>
    <row r="3448" spans="1:6" x14ac:dyDescent="0.25">
      <c r="A3448" s="4" t="str">
        <f>"Open Biotechnology Journal"</f>
        <v>Open Biotechnology Journal</v>
      </c>
      <c r="B3448" s="4" t="s">
        <v>6</v>
      </c>
      <c r="C3448" s="4" t="str">
        <f t="shared" si="116"/>
        <v>-</v>
      </c>
      <c r="D3448" s="4" t="str">
        <f t="shared" si="116"/>
        <v>-</v>
      </c>
      <c r="E3448" s="4" t="str">
        <f>"18740707"</f>
        <v>18740707</v>
      </c>
      <c r="F3448" s="4" t="s">
        <v>316</v>
      </c>
    </row>
    <row r="3449" spans="1:6" x14ac:dyDescent="0.25">
      <c r="A3449" s="4" t="str">
        <f>"Open Chemical Engineering Journal"</f>
        <v>Open Chemical Engineering Journal</v>
      </c>
      <c r="B3449" s="4" t="s">
        <v>6</v>
      </c>
      <c r="C3449" s="4" t="str">
        <f t="shared" si="116"/>
        <v>-</v>
      </c>
      <c r="D3449" s="4" t="str">
        <f t="shared" si="116"/>
        <v>-</v>
      </c>
      <c r="E3449" s="4" t="str">
        <f>"18741231"</f>
        <v>18741231</v>
      </c>
      <c r="F3449" s="4" t="s">
        <v>316</v>
      </c>
    </row>
    <row r="3450" spans="1:6" x14ac:dyDescent="0.25">
      <c r="A3450" s="4" t="str">
        <f>"Open Civil Engineering Journal"</f>
        <v>Open Civil Engineering Journal</v>
      </c>
      <c r="B3450" s="4" t="s">
        <v>6</v>
      </c>
      <c r="C3450" s="4" t="str">
        <f t="shared" si="116"/>
        <v>-</v>
      </c>
      <c r="D3450" s="4" t="str">
        <f t="shared" si="116"/>
        <v>-</v>
      </c>
      <c r="E3450" s="4" t="str">
        <f>"18741495"</f>
        <v>18741495</v>
      </c>
      <c r="F3450" s="4" t="s">
        <v>316</v>
      </c>
    </row>
    <row r="3451" spans="1:6" x14ac:dyDescent="0.25">
      <c r="A3451" s="4" t="str">
        <f>"Open Construction and Building Technology Journal"</f>
        <v>Open Construction and Building Technology Journal</v>
      </c>
      <c r="B3451" s="4" t="s">
        <v>6</v>
      </c>
      <c r="C3451" s="4" t="str">
        <f t="shared" si="116"/>
        <v>-</v>
      </c>
      <c r="D3451" s="4" t="str">
        <f t="shared" si="116"/>
        <v>-</v>
      </c>
      <c r="E3451" s="4" t="str">
        <f>"18748368"</f>
        <v>18748368</v>
      </c>
      <c r="F3451" s="4" t="s">
        <v>316</v>
      </c>
    </row>
    <row r="3452" spans="1:6" x14ac:dyDescent="0.25">
      <c r="A3452" s="4" t="str">
        <f>"Open Cybernetics and Systemics Journal"</f>
        <v>Open Cybernetics and Systemics Journal</v>
      </c>
      <c r="B3452" s="4" t="s">
        <v>6</v>
      </c>
      <c r="C3452" s="4" t="str">
        <f t="shared" si="116"/>
        <v>-</v>
      </c>
      <c r="D3452" s="4" t="str">
        <f t="shared" si="116"/>
        <v>-</v>
      </c>
      <c r="E3452" s="4" t="str">
        <f>"1874110X"</f>
        <v>1874110X</v>
      </c>
      <c r="F3452" s="4" t="s">
        <v>316</v>
      </c>
    </row>
    <row r="3453" spans="1:6" x14ac:dyDescent="0.25">
      <c r="A3453" s="4" t="str">
        <f>"Open Electrical and Electronic Engineering Journal"</f>
        <v>Open Electrical and Electronic Engineering Journal</v>
      </c>
      <c r="B3453" s="4" t="s">
        <v>6</v>
      </c>
      <c r="C3453" s="4" t="str">
        <f t="shared" si="116"/>
        <v>-</v>
      </c>
      <c r="D3453" s="4" t="str">
        <f t="shared" si="116"/>
        <v>-</v>
      </c>
      <c r="E3453" s="4" t="str">
        <f>"18741290"</f>
        <v>18741290</v>
      </c>
      <c r="F3453" s="4" t="s">
        <v>316</v>
      </c>
    </row>
    <row r="3454" spans="1:6" x14ac:dyDescent="0.25">
      <c r="A3454" s="4" t="str">
        <f>"Open Fuels and Energy Science Journal"</f>
        <v>Open Fuels and Energy Science Journal</v>
      </c>
      <c r="B3454" s="4" t="s">
        <v>6</v>
      </c>
      <c r="C3454" s="4" t="str">
        <f t="shared" si="116"/>
        <v>-</v>
      </c>
      <c r="D3454" s="4" t="str">
        <f>"1876973X"</f>
        <v>1876973X</v>
      </c>
      <c r="E3454" s="4" t="str">
        <f>"-"</f>
        <v>-</v>
      </c>
      <c r="F3454" s="4" t="s">
        <v>316</v>
      </c>
    </row>
    <row r="3455" spans="1:6" x14ac:dyDescent="0.25">
      <c r="A3455" s="4" t="str">
        <f>"Open Geosciences"</f>
        <v>Open Geosciences</v>
      </c>
      <c r="B3455" s="4" t="s">
        <v>6</v>
      </c>
      <c r="C3455" s="4" t="str">
        <f t="shared" si="116"/>
        <v>-</v>
      </c>
      <c r="D3455" s="4" t="str">
        <f>"-"</f>
        <v>-</v>
      </c>
      <c r="E3455" s="4" t="str">
        <f>"23915447"</f>
        <v>23915447</v>
      </c>
      <c r="F3455" s="4" t="s">
        <v>41</v>
      </c>
    </row>
    <row r="3456" spans="1:6" x14ac:dyDescent="0.25">
      <c r="A3456" s="4" t="str">
        <f>"Open Materials Science Journal"</f>
        <v>Open Materials Science Journal</v>
      </c>
      <c r="B3456" s="4" t="s">
        <v>6</v>
      </c>
      <c r="C3456" s="4" t="str">
        <f t="shared" si="116"/>
        <v>-</v>
      </c>
      <c r="D3456" s="4" t="str">
        <f>"-"</f>
        <v>-</v>
      </c>
      <c r="E3456" s="4" t="str">
        <f>"1874088X"</f>
        <v>1874088X</v>
      </c>
      <c r="F3456" s="4" t="s">
        <v>316</v>
      </c>
    </row>
    <row r="3457" spans="1:6" x14ac:dyDescent="0.25">
      <c r="A3457" s="4" t="str">
        <f>"Open Petroleum Engineering Journal"</f>
        <v>Open Petroleum Engineering Journal</v>
      </c>
      <c r="B3457" s="4" t="s">
        <v>6</v>
      </c>
      <c r="C3457" s="4" t="str">
        <f t="shared" si="116"/>
        <v>-</v>
      </c>
      <c r="D3457" s="4" t="str">
        <f>"18748341"</f>
        <v>18748341</v>
      </c>
      <c r="E3457" s="4" t="str">
        <f>"-"</f>
        <v>-</v>
      </c>
      <c r="F3457" s="4" t="s">
        <v>316</v>
      </c>
    </row>
    <row r="3458" spans="1:6" x14ac:dyDescent="0.25">
      <c r="A3458" s="4" t="str">
        <f>"OpenAccess Series in Informatics"</f>
        <v>OpenAccess Series in Informatics</v>
      </c>
      <c r="B3458" s="4" t="s">
        <v>8</v>
      </c>
      <c r="C3458" s="4" t="str">
        <f t="shared" si="116"/>
        <v>-</v>
      </c>
      <c r="D3458" s="4" t="str">
        <f>"21906807"</f>
        <v>21906807</v>
      </c>
      <c r="E3458" s="4" t="str">
        <f>"-"</f>
        <v>-</v>
      </c>
      <c r="F3458" s="4" t="s">
        <v>835</v>
      </c>
    </row>
    <row r="3459" spans="1:6" x14ac:dyDescent="0.25">
      <c r="A3459" s="4" t="str">
        <f>"Operating Systems Review (ACM)"</f>
        <v>Operating Systems Review (ACM)</v>
      </c>
      <c r="B3459" s="4" t="s">
        <v>8</v>
      </c>
      <c r="C3459" s="4" t="str">
        <f t="shared" si="116"/>
        <v>-</v>
      </c>
      <c r="D3459" s="4" t="str">
        <f>"01635980"</f>
        <v>01635980</v>
      </c>
      <c r="E3459" s="4" t="str">
        <f>"-"</f>
        <v>-</v>
      </c>
      <c r="F3459" s="4" t="s">
        <v>21</v>
      </c>
    </row>
    <row r="3460" spans="1:6" x14ac:dyDescent="0.25">
      <c r="A3460" s="4" t="str">
        <f>"Operations Research"</f>
        <v>Operations Research</v>
      </c>
      <c r="B3460" s="4" t="s">
        <v>6</v>
      </c>
      <c r="C3460" s="4" t="str">
        <f t="shared" si="116"/>
        <v>-</v>
      </c>
      <c r="D3460" s="4" t="str">
        <f>"0030364X"</f>
        <v>0030364X</v>
      </c>
      <c r="E3460" s="4" t="str">
        <f>"15265463"</f>
        <v>15265463</v>
      </c>
      <c r="F3460" s="4" t="s">
        <v>538</v>
      </c>
    </row>
    <row r="3461" spans="1:6" x14ac:dyDescent="0.25">
      <c r="A3461" s="4" t="str">
        <f>"Operations Research Letters"</f>
        <v>Operations Research Letters</v>
      </c>
      <c r="B3461" s="4" t="s">
        <v>6</v>
      </c>
      <c r="C3461" s="4" t="str">
        <f t="shared" si="116"/>
        <v>-</v>
      </c>
      <c r="D3461" s="4" t="str">
        <f>"01676377"</f>
        <v>01676377</v>
      </c>
      <c r="E3461" s="4" t="str">
        <f>"-"</f>
        <v>-</v>
      </c>
      <c r="F3461" s="4" t="s">
        <v>55</v>
      </c>
    </row>
    <row r="3462" spans="1:6" x14ac:dyDescent="0.25">
      <c r="A3462" s="4" t="str">
        <f>"Optica Applicata"</f>
        <v>Optica Applicata</v>
      </c>
      <c r="B3462" s="4" t="s">
        <v>6</v>
      </c>
      <c r="C3462" s="4" t="str">
        <f t="shared" si="116"/>
        <v>-</v>
      </c>
      <c r="D3462" s="4" t="str">
        <f>"00785466"</f>
        <v>00785466</v>
      </c>
      <c r="E3462" s="4" t="str">
        <f>"-"</f>
        <v>-</v>
      </c>
      <c r="F3462" s="4" t="s">
        <v>383</v>
      </c>
    </row>
    <row r="3463" spans="1:6" x14ac:dyDescent="0.25">
      <c r="A3463" s="4" t="str">
        <f>"Optical and Quantum Electronics"</f>
        <v>Optical and Quantum Electronics</v>
      </c>
      <c r="B3463" s="4" t="s">
        <v>6</v>
      </c>
      <c r="C3463" s="4" t="str">
        <f t="shared" si="116"/>
        <v>-</v>
      </c>
      <c r="D3463" s="4" t="str">
        <f>"03068919"</f>
        <v>03068919</v>
      </c>
      <c r="E3463" s="4" t="str">
        <f>"1572817X"</f>
        <v>1572817X</v>
      </c>
      <c r="F3463" s="4" t="s">
        <v>57</v>
      </c>
    </row>
    <row r="3464" spans="1:6" x14ac:dyDescent="0.25">
      <c r="A3464" s="4" t="str">
        <f>"Optical Engineering"</f>
        <v>Optical Engineering</v>
      </c>
      <c r="B3464" s="4" t="s">
        <v>6</v>
      </c>
      <c r="C3464" s="4" t="str">
        <f t="shared" si="116"/>
        <v>-</v>
      </c>
      <c r="D3464" s="4" t="str">
        <f>"00913286"</f>
        <v>00913286</v>
      </c>
      <c r="E3464" s="4" t="str">
        <f>"15602303"</f>
        <v>15602303</v>
      </c>
      <c r="F3464" s="4" t="s">
        <v>663</v>
      </c>
    </row>
    <row r="3465" spans="1:6" x14ac:dyDescent="0.25">
      <c r="A3465" s="4" t="str">
        <f>"Optical Fiber Technology"</f>
        <v>Optical Fiber Technology</v>
      </c>
      <c r="B3465" s="4" t="s">
        <v>6</v>
      </c>
      <c r="C3465" s="4" t="str">
        <f t="shared" si="116"/>
        <v>-</v>
      </c>
      <c r="D3465" s="4" t="str">
        <f>"10685200"</f>
        <v>10685200</v>
      </c>
      <c r="E3465" s="4" t="str">
        <f>"-"</f>
        <v>-</v>
      </c>
      <c r="F3465" s="4" t="s">
        <v>71</v>
      </c>
    </row>
    <row r="3466" spans="1:6" x14ac:dyDescent="0.25">
      <c r="A3466" s="4" t="str">
        <f>"Optical Materials"</f>
        <v>Optical Materials</v>
      </c>
      <c r="B3466" s="4" t="s">
        <v>6</v>
      </c>
      <c r="C3466" s="4" t="str">
        <f t="shared" si="116"/>
        <v>-</v>
      </c>
      <c r="D3466" s="4" t="str">
        <f>"09253467"</f>
        <v>09253467</v>
      </c>
      <c r="E3466" s="4" t="str">
        <f>"-"</f>
        <v>-</v>
      </c>
      <c r="F3466" s="4" t="s">
        <v>55</v>
      </c>
    </row>
    <row r="3467" spans="1:6" x14ac:dyDescent="0.25">
      <c r="A3467" s="4" t="str">
        <f>"Optical Materials Express"</f>
        <v>Optical Materials Express</v>
      </c>
      <c r="B3467" s="4" t="s">
        <v>6</v>
      </c>
      <c r="C3467" s="4" t="str">
        <f t="shared" si="116"/>
        <v>-</v>
      </c>
      <c r="D3467" s="4" t="str">
        <f>"-"</f>
        <v>-</v>
      </c>
      <c r="E3467" s="4" t="str">
        <f>"21593930"</f>
        <v>21593930</v>
      </c>
      <c r="F3467" s="4" t="s">
        <v>86</v>
      </c>
    </row>
    <row r="3468" spans="1:6" x14ac:dyDescent="0.25">
      <c r="A3468" s="4" t="str">
        <f>"Optical Memory and Neural Networks (Information Optics)"</f>
        <v>Optical Memory and Neural Networks (Information Optics)</v>
      </c>
      <c r="B3468" s="4" t="s">
        <v>6</v>
      </c>
      <c r="C3468" s="4" t="str">
        <f t="shared" si="116"/>
        <v>-</v>
      </c>
      <c r="D3468" s="4" t="str">
        <f>"1060992X"</f>
        <v>1060992X</v>
      </c>
      <c r="E3468" s="4" t="str">
        <f>"19347898"</f>
        <v>19347898</v>
      </c>
      <c r="F3468" s="4" t="s">
        <v>145</v>
      </c>
    </row>
    <row r="3469" spans="1:6" x14ac:dyDescent="0.25">
      <c r="A3469" s="4" t="str">
        <f>"Optical Nanoscopy"</f>
        <v>Optical Nanoscopy</v>
      </c>
      <c r="B3469" s="4" t="s">
        <v>6</v>
      </c>
      <c r="C3469" s="4" t="str">
        <f t="shared" si="116"/>
        <v>-</v>
      </c>
      <c r="D3469" s="4" t="str">
        <f>"-"</f>
        <v>-</v>
      </c>
      <c r="E3469" s="4" t="str">
        <f>"21922853"</f>
        <v>21922853</v>
      </c>
      <c r="F3469" s="4" t="s">
        <v>42</v>
      </c>
    </row>
    <row r="3470" spans="1:6" x14ac:dyDescent="0.25">
      <c r="A3470" s="4" t="str">
        <f>"Optical Switching and Networking"</f>
        <v>Optical Switching and Networking</v>
      </c>
      <c r="B3470" s="4" t="s">
        <v>6</v>
      </c>
      <c r="C3470" s="4" t="str">
        <f t="shared" si="116"/>
        <v>-</v>
      </c>
      <c r="D3470" s="4" t="str">
        <f>"15734277"</f>
        <v>15734277</v>
      </c>
      <c r="E3470" s="4" t="str">
        <f>"-"</f>
        <v>-</v>
      </c>
      <c r="F3470" s="4" t="s">
        <v>55</v>
      </c>
    </row>
    <row r="3471" spans="1:6" x14ac:dyDescent="0.25">
      <c r="A3471" s="4" t="str">
        <f>"Optics and Laser Technology"</f>
        <v>Optics and Laser Technology</v>
      </c>
      <c r="B3471" s="4" t="s">
        <v>6</v>
      </c>
      <c r="C3471" s="4" t="str">
        <f t="shared" si="116"/>
        <v>-</v>
      </c>
      <c r="D3471" s="4" t="str">
        <f>"00303992"</f>
        <v>00303992</v>
      </c>
      <c r="E3471" s="4" t="str">
        <f>"-"</f>
        <v>-</v>
      </c>
      <c r="F3471" s="4" t="s">
        <v>19</v>
      </c>
    </row>
    <row r="3472" spans="1:6" x14ac:dyDescent="0.25">
      <c r="A3472" s="4" t="str">
        <f>"Optics and Lasers in Engineering"</f>
        <v>Optics and Lasers in Engineering</v>
      </c>
      <c r="B3472" s="4" t="s">
        <v>6</v>
      </c>
      <c r="C3472" s="4" t="str">
        <f t="shared" si="116"/>
        <v>-</v>
      </c>
      <c r="D3472" s="4" t="str">
        <f>"01438166"</f>
        <v>01438166</v>
      </c>
      <c r="E3472" s="4" t="str">
        <f>"-"</f>
        <v>-</v>
      </c>
      <c r="F3472" s="4" t="s">
        <v>19</v>
      </c>
    </row>
    <row r="3473" spans="1:6" x14ac:dyDescent="0.25">
      <c r="A3473" s="4" t="str">
        <f>"Optics and Spectroscopy (English translation of Optika i Spektroskopiya)"</f>
        <v>Optics and Spectroscopy (English translation of Optika i Spektroskopiya)</v>
      </c>
      <c r="B3473" s="4" t="s">
        <v>6</v>
      </c>
      <c r="C3473" s="4" t="str">
        <f t="shared" si="116"/>
        <v>-</v>
      </c>
      <c r="D3473" s="4" t="str">
        <f>"0030400X"</f>
        <v>0030400X</v>
      </c>
      <c r="E3473" s="4" t="str">
        <f>"15626911"</f>
        <v>15626911</v>
      </c>
      <c r="F3473" s="4" t="s">
        <v>24</v>
      </c>
    </row>
    <row r="3474" spans="1:6" x14ac:dyDescent="0.25">
      <c r="A3474" s="4" t="str">
        <f>"Optics Communications"</f>
        <v>Optics Communications</v>
      </c>
      <c r="B3474" s="4" t="s">
        <v>6</v>
      </c>
      <c r="C3474" s="4" t="str">
        <f t="shared" si="116"/>
        <v>-</v>
      </c>
      <c r="D3474" s="4" t="str">
        <f>"00304018"</f>
        <v>00304018</v>
      </c>
      <c r="E3474" s="4" t="str">
        <f>"-"</f>
        <v>-</v>
      </c>
      <c r="F3474" s="4" t="s">
        <v>55</v>
      </c>
    </row>
    <row r="3475" spans="1:6" x14ac:dyDescent="0.25">
      <c r="A3475" s="4" t="str">
        <f>"Optics Express"</f>
        <v>Optics Express</v>
      </c>
      <c r="B3475" s="4" t="s">
        <v>6</v>
      </c>
      <c r="C3475" s="4" t="str">
        <f t="shared" ref="C3475:C3538" si="117">"-"</f>
        <v>-</v>
      </c>
      <c r="D3475" s="4" t="str">
        <f>"-"</f>
        <v>-</v>
      </c>
      <c r="E3475" s="4" t="str">
        <f>"10944087"</f>
        <v>10944087</v>
      </c>
      <c r="F3475" s="4" t="s">
        <v>86</v>
      </c>
    </row>
    <row r="3476" spans="1:6" x14ac:dyDescent="0.25">
      <c r="A3476" s="4" t="str">
        <f>"Optics InfoBase Conference Papers"</f>
        <v>Optics InfoBase Conference Papers</v>
      </c>
      <c r="B3476" s="4" t="s">
        <v>8</v>
      </c>
      <c r="C3476" s="4" t="str">
        <f t="shared" si="117"/>
        <v>-</v>
      </c>
      <c r="D3476" s="4" t="str">
        <f>"-"</f>
        <v>-</v>
      </c>
      <c r="E3476" s="4" t="str">
        <f>"21622701"</f>
        <v>21622701</v>
      </c>
      <c r="F3476" s="4" t="s">
        <v>86</v>
      </c>
    </row>
    <row r="3477" spans="1:6" x14ac:dyDescent="0.25">
      <c r="A3477" s="4" t="str">
        <f>"Optics Letters"</f>
        <v>Optics Letters</v>
      </c>
      <c r="B3477" s="4" t="s">
        <v>6</v>
      </c>
      <c r="C3477" s="4" t="str">
        <f t="shared" si="117"/>
        <v>-</v>
      </c>
      <c r="D3477" s="4" t="str">
        <f>"01469592"</f>
        <v>01469592</v>
      </c>
      <c r="E3477" s="4" t="str">
        <f>"15394794"</f>
        <v>15394794</v>
      </c>
      <c r="F3477" s="4" t="s">
        <v>86</v>
      </c>
    </row>
    <row r="3478" spans="1:6" x14ac:dyDescent="0.25">
      <c r="A3478" s="4" t="str">
        <f>"Optik"</f>
        <v>Optik</v>
      </c>
      <c r="B3478" s="4" t="s">
        <v>6</v>
      </c>
      <c r="C3478" s="4" t="str">
        <f t="shared" si="117"/>
        <v>-</v>
      </c>
      <c r="D3478" s="4" t="str">
        <f>"00304026"</f>
        <v>00304026</v>
      </c>
      <c r="E3478" s="4" t="str">
        <f>"-"</f>
        <v>-</v>
      </c>
      <c r="F3478" s="4" t="s">
        <v>100</v>
      </c>
    </row>
    <row r="3479" spans="1:6" x14ac:dyDescent="0.25">
      <c r="A3479" s="4" t="str">
        <f>"Optimal Control Applications and Methods"</f>
        <v>Optimal Control Applications and Methods</v>
      </c>
      <c r="B3479" s="4" t="s">
        <v>6</v>
      </c>
      <c r="C3479" s="4" t="str">
        <f t="shared" si="117"/>
        <v>-</v>
      </c>
      <c r="D3479" s="4" t="str">
        <f>"01432087"</f>
        <v>01432087</v>
      </c>
      <c r="E3479" s="4" t="str">
        <f>"10991514"</f>
        <v>10991514</v>
      </c>
      <c r="F3479" s="4" t="s">
        <v>142</v>
      </c>
    </row>
    <row r="3480" spans="1:6" x14ac:dyDescent="0.25">
      <c r="A3480" s="4" t="str">
        <f>"Optimization and Engineering"</f>
        <v>Optimization and Engineering</v>
      </c>
      <c r="B3480" s="4" t="s">
        <v>6</v>
      </c>
      <c r="C3480" s="4" t="str">
        <f t="shared" si="117"/>
        <v>-</v>
      </c>
      <c r="D3480" s="4" t="str">
        <f>"13894420"</f>
        <v>13894420</v>
      </c>
      <c r="E3480" s="4" t="str">
        <f>"15732924"</f>
        <v>15732924</v>
      </c>
      <c r="F3480" s="4" t="s">
        <v>57</v>
      </c>
    </row>
    <row r="3481" spans="1:6" x14ac:dyDescent="0.25">
      <c r="A3481" s="4" t="str">
        <f>"Optimization in Industry"</f>
        <v>Optimization in Industry</v>
      </c>
      <c r="B3481" s="4" t="s">
        <v>8</v>
      </c>
      <c r="C3481" s="4" t="str">
        <f t="shared" si="117"/>
        <v>-</v>
      </c>
      <c r="D3481" s="4" t="str">
        <f>"-"</f>
        <v>-</v>
      </c>
      <c r="E3481" s="4" t="str">
        <f>"-"</f>
        <v>-</v>
      </c>
      <c r="F3481" s="4" t="s">
        <v>73</v>
      </c>
    </row>
    <row r="3482" spans="1:6" x14ac:dyDescent="0.25">
      <c r="A3482" s="4" t="str">
        <f>"Optimization Letters"</f>
        <v>Optimization Letters</v>
      </c>
      <c r="B3482" s="4" t="s">
        <v>6</v>
      </c>
      <c r="C3482" s="4" t="str">
        <f t="shared" si="117"/>
        <v>-</v>
      </c>
      <c r="D3482" s="4" t="str">
        <f>"18624472"</f>
        <v>18624472</v>
      </c>
      <c r="E3482" s="4" t="str">
        <f>"18624480"</f>
        <v>18624480</v>
      </c>
      <c r="F3482" s="4" t="s">
        <v>42</v>
      </c>
    </row>
    <row r="3483" spans="1:6" x14ac:dyDescent="0.25">
      <c r="A3483" s="4" t="str">
        <f>"Optimization Methods and Software"</f>
        <v>Optimization Methods and Software</v>
      </c>
      <c r="B3483" s="4" t="s">
        <v>6</v>
      </c>
      <c r="C3483" s="4" t="str">
        <f t="shared" si="117"/>
        <v>-</v>
      </c>
      <c r="D3483" s="4" t="str">
        <f>"10556788"</f>
        <v>10556788</v>
      </c>
      <c r="E3483" s="4" t="str">
        <f>"10294937"</f>
        <v>10294937</v>
      </c>
      <c r="F3483" s="4" t="s">
        <v>60</v>
      </c>
    </row>
    <row r="3484" spans="1:6" x14ac:dyDescent="0.25">
      <c r="A3484" s="4" t="str">
        <f>"Optoelectronics Letters"</f>
        <v>Optoelectronics Letters</v>
      </c>
      <c r="B3484" s="4" t="s">
        <v>6</v>
      </c>
      <c r="C3484" s="4" t="str">
        <f t="shared" si="117"/>
        <v>-</v>
      </c>
      <c r="D3484" s="4" t="str">
        <f>"16731905"</f>
        <v>16731905</v>
      </c>
      <c r="E3484" s="4" t="str">
        <f>"-"</f>
        <v>-</v>
      </c>
      <c r="F3484" s="4" t="s">
        <v>42</v>
      </c>
    </row>
    <row r="3485" spans="1:6" x14ac:dyDescent="0.25">
      <c r="A3485" s="4" t="str">
        <f>"Opto-electronics Review"</f>
        <v>Opto-electronics Review</v>
      </c>
      <c r="B3485" s="4" t="s">
        <v>6</v>
      </c>
      <c r="C3485" s="4" t="str">
        <f t="shared" si="117"/>
        <v>-</v>
      </c>
      <c r="D3485" s="4" t="str">
        <f>"12303402"</f>
        <v>12303402</v>
      </c>
      <c r="E3485" s="4" t="str">
        <f>"18963757"</f>
        <v>18963757</v>
      </c>
      <c r="F3485" s="4" t="s">
        <v>41</v>
      </c>
    </row>
    <row r="3486" spans="1:6" x14ac:dyDescent="0.25">
      <c r="A3486" s="4" t="str">
        <f>"Optoelectronics, Instrumentation and Data Processing"</f>
        <v>Optoelectronics, Instrumentation and Data Processing</v>
      </c>
      <c r="B3486" s="4" t="s">
        <v>6</v>
      </c>
      <c r="C3486" s="4" t="str">
        <f t="shared" si="117"/>
        <v>-</v>
      </c>
      <c r="D3486" s="4" t="str">
        <f>"87566990"</f>
        <v>87566990</v>
      </c>
      <c r="E3486" s="4" t="str">
        <f>"19347944"</f>
        <v>19347944</v>
      </c>
      <c r="F3486" s="4" t="s">
        <v>145</v>
      </c>
    </row>
    <row r="3487" spans="1:6" x14ac:dyDescent="0.25">
      <c r="A3487" s="4" t="str">
        <f>"Optometry and Vision Science"</f>
        <v>Optometry and Vision Science</v>
      </c>
      <c r="B3487" s="4" t="s">
        <v>6</v>
      </c>
      <c r="C3487" s="4" t="str">
        <f t="shared" si="117"/>
        <v>-</v>
      </c>
      <c r="D3487" s="4" t="str">
        <f>"10405488"</f>
        <v>10405488</v>
      </c>
      <c r="E3487" s="4" t="str">
        <f>"15389235"</f>
        <v>15389235</v>
      </c>
      <c r="F3487" s="4" t="s">
        <v>154</v>
      </c>
    </row>
    <row r="3488" spans="1:6" x14ac:dyDescent="0.25">
      <c r="A3488" s="4" t="str">
        <f>"Ore Geology Reviews"</f>
        <v>Ore Geology Reviews</v>
      </c>
      <c r="B3488" s="4" t="s">
        <v>6</v>
      </c>
      <c r="C3488" s="4" t="str">
        <f t="shared" si="117"/>
        <v>-</v>
      </c>
      <c r="D3488" s="4" t="str">
        <f>"01691368"</f>
        <v>01691368</v>
      </c>
      <c r="E3488" s="4" t="str">
        <f>"-"</f>
        <v>-</v>
      </c>
      <c r="F3488" s="4" t="s">
        <v>55</v>
      </c>
    </row>
    <row r="3489" spans="1:6" x14ac:dyDescent="0.25">
      <c r="A3489" s="4" t="str">
        <f>"Organic and Biomolecular Chemistry"</f>
        <v>Organic and Biomolecular Chemistry</v>
      </c>
      <c r="B3489" s="4" t="s">
        <v>6</v>
      </c>
      <c r="C3489" s="4" t="str">
        <f t="shared" si="117"/>
        <v>-</v>
      </c>
      <c r="D3489" s="4" t="str">
        <f>"14770520"</f>
        <v>14770520</v>
      </c>
      <c r="E3489" s="4" t="str">
        <f>"-"</f>
        <v>-</v>
      </c>
      <c r="F3489" s="4" t="s">
        <v>121</v>
      </c>
    </row>
    <row r="3490" spans="1:6" x14ac:dyDescent="0.25">
      <c r="A3490" s="4" t="str">
        <f>"Organic Electronics: physics, materials, applications"</f>
        <v>Organic Electronics: physics, materials, applications</v>
      </c>
      <c r="B3490" s="4" t="s">
        <v>6</v>
      </c>
      <c r="C3490" s="4" t="str">
        <f t="shared" si="117"/>
        <v>-</v>
      </c>
      <c r="D3490" s="4" t="str">
        <f>"15661199"</f>
        <v>15661199</v>
      </c>
      <c r="E3490" s="4" t="str">
        <f>"-"</f>
        <v>-</v>
      </c>
      <c r="F3490" s="4" t="s">
        <v>55</v>
      </c>
    </row>
    <row r="3491" spans="1:6" x14ac:dyDescent="0.25">
      <c r="A3491" s="4" t="str">
        <f>"Organic Geochemistry"</f>
        <v>Organic Geochemistry</v>
      </c>
      <c r="B3491" s="4" t="s">
        <v>6</v>
      </c>
      <c r="C3491" s="4" t="str">
        <f t="shared" si="117"/>
        <v>-</v>
      </c>
      <c r="D3491" s="4" t="str">
        <f>"01466380"</f>
        <v>01466380</v>
      </c>
      <c r="E3491" s="4" t="str">
        <f>"-"</f>
        <v>-</v>
      </c>
      <c r="F3491" s="4" t="s">
        <v>19</v>
      </c>
    </row>
    <row r="3492" spans="1:6" x14ac:dyDescent="0.25">
      <c r="A3492" s="4" t="str">
        <f>"Organic Process Research and Development"</f>
        <v>Organic Process Research and Development</v>
      </c>
      <c r="B3492" s="4" t="s">
        <v>6</v>
      </c>
      <c r="C3492" s="4" t="str">
        <f t="shared" si="117"/>
        <v>-</v>
      </c>
      <c r="D3492" s="4" t="str">
        <f>"10836160"</f>
        <v>10836160</v>
      </c>
      <c r="E3492" s="4" t="str">
        <f>"1520586X"</f>
        <v>1520586X</v>
      </c>
      <c r="F3492" s="4" t="s">
        <v>28</v>
      </c>
    </row>
    <row r="3493" spans="1:6" x14ac:dyDescent="0.25">
      <c r="A3493" s="4" t="str">
        <f>"Organometallics"</f>
        <v>Organometallics</v>
      </c>
      <c r="B3493" s="4" t="s">
        <v>6</v>
      </c>
      <c r="C3493" s="4" t="str">
        <f t="shared" si="117"/>
        <v>-</v>
      </c>
      <c r="D3493" s="4" t="str">
        <f>"02767333"</f>
        <v>02767333</v>
      </c>
      <c r="E3493" s="4" t="str">
        <f>"15206041"</f>
        <v>15206041</v>
      </c>
      <c r="F3493" s="4" t="s">
        <v>28</v>
      </c>
    </row>
    <row r="3494" spans="1:6" x14ac:dyDescent="0.25">
      <c r="A3494" s="4" t="str">
        <f>"OSA Trends in Optics and Photonics Series"</f>
        <v>OSA Trends in Optics and Photonics Series</v>
      </c>
      <c r="B3494" s="4" t="s">
        <v>8</v>
      </c>
      <c r="C3494" s="4" t="str">
        <f t="shared" si="117"/>
        <v>-</v>
      </c>
      <c r="D3494" s="4" t="str">
        <f>"10945695"</f>
        <v>10945695</v>
      </c>
      <c r="E3494" s="4" t="str">
        <f>"-"</f>
        <v>-</v>
      </c>
      <c r="F3494" s="4" t="s">
        <v>86</v>
      </c>
    </row>
    <row r="3495" spans="1:6" x14ac:dyDescent="0.25">
      <c r="A3495" s="4" t="str">
        <f>"Oxidation of Metals"</f>
        <v>Oxidation of Metals</v>
      </c>
      <c r="B3495" s="4" t="s">
        <v>6</v>
      </c>
      <c r="C3495" s="4" t="str">
        <f t="shared" si="117"/>
        <v>-</v>
      </c>
      <c r="D3495" s="4" t="str">
        <f>"0030770X"</f>
        <v>0030770X</v>
      </c>
      <c r="E3495" s="4" t="str">
        <f>"-"</f>
        <v>-</v>
      </c>
      <c r="F3495" s="4" t="s">
        <v>57</v>
      </c>
    </row>
    <row r="3496" spans="1:6" x14ac:dyDescent="0.25">
      <c r="A3496" s="4" t="str">
        <f>"Oxidative Medicine and Cellular Longevity"</f>
        <v>Oxidative Medicine and Cellular Longevity</v>
      </c>
      <c r="B3496" s="4" t="s">
        <v>6</v>
      </c>
      <c r="C3496" s="4" t="str">
        <f t="shared" si="117"/>
        <v>-</v>
      </c>
      <c r="D3496" s="4" t="str">
        <f>"19420900"</f>
        <v>19420900</v>
      </c>
      <c r="E3496" s="4" t="str">
        <f>"19420994"</f>
        <v>19420994</v>
      </c>
      <c r="F3496" s="4" t="s">
        <v>54</v>
      </c>
    </row>
    <row r="3497" spans="1:6" x14ac:dyDescent="0.25">
      <c r="A3497" s="4" t="str">
        <f>"Ozone: Science and Engineering"</f>
        <v>Ozone: Science and Engineering</v>
      </c>
      <c r="B3497" s="4" t="s">
        <v>6</v>
      </c>
      <c r="C3497" s="4" t="str">
        <f t="shared" si="117"/>
        <v>-</v>
      </c>
      <c r="D3497" s="4" t="str">
        <f>"01919512"</f>
        <v>01919512</v>
      </c>
      <c r="E3497" s="4" t="str">
        <f>"15476545"</f>
        <v>15476545</v>
      </c>
      <c r="F3497" s="4" t="s">
        <v>96</v>
      </c>
    </row>
    <row r="3498" spans="1:6" x14ac:dyDescent="0.25">
      <c r="A3498" s="4" t="str">
        <f>"Pacific Rim Conference on Lasers and Electro-Optics, CLEO - Technical Digest"</f>
        <v>Pacific Rim Conference on Lasers and Electro-Optics, CLEO - Technical Digest</v>
      </c>
      <c r="B3498" s="4" t="s">
        <v>8</v>
      </c>
      <c r="C3498" s="4" t="str">
        <f t="shared" si="117"/>
        <v>-</v>
      </c>
      <c r="D3498" s="4" t="str">
        <f>"-"</f>
        <v>-</v>
      </c>
      <c r="E3498" s="4" t="str">
        <f>"-"</f>
        <v>-</v>
      </c>
      <c r="F3498" s="4" t="s">
        <v>105</v>
      </c>
    </row>
    <row r="3499" spans="1:6" x14ac:dyDescent="0.25">
      <c r="A3499" s="4" t="str">
        <f>"Packaging Technology and Science"</f>
        <v>Packaging Technology and Science</v>
      </c>
      <c r="B3499" s="4" t="s">
        <v>6</v>
      </c>
      <c r="C3499" s="4" t="str">
        <f t="shared" si="117"/>
        <v>-</v>
      </c>
      <c r="D3499" s="4" t="str">
        <f>"08943214"</f>
        <v>08943214</v>
      </c>
      <c r="E3499" s="4" t="str">
        <f>"10991522"</f>
        <v>10991522</v>
      </c>
      <c r="F3499" s="4" t="s">
        <v>142</v>
      </c>
    </row>
    <row r="3500" spans="1:6" x14ac:dyDescent="0.25">
      <c r="A3500" s="4" t="str">
        <f>"Packaging, Transport, Storage and Security of Radioactive Material"</f>
        <v>Packaging, Transport, Storage and Security of Radioactive Material</v>
      </c>
      <c r="B3500" s="4" t="s">
        <v>6</v>
      </c>
      <c r="C3500" s="4" t="str">
        <f t="shared" si="117"/>
        <v>-</v>
      </c>
      <c r="D3500" s="4" t="str">
        <f>"17465095"</f>
        <v>17465095</v>
      </c>
      <c r="E3500" s="4" t="str">
        <f>"17465109"</f>
        <v>17465109</v>
      </c>
      <c r="F3500" s="4" t="s">
        <v>70</v>
      </c>
    </row>
    <row r="3501" spans="1:6" x14ac:dyDescent="0.25">
      <c r="A3501" s="4" t="str">
        <f>"Paddy and Water Environment"</f>
        <v>Paddy and Water Environment</v>
      </c>
      <c r="B3501" s="4" t="s">
        <v>6</v>
      </c>
      <c r="C3501" s="4" t="str">
        <f t="shared" si="117"/>
        <v>-</v>
      </c>
      <c r="D3501" s="4" t="str">
        <f>"16112490"</f>
        <v>16112490</v>
      </c>
      <c r="E3501" s="4" t="str">
        <f>"16112504"</f>
        <v>16112504</v>
      </c>
      <c r="F3501" s="4" t="s">
        <v>42</v>
      </c>
    </row>
    <row r="3502" spans="1:6" x14ac:dyDescent="0.25">
      <c r="A3502" s="4" t="str">
        <f>"Palpu Chongi Gisul/Journal of Korea Technical Association of the Pulp and Paper Industry"</f>
        <v>Palpu Chongi Gisul/Journal of Korea Technical Association of the Pulp and Paper Industry</v>
      </c>
      <c r="B3502" s="4" t="s">
        <v>6</v>
      </c>
      <c r="C3502" s="4" t="str">
        <f t="shared" si="117"/>
        <v>-</v>
      </c>
      <c r="D3502" s="4" t="str">
        <f>"02533200"</f>
        <v>02533200</v>
      </c>
      <c r="E3502" s="4" t="str">
        <f>"-"</f>
        <v>-</v>
      </c>
      <c r="F3502" s="4" t="s">
        <v>922</v>
      </c>
    </row>
    <row r="3503" spans="1:6" x14ac:dyDescent="0.25">
      <c r="A3503" s="4" t="str">
        <f>"Pan American Health Care Exchanges, PAHCE"</f>
        <v>Pan American Health Care Exchanges, PAHCE</v>
      </c>
      <c r="B3503" s="4" t="s">
        <v>8</v>
      </c>
      <c r="C3503" s="4" t="str">
        <f t="shared" si="117"/>
        <v>-</v>
      </c>
      <c r="D3503" s="4" t="str">
        <f>"23278161"</f>
        <v>23278161</v>
      </c>
      <c r="E3503" s="4" t="str">
        <f>"2327817X"</f>
        <v>2327817X</v>
      </c>
      <c r="F3503" s="4" t="s">
        <v>9</v>
      </c>
    </row>
    <row r="3504" spans="1:6" x14ac:dyDescent="0.25">
      <c r="A3504" s="4" t="str">
        <f>"Paper Asia"</f>
        <v>Paper Asia</v>
      </c>
      <c r="B3504" s="4" t="s">
        <v>22</v>
      </c>
      <c r="C3504" s="4" t="str">
        <f t="shared" si="117"/>
        <v>-</v>
      </c>
      <c r="D3504" s="4" t="str">
        <f>"02184540"</f>
        <v>02184540</v>
      </c>
      <c r="E3504" s="4" t="str">
        <f t="shared" ref="E3504:E3510" si="118">"-"</f>
        <v>-</v>
      </c>
      <c r="F3504" s="4" t="s">
        <v>923</v>
      </c>
    </row>
    <row r="3505" spans="1:6" x14ac:dyDescent="0.25">
      <c r="A3505" s="4" t="str">
        <f>"Paper Technology"</f>
        <v>Paper Technology</v>
      </c>
      <c r="B3505" s="4" t="s">
        <v>22</v>
      </c>
      <c r="C3505" s="4" t="str">
        <f t="shared" si="117"/>
        <v>-</v>
      </c>
      <c r="D3505" s="4" t="str">
        <f>"09586024"</f>
        <v>09586024</v>
      </c>
      <c r="E3505" s="4" t="str">
        <f t="shared" si="118"/>
        <v>-</v>
      </c>
      <c r="F3505" s="4" t="s">
        <v>924</v>
      </c>
    </row>
    <row r="3506" spans="1:6" x14ac:dyDescent="0.25">
      <c r="A3506" s="4" t="str">
        <f>"Papers Presented at the Annual Conference - Rural Electric Power Conference"</f>
        <v>Papers Presented at the Annual Conference - Rural Electric Power Conference</v>
      </c>
      <c r="B3506" s="4" t="s">
        <v>8</v>
      </c>
      <c r="C3506" s="4" t="str">
        <f t="shared" si="117"/>
        <v>-</v>
      </c>
      <c r="D3506" s="4" t="str">
        <f>"07347464"</f>
        <v>07347464</v>
      </c>
      <c r="E3506" s="4" t="str">
        <f t="shared" si="118"/>
        <v>-</v>
      </c>
      <c r="F3506" s="4" t="s">
        <v>105</v>
      </c>
    </row>
    <row r="3507" spans="1:6" x14ac:dyDescent="0.25">
      <c r="A3507" s="4" t="str">
        <f>"Parallel and Distributed Computing, Applications and Technologies, PDCAT Proceedings"</f>
        <v>Parallel and Distributed Computing, Applications and Technologies, PDCAT Proceedings</v>
      </c>
      <c r="B3507" s="4" t="s">
        <v>8</v>
      </c>
      <c r="C3507" s="4" t="str">
        <f t="shared" si="117"/>
        <v>-</v>
      </c>
      <c r="D3507" s="4" t="str">
        <f>"-"</f>
        <v>-</v>
      </c>
      <c r="E3507" s="4" t="str">
        <f t="shared" si="118"/>
        <v>-</v>
      </c>
      <c r="F3507" s="4" t="s">
        <v>9</v>
      </c>
    </row>
    <row r="3508" spans="1:6" x14ac:dyDescent="0.25">
      <c r="A3508" s="4" t="str">
        <f>"Parallel Architectures and Compilation Techniques - Conference Proceedings, PACT"</f>
        <v>Parallel Architectures and Compilation Techniques - Conference Proceedings, PACT</v>
      </c>
      <c r="B3508" s="4" t="s">
        <v>8</v>
      </c>
      <c r="C3508" s="4" t="str">
        <f t="shared" si="117"/>
        <v>-</v>
      </c>
      <c r="D3508" s="4" t="str">
        <f>"1089795X"</f>
        <v>1089795X</v>
      </c>
      <c r="E3508" s="4" t="str">
        <f t="shared" si="118"/>
        <v>-</v>
      </c>
      <c r="F3508" s="4" t="s">
        <v>105</v>
      </c>
    </row>
    <row r="3509" spans="1:6" x14ac:dyDescent="0.25">
      <c r="A3509" s="4" t="str">
        <f>"Parallel Computing"</f>
        <v>Parallel Computing</v>
      </c>
      <c r="B3509" s="4" t="s">
        <v>6</v>
      </c>
      <c r="C3509" s="4" t="str">
        <f t="shared" si="117"/>
        <v>-</v>
      </c>
      <c r="D3509" s="4" t="str">
        <f>"01678191"</f>
        <v>01678191</v>
      </c>
      <c r="E3509" s="4" t="str">
        <f t="shared" si="118"/>
        <v>-</v>
      </c>
      <c r="F3509" s="4" t="s">
        <v>55</v>
      </c>
    </row>
    <row r="3510" spans="1:6" x14ac:dyDescent="0.25">
      <c r="A3510" s="4" t="str">
        <f>"Parallel Processing Letters"</f>
        <v>Parallel Processing Letters</v>
      </c>
      <c r="B3510" s="4" t="s">
        <v>6</v>
      </c>
      <c r="C3510" s="4" t="str">
        <f t="shared" si="117"/>
        <v>-</v>
      </c>
      <c r="D3510" s="4" t="str">
        <f>"01296264"</f>
        <v>01296264</v>
      </c>
      <c r="E3510" s="4" t="str">
        <f t="shared" si="118"/>
        <v>-</v>
      </c>
      <c r="F3510" s="4" t="s">
        <v>157</v>
      </c>
    </row>
    <row r="3511" spans="1:6" x14ac:dyDescent="0.25">
      <c r="A3511" s="4" t="str">
        <f>"Particle and Particle Systems Characterization"</f>
        <v>Particle and Particle Systems Characterization</v>
      </c>
      <c r="B3511" s="4" t="s">
        <v>6</v>
      </c>
      <c r="C3511" s="4" t="str">
        <f t="shared" si="117"/>
        <v>-</v>
      </c>
      <c r="D3511" s="4" t="str">
        <f>"09340866"</f>
        <v>09340866</v>
      </c>
      <c r="E3511" s="4" t="str">
        <f>"15214117"</f>
        <v>15214117</v>
      </c>
      <c r="F3511" s="4" t="s">
        <v>63</v>
      </c>
    </row>
    <row r="3512" spans="1:6" x14ac:dyDescent="0.25">
      <c r="A3512" s="4" t="str">
        <f>"Particulate Science and Technology"</f>
        <v>Particulate Science and Technology</v>
      </c>
      <c r="B3512" s="4" t="s">
        <v>6</v>
      </c>
      <c r="C3512" s="4" t="str">
        <f t="shared" si="117"/>
        <v>-</v>
      </c>
      <c r="D3512" s="4" t="str">
        <f>"02726351"</f>
        <v>02726351</v>
      </c>
      <c r="E3512" s="4" t="str">
        <f>"15480046"</f>
        <v>15480046</v>
      </c>
      <c r="F3512" s="4" t="s">
        <v>96</v>
      </c>
    </row>
    <row r="3513" spans="1:6" x14ac:dyDescent="0.25">
      <c r="A3513" s="4" t="str">
        <f>"Particuology"</f>
        <v>Particuology</v>
      </c>
      <c r="B3513" s="4" t="s">
        <v>6</v>
      </c>
      <c r="C3513" s="4" t="str">
        <f t="shared" si="117"/>
        <v>-</v>
      </c>
      <c r="D3513" s="4" t="str">
        <f>"16742001"</f>
        <v>16742001</v>
      </c>
      <c r="E3513" s="4" t="str">
        <f>"-"</f>
        <v>-</v>
      </c>
      <c r="F3513" s="4" t="s">
        <v>55</v>
      </c>
    </row>
    <row r="3514" spans="1:6" x14ac:dyDescent="0.25">
      <c r="A3514" s="4" t="str">
        <f>"Pattern Recognition"</f>
        <v>Pattern Recognition</v>
      </c>
      <c r="B3514" s="4" t="s">
        <v>6</v>
      </c>
      <c r="C3514" s="4" t="str">
        <f t="shared" si="117"/>
        <v>-</v>
      </c>
      <c r="D3514" s="4" t="str">
        <f>"00313203"</f>
        <v>00313203</v>
      </c>
      <c r="E3514" s="4" t="str">
        <f>"-"</f>
        <v>-</v>
      </c>
      <c r="F3514" s="4" t="s">
        <v>19</v>
      </c>
    </row>
    <row r="3515" spans="1:6" x14ac:dyDescent="0.25">
      <c r="A3515" s="4" t="str">
        <f>"Pattern Recognition and Image Analysis"</f>
        <v>Pattern Recognition and Image Analysis</v>
      </c>
      <c r="B3515" s="4" t="s">
        <v>6</v>
      </c>
      <c r="C3515" s="4" t="str">
        <f t="shared" si="117"/>
        <v>-</v>
      </c>
      <c r="D3515" s="4" t="str">
        <f>"10546618"</f>
        <v>10546618</v>
      </c>
      <c r="E3515" s="4" t="str">
        <f>"15556212"</f>
        <v>15556212</v>
      </c>
      <c r="F3515" s="4" t="s">
        <v>24</v>
      </c>
    </row>
    <row r="3516" spans="1:6" x14ac:dyDescent="0.25">
      <c r="A3516" s="4" t="str">
        <f>"Pattern Recognition Letters"</f>
        <v>Pattern Recognition Letters</v>
      </c>
      <c r="B3516" s="4" t="s">
        <v>6</v>
      </c>
      <c r="C3516" s="4" t="str">
        <f t="shared" si="117"/>
        <v>-</v>
      </c>
      <c r="D3516" s="4" t="str">
        <f>"01678655"</f>
        <v>01678655</v>
      </c>
      <c r="E3516" s="4" t="str">
        <f>"-"</f>
        <v>-</v>
      </c>
      <c r="F3516" s="4" t="s">
        <v>55</v>
      </c>
    </row>
    <row r="3517" spans="1:6" x14ac:dyDescent="0.25">
      <c r="A3517" s="4" t="str">
        <f>"PCI Journal"</f>
        <v>PCI Journal</v>
      </c>
      <c r="B3517" s="4" t="s">
        <v>6</v>
      </c>
      <c r="C3517" s="4" t="str">
        <f t="shared" si="117"/>
        <v>-</v>
      </c>
      <c r="D3517" s="4" t="str">
        <f>"08879672"</f>
        <v>08879672</v>
      </c>
      <c r="E3517" s="4" t="str">
        <f>"-"</f>
        <v>-</v>
      </c>
      <c r="F3517" s="4" t="s">
        <v>925</v>
      </c>
    </row>
    <row r="3518" spans="1:6" x14ac:dyDescent="0.25">
      <c r="A3518" s="4" t="str">
        <f>"PCIM Europe Conference Proceedings"</f>
        <v>PCIM Europe Conference Proceedings</v>
      </c>
      <c r="B3518" s="4" t="s">
        <v>8</v>
      </c>
      <c r="C3518" s="4" t="str">
        <f t="shared" si="117"/>
        <v>-</v>
      </c>
      <c r="D3518" s="4" t="str">
        <f>"-"</f>
        <v>-</v>
      </c>
      <c r="E3518" s="4" t="str">
        <f>"21913358"</f>
        <v>21913358</v>
      </c>
      <c r="F3518" s="4" t="s">
        <v>926</v>
      </c>
    </row>
    <row r="3519" spans="1:6" x14ac:dyDescent="0.25">
      <c r="A3519" s="4" t="str">
        <f>"Peer-to-Peer Networking and Applications"</f>
        <v>Peer-to-Peer Networking and Applications</v>
      </c>
      <c r="B3519" s="4" t="s">
        <v>6</v>
      </c>
      <c r="C3519" s="4" t="str">
        <f t="shared" si="117"/>
        <v>-</v>
      </c>
      <c r="D3519" s="4" t="str">
        <f>"19366442"</f>
        <v>19366442</v>
      </c>
      <c r="E3519" s="4" t="str">
        <f>"19366450"</f>
        <v>19366450</v>
      </c>
      <c r="F3519" s="4" t="s">
        <v>57</v>
      </c>
    </row>
    <row r="3520" spans="1:6" x14ac:dyDescent="0.25">
      <c r="A3520" s="4" t="str">
        <f>"Performance Evaluation"</f>
        <v>Performance Evaluation</v>
      </c>
      <c r="B3520" s="4" t="s">
        <v>6</v>
      </c>
      <c r="C3520" s="4" t="str">
        <f t="shared" si="117"/>
        <v>-</v>
      </c>
      <c r="D3520" s="4" t="str">
        <f>"01665316"</f>
        <v>01665316</v>
      </c>
      <c r="E3520" s="4" t="str">
        <f>"-"</f>
        <v>-</v>
      </c>
      <c r="F3520" s="4" t="s">
        <v>55</v>
      </c>
    </row>
    <row r="3521" spans="1:6" x14ac:dyDescent="0.25">
      <c r="A3521" s="4" t="str">
        <f>"Performance Evaluation Review"</f>
        <v>Performance Evaluation Review</v>
      </c>
      <c r="B3521" s="4" t="s">
        <v>8</v>
      </c>
      <c r="C3521" s="4" t="str">
        <f t="shared" si="117"/>
        <v>-</v>
      </c>
      <c r="D3521" s="4" t="str">
        <f>"01635999"</f>
        <v>01635999</v>
      </c>
      <c r="E3521" s="4" t="str">
        <f>"-"</f>
        <v>-</v>
      </c>
      <c r="F3521" s="4" t="s">
        <v>21</v>
      </c>
    </row>
    <row r="3522" spans="1:6" x14ac:dyDescent="0.25">
      <c r="A3522" s="4" t="str">
        <f>"Performance Metrics for Intelligent Systems (PerMIS) Workshop"</f>
        <v>Performance Metrics for Intelligent Systems (PerMIS) Workshop</v>
      </c>
      <c r="B3522" s="4" t="s">
        <v>8</v>
      </c>
      <c r="C3522" s="4" t="str">
        <f t="shared" si="117"/>
        <v>-</v>
      </c>
      <c r="D3522" s="4" t="str">
        <f>"-"</f>
        <v>-</v>
      </c>
      <c r="E3522" s="4" t="str">
        <f>"-"</f>
        <v>-</v>
      </c>
      <c r="F3522" s="4" t="s">
        <v>756</v>
      </c>
    </row>
    <row r="3523" spans="1:6" x14ac:dyDescent="0.25">
      <c r="A3523" s="4" t="str">
        <f>"Periodica Polytechnica Transportation Engineering"</f>
        <v>Periodica Polytechnica Transportation Engineering</v>
      </c>
      <c r="B3523" s="4" t="s">
        <v>6</v>
      </c>
      <c r="C3523" s="4" t="str">
        <f t="shared" si="117"/>
        <v>-</v>
      </c>
      <c r="D3523" s="4" t="str">
        <f>"03037800"</f>
        <v>03037800</v>
      </c>
      <c r="E3523" s="4" t="str">
        <f>"-"</f>
        <v>-</v>
      </c>
      <c r="F3523" s="4" t="s">
        <v>927</v>
      </c>
    </row>
    <row r="3524" spans="1:6" x14ac:dyDescent="0.25">
      <c r="A3524" s="4" t="str">
        <f>"Periodica Polytechnica, Electrical Engineering"</f>
        <v>Periodica Polytechnica, Electrical Engineering</v>
      </c>
      <c r="B3524" s="4" t="s">
        <v>6</v>
      </c>
      <c r="C3524" s="4" t="str">
        <f t="shared" si="117"/>
        <v>-</v>
      </c>
      <c r="D3524" s="4" t="str">
        <f>"03246000"</f>
        <v>03246000</v>
      </c>
      <c r="E3524" s="4" t="str">
        <f>"15873781"</f>
        <v>15873781</v>
      </c>
      <c r="F3524" s="4" t="s">
        <v>927</v>
      </c>
    </row>
    <row r="3525" spans="1:6" x14ac:dyDescent="0.25">
      <c r="A3525" s="4" t="str">
        <f>"Periodica Polytechnica, Mechanical Engineering"</f>
        <v>Periodica Polytechnica, Mechanical Engineering</v>
      </c>
      <c r="B3525" s="4" t="s">
        <v>6</v>
      </c>
      <c r="C3525" s="4" t="str">
        <f t="shared" si="117"/>
        <v>-</v>
      </c>
      <c r="D3525" s="4" t="str">
        <f>"03246051"</f>
        <v>03246051</v>
      </c>
      <c r="E3525" s="4" t="str">
        <f>"1587379X"</f>
        <v>1587379X</v>
      </c>
      <c r="F3525" s="4" t="s">
        <v>927</v>
      </c>
    </row>
    <row r="3526" spans="1:6" x14ac:dyDescent="0.25">
      <c r="A3526" s="4" t="str">
        <f>"Periodica Polytechnica: Chemical Engineering"</f>
        <v>Periodica Polytechnica: Chemical Engineering</v>
      </c>
      <c r="B3526" s="4" t="s">
        <v>6</v>
      </c>
      <c r="C3526" s="4" t="str">
        <f t="shared" si="117"/>
        <v>-</v>
      </c>
      <c r="D3526" s="4" t="str">
        <f>"03245853"</f>
        <v>03245853</v>
      </c>
      <c r="E3526" s="4" t="str">
        <f>"15873765"</f>
        <v>15873765</v>
      </c>
      <c r="F3526" s="4" t="s">
        <v>927</v>
      </c>
    </row>
    <row r="3527" spans="1:6" x14ac:dyDescent="0.25">
      <c r="A3527" s="4" t="str">
        <f>"Periodica Polytechnica: Civil Engineering"</f>
        <v>Periodica Polytechnica: Civil Engineering</v>
      </c>
      <c r="B3527" s="4" t="s">
        <v>6</v>
      </c>
      <c r="C3527" s="4" t="str">
        <f t="shared" si="117"/>
        <v>-</v>
      </c>
      <c r="D3527" s="4" t="str">
        <f>"05536626"</f>
        <v>05536626</v>
      </c>
      <c r="E3527" s="4" t="str">
        <f>"15873773"</f>
        <v>15873773</v>
      </c>
      <c r="F3527" s="4" t="s">
        <v>927</v>
      </c>
    </row>
    <row r="3528" spans="1:6" x14ac:dyDescent="0.25">
      <c r="A3528" s="4" t="str">
        <f>"Personal and Ubiquitous Computing"</f>
        <v>Personal and Ubiquitous Computing</v>
      </c>
      <c r="B3528" s="4" t="s">
        <v>6</v>
      </c>
      <c r="C3528" s="4" t="str">
        <f t="shared" si="117"/>
        <v>-</v>
      </c>
      <c r="D3528" s="4" t="str">
        <f>"16174909"</f>
        <v>16174909</v>
      </c>
      <c r="E3528" s="4" t="str">
        <f>"-"</f>
        <v>-</v>
      </c>
      <c r="F3528" s="4" t="s">
        <v>62</v>
      </c>
    </row>
    <row r="3529" spans="1:6" x14ac:dyDescent="0.25">
      <c r="A3529" s="4" t="str">
        <f>"Pervasive and Mobile Computing"</f>
        <v>Pervasive and Mobile Computing</v>
      </c>
      <c r="B3529" s="4" t="s">
        <v>6</v>
      </c>
      <c r="C3529" s="4" t="str">
        <f t="shared" si="117"/>
        <v>-</v>
      </c>
      <c r="D3529" s="4" t="str">
        <f>"15741192"</f>
        <v>15741192</v>
      </c>
      <c r="E3529" s="4" t="str">
        <f>"-"</f>
        <v>-</v>
      </c>
      <c r="F3529" s="4" t="s">
        <v>55</v>
      </c>
    </row>
    <row r="3530" spans="1:6" x14ac:dyDescent="0.25">
      <c r="A3530" s="4" t="str">
        <f>"PESC Record - IEEE Annual Power Electronics Specialists Conference"</f>
        <v>PESC Record - IEEE Annual Power Electronics Specialists Conference</v>
      </c>
      <c r="B3530" s="4" t="s">
        <v>8</v>
      </c>
      <c r="C3530" s="4" t="str">
        <f t="shared" si="117"/>
        <v>-</v>
      </c>
      <c r="D3530" s="4" t="str">
        <f>"02759306"</f>
        <v>02759306</v>
      </c>
      <c r="E3530" s="4" t="str">
        <f>"-"</f>
        <v>-</v>
      </c>
      <c r="F3530" s="4" t="s">
        <v>105</v>
      </c>
    </row>
    <row r="3531" spans="1:6" x14ac:dyDescent="0.25">
      <c r="A3531" s="4" t="str">
        <f>"Petroleum and Chemical Industry Conference Europe Conference Proceedings, PCIC EUROPE"</f>
        <v>Petroleum and Chemical Industry Conference Europe Conference Proceedings, PCIC EUROPE</v>
      </c>
      <c r="B3531" s="4" t="s">
        <v>8</v>
      </c>
      <c r="C3531" s="4" t="str">
        <f t="shared" si="117"/>
        <v>-</v>
      </c>
      <c r="D3531" s="4" t="str">
        <f>"2166949X"</f>
        <v>2166949X</v>
      </c>
      <c r="E3531" s="4" t="str">
        <f>"21669503"</f>
        <v>21669503</v>
      </c>
      <c r="F3531" s="4" t="s">
        <v>9</v>
      </c>
    </row>
    <row r="3532" spans="1:6" x14ac:dyDescent="0.25">
      <c r="A3532" s="4" t="str">
        <f>"Petroleum Chemistry"</f>
        <v>Petroleum Chemistry</v>
      </c>
      <c r="B3532" s="4" t="s">
        <v>6</v>
      </c>
      <c r="C3532" s="4" t="str">
        <f t="shared" si="117"/>
        <v>-</v>
      </c>
      <c r="D3532" s="4" t="str">
        <f>"09655441"</f>
        <v>09655441</v>
      </c>
      <c r="E3532" s="4" t="str">
        <f>"15556239"</f>
        <v>15556239</v>
      </c>
      <c r="F3532" s="4" t="s">
        <v>24</v>
      </c>
    </row>
    <row r="3533" spans="1:6" x14ac:dyDescent="0.25">
      <c r="A3533" s="4" t="str">
        <f>"Petroleum Geoscience"</f>
        <v>Petroleum Geoscience</v>
      </c>
      <c r="B3533" s="4" t="s">
        <v>6</v>
      </c>
      <c r="C3533" s="4" t="str">
        <f t="shared" si="117"/>
        <v>-</v>
      </c>
      <c r="D3533" s="4" t="str">
        <f>"13540793"</f>
        <v>13540793</v>
      </c>
      <c r="E3533" s="4" t="str">
        <f>"-"</f>
        <v>-</v>
      </c>
      <c r="F3533" s="4" t="s">
        <v>783</v>
      </c>
    </row>
    <row r="3534" spans="1:6" x14ac:dyDescent="0.25">
      <c r="A3534" s="4" t="str">
        <f>"Petroleum Science and Technology"</f>
        <v>Petroleum Science and Technology</v>
      </c>
      <c r="B3534" s="4" t="s">
        <v>6</v>
      </c>
      <c r="C3534" s="4" t="str">
        <f t="shared" si="117"/>
        <v>-</v>
      </c>
      <c r="D3534" s="4" t="str">
        <f>"10916466"</f>
        <v>10916466</v>
      </c>
      <c r="E3534" s="4" t="str">
        <f>"15322459"</f>
        <v>15322459</v>
      </c>
      <c r="F3534" s="4" t="s">
        <v>96</v>
      </c>
    </row>
    <row r="3535" spans="1:6" x14ac:dyDescent="0.25">
      <c r="A3535" s="4" t="str">
        <f>"Petroleum Technology Quarterly"</f>
        <v>Petroleum Technology Quarterly</v>
      </c>
      <c r="B3535" s="4" t="s">
        <v>6</v>
      </c>
      <c r="C3535" s="4" t="str">
        <f t="shared" si="117"/>
        <v>-</v>
      </c>
      <c r="D3535" s="4" t="str">
        <f>"1362363X"</f>
        <v>1362363X</v>
      </c>
      <c r="E3535" s="4" t="str">
        <f>"-"</f>
        <v>-</v>
      </c>
      <c r="F3535" s="4" t="s">
        <v>928</v>
      </c>
    </row>
    <row r="3536" spans="1:6" x14ac:dyDescent="0.25">
      <c r="A3536" s="4" t="str">
        <f>"Petrophysics"</f>
        <v>Petrophysics</v>
      </c>
      <c r="B3536" s="4" t="s">
        <v>6</v>
      </c>
      <c r="C3536" s="4" t="str">
        <f t="shared" si="117"/>
        <v>-</v>
      </c>
      <c r="D3536" s="4" t="str">
        <f>"15299074"</f>
        <v>15299074</v>
      </c>
      <c r="E3536" s="4" t="str">
        <f>"-"</f>
        <v>-</v>
      </c>
      <c r="F3536" s="4" t="s">
        <v>929</v>
      </c>
    </row>
    <row r="3537" spans="1:6" x14ac:dyDescent="0.25">
      <c r="A3537" s="4" t="str">
        <f>"Pharmaceutical Technology"</f>
        <v>Pharmaceutical Technology</v>
      </c>
      <c r="B3537" s="4" t="s">
        <v>6</v>
      </c>
      <c r="C3537" s="4" t="str">
        <f t="shared" si="117"/>
        <v>-</v>
      </c>
      <c r="D3537" s="4" t="str">
        <f>"15432521"</f>
        <v>15432521</v>
      </c>
      <c r="E3537" s="4" t="str">
        <f>"21507376"</f>
        <v>21507376</v>
      </c>
      <c r="F3537" s="4" t="s">
        <v>930</v>
      </c>
    </row>
    <row r="3538" spans="1:6" x14ac:dyDescent="0.25">
      <c r="A3538" s="4" t="str">
        <f>"Phase Transitions"</f>
        <v>Phase Transitions</v>
      </c>
      <c r="B3538" s="4" t="s">
        <v>6</v>
      </c>
      <c r="C3538" s="4" t="str">
        <f t="shared" si="117"/>
        <v>-</v>
      </c>
      <c r="D3538" s="4" t="str">
        <f>"01411594"</f>
        <v>01411594</v>
      </c>
      <c r="E3538" s="4" t="str">
        <f>"10290338"</f>
        <v>10290338</v>
      </c>
      <c r="F3538" s="4" t="s">
        <v>60</v>
      </c>
    </row>
    <row r="3539" spans="1:6" x14ac:dyDescent="0.25">
      <c r="A3539" s="4" t="str">
        <f>"Philosophical Magazine"</f>
        <v>Philosophical Magazine</v>
      </c>
      <c r="B3539" s="4" t="s">
        <v>6</v>
      </c>
      <c r="C3539" s="4" t="str">
        <f t="shared" ref="C3539:C3564" si="119">"-"</f>
        <v>-</v>
      </c>
      <c r="D3539" s="4" t="str">
        <f>"14786435"</f>
        <v>14786435</v>
      </c>
      <c r="E3539" s="4" t="str">
        <f>"14786443"</f>
        <v>14786443</v>
      </c>
      <c r="F3539" s="4" t="s">
        <v>60</v>
      </c>
    </row>
    <row r="3540" spans="1:6" x14ac:dyDescent="0.25">
      <c r="A3540" s="4" t="str">
        <f>"Philosophical Magazine Letters"</f>
        <v>Philosophical Magazine Letters</v>
      </c>
      <c r="B3540" s="4" t="s">
        <v>6</v>
      </c>
      <c r="C3540" s="4" t="str">
        <f t="shared" si="119"/>
        <v>-</v>
      </c>
      <c r="D3540" s="4" t="str">
        <f>"09500839"</f>
        <v>09500839</v>
      </c>
      <c r="E3540" s="4" t="str">
        <f>"13623036"</f>
        <v>13623036</v>
      </c>
      <c r="F3540" s="4" t="s">
        <v>60</v>
      </c>
    </row>
    <row r="3541" spans="1:6" x14ac:dyDescent="0.25">
      <c r="A3541" s="4" t="str">
        <f>"Philosophical Transactions of the Royal Society A: Mathematical, Physical and Engineering Sciences"</f>
        <v>Philosophical Transactions of the Royal Society A: Mathematical, Physical and Engineering Sciences</v>
      </c>
      <c r="B3541" s="4" t="s">
        <v>6</v>
      </c>
      <c r="C3541" s="4" t="str">
        <f t="shared" si="119"/>
        <v>-</v>
      </c>
      <c r="D3541" s="4" t="str">
        <f>"1364503X"</f>
        <v>1364503X</v>
      </c>
      <c r="E3541" s="4" t="str">
        <f>"-"</f>
        <v>-</v>
      </c>
      <c r="F3541" s="4" t="s">
        <v>798</v>
      </c>
    </row>
    <row r="3542" spans="1:6" x14ac:dyDescent="0.25">
      <c r="A3542" s="4" t="str">
        <f>"Photoacoustics"</f>
        <v>Photoacoustics</v>
      </c>
      <c r="B3542" s="4" t="s">
        <v>6</v>
      </c>
      <c r="C3542" s="4" t="str">
        <f t="shared" si="119"/>
        <v>-</v>
      </c>
      <c r="D3542" s="4" t="str">
        <f>"22135979"</f>
        <v>22135979</v>
      </c>
      <c r="E3542" s="4" t="str">
        <f>"-"</f>
        <v>-</v>
      </c>
      <c r="F3542" s="4" t="s">
        <v>100</v>
      </c>
    </row>
    <row r="3543" spans="1:6" x14ac:dyDescent="0.25">
      <c r="A3543" s="4" t="str">
        <f>"Photogrammetric Engineering and Remote Sensing"</f>
        <v>Photogrammetric Engineering and Remote Sensing</v>
      </c>
      <c r="B3543" s="4" t="s">
        <v>6</v>
      </c>
      <c r="C3543" s="4" t="str">
        <f t="shared" si="119"/>
        <v>-</v>
      </c>
      <c r="D3543" s="4" t="str">
        <f>"00991112"</f>
        <v>00991112</v>
      </c>
      <c r="E3543" s="4" t="str">
        <f>"-"</f>
        <v>-</v>
      </c>
      <c r="F3543" s="4" t="s">
        <v>931</v>
      </c>
    </row>
    <row r="3544" spans="1:6" x14ac:dyDescent="0.25">
      <c r="A3544" s="4" t="str">
        <f>"Photogrammetric Record"</f>
        <v>Photogrammetric Record</v>
      </c>
      <c r="B3544" s="4" t="s">
        <v>6</v>
      </c>
      <c r="C3544" s="4" t="str">
        <f t="shared" si="119"/>
        <v>-</v>
      </c>
      <c r="D3544" s="4" t="str">
        <f>"0031868X"</f>
        <v>0031868X</v>
      </c>
      <c r="E3544" s="4" t="str">
        <f>"14779730"</f>
        <v>14779730</v>
      </c>
      <c r="F3544" s="4" t="s">
        <v>209</v>
      </c>
    </row>
    <row r="3545" spans="1:6" x14ac:dyDescent="0.25">
      <c r="A3545" s="4" t="str">
        <f>"Photomedicine and Laser Surgery"</f>
        <v>Photomedicine and Laser Surgery</v>
      </c>
      <c r="B3545" s="4" t="s">
        <v>6</v>
      </c>
      <c r="C3545" s="4" t="str">
        <f t="shared" si="119"/>
        <v>-</v>
      </c>
      <c r="D3545" s="4" t="str">
        <f>"15495418"</f>
        <v>15495418</v>
      </c>
      <c r="E3545" s="4" t="str">
        <f>"-"</f>
        <v>-</v>
      </c>
      <c r="F3545" s="4" t="s">
        <v>385</v>
      </c>
    </row>
    <row r="3546" spans="1:6" x14ac:dyDescent="0.25">
      <c r="A3546" s="4" t="str">
        <f>"Photonic Network Communications"</f>
        <v>Photonic Network Communications</v>
      </c>
      <c r="B3546" s="4" t="s">
        <v>6</v>
      </c>
      <c r="C3546" s="4" t="str">
        <f t="shared" si="119"/>
        <v>-</v>
      </c>
      <c r="D3546" s="4" t="str">
        <f>"1387974X"</f>
        <v>1387974X</v>
      </c>
      <c r="E3546" s="4" t="str">
        <f>"15728188"</f>
        <v>15728188</v>
      </c>
      <c r="F3546" s="4" t="s">
        <v>57</v>
      </c>
    </row>
    <row r="3547" spans="1:6" x14ac:dyDescent="0.25">
      <c r="A3547" s="4" t="str">
        <f>"Photonic Sensors"</f>
        <v>Photonic Sensors</v>
      </c>
      <c r="B3547" s="4" t="s">
        <v>6</v>
      </c>
      <c r="C3547" s="4" t="str">
        <f t="shared" si="119"/>
        <v>-</v>
      </c>
      <c r="D3547" s="4" t="str">
        <f>"16749251"</f>
        <v>16749251</v>
      </c>
      <c r="E3547" s="4" t="str">
        <f>"21907439"</f>
        <v>21907439</v>
      </c>
      <c r="F3547" s="4" t="s">
        <v>42</v>
      </c>
    </row>
    <row r="3548" spans="1:6" x14ac:dyDescent="0.25">
      <c r="A3548" s="4" t="str">
        <f>"Photonics and Lasers in Medicine"</f>
        <v>Photonics and Lasers in Medicine</v>
      </c>
      <c r="B3548" s="4" t="s">
        <v>6</v>
      </c>
      <c r="C3548" s="4" t="str">
        <f t="shared" si="119"/>
        <v>-</v>
      </c>
      <c r="D3548" s="4" t="str">
        <f>"21930635"</f>
        <v>21930635</v>
      </c>
      <c r="E3548" s="4" t="str">
        <f>"21930643"</f>
        <v>21930643</v>
      </c>
      <c r="F3548" s="4" t="s">
        <v>189</v>
      </c>
    </row>
    <row r="3549" spans="1:6" x14ac:dyDescent="0.25">
      <c r="A3549" s="4" t="str">
        <f>"Photonics and Nanostructures - Fundamentals and Applications"</f>
        <v>Photonics and Nanostructures - Fundamentals and Applications</v>
      </c>
      <c r="B3549" s="4" t="s">
        <v>6</v>
      </c>
      <c r="C3549" s="4" t="str">
        <f t="shared" si="119"/>
        <v>-</v>
      </c>
      <c r="D3549" s="4" t="str">
        <f>"15694410"</f>
        <v>15694410</v>
      </c>
      <c r="E3549" s="4" t="str">
        <f>"15694429"</f>
        <v>15694429</v>
      </c>
      <c r="F3549" s="4" t="s">
        <v>55</v>
      </c>
    </row>
    <row r="3550" spans="1:6" x14ac:dyDescent="0.25">
      <c r="A3550" s="4" t="str">
        <f>"Photonics Letters of Poland"</f>
        <v>Photonics Letters of Poland</v>
      </c>
      <c r="B3550" s="4" t="s">
        <v>6</v>
      </c>
      <c r="C3550" s="4" t="str">
        <f t="shared" si="119"/>
        <v>-</v>
      </c>
      <c r="D3550" s="4" t="str">
        <f>"-"</f>
        <v>-</v>
      </c>
      <c r="E3550" s="4" t="str">
        <f>"20802242"</f>
        <v>20802242</v>
      </c>
      <c r="F3550" s="4" t="s">
        <v>932</v>
      </c>
    </row>
    <row r="3551" spans="1:6" x14ac:dyDescent="0.25">
      <c r="A3551" s="4" t="str">
        <f>"Photonics Spectra"</f>
        <v>Photonics Spectra</v>
      </c>
      <c r="B3551" s="4" t="s">
        <v>22</v>
      </c>
      <c r="C3551" s="4" t="str">
        <f t="shared" si="119"/>
        <v>-</v>
      </c>
      <c r="D3551" s="4" t="str">
        <f>"07311230"</f>
        <v>07311230</v>
      </c>
      <c r="E3551" s="4" t="str">
        <f t="shared" ref="E3551:E3556" si="120">"-"</f>
        <v>-</v>
      </c>
      <c r="F3551" s="4" t="s">
        <v>190</v>
      </c>
    </row>
    <row r="3552" spans="1:6" x14ac:dyDescent="0.25">
      <c r="A3552" s="4" t="str">
        <f>"Physica A: Statistical Mechanics and its Applications"</f>
        <v>Physica A: Statistical Mechanics and its Applications</v>
      </c>
      <c r="B3552" s="4" t="s">
        <v>6</v>
      </c>
      <c r="C3552" s="4" t="str">
        <f t="shared" si="119"/>
        <v>-</v>
      </c>
      <c r="D3552" s="4" t="str">
        <f>"03784371"</f>
        <v>03784371</v>
      </c>
      <c r="E3552" s="4" t="str">
        <f t="shared" si="120"/>
        <v>-</v>
      </c>
      <c r="F3552" s="4" t="s">
        <v>55</v>
      </c>
    </row>
    <row r="3553" spans="1:6" x14ac:dyDescent="0.25">
      <c r="A3553" s="4" t="str">
        <f>"Physica B: Condensed Matter"</f>
        <v>Physica B: Condensed Matter</v>
      </c>
      <c r="B3553" s="4" t="s">
        <v>6</v>
      </c>
      <c r="C3553" s="4" t="str">
        <f t="shared" si="119"/>
        <v>-</v>
      </c>
      <c r="D3553" s="4" t="str">
        <f>"09214526"</f>
        <v>09214526</v>
      </c>
      <c r="E3553" s="4" t="str">
        <f t="shared" si="120"/>
        <v>-</v>
      </c>
      <c r="F3553" s="4" t="s">
        <v>55</v>
      </c>
    </row>
    <row r="3554" spans="1:6" x14ac:dyDescent="0.25">
      <c r="A3554" s="4" t="str">
        <f>"Physica C: Superconductivity and its Applications"</f>
        <v>Physica C: Superconductivity and its Applications</v>
      </c>
      <c r="B3554" s="4" t="s">
        <v>6</v>
      </c>
      <c r="C3554" s="4" t="str">
        <f t="shared" si="119"/>
        <v>-</v>
      </c>
      <c r="D3554" s="4" t="str">
        <f>"09214534"</f>
        <v>09214534</v>
      </c>
      <c r="E3554" s="4" t="str">
        <f t="shared" si="120"/>
        <v>-</v>
      </c>
      <c r="F3554" s="4" t="s">
        <v>55</v>
      </c>
    </row>
    <row r="3555" spans="1:6" x14ac:dyDescent="0.25">
      <c r="A3555" s="4" t="str">
        <f>"Physica D: Nonlinear Phenomena"</f>
        <v>Physica D: Nonlinear Phenomena</v>
      </c>
      <c r="B3555" s="4" t="s">
        <v>6</v>
      </c>
      <c r="C3555" s="4" t="str">
        <f t="shared" si="119"/>
        <v>-</v>
      </c>
      <c r="D3555" s="4" t="str">
        <f>"01672789"</f>
        <v>01672789</v>
      </c>
      <c r="E3555" s="4" t="str">
        <f t="shared" si="120"/>
        <v>-</v>
      </c>
      <c r="F3555" s="4" t="s">
        <v>55</v>
      </c>
    </row>
    <row r="3556" spans="1:6" x14ac:dyDescent="0.25">
      <c r="A3556" s="4" t="str">
        <f>"Physica E: Low-Dimensional Systems and Nanostructures"</f>
        <v>Physica E: Low-Dimensional Systems and Nanostructures</v>
      </c>
      <c r="B3556" s="4" t="s">
        <v>6</v>
      </c>
      <c r="C3556" s="4" t="str">
        <f t="shared" si="119"/>
        <v>-</v>
      </c>
      <c r="D3556" s="4" t="str">
        <f>"13869477"</f>
        <v>13869477</v>
      </c>
      <c r="E3556" s="4" t="str">
        <f t="shared" si="120"/>
        <v>-</v>
      </c>
      <c r="F3556" s="4" t="s">
        <v>55</v>
      </c>
    </row>
    <row r="3557" spans="1:6" x14ac:dyDescent="0.25">
      <c r="A3557" s="4" t="str">
        <f>"Physica Scripta"</f>
        <v>Physica Scripta</v>
      </c>
      <c r="B3557" s="4" t="s">
        <v>6</v>
      </c>
      <c r="C3557" s="4" t="str">
        <f t="shared" si="119"/>
        <v>-</v>
      </c>
      <c r="D3557" s="4" t="str">
        <f>"00318949"</f>
        <v>00318949</v>
      </c>
      <c r="E3557" s="4" t="str">
        <f>"14024896"</f>
        <v>14024896</v>
      </c>
      <c r="F3557" s="4" t="s">
        <v>184</v>
      </c>
    </row>
    <row r="3558" spans="1:6" x14ac:dyDescent="0.25">
      <c r="A3558" s="4" t="str">
        <f>"Physica Scripta"</f>
        <v>Physica Scripta</v>
      </c>
      <c r="B3558" s="4" t="s">
        <v>8</v>
      </c>
      <c r="C3558" s="4" t="str">
        <f t="shared" si="119"/>
        <v>-</v>
      </c>
      <c r="D3558" s="4" t="str">
        <f>"02811847"</f>
        <v>02811847</v>
      </c>
      <c r="E3558" s="4" t="str">
        <f>"-"</f>
        <v>-</v>
      </c>
      <c r="F3558" s="4" t="s">
        <v>184</v>
      </c>
    </row>
    <row r="3559" spans="1:6" x14ac:dyDescent="0.25">
      <c r="A3559" s="4" t="str">
        <f>"Physica Status Solidi - Rapid Research Letters"</f>
        <v>Physica Status Solidi - Rapid Research Letters</v>
      </c>
      <c r="B3559" s="4" t="s">
        <v>6</v>
      </c>
      <c r="C3559" s="4" t="str">
        <f t="shared" si="119"/>
        <v>-</v>
      </c>
      <c r="D3559" s="4" t="str">
        <f>"18626254"</f>
        <v>18626254</v>
      </c>
      <c r="E3559" s="4" t="str">
        <f>"18626270"</f>
        <v>18626270</v>
      </c>
      <c r="F3559" s="4" t="s">
        <v>63</v>
      </c>
    </row>
    <row r="3560" spans="1:6" x14ac:dyDescent="0.25">
      <c r="A3560" s="4" t="str">
        <f>"Physica Status Solidi (A) Applications and Materials Science"</f>
        <v>Physica Status Solidi (A) Applications and Materials Science</v>
      </c>
      <c r="B3560" s="4" t="s">
        <v>6</v>
      </c>
      <c r="C3560" s="4" t="str">
        <f t="shared" si="119"/>
        <v>-</v>
      </c>
      <c r="D3560" s="4" t="str">
        <f>"18626300"</f>
        <v>18626300</v>
      </c>
      <c r="E3560" s="4" t="str">
        <f>"18626319"</f>
        <v>18626319</v>
      </c>
      <c r="F3560" s="4" t="s">
        <v>63</v>
      </c>
    </row>
    <row r="3561" spans="1:6" x14ac:dyDescent="0.25">
      <c r="A3561" s="4" t="str">
        <f>"Physica Status Solidi (C) Current Topics in Solid State Physics"</f>
        <v>Physica Status Solidi (C) Current Topics in Solid State Physics</v>
      </c>
      <c r="B3561" s="4" t="s">
        <v>6</v>
      </c>
      <c r="C3561" s="4" t="str">
        <f t="shared" si="119"/>
        <v>-</v>
      </c>
      <c r="D3561" s="4" t="str">
        <f>"18626351"</f>
        <v>18626351</v>
      </c>
      <c r="E3561" s="4" t="str">
        <f>"16101642"</f>
        <v>16101642</v>
      </c>
      <c r="F3561" s="4" t="s">
        <v>63</v>
      </c>
    </row>
    <row r="3562" spans="1:6" x14ac:dyDescent="0.25">
      <c r="A3562" s="4" t="str">
        <f>"Physical Communication"</f>
        <v>Physical Communication</v>
      </c>
      <c r="B3562" s="4" t="s">
        <v>6</v>
      </c>
      <c r="C3562" s="4" t="str">
        <f t="shared" si="119"/>
        <v>-</v>
      </c>
      <c r="D3562" s="4" t="str">
        <f>"18744907"</f>
        <v>18744907</v>
      </c>
      <c r="E3562" s="4" t="str">
        <f>"-"</f>
        <v>-</v>
      </c>
      <c r="F3562" s="4" t="s">
        <v>55</v>
      </c>
    </row>
    <row r="3563" spans="1:6" x14ac:dyDescent="0.25">
      <c r="A3563" s="4" t="str">
        <f>"Physical Mesomechanics"</f>
        <v>Physical Mesomechanics</v>
      </c>
      <c r="B3563" s="4" t="s">
        <v>6</v>
      </c>
      <c r="C3563" s="4" t="str">
        <f t="shared" si="119"/>
        <v>-</v>
      </c>
      <c r="D3563" s="4" t="str">
        <f>"10299599"</f>
        <v>10299599</v>
      </c>
      <c r="E3563" s="4" t="str">
        <f>"19905424"</f>
        <v>19905424</v>
      </c>
      <c r="F3563" s="4" t="s">
        <v>57</v>
      </c>
    </row>
    <row r="3564" spans="1:6" x14ac:dyDescent="0.25">
      <c r="A3564" s="4" t="str">
        <f>"Physical Review A - Atomic, Molecular, and Optical Physics"</f>
        <v>Physical Review A - Atomic, Molecular, and Optical Physics</v>
      </c>
      <c r="B3564" s="4" t="s">
        <v>6</v>
      </c>
      <c r="C3564" s="4" t="str">
        <f t="shared" si="119"/>
        <v>-</v>
      </c>
      <c r="D3564" s="4" t="str">
        <f>"10502947"</f>
        <v>10502947</v>
      </c>
      <c r="E3564" s="4" t="str">
        <f>"10941622"</f>
        <v>10941622</v>
      </c>
      <c r="F3564" s="4" t="s">
        <v>933</v>
      </c>
    </row>
    <row r="3565" spans="1:6" x14ac:dyDescent="0.25">
      <c r="A3565" s="4" t="s">
        <v>934</v>
      </c>
      <c r="B3565" s="4" t="s">
        <v>6</v>
      </c>
      <c r="E3565" s="4" t="s">
        <v>935</v>
      </c>
      <c r="F3565" s="4" t="s">
        <v>933</v>
      </c>
    </row>
    <row r="3566" spans="1:6" x14ac:dyDescent="0.25">
      <c r="A3566" s="4" t="str">
        <f>"Physical Review E - Statistical, Nonlinear, and Soft Matter Physics"</f>
        <v>Physical Review E - Statistical, Nonlinear, and Soft Matter Physics</v>
      </c>
      <c r="B3566" s="4" t="s">
        <v>6</v>
      </c>
      <c r="C3566" s="4" t="str">
        <f t="shared" ref="C3566:C3629" si="121">"-"</f>
        <v>-</v>
      </c>
      <c r="D3566" s="4" t="str">
        <f>"15393755"</f>
        <v>15393755</v>
      </c>
      <c r="E3566" s="4" t="str">
        <f>"15502376"</f>
        <v>15502376</v>
      </c>
      <c r="F3566" s="4" t="s">
        <v>933</v>
      </c>
    </row>
    <row r="3567" spans="1:6" x14ac:dyDescent="0.25">
      <c r="A3567" s="4" t="str">
        <f>"Physical Review Letters"</f>
        <v>Physical Review Letters</v>
      </c>
      <c r="B3567" s="4" t="s">
        <v>6</v>
      </c>
      <c r="C3567" s="4" t="str">
        <f t="shared" si="121"/>
        <v>-</v>
      </c>
      <c r="D3567" s="4" t="str">
        <f>"00319007"</f>
        <v>00319007</v>
      </c>
      <c r="E3567" s="4" t="str">
        <f>"10797114"</f>
        <v>10797114</v>
      </c>
      <c r="F3567" s="4" t="s">
        <v>933</v>
      </c>
    </row>
    <row r="3568" spans="1:6" x14ac:dyDescent="0.25">
      <c r="A3568" s="4" t="str">
        <f>"Physical Review X"</f>
        <v>Physical Review X</v>
      </c>
      <c r="B3568" s="4" t="s">
        <v>6</v>
      </c>
      <c r="C3568" s="4" t="str">
        <f t="shared" si="121"/>
        <v>-</v>
      </c>
      <c r="D3568" s="4" t="str">
        <f>"-"</f>
        <v>-</v>
      </c>
      <c r="E3568" s="4" t="str">
        <f>"21603308"</f>
        <v>21603308</v>
      </c>
      <c r="F3568" s="4" t="s">
        <v>933</v>
      </c>
    </row>
    <row r="3569" spans="1:6" x14ac:dyDescent="0.25">
      <c r="A3569" s="4" t="str">
        <f>"Physics and Chemistry of Glasses: European Journal of Glass Science and Technology Part B"</f>
        <v>Physics and Chemistry of Glasses: European Journal of Glass Science and Technology Part B</v>
      </c>
      <c r="B3569" s="4" t="s">
        <v>6</v>
      </c>
      <c r="C3569" s="4" t="str">
        <f t="shared" si="121"/>
        <v>-</v>
      </c>
      <c r="D3569" s="4" t="str">
        <f>"17533562"</f>
        <v>17533562</v>
      </c>
      <c r="E3569" s="4" t="str">
        <f>"-"</f>
        <v>-</v>
      </c>
      <c r="F3569" s="4" t="s">
        <v>463</v>
      </c>
    </row>
    <row r="3570" spans="1:6" x14ac:dyDescent="0.25">
      <c r="A3570" s="4" t="str">
        <f>"Physics and Chemistry of Liquids"</f>
        <v>Physics and Chemistry of Liquids</v>
      </c>
      <c r="B3570" s="4" t="s">
        <v>6</v>
      </c>
      <c r="C3570" s="4" t="str">
        <f t="shared" si="121"/>
        <v>-</v>
      </c>
      <c r="D3570" s="4" t="str">
        <f>"00319104"</f>
        <v>00319104</v>
      </c>
      <c r="E3570" s="4" t="str">
        <f>"10290451"</f>
        <v>10290451</v>
      </c>
      <c r="F3570" s="4" t="s">
        <v>60</v>
      </c>
    </row>
    <row r="3571" spans="1:6" x14ac:dyDescent="0.25">
      <c r="A3571" s="4" t="str">
        <f>"Physics and Chemistry of Minerals"</f>
        <v>Physics and Chemistry of Minerals</v>
      </c>
      <c r="B3571" s="4" t="s">
        <v>6</v>
      </c>
      <c r="C3571" s="4" t="str">
        <f t="shared" si="121"/>
        <v>-</v>
      </c>
      <c r="D3571" s="4" t="str">
        <f>"03421791"</f>
        <v>03421791</v>
      </c>
      <c r="E3571" s="4" t="str">
        <f>"14322021"</f>
        <v>14322021</v>
      </c>
      <c r="F3571" s="4" t="s">
        <v>42</v>
      </c>
    </row>
    <row r="3572" spans="1:6" x14ac:dyDescent="0.25">
      <c r="A3572" s="4" t="str">
        <f>"Physics and Chemistry of the Earth"</f>
        <v>Physics and Chemistry of the Earth</v>
      </c>
      <c r="B3572" s="4" t="s">
        <v>6</v>
      </c>
      <c r="C3572" s="4" t="str">
        <f t="shared" si="121"/>
        <v>-</v>
      </c>
      <c r="D3572" s="4" t="str">
        <f>"14747065"</f>
        <v>14747065</v>
      </c>
      <c r="E3572" s="4" t="str">
        <f>"-"</f>
        <v>-</v>
      </c>
      <c r="F3572" s="4" t="s">
        <v>19</v>
      </c>
    </row>
    <row r="3573" spans="1:6" x14ac:dyDescent="0.25">
      <c r="A3573" s="4" t="str">
        <f>"Physics in Medicine and Biology"</f>
        <v>Physics in Medicine and Biology</v>
      </c>
      <c r="B3573" s="4" t="s">
        <v>6</v>
      </c>
      <c r="C3573" s="4" t="str">
        <f t="shared" si="121"/>
        <v>-</v>
      </c>
      <c r="D3573" s="4" t="str">
        <f>"00319155"</f>
        <v>00319155</v>
      </c>
      <c r="E3573" s="4" t="str">
        <f>"13616560"</f>
        <v>13616560</v>
      </c>
      <c r="F3573" s="4" t="s">
        <v>184</v>
      </c>
    </row>
    <row r="3574" spans="1:6" x14ac:dyDescent="0.25">
      <c r="A3574" s="4" t="str">
        <f>"Physics of Fluids"</f>
        <v>Physics of Fluids</v>
      </c>
      <c r="B3574" s="4" t="s">
        <v>6</v>
      </c>
      <c r="C3574" s="4" t="str">
        <f t="shared" si="121"/>
        <v>-</v>
      </c>
      <c r="D3574" s="4" t="str">
        <f>"10706631"</f>
        <v>10706631</v>
      </c>
      <c r="E3574" s="4" t="str">
        <f>"10897666"</f>
        <v>10897666</v>
      </c>
      <c r="F3574" s="4" t="s">
        <v>108</v>
      </c>
    </row>
    <row r="3575" spans="1:6" x14ac:dyDescent="0.25">
      <c r="A3575" s="4" t="str">
        <f>"Physics of Life Reviews"</f>
        <v>Physics of Life Reviews</v>
      </c>
      <c r="B3575" s="4" t="s">
        <v>6</v>
      </c>
      <c r="C3575" s="4" t="str">
        <f t="shared" si="121"/>
        <v>-</v>
      </c>
      <c r="D3575" s="4" t="str">
        <f>"15710645"</f>
        <v>15710645</v>
      </c>
      <c r="E3575" s="4" t="str">
        <f>"-"</f>
        <v>-</v>
      </c>
      <c r="F3575" s="4" t="s">
        <v>55</v>
      </c>
    </row>
    <row r="3576" spans="1:6" x14ac:dyDescent="0.25">
      <c r="A3576" s="4" t="str">
        <f>"Physics of Metals and Metallography"</f>
        <v>Physics of Metals and Metallography</v>
      </c>
      <c r="B3576" s="4" t="s">
        <v>6</v>
      </c>
      <c r="C3576" s="4" t="str">
        <f t="shared" si="121"/>
        <v>-</v>
      </c>
      <c r="D3576" s="4" t="str">
        <f>"0031918X"</f>
        <v>0031918X</v>
      </c>
      <c r="E3576" s="4" t="str">
        <f>"-"</f>
        <v>-</v>
      </c>
      <c r="F3576" s="4" t="s">
        <v>24</v>
      </c>
    </row>
    <row r="3577" spans="1:6" x14ac:dyDescent="0.25">
      <c r="A3577" s="4" t="str">
        <f>"Physics of Plasmas"</f>
        <v>Physics of Plasmas</v>
      </c>
      <c r="B3577" s="4" t="s">
        <v>6</v>
      </c>
      <c r="C3577" s="4" t="str">
        <f t="shared" si="121"/>
        <v>-</v>
      </c>
      <c r="D3577" s="4" t="str">
        <f>"1070664X"</f>
        <v>1070664X</v>
      </c>
      <c r="E3577" s="4" t="str">
        <f>"10897674"</f>
        <v>10897674</v>
      </c>
      <c r="F3577" s="4" t="s">
        <v>108</v>
      </c>
    </row>
    <row r="3578" spans="1:6" x14ac:dyDescent="0.25">
      <c r="A3578" s="4" t="str">
        <f>"Physics of the Earth and Planetary Interiors"</f>
        <v>Physics of the Earth and Planetary Interiors</v>
      </c>
      <c r="B3578" s="4" t="s">
        <v>6</v>
      </c>
      <c r="C3578" s="4" t="str">
        <f t="shared" si="121"/>
        <v>-</v>
      </c>
      <c r="D3578" s="4" t="str">
        <f>"00319201"</f>
        <v>00319201</v>
      </c>
      <c r="E3578" s="4" t="str">
        <f>"-"</f>
        <v>-</v>
      </c>
      <c r="F3578" s="4" t="s">
        <v>55</v>
      </c>
    </row>
    <row r="3579" spans="1:6" x14ac:dyDescent="0.25">
      <c r="A3579" s="4" t="str">
        <f>"Physics Procedia"</f>
        <v>Physics Procedia</v>
      </c>
      <c r="B3579" s="4" t="s">
        <v>8</v>
      </c>
      <c r="C3579" s="4" t="str">
        <f t="shared" si="121"/>
        <v>-</v>
      </c>
      <c r="D3579" s="4" t="str">
        <f>"18753884"</f>
        <v>18753884</v>
      </c>
      <c r="E3579" s="4" t="str">
        <f>"18753892"</f>
        <v>18753892</v>
      </c>
      <c r="F3579" s="4" t="s">
        <v>55</v>
      </c>
    </row>
    <row r="3580" spans="1:6" x14ac:dyDescent="0.25">
      <c r="A3580" s="4" t="str">
        <f>"Physics-Uspekhi"</f>
        <v>Physics-Uspekhi</v>
      </c>
      <c r="B3580" s="4" t="s">
        <v>6</v>
      </c>
      <c r="C3580" s="4" t="str">
        <f t="shared" si="121"/>
        <v>-</v>
      </c>
      <c r="D3580" s="4" t="str">
        <f>"10637869"</f>
        <v>10637869</v>
      </c>
      <c r="E3580" s="4" t="str">
        <f>"14684780"</f>
        <v>14684780</v>
      </c>
      <c r="F3580" s="4" t="s">
        <v>936</v>
      </c>
    </row>
    <row r="3581" spans="1:6" x14ac:dyDescent="0.25">
      <c r="A3581" s="4" t="str">
        <f>"Pigment and Resin Technology"</f>
        <v>Pigment and Resin Technology</v>
      </c>
      <c r="B3581" s="4" t="s">
        <v>6</v>
      </c>
      <c r="C3581" s="4" t="str">
        <f t="shared" si="121"/>
        <v>-</v>
      </c>
      <c r="D3581" s="4" t="str">
        <f>"03699420"</f>
        <v>03699420</v>
      </c>
      <c r="E3581" s="4" t="str">
        <f>"-"</f>
        <v>-</v>
      </c>
      <c r="F3581" s="4" t="s">
        <v>110</v>
      </c>
    </row>
    <row r="3582" spans="1:6" x14ac:dyDescent="0.25">
      <c r="A3582" s="4" t="str">
        <f>"PIRA International Conference Proceedings"</f>
        <v>PIRA International Conference Proceedings</v>
      </c>
      <c r="B3582" s="4" t="s">
        <v>8</v>
      </c>
      <c r="C3582" s="4" t="str">
        <f t="shared" si="121"/>
        <v>-</v>
      </c>
      <c r="D3582" s="4" t="str">
        <f>"-"</f>
        <v>-</v>
      </c>
      <c r="E3582" s="4" t="str">
        <f>"-"</f>
        <v>-</v>
      </c>
      <c r="F3582" s="4" t="s">
        <v>202</v>
      </c>
    </row>
    <row r="3583" spans="1:6" x14ac:dyDescent="0.25">
      <c r="A3583" s="4" t="str">
        <f>"Planetary and Space Science"</f>
        <v>Planetary and Space Science</v>
      </c>
      <c r="B3583" s="4" t="s">
        <v>6</v>
      </c>
      <c r="C3583" s="4" t="str">
        <f t="shared" si="121"/>
        <v>-</v>
      </c>
      <c r="D3583" s="4" t="str">
        <f>"00320633"</f>
        <v>00320633</v>
      </c>
      <c r="E3583" s="4" t="str">
        <f>"-"</f>
        <v>-</v>
      </c>
      <c r="F3583" s="4" t="s">
        <v>19</v>
      </c>
    </row>
    <row r="3584" spans="1:6" x14ac:dyDescent="0.25">
      <c r="A3584" s="4" t="str">
        <f>"Plant Cell, Tissue and Organ Culture"</f>
        <v>Plant Cell, Tissue and Organ Culture</v>
      </c>
      <c r="B3584" s="4" t="s">
        <v>6</v>
      </c>
      <c r="C3584" s="4" t="str">
        <f t="shared" si="121"/>
        <v>-</v>
      </c>
      <c r="D3584" s="4" t="str">
        <f>"01676857"</f>
        <v>01676857</v>
      </c>
      <c r="E3584" s="4" t="str">
        <f>"15735044"</f>
        <v>15735044</v>
      </c>
      <c r="F3584" s="4" t="s">
        <v>31</v>
      </c>
    </row>
    <row r="3585" spans="1:6" x14ac:dyDescent="0.25">
      <c r="A3585" s="4" t="str">
        <f>"Plant Engineer"</f>
        <v>Plant Engineer</v>
      </c>
      <c r="B3585" s="4" t="s">
        <v>6</v>
      </c>
      <c r="C3585" s="4" t="str">
        <f t="shared" si="121"/>
        <v>-</v>
      </c>
      <c r="D3585" s="4" t="str">
        <f>"00320838"</f>
        <v>00320838</v>
      </c>
      <c r="E3585" s="4" t="str">
        <f>"-"</f>
        <v>-</v>
      </c>
      <c r="F3585" s="4" t="s">
        <v>937</v>
      </c>
    </row>
    <row r="3586" spans="1:6" x14ac:dyDescent="0.25">
      <c r="A3586" s="4" t="str">
        <f>"Plant Journal"</f>
        <v>Plant Journal</v>
      </c>
      <c r="B3586" s="4" t="s">
        <v>6</v>
      </c>
      <c r="C3586" s="4" t="str">
        <f t="shared" si="121"/>
        <v>-</v>
      </c>
      <c r="D3586" s="4" t="str">
        <f>"09607412"</f>
        <v>09607412</v>
      </c>
      <c r="E3586" s="4" t="str">
        <f>"1365313X"</f>
        <v>1365313X</v>
      </c>
      <c r="F3586" s="4" t="s">
        <v>209</v>
      </c>
    </row>
    <row r="3587" spans="1:6" x14ac:dyDescent="0.25">
      <c r="A3587" s="4" t="str">
        <f>"Plasma and Fusion Research"</f>
        <v>Plasma and Fusion Research</v>
      </c>
      <c r="B3587" s="4" t="s">
        <v>6</v>
      </c>
      <c r="C3587" s="4" t="str">
        <f t="shared" si="121"/>
        <v>-</v>
      </c>
      <c r="D3587" s="4" t="str">
        <f>"-"</f>
        <v>-</v>
      </c>
      <c r="E3587" s="4" t="str">
        <f>"18806821"</f>
        <v>18806821</v>
      </c>
      <c r="F3587" s="4" t="s">
        <v>938</v>
      </c>
    </row>
    <row r="3588" spans="1:6" x14ac:dyDescent="0.25">
      <c r="A3588" s="4" t="str">
        <f>"Plasma Chemistry and Plasma Processing"</f>
        <v>Plasma Chemistry and Plasma Processing</v>
      </c>
      <c r="B3588" s="4" t="s">
        <v>6</v>
      </c>
      <c r="C3588" s="4" t="str">
        <f t="shared" si="121"/>
        <v>-</v>
      </c>
      <c r="D3588" s="4" t="str">
        <f>"02724324"</f>
        <v>02724324</v>
      </c>
      <c r="E3588" s="4" t="str">
        <f>"-"</f>
        <v>-</v>
      </c>
      <c r="F3588" s="4" t="s">
        <v>57</v>
      </c>
    </row>
    <row r="3589" spans="1:6" x14ac:dyDescent="0.25">
      <c r="A3589" s="4" t="str">
        <f>"Plasma Medicine"</f>
        <v>Plasma Medicine</v>
      </c>
      <c r="B3589" s="4" t="s">
        <v>6</v>
      </c>
      <c r="C3589" s="4" t="str">
        <f t="shared" si="121"/>
        <v>-</v>
      </c>
      <c r="D3589" s="4" t="str">
        <f>"19475764"</f>
        <v>19475764</v>
      </c>
      <c r="E3589" s="4" t="str">
        <f>"19475772"</f>
        <v>19475772</v>
      </c>
      <c r="F3589" s="4" t="s">
        <v>69</v>
      </c>
    </row>
    <row r="3590" spans="1:6" x14ac:dyDescent="0.25">
      <c r="A3590" s="4" t="str">
        <f>"Plasma Physics and Controlled Fusion"</f>
        <v>Plasma Physics and Controlled Fusion</v>
      </c>
      <c r="B3590" s="4" t="s">
        <v>6</v>
      </c>
      <c r="C3590" s="4" t="str">
        <f t="shared" si="121"/>
        <v>-</v>
      </c>
      <c r="D3590" s="4" t="str">
        <f>"07413335"</f>
        <v>07413335</v>
      </c>
      <c r="E3590" s="4" t="str">
        <f>"13616587"</f>
        <v>13616587</v>
      </c>
      <c r="F3590" s="4" t="s">
        <v>184</v>
      </c>
    </row>
    <row r="3591" spans="1:6" x14ac:dyDescent="0.25">
      <c r="A3591" s="4" t="str">
        <f>"Plasma Processes and Polymers"</f>
        <v>Plasma Processes and Polymers</v>
      </c>
      <c r="B3591" s="4" t="s">
        <v>6</v>
      </c>
      <c r="C3591" s="4" t="str">
        <f t="shared" si="121"/>
        <v>-</v>
      </c>
      <c r="D3591" s="4" t="str">
        <f>"16128850"</f>
        <v>16128850</v>
      </c>
      <c r="E3591" s="4" t="str">
        <f>"16128869"</f>
        <v>16128869</v>
      </c>
      <c r="F3591" s="4" t="s">
        <v>63</v>
      </c>
    </row>
    <row r="3592" spans="1:6" x14ac:dyDescent="0.25">
      <c r="A3592" s="4" t="str">
        <f>"Plasma Science and Technology"</f>
        <v>Plasma Science and Technology</v>
      </c>
      <c r="B3592" s="4" t="s">
        <v>6</v>
      </c>
      <c r="C3592" s="4" t="str">
        <f t="shared" si="121"/>
        <v>-</v>
      </c>
      <c r="D3592" s="4" t="str">
        <f>"10090630"</f>
        <v>10090630</v>
      </c>
      <c r="E3592" s="4" t="str">
        <f>"-"</f>
        <v>-</v>
      </c>
      <c r="F3592" s="4" t="s">
        <v>184</v>
      </c>
    </row>
    <row r="3593" spans="1:6" x14ac:dyDescent="0.25">
      <c r="A3593" s="4" t="str">
        <f>"Plasma Sources Science and Technology"</f>
        <v>Plasma Sources Science and Technology</v>
      </c>
      <c r="B3593" s="4" t="s">
        <v>6</v>
      </c>
      <c r="C3593" s="4" t="str">
        <f t="shared" si="121"/>
        <v>-</v>
      </c>
      <c r="D3593" s="4" t="str">
        <f>"09630252"</f>
        <v>09630252</v>
      </c>
      <c r="E3593" s="4" t="str">
        <f>"13616595"</f>
        <v>13616595</v>
      </c>
      <c r="F3593" s="4" t="s">
        <v>184</v>
      </c>
    </row>
    <row r="3594" spans="1:6" x14ac:dyDescent="0.25">
      <c r="A3594" s="4" t="str">
        <f>"Plastics Engineering"</f>
        <v>Plastics Engineering</v>
      </c>
      <c r="B3594" s="4" t="s">
        <v>6</v>
      </c>
      <c r="C3594" s="4" t="str">
        <f t="shared" si="121"/>
        <v>-</v>
      </c>
      <c r="D3594" s="4" t="str">
        <f>"00919578"</f>
        <v>00919578</v>
      </c>
      <c r="E3594" s="4" t="str">
        <f>"-"</f>
        <v>-</v>
      </c>
      <c r="F3594" s="4" t="s">
        <v>132</v>
      </c>
    </row>
    <row r="3595" spans="1:6" x14ac:dyDescent="0.25">
      <c r="A3595" s="4" t="str">
        <f>"Plastics Technology"</f>
        <v>Plastics Technology</v>
      </c>
      <c r="B3595" s="4" t="s">
        <v>22</v>
      </c>
      <c r="C3595" s="4" t="str">
        <f t="shared" si="121"/>
        <v>-</v>
      </c>
      <c r="D3595" s="4" t="str">
        <f>"00321257"</f>
        <v>00321257</v>
      </c>
      <c r="E3595" s="4" t="str">
        <f>"-"</f>
        <v>-</v>
      </c>
      <c r="F3595" s="4" t="s">
        <v>939</v>
      </c>
    </row>
    <row r="3596" spans="1:6" x14ac:dyDescent="0.25">
      <c r="A3596" s="4" t="str">
        <f>"Plastics, Rubber and Composites"</f>
        <v>Plastics, Rubber and Composites</v>
      </c>
      <c r="B3596" s="4" t="s">
        <v>6</v>
      </c>
      <c r="C3596" s="4" t="str">
        <f t="shared" si="121"/>
        <v>-</v>
      </c>
      <c r="D3596" s="4" t="str">
        <f>"14658011"</f>
        <v>14658011</v>
      </c>
      <c r="E3596" s="4" t="str">
        <f>"17432898"</f>
        <v>17432898</v>
      </c>
      <c r="F3596" s="4" t="s">
        <v>70</v>
      </c>
    </row>
    <row r="3597" spans="1:6" x14ac:dyDescent="0.25">
      <c r="A3597" s="4" t="str">
        <f>"Point-Based Graphics, 2005 - Eurographics/IEEE VGTC Symposium Proceedings"</f>
        <v>Point-Based Graphics, 2005 - Eurographics/IEEE VGTC Symposium Proceedings</v>
      </c>
      <c r="B3597" s="4" t="s">
        <v>8</v>
      </c>
      <c r="C3597" s="4" t="str">
        <f t="shared" si="121"/>
        <v>-</v>
      </c>
      <c r="D3597" s="4" t="str">
        <f>"-"</f>
        <v>-</v>
      </c>
      <c r="E3597" s="4" t="str">
        <f>"-"</f>
        <v>-</v>
      </c>
      <c r="F3597" s="4" t="s">
        <v>105</v>
      </c>
    </row>
    <row r="3598" spans="1:6" x14ac:dyDescent="0.25">
      <c r="A3598" s="4" t="str">
        <f>"Polimeri"</f>
        <v>Polimeri</v>
      </c>
      <c r="B3598" s="4" t="s">
        <v>6</v>
      </c>
      <c r="C3598" s="4" t="str">
        <f t="shared" si="121"/>
        <v>-</v>
      </c>
      <c r="D3598" s="4" t="str">
        <f>"03511871"</f>
        <v>03511871</v>
      </c>
      <c r="E3598" s="4" t="str">
        <f>"18460828"</f>
        <v>18460828</v>
      </c>
      <c r="F3598" s="4" t="s">
        <v>940</v>
      </c>
    </row>
    <row r="3599" spans="1:6" x14ac:dyDescent="0.25">
      <c r="A3599" s="4" t="str">
        <f>"Polimeros"</f>
        <v>Polimeros</v>
      </c>
      <c r="B3599" s="4" t="s">
        <v>6</v>
      </c>
      <c r="C3599" s="4" t="str">
        <f t="shared" si="121"/>
        <v>-</v>
      </c>
      <c r="D3599" s="4" t="str">
        <f>"01041428"</f>
        <v>01041428</v>
      </c>
      <c r="E3599" s="4" t="str">
        <f>"-"</f>
        <v>-</v>
      </c>
      <c r="F3599" s="4" t="s">
        <v>941</v>
      </c>
    </row>
    <row r="3600" spans="1:6" x14ac:dyDescent="0.25">
      <c r="A3600" s="4" t="str">
        <f>"Polimery/Polymers"</f>
        <v>Polimery/Polymers</v>
      </c>
      <c r="B3600" s="4" t="s">
        <v>6</v>
      </c>
      <c r="C3600" s="4" t="str">
        <f t="shared" si="121"/>
        <v>-</v>
      </c>
      <c r="D3600" s="4" t="str">
        <f>"00322725"</f>
        <v>00322725</v>
      </c>
      <c r="E3600" s="4" t="str">
        <f>"-"</f>
        <v>-</v>
      </c>
      <c r="F3600" s="4" t="s">
        <v>942</v>
      </c>
    </row>
    <row r="3601" spans="1:6" x14ac:dyDescent="0.25">
      <c r="A3601" s="4" t="str">
        <f>"PoliMI SpringerBriefs"</f>
        <v>PoliMI SpringerBriefs</v>
      </c>
      <c r="B3601" s="4" t="s">
        <v>29</v>
      </c>
      <c r="C3601" s="4" t="str">
        <f t="shared" si="121"/>
        <v>-</v>
      </c>
      <c r="D3601" s="4" t="str">
        <f>"22822577"</f>
        <v>22822577</v>
      </c>
      <c r="E3601" s="4" t="str">
        <f>"22822577"</f>
        <v>22822577</v>
      </c>
      <c r="F3601" s="4" t="s">
        <v>943</v>
      </c>
    </row>
    <row r="3602" spans="1:6" x14ac:dyDescent="0.25">
      <c r="A3602" s="4" t="str">
        <f>"Polish Maritime Research"</f>
        <v>Polish Maritime Research</v>
      </c>
      <c r="B3602" s="4" t="s">
        <v>6</v>
      </c>
      <c r="C3602" s="4" t="str">
        <f t="shared" si="121"/>
        <v>-</v>
      </c>
      <c r="D3602" s="4" t="str">
        <f>"12332585"</f>
        <v>12332585</v>
      </c>
      <c r="E3602" s="4" t="str">
        <f>"20837429"</f>
        <v>20837429</v>
      </c>
      <c r="F3602" s="4" t="s">
        <v>41</v>
      </c>
    </row>
    <row r="3603" spans="1:6" x14ac:dyDescent="0.25">
      <c r="A3603" s="4" t="str">
        <f>"Polymer - Plastics Technology and Engineering"</f>
        <v>Polymer - Plastics Technology and Engineering</v>
      </c>
      <c r="B3603" s="4" t="s">
        <v>6</v>
      </c>
      <c r="C3603" s="4" t="str">
        <f t="shared" si="121"/>
        <v>-</v>
      </c>
      <c r="D3603" s="4" t="str">
        <f>"03602559"</f>
        <v>03602559</v>
      </c>
      <c r="E3603" s="4" t="str">
        <f>"15256111"</f>
        <v>15256111</v>
      </c>
      <c r="F3603" s="4" t="s">
        <v>96</v>
      </c>
    </row>
    <row r="3604" spans="1:6" x14ac:dyDescent="0.25">
      <c r="A3604" s="4" t="str">
        <f>"Polymer (United Kingdom)"</f>
        <v>Polymer (United Kingdom)</v>
      </c>
      <c r="B3604" s="4" t="s">
        <v>6</v>
      </c>
      <c r="C3604" s="4" t="str">
        <f t="shared" si="121"/>
        <v>-</v>
      </c>
      <c r="D3604" s="4" t="str">
        <f>"00323861"</f>
        <v>00323861</v>
      </c>
      <c r="E3604" s="4" t="str">
        <f>"-"</f>
        <v>-</v>
      </c>
      <c r="F3604" s="4" t="s">
        <v>19</v>
      </c>
    </row>
    <row r="3605" spans="1:6" x14ac:dyDescent="0.25">
      <c r="A3605" s="4" t="str">
        <f>"Polymer Bulletin"</f>
        <v>Polymer Bulletin</v>
      </c>
      <c r="B3605" s="4" t="s">
        <v>6</v>
      </c>
      <c r="C3605" s="4" t="str">
        <f t="shared" si="121"/>
        <v>-</v>
      </c>
      <c r="D3605" s="4" t="str">
        <f>"01700839"</f>
        <v>01700839</v>
      </c>
      <c r="E3605" s="4" t="str">
        <f>"-"</f>
        <v>-</v>
      </c>
      <c r="F3605" s="4" t="s">
        <v>42</v>
      </c>
    </row>
    <row r="3606" spans="1:6" x14ac:dyDescent="0.25">
      <c r="A3606" s="4" t="str">
        <f>"Polymer Chemistry"</f>
        <v>Polymer Chemistry</v>
      </c>
      <c r="B3606" s="4" t="s">
        <v>6</v>
      </c>
      <c r="C3606" s="4" t="str">
        <f t="shared" si="121"/>
        <v>-</v>
      </c>
      <c r="D3606" s="4" t="str">
        <f>"17599954"</f>
        <v>17599954</v>
      </c>
      <c r="E3606" s="4" t="str">
        <f>"17599962"</f>
        <v>17599962</v>
      </c>
      <c r="F3606" s="4" t="s">
        <v>121</v>
      </c>
    </row>
    <row r="3607" spans="1:6" x14ac:dyDescent="0.25">
      <c r="A3607" s="4" t="str">
        <f>"Polymer Composites"</f>
        <v>Polymer Composites</v>
      </c>
      <c r="B3607" s="4" t="s">
        <v>6</v>
      </c>
      <c r="C3607" s="4" t="str">
        <f t="shared" si="121"/>
        <v>-</v>
      </c>
      <c r="D3607" s="4" t="str">
        <f>"02728397"</f>
        <v>02728397</v>
      </c>
      <c r="E3607" s="4" t="str">
        <f>"15480569"</f>
        <v>15480569</v>
      </c>
      <c r="F3607" s="4" t="s">
        <v>87</v>
      </c>
    </row>
    <row r="3608" spans="1:6" x14ac:dyDescent="0.25">
      <c r="A3608" s="4" t="str">
        <f>"Polymer Degradation and Stability"</f>
        <v>Polymer Degradation and Stability</v>
      </c>
      <c r="B3608" s="4" t="s">
        <v>6</v>
      </c>
      <c r="C3608" s="4" t="str">
        <f t="shared" si="121"/>
        <v>-</v>
      </c>
      <c r="D3608" s="4" t="str">
        <f>"01413910"</f>
        <v>01413910</v>
      </c>
      <c r="E3608" s="4" t="str">
        <f>"-"</f>
        <v>-</v>
      </c>
      <c r="F3608" s="4" t="s">
        <v>19</v>
      </c>
    </row>
    <row r="3609" spans="1:6" x14ac:dyDescent="0.25">
      <c r="A3609" s="4" t="str">
        <f>"Polymer Engineering and Science"</f>
        <v>Polymer Engineering and Science</v>
      </c>
      <c r="B3609" s="4" t="s">
        <v>6</v>
      </c>
      <c r="C3609" s="4" t="str">
        <f t="shared" si="121"/>
        <v>-</v>
      </c>
      <c r="D3609" s="4" t="str">
        <f>"00323888"</f>
        <v>00323888</v>
      </c>
      <c r="E3609" s="4" t="str">
        <f>"15482634"</f>
        <v>15482634</v>
      </c>
      <c r="F3609" s="4" t="s">
        <v>87</v>
      </c>
    </row>
    <row r="3610" spans="1:6" x14ac:dyDescent="0.25">
      <c r="A3610" s="4" t="str">
        <f>"Polymer International"</f>
        <v>Polymer International</v>
      </c>
      <c r="B3610" s="4" t="s">
        <v>6</v>
      </c>
      <c r="C3610" s="4" t="str">
        <f t="shared" si="121"/>
        <v>-</v>
      </c>
      <c r="D3610" s="4" t="str">
        <f>"09598103"</f>
        <v>09598103</v>
      </c>
      <c r="E3610" s="4" t="str">
        <f>"10970126"</f>
        <v>10970126</v>
      </c>
      <c r="F3610" s="4" t="s">
        <v>142</v>
      </c>
    </row>
    <row r="3611" spans="1:6" x14ac:dyDescent="0.25">
      <c r="A3611" s="4" t="str">
        <f>"Polymer Journal"</f>
        <v>Polymer Journal</v>
      </c>
      <c r="B3611" s="4" t="s">
        <v>6</v>
      </c>
      <c r="C3611" s="4" t="str">
        <f t="shared" si="121"/>
        <v>-</v>
      </c>
      <c r="D3611" s="4" t="str">
        <f>"00323896"</f>
        <v>00323896</v>
      </c>
      <c r="E3611" s="4" t="str">
        <f>"13490540"</f>
        <v>13490540</v>
      </c>
      <c r="F3611" s="4" t="s">
        <v>837</v>
      </c>
    </row>
    <row r="3612" spans="1:6" x14ac:dyDescent="0.25">
      <c r="A3612" s="4" t="str">
        <f>"Polymer Reviews"</f>
        <v>Polymer Reviews</v>
      </c>
      <c r="B3612" s="4" t="s">
        <v>6</v>
      </c>
      <c r="C3612" s="4" t="str">
        <f t="shared" si="121"/>
        <v>-</v>
      </c>
      <c r="D3612" s="4" t="str">
        <f>"15583724"</f>
        <v>15583724</v>
      </c>
      <c r="E3612" s="4" t="str">
        <f>"15583716"</f>
        <v>15583716</v>
      </c>
      <c r="F3612" s="4" t="s">
        <v>96</v>
      </c>
    </row>
    <row r="3613" spans="1:6" x14ac:dyDescent="0.25">
      <c r="A3613" s="4" t="str">
        <f>"Polymer Science - Series A"</f>
        <v>Polymer Science - Series A</v>
      </c>
      <c r="B3613" s="4" t="s">
        <v>6</v>
      </c>
      <c r="C3613" s="4" t="str">
        <f t="shared" si="121"/>
        <v>-</v>
      </c>
      <c r="D3613" s="4" t="str">
        <f>"0965545X"</f>
        <v>0965545X</v>
      </c>
      <c r="E3613" s="4" t="str">
        <f>"15556107"</f>
        <v>15556107</v>
      </c>
      <c r="F3613" s="4" t="s">
        <v>24</v>
      </c>
    </row>
    <row r="3614" spans="1:6" x14ac:dyDescent="0.25">
      <c r="A3614" s="4" t="str">
        <f>"Polymer Science - Series B"</f>
        <v>Polymer Science - Series B</v>
      </c>
      <c r="B3614" s="4" t="s">
        <v>6</v>
      </c>
      <c r="C3614" s="4" t="str">
        <f t="shared" si="121"/>
        <v>-</v>
      </c>
      <c r="D3614" s="4" t="str">
        <f>"15600904"</f>
        <v>15600904</v>
      </c>
      <c r="E3614" s="4" t="str">
        <f>"15556123"</f>
        <v>15556123</v>
      </c>
      <c r="F3614" s="4" t="s">
        <v>24</v>
      </c>
    </row>
    <row r="3615" spans="1:6" x14ac:dyDescent="0.25">
      <c r="A3615" s="4" t="str">
        <f>"Polymer Science - Series C"</f>
        <v>Polymer Science - Series C</v>
      </c>
      <c r="B3615" s="4" t="s">
        <v>6</v>
      </c>
      <c r="C3615" s="4" t="str">
        <f t="shared" si="121"/>
        <v>-</v>
      </c>
      <c r="D3615" s="4" t="str">
        <f>"18112382"</f>
        <v>18112382</v>
      </c>
      <c r="E3615" s="4" t="str">
        <f>"1555614X"</f>
        <v>1555614X</v>
      </c>
      <c r="F3615" s="4" t="s">
        <v>24</v>
      </c>
    </row>
    <row r="3616" spans="1:6" x14ac:dyDescent="0.25">
      <c r="A3616" s="4" t="str">
        <f>"Polymer Science - Series D"</f>
        <v>Polymer Science - Series D</v>
      </c>
      <c r="B3616" s="4" t="s">
        <v>6</v>
      </c>
      <c r="C3616" s="4" t="str">
        <f t="shared" si="121"/>
        <v>-</v>
      </c>
      <c r="D3616" s="4" t="str">
        <f>"19954212"</f>
        <v>19954212</v>
      </c>
      <c r="E3616" s="4" t="str">
        <f>"19954220"</f>
        <v>19954220</v>
      </c>
      <c r="F3616" s="4" t="s">
        <v>171</v>
      </c>
    </row>
    <row r="3617" spans="1:6" x14ac:dyDescent="0.25">
      <c r="A3617" s="4" t="str">
        <f>"Polymer Testing"</f>
        <v>Polymer Testing</v>
      </c>
      <c r="B3617" s="4" t="s">
        <v>6</v>
      </c>
      <c r="C3617" s="4" t="str">
        <f t="shared" si="121"/>
        <v>-</v>
      </c>
      <c r="D3617" s="4" t="str">
        <f>"01429418"</f>
        <v>01429418</v>
      </c>
      <c r="E3617" s="4" t="str">
        <f>"-"</f>
        <v>-</v>
      </c>
      <c r="F3617" s="4" t="s">
        <v>19</v>
      </c>
    </row>
    <row r="3618" spans="1:6" x14ac:dyDescent="0.25">
      <c r="A3618" s="4" t="str">
        <f>"Polymers"</f>
        <v>Polymers</v>
      </c>
      <c r="B3618" s="4" t="s">
        <v>6</v>
      </c>
      <c r="C3618" s="4" t="str">
        <f t="shared" si="121"/>
        <v>-</v>
      </c>
      <c r="D3618" s="4" t="str">
        <f>"-"</f>
        <v>-</v>
      </c>
      <c r="E3618" s="4" t="str">
        <f>"20734360"</f>
        <v>20734360</v>
      </c>
      <c r="F3618" s="4" t="s">
        <v>114</v>
      </c>
    </row>
    <row r="3619" spans="1:6" x14ac:dyDescent="0.25">
      <c r="A3619" s="4" t="str">
        <f>"Polymers and Polymer Composites"</f>
        <v>Polymers and Polymer Composites</v>
      </c>
      <c r="B3619" s="4" t="s">
        <v>6</v>
      </c>
      <c r="C3619" s="4" t="str">
        <f t="shared" si="121"/>
        <v>-</v>
      </c>
      <c r="D3619" s="4" t="str">
        <f>"09673911"</f>
        <v>09673911</v>
      </c>
      <c r="E3619" s="4" t="str">
        <f>"14782391"</f>
        <v>14782391</v>
      </c>
      <c r="F3619" s="4" t="s">
        <v>251</v>
      </c>
    </row>
    <row r="3620" spans="1:6" x14ac:dyDescent="0.25">
      <c r="A3620" s="4" t="str">
        <f>"Polymers for Advanced Technologies"</f>
        <v>Polymers for Advanced Technologies</v>
      </c>
      <c r="B3620" s="4" t="s">
        <v>6</v>
      </c>
      <c r="C3620" s="4" t="str">
        <f t="shared" si="121"/>
        <v>-</v>
      </c>
      <c r="D3620" s="4" t="str">
        <f>"10427147"</f>
        <v>10427147</v>
      </c>
      <c r="E3620" s="4" t="str">
        <f>"10991581"</f>
        <v>10991581</v>
      </c>
      <c r="F3620" s="4" t="s">
        <v>142</v>
      </c>
    </row>
    <row r="3621" spans="1:6" x14ac:dyDescent="0.25">
      <c r="A3621" s="4" t="str">
        <f>"Polymers from Renewable Resources"</f>
        <v>Polymers from Renewable Resources</v>
      </c>
      <c r="B3621" s="4" t="s">
        <v>6</v>
      </c>
      <c r="C3621" s="4" t="str">
        <f t="shared" si="121"/>
        <v>-</v>
      </c>
      <c r="D3621" s="4" t="str">
        <f>"20412479"</f>
        <v>20412479</v>
      </c>
      <c r="E3621" s="4" t="str">
        <f>"20451377"</f>
        <v>20451377</v>
      </c>
      <c r="F3621" s="4" t="s">
        <v>251</v>
      </c>
    </row>
    <row r="3622" spans="1:6" x14ac:dyDescent="0.25">
      <c r="A3622" s="4" t="str">
        <f>"Portland International Conference on Management of Engineering and Technology"</f>
        <v>Portland International Conference on Management of Engineering and Technology</v>
      </c>
      <c r="B3622" s="4" t="s">
        <v>8</v>
      </c>
      <c r="C3622" s="4" t="str">
        <f t="shared" si="121"/>
        <v>-</v>
      </c>
      <c r="D3622" s="4" t="str">
        <f>"-"</f>
        <v>-</v>
      </c>
      <c r="E3622" s="4" t="str">
        <f>"-"</f>
        <v>-</v>
      </c>
      <c r="F3622" s="4" t="s">
        <v>944</v>
      </c>
    </row>
    <row r="3623" spans="1:6" x14ac:dyDescent="0.25">
      <c r="A3623" s="4" t="str">
        <f>"Powder Diffraction"</f>
        <v>Powder Diffraction</v>
      </c>
      <c r="B3623" s="4" t="s">
        <v>6</v>
      </c>
      <c r="C3623" s="4" t="str">
        <f t="shared" si="121"/>
        <v>-</v>
      </c>
      <c r="D3623" s="4" t="str">
        <f>"08857156"</f>
        <v>08857156</v>
      </c>
      <c r="E3623" s="4" t="str">
        <f>"19457413"</f>
        <v>19457413</v>
      </c>
      <c r="F3623" s="4" t="s">
        <v>152</v>
      </c>
    </row>
    <row r="3624" spans="1:6" x14ac:dyDescent="0.25">
      <c r="A3624" s="4" t="str">
        <f>"Powder Metallurgy"</f>
        <v>Powder Metallurgy</v>
      </c>
      <c r="B3624" s="4" t="s">
        <v>6</v>
      </c>
      <c r="C3624" s="4" t="str">
        <f t="shared" si="121"/>
        <v>-</v>
      </c>
      <c r="D3624" s="4" t="str">
        <f>"00325899"</f>
        <v>00325899</v>
      </c>
      <c r="E3624" s="4" t="str">
        <f>"17432901"</f>
        <v>17432901</v>
      </c>
      <c r="F3624" s="4" t="s">
        <v>70</v>
      </c>
    </row>
    <row r="3625" spans="1:6" x14ac:dyDescent="0.25">
      <c r="A3625" s="4" t="str">
        <f>"Powder Metallurgy and Metal Ceramics"</f>
        <v>Powder Metallurgy and Metal Ceramics</v>
      </c>
      <c r="B3625" s="4" t="s">
        <v>6</v>
      </c>
      <c r="C3625" s="4" t="str">
        <f t="shared" si="121"/>
        <v>-</v>
      </c>
      <c r="D3625" s="4" t="str">
        <f>"10681302"</f>
        <v>10681302</v>
      </c>
      <c r="E3625" s="4" t="str">
        <f>"15739066"</f>
        <v>15739066</v>
      </c>
      <c r="F3625" s="4" t="s">
        <v>57</v>
      </c>
    </row>
    <row r="3626" spans="1:6" x14ac:dyDescent="0.25">
      <c r="A3626" s="4" t="str">
        <f>"Powder Technology"</f>
        <v>Powder Technology</v>
      </c>
      <c r="B3626" s="4" t="s">
        <v>6</v>
      </c>
      <c r="C3626" s="4" t="str">
        <f t="shared" si="121"/>
        <v>-</v>
      </c>
      <c r="D3626" s="4" t="str">
        <f>"00325910"</f>
        <v>00325910</v>
      </c>
      <c r="E3626" s="4" t="str">
        <f>"1873328X"</f>
        <v>1873328X</v>
      </c>
      <c r="F3626" s="4" t="s">
        <v>55</v>
      </c>
    </row>
    <row r="3627" spans="1:6" x14ac:dyDescent="0.25">
      <c r="A3627" s="4" t="str">
        <f>"Power Electronics Technology"</f>
        <v>Power Electronics Technology</v>
      </c>
      <c r="B3627" s="4" t="s">
        <v>6</v>
      </c>
      <c r="C3627" s="4" t="str">
        <f t="shared" si="121"/>
        <v>-</v>
      </c>
      <c r="D3627" s="4" t="str">
        <f>"15402800"</f>
        <v>15402800</v>
      </c>
      <c r="E3627" s="4" t="str">
        <f t="shared" ref="E3627:E3641" si="122">"-"</f>
        <v>-</v>
      </c>
      <c r="F3627" s="4" t="s">
        <v>945</v>
      </c>
    </row>
    <row r="3628" spans="1:6" x14ac:dyDescent="0.25">
      <c r="A3628" s="4" t="str">
        <f>"Power Technology and Engineering"</f>
        <v>Power Technology and Engineering</v>
      </c>
      <c r="B3628" s="4" t="s">
        <v>22</v>
      </c>
      <c r="C3628" s="4" t="str">
        <f t="shared" si="121"/>
        <v>-</v>
      </c>
      <c r="D3628" s="4" t="str">
        <f>"1570145X"</f>
        <v>1570145X</v>
      </c>
      <c r="E3628" s="4" t="str">
        <f t="shared" si="122"/>
        <v>-</v>
      </c>
      <c r="F3628" s="4" t="s">
        <v>57</v>
      </c>
    </row>
    <row r="3629" spans="1:6" x14ac:dyDescent="0.25">
      <c r="A3629" s="4" t="str">
        <f>"PPCJ Polymers Paint Colour Journal"</f>
        <v>PPCJ Polymers Paint Colour Journal</v>
      </c>
      <c r="B3629" s="4" t="s">
        <v>22</v>
      </c>
      <c r="C3629" s="4" t="str">
        <f t="shared" si="121"/>
        <v>-</v>
      </c>
      <c r="D3629" s="4" t="str">
        <f>"1357731X"</f>
        <v>1357731X</v>
      </c>
      <c r="E3629" s="4" t="str">
        <f t="shared" si="122"/>
        <v>-</v>
      </c>
      <c r="F3629" s="4" t="s">
        <v>462</v>
      </c>
    </row>
    <row r="3630" spans="1:6" x14ac:dyDescent="0.25">
      <c r="A3630" s="4" t="str">
        <f>"Prace Naukowe Instytutu Budownictwa Politechniki Wroclawskiej"</f>
        <v>Prace Naukowe Instytutu Budownictwa Politechniki Wroclawskiej</v>
      </c>
      <c r="B3630" s="4" t="s">
        <v>6</v>
      </c>
      <c r="C3630" s="4" t="str">
        <f t="shared" ref="C3630:C3693" si="123">"-"</f>
        <v>-</v>
      </c>
      <c r="D3630" s="4" t="str">
        <f>"03249875"</f>
        <v>03249875</v>
      </c>
      <c r="E3630" s="4" t="str">
        <f t="shared" si="122"/>
        <v>-</v>
      </c>
      <c r="F3630" s="4" t="s">
        <v>946</v>
      </c>
    </row>
    <row r="3631" spans="1:6" x14ac:dyDescent="0.25">
      <c r="A3631" s="4" t="str">
        <f>"Prace Naukowe Instytutu Geotechniki I Hydrotechniki Politechniki Wroclawskiej"</f>
        <v>Prace Naukowe Instytutu Geotechniki I Hydrotechniki Politechniki Wroclawskiej</v>
      </c>
      <c r="B3631" s="4" t="s">
        <v>6</v>
      </c>
      <c r="C3631" s="4" t="str">
        <f t="shared" si="123"/>
        <v>-</v>
      </c>
      <c r="D3631" s="4" t="str">
        <f>"12303100"</f>
        <v>12303100</v>
      </c>
      <c r="E3631" s="4" t="str">
        <f t="shared" si="122"/>
        <v>-</v>
      </c>
      <c r="F3631" s="4" t="s">
        <v>946</v>
      </c>
    </row>
    <row r="3632" spans="1:6" x14ac:dyDescent="0.25">
      <c r="A3632" s="4" t="str">
        <f>"Prace Naukowe Instytutu Gornictwa Politechniki Wroclawskiej"</f>
        <v>Prace Naukowe Instytutu Gornictwa Politechniki Wroclawskiej</v>
      </c>
      <c r="B3632" s="4" t="s">
        <v>6</v>
      </c>
      <c r="C3632" s="4" t="str">
        <f t="shared" si="123"/>
        <v>-</v>
      </c>
      <c r="D3632" s="4" t="str">
        <f>"03249670"</f>
        <v>03249670</v>
      </c>
      <c r="E3632" s="4" t="str">
        <f t="shared" si="122"/>
        <v>-</v>
      </c>
      <c r="F3632" s="4" t="s">
        <v>946</v>
      </c>
    </row>
    <row r="3633" spans="1:6" x14ac:dyDescent="0.25">
      <c r="A3633" s="4" t="str">
        <f>"Prace Naukowe Instytutu Inzynierii Ochrony Srodowiska, Politechniki Wroclawskiej"</f>
        <v>Prace Naukowe Instytutu Inzynierii Ochrony Srodowiska, Politechniki Wroclawskiej</v>
      </c>
      <c r="B3633" s="4" t="s">
        <v>6</v>
      </c>
      <c r="C3633" s="4" t="str">
        <f t="shared" si="123"/>
        <v>-</v>
      </c>
      <c r="D3633" s="4" t="str">
        <f>"00842869"</f>
        <v>00842869</v>
      </c>
      <c r="E3633" s="4" t="str">
        <f t="shared" si="122"/>
        <v>-</v>
      </c>
      <c r="F3633" s="4" t="s">
        <v>946</v>
      </c>
    </row>
    <row r="3634" spans="1:6" ht="30" x14ac:dyDescent="0.25">
      <c r="A3634" s="4" t="str">
        <f>"Prace Naukowe Instytutu Konstrukcji i Eksploatacji Maszyn Politechniki Wroclawskiej/Scientific Papers of the Institute of Machine Design and Operation of the Technical University of Wroclaw"</f>
        <v>Prace Naukowe Instytutu Konstrukcji i Eksploatacji Maszyn Politechniki Wroclawskiej/Scientific Papers of the Institute of Machine Design and Operation of the Technical University of Wroclaw</v>
      </c>
      <c r="B3634" s="4" t="s">
        <v>6</v>
      </c>
      <c r="C3634" s="4" t="str">
        <f t="shared" si="123"/>
        <v>-</v>
      </c>
      <c r="D3634" s="4" t="str">
        <f>"0324962X"</f>
        <v>0324962X</v>
      </c>
      <c r="E3634" s="4" t="str">
        <f t="shared" si="122"/>
        <v>-</v>
      </c>
      <c r="F3634" s="4" t="s">
        <v>946</v>
      </c>
    </row>
    <row r="3635" spans="1:6" x14ac:dyDescent="0.25">
      <c r="A3635" s="4" t="str">
        <f>"Prace Naukowe Instytutu Materialoznawstwa i Mechaniki Technicznej Politechniki Wroclawskiej"</f>
        <v>Prace Naukowe Instytutu Materialoznawstwa i Mechaniki Technicznej Politechniki Wroclawskiej</v>
      </c>
      <c r="B3635" s="4" t="s">
        <v>6</v>
      </c>
      <c r="C3635" s="4" t="str">
        <f t="shared" si="123"/>
        <v>-</v>
      </c>
      <c r="D3635" s="4" t="str">
        <f>"03249565"</f>
        <v>03249565</v>
      </c>
      <c r="E3635" s="4" t="str">
        <f t="shared" si="122"/>
        <v>-</v>
      </c>
      <c r="F3635" s="4" t="s">
        <v>946</v>
      </c>
    </row>
    <row r="3636" spans="1:6" x14ac:dyDescent="0.25">
      <c r="A3636" s="4" t="str">
        <f>"Prace Naukowe Instytutu Organizacji i Zarzadzania Politechniki Wroclawskiej"</f>
        <v>Prace Naukowe Instytutu Organizacji i Zarzadzania Politechniki Wroclawskiej</v>
      </c>
      <c r="B3636" s="4" t="s">
        <v>6</v>
      </c>
      <c r="C3636" s="4" t="str">
        <f t="shared" si="123"/>
        <v>-</v>
      </c>
      <c r="D3636" s="4" t="str">
        <f>"03249492"</f>
        <v>03249492</v>
      </c>
      <c r="E3636" s="4" t="str">
        <f t="shared" si="122"/>
        <v>-</v>
      </c>
      <c r="F3636" s="4" t="s">
        <v>946</v>
      </c>
    </row>
    <row r="3637" spans="1:6" x14ac:dyDescent="0.25">
      <c r="A3637" s="4" t="str">
        <f>"Prace Naukowe Instytutu Technologii Maszyn i Automatyzacji Politechniki Wroclawskiej"</f>
        <v>Prace Naukowe Instytutu Technologii Maszyn i Automatyzacji Politechniki Wroclawskiej</v>
      </c>
      <c r="B3637" s="4" t="s">
        <v>6</v>
      </c>
      <c r="C3637" s="4" t="str">
        <f t="shared" si="123"/>
        <v>-</v>
      </c>
      <c r="D3637" s="4" t="str">
        <f>"08675325"</f>
        <v>08675325</v>
      </c>
      <c r="E3637" s="4" t="str">
        <f t="shared" si="122"/>
        <v>-</v>
      </c>
      <c r="F3637" s="4" t="s">
        <v>946</v>
      </c>
    </row>
    <row r="3638" spans="1:6" x14ac:dyDescent="0.25">
      <c r="A3638" s="4" t="str">
        <f>"Practice Periodical on Structural Design and Construction"</f>
        <v>Practice Periodical on Structural Design and Construction</v>
      </c>
      <c r="B3638" s="4" t="s">
        <v>6</v>
      </c>
      <c r="C3638" s="4" t="str">
        <f t="shared" si="123"/>
        <v>-</v>
      </c>
      <c r="D3638" s="4" t="str">
        <f>"10840680"</f>
        <v>10840680</v>
      </c>
      <c r="E3638" s="4" t="str">
        <f t="shared" si="122"/>
        <v>-</v>
      </c>
      <c r="F3638" s="4" t="s">
        <v>111</v>
      </c>
    </row>
    <row r="3639" spans="1:6" x14ac:dyDescent="0.25">
      <c r="A3639" s="4" t="str">
        <f>"Praktische Metallographie/Practical Metallography"</f>
        <v>Praktische Metallographie/Practical Metallography</v>
      </c>
      <c r="B3639" s="4" t="s">
        <v>6</v>
      </c>
      <c r="C3639" s="4" t="str">
        <f t="shared" si="123"/>
        <v>-</v>
      </c>
      <c r="D3639" s="4" t="str">
        <f>"0032678X"</f>
        <v>0032678X</v>
      </c>
      <c r="E3639" s="4" t="str">
        <f t="shared" si="122"/>
        <v>-</v>
      </c>
      <c r="F3639" s="4" t="s">
        <v>490</v>
      </c>
    </row>
    <row r="3640" spans="1:6" x14ac:dyDescent="0.25">
      <c r="A3640" s="4" t="str">
        <f>"Pramana - Journal of Physics"</f>
        <v>Pramana - Journal of Physics</v>
      </c>
      <c r="B3640" s="4" t="s">
        <v>6</v>
      </c>
      <c r="C3640" s="4" t="str">
        <f t="shared" si="123"/>
        <v>-</v>
      </c>
      <c r="D3640" s="4" t="str">
        <f>"03044289"</f>
        <v>03044289</v>
      </c>
      <c r="E3640" s="4" t="str">
        <f t="shared" si="122"/>
        <v>-</v>
      </c>
      <c r="F3640" s="4" t="s">
        <v>224</v>
      </c>
    </row>
    <row r="3641" spans="1:6" x14ac:dyDescent="0.25">
      <c r="A3641" s="4" t="str">
        <f>"Precision Engineering"</f>
        <v>Precision Engineering</v>
      </c>
      <c r="B3641" s="4" t="s">
        <v>6</v>
      </c>
      <c r="C3641" s="4" t="str">
        <f t="shared" si="123"/>
        <v>-</v>
      </c>
      <c r="D3641" s="4" t="str">
        <f>"01416359"</f>
        <v>01416359</v>
      </c>
      <c r="E3641" s="4" t="str">
        <f t="shared" si="122"/>
        <v>-</v>
      </c>
      <c r="F3641" s="4" t="s">
        <v>141</v>
      </c>
    </row>
    <row r="3642" spans="1:6" x14ac:dyDescent="0.25">
      <c r="A3642" s="4" t="str">
        <f>"Presence: Teleoperators and Virtual Environments"</f>
        <v>Presence: Teleoperators and Virtual Environments</v>
      </c>
      <c r="B3642" s="4" t="s">
        <v>6</v>
      </c>
      <c r="C3642" s="4" t="str">
        <f t="shared" si="123"/>
        <v>-</v>
      </c>
      <c r="D3642" s="4" t="str">
        <f>"10547460"</f>
        <v>10547460</v>
      </c>
      <c r="E3642" s="4" t="str">
        <f>"15313263"</f>
        <v>15313263</v>
      </c>
      <c r="F3642" s="4" t="s">
        <v>153</v>
      </c>
    </row>
    <row r="3643" spans="1:6" x14ac:dyDescent="0.25">
      <c r="A3643" s="4" t="str">
        <f>"Print and Promo"</f>
        <v>Print and Promo</v>
      </c>
      <c r="B3643" s="4" t="s">
        <v>22</v>
      </c>
      <c r="C3643" s="4" t="str">
        <f t="shared" si="123"/>
        <v>-</v>
      </c>
      <c r="D3643" s="4" t="str">
        <f>"21685266"</f>
        <v>21685266</v>
      </c>
      <c r="E3643" s="4" t="str">
        <f>"21685266"</f>
        <v>21685266</v>
      </c>
      <c r="F3643" s="4" t="s">
        <v>947</v>
      </c>
    </row>
    <row r="3644" spans="1:6" x14ac:dyDescent="0.25">
      <c r="A3644" s="4" t="str">
        <f>"Probabilistic Engineering Mechanics"</f>
        <v>Probabilistic Engineering Mechanics</v>
      </c>
      <c r="B3644" s="4" t="s">
        <v>6</v>
      </c>
      <c r="C3644" s="4" t="str">
        <f t="shared" si="123"/>
        <v>-</v>
      </c>
      <c r="D3644" s="4" t="str">
        <f>"02668920"</f>
        <v>02668920</v>
      </c>
      <c r="E3644" s="4" t="str">
        <f>"18784275"</f>
        <v>18784275</v>
      </c>
      <c r="F3644" s="4" t="s">
        <v>19</v>
      </c>
    </row>
    <row r="3645" spans="1:6" x14ac:dyDescent="0.25">
      <c r="A3645" s="4" t="str">
        <f>"Problems of Information Transmission"</f>
        <v>Problems of Information Transmission</v>
      </c>
      <c r="B3645" s="4" t="s">
        <v>6</v>
      </c>
      <c r="C3645" s="4" t="str">
        <f t="shared" si="123"/>
        <v>-</v>
      </c>
      <c r="D3645" s="4" t="str">
        <f>"00329460"</f>
        <v>00329460</v>
      </c>
      <c r="E3645" s="4" t="str">
        <f>"16083253"</f>
        <v>16083253</v>
      </c>
      <c r="F3645" s="4" t="s">
        <v>171</v>
      </c>
    </row>
    <row r="3646" spans="1:6" x14ac:dyDescent="0.25">
      <c r="A3646" s="4" t="str">
        <f>"Procedia CIRP"</f>
        <v>Procedia CIRP</v>
      </c>
      <c r="B3646" s="4" t="s">
        <v>8</v>
      </c>
      <c r="C3646" s="4" t="str">
        <f t="shared" si="123"/>
        <v>-</v>
      </c>
      <c r="D3646" s="4" t="str">
        <f>"22128271"</f>
        <v>22128271</v>
      </c>
      <c r="E3646" s="4" t="str">
        <f>"-"</f>
        <v>-</v>
      </c>
      <c r="F3646" s="4" t="s">
        <v>55</v>
      </c>
    </row>
    <row r="3647" spans="1:6" x14ac:dyDescent="0.25">
      <c r="A3647" s="4" t="str">
        <f>"Procedia Computer Science"</f>
        <v>Procedia Computer Science</v>
      </c>
      <c r="B3647" s="4" t="s">
        <v>8</v>
      </c>
      <c r="C3647" s="4" t="str">
        <f t="shared" si="123"/>
        <v>-</v>
      </c>
      <c r="D3647" s="4" t="str">
        <f>"18770509"</f>
        <v>18770509</v>
      </c>
      <c r="E3647" s="4" t="str">
        <f>"18770509"</f>
        <v>18770509</v>
      </c>
      <c r="F3647" s="4" t="s">
        <v>55</v>
      </c>
    </row>
    <row r="3648" spans="1:6" x14ac:dyDescent="0.25">
      <c r="A3648" s="4" t="str">
        <f>"Procedia Engineering"</f>
        <v>Procedia Engineering</v>
      </c>
      <c r="B3648" s="4" t="s">
        <v>8</v>
      </c>
      <c r="C3648" s="4" t="str">
        <f t="shared" si="123"/>
        <v>-</v>
      </c>
      <c r="D3648" s="4" t="str">
        <f>"18777058"</f>
        <v>18777058</v>
      </c>
      <c r="E3648" s="4" t="str">
        <f>"18777058"</f>
        <v>18777058</v>
      </c>
      <c r="F3648" s="4" t="s">
        <v>19</v>
      </c>
    </row>
    <row r="3649" spans="1:6" x14ac:dyDescent="0.25">
      <c r="A3649" s="4" t="str">
        <f>"Procedia IUTAM"</f>
        <v>Procedia IUTAM</v>
      </c>
      <c r="B3649" s="4" t="s">
        <v>8</v>
      </c>
      <c r="C3649" s="4" t="str">
        <f t="shared" si="123"/>
        <v>-</v>
      </c>
      <c r="D3649" s="4" t="str">
        <f>"-"</f>
        <v>-</v>
      </c>
      <c r="E3649" s="4" t="str">
        <f>"22109838"</f>
        <v>22109838</v>
      </c>
      <c r="F3649" s="4" t="s">
        <v>55</v>
      </c>
    </row>
    <row r="3650" spans="1:6" x14ac:dyDescent="0.25">
      <c r="A3650" s="4" t="str">
        <f>"Proceeding of the International Conference on Electrical Power Quality and Utilisation, EPQU"</f>
        <v>Proceeding of the International Conference on Electrical Power Quality and Utilisation, EPQU</v>
      </c>
      <c r="B3650" s="4" t="s">
        <v>8</v>
      </c>
      <c r="C3650" s="4" t="str">
        <f t="shared" si="123"/>
        <v>-</v>
      </c>
      <c r="D3650" s="4" t="str">
        <f>"21506647"</f>
        <v>21506647</v>
      </c>
      <c r="E3650" s="4" t="str">
        <f>"21506655"</f>
        <v>21506655</v>
      </c>
      <c r="F3650" s="4" t="s">
        <v>9</v>
      </c>
    </row>
    <row r="3651" spans="1:6" x14ac:dyDescent="0.25">
      <c r="A3651" s="4" t="str">
        <f>"Proceedings - Annual Computer Security Applications Conference, ACSAC"</f>
        <v>Proceedings - Annual Computer Security Applications Conference, ACSAC</v>
      </c>
      <c r="B3651" s="4" t="s">
        <v>8</v>
      </c>
      <c r="C3651" s="4" t="str">
        <f t="shared" si="123"/>
        <v>-</v>
      </c>
      <c r="D3651" s="4" t="str">
        <f>"10639527"</f>
        <v>10639527</v>
      </c>
      <c r="E3651" s="4" t="str">
        <f t="shared" ref="E3651:E3678" si="124">"-"</f>
        <v>-</v>
      </c>
      <c r="F3651" s="4" t="s">
        <v>9</v>
      </c>
    </row>
    <row r="3652" spans="1:6" x14ac:dyDescent="0.25">
      <c r="A3652" s="4" t="str">
        <f>"Proceedings - Annual IEEE Symposium on Foundations of Computer Science, FOCS"</f>
        <v>Proceedings - Annual IEEE Symposium on Foundations of Computer Science, FOCS</v>
      </c>
      <c r="B3652" s="4" t="s">
        <v>8</v>
      </c>
      <c r="C3652" s="4" t="str">
        <f t="shared" si="123"/>
        <v>-</v>
      </c>
      <c r="D3652" s="4" t="str">
        <f>"02725428"</f>
        <v>02725428</v>
      </c>
      <c r="E3652" s="4" t="str">
        <f t="shared" si="124"/>
        <v>-</v>
      </c>
      <c r="F3652" s="4" t="s">
        <v>9</v>
      </c>
    </row>
    <row r="3653" spans="1:6" x14ac:dyDescent="0.25">
      <c r="A3653" s="4" t="str">
        <f>"Proceedings - Annual International Conference on Fault-Tolerant Computing"</f>
        <v>Proceedings - Annual International Conference on Fault-Tolerant Computing</v>
      </c>
      <c r="B3653" s="4" t="s">
        <v>8</v>
      </c>
      <c r="C3653" s="4" t="str">
        <f t="shared" si="123"/>
        <v>-</v>
      </c>
      <c r="D3653" s="4" t="str">
        <f>"07313071"</f>
        <v>07313071</v>
      </c>
      <c r="E3653" s="4" t="str">
        <f t="shared" si="124"/>
        <v>-</v>
      </c>
      <c r="F3653" s="4" t="s">
        <v>9</v>
      </c>
    </row>
    <row r="3654" spans="1:6" x14ac:dyDescent="0.25">
      <c r="A3654" s="4" t="str">
        <f>"Proceedings - Annual Meeting of the Decision Sciences Institute"</f>
        <v>Proceedings - Annual Meeting of the Decision Sciences Institute</v>
      </c>
      <c r="B3654" s="4" t="s">
        <v>8</v>
      </c>
      <c r="C3654" s="4" t="str">
        <f t="shared" si="123"/>
        <v>-</v>
      </c>
      <c r="D3654" s="4" t="str">
        <f>"-"</f>
        <v>-</v>
      </c>
      <c r="E3654" s="4" t="str">
        <f t="shared" si="124"/>
        <v>-</v>
      </c>
      <c r="F3654" s="4" t="s">
        <v>948</v>
      </c>
    </row>
    <row r="3655" spans="1:6" x14ac:dyDescent="0.25">
      <c r="A3655" s="4" t="str">
        <f>"Proceedings - Annual Reliability and Maintainability Symposium"</f>
        <v>Proceedings - Annual Reliability and Maintainability Symposium</v>
      </c>
      <c r="B3655" s="4" t="s">
        <v>8</v>
      </c>
      <c r="C3655" s="4" t="str">
        <f t="shared" si="123"/>
        <v>-</v>
      </c>
      <c r="D3655" s="4" t="str">
        <f>"0149144X"</f>
        <v>0149144X</v>
      </c>
      <c r="E3655" s="4" t="str">
        <f t="shared" si="124"/>
        <v>-</v>
      </c>
      <c r="F3655" s="4" t="s">
        <v>105</v>
      </c>
    </row>
    <row r="3656" spans="1:6" x14ac:dyDescent="0.25">
      <c r="A3656" s="4" t="str">
        <f>"Proceedings - Annual SAFE Symposium (Survival and Flight Equipment Association)"</f>
        <v>Proceedings - Annual SAFE Symposium (Survival and Flight Equipment Association)</v>
      </c>
      <c r="B3656" s="4" t="s">
        <v>8</v>
      </c>
      <c r="C3656" s="4" t="str">
        <f t="shared" si="123"/>
        <v>-</v>
      </c>
      <c r="D3656" s="4" t="str">
        <f>"-"</f>
        <v>-</v>
      </c>
      <c r="E3656" s="4" t="str">
        <f t="shared" si="124"/>
        <v>-</v>
      </c>
      <c r="F3656" s="4" t="s">
        <v>949</v>
      </c>
    </row>
    <row r="3657" spans="1:6" x14ac:dyDescent="0.25">
      <c r="A3657" s="4" t="str">
        <f>"Proceedings - Annual Workshop on Interaction between Compilers and Computer Architectures, INTERACT"</f>
        <v>Proceedings - Annual Workshop on Interaction between Compilers and Computer Architectures, INTERACT</v>
      </c>
      <c r="B3657" s="4" t="s">
        <v>8</v>
      </c>
      <c r="C3657" s="4" t="str">
        <f t="shared" si="123"/>
        <v>-</v>
      </c>
      <c r="D3657" s="4" t="str">
        <f>"15506207"</f>
        <v>15506207</v>
      </c>
      <c r="E3657" s="4" t="str">
        <f t="shared" si="124"/>
        <v>-</v>
      </c>
      <c r="F3657" s="4" t="s">
        <v>105</v>
      </c>
    </row>
    <row r="3658" spans="1:6" x14ac:dyDescent="0.25">
      <c r="A3658" s="4" t="str">
        <f>"Proceedings - Applied Imagery Pattern Recognition Workshop"</f>
        <v>Proceedings - Applied Imagery Pattern Recognition Workshop</v>
      </c>
      <c r="B3658" s="4" t="s">
        <v>8</v>
      </c>
      <c r="C3658" s="4" t="str">
        <f t="shared" si="123"/>
        <v>-</v>
      </c>
      <c r="D3658" s="4" t="str">
        <f>"21642516"</f>
        <v>21642516</v>
      </c>
      <c r="E3658" s="4" t="str">
        <f t="shared" si="124"/>
        <v>-</v>
      </c>
      <c r="F3658" s="4" t="s">
        <v>105</v>
      </c>
    </row>
    <row r="3659" spans="1:6" x14ac:dyDescent="0.25">
      <c r="A3659" s="4" t="str">
        <f>"Proceedings - Asia-Pacific Software Engineering Conference, APSEC"</f>
        <v>Proceedings - Asia-Pacific Software Engineering Conference, APSEC</v>
      </c>
      <c r="B3659" s="4" t="s">
        <v>8</v>
      </c>
      <c r="C3659" s="4" t="str">
        <f t="shared" si="123"/>
        <v>-</v>
      </c>
      <c r="D3659" s="4" t="str">
        <f>"15301362"</f>
        <v>15301362</v>
      </c>
      <c r="E3659" s="4" t="str">
        <f t="shared" si="124"/>
        <v>-</v>
      </c>
      <c r="F3659" s="4" t="s">
        <v>9</v>
      </c>
    </row>
    <row r="3660" spans="1:6" x14ac:dyDescent="0.25">
      <c r="A3660" s="4" t="str">
        <f>"Proceedings - Brazilian Symposium on Neural Networks, SBRN"</f>
        <v>Proceedings - Brazilian Symposium on Neural Networks, SBRN</v>
      </c>
      <c r="B3660" s="4" t="s">
        <v>8</v>
      </c>
      <c r="C3660" s="4" t="str">
        <f t="shared" si="123"/>
        <v>-</v>
      </c>
      <c r="D3660" s="4" t="str">
        <f>"15224899"</f>
        <v>15224899</v>
      </c>
      <c r="E3660" s="4" t="str">
        <f t="shared" si="124"/>
        <v>-</v>
      </c>
      <c r="F3660" s="4" t="s">
        <v>9</v>
      </c>
    </row>
    <row r="3661" spans="1:6" x14ac:dyDescent="0.25">
      <c r="A3661" s="4" t="str">
        <f>"Proceedings - Conference of the Australian Road Research Board"</f>
        <v>Proceedings - Conference of the Australian Road Research Board</v>
      </c>
      <c r="B3661" s="4" t="s">
        <v>8</v>
      </c>
      <c r="C3661" s="4" t="str">
        <f t="shared" si="123"/>
        <v>-</v>
      </c>
      <c r="D3661" s="4" t="str">
        <f>"05721431"</f>
        <v>05721431</v>
      </c>
      <c r="E3661" s="4" t="str">
        <f t="shared" si="124"/>
        <v>-</v>
      </c>
      <c r="F3661" s="4" t="s">
        <v>950</v>
      </c>
    </row>
    <row r="3662" spans="1:6" x14ac:dyDescent="0.25">
      <c r="A3662" s="4" t="str">
        <f>"Proceedings - Conference on Local Computer Networks, LCN"</f>
        <v>Proceedings - Conference on Local Computer Networks, LCN</v>
      </c>
      <c r="B3662" s="4" t="s">
        <v>8</v>
      </c>
      <c r="C3662" s="4" t="str">
        <f t="shared" si="123"/>
        <v>-</v>
      </c>
      <c r="D3662" s="4" t="str">
        <f>"-"</f>
        <v>-</v>
      </c>
      <c r="E3662" s="4" t="str">
        <f t="shared" si="124"/>
        <v>-</v>
      </c>
      <c r="F3662" s="4" t="s">
        <v>9</v>
      </c>
    </row>
    <row r="3663" spans="1:6" x14ac:dyDescent="0.25">
      <c r="A3663" s="4" t="str">
        <f>"Proceedings - Design Automation Conference"</f>
        <v>Proceedings - Design Automation Conference</v>
      </c>
      <c r="B3663" s="4" t="s">
        <v>8</v>
      </c>
      <c r="C3663" s="4" t="str">
        <f t="shared" si="123"/>
        <v>-</v>
      </c>
      <c r="D3663" s="4" t="str">
        <f>"0738100X"</f>
        <v>0738100X</v>
      </c>
      <c r="E3663" s="4" t="str">
        <f t="shared" si="124"/>
        <v>-</v>
      </c>
      <c r="F3663" s="4" t="s">
        <v>105</v>
      </c>
    </row>
    <row r="3664" spans="1:6" x14ac:dyDescent="0.25">
      <c r="A3664" s="4" t="str">
        <f>"Proceedings - Electrochemical Society"</f>
        <v>Proceedings - Electrochemical Society</v>
      </c>
      <c r="B3664" s="4" t="s">
        <v>8</v>
      </c>
      <c r="C3664" s="4" t="str">
        <f t="shared" si="123"/>
        <v>-</v>
      </c>
      <c r="D3664" s="4" t="str">
        <f>"-"</f>
        <v>-</v>
      </c>
      <c r="E3664" s="4" t="str">
        <f t="shared" si="124"/>
        <v>-</v>
      </c>
      <c r="F3664" s="4" t="s">
        <v>354</v>
      </c>
    </row>
    <row r="3665" spans="1:6" x14ac:dyDescent="0.25">
      <c r="A3665" s="4" t="str">
        <f>"Proceedings - Electronic Components and Technology Conference"</f>
        <v>Proceedings - Electronic Components and Technology Conference</v>
      </c>
      <c r="B3665" s="4" t="s">
        <v>8</v>
      </c>
      <c r="C3665" s="4" t="str">
        <f t="shared" si="123"/>
        <v>-</v>
      </c>
      <c r="D3665" s="4" t="str">
        <f>"05695503"</f>
        <v>05695503</v>
      </c>
      <c r="E3665" s="4" t="str">
        <f t="shared" si="124"/>
        <v>-</v>
      </c>
      <c r="F3665" s="4" t="s">
        <v>105</v>
      </c>
    </row>
    <row r="3666" spans="1:6" x14ac:dyDescent="0.25">
      <c r="A3666" s="4" t="str">
        <f>"Proceedings - Euromicro Conference on Real-Time Systems"</f>
        <v>Proceedings - Euromicro Conference on Real-Time Systems</v>
      </c>
      <c r="B3666" s="4" t="s">
        <v>8</v>
      </c>
      <c r="C3666" s="4" t="str">
        <f t="shared" si="123"/>
        <v>-</v>
      </c>
      <c r="D3666" s="4" t="str">
        <f>"10683070"</f>
        <v>10683070</v>
      </c>
      <c r="E3666" s="4" t="str">
        <f t="shared" si="124"/>
        <v>-</v>
      </c>
      <c r="F3666" s="4" t="s">
        <v>105</v>
      </c>
    </row>
    <row r="3667" spans="1:6" x14ac:dyDescent="0.25">
      <c r="A3667" s="4" t="str">
        <f>"Proceedings - European Aviation Safety Seminar, EASS"</f>
        <v>Proceedings - European Aviation Safety Seminar, EASS</v>
      </c>
      <c r="B3667" s="4" t="s">
        <v>8</v>
      </c>
      <c r="C3667" s="4" t="str">
        <f t="shared" si="123"/>
        <v>-</v>
      </c>
      <c r="D3667" s="4" t="str">
        <f>"15242013"</f>
        <v>15242013</v>
      </c>
      <c r="E3667" s="4" t="str">
        <f t="shared" si="124"/>
        <v>-</v>
      </c>
      <c r="F3667" s="4" t="s">
        <v>548</v>
      </c>
    </row>
    <row r="3668" spans="1:6" x14ac:dyDescent="0.25">
      <c r="A3668" s="4" t="str">
        <f>"Proceedings - European Conference on Noise Control"</f>
        <v>Proceedings - European Conference on Noise Control</v>
      </c>
      <c r="B3668" s="4" t="s">
        <v>8</v>
      </c>
      <c r="C3668" s="4" t="str">
        <f t="shared" si="123"/>
        <v>-</v>
      </c>
      <c r="D3668" s="4" t="str">
        <f>"22265147"</f>
        <v>22265147</v>
      </c>
      <c r="E3668" s="4" t="str">
        <f t="shared" si="124"/>
        <v>-</v>
      </c>
      <c r="F3668" s="4" t="s">
        <v>30</v>
      </c>
    </row>
    <row r="3669" spans="1:6" x14ac:dyDescent="0.25">
      <c r="A3669" s="4" t="str">
        <f>"Proceedings - Frontiers in Education Conference, FIE"</f>
        <v>Proceedings - Frontiers in Education Conference, FIE</v>
      </c>
      <c r="B3669" s="4" t="s">
        <v>8</v>
      </c>
      <c r="C3669" s="4" t="str">
        <f t="shared" si="123"/>
        <v>-</v>
      </c>
      <c r="D3669" s="4" t="str">
        <f>"15394565"</f>
        <v>15394565</v>
      </c>
      <c r="E3669" s="4" t="str">
        <f t="shared" si="124"/>
        <v>-</v>
      </c>
      <c r="F3669" s="4" t="s">
        <v>105</v>
      </c>
    </row>
    <row r="3670" spans="1:6" x14ac:dyDescent="0.25">
      <c r="A3670" s="4" t="str">
        <f>"Proceedings - Frontiers of Power Conference"</f>
        <v>Proceedings - Frontiers of Power Conference</v>
      </c>
      <c r="B3670" s="4" t="s">
        <v>8</v>
      </c>
      <c r="C3670" s="4" t="str">
        <f t="shared" si="123"/>
        <v>-</v>
      </c>
      <c r="D3670" s="4" t="str">
        <f>"07307985"</f>
        <v>07307985</v>
      </c>
      <c r="E3670" s="4" t="str">
        <f t="shared" si="124"/>
        <v>-</v>
      </c>
      <c r="F3670" s="4" t="s">
        <v>951</v>
      </c>
    </row>
    <row r="3671" spans="1:6" x14ac:dyDescent="0.25">
      <c r="A3671" s="4" t="str">
        <f>"Proceedings - Graphics Interface"</f>
        <v>Proceedings - Graphics Interface</v>
      </c>
      <c r="B3671" s="4" t="s">
        <v>8</v>
      </c>
      <c r="C3671" s="4" t="str">
        <f t="shared" si="123"/>
        <v>-</v>
      </c>
      <c r="D3671" s="4" t="str">
        <f>"07135424"</f>
        <v>07135424</v>
      </c>
      <c r="E3671" s="4" t="str">
        <f t="shared" si="124"/>
        <v>-</v>
      </c>
      <c r="F3671" s="4" t="s">
        <v>952</v>
      </c>
    </row>
    <row r="3672" spans="1:6" ht="30" x14ac:dyDescent="0.25">
      <c r="A3672" s="4" t="str">
        <f>"Proceedings - IEEE 28th International Parallel and Distributed Processing Symposium Workshops, IPDPSW 2014"</f>
        <v>Proceedings - IEEE 28th International Parallel and Distributed Processing Symposium Workshops, IPDPSW 2014</v>
      </c>
      <c r="B3672" s="4" t="s">
        <v>8</v>
      </c>
      <c r="C3672" s="4" t="str">
        <f t="shared" si="123"/>
        <v>-</v>
      </c>
      <c r="D3672" s="4" t="str">
        <f>"-"</f>
        <v>-</v>
      </c>
      <c r="E3672" s="4" t="str">
        <f t="shared" si="124"/>
        <v>-</v>
      </c>
      <c r="F3672" s="4" t="s">
        <v>9</v>
      </c>
    </row>
    <row r="3673" spans="1:6" x14ac:dyDescent="0.25">
      <c r="A3673" s="4" t="str">
        <f>"Proceedings - IEEE Computer Security Foundations Symposium"</f>
        <v>Proceedings - IEEE Computer Security Foundations Symposium</v>
      </c>
      <c r="B3673" s="4" t="s">
        <v>8</v>
      </c>
      <c r="C3673" s="4" t="str">
        <f t="shared" si="123"/>
        <v>-</v>
      </c>
      <c r="D3673" s="4" t="str">
        <f>"19401434"</f>
        <v>19401434</v>
      </c>
      <c r="E3673" s="4" t="str">
        <f t="shared" si="124"/>
        <v>-</v>
      </c>
      <c r="F3673" s="4" t="s">
        <v>9</v>
      </c>
    </row>
    <row r="3674" spans="1:6" ht="30" x14ac:dyDescent="0.25">
      <c r="A3674" s="4" t="str">
        <f>"Proceedings - IEEE Computer Society's Annual International Symposium on Modeling, Analysis, and Simulation of Computer and Telecommunications Systems, MASCOTS"</f>
        <v>Proceedings - IEEE Computer Society's Annual International Symposium on Modeling, Analysis, and Simulation of Computer and Telecommunications Systems, MASCOTS</v>
      </c>
      <c r="B3674" s="4" t="s">
        <v>8</v>
      </c>
      <c r="C3674" s="4" t="str">
        <f t="shared" si="123"/>
        <v>-</v>
      </c>
      <c r="D3674" s="4" t="str">
        <f>"15267539"</f>
        <v>15267539</v>
      </c>
      <c r="E3674" s="4" t="str">
        <f t="shared" si="124"/>
        <v>-</v>
      </c>
      <c r="F3674" s="4" t="s">
        <v>9</v>
      </c>
    </row>
    <row r="3675" spans="1:6" x14ac:dyDescent="0.25">
      <c r="A3675" s="4" t="str">
        <f>"Proceedings - IEEE INFOCOM"</f>
        <v>Proceedings - IEEE INFOCOM</v>
      </c>
      <c r="B3675" s="4" t="s">
        <v>8</v>
      </c>
      <c r="C3675" s="4" t="str">
        <f t="shared" si="123"/>
        <v>-</v>
      </c>
      <c r="D3675" s="4" t="str">
        <f>"0743166X"</f>
        <v>0743166X</v>
      </c>
      <c r="E3675" s="4" t="str">
        <f t="shared" si="124"/>
        <v>-</v>
      </c>
      <c r="F3675" s="4" t="s">
        <v>105</v>
      </c>
    </row>
    <row r="3676" spans="1:6" x14ac:dyDescent="0.25">
      <c r="A3676" s="4" t="str">
        <f>"Proceedings - IEEE International Conference on Cluster Computing, ICCC"</f>
        <v>Proceedings - IEEE International Conference on Cluster Computing, ICCC</v>
      </c>
      <c r="B3676" s="4" t="s">
        <v>8</v>
      </c>
      <c r="C3676" s="4" t="str">
        <f t="shared" si="123"/>
        <v>-</v>
      </c>
      <c r="D3676" s="4" t="str">
        <f>"15525244"</f>
        <v>15525244</v>
      </c>
      <c r="E3676" s="4" t="str">
        <f t="shared" si="124"/>
        <v>-</v>
      </c>
      <c r="F3676" s="4" t="s">
        <v>105</v>
      </c>
    </row>
    <row r="3677" spans="1:6" x14ac:dyDescent="0.25">
      <c r="A3677" s="4" t="str">
        <f>"Proceedings - IEEE International Conference on Computer Design: VLSI in Computers and Processors"</f>
        <v>Proceedings - IEEE International Conference on Computer Design: VLSI in Computers and Processors</v>
      </c>
      <c r="B3677" s="4" t="s">
        <v>8</v>
      </c>
      <c r="C3677" s="4" t="str">
        <f t="shared" si="123"/>
        <v>-</v>
      </c>
      <c r="D3677" s="4" t="str">
        <f>"10636404"</f>
        <v>10636404</v>
      </c>
      <c r="E3677" s="4" t="str">
        <f t="shared" si="124"/>
        <v>-</v>
      </c>
      <c r="F3677" s="4" t="s">
        <v>105</v>
      </c>
    </row>
    <row r="3678" spans="1:6" x14ac:dyDescent="0.25">
      <c r="A3678" s="4" t="str">
        <f>"Proceedings - IEEE International Conference on Data Mining, ICDM"</f>
        <v>Proceedings - IEEE International Conference on Data Mining, ICDM</v>
      </c>
      <c r="B3678" s="4" t="s">
        <v>8</v>
      </c>
      <c r="C3678" s="4" t="str">
        <f t="shared" si="123"/>
        <v>-</v>
      </c>
      <c r="D3678" s="4" t="str">
        <f>"15504786"</f>
        <v>15504786</v>
      </c>
      <c r="E3678" s="4" t="str">
        <f t="shared" si="124"/>
        <v>-</v>
      </c>
      <c r="F3678" s="4" t="s">
        <v>105</v>
      </c>
    </row>
    <row r="3679" spans="1:6" x14ac:dyDescent="0.25">
      <c r="A3679" s="4" t="str">
        <f>"Proceedings - IEEE International Conference on Dielectric Liquids"</f>
        <v>Proceedings - IEEE International Conference on Dielectric Liquids</v>
      </c>
      <c r="B3679" s="4" t="s">
        <v>8</v>
      </c>
      <c r="C3679" s="4" t="str">
        <f t="shared" si="123"/>
        <v>-</v>
      </c>
      <c r="D3679" s="4" t="str">
        <f>"21533725"</f>
        <v>21533725</v>
      </c>
      <c r="E3679" s="4" t="str">
        <f>"21533733"</f>
        <v>21533733</v>
      </c>
      <c r="F3679" s="4" t="s">
        <v>9</v>
      </c>
    </row>
    <row r="3680" spans="1:6" x14ac:dyDescent="0.25">
      <c r="A3680" s="4" t="str">
        <f>"Proceedings - IEEE International Conference on Mobile Data Management"</f>
        <v>Proceedings - IEEE International Conference on Mobile Data Management</v>
      </c>
      <c r="B3680" s="4" t="s">
        <v>8</v>
      </c>
      <c r="C3680" s="4" t="str">
        <f t="shared" si="123"/>
        <v>-</v>
      </c>
      <c r="D3680" s="4" t="str">
        <f>"15516245"</f>
        <v>15516245</v>
      </c>
      <c r="E3680" s="4" t="str">
        <f>"-"</f>
        <v>-</v>
      </c>
      <c r="F3680" s="4" t="s">
        <v>105</v>
      </c>
    </row>
    <row r="3681" spans="1:6" x14ac:dyDescent="0.25">
      <c r="A3681" s="4" t="str">
        <f>"Proceedings - IEEE International Conference on Multimedia and Expo"</f>
        <v>Proceedings - IEEE International Conference on Multimedia and Expo</v>
      </c>
      <c r="B3681" s="4" t="s">
        <v>8</v>
      </c>
      <c r="C3681" s="4" t="str">
        <f t="shared" si="123"/>
        <v>-</v>
      </c>
      <c r="D3681" s="4" t="str">
        <f>"19457871"</f>
        <v>19457871</v>
      </c>
      <c r="E3681" s="4" t="str">
        <f>"1945788X"</f>
        <v>1945788X</v>
      </c>
      <c r="F3681" s="4" t="s">
        <v>9</v>
      </c>
    </row>
    <row r="3682" spans="1:6" x14ac:dyDescent="0.25">
      <c r="A3682" s="4" t="str">
        <f>"Proceedings - IEEE International Conference on Robotics and Automation"</f>
        <v>Proceedings - IEEE International Conference on Robotics and Automation</v>
      </c>
      <c r="B3682" s="4" t="s">
        <v>8</v>
      </c>
      <c r="C3682" s="4" t="str">
        <f t="shared" si="123"/>
        <v>-</v>
      </c>
      <c r="D3682" s="4" t="str">
        <f>"10504729"</f>
        <v>10504729</v>
      </c>
      <c r="E3682" s="4" t="str">
        <f>"-"</f>
        <v>-</v>
      </c>
      <c r="F3682" s="4" t="s">
        <v>105</v>
      </c>
    </row>
    <row r="3683" spans="1:6" x14ac:dyDescent="0.25">
      <c r="A3683" s="4" t="str">
        <f>"Proceedings - IEEE International Conference on Third Generation Wireless Communications"</f>
        <v>Proceedings - IEEE International Conference on Third Generation Wireless Communications</v>
      </c>
      <c r="B3683" s="4" t="s">
        <v>8</v>
      </c>
      <c r="C3683" s="4" t="str">
        <f t="shared" si="123"/>
        <v>-</v>
      </c>
      <c r="D3683" s="4" t="str">
        <f>"15292592"</f>
        <v>15292592</v>
      </c>
      <c r="E3683" s="4" t="str">
        <f>"-"</f>
        <v>-</v>
      </c>
      <c r="F3683" s="4" t="s">
        <v>953</v>
      </c>
    </row>
    <row r="3684" spans="1:6" x14ac:dyDescent="0.25">
      <c r="A3684" s="4" t="str">
        <f>"Proceedings - IEEE International Conference on Ultra-Wideband"</f>
        <v>Proceedings - IEEE International Conference on Ultra-Wideband</v>
      </c>
      <c r="B3684" s="4" t="s">
        <v>8</v>
      </c>
      <c r="C3684" s="4" t="str">
        <f t="shared" si="123"/>
        <v>-</v>
      </c>
      <c r="D3684" s="4" t="str">
        <f>"21626588"</f>
        <v>21626588</v>
      </c>
      <c r="E3684" s="4" t="str">
        <f>"21626596"</f>
        <v>21626596</v>
      </c>
      <c r="F3684" s="4" t="s">
        <v>9</v>
      </c>
    </row>
    <row r="3685" spans="1:6" x14ac:dyDescent="0.25">
      <c r="A3685" s="4" t="str">
        <f>"Proceedings - IEEE International Enterprise Distributed Object Computing Workshop, EDOCW"</f>
        <v>Proceedings - IEEE International Enterprise Distributed Object Computing Workshop, EDOCW</v>
      </c>
      <c r="B3685" s="4" t="s">
        <v>8</v>
      </c>
      <c r="C3685" s="4" t="str">
        <f t="shared" si="123"/>
        <v>-</v>
      </c>
      <c r="D3685" s="4" t="str">
        <f>"15417719"</f>
        <v>15417719</v>
      </c>
      <c r="E3685" s="4" t="str">
        <f t="shared" ref="E3685:E3691" si="125">"-"</f>
        <v>-</v>
      </c>
      <c r="F3685" s="4" t="s">
        <v>105</v>
      </c>
    </row>
    <row r="3686" spans="1:6" x14ac:dyDescent="0.25">
      <c r="A3686" s="4" t="str">
        <f>"Proceedings - IEEE International High-Level Design Validation and Test Workshop, HLDVT"</f>
        <v>Proceedings - IEEE International High-Level Design Validation and Test Workshop, HLDVT</v>
      </c>
      <c r="B3686" s="4" t="s">
        <v>8</v>
      </c>
      <c r="C3686" s="4" t="str">
        <f t="shared" si="123"/>
        <v>-</v>
      </c>
      <c r="D3686" s="4" t="str">
        <f>"15526674"</f>
        <v>15526674</v>
      </c>
      <c r="E3686" s="4" t="str">
        <f t="shared" si="125"/>
        <v>-</v>
      </c>
      <c r="F3686" s="4" t="s">
        <v>9</v>
      </c>
    </row>
    <row r="3687" spans="1:6" x14ac:dyDescent="0.25">
      <c r="A3687" s="4" t="str">
        <f>"Proceedings - IEEE International SOI Conference"</f>
        <v>Proceedings - IEEE International SOI Conference</v>
      </c>
      <c r="B3687" s="4" t="s">
        <v>8</v>
      </c>
      <c r="C3687" s="4" t="str">
        <f t="shared" si="123"/>
        <v>-</v>
      </c>
      <c r="D3687" s="4" t="str">
        <f>"1078621X"</f>
        <v>1078621X</v>
      </c>
      <c r="E3687" s="4" t="str">
        <f t="shared" si="125"/>
        <v>-</v>
      </c>
      <c r="F3687" s="4" t="s">
        <v>105</v>
      </c>
    </row>
    <row r="3688" spans="1:6" x14ac:dyDescent="0.25">
      <c r="A3688" s="4" t="str">
        <f>"Proceedings - IEEE International Symposium on Circuits and Systems"</f>
        <v>Proceedings - IEEE International Symposium on Circuits and Systems</v>
      </c>
      <c r="B3688" s="4" t="s">
        <v>8</v>
      </c>
      <c r="C3688" s="4" t="str">
        <f t="shared" si="123"/>
        <v>-</v>
      </c>
      <c r="D3688" s="4" t="str">
        <f>"02714310"</f>
        <v>02714310</v>
      </c>
      <c r="E3688" s="4" t="str">
        <f t="shared" si="125"/>
        <v>-</v>
      </c>
      <c r="F3688" s="4" t="s">
        <v>105</v>
      </c>
    </row>
    <row r="3689" spans="1:6" x14ac:dyDescent="0.25">
      <c r="A3689" s="4" t="str">
        <f>"Proceedings - IEEE International Symposium on Defect and Fault Tolerance in VLSI Systems"</f>
        <v>Proceedings - IEEE International Symposium on Defect and Fault Tolerance in VLSI Systems</v>
      </c>
      <c r="B3689" s="4" t="s">
        <v>8</v>
      </c>
      <c r="C3689" s="4" t="str">
        <f t="shared" si="123"/>
        <v>-</v>
      </c>
      <c r="D3689" s="4" t="str">
        <f>"15505774"</f>
        <v>15505774</v>
      </c>
      <c r="E3689" s="4" t="str">
        <f t="shared" si="125"/>
        <v>-</v>
      </c>
      <c r="F3689" s="4" t="s">
        <v>105</v>
      </c>
    </row>
    <row r="3690" spans="1:6" x14ac:dyDescent="0.25">
      <c r="A3690" s="4" t="str">
        <f>"Proceedings - IEEE International Symposium on Distributed Simulation and Real-Time Applications"</f>
        <v>Proceedings - IEEE International Symposium on Distributed Simulation and Real-Time Applications</v>
      </c>
      <c r="B3690" s="4" t="s">
        <v>8</v>
      </c>
      <c r="C3690" s="4" t="str">
        <f t="shared" si="123"/>
        <v>-</v>
      </c>
      <c r="D3690" s="4" t="str">
        <f>"15506525"</f>
        <v>15506525</v>
      </c>
      <c r="E3690" s="4" t="str">
        <f t="shared" si="125"/>
        <v>-</v>
      </c>
      <c r="F3690" s="4" t="s">
        <v>9</v>
      </c>
    </row>
    <row r="3691" spans="1:6" x14ac:dyDescent="0.25">
      <c r="A3691" s="4" t="str">
        <f>"Proceedings - IEEE International Symposium on Distributed Simulation and Real-Time Applications, DS-RT"</f>
        <v>Proceedings - IEEE International Symposium on Distributed Simulation and Real-Time Applications, DS-RT</v>
      </c>
      <c r="B3691" s="4" t="s">
        <v>8</v>
      </c>
      <c r="C3691" s="4" t="str">
        <f t="shared" si="123"/>
        <v>-</v>
      </c>
      <c r="D3691" s="4" t="str">
        <f>"15506525"</f>
        <v>15506525</v>
      </c>
      <c r="E3691" s="4" t="str">
        <f t="shared" si="125"/>
        <v>-</v>
      </c>
      <c r="F3691" s="4" t="s">
        <v>105</v>
      </c>
    </row>
    <row r="3692" spans="1:6" x14ac:dyDescent="0.25">
      <c r="A3692" s="4" t="str">
        <f>"Proceedings - IEEE International Symposium on Rapid System Prototyping, RSP"</f>
        <v>Proceedings - IEEE International Symposium on Rapid System Prototyping, RSP</v>
      </c>
      <c r="B3692" s="4" t="s">
        <v>8</v>
      </c>
      <c r="C3692" s="4" t="str">
        <f t="shared" si="123"/>
        <v>-</v>
      </c>
      <c r="D3692" s="4" t="str">
        <f>"21505500"</f>
        <v>21505500</v>
      </c>
      <c r="E3692" s="4" t="str">
        <f>"21505519"</f>
        <v>21505519</v>
      </c>
      <c r="F3692" s="4" t="s">
        <v>9</v>
      </c>
    </row>
    <row r="3693" spans="1:6" x14ac:dyDescent="0.25">
      <c r="A3693" s="4" t="str">
        <f>"Proceedings - IEEE International Workshop on Robot and Human Interactive Communication"</f>
        <v>Proceedings - IEEE International Workshop on Robot and Human Interactive Communication</v>
      </c>
      <c r="B3693" s="4" t="s">
        <v>8</v>
      </c>
      <c r="C3693" s="4" t="str">
        <f t="shared" si="123"/>
        <v>-</v>
      </c>
      <c r="D3693" s="4" t="str">
        <f>"-"</f>
        <v>-</v>
      </c>
      <c r="E3693" s="4" t="str">
        <f>"-"</f>
        <v>-</v>
      </c>
      <c r="F3693" s="4" t="s">
        <v>105</v>
      </c>
    </row>
    <row r="3694" spans="1:6" x14ac:dyDescent="0.25">
      <c r="A3694" s="4" t="str">
        <f>"Proceedings - IEEE Military Communications Conference MILCOM"</f>
        <v>Proceedings - IEEE Military Communications Conference MILCOM</v>
      </c>
      <c r="B3694" s="4" t="s">
        <v>8</v>
      </c>
      <c r="C3694" s="4" t="str">
        <f t="shared" ref="C3694:C3757" si="126">"-"</f>
        <v>-</v>
      </c>
      <c r="D3694" s="4" t="str">
        <f>"-"</f>
        <v>-</v>
      </c>
      <c r="E3694" s="4" t="str">
        <f>"-"</f>
        <v>-</v>
      </c>
      <c r="F3694" s="4" t="s">
        <v>105</v>
      </c>
    </row>
    <row r="3695" spans="1:6" x14ac:dyDescent="0.25">
      <c r="A3695" s="4" t="str">
        <f>"Proceedings - IEEE Symposium on Computer-Based Medical Systems"</f>
        <v>Proceedings - IEEE Symposium on Computer-Based Medical Systems</v>
      </c>
      <c r="B3695" s="4" t="s">
        <v>8</v>
      </c>
      <c r="C3695" s="4" t="str">
        <f t="shared" si="126"/>
        <v>-</v>
      </c>
      <c r="D3695" s="4" t="str">
        <f>"10637125"</f>
        <v>10637125</v>
      </c>
      <c r="E3695" s="4" t="str">
        <f t="shared" ref="E3695:E3713" si="127">"-"</f>
        <v>-</v>
      </c>
      <c r="F3695" s="4" t="s">
        <v>105</v>
      </c>
    </row>
    <row r="3696" spans="1:6" x14ac:dyDescent="0.25">
      <c r="A3696" s="4" t="str">
        <f>"Proceedings - IEEE Symposium on Computers and Communications"</f>
        <v>Proceedings - IEEE Symposium on Computers and Communications</v>
      </c>
      <c r="B3696" s="4" t="s">
        <v>8</v>
      </c>
      <c r="C3696" s="4" t="str">
        <f t="shared" si="126"/>
        <v>-</v>
      </c>
      <c r="D3696" s="4" t="str">
        <f>"15301346"</f>
        <v>15301346</v>
      </c>
      <c r="E3696" s="4" t="str">
        <f t="shared" si="127"/>
        <v>-</v>
      </c>
      <c r="F3696" s="4" t="s">
        <v>105</v>
      </c>
    </row>
    <row r="3697" spans="1:6" x14ac:dyDescent="0.25">
      <c r="A3697" s="4" t="str">
        <f>"Proceedings - IEEE Symposium on Information Visualization, INFO VIS"</f>
        <v>Proceedings - IEEE Symposium on Information Visualization, INFO VIS</v>
      </c>
      <c r="B3697" s="4" t="s">
        <v>8</v>
      </c>
      <c r="C3697" s="4" t="str">
        <f t="shared" si="126"/>
        <v>-</v>
      </c>
      <c r="D3697" s="4" t="str">
        <f>"1522404X"</f>
        <v>1522404X</v>
      </c>
      <c r="E3697" s="4" t="str">
        <f t="shared" si="127"/>
        <v>-</v>
      </c>
      <c r="F3697" s="4" t="s">
        <v>105</v>
      </c>
    </row>
    <row r="3698" spans="1:6" x14ac:dyDescent="0.25">
      <c r="A3698" s="4" t="str">
        <f>"Proceedings - IEEE Symposium on Security and Privacy"</f>
        <v>Proceedings - IEEE Symposium on Security and Privacy</v>
      </c>
      <c r="B3698" s="4" t="s">
        <v>8</v>
      </c>
      <c r="C3698" s="4" t="str">
        <f t="shared" si="126"/>
        <v>-</v>
      </c>
      <c r="D3698" s="4" t="str">
        <f>"10816011"</f>
        <v>10816011</v>
      </c>
      <c r="E3698" s="4" t="str">
        <f t="shared" si="127"/>
        <v>-</v>
      </c>
      <c r="F3698" s="4" t="s">
        <v>105</v>
      </c>
    </row>
    <row r="3699" spans="1:6" x14ac:dyDescent="0.25">
      <c r="A3699" s="4" t="str">
        <f>"Proceedings - IEEE Ultrasonics Symposium"</f>
        <v>Proceedings - IEEE Ultrasonics Symposium</v>
      </c>
      <c r="B3699" s="4" t="s">
        <v>8</v>
      </c>
      <c r="C3699" s="4" t="str">
        <f t="shared" si="126"/>
        <v>-</v>
      </c>
      <c r="D3699" s="4" t="str">
        <f>"10510117"</f>
        <v>10510117</v>
      </c>
      <c r="E3699" s="4" t="str">
        <f t="shared" si="127"/>
        <v>-</v>
      </c>
      <c r="F3699" s="4" t="s">
        <v>105</v>
      </c>
    </row>
    <row r="3700" spans="1:6" x14ac:dyDescent="0.25">
      <c r="A3700" s="4" t="str">
        <f>"Proceedings - IEEE Virtual Reality"</f>
        <v>Proceedings - IEEE Virtual Reality</v>
      </c>
      <c r="B3700" s="4" t="s">
        <v>8</v>
      </c>
      <c r="C3700" s="4" t="str">
        <f t="shared" si="126"/>
        <v>-</v>
      </c>
      <c r="D3700" s="4" t="str">
        <f>"-"</f>
        <v>-</v>
      </c>
      <c r="E3700" s="4" t="str">
        <f t="shared" si="127"/>
        <v>-</v>
      </c>
      <c r="F3700" s="4" t="s">
        <v>9</v>
      </c>
    </row>
    <row r="3701" spans="1:6" x14ac:dyDescent="0.25">
      <c r="A3701" s="4" t="str">
        <f>"Proceedings - IEEE Workshop on Program Comprehension"</f>
        <v>Proceedings - IEEE Workshop on Program Comprehension</v>
      </c>
      <c r="B3701" s="4" t="s">
        <v>8</v>
      </c>
      <c r="C3701" s="4" t="str">
        <f t="shared" si="126"/>
        <v>-</v>
      </c>
      <c r="D3701" s="4" t="str">
        <f>"10928138"</f>
        <v>10928138</v>
      </c>
      <c r="E3701" s="4" t="str">
        <f t="shared" si="127"/>
        <v>-</v>
      </c>
      <c r="F3701" s="4" t="s">
        <v>9</v>
      </c>
    </row>
    <row r="3702" spans="1:6" x14ac:dyDescent="0.25">
      <c r="A3702" s="4" t="str">
        <f>"Proceedings - IEEE/ACM International Workshop on Grid Computing"</f>
        <v>Proceedings - IEEE/ACM International Workshop on Grid Computing</v>
      </c>
      <c r="B3702" s="4" t="s">
        <v>8</v>
      </c>
      <c r="C3702" s="4" t="str">
        <f t="shared" si="126"/>
        <v>-</v>
      </c>
      <c r="D3702" s="4" t="str">
        <f>"15505510"</f>
        <v>15505510</v>
      </c>
      <c r="E3702" s="4" t="str">
        <f t="shared" si="127"/>
        <v>-</v>
      </c>
      <c r="F3702" s="4" t="s">
        <v>9</v>
      </c>
    </row>
    <row r="3703" spans="1:6" x14ac:dyDescent="0.25">
      <c r="A3703" s="4" t="str">
        <f>"Proceedings - International Air Transportation Conference"</f>
        <v>Proceedings - International Air Transportation Conference</v>
      </c>
      <c r="B3703" s="4" t="s">
        <v>8</v>
      </c>
      <c r="C3703" s="4" t="str">
        <f t="shared" si="126"/>
        <v>-</v>
      </c>
      <c r="D3703" s="4" t="str">
        <f>"-"</f>
        <v>-</v>
      </c>
      <c r="E3703" s="4" t="str">
        <f t="shared" si="127"/>
        <v>-</v>
      </c>
      <c r="F3703" s="4" t="s">
        <v>111</v>
      </c>
    </row>
    <row r="3704" spans="1:6" x14ac:dyDescent="0.25">
      <c r="A3704" s="4" t="str">
        <f>"Proceedings - International Carnahan Conference on Security Technology"</f>
        <v>Proceedings - International Carnahan Conference on Security Technology</v>
      </c>
      <c r="B3704" s="4" t="s">
        <v>8</v>
      </c>
      <c r="C3704" s="4" t="str">
        <f t="shared" si="126"/>
        <v>-</v>
      </c>
      <c r="D3704" s="4" t="str">
        <f>"10716572"</f>
        <v>10716572</v>
      </c>
      <c r="E3704" s="4" t="str">
        <f t="shared" si="127"/>
        <v>-</v>
      </c>
      <c r="F3704" s="4" t="s">
        <v>105</v>
      </c>
    </row>
    <row r="3705" spans="1:6" x14ac:dyDescent="0.25">
      <c r="A3705" s="4" t="str">
        <f>"Proceedings - International Computer Software and Applications Conference"</f>
        <v>Proceedings - International Computer Software and Applications Conference</v>
      </c>
      <c r="B3705" s="4" t="s">
        <v>8</v>
      </c>
      <c r="C3705" s="4" t="str">
        <f t="shared" si="126"/>
        <v>-</v>
      </c>
      <c r="D3705" s="4" t="str">
        <f>"07303157"</f>
        <v>07303157</v>
      </c>
      <c r="E3705" s="4" t="str">
        <f t="shared" si="127"/>
        <v>-</v>
      </c>
      <c r="F3705" s="4" t="s">
        <v>9</v>
      </c>
    </row>
    <row r="3706" spans="1:6" x14ac:dyDescent="0.25">
      <c r="A3706" s="4" t="str">
        <f>"Proceedings - International Conference of the Chilean Computer Science Society, SCCC"</f>
        <v>Proceedings - International Conference of the Chilean Computer Science Society, SCCC</v>
      </c>
      <c r="B3706" s="4" t="s">
        <v>8</v>
      </c>
      <c r="C3706" s="4" t="str">
        <f t="shared" si="126"/>
        <v>-</v>
      </c>
      <c r="D3706" s="4" t="str">
        <f>"15224902"</f>
        <v>15224902</v>
      </c>
      <c r="E3706" s="4" t="str">
        <f t="shared" si="127"/>
        <v>-</v>
      </c>
      <c r="F3706" s="4" t="s">
        <v>9</v>
      </c>
    </row>
    <row r="3707" spans="1:6" x14ac:dyDescent="0.25">
      <c r="A3707" s="4" t="str">
        <f>"Proceedings - International Conference on Advanced Information Networking and Applications, AINA"</f>
        <v>Proceedings - International Conference on Advanced Information Networking and Applications, AINA</v>
      </c>
      <c r="B3707" s="4" t="s">
        <v>8</v>
      </c>
      <c r="C3707" s="4" t="str">
        <f t="shared" si="126"/>
        <v>-</v>
      </c>
      <c r="D3707" s="4" t="str">
        <f>"1550445X"</f>
        <v>1550445X</v>
      </c>
      <c r="E3707" s="4" t="str">
        <f t="shared" si="127"/>
        <v>-</v>
      </c>
      <c r="F3707" s="4" t="s">
        <v>105</v>
      </c>
    </row>
    <row r="3708" spans="1:6" x14ac:dyDescent="0.25">
      <c r="A3708" s="4" t="str">
        <f>"Proceedings - International Conference on Application of Concurrency to System Design, ACSD"</f>
        <v>Proceedings - International Conference on Application of Concurrency to System Design, ACSD</v>
      </c>
      <c r="B3708" s="4" t="s">
        <v>8</v>
      </c>
      <c r="C3708" s="4" t="str">
        <f t="shared" si="126"/>
        <v>-</v>
      </c>
      <c r="D3708" s="4" t="str">
        <f>"15504808"</f>
        <v>15504808</v>
      </c>
      <c r="E3708" s="4" t="str">
        <f t="shared" si="127"/>
        <v>-</v>
      </c>
      <c r="F3708" s="4" t="s">
        <v>105</v>
      </c>
    </row>
    <row r="3709" spans="1:6" x14ac:dyDescent="0.25">
      <c r="A3709" s="4" t="str">
        <f>"Proceedings - International Conference on Computer Communications and Networks, ICCCN"</f>
        <v>Proceedings - International Conference on Computer Communications and Networks, ICCCN</v>
      </c>
      <c r="B3709" s="4" t="s">
        <v>8</v>
      </c>
      <c r="C3709" s="4" t="str">
        <f t="shared" si="126"/>
        <v>-</v>
      </c>
      <c r="D3709" s="4" t="str">
        <f>"10952055"</f>
        <v>10952055</v>
      </c>
      <c r="E3709" s="4" t="str">
        <f t="shared" si="127"/>
        <v>-</v>
      </c>
      <c r="F3709" s="4" t="s">
        <v>105</v>
      </c>
    </row>
    <row r="3710" spans="1:6" x14ac:dyDescent="0.25">
      <c r="A3710" s="4" t="str">
        <f>"Proceedings - International Conference on Computer Networks and Information Technology"</f>
        <v>Proceedings - International Conference on Computer Networks and Information Technology</v>
      </c>
      <c r="B3710" s="4" t="s">
        <v>8</v>
      </c>
      <c r="C3710" s="4" t="str">
        <f t="shared" si="126"/>
        <v>-</v>
      </c>
      <c r="D3710" s="4" t="str">
        <f>"-"</f>
        <v>-</v>
      </c>
      <c r="E3710" s="4" t="str">
        <f t="shared" si="127"/>
        <v>-</v>
      </c>
      <c r="F3710" s="4" t="s">
        <v>9</v>
      </c>
    </row>
    <row r="3711" spans="1:6" x14ac:dyDescent="0.25">
      <c r="A3711" s="4" t="str">
        <f>"Proceedings - International Conference on Data Engineering"</f>
        <v>Proceedings - International Conference on Data Engineering</v>
      </c>
      <c r="B3711" s="4" t="s">
        <v>8</v>
      </c>
      <c r="C3711" s="4" t="str">
        <f t="shared" si="126"/>
        <v>-</v>
      </c>
      <c r="D3711" s="4" t="str">
        <f>"10844627"</f>
        <v>10844627</v>
      </c>
      <c r="E3711" s="4" t="str">
        <f t="shared" si="127"/>
        <v>-</v>
      </c>
      <c r="F3711" s="4" t="s">
        <v>9</v>
      </c>
    </row>
    <row r="3712" spans="1:6" x14ac:dyDescent="0.25">
      <c r="A3712" s="4" t="str">
        <f>"Proceedings - International Conference on Distributed Computing Systems"</f>
        <v>Proceedings - International Conference on Distributed Computing Systems</v>
      </c>
      <c r="B3712" s="4" t="s">
        <v>8</v>
      </c>
      <c r="C3712" s="4" t="str">
        <f t="shared" si="126"/>
        <v>-</v>
      </c>
      <c r="D3712" s="4" t="str">
        <f>"-"</f>
        <v>-</v>
      </c>
      <c r="E3712" s="4" t="str">
        <f t="shared" si="127"/>
        <v>-</v>
      </c>
      <c r="F3712" s="4" t="s">
        <v>105</v>
      </c>
    </row>
    <row r="3713" spans="1:6" x14ac:dyDescent="0.25">
      <c r="A3713" s="4" t="str">
        <f>"Proceedings - International Conference on Image Processing, ICIP"</f>
        <v>Proceedings - International Conference on Image Processing, ICIP</v>
      </c>
      <c r="B3713" s="4" t="s">
        <v>8</v>
      </c>
      <c r="C3713" s="4" t="str">
        <f t="shared" si="126"/>
        <v>-</v>
      </c>
      <c r="D3713" s="4" t="str">
        <f>"15224880"</f>
        <v>15224880</v>
      </c>
      <c r="E3713" s="4" t="str">
        <f t="shared" si="127"/>
        <v>-</v>
      </c>
      <c r="F3713" s="4" t="s">
        <v>9</v>
      </c>
    </row>
    <row r="3714" spans="1:6" x14ac:dyDescent="0.25">
      <c r="A3714" s="4" t="str">
        <f>"Proceedings - International Conference on Intelligent Systems, Modelling and Simulation, ISMS"</f>
        <v>Proceedings - International Conference on Intelligent Systems, Modelling and Simulation, ISMS</v>
      </c>
      <c r="B3714" s="4" t="s">
        <v>8</v>
      </c>
      <c r="C3714" s="4" t="str">
        <f t="shared" si="126"/>
        <v>-</v>
      </c>
      <c r="D3714" s="4" t="str">
        <f>"21660662"</f>
        <v>21660662</v>
      </c>
      <c r="E3714" s="4" t="str">
        <f>"21660670"</f>
        <v>21660670</v>
      </c>
      <c r="F3714" s="4" t="s">
        <v>9</v>
      </c>
    </row>
    <row r="3715" spans="1:6" x14ac:dyDescent="0.25">
      <c r="A3715" s="4" t="str">
        <f>"Proceedings - International Conference on Machine Learning and Cybernetics"</f>
        <v>Proceedings - International Conference on Machine Learning and Cybernetics</v>
      </c>
      <c r="B3715" s="4" t="s">
        <v>8</v>
      </c>
      <c r="C3715" s="4" t="str">
        <f t="shared" si="126"/>
        <v>-</v>
      </c>
      <c r="D3715" s="4" t="str">
        <f>"2160133X"</f>
        <v>2160133X</v>
      </c>
      <c r="E3715" s="4" t="str">
        <f>"21601348"</f>
        <v>21601348</v>
      </c>
      <c r="F3715" s="4" t="s">
        <v>9</v>
      </c>
    </row>
    <row r="3716" spans="1:6" x14ac:dyDescent="0.25">
      <c r="A3716" s="4" t="str">
        <f>"Proceedings - International Conference on Natural Computation"</f>
        <v>Proceedings - International Conference on Natural Computation</v>
      </c>
      <c r="B3716" s="4" t="s">
        <v>8</v>
      </c>
      <c r="C3716" s="4" t="str">
        <f t="shared" si="126"/>
        <v>-</v>
      </c>
      <c r="D3716" s="4" t="str">
        <f>"21579555"</f>
        <v>21579555</v>
      </c>
      <c r="E3716" s="4" t="str">
        <f>"-"</f>
        <v>-</v>
      </c>
      <c r="F3716" s="4" t="s">
        <v>9</v>
      </c>
    </row>
    <row r="3717" spans="1:6" x14ac:dyDescent="0.25">
      <c r="A3717" s="4" t="str">
        <f>"Proceedings - International Conference on Network Protocols, ICNP"</f>
        <v>Proceedings - International Conference on Network Protocols, ICNP</v>
      </c>
      <c r="B3717" s="4" t="s">
        <v>8</v>
      </c>
      <c r="C3717" s="4" t="str">
        <f t="shared" si="126"/>
        <v>-</v>
      </c>
      <c r="D3717" s="4" t="str">
        <f>"10921648"</f>
        <v>10921648</v>
      </c>
      <c r="E3717" s="4" t="str">
        <f>"-"</f>
        <v>-</v>
      </c>
      <c r="F3717" s="4" t="s">
        <v>9</v>
      </c>
    </row>
    <row r="3718" spans="1:6" x14ac:dyDescent="0.25">
      <c r="A3718" s="4" t="str">
        <f>"Proceedings - International Conference on Pattern Recognition"</f>
        <v>Proceedings - International Conference on Pattern Recognition</v>
      </c>
      <c r="B3718" s="4" t="s">
        <v>8</v>
      </c>
      <c r="C3718" s="4" t="str">
        <f t="shared" si="126"/>
        <v>-</v>
      </c>
      <c r="D3718" s="4" t="str">
        <f>"10514651"</f>
        <v>10514651</v>
      </c>
      <c r="E3718" s="4" t="str">
        <f>"-"</f>
        <v>-</v>
      </c>
      <c r="F3718" s="4" t="s">
        <v>105</v>
      </c>
    </row>
    <row r="3719" spans="1:6" x14ac:dyDescent="0.25">
      <c r="A3719" s="4" t="str">
        <f>"Proceedings - International Conference on Quality Software"</f>
        <v>Proceedings - International Conference on Quality Software</v>
      </c>
      <c r="B3719" s="4" t="s">
        <v>8</v>
      </c>
      <c r="C3719" s="4" t="str">
        <f t="shared" si="126"/>
        <v>-</v>
      </c>
      <c r="D3719" s="4" t="str">
        <f>"15506002"</f>
        <v>15506002</v>
      </c>
      <c r="E3719" s="4" t="str">
        <f>"-"</f>
        <v>-</v>
      </c>
      <c r="F3719" s="4" t="s">
        <v>9</v>
      </c>
    </row>
    <row r="3720" spans="1:6" x14ac:dyDescent="0.25">
      <c r="A3720" s="4" t="str">
        <f>"Proceedings - International Conference on Research Challenges in Information Science"</f>
        <v>Proceedings - International Conference on Research Challenges in Information Science</v>
      </c>
      <c r="B3720" s="4" t="s">
        <v>8</v>
      </c>
      <c r="C3720" s="4" t="str">
        <f t="shared" si="126"/>
        <v>-</v>
      </c>
      <c r="D3720" s="4" t="str">
        <f>"21511349"</f>
        <v>21511349</v>
      </c>
      <c r="E3720" s="4" t="str">
        <f>"21511357"</f>
        <v>21511357</v>
      </c>
      <c r="F3720" s="4" t="s">
        <v>9</v>
      </c>
    </row>
    <row r="3721" spans="1:6" x14ac:dyDescent="0.25">
      <c r="A3721" s="4" t="str">
        <f>"Proceedings - International Conference on Software Engineering"</f>
        <v>Proceedings - International Conference on Software Engineering</v>
      </c>
      <c r="B3721" s="4" t="s">
        <v>8</v>
      </c>
      <c r="C3721" s="4" t="str">
        <f t="shared" si="126"/>
        <v>-</v>
      </c>
      <c r="D3721" s="4" t="str">
        <f>"02705257"</f>
        <v>02705257</v>
      </c>
      <c r="E3721" s="4" t="str">
        <f t="shared" ref="E3721:E3726" si="128">"-"</f>
        <v>-</v>
      </c>
      <c r="F3721" s="4" t="s">
        <v>9</v>
      </c>
    </row>
    <row r="3722" spans="1:6" x14ac:dyDescent="0.25">
      <c r="A3722" s="4" t="str">
        <f>"Proceedings - International Conference on Tools with Artificial Intelligence, ICTAI"</f>
        <v>Proceedings - International Conference on Tools with Artificial Intelligence, ICTAI</v>
      </c>
      <c r="B3722" s="4" t="s">
        <v>8</v>
      </c>
      <c r="C3722" s="4" t="str">
        <f t="shared" si="126"/>
        <v>-</v>
      </c>
      <c r="D3722" s="4" t="str">
        <f>"10823409"</f>
        <v>10823409</v>
      </c>
      <c r="E3722" s="4" t="str">
        <f t="shared" si="128"/>
        <v>-</v>
      </c>
      <c r="F3722" s="4" t="s">
        <v>9</v>
      </c>
    </row>
    <row r="3723" spans="1:6" x14ac:dyDescent="0.25">
      <c r="A3723" s="4" t="str">
        <f>"Proceedings - International NanoElectronics Conference, INEC"</f>
        <v>Proceedings - International NanoElectronics Conference, INEC</v>
      </c>
      <c r="B3723" s="4" t="s">
        <v>8</v>
      </c>
      <c r="C3723" s="4" t="str">
        <f t="shared" si="126"/>
        <v>-</v>
      </c>
      <c r="D3723" s="4" t="str">
        <f>"21593523"</f>
        <v>21593523</v>
      </c>
      <c r="E3723" s="4" t="str">
        <f t="shared" si="128"/>
        <v>-</v>
      </c>
      <c r="F3723" s="4" t="s">
        <v>9</v>
      </c>
    </row>
    <row r="3724" spans="1:6" x14ac:dyDescent="0.25">
      <c r="A3724" s="4" t="str">
        <f>"Proceedings - International Software Metrics Symposium"</f>
        <v>Proceedings - International Software Metrics Symposium</v>
      </c>
      <c r="B3724" s="4" t="s">
        <v>8</v>
      </c>
      <c r="C3724" s="4" t="str">
        <f t="shared" si="126"/>
        <v>-</v>
      </c>
      <c r="D3724" s="4" t="str">
        <f>"15301435"</f>
        <v>15301435</v>
      </c>
      <c r="E3724" s="4" t="str">
        <f t="shared" si="128"/>
        <v>-</v>
      </c>
      <c r="F3724" s="4" t="s">
        <v>9</v>
      </c>
    </row>
    <row r="3725" spans="1:6" x14ac:dyDescent="0.25">
      <c r="A3725" s="4" t="str">
        <f>"Proceedings - International Symposium on Advanced Packaging Materials"</f>
        <v>Proceedings - International Symposium on Advanced Packaging Materials</v>
      </c>
      <c r="B3725" s="4" t="s">
        <v>8</v>
      </c>
      <c r="C3725" s="4" t="str">
        <f t="shared" si="126"/>
        <v>-</v>
      </c>
      <c r="D3725" s="4" t="str">
        <f>"15505723"</f>
        <v>15505723</v>
      </c>
      <c r="E3725" s="4" t="str">
        <f t="shared" si="128"/>
        <v>-</v>
      </c>
      <c r="F3725" s="4" t="s">
        <v>9</v>
      </c>
    </row>
    <row r="3726" spans="1:6" x14ac:dyDescent="0.25">
      <c r="A3726" s="4" t="str">
        <f>"Proceedings - International Symposium on Asynchronous Circuits and Systems"</f>
        <v>Proceedings - International Symposium on Asynchronous Circuits and Systems</v>
      </c>
      <c r="B3726" s="4" t="s">
        <v>8</v>
      </c>
      <c r="C3726" s="4" t="str">
        <f t="shared" si="126"/>
        <v>-</v>
      </c>
      <c r="D3726" s="4" t="str">
        <f>"15228681"</f>
        <v>15228681</v>
      </c>
      <c r="E3726" s="4" t="str">
        <f t="shared" si="128"/>
        <v>-</v>
      </c>
      <c r="F3726" s="4" t="s">
        <v>9</v>
      </c>
    </row>
    <row r="3727" spans="1:6" x14ac:dyDescent="0.25">
      <c r="A3727" s="4" t="str">
        <f>"Proceedings - International Symposium on Biomedical Imaging"</f>
        <v>Proceedings - International Symposium on Biomedical Imaging</v>
      </c>
      <c r="B3727" s="4" t="s">
        <v>8</v>
      </c>
      <c r="C3727" s="4" t="str">
        <f t="shared" si="126"/>
        <v>-</v>
      </c>
      <c r="D3727" s="4" t="str">
        <f>"19457928"</f>
        <v>19457928</v>
      </c>
      <c r="E3727" s="4" t="str">
        <f>"19458452"</f>
        <v>19458452</v>
      </c>
      <c r="F3727" s="4" t="s">
        <v>9</v>
      </c>
    </row>
    <row r="3728" spans="1:6" x14ac:dyDescent="0.25">
      <c r="A3728" s="4" t="str">
        <f>"Proceedings - International Symposium on Computer Architecture"</f>
        <v>Proceedings - International Symposium on Computer Architecture</v>
      </c>
      <c r="B3728" s="4" t="s">
        <v>8</v>
      </c>
      <c r="C3728" s="4" t="str">
        <f t="shared" si="126"/>
        <v>-</v>
      </c>
      <c r="D3728" s="4" t="str">
        <f>"10636897"</f>
        <v>10636897</v>
      </c>
      <c r="E3728" s="4" t="str">
        <f t="shared" ref="E3728:E3733" si="129">"-"</f>
        <v>-</v>
      </c>
      <c r="F3728" s="4" t="s">
        <v>105</v>
      </c>
    </row>
    <row r="3729" spans="1:6" x14ac:dyDescent="0.25">
      <c r="A3729" s="4" t="str">
        <f>"Proceedings - International Symposium on Computers and Communications"</f>
        <v>Proceedings - International Symposium on Computers and Communications</v>
      </c>
      <c r="B3729" s="4" t="s">
        <v>8</v>
      </c>
      <c r="C3729" s="4" t="str">
        <f t="shared" si="126"/>
        <v>-</v>
      </c>
      <c r="D3729" s="4" t="str">
        <f>"15301346"</f>
        <v>15301346</v>
      </c>
      <c r="E3729" s="4" t="str">
        <f t="shared" si="129"/>
        <v>-</v>
      </c>
      <c r="F3729" s="4" t="s">
        <v>105</v>
      </c>
    </row>
    <row r="3730" spans="1:6" x14ac:dyDescent="0.25">
      <c r="A3730" s="4" t="str">
        <f>"Proceedings - International Symposium on Discharges and Electrical Insulation in Vacuum, ISDEIV"</f>
        <v>Proceedings - International Symposium on Discharges and Electrical Insulation in Vacuum, ISDEIV</v>
      </c>
      <c r="B3730" s="4" t="s">
        <v>8</v>
      </c>
      <c r="C3730" s="4" t="str">
        <f t="shared" si="126"/>
        <v>-</v>
      </c>
      <c r="D3730" s="4" t="str">
        <f>"10932941"</f>
        <v>10932941</v>
      </c>
      <c r="E3730" s="4" t="str">
        <f t="shared" si="129"/>
        <v>-</v>
      </c>
      <c r="F3730" s="4" t="s">
        <v>105</v>
      </c>
    </row>
    <row r="3731" spans="1:6" x14ac:dyDescent="0.25">
      <c r="A3731" s="4" t="str">
        <f>"Proceedings - International Symposium on Electrets"</f>
        <v>Proceedings - International Symposium on Electrets</v>
      </c>
      <c r="B3731" s="4" t="s">
        <v>8</v>
      </c>
      <c r="C3731" s="4" t="str">
        <f t="shared" si="126"/>
        <v>-</v>
      </c>
      <c r="D3731" s="4" t="str">
        <f>"-"</f>
        <v>-</v>
      </c>
      <c r="E3731" s="4" t="str">
        <f t="shared" si="129"/>
        <v>-</v>
      </c>
      <c r="F3731" s="4" t="s">
        <v>105</v>
      </c>
    </row>
    <row r="3732" spans="1:6" x14ac:dyDescent="0.25">
      <c r="A3732" s="4" t="str">
        <f>"Proceedings - International Symposium on High Performance Computing Systems and Applications"</f>
        <v>Proceedings - International Symposium on High Performance Computing Systems and Applications</v>
      </c>
      <c r="B3732" s="4" t="s">
        <v>8</v>
      </c>
      <c r="C3732" s="4" t="str">
        <f t="shared" si="126"/>
        <v>-</v>
      </c>
      <c r="D3732" s="4" t="str">
        <f>"15505243"</f>
        <v>15505243</v>
      </c>
      <c r="E3732" s="4" t="str">
        <f t="shared" si="129"/>
        <v>-</v>
      </c>
      <c r="F3732" s="4" t="s">
        <v>105</v>
      </c>
    </row>
    <row r="3733" spans="1:6" x14ac:dyDescent="0.25">
      <c r="A3733" s="4" t="str">
        <f>"Proceedings - International Symposium on High-Performance Computer Architecture"</f>
        <v>Proceedings - International Symposium on High-Performance Computer Architecture</v>
      </c>
      <c r="B3733" s="4" t="s">
        <v>8</v>
      </c>
      <c r="C3733" s="4" t="str">
        <f t="shared" si="126"/>
        <v>-</v>
      </c>
      <c r="D3733" s="4" t="str">
        <f>"15300897"</f>
        <v>15300897</v>
      </c>
      <c r="E3733" s="4" t="str">
        <f t="shared" si="129"/>
        <v>-</v>
      </c>
      <c r="F3733" s="4" t="s">
        <v>9</v>
      </c>
    </row>
    <row r="3734" spans="1:6" x14ac:dyDescent="0.25">
      <c r="A3734" s="4" t="str">
        <f>"Proceedings - International Symposium on Parallel Architectures, Algorithms and Programming, PAAP"</f>
        <v>Proceedings - International Symposium on Parallel Architectures, Algorithms and Programming, PAAP</v>
      </c>
      <c r="B3734" s="4" t="s">
        <v>8</v>
      </c>
      <c r="C3734" s="4" t="str">
        <f t="shared" si="126"/>
        <v>-</v>
      </c>
      <c r="D3734" s="4" t="str">
        <f>"21683034"</f>
        <v>21683034</v>
      </c>
      <c r="E3734" s="4" t="str">
        <f>"21683042"</f>
        <v>21683042</v>
      </c>
      <c r="F3734" s="4" t="s">
        <v>9</v>
      </c>
    </row>
    <row r="3735" spans="1:6" x14ac:dyDescent="0.25">
      <c r="A3735" s="4" t="str">
        <f>"Proceedings - International Symposium on Quality Electronic Design, ISQED"</f>
        <v>Proceedings - International Symposium on Quality Electronic Design, ISQED</v>
      </c>
      <c r="B3735" s="4" t="s">
        <v>8</v>
      </c>
      <c r="C3735" s="4" t="str">
        <f t="shared" si="126"/>
        <v>-</v>
      </c>
      <c r="D3735" s="4" t="str">
        <f>"19483287"</f>
        <v>19483287</v>
      </c>
      <c r="E3735" s="4" t="str">
        <f>"19483295"</f>
        <v>19483295</v>
      </c>
      <c r="F3735" s="4" t="s">
        <v>9</v>
      </c>
    </row>
    <row r="3736" spans="1:6" x14ac:dyDescent="0.25">
      <c r="A3736" s="4" t="str">
        <f>"Proceedings - International Symposium on Software Reliability Engineering, ISSRE"</f>
        <v>Proceedings - International Symposium on Software Reliability Engineering, ISSRE</v>
      </c>
      <c r="B3736" s="4" t="s">
        <v>8</v>
      </c>
      <c r="C3736" s="4" t="str">
        <f t="shared" si="126"/>
        <v>-</v>
      </c>
      <c r="D3736" s="4" t="str">
        <f>"10719458"</f>
        <v>10719458</v>
      </c>
      <c r="E3736" s="4" t="str">
        <f t="shared" ref="E3736:E3770" si="130">"-"</f>
        <v>-</v>
      </c>
      <c r="F3736" s="4" t="s">
        <v>9</v>
      </c>
    </row>
    <row r="3737" spans="1:6" x14ac:dyDescent="0.25">
      <c r="A3737" s="4" t="str">
        <f>"Proceedings - International Symposium on Wearable Computers, ISWC"</f>
        <v>Proceedings - International Symposium on Wearable Computers, ISWC</v>
      </c>
      <c r="B3737" s="4" t="s">
        <v>8</v>
      </c>
      <c r="C3737" s="4" t="str">
        <f t="shared" si="126"/>
        <v>-</v>
      </c>
      <c r="D3737" s="4" t="str">
        <f>"15504816"</f>
        <v>15504816</v>
      </c>
      <c r="E3737" s="4" t="str">
        <f t="shared" si="130"/>
        <v>-</v>
      </c>
      <c r="F3737" s="4" t="s">
        <v>9</v>
      </c>
    </row>
    <row r="3738" spans="1:6" x14ac:dyDescent="0.25">
      <c r="A3738" s="4" t="str">
        <f>"Proceedings - International Test Conference"</f>
        <v>Proceedings - International Test Conference</v>
      </c>
      <c r="B3738" s="4" t="s">
        <v>8</v>
      </c>
      <c r="C3738" s="4" t="str">
        <f t="shared" si="126"/>
        <v>-</v>
      </c>
      <c r="D3738" s="4" t="str">
        <f>"10893539"</f>
        <v>10893539</v>
      </c>
      <c r="E3738" s="4" t="str">
        <f t="shared" si="130"/>
        <v>-</v>
      </c>
      <c r="F3738" s="4" t="s">
        <v>105</v>
      </c>
    </row>
    <row r="3739" spans="1:6" x14ac:dyDescent="0.25">
      <c r="A3739" s="4" t="str">
        <f>"Proceedings - International Workshop on Computer Architecture for Machine Perception, CAMP"</f>
        <v>Proceedings - International Workshop on Computer Architecture for Machine Perception, CAMP</v>
      </c>
      <c r="B3739" s="4" t="s">
        <v>8</v>
      </c>
      <c r="C3739" s="4" t="str">
        <f t="shared" si="126"/>
        <v>-</v>
      </c>
      <c r="D3739" s="4" t="str">
        <f>"-"</f>
        <v>-</v>
      </c>
      <c r="E3739" s="4" t="str">
        <f t="shared" si="130"/>
        <v>-</v>
      </c>
      <c r="F3739" s="4" t="s">
        <v>105</v>
      </c>
    </row>
    <row r="3740" spans="1:6" x14ac:dyDescent="0.25">
      <c r="A3740" s="4" t="str">
        <f>"Proceedings - International Workshop on Content-Based Multimedia Indexing"</f>
        <v>Proceedings - International Workshop on Content-Based Multimedia Indexing</v>
      </c>
      <c r="B3740" s="4" t="s">
        <v>8</v>
      </c>
      <c r="C3740" s="4" t="str">
        <f t="shared" si="126"/>
        <v>-</v>
      </c>
      <c r="D3740" s="4" t="str">
        <f>"19493991"</f>
        <v>19493991</v>
      </c>
      <c r="E3740" s="4" t="str">
        <f t="shared" si="130"/>
        <v>-</v>
      </c>
      <c r="F3740" s="4" t="s">
        <v>9</v>
      </c>
    </row>
    <row r="3741" spans="1:6" x14ac:dyDescent="0.25">
      <c r="A3741" s="4" t="str">
        <f>"Proceedings - International Workshop on Database and Expert Systems Applications, DEXA"</f>
        <v>Proceedings - International Workshop on Database and Expert Systems Applications, DEXA</v>
      </c>
      <c r="B3741" s="4" t="s">
        <v>8</v>
      </c>
      <c r="C3741" s="4" t="str">
        <f t="shared" si="126"/>
        <v>-</v>
      </c>
      <c r="D3741" s="4" t="str">
        <f>"15294188"</f>
        <v>15294188</v>
      </c>
      <c r="E3741" s="4" t="str">
        <f t="shared" si="130"/>
        <v>-</v>
      </c>
      <c r="F3741" s="4" t="s">
        <v>105</v>
      </c>
    </row>
    <row r="3742" spans="1:6" x14ac:dyDescent="0.25">
      <c r="A3742" s="4" t="str">
        <f>"Proceedings - International Workshop on Frontiers in Handwriting Recognition, IWFHR"</f>
        <v>Proceedings - International Workshop on Frontiers in Handwriting Recognition, IWFHR</v>
      </c>
      <c r="B3742" s="4" t="s">
        <v>8</v>
      </c>
      <c r="C3742" s="4" t="str">
        <f t="shared" si="126"/>
        <v>-</v>
      </c>
      <c r="D3742" s="4" t="str">
        <f>"15505235"</f>
        <v>15505235</v>
      </c>
      <c r="E3742" s="4" t="str">
        <f t="shared" si="130"/>
        <v>-</v>
      </c>
      <c r="F3742" s="4" t="s">
        <v>9</v>
      </c>
    </row>
    <row r="3743" spans="1:6" x14ac:dyDescent="0.25">
      <c r="A3743" s="4" t="str">
        <f>"Proceedings - International Workshop on Microprocessor Test and Verification"</f>
        <v>Proceedings - International Workshop on Microprocessor Test and Verification</v>
      </c>
      <c r="B3743" s="4" t="s">
        <v>8</v>
      </c>
      <c r="C3743" s="4" t="str">
        <f t="shared" si="126"/>
        <v>-</v>
      </c>
      <c r="D3743" s="4" t="str">
        <f>"15504093"</f>
        <v>15504093</v>
      </c>
      <c r="E3743" s="4" t="str">
        <f t="shared" si="130"/>
        <v>-</v>
      </c>
      <c r="F3743" s="4" t="s">
        <v>105</v>
      </c>
    </row>
    <row r="3744" spans="1:6" x14ac:dyDescent="0.25">
      <c r="A3744" s="4" t="str">
        <f>"Proceedings - International Workshop on Object-Oriented Real-Time Dependable Systems, WORDS"</f>
        <v>Proceedings - International Workshop on Object-Oriented Real-Time Dependable Systems, WORDS</v>
      </c>
      <c r="B3744" s="4" t="s">
        <v>8</v>
      </c>
      <c r="C3744" s="4" t="str">
        <f t="shared" si="126"/>
        <v>-</v>
      </c>
      <c r="D3744" s="4" t="str">
        <f>"15301443"</f>
        <v>15301443</v>
      </c>
      <c r="E3744" s="4" t="str">
        <f t="shared" si="130"/>
        <v>-</v>
      </c>
      <c r="F3744" s="4" t="s">
        <v>105</v>
      </c>
    </row>
    <row r="3745" spans="1:6" x14ac:dyDescent="0.25">
      <c r="A3745" s="4" t="str">
        <f>"Proceedings - Ironmaking Conference"</f>
        <v>Proceedings - Ironmaking Conference</v>
      </c>
      <c r="B3745" s="4" t="s">
        <v>8</v>
      </c>
      <c r="C3745" s="4" t="str">
        <f t="shared" si="126"/>
        <v>-</v>
      </c>
      <c r="D3745" s="4" t="str">
        <f>"00996874"</f>
        <v>00996874</v>
      </c>
      <c r="E3745" s="4" t="str">
        <f t="shared" si="130"/>
        <v>-</v>
      </c>
      <c r="F3745" s="4" t="s">
        <v>621</v>
      </c>
    </row>
    <row r="3746" spans="1:6" x14ac:dyDescent="0.25">
      <c r="A3746" s="4" t="str">
        <f>"Proceedings - NASA/DoD Conference on Evolvable Hardware, EH"</f>
        <v>Proceedings - NASA/DoD Conference on Evolvable Hardware, EH</v>
      </c>
      <c r="B3746" s="4" t="s">
        <v>8</v>
      </c>
      <c r="C3746" s="4" t="str">
        <f t="shared" si="126"/>
        <v>-</v>
      </c>
      <c r="D3746" s="4" t="str">
        <f>"15506029"</f>
        <v>15506029</v>
      </c>
      <c r="E3746" s="4" t="str">
        <f t="shared" si="130"/>
        <v>-</v>
      </c>
      <c r="F3746" s="4" t="s">
        <v>105</v>
      </c>
    </row>
    <row r="3747" spans="1:6" x14ac:dyDescent="0.25">
      <c r="A3747" s="4" t="str">
        <f>"Proceedings - National Online Meeting"</f>
        <v>Proceedings - National Online Meeting</v>
      </c>
      <c r="B3747" s="4" t="s">
        <v>8</v>
      </c>
      <c r="C3747" s="4" t="str">
        <f t="shared" si="126"/>
        <v>-</v>
      </c>
      <c r="D3747" s="4" t="str">
        <f>"07391471"</f>
        <v>07391471</v>
      </c>
      <c r="E3747" s="4" t="str">
        <f t="shared" si="130"/>
        <v>-</v>
      </c>
      <c r="F3747" s="4" t="s">
        <v>353</v>
      </c>
    </row>
    <row r="3748" spans="1:6" x14ac:dyDescent="0.25">
      <c r="A3748" s="4" t="str">
        <f>"Proceedings - Pacific Conference on Computer Graphics and Applications"</f>
        <v>Proceedings - Pacific Conference on Computer Graphics and Applications</v>
      </c>
      <c r="B3748" s="4" t="s">
        <v>8</v>
      </c>
      <c r="C3748" s="4" t="str">
        <f t="shared" si="126"/>
        <v>-</v>
      </c>
      <c r="D3748" s="4" t="str">
        <f>"15504085"</f>
        <v>15504085</v>
      </c>
      <c r="E3748" s="4" t="str">
        <f t="shared" si="130"/>
        <v>-</v>
      </c>
      <c r="F3748" s="4" t="s">
        <v>9</v>
      </c>
    </row>
    <row r="3749" spans="1:6" x14ac:dyDescent="0.25">
      <c r="A3749" s="4" t="str">
        <f>"Proceedings - Rapid Excavation and Tunneling Conference"</f>
        <v>Proceedings - Rapid Excavation and Tunneling Conference</v>
      </c>
      <c r="B3749" s="4" t="s">
        <v>8</v>
      </c>
      <c r="C3749" s="4" t="str">
        <f t="shared" si="126"/>
        <v>-</v>
      </c>
      <c r="D3749" s="4" t="str">
        <f>"-"</f>
        <v>-</v>
      </c>
      <c r="E3749" s="4" t="str">
        <f t="shared" si="130"/>
        <v>-</v>
      </c>
      <c r="F3749" s="4" t="s">
        <v>877</v>
      </c>
    </row>
    <row r="3750" spans="1:6" x14ac:dyDescent="0.25">
      <c r="A3750" s="4" t="str">
        <f>"Proceedings - Real-Time Systems Symposium"</f>
        <v>Proceedings - Real-Time Systems Symposium</v>
      </c>
      <c r="B3750" s="4" t="s">
        <v>8</v>
      </c>
      <c r="C3750" s="4" t="str">
        <f t="shared" si="126"/>
        <v>-</v>
      </c>
      <c r="D3750" s="4" t="str">
        <f>"10528725"</f>
        <v>10528725</v>
      </c>
      <c r="E3750" s="4" t="str">
        <f t="shared" si="130"/>
        <v>-</v>
      </c>
      <c r="F3750" s="4" t="s">
        <v>105</v>
      </c>
    </row>
    <row r="3751" spans="1:6" x14ac:dyDescent="0.25">
      <c r="A3751" s="4" t="str">
        <f>"Proceedings - RoEduNet IEEE International Conference"</f>
        <v>Proceedings - RoEduNet IEEE International Conference</v>
      </c>
      <c r="B3751" s="4" t="s">
        <v>8</v>
      </c>
      <c r="C3751" s="4" t="str">
        <f t="shared" si="126"/>
        <v>-</v>
      </c>
      <c r="D3751" s="4" t="str">
        <f>"20681038"</f>
        <v>20681038</v>
      </c>
      <c r="E3751" s="4" t="str">
        <f t="shared" si="130"/>
        <v>-</v>
      </c>
      <c r="F3751" s="4" t="s">
        <v>9</v>
      </c>
    </row>
    <row r="3752" spans="1:6" x14ac:dyDescent="0.25">
      <c r="A3752" s="4" t="str">
        <f>"Proceedings - Simulation Symposium"</f>
        <v>Proceedings - Simulation Symposium</v>
      </c>
      <c r="B3752" s="4" t="s">
        <v>8</v>
      </c>
      <c r="C3752" s="4" t="str">
        <f t="shared" si="126"/>
        <v>-</v>
      </c>
      <c r="D3752" s="4" t="str">
        <f>"1080241X"</f>
        <v>1080241X</v>
      </c>
      <c r="E3752" s="4" t="str">
        <f t="shared" si="130"/>
        <v>-</v>
      </c>
      <c r="F3752" s="4" t="s">
        <v>9</v>
      </c>
    </row>
    <row r="3753" spans="1:6" x14ac:dyDescent="0.25">
      <c r="A3753" s="4" t="str">
        <f>"Proceedings - SPE Annual Technical Conference and Exhibition"</f>
        <v>Proceedings - SPE Annual Technical Conference and Exhibition</v>
      </c>
      <c r="B3753" s="4" t="s">
        <v>8</v>
      </c>
      <c r="C3753" s="4" t="str">
        <f t="shared" si="126"/>
        <v>-</v>
      </c>
      <c r="D3753" s="4" t="str">
        <f>"-"</f>
        <v>-</v>
      </c>
      <c r="E3753" s="4" t="str">
        <f t="shared" si="130"/>
        <v>-</v>
      </c>
      <c r="F3753" s="4" t="s">
        <v>915</v>
      </c>
    </row>
    <row r="3754" spans="1:6" x14ac:dyDescent="0.25">
      <c r="A3754" s="4" t="str">
        <f>"Proceedings - SPE International Symposium on Formation Damage Control"</f>
        <v>Proceedings - SPE International Symposium on Formation Damage Control</v>
      </c>
      <c r="B3754" s="4" t="s">
        <v>8</v>
      </c>
      <c r="C3754" s="4" t="str">
        <f t="shared" si="126"/>
        <v>-</v>
      </c>
      <c r="D3754" s="4" t="str">
        <f>"-"</f>
        <v>-</v>
      </c>
      <c r="E3754" s="4" t="str">
        <f t="shared" si="130"/>
        <v>-</v>
      </c>
      <c r="F3754" s="4" t="s">
        <v>915</v>
      </c>
    </row>
    <row r="3755" spans="1:6" x14ac:dyDescent="0.25">
      <c r="A3755" s="4" t="str">
        <f>"Proceedings - SPE International Symposium on Oilfield Chemistry"</f>
        <v>Proceedings - SPE International Symposium on Oilfield Chemistry</v>
      </c>
      <c r="B3755" s="4" t="s">
        <v>8</v>
      </c>
      <c r="C3755" s="4" t="str">
        <f t="shared" si="126"/>
        <v>-</v>
      </c>
      <c r="D3755" s="4" t="str">
        <f>"10461779"</f>
        <v>10461779</v>
      </c>
      <c r="E3755" s="4" t="str">
        <f t="shared" si="130"/>
        <v>-</v>
      </c>
      <c r="F3755" s="4" t="s">
        <v>915</v>
      </c>
    </row>
    <row r="3756" spans="1:6" x14ac:dyDescent="0.25">
      <c r="A3756" s="4" t="str">
        <f>"Proceedings - SPE Symposium on Improved Oil Recovery"</f>
        <v>Proceedings - SPE Symposium on Improved Oil Recovery</v>
      </c>
      <c r="B3756" s="4" t="s">
        <v>8</v>
      </c>
      <c r="C3756" s="4" t="str">
        <f t="shared" si="126"/>
        <v>-</v>
      </c>
      <c r="D3756" s="4" t="str">
        <f>"-"</f>
        <v>-</v>
      </c>
      <c r="E3756" s="4" t="str">
        <f t="shared" si="130"/>
        <v>-</v>
      </c>
      <c r="F3756" s="4" t="s">
        <v>915</v>
      </c>
    </row>
    <row r="3757" spans="1:6" x14ac:dyDescent="0.25">
      <c r="A3757" s="4" t="str">
        <f>"Proceedings - Symposium on Computer Architecture and High Performance Computing"</f>
        <v>Proceedings - Symposium on Computer Architecture and High Performance Computing</v>
      </c>
      <c r="B3757" s="4" t="s">
        <v>8</v>
      </c>
      <c r="C3757" s="4" t="str">
        <f t="shared" si="126"/>
        <v>-</v>
      </c>
      <c r="D3757" s="4" t="str">
        <f>"15506533"</f>
        <v>15506533</v>
      </c>
      <c r="E3757" s="4" t="str">
        <f t="shared" si="130"/>
        <v>-</v>
      </c>
      <c r="F3757" s="4" t="s">
        <v>9</v>
      </c>
    </row>
    <row r="3758" spans="1:6" x14ac:dyDescent="0.25">
      <c r="A3758" s="4" t="str">
        <f>"Proceedings - Symposium on Computer Arithmetic"</f>
        <v>Proceedings - Symposium on Computer Arithmetic</v>
      </c>
      <c r="B3758" s="4" t="s">
        <v>8</v>
      </c>
      <c r="C3758" s="4" t="str">
        <f t="shared" ref="C3758:D3821" si="131">"-"</f>
        <v>-</v>
      </c>
      <c r="D3758" s="4" t="str">
        <f>"-"</f>
        <v>-</v>
      </c>
      <c r="E3758" s="4" t="str">
        <f t="shared" si="130"/>
        <v>-</v>
      </c>
      <c r="F3758" s="4" t="s">
        <v>105</v>
      </c>
    </row>
    <row r="3759" spans="1:6" x14ac:dyDescent="0.25">
      <c r="A3759" s="4" t="str">
        <f>"Proceedings - Symposium on Fusion Engineering"</f>
        <v>Proceedings - Symposium on Fusion Engineering</v>
      </c>
      <c r="B3759" s="4" t="s">
        <v>8</v>
      </c>
      <c r="C3759" s="4" t="str">
        <f t="shared" si="131"/>
        <v>-</v>
      </c>
      <c r="D3759" s="4" t="str">
        <f>"-"</f>
        <v>-</v>
      </c>
      <c r="E3759" s="4" t="str">
        <f t="shared" si="130"/>
        <v>-</v>
      </c>
      <c r="F3759" s="4" t="s">
        <v>105</v>
      </c>
    </row>
    <row r="3760" spans="1:6" x14ac:dyDescent="0.25">
      <c r="A3760" s="4" t="str">
        <f>"Proceedings - Symposium on Logic in Computer Science"</f>
        <v>Proceedings - Symposium on Logic in Computer Science</v>
      </c>
      <c r="B3760" s="4" t="s">
        <v>8</v>
      </c>
      <c r="C3760" s="4" t="str">
        <f t="shared" si="131"/>
        <v>-</v>
      </c>
      <c r="D3760" s="4" t="str">
        <f>"10436871"</f>
        <v>10436871</v>
      </c>
      <c r="E3760" s="4" t="str">
        <f t="shared" si="130"/>
        <v>-</v>
      </c>
      <c r="F3760" s="4" t="s">
        <v>105</v>
      </c>
    </row>
    <row r="3761" spans="1:6" x14ac:dyDescent="0.25">
      <c r="A3761" s="4" t="str">
        <f>"Proceedings - Symposium on the High Performance Interconnects, Hot Interconnects"</f>
        <v>Proceedings - Symposium on the High Performance Interconnects, Hot Interconnects</v>
      </c>
      <c r="B3761" s="4" t="s">
        <v>8</v>
      </c>
      <c r="C3761" s="4" t="str">
        <f t="shared" si="131"/>
        <v>-</v>
      </c>
      <c r="D3761" s="4" t="str">
        <f>"15504794"</f>
        <v>15504794</v>
      </c>
      <c r="E3761" s="4" t="str">
        <f t="shared" si="130"/>
        <v>-</v>
      </c>
      <c r="F3761" s="4" t="s">
        <v>105</v>
      </c>
    </row>
    <row r="3762" spans="1:6" x14ac:dyDescent="0.25">
      <c r="A3762" s="4" t="str">
        <f>"Proceedings - Winter Simulation Conference"</f>
        <v>Proceedings - Winter Simulation Conference</v>
      </c>
      <c r="B3762" s="4" t="s">
        <v>8</v>
      </c>
      <c r="C3762" s="4" t="str">
        <f t="shared" si="131"/>
        <v>-</v>
      </c>
      <c r="D3762" s="4" t="str">
        <f>"08917736"</f>
        <v>08917736</v>
      </c>
      <c r="E3762" s="4" t="str">
        <f t="shared" si="130"/>
        <v>-</v>
      </c>
      <c r="F3762" s="4" t="s">
        <v>105</v>
      </c>
    </row>
    <row r="3763" spans="1:6" x14ac:dyDescent="0.25">
      <c r="A3763" s="4" t="str">
        <f>"Proceedings - Working Conference on Reverse Engineering, WCRE"</f>
        <v>Proceedings - Working Conference on Reverse Engineering, WCRE</v>
      </c>
      <c r="B3763" s="4" t="s">
        <v>8</v>
      </c>
      <c r="C3763" s="4" t="str">
        <f t="shared" si="131"/>
        <v>-</v>
      </c>
      <c r="D3763" s="4" t="str">
        <f>"10951350"</f>
        <v>10951350</v>
      </c>
      <c r="E3763" s="4" t="str">
        <f t="shared" si="130"/>
        <v>-</v>
      </c>
      <c r="F3763" s="4" t="s">
        <v>9</v>
      </c>
    </row>
    <row r="3764" spans="1:6" x14ac:dyDescent="0.25">
      <c r="A3764" s="4" t="str">
        <f>"Proceedings - Workshop on Principles of Advanced and Distributed Simulation, PADS"</f>
        <v>Proceedings - Workshop on Principles of Advanced and Distributed Simulation, PADS</v>
      </c>
      <c r="B3764" s="4" t="s">
        <v>8</v>
      </c>
      <c r="C3764" s="4" t="str">
        <f t="shared" si="131"/>
        <v>-</v>
      </c>
      <c r="D3764" s="4" t="str">
        <f>"-"</f>
        <v>-</v>
      </c>
      <c r="E3764" s="4" t="str">
        <f t="shared" si="130"/>
        <v>-</v>
      </c>
      <c r="F3764" s="4" t="s">
        <v>9</v>
      </c>
    </row>
    <row r="3765" spans="1:6" x14ac:dyDescent="0.25">
      <c r="A3765" s="4" t="str">
        <f>"Proceedings ACEEE Summer Study on Energy Efficiency in Buildings"</f>
        <v>Proceedings ACEEE Summer Study on Energy Efficiency in Buildings</v>
      </c>
      <c r="B3765" s="4" t="s">
        <v>8</v>
      </c>
      <c r="C3765" s="4" t="str">
        <f t="shared" si="131"/>
        <v>-</v>
      </c>
      <c r="D3765" s="4" t="str">
        <f>"-"</f>
        <v>-</v>
      </c>
      <c r="E3765" s="4" t="str">
        <f t="shared" si="130"/>
        <v>-</v>
      </c>
      <c r="F3765" s="4" t="s">
        <v>954</v>
      </c>
    </row>
    <row r="3766" spans="1:6" x14ac:dyDescent="0.25">
      <c r="A3766" s="4" t="str">
        <f>"Proceedings ACEEE Summer Study on Energy Efficiency in Industry"</f>
        <v>Proceedings ACEEE Summer Study on Energy Efficiency in Industry</v>
      </c>
      <c r="B3766" s="4" t="s">
        <v>8</v>
      </c>
      <c r="C3766" s="4" t="str">
        <f t="shared" si="131"/>
        <v>-</v>
      </c>
      <c r="D3766" s="4" t="str">
        <f>"-"</f>
        <v>-</v>
      </c>
      <c r="E3766" s="4" t="str">
        <f t="shared" si="130"/>
        <v>-</v>
      </c>
      <c r="F3766" s="4" t="s">
        <v>954</v>
      </c>
    </row>
    <row r="3767" spans="1:6" x14ac:dyDescent="0.25">
      <c r="A3767" s="4" t="str">
        <f>"Proceedings ACM SIGUCCS User Services Conference"</f>
        <v>Proceedings ACM SIGUCCS User Services Conference</v>
      </c>
      <c r="B3767" s="4" t="s">
        <v>8</v>
      </c>
      <c r="C3767" s="4" t="str">
        <f t="shared" si="131"/>
        <v>-</v>
      </c>
      <c r="D3767" s="4" t="str">
        <f>"-"</f>
        <v>-</v>
      </c>
      <c r="E3767" s="4" t="str">
        <f t="shared" si="130"/>
        <v>-</v>
      </c>
      <c r="F3767" s="4" t="s">
        <v>21</v>
      </c>
    </row>
    <row r="3768" spans="1:6" x14ac:dyDescent="0.25">
      <c r="A3768" s="4" t="str">
        <f>"Proceedings -Design, Automation and Test in Europe, DATE"</f>
        <v>Proceedings -Design, Automation and Test in Europe, DATE</v>
      </c>
      <c r="B3768" s="4" t="s">
        <v>8</v>
      </c>
      <c r="C3768" s="4" t="str">
        <f t="shared" si="131"/>
        <v>-</v>
      </c>
      <c r="D3768" s="4" t="str">
        <f>"15301591"</f>
        <v>15301591</v>
      </c>
      <c r="E3768" s="4" t="str">
        <f t="shared" si="130"/>
        <v>-</v>
      </c>
      <c r="F3768" s="4" t="s">
        <v>105</v>
      </c>
    </row>
    <row r="3769" spans="1:6" x14ac:dyDescent="0.25">
      <c r="A3769" s="4" t="str">
        <f>"Proceedings Elmar - International Symposium Electronics in Marine"</f>
        <v>Proceedings Elmar - International Symposium Electronics in Marine</v>
      </c>
      <c r="B3769" s="4" t="s">
        <v>8</v>
      </c>
      <c r="C3769" s="4" t="str">
        <f t="shared" si="131"/>
        <v>-</v>
      </c>
      <c r="D3769" s="4" t="str">
        <f>"13342630"</f>
        <v>13342630</v>
      </c>
      <c r="E3769" s="4" t="str">
        <f t="shared" si="130"/>
        <v>-</v>
      </c>
      <c r="F3769" s="4" t="s">
        <v>955</v>
      </c>
    </row>
    <row r="3770" spans="1:6" x14ac:dyDescent="0.25">
      <c r="A3770" s="4" t="str">
        <f>"Proceedings -IEEE International Computer Performance and Dependability Symposium, IPDS"</f>
        <v>Proceedings -IEEE International Computer Performance and Dependability Symposium, IPDS</v>
      </c>
      <c r="B3770" s="4" t="s">
        <v>8</v>
      </c>
      <c r="C3770" s="4" t="str">
        <f t="shared" si="131"/>
        <v>-</v>
      </c>
      <c r="D3770" s="4" t="str">
        <f>"-"</f>
        <v>-</v>
      </c>
      <c r="E3770" s="4" t="str">
        <f t="shared" si="130"/>
        <v>-</v>
      </c>
      <c r="F3770" s="4" t="s">
        <v>9</v>
      </c>
    </row>
    <row r="3771" spans="1:6" x14ac:dyDescent="0.25">
      <c r="A3771" s="4" t="str">
        <f>"Proceedings in Information and Communications Technology"</f>
        <v>Proceedings in Information and Communications Technology</v>
      </c>
      <c r="B3771" s="4" t="s">
        <v>8</v>
      </c>
      <c r="C3771" s="4" t="str">
        <f t="shared" si="131"/>
        <v>-</v>
      </c>
      <c r="D3771" s="4" t="str">
        <f>"18672914"</f>
        <v>18672914</v>
      </c>
      <c r="E3771" s="4" t="str">
        <f>"18672922"</f>
        <v>18672922</v>
      </c>
      <c r="F3771" s="4" t="s">
        <v>16</v>
      </c>
    </row>
    <row r="3772" spans="1:6" x14ac:dyDescent="0.25">
      <c r="A3772" s="4" t="str">
        <f>"Proceedings in Mining Science and Safety Technology"</f>
        <v>Proceedings in Mining Science and Safety Technology</v>
      </c>
      <c r="B3772" s="4" t="s">
        <v>8</v>
      </c>
      <c r="C3772" s="4" t="str">
        <f t="shared" si="131"/>
        <v>-</v>
      </c>
      <c r="D3772" s="4" t="str">
        <f>"-"</f>
        <v>-</v>
      </c>
      <c r="E3772" s="4" t="str">
        <f>"-"</f>
        <v>-</v>
      </c>
      <c r="F3772" s="4" t="s">
        <v>37</v>
      </c>
    </row>
    <row r="3773" spans="1:6" x14ac:dyDescent="0.25">
      <c r="A3773" s="4" t="str">
        <f>"Proceedings International Conference on Automated Planning and Scheduling, ICAPS"</f>
        <v>Proceedings International Conference on Automated Planning and Scheduling, ICAPS</v>
      </c>
      <c r="B3773" s="4" t="s">
        <v>8</v>
      </c>
      <c r="C3773" s="4" t="str">
        <f t="shared" si="131"/>
        <v>-</v>
      </c>
      <c r="D3773" s="4" t="str">
        <f>"23340835"</f>
        <v>23340835</v>
      </c>
      <c r="E3773" s="4" t="str">
        <f>"23340843"</f>
        <v>23340843</v>
      </c>
      <c r="F3773" s="4" t="s">
        <v>956</v>
      </c>
    </row>
    <row r="3774" spans="1:6" x14ac:dyDescent="0.25">
      <c r="A3774" s="4" t="str">
        <f>"Proceedings International Radar Symposium"</f>
        <v>Proceedings International Radar Symposium</v>
      </c>
      <c r="B3774" s="4" t="s">
        <v>8</v>
      </c>
      <c r="C3774" s="4" t="str">
        <f t="shared" si="131"/>
        <v>-</v>
      </c>
      <c r="D3774" s="4" t="str">
        <f>"21555753"</f>
        <v>21555753</v>
      </c>
      <c r="E3774" s="4" t="str">
        <f t="shared" ref="E3774:E3780" si="132">"-"</f>
        <v>-</v>
      </c>
      <c r="F3774" s="4" t="s">
        <v>9</v>
      </c>
    </row>
    <row r="3775" spans="1:6" x14ac:dyDescent="0.25">
      <c r="A3775" s="4" t="str">
        <f>"Proceedings New Security Paradigms Workshop"</f>
        <v>Proceedings New Security Paradigms Workshop</v>
      </c>
      <c r="B3775" s="4" t="s">
        <v>8</v>
      </c>
      <c r="C3775" s="4" t="str">
        <f t="shared" si="131"/>
        <v>-</v>
      </c>
      <c r="D3775" s="4" t="str">
        <f>"-"</f>
        <v>-</v>
      </c>
      <c r="E3775" s="4" t="str">
        <f t="shared" si="132"/>
        <v>-</v>
      </c>
      <c r="F3775" s="4" t="s">
        <v>21</v>
      </c>
    </row>
    <row r="3776" spans="1:6" x14ac:dyDescent="0.25">
      <c r="A3776" s="4" t="str">
        <f>"Proceedings of ACM Symposium on Access Control Models and Technologies, SACMAT"</f>
        <v>Proceedings of ACM Symposium on Access Control Models and Technologies, SACMAT</v>
      </c>
      <c r="B3776" s="4" t="s">
        <v>8</v>
      </c>
      <c r="C3776" s="4" t="str">
        <f t="shared" si="131"/>
        <v>-</v>
      </c>
      <c r="D3776" s="4" t="str">
        <f>"-"</f>
        <v>-</v>
      </c>
      <c r="E3776" s="4" t="str">
        <f t="shared" si="132"/>
        <v>-</v>
      </c>
      <c r="F3776" s="4" t="s">
        <v>21</v>
      </c>
    </row>
    <row r="3777" spans="1:6" x14ac:dyDescent="0.25">
      <c r="A3777" s="4" t="str">
        <f>"Proceedings of Computer Graphics International Conference, CGI"</f>
        <v>Proceedings of Computer Graphics International Conference, CGI</v>
      </c>
      <c r="B3777" s="4" t="s">
        <v>8</v>
      </c>
      <c r="C3777" s="4" t="str">
        <f t="shared" si="131"/>
        <v>-</v>
      </c>
      <c r="D3777" s="4" t="str">
        <f>"15301052"</f>
        <v>15301052</v>
      </c>
      <c r="E3777" s="4" t="str">
        <f t="shared" si="132"/>
        <v>-</v>
      </c>
      <c r="F3777" s="4" t="s">
        <v>9</v>
      </c>
    </row>
    <row r="3778" spans="1:6" x14ac:dyDescent="0.25">
      <c r="A3778" s="4" t="str">
        <f>"Proceedings of Conference - International Erosion Control Association"</f>
        <v>Proceedings of Conference - International Erosion Control Association</v>
      </c>
      <c r="B3778" s="4" t="s">
        <v>8</v>
      </c>
      <c r="C3778" s="4" t="str">
        <f t="shared" si="131"/>
        <v>-</v>
      </c>
      <c r="D3778" s="4" t="str">
        <f>"10922806"</f>
        <v>10922806</v>
      </c>
      <c r="E3778" s="4" t="str">
        <f t="shared" si="132"/>
        <v>-</v>
      </c>
      <c r="F3778" s="4" t="s">
        <v>957</v>
      </c>
    </row>
    <row r="3779" spans="1:6" x14ac:dyDescent="0.25">
      <c r="A3779" s="4" t="str">
        <f>"Proceedings of Forum Acusticum"</f>
        <v>Proceedings of Forum Acusticum</v>
      </c>
      <c r="B3779" s="4" t="s">
        <v>8</v>
      </c>
      <c r="C3779" s="4" t="str">
        <f t="shared" si="131"/>
        <v>-</v>
      </c>
      <c r="D3779" s="4" t="str">
        <f>"22213767"</f>
        <v>22213767</v>
      </c>
      <c r="E3779" s="4" t="str">
        <f t="shared" si="132"/>
        <v>-</v>
      </c>
      <c r="F3779" s="4" t="s">
        <v>958</v>
      </c>
    </row>
    <row r="3780" spans="1:6" x14ac:dyDescent="0.25">
      <c r="A3780" s="4" t="str">
        <f>"Proceedings of Global Powertrain Congress"</f>
        <v>Proceedings of Global Powertrain Congress</v>
      </c>
      <c r="B3780" s="4" t="s">
        <v>8</v>
      </c>
      <c r="C3780" s="4" t="str">
        <f t="shared" si="131"/>
        <v>-</v>
      </c>
      <c r="D3780" s="4" t="str">
        <f>"15439666"</f>
        <v>15439666</v>
      </c>
      <c r="E3780" s="4" t="str">
        <f t="shared" si="132"/>
        <v>-</v>
      </c>
      <c r="F3780" s="4" t="s">
        <v>959</v>
      </c>
    </row>
    <row r="3781" spans="1:6" x14ac:dyDescent="0.25">
      <c r="A3781" s="4" t="str">
        <f>"Proceedings of IEEE Computer Society Annual Symposium on VLSI, ISVLSI"</f>
        <v>Proceedings of IEEE Computer Society Annual Symposium on VLSI, ISVLSI</v>
      </c>
      <c r="B3781" s="4" t="s">
        <v>8</v>
      </c>
      <c r="C3781" s="4" t="str">
        <f t="shared" si="131"/>
        <v>-</v>
      </c>
      <c r="D3781" s="4" t="str">
        <f>"21593469"</f>
        <v>21593469</v>
      </c>
      <c r="E3781" s="4" t="str">
        <f>"21593477"</f>
        <v>21593477</v>
      </c>
      <c r="F3781" s="4" t="s">
        <v>9</v>
      </c>
    </row>
    <row r="3782" spans="1:6" x14ac:dyDescent="0.25">
      <c r="A3782" s="4" t="str">
        <f>"Proceedings of IEEE International Conference on Grey Systems and Intelligent Services, GSIS"</f>
        <v>Proceedings of IEEE International Conference on Grey Systems and Intelligent Services, GSIS</v>
      </c>
      <c r="B3782" s="4" t="s">
        <v>8</v>
      </c>
      <c r="C3782" s="4" t="str">
        <f t="shared" si="131"/>
        <v>-</v>
      </c>
      <c r="D3782" s="4" t="str">
        <f>"21669430"</f>
        <v>21669430</v>
      </c>
      <c r="E3782" s="4" t="str">
        <f>"21669449"</f>
        <v>21669449</v>
      </c>
      <c r="F3782" s="4" t="s">
        <v>9</v>
      </c>
    </row>
    <row r="3783" spans="1:6" x14ac:dyDescent="0.25">
      <c r="A3783" s="4" t="str">
        <f>"Proceedings of IEEE International Conference on Solid Dielectrics, ICSD"</f>
        <v>Proceedings of IEEE International Conference on Solid Dielectrics, ICSD</v>
      </c>
      <c r="B3783" s="4" t="s">
        <v>8</v>
      </c>
      <c r="C3783" s="4" t="str">
        <f t="shared" si="131"/>
        <v>-</v>
      </c>
      <c r="D3783" s="4" t="str">
        <f>"15535282"</f>
        <v>15535282</v>
      </c>
      <c r="E3783" s="4" t="str">
        <f>"21591687"</f>
        <v>21591687</v>
      </c>
      <c r="F3783" s="4" t="s">
        <v>9</v>
      </c>
    </row>
    <row r="3784" spans="1:6" ht="30" x14ac:dyDescent="0.25">
      <c r="A3784" s="4" t="str">
        <f>"Proceedings of IEEE International Conference on Virtual Environments, Human-Computer Interfaces, and Measurement Systems,VECIMS"</f>
        <v>Proceedings of IEEE International Conference on Virtual Environments, Human-Computer Interfaces, and Measurement Systems,VECIMS</v>
      </c>
      <c r="B3784" s="4" t="s">
        <v>8</v>
      </c>
      <c r="C3784" s="4" t="str">
        <f t="shared" si="131"/>
        <v>-</v>
      </c>
      <c r="D3784" s="4" t="str">
        <f>"19449429"</f>
        <v>19449429</v>
      </c>
      <c r="E3784" s="4" t="str">
        <f>"19449410"</f>
        <v>19449410</v>
      </c>
      <c r="F3784" s="4" t="s">
        <v>9</v>
      </c>
    </row>
    <row r="3785" spans="1:6" ht="30" x14ac:dyDescent="0.25">
      <c r="A3785" s="4" t="str">
        <f>"Proceedings of IEEE International Symposium on Computational Intelligence in Robotics and Automation, CIRA"</f>
        <v>Proceedings of IEEE International Symposium on Computational Intelligence in Robotics and Automation, CIRA</v>
      </c>
      <c r="B3785" s="4" t="s">
        <v>8</v>
      </c>
      <c r="C3785" s="4" t="str">
        <f t="shared" si="131"/>
        <v>-</v>
      </c>
      <c r="D3785" s="4" t="str">
        <f>"-"</f>
        <v>-</v>
      </c>
      <c r="E3785" s="4" t="str">
        <f>"-"</f>
        <v>-</v>
      </c>
      <c r="F3785" s="4" t="s">
        <v>105</v>
      </c>
    </row>
    <row r="3786" spans="1:6" x14ac:dyDescent="0.25">
      <c r="A3786" s="4" t="str">
        <f>"Proceedings of IEEE International Symposium on High Assurance Systems Engineering"</f>
        <v>Proceedings of IEEE International Symposium on High Assurance Systems Engineering</v>
      </c>
      <c r="B3786" s="4" t="s">
        <v>8</v>
      </c>
      <c r="C3786" s="4" t="str">
        <f t="shared" si="131"/>
        <v>-</v>
      </c>
      <c r="D3786" s="4" t="str">
        <f>"15302059"</f>
        <v>15302059</v>
      </c>
      <c r="E3786" s="4" t="str">
        <f>"-"</f>
        <v>-</v>
      </c>
      <c r="F3786" s="4" t="s">
        <v>9</v>
      </c>
    </row>
    <row r="3787" spans="1:6" x14ac:dyDescent="0.25">
      <c r="A3787" s="4" t="str">
        <f>"Proceedings of IEEE International Symposium on Web Systems Evolution, WSE"</f>
        <v>Proceedings of IEEE International Symposium on Web Systems Evolution, WSE</v>
      </c>
      <c r="B3787" s="4" t="s">
        <v>8</v>
      </c>
      <c r="C3787" s="4" t="str">
        <f t="shared" si="131"/>
        <v>-</v>
      </c>
      <c r="D3787" s="4" t="str">
        <f>"21606153"</f>
        <v>21606153</v>
      </c>
      <c r="E3787" s="4" t="str">
        <f>"21606161"</f>
        <v>21606161</v>
      </c>
      <c r="F3787" s="4" t="s">
        <v>9</v>
      </c>
    </row>
    <row r="3788" spans="1:6" x14ac:dyDescent="0.25">
      <c r="A3788" s="4" t="str">
        <f>"Proceedings of IEEE International Workshop on Variable Structure Systems"</f>
        <v>Proceedings of IEEE International Workshop on Variable Structure Systems</v>
      </c>
      <c r="B3788" s="4" t="s">
        <v>8</v>
      </c>
      <c r="C3788" s="4" t="str">
        <f t="shared" si="131"/>
        <v>-</v>
      </c>
      <c r="D3788" s="4" t="str">
        <f>"21654816"</f>
        <v>21654816</v>
      </c>
      <c r="E3788" s="4" t="str">
        <f>"21654824"</f>
        <v>21654824</v>
      </c>
      <c r="F3788" s="4" t="s">
        <v>9</v>
      </c>
    </row>
    <row r="3789" spans="1:6" x14ac:dyDescent="0.25">
      <c r="A3789" s="4" t="str">
        <f>"Proceedings of IEEE Pacific Rim International Symposium on Dependable Computing, PRDC"</f>
        <v>Proceedings of IEEE Pacific Rim International Symposium on Dependable Computing, PRDC</v>
      </c>
      <c r="B3789" s="4" t="s">
        <v>8</v>
      </c>
      <c r="C3789" s="4" t="str">
        <f t="shared" si="131"/>
        <v>-</v>
      </c>
      <c r="D3789" s="4" t="str">
        <f>"15410110"</f>
        <v>15410110</v>
      </c>
      <c r="E3789" s="4" t="str">
        <f>"-"</f>
        <v>-</v>
      </c>
      <c r="F3789" s="4" t="s">
        <v>9</v>
      </c>
    </row>
    <row r="3790" spans="1:6" x14ac:dyDescent="0.25">
      <c r="A3790" s="4" t="str">
        <f>"Proceedings of IEEE Sensors"</f>
        <v>Proceedings of IEEE Sensors</v>
      </c>
      <c r="B3790" s="4" t="s">
        <v>8</v>
      </c>
      <c r="C3790" s="4" t="str">
        <f t="shared" si="131"/>
        <v>-</v>
      </c>
      <c r="D3790" s="4" t="str">
        <f>"19300395 "</f>
        <v xml:space="preserve">19300395 </v>
      </c>
      <c r="E3790" s="4" t="str">
        <f>"21689229 "</f>
        <v xml:space="preserve">21689229 </v>
      </c>
      <c r="F3790" s="4" t="s">
        <v>105</v>
      </c>
    </row>
    <row r="3791" spans="1:6" x14ac:dyDescent="0.25">
      <c r="A3791" s="4" t="str">
        <f>"Proceedings of IEEE Symposium on Visual Languages and Human-Centric Computing, VL/HCC"</f>
        <v>Proceedings of IEEE Symposium on Visual Languages and Human-Centric Computing, VL/HCC</v>
      </c>
      <c r="B3791" s="4" t="s">
        <v>8</v>
      </c>
      <c r="C3791" s="4" t="str">
        <f t="shared" si="131"/>
        <v>-</v>
      </c>
      <c r="D3791" s="4" t="str">
        <f>"19436092"</f>
        <v>19436092</v>
      </c>
      <c r="E3791" s="4" t="str">
        <f>"19436106"</f>
        <v>19436106</v>
      </c>
      <c r="F3791" s="4" t="s">
        <v>9</v>
      </c>
    </row>
    <row r="3792" spans="1:6" x14ac:dyDescent="0.25">
      <c r="A3792" s="4" t="str">
        <f>"Proceedings of IEEE Workshop on Advanced Robotics and its Social Impacts, ARSO"</f>
        <v>Proceedings of IEEE Workshop on Advanced Robotics and its Social Impacts, ARSO</v>
      </c>
      <c r="B3792" s="4" t="s">
        <v>8</v>
      </c>
      <c r="C3792" s="4" t="str">
        <f t="shared" si="131"/>
        <v>-</v>
      </c>
      <c r="D3792" s="4" t="str">
        <f>"21627568"</f>
        <v>21627568</v>
      </c>
      <c r="E3792" s="4" t="str">
        <f>"21627576"</f>
        <v>21627576</v>
      </c>
      <c r="F3792" s="4" t="s">
        <v>9</v>
      </c>
    </row>
    <row r="3793" spans="1:6" x14ac:dyDescent="0.25">
      <c r="A3793" s="4" t="str">
        <f>"Proceedings of IEEE Workshop on Applications of Computer Vision"</f>
        <v>Proceedings of IEEE Workshop on Applications of Computer Vision</v>
      </c>
      <c r="B3793" s="4" t="s">
        <v>8</v>
      </c>
      <c r="C3793" s="4" t="str">
        <f t="shared" si="131"/>
        <v>-</v>
      </c>
      <c r="D3793" s="4" t="str">
        <f>"21583978"</f>
        <v>21583978</v>
      </c>
      <c r="E3793" s="4" t="str">
        <f>"21583986"</f>
        <v>21583986</v>
      </c>
      <c r="F3793" s="4" t="s">
        <v>9</v>
      </c>
    </row>
    <row r="3794" spans="1:6" x14ac:dyDescent="0.25">
      <c r="A3794" s="4" t="str">
        <f>"Proceedings of IEEE/ACS International Conference on Computer Systems and Applications, AICCSA"</f>
        <v>Proceedings of IEEE/ACS International Conference on Computer Systems and Applications, AICCSA</v>
      </c>
      <c r="B3794" s="4" t="s">
        <v>8</v>
      </c>
      <c r="C3794" s="4" t="str">
        <f t="shared" si="131"/>
        <v>-</v>
      </c>
      <c r="D3794" s="4" t="str">
        <f>"21615322"</f>
        <v>21615322</v>
      </c>
      <c r="E3794" s="4" t="str">
        <f>"21615330"</f>
        <v>21615330</v>
      </c>
      <c r="F3794" s="4" t="s">
        <v>9</v>
      </c>
    </row>
    <row r="3795" spans="1:6" x14ac:dyDescent="0.25">
      <c r="A3795" s="4" t="str">
        <f>"Proceedings of Institution of Civil Engineers: Construction Materials"</f>
        <v>Proceedings of Institution of Civil Engineers: Construction Materials</v>
      </c>
      <c r="B3795" s="4" t="s">
        <v>6</v>
      </c>
      <c r="C3795" s="4" t="str">
        <f t="shared" si="131"/>
        <v>-</v>
      </c>
      <c r="D3795" s="4" t="str">
        <f>"1747650X"</f>
        <v>1747650X</v>
      </c>
      <c r="E3795" s="4" t="str">
        <f>"17476518"</f>
        <v>17476518</v>
      </c>
      <c r="F3795" s="4" t="s">
        <v>74</v>
      </c>
    </row>
    <row r="3796" spans="1:6" x14ac:dyDescent="0.25">
      <c r="A3796" s="4" t="str">
        <f>"Proceedings of Institution of Civil Engineers: Energy"</f>
        <v>Proceedings of Institution of Civil Engineers: Energy</v>
      </c>
      <c r="B3796" s="4" t="s">
        <v>6</v>
      </c>
      <c r="C3796" s="4" t="str">
        <f t="shared" si="131"/>
        <v>-</v>
      </c>
      <c r="D3796" s="4" t="str">
        <f>"17514223"</f>
        <v>17514223</v>
      </c>
      <c r="E3796" s="4" t="str">
        <f>"17514231"</f>
        <v>17514231</v>
      </c>
      <c r="F3796" s="4" t="s">
        <v>74</v>
      </c>
    </row>
    <row r="3797" spans="1:6" x14ac:dyDescent="0.25">
      <c r="A3797" s="4" t="str">
        <f>"Proceedings of Institution of Civil Engineers: Management, Procurement and Law"</f>
        <v>Proceedings of Institution of Civil Engineers: Management, Procurement and Law</v>
      </c>
      <c r="B3797" s="4" t="s">
        <v>6</v>
      </c>
      <c r="C3797" s="4" t="str">
        <f t="shared" si="131"/>
        <v>-</v>
      </c>
      <c r="D3797" s="4" t="str">
        <f>"17514304"</f>
        <v>17514304</v>
      </c>
      <c r="E3797" s="4" t="str">
        <f>"17514312"</f>
        <v>17514312</v>
      </c>
      <c r="F3797" s="4" t="s">
        <v>74</v>
      </c>
    </row>
    <row r="3798" spans="1:6" x14ac:dyDescent="0.25">
      <c r="A3798" s="4" t="str">
        <f>"Proceedings of Institution of Civil Engineers: Waste and Resource Management"</f>
        <v>Proceedings of Institution of Civil Engineers: Waste and Resource Management</v>
      </c>
      <c r="B3798" s="4" t="s">
        <v>6</v>
      </c>
      <c r="C3798" s="4" t="str">
        <f t="shared" si="131"/>
        <v>-</v>
      </c>
      <c r="D3798" s="4" t="str">
        <f>"17476526"</f>
        <v>17476526</v>
      </c>
      <c r="E3798" s="4" t="str">
        <f>"17476534"</f>
        <v>17476534</v>
      </c>
      <c r="F3798" s="4" t="s">
        <v>74</v>
      </c>
    </row>
    <row r="3799" spans="1:6" x14ac:dyDescent="0.25">
      <c r="A3799" s="4" t="str">
        <f>"Proceedings of International Conference of the Learning Sciences, ICLS "</f>
        <v xml:space="preserve">Proceedings of International Conference of the Learning Sciences, ICLS </v>
      </c>
      <c r="B3799" s="4" t="s">
        <v>6</v>
      </c>
      <c r="C3799" s="4" t="str">
        <f t="shared" si="131"/>
        <v>-</v>
      </c>
      <c r="D3799" s="4" t="str">
        <f>"18149316"</f>
        <v>18149316</v>
      </c>
      <c r="E3799" s="4" t="str">
        <f>"-"</f>
        <v>-</v>
      </c>
      <c r="F3799" s="4" t="s">
        <v>298</v>
      </c>
    </row>
    <row r="3800" spans="1:6" x14ac:dyDescent="0.25">
      <c r="A3800" s="4" t="str">
        <f>"Proceedings of International Conference on 3-D Digital Imaging and Modeling, 3DIM"</f>
        <v>Proceedings of International Conference on 3-D Digital Imaging and Modeling, 3DIM</v>
      </c>
      <c r="B3800" s="4" t="s">
        <v>8</v>
      </c>
      <c r="C3800" s="4" t="str">
        <f t="shared" si="131"/>
        <v>-</v>
      </c>
      <c r="D3800" s="4" t="str">
        <f>"15506185"</f>
        <v>15506185</v>
      </c>
      <c r="E3800" s="4" t="str">
        <f>"-"</f>
        <v>-</v>
      </c>
      <c r="F3800" s="4" t="s">
        <v>9</v>
      </c>
    </row>
    <row r="3801" spans="1:6" x14ac:dyDescent="0.25">
      <c r="A3801" s="4" t="str">
        <f>"Proceedings of International Conference on ASIC"</f>
        <v>Proceedings of International Conference on ASIC</v>
      </c>
      <c r="B3801" s="4" t="s">
        <v>8</v>
      </c>
      <c r="C3801" s="4" t="str">
        <f t="shared" si="131"/>
        <v>-</v>
      </c>
      <c r="D3801" s="4" t="str">
        <f>"21627541"</f>
        <v>21627541</v>
      </c>
      <c r="E3801" s="4" t="str">
        <f>"2162755X"</f>
        <v>2162755X</v>
      </c>
      <c r="F3801" s="4" t="s">
        <v>9</v>
      </c>
    </row>
    <row r="3802" spans="1:6" x14ac:dyDescent="0.25">
      <c r="A3802" s="4" t="str">
        <f>"Proceedings of International Conference on Computational Intelligence, Modelling and Simulation"</f>
        <v>Proceedings of International Conference on Computational Intelligence, Modelling and Simulation</v>
      </c>
      <c r="B3802" s="4" t="s">
        <v>8</v>
      </c>
      <c r="C3802" s="4" t="str">
        <f t="shared" si="131"/>
        <v>-</v>
      </c>
      <c r="D3802" s="4" t="str">
        <f>"21668523"</f>
        <v>21668523</v>
      </c>
      <c r="E3802" s="4" t="str">
        <f>"21668531"</f>
        <v>21668531</v>
      </c>
      <c r="F3802" s="4" t="s">
        <v>9</v>
      </c>
    </row>
    <row r="3803" spans="1:6" x14ac:dyDescent="0.25">
      <c r="A3803" s="4" t="str">
        <f>"Proceedings of International Conference on Computers and Industrial Engineering, CIE"</f>
        <v>Proceedings of International Conference on Computers and Industrial Engineering, CIE</v>
      </c>
      <c r="B3803" s="4" t="s">
        <v>8</v>
      </c>
      <c r="C3803" s="4" t="str">
        <f t="shared" si="131"/>
        <v>-</v>
      </c>
      <c r="D3803" s="4" t="str">
        <f>"-"</f>
        <v>-</v>
      </c>
      <c r="E3803" s="4" t="str">
        <f>"21648689"</f>
        <v>21648689</v>
      </c>
      <c r="F3803" s="4" t="s">
        <v>394</v>
      </c>
    </row>
    <row r="3804" spans="1:6" x14ac:dyDescent="0.25">
      <c r="A3804" s="4" t="str">
        <f>"Proceedings of International Conference on Frontiers in Handwriting Recognition, ICFHR"</f>
        <v>Proceedings of International Conference on Frontiers in Handwriting Recognition, ICFHR</v>
      </c>
      <c r="B3804" s="4" t="s">
        <v>8</v>
      </c>
      <c r="C3804" s="4" t="str">
        <f t="shared" si="131"/>
        <v>-</v>
      </c>
      <c r="D3804" s="4" t="str">
        <f>"21676445"</f>
        <v>21676445</v>
      </c>
      <c r="E3804" s="4" t="str">
        <f>"21676453"</f>
        <v>21676453</v>
      </c>
      <c r="F3804" s="4" t="s">
        <v>105</v>
      </c>
    </row>
    <row r="3805" spans="1:6" x14ac:dyDescent="0.25">
      <c r="A3805" s="4" t="str">
        <f>"Proceedings of International Conference on Harmonics and Quality of Power, ICHQP"</f>
        <v>Proceedings of International Conference on Harmonics and Quality of Power, ICHQP</v>
      </c>
      <c r="B3805" s="4" t="s">
        <v>8</v>
      </c>
      <c r="C3805" s="4" t="str">
        <f t="shared" si="131"/>
        <v>-</v>
      </c>
      <c r="D3805" s="4" t="str">
        <f>"15406008"</f>
        <v>15406008</v>
      </c>
      <c r="E3805" s="4" t="str">
        <f>"21640610"</f>
        <v>21640610</v>
      </c>
      <c r="F3805" s="4" t="s">
        <v>9</v>
      </c>
    </row>
    <row r="3806" spans="1:6" x14ac:dyDescent="0.25">
      <c r="A3806" s="4" t="str">
        <f>"Proceedings of International Conference on Information and Computing Science, ICIC"</f>
        <v>Proceedings of International Conference on Information and Computing Science, ICIC</v>
      </c>
      <c r="B3806" s="4" t="s">
        <v>8</v>
      </c>
      <c r="C3806" s="4" t="str">
        <f t="shared" si="131"/>
        <v>-</v>
      </c>
      <c r="D3806" s="4" t="str">
        <f>"21607443"</f>
        <v>21607443</v>
      </c>
      <c r="E3806" s="4" t="str">
        <f>"21607451"</f>
        <v>21607451</v>
      </c>
      <c r="F3806" s="4" t="s">
        <v>9</v>
      </c>
    </row>
    <row r="3807" spans="1:6" x14ac:dyDescent="0.25">
      <c r="A3807" s="4" t="str">
        <f>"Proceedings of International Conference on Service Science, ICSS"</f>
        <v>Proceedings of International Conference on Service Science, ICSS</v>
      </c>
      <c r="B3807" s="4" t="s">
        <v>8</v>
      </c>
      <c r="C3807" s="4" t="str">
        <f t="shared" si="131"/>
        <v>-</v>
      </c>
      <c r="D3807" s="4" t="str">
        <f>"21653836"</f>
        <v>21653836</v>
      </c>
      <c r="E3807" s="4" t="str">
        <f>"21653828"</f>
        <v>21653828</v>
      </c>
      <c r="F3807" s="4" t="s">
        <v>105</v>
      </c>
    </row>
    <row r="3808" spans="1:6" x14ac:dyDescent="0.25">
      <c r="A3808" s="4" t="str">
        <f>"Proceedings of International Design Conference, DESIGN"</f>
        <v>Proceedings of International Design Conference, DESIGN</v>
      </c>
      <c r="B3808" s="4" t="s">
        <v>8</v>
      </c>
      <c r="C3808" s="4" t="str">
        <f t="shared" si="131"/>
        <v>-</v>
      </c>
      <c r="D3808" s="4" t="str">
        <f>"18479073"</f>
        <v>18479073</v>
      </c>
      <c r="E3808" s="4" t="str">
        <f>"-"</f>
        <v>-</v>
      </c>
      <c r="F3808" s="4" t="s">
        <v>960</v>
      </c>
    </row>
    <row r="3809" spans="1:6" x14ac:dyDescent="0.25">
      <c r="A3809" s="4" t="str">
        <f>"Proceedings of International Meeting on Information Display"</f>
        <v>Proceedings of International Meeting on Information Display</v>
      </c>
      <c r="B3809" s="4" t="s">
        <v>8</v>
      </c>
      <c r="C3809" s="4" t="str">
        <f t="shared" si="131"/>
        <v>-</v>
      </c>
      <c r="D3809" s="4" t="str">
        <f>"17387558"</f>
        <v>17387558</v>
      </c>
      <c r="E3809" s="4" t="str">
        <f>"-"</f>
        <v>-</v>
      </c>
      <c r="F3809" s="4" t="s">
        <v>961</v>
      </c>
    </row>
    <row r="3810" spans="1:6" x14ac:dyDescent="0.25">
      <c r="A3810" s="4" t="str">
        <f>"Proceedings of International Multimedia Modelling Conference, MMM"</f>
        <v>Proceedings of International Multimedia Modelling Conference, MMM</v>
      </c>
      <c r="B3810" s="4" t="s">
        <v>8</v>
      </c>
      <c r="C3810" s="4" t="str">
        <f t="shared" si="131"/>
        <v>-</v>
      </c>
      <c r="D3810" s="4" t="str">
        <f>"15505502"</f>
        <v>15505502</v>
      </c>
      <c r="E3810" s="4" t="str">
        <f>"-"</f>
        <v>-</v>
      </c>
      <c r="F3810" s="4" t="s">
        <v>9</v>
      </c>
    </row>
    <row r="3811" spans="1:6" ht="30" x14ac:dyDescent="0.25">
      <c r="A3811" s="4" t="str">
        <f>"Proceedings of International Seminar/Workshop on Direct and Inverse Problems of Electromagnetic and Acoustic Wave Theory, DIPED"</f>
        <v>Proceedings of International Seminar/Workshop on Direct and Inverse Problems of Electromagnetic and Acoustic Wave Theory, DIPED</v>
      </c>
      <c r="B3811" s="4" t="s">
        <v>8</v>
      </c>
      <c r="C3811" s="4" t="str">
        <f t="shared" si="131"/>
        <v>-</v>
      </c>
      <c r="D3811" s="4" t="str">
        <f>"21653585"</f>
        <v>21653585</v>
      </c>
      <c r="E3811" s="4" t="str">
        <f>"21653593"</f>
        <v>21653593</v>
      </c>
      <c r="F3811" s="4" t="s">
        <v>9</v>
      </c>
    </row>
    <row r="3812" spans="1:6" x14ac:dyDescent="0.25">
      <c r="A3812" s="4" t="str">
        <f>"Proceedings of ISECON"</f>
        <v>Proceedings of ISECON</v>
      </c>
      <c r="B3812" s="4" t="s">
        <v>8</v>
      </c>
      <c r="C3812" s="4" t="str">
        <f t="shared" si="131"/>
        <v>-</v>
      </c>
      <c r="D3812" s="4" t="str">
        <f>"15427382"</f>
        <v>15427382</v>
      </c>
      <c r="E3812" s="4" t="str">
        <f>"-"</f>
        <v>-</v>
      </c>
      <c r="F3812" s="4" t="s">
        <v>9</v>
      </c>
    </row>
    <row r="3813" spans="1:6" x14ac:dyDescent="0.25">
      <c r="A3813" s="4" t="str">
        <f>"Proceedings of Meetings on Acoustics"</f>
        <v>Proceedings of Meetings on Acoustics</v>
      </c>
      <c r="B3813" s="4" t="s">
        <v>8</v>
      </c>
      <c r="C3813" s="4" t="str">
        <f t="shared" si="131"/>
        <v>-</v>
      </c>
      <c r="D3813" s="4" t="str">
        <f>"1939800X"</f>
        <v>1939800X</v>
      </c>
      <c r="E3813" s="4" t="str">
        <f>"-"</f>
        <v>-</v>
      </c>
      <c r="F3813" s="4" t="s">
        <v>776</v>
      </c>
    </row>
    <row r="3814" spans="1:6" x14ac:dyDescent="0.25">
      <c r="A3814" s="4" t="str">
        <f>"Proceedings of Science"</f>
        <v>Proceedings of Science</v>
      </c>
      <c r="B3814" s="4" t="s">
        <v>8</v>
      </c>
      <c r="C3814" s="4" t="str">
        <f t="shared" si="131"/>
        <v>-</v>
      </c>
      <c r="D3814" s="4" t="str">
        <f>"-"</f>
        <v>-</v>
      </c>
      <c r="E3814" s="4" t="str">
        <f>"18248039"</f>
        <v>18248039</v>
      </c>
      <c r="F3814" s="4" t="s">
        <v>962</v>
      </c>
    </row>
    <row r="3815" spans="1:6" x14ac:dyDescent="0.25">
      <c r="A3815" s="4" t="str">
        <f>"Proceedings of SPIE - The International Society for Optical Engineering"</f>
        <v>Proceedings of SPIE - The International Society for Optical Engineering</v>
      </c>
      <c r="B3815" s="4" t="s">
        <v>8</v>
      </c>
      <c r="C3815" s="4" t="str">
        <f t="shared" si="131"/>
        <v>-</v>
      </c>
      <c r="D3815" s="4" t="str">
        <f>"0277786X"</f>
        <v>0277786X</v>
      </c>
      <c r="E3815" s="4" t="str">
        <f>"1996756X"</f>
        <v>1996756X</v>
      </c>
      <c r="F3815" s="4" t="s">
        <v>663</v>
      </c>
    </row>
    <row r="3816" spans="1:6" ht="30" x14ac:dyDescent="0.25">
      <c r="A3816" s="4" t="str">
        <f>"Proceedings of Technical Papers - International Microsystems, Packaging, Assembly, and Circuits Technology Conference, IMPACT"</f>
        <v>Proceedings of Technical Papers - International Microsystems, Packaging, Assembly, and Circuits Technology Conference, IMPACT</v>
      </c>
      <c r="B3816" s="4" t="s">
        <v>8</v>
      </c>
      <c r="C3816" s="4" t="str">
        <f t="shared" si="131"/>
        <v>-</v>
      </c>
      <c r="D3816" s="4" t="str">
        <f>"21505934"</f>
        <v>21505934</v>
      </c>
      <c r="E3816" s="4" t="str">
        <f>"21505942"</f>
        <v>21505942</v>
      </c>
      <c r="F3816" s="4" t="s">
        <v>9</v>
      </c>
    </row>
    <row r="3817" spans="1:6" x14ac:dyDescent="0.25">
      <c r="A3817" s="4" t="str">
        <f>"Proceedings of the ACM Conference on Computer and Communications Security"</f>
        <v>Proceedings of the ACM Conference on Computer and Communications Security</v>
      </c>
      <c r="B3817" s="4" t="s">
        <v>8</v>
      </c>
      <c r="C3817" s="4" t="str">
        <f t="shared" si="131"/>
        <v>-</v>
      </c>
      <c r="D3817" s="4" t="str">
        <f>"15437221"</f>
        <v>15437221</v>
      </c>
      <c r="E3817" s="4" t="str">
        <f t="shared" ref="E3817:E3849" si="133">"-"</f>
        <v>-</v>
      </c>
      <c r="F3817" s="4" t="s">
        <v>21</v>
      </c>
    </row>
    <row r="3818" spans="1:6" x14ac:dyDescent="0.25">
      <c r="A3818" s="4" t="str">
        <f>"Proceedings of the ACM Conference on Computer Supported Cooperative Work, CSCW"</f>
        <v>Proceedings of the ACM Conference on Computer Supported Cooperative Work, CSCW</v>
      </c>
      <c r="B3818" s="4" t="s">
        <v>8</v>
      </c>
      <c r="C3818" s="4" t="str">
        <f t="shared" si="131"/>
        <v>-</v>
      </c>
      <c r="D3818" s="4" t="str">
        <f t="shared" si="131"/>
        <v>-</v>
      </c>
      <c r="E3818" s="4" t="str">
        <f t="shared" si="133"/>
        <v>-</v>
      </c>
      <c r="F3818" s="4" t="s">
        <v>21</v>
      </c>
    </row>
    <row r="3819" spans="1:6" x14ac:dyDescent="0.25">
      <c r="A3819" s="4" t="str">
        <f>"Proceedings of the ACM Conference on Electronic Commerce"</f>
        <v>Proceedings of the ACM Conference on Electronic Commerce</v>
      </c>
      <c r="B3819" s="4" t="s">
        <v>8</v>
      </c>
      <c r="C3819" s="4" t="str">
        <f t="shared" si="131"/>
        <v>-</v>
      </c>
      <c r="D3819" s="4" t="str">
        <f t="shared" si="131"/>
        <v>-</v>
      </c>
      <c r="E3819" s="4" t="str">
        <f t="shared" si="133"/>
        <v>-</v>
      </c>
      <c r="F3819" s="4" t="s">
        <v>21</v>
      </c>
    </row>
    <row r="3820" spans="1:6" x14ac:dyDescent="0.25">
      <c r="A3820" s="4" t="str">
        <f>"Proceedings of the ACM Conference on Hypertext"</f>
        <v>Proceedings of the ACM Conference on Hypertext</v>
      </c>
      <c r="B3820" s="4" t="s">
        <v>8</v>
      </c>
      <c r="C3820" s="4" t="str">
        <f t="shared" si="131"/>
        <v>-</v>
      </c>
      <c r="D3820" s="4" t="str">
        <f t="shared" si="131"/>
        <v>-</v>
      </c>
      <c r="E3820" s="4" t="str">
        <f t="shared" si="133"/>
        <v>-</v>
      </c>
      <c r="F3820" s="4" t="s">
        <v>21</v>
      </c>
    </row>
    <row r="3821" spans="1:6" x14ac:dyDescent="0.25">
      <c r="A3821" s="4" t="str">
        <f>"Proceedings of the ACM Great Lakes Symposium on VLSI, GLSVLSI"</f>
        <v>Proceedings of the ACM Great Lakes Symposium on VLSI, GLSVLSI</v>
      </c>
      <c r="B3821" s="4" t="s">
        <v>8</v>
      </c>
      <c r="C3821" s="4" t="str">
        <f t="shared" si="131"/>
        <v>-</v>
      </c>
      <c r="D3821" s="4" t="str">
        <f t="shared" si="131"/>
        <v>-</v>
      </c>
      <c r="E3821" s="4" t="str">
        <f t="shared" si="133"/>
        <v>-</v>
      </c>
      <c r="F3821" s="4" t="s">
        <v>21</v>
      </c>
    </row>
    <row r="3822" spans="1:6" x14ac:dyDescent="0.25">
      <c r="A3822" s="4" t="str">
        <f>"Proceedings of the ACM International Conference on Digital Libraries"</f>
        <v>Proceedings of the ACM International Conference on Digital Libraries</v>
      </c>
      <c r="B3822" s="4" t="s">
        <v>8</v>
      </c>
      <c r="C3822" s="4" t="str">
        <f t="shared" ref="C3822:D3850" si="134">"-"</f>
        <v>-</v>
      </c>
      <c r="D3822" s="4" t="str">
        <f t="shared" si="134"/>
        <v>-</v>
      </c>
      <c r="E3822" s="4" t="str">
        <f t="shared" si="133"/>
        <v>-</v>
      </c>
      <c r="F3822" s="4" t="s">
        <v>21</v>
      </c>
    </row>
    <row r="3823" spans="1:6" x14ac:dyDescent="0.25">
      <c r="A3823" s="4" t="str">
        <f>"Proceedings of the ACM International Multimedia Conference and Exhibition"</f>
        <v>Proceedings of the ACM International Multimedia Conference and Exhibition</v>
      </c>
      <c r="B3823" s="4" t="s">
        <v>8</v>
      </c>
      <c r="C3823" s="4" t="str">
        <f t="shared" si="134"/>
        <v>-</v>
      </c>
      <c r="D3823" s="4" t="str">
        <f t="shared" si="134"/>
        <v>-</v>
      </c>
      <c r="E3823" s="4" t="str">
        <f t="shared" si="133"/>
        <v>-</v>
      </c>
      <c r="F3823" s="4" t="s">
        <v>21</v>
      </c>
    </row>
    <row r="3824" spans="1:6" x14ac:dyDescent="0.25">
      <c r="A3824" s="4" t="str">
        <f>"Proceedings of the ACM SIGACT-SIGMOD-SIGART Symposium on Principles of Database Systems"</f>
        <v>Proceedings of the ACM SIGACT-SIGMOD-SIGART Symposium on Principles of Database Systems</v>
      </c>
      <c r="B3824" s="4" t="s">
        <v>8</v>
      </c>
      <c r="C3824" s="4" t="str">
        <f t="shared" si="134"/>
        <v>-</v>
      </c>
      <c r="D3824" s="4" t="str">
        <f t="shared" si="134"/>
        <v>-</v>
      </c>
      <c r="E3824" s="4" t="str">
        <f t="shared" si="133"/>
        <v>-</v>
      </c>
      <c r="F3824" s="4" t="s">
        <v>21</v>
      </c>
    </row>
    <row r="3825" spans="1:6" x14ac:dyDescent="0.25">
      <c r="A3825" s="4" t="str">
        <f>"Proceedings of the ACM SIGAda Annual International Conference; SIGAda"</f>
        <v>Proceedings of the ACM SIGAda Annual International Conference; SIGAda</v>
      </c>
      <c r="B3825" s="4" t="s">
        <v>8</v>
      </c>
      <c r="C3825" s="4" t="str">
        <f t="shared" si="134"/>
        <v>-</v>
      </c>
      <c r="D3825" s="4" t="str">
        <f t="shared" si="134"/>
        <v>-</v>
      </c>
      <c r="E3825" s="4" t="str">
        <f t="shared" si="133"/>
        <v>-</v>
      </c>
      <c r="F3825" s="4" t="s">
        <v>21</v>
      </c>
    </row>
    <row r="3826" spans="1:6" x14ac:dyDescent="0.25">
      <c r="A3826" s="4" t="str">
        <f>"Proceedings of the ACM SIGCOMM Internet Measurement Conference, IMC"</f>
        <v>Proceedings of the ACM SIGCOMM Internet Measurement Conference, IMC</v>
      </c>
      <c r="B3826" s="4" t="s">
        <v>8</v>
      </c>
      <c r="C3826" s="4" t="str">
        <f t="shared" si="134"/>
        <v>-</v>
      </c>
      <c r="D3826" s="4" t="str">
        <f t="shared" si="134"/>
        <v>-</v>
      </c>
      <c r="E3826" s="4" t="str">
        <f t="shared" si="133"/>
        <v>-</v>
      </c>
      <c r="F3826" s="4" t="s">
        <v>21</v>
      </c>
    </row>
    <row r="3827" spans="1:6" x14ac:dyDescent="0.25">
      <c r="A3827" s="4" t="str">
        <f>"Proceedings of the ACM SIGCPR Conference"</f>
        <v>Proceedings of the ACM SIGCPR Conference</v>
      </c>
      <c r="B3827" s="4" t="s">
        <v>8</v>
      </c>
      <c r="C3827" s="4" t="str">
        <f t="shared" si="134"/>
        <v>-</v>
      </c>
      <c r="D3827" s="4" t="str">
        <f t="shared" si="134"/>
        <v>-</v>
      </c>
      <c r="E3827" s="4" t="str">
        <f t="shared" si="133"/>
        <v>-</v>
      </c>
      <c r="F3827" s="4" t="s">
        <v>21</v>
      </c>
    </row>
    <row r="3828" spans="1:6" x14ac:dyDescent="0.25">
      <c r="A3828" s="4" t="str">
        <f>"Proceedings of the ACM SIGGRAPH Conference on Computer Graphics"</f>
        <v>Proceedings of the ACM SIGGRAPH Conference on Computer Graphics</v>
      </c>
      <c r="B3828" s="4" t="s">
        <v>8</v>
      </c>
      <c r="C3828" s="4" t="str">
        <f t="shared" si="134"/>
        <v>-</v>
      </c>
      <c r="D3828" s="4" t="str">
        <f t="shared" si="134"/>
        <v>-</v>
      </c>
      <c r="E3828" s="4" t="str">
        <f t="shared" si="133"/>
        <v>-</v>
      </c>
      <c r="F3828" s="4" t="s">
        <v>21</v>
      </c>
    </row>
    <row r="3829" spans="1:6" x14ac:dyDescent="0.25">
      <c r="A3829" s="4" t="str">
        <f>"Proceedings of the ACM SIGKDD International Conference on Knowledge Discovery and Data Mining"</f>
        <v>Proceedings of the ACM SIGKDD International Conference on Knowledge Discovery and Data Mining</v>
      </c>
      <c r="B3829" s="4" t="s">
        <v>8</v>
      </c>
      <c r="C3829" s="4" t="str">
        <f t="shared" si="134"/>
        <v>-</v>
      </c>
      <c r="D3829" s="4" t="str">
        <f t="shared" si="134"/>
        <v>-</v>
      </c>
      <c r="E3829" s="4" t="str">
        <f t="shared" si="133"/>
        <v>-</v>
      </c>
      <c r="F3829" s="4" t="s">
        <v>21</v>
      </c>
    </row>
    <row r="3830" spans="1:6" x14ac:dyDescent="0.25">
      <c r="A3830" s="4" t="str">
        <f>"Proceedings of the ACM SIGMOD International Conference on Management of Data"</f>
        <v>Proceedings of the ACM SIGMOD International Conference on Management of Data</v>
      </c>
      <c r="B3830" s="4" t="s">
        <v>8</v>
      </c>
      <c r="C3830" s="4" t="str">
        <f t="shared" si="134"/>
        <v>-</v>
      </c>
      <c r="D3830" s="4" t="str">
        <f>"07308078"</f>
        <v>07308078</v>
      </c>
      <c r="E3830" s="4" t="str">
        <f t="shared" si="133"/>
        <v>-</v>
      </c>
      <c r="F3830" s="4" t="s">
        <v>21</v>
      </c>
    </row>
    <row r="3831" spans="1:6" ht="30" x14ac:dyDescent="0.25">
      <c r="A3831" s="4" t="str">
        <f>"Proceedings of the ACM SIGPLAN Conference on Languages, Compilers, and Tools for Embedded Systems (LCTES)"</f>
        <v>Proceedings of the ACM SIGPLAN Conference on Languages, Compilers, and Tools for Embedded Systems (LCTES)</v>
      </c>
      <c r="B3831" s="4" t="s">
        <v>8</v>
      </c>
      <c r="C3831" s="4" t="str">
        <f t="shared" si="134"/>
        <v>-</v>
      </c>
      <c r="D3831" s="4" t="str">
        <f t="shared" si="134"/>
        <v>-</v>
      </c>
      <c r="E3831" s="4" t="str">
        <f t="shared" si="133"/>
        <v>-</v>
      </c>
      <c r="F3831" s="4" t="s">
        <v>21</v>
      </c>
    </row>
    <row r="3832" spans="1:6" ht="30" x14ac:dyDescent="0.25">
      <c r="A3832" s="4" t="str">
        <f>"Proceedings of the ACM SIGPLAN Conference on Programming Language Design and Implementation (PLDI)"</f>
        <v>Proceedings of the ACM SIGPLAN Conference on Programming Language Design and Implementation (PLDI)</v>
      </c>
      <c r="B3832" s="4" t="s">
        <v>8</v>
      </c>
      <c r="C3832" s="4" t="str">
        <f t="shared" si="134"/>
        <v>-</v>
      </c>
      <c r="D3832" s="4" t="str">
        <f t="shared" si="134"/>
        <v>-</v>
      </c>
      <c r="E3832" s="4" t="str">
        <f t="shared" si="133"/>
        <v>-</v>
      </c>
      <c r="F3832" s="4" t="s">
        <v>21</v>
      </c>
    </row>
    <row r="3833" spans="1:6" x14ac:dyDescent="0.25">
      <c r="A3833" s="4" t="str">
        <f>"Proceedings of the ACM SIGPLAN International Conference on Functional Programming, ICFP"</f>
        <v>Proceedings of the ACM SIGPLAN International Conference on Functional Programming, ICFP</v>
      </c>
      <c r="B3833" s="4" t="s">
        <v>8</v>
      </c>
      <c r="C3833" s="4" t="str">
        <f t="shared" si="134"/>
        <v>-</v>
      </c>
      <c r="D3833" s="4" t="str">
        <f t="shared" si="134"/>
        <v>-</v>
      </c>
      <c r="E3833" s="4" t="str">
        <f t="shared" si="133"/>
        <v>-</v>
      </c>
      <c r="F3833" s="4" t="s">
        <v>21</v>
      </c>
    </row>
    <row r="3834" spans="1:6" ht="30" x14ac:dyDescent="0.25">
      <c r="A3834" s="4" t="str">
        <f>"Proceedings of the ACM SIGPLAN Symposium on Partial Evaluation and Semantics-Based Program Manipulation"</f>
        <v>Proceedings of the ACM SIGPLAN Symposium on Partial Evaluation and Semantics-Based Program Manipulation</v>
      </c>
      <c r="B3834" s="4" t="s">
        <v>8</v>
      </c>
      <c r="C3834" s="4" t="str">
        <f t="shared" si="134"/>
        <v>-</v>
      </c>
      <c r="D3834" s="4" t="str">
        <f t="shared" si="134"/>
        <v>-</v>
      </c>
      <c r="E3834" s="4" t="str">
        <f t="shared" si="133"/>
        <v>-</v>
      </c>
      <c r="F3834" s="4" t="s">
        <v>21</v>
      </c>
    </row>
    <row r="3835" spans="1:6" x14ac:dyDescent="0.25">
      <c r="A3835" s="4" t="str">
        <f>"Proceedings of the ACM SIGPLAN Symposium on Principles and Practice of Parallel Programming, PPOPP"</f>
        <v>Proceedings of the ACM SIGPLAN Symposium on Principles and Practice of Parallel Programming, PPOPP</v>
      </c>
      <c r="B3835" s="4" t="s">
        <v>8</v>
      </c>
      <c r="C3835" s="4" t="str">
        <f t="shared" si="134"/>
        <v>-</v>
      </c>
      <c r="D3835" s="4" t="str">
        <f t="shared" si="134"/>
        <v>-</v>
      </c>
      <c r="E3835" s="4" t="str">
        <f t="shared" si="133"/>
        <v>-</v>
      </c>
      <c r="F3835" s="4" t="s">
        <v>21</v>
      </c>
    </row>
    <row r="3836" spans="1:6" x14ac:dyDescent="0.25">
      <c r="A3836" s="4" t="str">
        <f>"Proceedings of the ACM SIGSOFT Symposium on the Foundations of Software Engineering"</f>
        <v>Proceedings of the ACM SIGSOFT Symposium on the Foundations of Software Engineering</v>
      </c>
      <c r="B3836" s="4" t="s">
        <v>8</v>
      </c>
      <c r="C3836" s="4" t="str">
        <f t="shared" si="134"/>
        <v>-</v>
      </c>
      <c r="D3836" s="4" t="str">
        <f t="shared" si="134"/>
        <v>-</v>
      </c>
      <c r="E3836" s="4" t="str">
        <f t="shared" si="133"/>
        <v>-</v>
      </c>
      <c r="F3836" s="4" t="s">
        <v>21</v>
      </c>
    </row>
    <row r="3837" spans="1:6" x14ac:dyDescent="0.25">
      <c r="A3837" s="4" t="str">
        <f>"Proceedings of the ACM Symposium on Applied Computing"</f>
        <v>Proceedings of the ACM Symposium on Applied Computing</v>
      </c>
      <c r="B3837" s="4" t="s">
        <v>8</v>
      </c>
      <c r="C3837" s="4" t="str">
        <f t="shared" si="134"/>
        <v>-</v>
      </c>
      <c r="D3837" s="4" t="str">
        <f t="shared" si="134"/>
        <v>-</v>
      </c>
      <c r="E3837" s="4" t="str">
        <f t="shared" si="133"/>
        <v>-</v>
      </c>
      <c r="F3837" s="4" t="s">
        <v>21</v>
      </c>
    </row>
    <row r="3838" spans="1:6" x14ac:dyDescent="0.25">
      <c r="A3838" s="4" t="str">
        <f>"Proceedings of the ACM Symposium on Virtual Reality Software and Technology, VRST"</f>
        <v>Proceedings of the ACM Symposium on Virtual Reality Software and Technology, VRST</v>
      </c>
      <c r="B3838" s="4" t="s">
        <v>8</v>
      </c>
      <c r="C3838" s="4" t="str">
        <f t="shared" si="134"/>
        <v>-</v>
      </c>
      <c r="D3838" s="4" t="str">
        <f t="shared" si="134"/>
        <v>-</v>
      </c>
      <c r="E3838" s="4" t="str">
        <f t="shared" si="133"/>
        <v>-</v>
      </c>
      <c r="F3838" s="4" t="s">
        <v>21</v>
      </c>
    </row>
    <row r="3839" spans="1:6" x14ac:dyDescent="0.25">
      <c r="A3839" s="4" t="str">
        <f>"Proceedings of the ACM/IEEE Joint Conference on Digital Libraries"</f>
        <v>Proceedings of the ACM/IEEE Joint Conference on Digital Libraries</v>
      </c>
      <c r="B3839" s="4" t="s">
        <v>8</v>
      </c>
      <c r="C3839" s="4" t="str">
        <f t="shared" si="134"/>
        <v>-</v>
      </c>
      <c r="D3839" s="4" t="str">
        <f>"15525996"</f>
        <v>15525996</v>
      </c>
      <c r="E3839" s="4" t="str">
        <f t="shared" si="133"/>
        <v>-</v>
      </c>
      <c r="F3839" s="4" t="s">
        <v>105</v>
      </c>
    </row>
    <row r="3840" spans="1:6" x14ac:dyDescent="0.25">
      <c r="A3840" s="4" t="str">
        <f>"Proceedings of the AES International Conference"</f>
        <v>Proceedings of the AES International Conference</v>
      </c>
      <c r="B3840" s="4" t="s">
        <v>8</v>
      </c>
      <c r="C3840" s="4" t="str">
        <f t="shared" si="134"/>
        <v>-</v>
      </c>
      <c r="D3840" s="4" t="str">
        <f>"-"</f>
        <v>-</v>
      </c>
      <c r="E3840" s="4" t="str">
        <f t="shared" si="133"/>
        <v>-</v>
      </c>
      <c r="F3840" s="4" t="s">
        <v>98</v>
      </c>
    </row>
    <row r="3841" spans="1:6" x14ac:dyDescent="0.25">
      <c r="A3841" s="4" t="str">
        <f>"Proceedings of the AESF Annual Technical Conference"</f>
        <v>Proceedings of the AESF Annual Technical Conference</v>
      </c>
      <c r="B3841" s="4" t="s">
        <v>8</v>
      </c>
      <c r="C3841" s="4" t="str">
        <f t="shared" si="134"/>
        <v>-</v>
      </c>
      <c r="D3841" s="4" t="str">
        <f>"-"</f>
        <v>-</v>
      </c>
      <c r="E3841" s="4" t="str">
        <f t="shared" si="133"/>
        <v>-</v>
      </c>
      <c r="F3841" s="4" t="s">
        <v>963</v>
      </c>
    </row>
    <row r="3842" spans="1:6" x14ac:dyDescent="0.25">
      <c r="A3842" s="4" t="str">
        <f>"Proceedings of the American Control Conference"</f>
        <v>Proceedings of the American Control Conference</v>
      </c>
      <c r="B3842" s="4" t="s">
        <v>8</v>
      </c>
      <c r="C3842" s="4" t="str">
        <f t="shared" si="134"/>
        <v>-</v>
      </c>
      <c r="D3842" s="4" t="str">
        <f>"07431619"</f>
        <v>07431619</v>
      </c>
      <c r="E3842" s="4" t="str">
        <f t="shared" si="133"/>
        <v>-</v>
      </c>
      <c r="F3842" s="4" t="s">
        <v>105</v>
      </c>
    </row>
    <row r="3843" spans="1:6" x14ac:dyDescent="0.25">
      <c r="A3843" s="4" t="str">
        <f>"Proceedings of the American Gas Association, Operating Section"</f>
        <v>Proceedings of the American Gas Association, Operating Section</v>
      </c>
      <c r="B3843" s="4" t="s">
        <v>8</v>
      </c>
      <c r="C3843" s="4" t="str">
        <f t="shared" si="134"/>
        <v>-</v>
      </c>
      <c r="D3843" s="4" t="str">
        <f>"00997250"</f>
        <v>00997250</v>
      </c>
      <c r="E3843" s="4" t="str">
        <f t="shared" si="133"/>
        <v>-</v>
      </c>
      <c r="F3843" s="4" t="s">
        <v>964</v>
      </c>
    </row>
    <row r="3844" spans="1:6" x14ac:dyDescent="0.25">
      <c r="A3844" s="4" t="str">
        <f>"Proceedings of the American Power Conference"</f>
        <v>Proceedings of the American Power Conference</v>
      </c>
      <c r="B3844" s="4" t="s">
        <v>8</v>
      </c>
      <c r="C3844" s="4" t="str">
        <f t="shared" si="134"/>
        <v>-</v>
      </c>
      <c r="D3844" s="4" t="str">
        <f>"00972126"</f>
        <v>00972126</v>
      </c>
      <c r="E3844" s="4" t="str">
        <f t="shared" si="133"/>
        <v>-</v>
      </c>
      <c r="F3844" s="4" t="s">
        <v>965</v>
      </c>
    </row>
    <row r="3845" spans="1:6" x14ac:dyDescent="0.25">
      <c r="A3845" s="4" t="str">
        <f>"Proceedings of the Annual ACM Conference on Computational Learning Theory"</f>
        <v>Proceedings of the Annual ACM Conference on Computational Learning Theory</v>
      </c>
      <c r="B3845" s="4" t="s">
        <v>8</v>
      </c>
      <c r="C3845" s="4" t="str">
        <f t="shared" si="134"/>
        <v>-</v>
      </c>
      <c r="D3845" s="4" t="str">
        <f>"-"</f>
        <v>-</v>
      </c>
      <c r="E3845" s="4" t="str">
        <f t="shared" si="133"/>
        <v>-</v>
      </c>
      <c r="F3845" s="4" t="s">
        <v>21</v>
      </c>
    </row>
    <row r="3846" spans="1:6" x14ac:dyDescent="0.25">
      <c r="A3846" s="4" t="str">
        <f>"Proceedings of the Annual ACM Symposium on Principles of Distributed Computing"</f>
        <v>Proceedings of the Annual ACM Symposium on Principles of Distributed Computing</v>
      </c>
      <c r="B3846" s="4" t="s">
        <v>8</v>
      </c>
      <c r="C3846" s="4" t="str">
        <f t="shared" si="134"/>
        <v>-</v>
      </c>
      <c r="D3846" s="4" t="str">
        <f>"-"</f>
        <v>-</v>
      </c>
      <c r="E3846" s="4" t="str">
        <f t="shared" si="133"/>
        <v>-</v>
      </c>
      <c r="F3846" s="4" t="s">
        <v>21</v>
      </c>
    </row>
    <row r="3847" spans="1:6" x14ac:dyDescent="0.25">
      <c r="A3847" s="4" t="str">
        <f>"Proceedings of the Annual ACM Symposium on Theory of Computing"</f>
        <v>Proceedings of the Annual ACM Symposium on Theory of Computing</v>
      </c>
      <c r="B3847" s="4" t="s">
        <v>8</v>
      </c>
      <c r="C3847" s="4" t="str">
        <f t="shared" si="134"/>
        <v>-</v>
      </c>
      <c r="D3847" s="4" t="str">
        <f>"07378017"</f>
        <v>07378017</v>
      </c>
      <c r="E3847" s="4" t="str">
        <f t="shared" si="133"/>
        <v>-</v>
      </c>
      <c r="F3847" s="4" t="s">
        <v>21</v>
      </c>
    </row>
    <row r="3848" spans="1:6" x14ac:dyDescent="0.25">
      <c r="A3848" s="4" t="str">
        <f>"Proceedings of the Annual ACM-SIAM Symposium on Discrete Algorithms"</f>
        <v>Proceedings of the Annual ACM-SIAM Symposium on Discrete Algorithms</v>
      </c>
      <c r="B3848" s="4" t="s">
        <v>8</v>
      </c>
      <c r="C3848" s="4" t="str">
        <f t="shared" si="134"/>
        <v>-</v>
      </c>
      <c r="D3848" s="4" t="str">
        <f>"-"</f>
        <v>-</v>
      </c>
      <c r="E3848" s="4" t="str">
        <f t="shared" si="133"/>
        <v>-</v>
      </c>
      <c r="F3848" s="4" t="s">
        <v>21</v>
      </c>
    </row>
    <row r="3849" spans="1:6" x14ac:dyDescent="0.25">
      <c r="A3849" s="4" t="str">
        <f>"Proceedings of the Annual Battery Conference on Applications and Advances"</f>
        <v>Proceedings of the Annual Battery Conference on Applications and Advances</v>
      </c>
      <c r="B3849" s="4" t="s">
        <v>8</v>
      </c>
      <c r="C3849" s="4" t="str">
        <f t="shared" si="134"/>
        <v>-</v>
      </c>
      <c r="D3849" s="4" t="str">
        <f>"-"</f>
        <v>-</v>
      </c>
      <c r="E3849" s="4" t="str">
        <f t="shared" si="133"/>
        <v>-</v>
      </c>
      <c r="F3849" s="4" t="s">
        <v>105</v>
      </c>
    </row>
    <row r="3850" spans="1:6" ht="30" x14ac:dyDescent="0.25">
      <c r="A3850" s="4" t="str">
        <f>"Proceedings of the Annual Conference of the International Speech Communication Association, INTERSPEECH"</f>
        <v>Proceedings of the Annual Conference of the International Speech Communication Association, INTERSPEECH</v>
      </c>
      <c r="B3850" s="4" t="s">
        <v>8</v>
      </c>
      <c r="C3850" s="4" t="str">
        <f t="shared" si="134"/>
        <v>-</v>
      </c>
      <c r="D3850" s="4" t="str">
        <f>"2308457X"</f>
        <v>2308457X</v>
      </c>
      <c r="E3850" s="4" t="str">
        <f>"19909772"</f>
        <v>19909772</v>
      </c>
      <c r="F3850" s="4" t="s">
        <v>966</v>
      </c>
    </row>
    <row r="3851" spans="1:6" x14ac:dyDescent="0.25">
      <c r="A3851" s="4" t="str">
        <f>"Proceedings of the Annual Conference of the Prognostics and Health Management Society, PHM"</f>
        <v>Proceedings of the Annual Conference of the Prognostics and Health Management Society, PHM</v>
      </c>
      <c r="B3851" s="4" t="s">
        <v>8</v>
      </c>
      <c r="C3851" s="4" t="str">
        <f>"9781936263059"</f>
        <v>9781936263059</v>
      </c>
      <c r="D3851" s="4" t="str">
        <f>"23250178"</f>
        <v>23250178</v>
      </c>
      <c r="E3851" s="4" t="str">
        <f t="shared" ref="E3851:E3864" si="135">"-"</f>
        <v>-</v>
      </c>
      <c r="F3851" s="4" t="s">
        <v>967</v>
      </c>
    </row>
    <row r="3852" spans="1:6" x14ac:dyDescent="0.25">
      <c r="A3852" s="4" t="str">
        <f>"Proceedings of the Annual Conference of the Prognostics and Health Management Society, PHM"</f>
        <v>Proceedings of the Annual Conference of the Prognostics and Health Management Society, PHM</v>
      </c>
      <c r="B3852" s="4" t="s">
        <v>8</v>
      </c>
      <c r="C3852" s="4" t="str">
        <f>"9781936263172"</f>
        <v>9781936263172</v>
      </c>
      <c r="D3852" s="4" t="str">
        <f>"23250178"</f>
        <v>23250178</v>
      </c>
      <c r="E3852" s="4" t="str">
        <f t="shared" si="135"/>
        <v>-</v>
      </c>
      <c r="F3852" s="4" t="s">
        <v>967</v>
      </c>
    </row>
    <row r="3853" spans="1:6" x14ac:dyDescent="0.25">
      <c r="A3853" s="4" t="str">
        <f>"Proceedings of the Annual Conference on Explosives and Blasting Technique"</f>
        <v>Proceedings of the Annual Conference on Explosives and Blasting Technique</v>
      </c>
      <c r="B3853" s="4" t="s">
        <v>8</v>
      </c>
      <c r="C3853" s="4" t="str">
        <f t="shared" ref="C3853:C3916" si="136">"-"</f>
        <v>-</v>
      </c>
      <c r="D3853" s="4" t="str">
        <f>"0732619X"</f>
        <v>0732619X</v>
      </c>
      <c r="E3853" s="4" t="str">
        <f t="shared" si="135"/>
        <v>-</v>
      </c>
      <c r="F3853" s="4" t="s">
        <v>701</v>
      </c>
    </row>
    <row r="3854" spans="1:6" x14ac:dyDescent="0.25">
      <c r="A3854" s="4" t="str">
        <f>"Proceedings of the Annual Convention of the Wire Association International"</f>
        <v>Proceedings of the Annual Convention of the Wire Association International</v>
      </c>
      <c r="B3854" s="4" t="s">
        <v>8</v>
      </c>
      <c r="C3854" s="4" t="str">
        <f t="shared" si="136"/>
        <v>-</v>
      </c>
      <c r="D3854" s="4" t="str">
        <f>"07314191"</f>
        <v>07314191</v>
      </c>
      <c r="E3854" s="4" t="str">
        <f t="shared" si="135"/>
        <v>-</v>
      </c>
      <c r="F3854" s="4" t="s">
        <v>968</v>
      </c>
    </row>
    <row r="3855" spans="1:6" x14ac:dyDescent="0.25">
      <c r="A3855" s="4" t="str">
        <f>"Proceedings of the Annual Hawaii International Conference on System Sciences"</f>
        <v>Proceedings of the Annual Hawaii International Conference on System Sciences</v>
      </c>
      <c r="B3855" s="4" t="s">
        <v>8</v>
      </c>
      <c r="C3855" s="4" t="str">
        <f t="shared" si="136"/>
        <v>-</v>
      </c>
      <c r="D3855" s="4" t="str">
        <f>"15301605"</f>
        <v>15301605</v>
      </c>
      <c r="E3855" s="4" t="str">
        <f t="shared" si="135"/>
        <v>-</v>
      </c>
      <c r="F3855" s="4" t="s">
        <v>9</v>
      </c>
    </row>
    <row r="3856" spans="1:6" x14ac:dyDescent="0.25">
      <c r="A3856" s="4" t="str">
        <f>"Proceedings of the Annual IEEE Conference on Computational Complexity"</f>
        <v>Proceedings of the Annual IEEE Conference on Computational Complexity</v>
      </c>
      <c r="B3856" s="4" t="s">
        <v>8</v>
      </c>
      <c r="C3856" s="4" t="str">
        <f t="shared" si="136"/>
        <v>-</v>
      </c>
      <c r="D3856" s="4" t="str">
        <f>"10930159"</f>
        <v>10930159</v>
      </c>
      <c r="E3856" s="4" t="str">
        <f t="shared" si="135"/>
        <v>-</v>
      </c>
      <c r="F3856" s="4" t="s">
        <v>9</v>
      </c>
    </row>
    <row r="3857" spans="1:6" x14ac:dyDescent="0.25">
      <c r="A3857" s="4" t="str">
        <f>"Proceedings of the Annual IEEE International ASIC Conference and Exhibit"</f>
        <v>Proceedings of the Annual IEEE International ASIC Conference and Exhibit</v>
      </c>
      <c r="B3857" s="4" t="s">
        <v>8</v>
      </c>
      <c r="C3857" s="4" t="str">
        <f t="shared" si="136"/>
        <v>-</v>
      </c>
      <c r="D3857" s="4" t="str">
        <f>"10630988"</f>
        <v>10630988</v>
      </c>
      <c r="E3857" s="4" t="str">
        <f t="shared" si="135"/>
        <v>-</v>
      </c>
      <c r="F3857" s="4" t="s">
        <v>105</v>
      </c>
    </row>
    <row r="3858" spans="1:6" ht="30" x14ac:dyDescent="0.25">
      <c r="A3858" s="4" t="str">
        <f>"Proceedings of the Annual International Conference of the IEEE Engineering in Medicine and Biology Society, EMBS"</f>
        <v>Proceedings of the Annual International Conference of the IEEE Engineering in Medicine and Biology Society, EMBS</v>
      </c>
      <c r="B3858" s="4" t="s">
        <v>8</v>
      </c>
      <c r="C3858" s="4" t="str">
        <f t="shared" si="136"/>
        <v>-</v>
      </c>
      <c r="D3858" s="4" t="str">
        <f>"1557170X"</f>
        <v>1557170X</v>
      </c>
      <c r="E3858" s="4" t="str">
        <f t="shared" si="135"/>
        <v>-</v>
      </c>
      <c r="F3858" s="4" t="s">
        <v>105</v>
      </c>
    </row>
    <row r="3859" spans="1:6" x14ac:dyDescent="0.25">
      <c r="A3859" s="4" t="str">
        <f>"Proceedings of the Annual International Conference on Computational Molecular Biology, RECOMB"</f>
        <v>Proceedings of the Annual International Conference on Computational Molecular Biology, RECOMB</v>
      </c>
      <c r="B3859" s="4" t="s">
        <v>8</v>
      </c>
      <c r="C3859" s="4" t="str">
        <f t="shared" si="136"/>
        <v>-</v>
      </c>
      <c r="D3859" s="4" t="str">
        <f>"-"</f>
        <v>-</v>
      </c>
      <c r="E3859" s="4" t="str">
        <f t="shared" si="135"/>
        <v>-</v>
      </c>
      <c r="F3859" s="4" t="s">
        <v>21</v>
      </c>
    </row>
    <row r="3860" spans="1:6" x14ac:dyDescent="0.25">
      <c r="A3860" s="4" t="str">
        <f>"Proceedings of the Annual International Conference on Mobile Computing and Networking, MOBICOM"</f>
        <v>Proceedings of the Annual International Conference on Mobile Computing and Networking, MOBICOM</v>
      </c>
      <c r="B3860" s="4" t="s">
        <v>8</v>
      </c>
      <c r="C3860" s="4" t="str">
        <f t="shared" si="136"/>
        <v>-</v>
      </c>
      <c r="D3860" s="4" t="str">
        <f>"-"</f>
        <v>-</v>
      </c>
      <c r="E3860" s="4" t="str">
        <f t="shared" si="135"/>
        <v>-</v>
      </c>
      <c r="F3860" s="4" t="s">
        <v>21</v>
      </c>
    </row>
    <row r="3861" spans="1:6" x14ac:dyDescent="0.25">
      <c r="A3861" s="4" t="str">
        <f>"Proceedings of the Annual International Symposium on Microarchitecture, MICRO"</f>
        <v>Proceedings of the Annual International Symposium on Microarchitecture, MICRO</v>
      </c>
      <c r="B3861" s="4" t="s">
        <v>8</v>
      </c>
      <c r="C3861" s="4" t="str">
        <f t="shared" si="136"/>
        <v>-</v>
      </c>
      <c r="D3861" s="4" t="str">
        <f>"10724451"</f>
        <v>10724451</v>
      </c>
      <c r="E3861" s="4" t="str">
        <f t="shared" si="135"/>
        <v>-</v>
      </c>
      <c r="F3861" s="4" t="s">
        <v>9</v>
      </c>
    </row>
    <row r="3862" spans="1:6" x14ac:dyDescent="0.25">
      <c r="A3862" s="4" t="str">
        <f>"Proceedings of the Annual ISA Analysis Division Symposium"</f>
        <v>Proceedings of the Annual ISA Analysis Division Symposium</v>
      </c>
      <c r="B3862" s="4" t="s">
        <v>8</v>
      </c>
      <c r="C3862" s="4" t="str">
        <f t="shared" si="136"/>
        <v>-</v>
      </c>
      <c r="D3862" s="4" t="str">
        <f>"10506527"</f>
        <v>10506527</v>
      </c>
      <c r="E3862" s="4" t="str">
        <f t="shared" si="135"/>
        <v>-</v>
      </c>
      <c r="F3862" s="4" t="s">
        <v>188</v>
      </c>
    </row>
    <row r="3863" spans="1:6" x14ac:dyDescent="0.25">
      <c r="A3863" s="4" t="str">
        <f>"Proceedings of the Annual Meeting - Institute of Navigation"</f>
        <v>Proceedings of the Annual Meeting - Institute of Navigation</v>
      </c>
      <c r="B3863" s="4" t="s">
        <v>8</v>
      </c>
      <c r="C3863" s="4" t="str">
        <f t="shared" si="136"/>
        <v>-</v>
      </c>
      <c r="D3863" s="4" t="str">
        <f>"-"</f>
        <v>-</v>
      </c>
      <c r="E3863" s="4" t="str">
        <f t="shared" si="135"/>
        <v>-</v>
      </c>
      <c r="F3863" s="4" t="s">
        <v>969</v>
      </c>
    </row>
    <row r="3864" spans="1:6" x14ac:dyDescent="0.25">
      <c r="A3864" s="4" t="str">
        <f>"Proceedings of the Annual Offshore Technology Conference"</f>
        <v>Proceedings of the Annual Offshore Technology Conference</v>
      </c>
      <c r="B3864" s="4" t="s">
        <v>8</v>
      </c>
      <c r="C3864" s="4" t="str">
        <f t="shared" si="136"/>
        <v>-</v>
      </c>
      <c r="D3864" s="4" t="str">
        <f>"01603663"</f>
        <v>01603663</v>
      </c>
      <c r="E3864" s="4" t="str">
        <f t="shared" si="135"/>
        <v>-</v>
      </c>
      <c r="F3864" s="4" t="s">
        <v>970</v>
      </c>
    </row>
    <row r="3865" spans="1:6" x14ac:dyDescent="0.25">
      <c r="A3865" s="4" t="str">
        <f>"Proceedings of the Annual Precise Time and Time Interval Systems and Applications Meeting, PTTI"</f>
        <v>Proceedings of the Annual Precise Time and Time Interval Systems and Applications Meeting, PTTI</v>
      </c>
      <c r="B3865" s="4" t="s">
        <v>8</v>
      </c>
      <c r="C3865" s="4" t="str">
        <f t="shared" si="136"/>
        <v>-</v>
      </c>
      <c r="D3865" s="4" t="str">
        <f>"-"</f>
        <v>-</v>
      </c>
      <c r="E3865" s="4" t="str">
        <f>"23332085"</f>
        <v>23332085</v>
      </c>
      <c r="F3865" s="4" t="s">
        <v>105</v>
      </c>
    </row>
    <row r="3866" spans="1:6" x14ac:dyDescent="0.25">
      <c r="A3866" s="4" t="str">
        <f>"Proceedings of the Annual Southeast Conference"</f>
        <v>Proceedings of the Annual Southeast Conference</v>
      </c>
      <c r="B3866" s="4" t="s">
        <v>8</v>
      </c>
      <c r="C3866" s="4" t="str">
        <f t="shared" si="136"/>
        <v>-</v>
      </c>
      <c r="D3866" s="4" t="str">
        <f>"-"</f>
        <v>-</v>
      </c>
      <c r="E3866" s="4" t="str">
        <f t="shared" ref="E3866:E3883" si="137">"-"</f>
        <v>-</v>
      </c>
      <c r="F3866" s="4" t="s">
        <v>21</v>
      </c>
    </row>
    <row r="3867" spans="1:6" x14ac:dyDescent="0.25">
      <c r="A3867" s="4" t="str">
        <f>"Proceedings of the Annual Southeastern Symposium on System Theory"</f>
        <v>Proceedings of the Annual Southeastern Symposium on System Theory</v>
      </c>
      <c r="B3867" s="4" t="s">
        <v>8</v>
      </c>
      <c r="C3867" s="4" t="str">
        <f t="shared" si="136"/>
        <v>-</v>
      </c>
      <c r="D3867" s="4" t="str">
        <f>"-"</f>
        <v>-</v>
      </c>
      <c r="E3867" s="4" t="str">
        <f t="shared" si="137"/>
        <v>-</v>
      </c>
      <c r="F3867" s="4" t="s">
        <v>105</v>
      </c>
    </row>
    <row r="3868" spans="1:6" x14ac:dyDescent="0.25">
      <c r="A3868" s="4" t="str">
        <f>"Proceedings of the Annual Southwestern Petroleum Short Course"</f>
        <v>Proceedings of the Annual Southwestern Petroleum Short Course</v>
      </c>
      <c r="B3868" s="4" t="s">
        <v>8</v>
      </c>
      <c r="C3868" s="4" t="str">
        <f t="shared" si="136"/>
        <v>-</v>
      </c>
      <c r="D3868" s="4" t="str">
        <f>"03615987"</f>
        <v>03615987</v>
      </c>
      <c r="E3868" s="4" t="str">
        <f t="shared" si="137"/>
        <v>-</v>
      </c>
      <c r="F3868" s="4" t="s">
        <v>971</v>
      </c>
    </row>
    <row r="3869" spans="1:6" x14ac:dyDescent="0.25">
      <c r="A3869" s="4" t="str">
        <f>"Proceedings of the Annual Symposium on Computational Geometry"</f>
        <v>Proceedings of the Annual Symposium on Computational Geometry</v>
      </c>
      <c r="B3869" s="4" t="s">
        <v>8</v>
      </c>
      <c r="C3869" s="4" t="str">
        <f t="shared" si="136"/>
        <v>-</v>
      </c>
      <c r="D3869" s="4" t="str">
        <f>"-"</f>
        <v>-</v>
      </c>
      <c r="E3869" s="4" t="str">
        <f t="shared" si="137"/>
        <v>-</v>
      </c>
      <c r="F3869" s="4" t="s">
        <v>21</v>
      </c>
    </row>
    <row r="3870" spans="1:6" x14ac:dyDescent="0.25">
      <c r="A3870" s="4" t="str">
        <f>"Proceedings of the Annual Symposium on Instrumentation for the Process Industries"</f>
        <v>Proceedings of the Annual Symposium on Instrumentation for the Process Industries</v>
      </c>
      <c r="B3870" s="4" t="s">
        <v>8</v>
      </c>
      <c r="C3870" s="4" t="str">
        <f t="shared" si="136"/>
        <v>-</v>
      </c>
      <c r="D3870" s="4" t="str">
        <f>"00967963"</f>
        <v>00967963</v>
      </c>
      <c r="E3870" s="4" t="str">
        <f t="shared" si="137"/>
        <v>-</v>
      </c>
      <c r="F3870" s="4" t="s">
        <v>188</v>
      </c>
    </row>
    <row r="3871" spans="1:6" x14ac:dyDescent="0.25">
      <c r="A3871" s="4" t="str">
        <f>"Proceedings of the Annual Symposium on the Virtual Reality Modeling Language, VRML"</f>
        <v>Proceedings of the Annual Symposium on the Virtual Reality Modeling Language, VRML</v>
      </c>
      <c r="B3871" s="4" t="s">
        <v>8</v>
      </c>
      <c r="C3871" s="4" t="str">
        <f t="shared" si="136"/>
        <v>-</v>
      </c>
      <c r="D3871" s="4" t="str">
        <f>"-"</f>
        <v>-</v>
      </c>
      <c r="E3871" s="4" t="str">
        <f t="shared" si="137"/>
        <v>-</v>
      </c>
      <c r="F3871" s="4" t="s">
        <v>21</v>
      </c>
    </row>
    <row r="3872" spans="1:6" x14ac:dyDescent="0.25">
      <c r="A3872" s="4" t="str">
        <f>"Proceedings of the Annual Washington Ada Symposium and Summer ACM SIGADA Meeting"</f>
        <v>Proceedings of the Annual Washington Ada Symposium and Summer ACM SIGADA Meeting</v>
      </c>
      <c r="B3872" s="4" t="s">
        <v>8</v>
      </c>
      <c r="C3872" s="4" t="str">
        <f t="shared" si="136"/>
        <v>-</v>
      </c>
      <c r="D3872" s="4" t="str">
        <f>"-"</f>
        <v>-</v>
      </c>
      <c r="E3872" s="4" t="str">
        <f t="shared" si="137"/>
        <v>-</v>
      </c>
      <c r="F3872" s="4" t="s">
        <v>21</v>
      </c>
    </row>
    <row r="3873" spans="1:6" x14ac:dyDescent="0.25">
      <c r="A3873" s="4" t="str">
        <f>"Proceedings of the Annual Workshop on I/O in Parallel and Distributed Systems, IOPADS"</f>
        <v>Proceedings of the Annual Workshop on I/O in Parallel and Distributed Systems, IOPADS</v>
      </c>
      <c r="B3873" s="4" t="s">
        <v>8</v>
      </c>
      <c r="C3873" s="4" t="str">
        <f t="shared" si="136"/>
        <v>-</v>
      </c>
      <c r="D3873" s="4" t="str">
        <f>"-"</f>
        <v>-</v>
      </c>
      <c r="E3873" s="4" t="str">
        <f t="shared" si="137"/>
        <v>-</v>
      </c>
      <c r="F3873" s="4" t="s">
        <v>21</v>
      </c>
    </row>
    <row r="3874" spans="1:6" x14ac:dyDescent="0.25">
      <c r="A3874" s="4" t="str">
        <f>"Proceedings of the Asia and South Pacific Design Automation Conference, ASP-DAC"</f>
        <v>Proceedings of the Asia and South Pacific Design Automation Conference, ASP-DAC</v>
      </c>
      <c r="B3874" s="4" t="s">
        <v>8</v>
      </c>
      <c r="C3874" s="4" t="str">
        <f t="shared" si="136"/>
        <v>-</v>
      </c>
      <c r="D3874" s="4" t="str">
        <f>"-"</f>
        <v>-</v>
      </c>
      <c r="E3874" s="4" t="str">
        <f t="shared" si="137"/>
        <v>-</v>
      </c>
      <c r="F3874" s="4" t="s">
        <v>105</v>
      </c>
    </row>
    <row r="3875" spans="1:6" x14ac:dyDescent="0.25">
      <c r="A3875" s="4" t="str">
        <f>"Proceedings of the Asian Test Symposium"</f>
        <v>Proceedings of the Asian Test Symposium</v>
      </c>
      <c r="B3875" s="4" t="s">
        <v>8</v>
      </c>
      <c r="C3875" s="4" t="str">
        <f t="shared" si="136"/>
        <v>-</v>
      </c>
      <c r="D3875" s="4" t="str">
        <f>"10817735"</f>
        <v>10817735</v>
      </c>
      <c r="E3875" s="4" t="str">
        <f t="shared" si="137"/>
        <v>-</v>
      </c>
      <c r="F3875" s="4" t="s">
        <v>9</v>
      </c>
    </row>
    <row r="3876" spans="1:6" ht="30" x14ac:dyDescent="0.25">
      <c r="A3876" s="4" t="str">
        <f>"Proceedings of the Asia-Pacific Software Engineering Conference and International Computer Science Conference, APSEC and ICSC"</f>
        <v>Proceedings of the Asia-Pacific Software Engineering Conference and International Computer Science Conference, APSEC and ICSC</v>
      </c>
      <c r="B3876" s="4" t="s">
        <v>8</v>
      </c>
      <c r="C3876" s="4" t="str">
        <f t="shared" si="136"/>
        <v>-</v>
      </c>
      <c r="D3876" s="4" t="str">
        <f>"-"</f>
        <v>-</v>
      </c>
      <c r="E3876" s="4" t="str">
        <f t="shared" si="137"/>
        <v>-</v>
      </c>
      <c r="F3876" s="4" t="s">
        <v>9</v>
      </c>
    </row>
    <row r="3877" spans="1:6" x14ac:dyDescent="0.25">
      <c r="A3877" s="4" t="str">
        <f>"Proceedings of the ASME Design Engineering Technical Conference"</f>
        <v>Proceedings of the ASME Design Engineering Technical Conference</v>
      </c>
      <c r="B3877" s="4" t="s">
        <v>8</v>
      </c>
      <c r="C3877" s="4" t="str">
        <f t="shared" si="136"/>
        <v>-</v>
      </c>
      <c r="D3877" s="4" t="str">
        <f>"-"</f>
        <v>-</v>
      </c>
      <c r="E3877" s="4" t="str">
        <f t="shared" si="137"/>
        <v>-</v>
      </c>
      <c r="F3877" s="4" t="s">
        <v>73</v>
      </c>
    </row>
    <row r="3878" spans="1:6" x14ac:dyDescent="0.25">
      <c r="A3878" s="4" t="str">
        <f>"Proceedings of the ASME Turbo Expo"</f>
        <v>Proceedings of the ASME Turbo Expo</v>
      </c>
      <c r="B3878" s="4" t="s">
        <v>8</v>
      </c>
      <c r="C3878" s="4" t="str">
        <f t="shared" si="136"/>
        <v>-</v>
      </c>
      <c r="D3878" s="4" t="str">
        <f>"-"</f>
        <v>-</v>
      </c>
      <c r="E3878" s="4" t="str">
        <f t="shared" si="137"/>
        <v>-</v>
      </c>
      <c r="F3878" s="4" t="s">
        <v>73</v>
      </c>
    </row>
    <row r="3879" spans="1:6" x14ac:dyDescent="0.25">
      <c r="A3879" s="4" t="str">
        <f>"Proceedings of the Australasian Computer Systems Architecture Conference, ACSAC"</f>
        <v>Proceedings of the Australasian Computer Systems Architecture Conference, ACSAC</v>
      </c>
      <c r="B3879" s="4" t="s">
        <v>8</v>
      </c>
      <c r="C3879" s="4" t="str">
        <f t="shared" si="136"/>
        <v>-</v>
      </c>
      <c r="D3879" s="4" t="str">
        <f>"15300927"</f>
        <v>15300927</v>
      </c>
      <c r="E3879" s="4" t="str">
        <f t="shared" si="137"/>
        <v>-</v>
      </c>
      <c r="F3879" s="4" t="s">
        <v>9</v>
      </c>
    </row>
    <row r="3880" spans="1:6" x14ac:dyDescent="0.25">
      <c r="A3880" s="4" t="str">
        <f>"Proceedings of the Australasian Conference and Exhibition - Aluminium Cast House Technology"</f>
        <v>Proceedings of the Australasian Conference and Exhibition - Aluminium Cast House Technology</v>
      </c>
      <c r="B3880" s="4" t="s">
        <v>8</v>
      </c>
      <c r="C3880" s="4" t="str">
        <f t="shared" si="136"/>
        <v>-</v>
      </c>
      <c r="D3880" s="4" t="str">
        <f>"-"</f>
        <v>-</v>
      </c>
      <c r="E3880" s="4" t="str">
        <f t="shared" si="137"/>
        <v>-</v>
      </c>
      <c r="F3880" s="4" t="s">
        <v>648</v>
      </c>
    </row>
    <row r="3881" spans="1:6" x14ac:dyDescent="0.25">
      <c r="A3881" s="4" t="str">
        <f>"Proceedings of the Australian Software Engineering Conference, ASWEC"</f>
        <v>Proceedings of the Australian Software Engineering Conference, ASWEC</v>
      </c>
      <c r="B3881" s="4" t="s">
        <v>8</v>
      </c>
      <c r="C3881" s="4" t="str">
        <f t="shared" si="136"/>
        <v>-</v>
      </c>
      <c r="D3881" s="4" t="str">
        <f>"-"</f>
        <v>-</v>
      </c>
      <c r="E3881" s="4" t="str">
        <f t="shared" si="137"/>
        <v>-</v>
      </c>
      <c r="F3881" s="4" t="s">
        <v>9</v>
      </c>
    </row>
    <row r="3882" spans="1:6" x14ac:dyDescent="0.25">
      <c r="A3882" s="4" t="str">
        <f>"Proceedings of the Biennial Baltic Electronics Conference, BEC"</f>
        <v>Proceedings of the Biennial Baltic Electronics Conference, BEC</v>
      </c>
      <c r="B3882" s="4" t="s">
        <v>8</v>
      </c>
      <c r="C3882" s="4" t="str">
        <f t="shared" si="136"/>
        <v>-</v>
      </c>
      <c r="D3882" s="4" t="str">
        <f>"17363705"</f>
        <v>17363705</v>
      </c>
      <c r="E3882" s="4" t="str">
        <f t="shared" si="137"/>
        <v>-</v>
      </c>
      <c r="F3882" s="4" t="s">
        <v>9</v>
      </c>
    </row>
    <row r="3883" spans="1:6" x14ac:dyDescent="0.25">
      <c r="A3883" s="4" t="str">
        <f>"Proceedings of the Biennial International Pipeline Conference, IPC"</f>
        <v>Proceedings of the Biennial International Pipeline Conference, IPC</v>
      </c>
      <c r="B3883" s="4" t="s">
        <v>8</v>
      </c>
      <c r="C3883" s="4" t="str">
        <f t="shared" si="136"/>
        <v>-</v>
      </c>
      <c r="D3883" s="4" t="str">
        <f>"-"</f>
        <v>-</v>
      </c>
      <c r="E3883" s="4" t="str">
        <f t="shared" si="137"/>
        <v>-</v>
      </c>
      <c r="F3883" s="4" t="s">
        <v>73</v>
      </c>
    </row>
    <row r="3884" spans="1:6" x14ac:dyDescent="0.25">
      <c r="A3884" s="4" t="str">
        <f>"Proceedings of the Brazilian Symposium on GeoInformatics"</f>
        <v>Proceedings of the Brazilian Symposium on GeoInformatics</v>
      </c>
      <c r="B3884" s="4" t="s">
        <v>8</v>
      </c>
      <c r="C3884" s="4" t="str">
        <f t="shared" si="136"/>
        <v>-</v>
      </c>
      <c r="D3884" s="4" t="str">
        <f>"-"</f>
        <v>-</v>
      </c>
      <c r="E3884" s="4" t="str">
        <f>"21794847"</f>
        <v>21794847</v>
      </c>
      <c r="F3884" s="4" t="s">
        <v>972</v>
      </c>
    </row>
    <row r="3885" spans="1:6" x14ac:dyDescent="0.25">
      <c r="A3885" s="4" t="str">
        <f>"Proceedings of the Coastal Engineering Conference"</f>
        <v>Proceedings of the Coastal Engineering Conference</v>
      </c>
      <c r="B3885" s="4" t="s">
        <v>8</v>
      </c>
      <c r="C3885" s="4" t="str">
        <f t="shared" si="136"/>
        <v>-</v>
      </c>
      <c r="D3885" s="4" t="str">
        <f>"01613782"</f>
        <v>01613782</v>
      </c>
      <c r="E3885" s="4" t="str">
        <f t="shared" ref="E3885:E3892" si="138">"-"</f>
        <v>-</v>
      </c>
      <c r="F3885" s="4" t="s">
        <v>111</v>
      </c>
    </row>
    <row r="3886" spans="1:6" x14ac:dyDescent="0.25">
      <c r="A3886" s="4" t="str">
        <f>"Proceedings of the Combustion Institute"</f>
        <v>Proceedings of the Combustion Institute</v>
      </c>
      <c r="B3886" s="4" t="s">
        <v>6</v>
      </c>
      <c r="C3886" s="4" t="str">
        <f t="shared" si="136"/>
        <v>-</v>
      </c>
      <c r="D3886" s="4" t="str">
        <f>"15407489"</f>
        <v>15407489</v>
      </c>
      <c r="E3886" s="4" t="str">
        <f t="shared" si="138"/>
        <v>-</v>
      </c>
      <c r="F3886" s="4" t="s">
        <v>19</v>
      </c>
    </row>
    <row r="3887" spans="1:6" x14ac:dyDescent="0.25">
      <c r="A3887" s="4" t="str">
        <f>"Proceedings of the Computer Security Foundations Workshop"</f>
        <v>Proceedings of the Computer Security Foundations Workshop</v>
      </c>
      <c r="B3887" s="4" t="s">
        <v>8</v>
      </c>
      <c r="C3887" s="4" t="str">
        <f t="shared" si="136"/>
        <v>-</v>
      </c>
      <c r="D3887" s="4" t="str">
        <f>"10636900"</f>
        <v>10636900</v>
      </c>
      <c r="E3887" s="4" t="str">
        <f t="shared" si="138"/>
        <v>-</v>
      </c>
      <c r="F3887" s="4" t="s">
        <v>9</v>
      </c>
    </row>
    <row r="3888" spans="1:6" ht="30" x14ac:dyDescent="0.25">
      <c r="A3888" s="4" t="str">
        <f>"Proceedings of the Conference on Designing Interactive Systems: Processes, Practices, Methods, and Techniques, DIS"</f>
        <v>Proceedings of the Conference on Designing Interactive Systems: Processes, Practices, Methods, and Techniques, DIS</v>
      </c>
      <c r="B3888" s="4" t="s">
        <v>8</v>
      </c>
      <c r="C3888" s="4" t="str">
        <f t="shared" si="136"/>
        <v>-</v>
      </c>
      <c r="D3888" s="4" t="str">
        <f>"-"</f>
        <v>-</v>
      </c>
      <c r="E3888" s="4" t="str">
        <f t="shared" si="138"/>
        <v>-</v>
      </c>
      <c r="F3888" s="4" t="s">
        <v>21</v>
      </c>
    </row>
    <row r="3889" spans="1:6" x14ac:dyDescent="0.25">
      <c r="A3889" s="4" t="str">
        <f>"Proceedings of the Conference on Integrating Technology into Computer Science Education, ITiCSE"</f>
        <v>Proceedings of the Conference on Integrating Technology into Computer Science Education, ITiCSE</v>
      </c>
      <c r="B3889" s="4" t="s">
        <v>8</v>
      </c>
      <c r="C3889" s="4" t="str">
        <f t="shared" si="136"/>
        <v>-</v>
      </c>
      <c r="D3889" s="4" t="str">
        <f>"-"</f>
        <v>-</v>
      </c>
      <c r="E3889" s="4" t="str">
        <f t="shared" si="138"/>
        <v>-</v>
      </c>
      <c r="F3889" s="4" t="s">
        <v>21</v>
      </c>
    </row>
    <row r="3890" spans="1:6" ht="30" x14ac:dyDescent="0.25">
      <c r="A3890" s="4" t="str">
        <f>"Proceedings of the Conference on Object-Oriented Programming Systems, Languages, and Applications, OOPSLA"</f>
        <v>Proceedings of the Conference on Object-Oriented Programming Systems, Languages, and Applications, OOPSLA</v>
      </c>
      <c r="B3890" s="4" t="s">
        <v>8</v>
      </c>
      <c r="C3890" s="4" t="str">
        <f t="shared" si="136"/>
        <v>-</v>
      </c>
      <c r="D3890" s="4" t="str">
        <f>"-"</f>
        <v>-</v>
      </c>
      <c r="E3890" s="4" t="str">
        <f t="shared" si="138"/>
        <v>-</v>
      </c>
      <c r="F3890" s="4" t="s">
        <v>21</v>
      </c>
    </row>
    <row r="3891" spans="1:6" x14ac:dyDescent="0.25">
      <c r="A3891" s="4" t="str">
        <f>"Proceedings of the Conference on Plastics for Portable and Wireless Electronics"</f>
        <v>Proceedings of the Conference on Plastics for Portable and Wireless Electronics</v>
      </c>
      <c r="B3891" s="4" t="s">
        <v>8</v>
      </c>
      <c r="C3891" s="4" t="str">
        <f t="shared" si="136"/>
        <v>-</v>
      </c>
      <c r="D3891" s="4" t="str">
        <f>"-"</f>
        <v>-</v>
      </c>
      <c r="E3891" s="4" t="str">
        <f t="shared" si="138"/>
        <v>-</v>
      </c>
      <c r="F3891" s="4" t="s">
        <v>132</v>
      </c>
    </row>
    <row r="3892" spans="1:6" x14ac:dyDescent="0.25">
      <c r="A3892" s="4" t="str">
        <f>"Proceedings of the Conference on System, Software, SoC and Silicon Debug"</f>
        <v>Proceedings of the Conference on System, Software, SoC and Silicon Debug</v>
      </c>
      <c r="B3892" s="4" t="s">
        <v>8</v>
      </c>
      <c r="C3892" s="4" t="str">
        <f t="shared" si="136"/>
        <v>-</v>
      </c>
      <c r="D3892" s="4" t="str">
        <f>"21143684"</f>
        <v>21143684</v>
      </c>
      <c r="E3892" s="4" t="str">
        <f t="shared" si="138"/>
        <v>-</v>
      </c>
      <c r="F3892" s="4" t="s">
        <v>9</v>
      </c>
    </row>
    <row r="3893" spans="1:6" x14ac:dyDescent="0.25">
      <c r="A3893" s="4" t="str">
        <f>"Proceedings of the Conference on the Industrial and Commercial Use of Energy, ICUE"</f>
        <v>Proceedings of the Conference on the Industrial and Commercial Use of Energy, ICUE</v>
      </c>
      <c r="B3893" s="4" t="s">
        <v>8</v>
      </c>
      <c r="C3893" s="4" t="str">
        <f t="shared" si="136"/>
        <v>-</v>
      </c>
      <c r="D3893" s="4" t="str">
        <f>"21660581"</f>
        <v>21660581</v>
      </c>
      <c r="E3893" s="4" t="str">
        <f>"2166059X"</f>
        <v>2166059X</v>
      </c>
      <c r="F3893" s="4" t="s">
        <v>9</v>
      </c>
    </row>
    <row r="3894" spans="1:6" x14ac:dyDescent="0.25">
      <c r="A3894" s="4" t="str">
        <f>"Proceedings of the Conference on Traffic and Transportation Studies, ICTTS"</f>
        <v>Proceedings of the Conference on Traffic and Transportation Studies, ICTTS</v>
      </c>
      <c r="B3894" s="4" t="s">
        <v>8</v>
      </c>
      <c r="C3894" s="4" t="str">
        <f t="shared" si="136"/>
        <v>-</v>
      </c>
      <c r="D3894" s="4" t="str">
        <f>"-"</f>
        <v>-</v>
      </c>
      <c r="E3894" s="4" t="str">
        <f>"-"</f>
        <v>-</v>
      </c>
      <c r="F3894" s="4" t="s">
        <v>111</v>
      </c>
    </row>
    <row r="3895" spans="1:6" x14ac:dyDescent="0.25">
      <c r="A3895" s="4" t="str">
        <f>"Proceedings of the Conference on Transportation Planning and Air Quality"</f>
        <v>Proceedings of the Conference on Transportation Planning and Air Quality</v>
      </c>
      <c r="B3895" s="4" t="s">
        <v>8</v>
      </c>
      <c r="C3895" s="4" t="str">
        <f t="shared" si="136"/>
        <v>-</v>
      </c>
      <c r="D3895" s="4" t="str">
        <f>"-"</f>
        <v>-</v>
      </c>
      <c r="E3895" s="4" t="str">
        <f>"-"</f>
        <v>-</v>
      </c>
      <c r="F3895" s="4" t="s">
        <v>111</v>
      </c>
    </row>
    <row r="3896" spans="1:6" x14ac:dyDescent="0.25">
      <c r="A3896" s="4" t="str">
        <f>"Proceedings of the Corporate Aviation Safety Seminar"</f>
        <v>Proceedings of the Corporate Aviation Safety Seminar</v>
      </c>
      <c r="B3896" s="4" t="s">
        <v>8</v>
      </c>
      <c r="C3896" s="4" t="str">
        <f t="shared" si="136"/>
        <v>-</v>
      </c>
      <c r="D3896" s="4" t="str">
        <f>"07364709"</f>
        <v>07364709</v>
      </c>
      <c r="E3896" s="4" t="str">
        <f t="shared" ref="E3896:E3902" si="139">"-"</f>
        <v>-</v>
      </c>
      <c r="F3896" s="4" t="s">
        <v>548</v>
      </c>
    </row>
    <row r="3897" spans="1:6" x14ac:dyDescent="0.25">
      <c r="A3897" s="4" t="str">
        <f>"Proceedings of the Custom Integrated Circuits Conference"</f>
        <v>Proceedings of the Custom Integrated Circuits Conference</v>
      </c>
      <c r="B3897" s="4" t="s">
        <v>8</v>
      </c>
      <c r="C3897" s="4" t="str">
        <f t="shared" si="136"/>
        <v>-</v>
      </c>
      <c r="D3897" s="4" t="str">
        <f>"08865930"</f>
        <v>08865930</v>
      </c>
      <c r="E3897" s="4" t="str">
        <f t="shared" si="139"/>
        <v>-</v>
      </c>
      <c r="F3897" s="4" t="s">
        <v>105</v>
      </c>
    </row>
    <row r="3898" spans="1:6" x14ac:dyDescent="0.25">
      <c r="A3898" s="4" t="str">
        <f>"Proceedings of the Electrical/Electronics Insulation Conference"</f>
        <v>Proceedings of the Electrical/Electronics Insulation Conference</v>
      </c>
      <c r="B3898" s="4" t="s">
        <v>8</v>
      </c>
      <c r="C3898" s="4" t="str">
        <f t="shared" si="136"/>
        <v>-</v>
      </c>
      <c r="D3898" s="4" t="str">
        <f>"03622479"</f>
        <v>03622479</v>
      </c>
      <c r="E3898" s="4" t="str">
        <f t="shared" si="139"/>
        <v>-</v>
      </c>
      <c r="F3898" s="4" t="s">
        <v>105</v>
      </c>
    </row>
    <row r="3899" spans="1:6" x14ac:dyDescent="0.25">
      <c r="A3899" s="4" t="str">
        <f>"Proceedings of the Electronic Packaging Technology Conference, EPTC"</f>
        <v>Proceedings of the Electronic Packaging Technology Conference, EPTC</v>
      </c>
      <c r="B3899" s="4" t="s">
        <v>8</v>
      </c>
      <c r="C3899" s="4" t="str">
        <f t="shared" si="136"/>
        <v>-</v>
      </c>
      <c r="D3899" s="4" t="str">
        <f>"-"</f>
        <v>-</v>
      </c>
      <c r="E3899" s="4" t="str">
        <f t="shared" si="139"/>
        <v>-</v>
      </c>
      <c r="F3899" s="4" t="s">
        <v>105</v>
      </c>
    </row>
    <row r="3900" spans="1:6" x14ac:dyDescent="0.25">
      <c r="A3900" s="4" t="str">
        <f>"Proceedings of the electronic system level synthesis conference"</f>
        <v>Proceedings of the electronic system level synthesis conference</v>
      </c>
      <c r="B3900" s="4" t="s">
        <v>8</v>
      </c>
      <c r="C3900" s="4" t="str">
        <f t="shared" si="136"/>
        <v>-</v>
      </c>
      <c r="D3900" s="4" t="str">
        <f>"21174628"</f>
        <v>21174628</v>
      </c>
      <c r="E3900" s="4" t="str">
        <f t="shared" si="139"/>
        <v>-</v>
      </c>
      <c r="F3900" s="4" t="s">
        <v>9</v>
      </c>
    </row>
    <row r="3901" spans="1:6" x14ac:dyDescent="0.25">
      <c r="A3901" s="4" t="str">
        <f>"Proceedings of the Engineering Foundation Conference"</f>
        <v>Proceedings of the Engineering Foundation Conference</v>
      </c>
      <c r="B3901" s="4" t="s">
        <v>8</v>
      </c>
      <c r="C3901" s="4" t="str">
        <f t="shared" si="136"/>
        <v>-</v>
      </c>
      <c r="D3901" s="4" t="str">
        <f>"-"</f>
        <v>-</v>
      </c>
      <c r="E3901" s="4" t="str">
        <f t="shared" si="139"/>
        <v>-</v>
      </c>
      <c r="F3901" s="4" t="s">
        <v>111</v>
      </c>
    </row>
    <row r="3902" spans="1:6" x14ac:dyDescent="0.25">
      <c r="A3902" s="4" t="str">
        <f>"Proceedings of the Engineering Foundation Conference"</f>
        <v>Proceedings of the Engineering Foundation Conference</v>
      </c>
      <c r="B3902" s="4" t="s">
        <v>8</v>
      </c>
      <c r="C3902" s="4" t="str">
        <f t="shared" si="136"/>
        <v>-</v>
      </c>
      <c r="D3902" s="4" t="str">
        <f>"-"</f>
        <v>-</v>
      </c>
      <c r="E3902" s="4" t="str">
        <f t="shared" si="139"/>
        <v>-</v>
      </c>
      <c r="F3902" s="4" t="s">
        <v>648</v>
      </c>
    </row>
    <row r="3903" spans="1:6" x14ac:dyDescent="0.25">
      <c r="A3903" s="4" t="str">
        <f>"Proceedings of the Estonian Academy of Sciences"</f>
        <v>Proceedings of the Estonian Academy of Sciences</v>
      </c>
      <c r="B3903" s="4" t="s">
        <v>6</v>
      </c>
      <c r="C3903" s="4" t="str">
        <f t="shared" si="136"/>
        <v>-</v>
      </c>
      <c r="D3903" s="4" t="str">
        <f>"17366046"</f>
        <v>17366046</v>
      </c>
      <c r="E3903" s="4" t="str">
        <f>"17367530"</f>
        <v>17367530</v>
      </c>
      <c r="F3903" s="4" t="s">
        <v>390</v>
      </c>
    </row>
    <row r="3904" spans="1:6" x14ac:dyDescent="0.25">
      <c r="A3904" s="4" t="str">
        <f>"Proceedings of the European Conference on e-Government, ECEG"</f>
        <v>Proceedings of the European Conference on e-Government, ECEG</v>
      </c>
      <c r="B3904" s="4" t="s">
        <v>8</v>
      </c>
      <c r="C3904" s="4" t="str">
        <f t="shared" si="136"/>
        <v>-</v>
      </c>
      <c r="D3904" s="4" t="str">
        <f>"20491034"</f>
        <v>20491034</v>
      </c>
      <c r="E3904" s="4" t="str">
        <f>"-"</f>
        <v>-</v>
      </c>
      <c r="F3904" s="4" t="s">
        <v>973</v>
      </c>
    </row>
    <row r="3905" spans="1:6" x14ac:dyDescent="0.25">
      <c r="A3905" s="4" t="str">
        <f>"Proceedings of the European Conference on e-Learning, ECEL"</f>
        <v>Proceedings of the European Conference on e-Learning, ECEL</v>
      </c>
      <c r="B3905" s="4" t="s">
        <v>8</v>
      </c>
      <c r="C3905" s="4" t="str">
        <f t="shared" si="136"/>
        <v>-</v>
      </c>
      <c r="D3905" s="4" t="str">
        <f>"20488637"</f>
        <v>20488637</v>
      </c>
      <c r="E3905" s="4" t="str">
        <f>"20488645"</f>
        <v>20488645</v>
      </c>
      <c r="F3905" s="4" t="s">
        <v>973</v>
      </c>
    </row>
    <row r="3906" spans="1:6" x14ac:dyDescent="0.25">
      <c r="A3906" s="4" t="str">
        <f>"Proceedings of the European Conference on Games-based Learning"</f>
        <v>Proceedings of the European Conference on Games-based Learning</v>
      </c>
      <c r="B3906" s="4" t="s">
        <v>8</v>
      </c>
      <c r="C3906" s="4" t="str">
        <f t="shared" si="136"/>
        <v>-</v>
      </c>
      <c r="D3906" s="4" t="str">
        <f>"20490992"</f>
        <v>20490992</v>
      </c>
      <c r="E3906" s="4" t="str">
        <f>"-"</f>
        <v>-</v>
      </c>
      <c r="F3906" s="4" t="s">
        <v>974</v>
      </c>
    </row>
    <row r="3907" spans="1:6" x14ac:dyDescent="0.25">
      <c r="A3907" s="4" t="str">
        <f>"Proceedings of the European Conference on Knowledge Management, ECKM"</f>
        <v>Proceedings of the European Conference on Knowledge Management, ECKM</v>
      </c>
      <c r="B3907" s="4" t="s">
        <v>8</v>
      </c>
      <c r="C3907" s="4" t="str">
        <f t="shared" si="136"/>
        <v>-</v>
      </c>
      <c r="D3907" s="4" t="str">
        <f>"20488963"</f>
        <v>20488963</v>
      </c>
      <c r="E3907" s="4" t="str">
        <f>"20488971"</f>
        <v>20488971</v>
      </c>
      <c r="F3907" s="4" t="s">
        <v>973</v>
      </c>
    </row>
    <row r="3908" spans="1:6" ht="30" x14ac:dyDescent="0.25">
      <c r="A3908" s="4" t="str">
        <f>"Proceedings of the European Conference on Radiation and its Effects on Components and Systems, RADECS"</f>
        <v>Proceedings of the European Conference on Radiation and its Effects on Components and Systems, RADECS</v>
      </c>
      <c r="B3908" s="4" t="s">
        <v>8</v>
      </c>
      <c r="C3908" s="4" t="str">
        <f t="shared" si="136"/>
        <v>-</v>
      </c>
      <c r="D3908" s="4" t="str">
        <f>"-"</f>
        <v>-</v>
      </c>
      <c r="E3908" s="4" t="str">
        <f>"-"</f>
        <v>-</v>
      </c>
      <c r="F3908" s="4" t="s">
        <v>105</v>
      </c>
    </row>
    <row r="3909" spans="1:6" x14ac:dyDescent="0.25">
      <c r="A3909" s="4" t="str">
        <f>"Proceedings of the European Conference on Software Maintenance and Reengineering, CSMR"</f>
        <v>Proceedings of the European Conference on Software Maintenance and Reengineering, CSMR</v>
      </c>
      <c r="B3909" s="4" t="s">
        <v>8</v>
      </c>
      <c r="C3909" s="4" t="str">
        <f t="shared" si="136"/>
        <v>-</v>
      </c>
      <c r="D3909" s="4" t="str">
        <f>"15345351"</f>
        <v>15345351</v>
      </c>
      <c r="E3909" s="4" t="str">
        <f>"-"</f>
        <v>-</v>
      </c>
      <c r="F3909" s="4" t="s">
        <v>9</v>
      </c>
    </row>
    <row r="3910" spans="1:6" x14ac:dyDescent="0.25">
      <c r="A3910" s="4" t="str">
        <f>"Proceedings of the European Petroleum Conference"</f>
        <v>Proceedings of the European Petroleum Conference</v>
      </c>
      <c r="B3910" s="4" t="s">
        <v>8</v>
      </c>
      <c r="C3910" s="4" t="str">
        <f t="shared" si="136"/>
        <v>-</v>
      </c>
      <c r="D3910" s="4" t="str">
        <f>"-"</f>
        <v>-</v>
      </c>
      <c r="E3910" s="4" t="str">
        <f>"-"</f>
        <v>-</v>
      </c>
      <c r="F3910" s="4" t="s">
        <v>915</v>
      </c>
    </row>
    <row r="3911" spans="1:6" x14ac:dyDescent="0.25">
      <c r="A3911" s="4" t="str">
        <f>"Proceedings of the European Test Workshop"</f>
        <v>Proceedings of the European Test Workshop</v>
      </c>
      <c r="B3911" s="4" t="s">
        <v>8</v>
      </c>
      <c r="C3911" s="4" t="str">
        <f t="shared" si="136"/>
        <v>-</v>
      </c>
      <c r="D3911" s="4" t="str">
        <f>"15301877"</f>
        <v>15301877</v>
      </c>
      <c r="E3911" s="4" t="str">
        <f>"15581780"</f>
        <v>15581780</v>
      </c>
      <c r="F3911" s="4" t="s">
        <v>105</v>
      </c>
    </row>
    <row r="3912" spans="1:6" ht="30" x14ac:dyDescent="0.25">
      <c r="A3912" s="4" t="str">
        <f>"Proceedings of the Flight Safety Foundation Annual International Air Safety Seminar, International Federation of Airworthiness International Conference, and the International Air Transport Association"</f>
        <v>Proceedings of the Flight Safety Foundation Annual International Air Safety Seminar, International Federation of Airworthiness International Conference, and the International Air Transport Association</v>
      </c>
      <c r="B3912" s="4" t="s">
        <v>8</v>
      </c>
      <c r="C3912" s="4" t="str">
        <f t="shared" si="136"/>
        <v>-</v>
      </c>
      <c r="D3912" s="4" t="str">
        <f>"15284425"</f>
        <v>15284425</v>
      </c>
      <c r="E3912" s="4" t="str">
        <f t="shared" ref="E3912:E3926" si="140">"-"</f>
        <v>-</v>
      </c>
      <c r="F3912" s="4" t="s">
        <v>548</v>
      </c>
    </row>
    <row r="3913" spans="1:6" x14ac:dyDescent="0.25">
      <c r="A3913" s="4" t="str">
        <f>"Proceedings of the Forum on Research and Technology Advances in Digital Libraries, ADL"</f>
        <v>Proceedings of the Forum on Research and Technology Advances in Digital Libraries, ADL</v>
      </c>
      <c r="B3913" s="4" t="s">
        <v>8</v>
      </c>
      <c r="C3913" s="4" t="str">
        <f t="shared" si="136"/>
        <v>-</v>
      </c>
      <c r="D3913" s="4" t="str">
        <f>"-"</f>
        <v>-</v>
      </c>
      <c r="E3913" s="4" t="str">
        <f t="shared" si="140"/>
        <v>-</v>
      </c>
      <c r="F3913" s="4" t="s">
        <v>105</v>
      </c>
    </row>
    <row r="3914" spans="1:6" x14ac:dyDescent="0.25">
      <c r="A3914" s="4" t="str">
        <f>"Proceedings of the Hawaii International Conference on System Sciences"</f>
        <v>Proceedings of the Hawaii International Conference on System Sciences</v>
      </c>
      <c r="B3914" s="4" t="s">
        <v>8</v>
      </c>
      <c r="C3914" s="4" t="str">
        <f t="shared" si="136"/>
        <v>-</v>
      </c>
      <c r="D3914" s="4" t="str">
        <f>"10603425"</f>
        <v>10603425</v>
      </c>
      <c r="E3914" s="4" t="str">
        <f t="shared" si="140"/>
        <v>-</v>
      </c>
      <c r="F3914" s="4" t="s">
        <v>9</v>
      </c>
    </row>
    <row r="3915" spans="1:6" x14ac:dyDescent="0.25">
      <c r="A3915" s="4" t="str">
        <f>"Proceedings of the Heat Transfer and Fluid Mechanics Institute"</f>
        <v>Proceedings of the Heat Transfer and Fluid Mechanics Institute</v>
      </c>
      <c r="B3915" s="4" t="s">
        <v>8</v>
      </c>
      <c r="C3915" s="4" t="str">
        <f t="shared" si="136"/>
        <v>-</v>
      </c>
      <c r="D3915" s="4" t="str">
        <f>"0097059X"</f>
        <v>0097059X</v>
      </c>
      <c r="E3915" s="4" t="str">
        <f t="shared" si="140"/>
        <v>-</v>
      </c>
      <c r="F3915" s="4" t="s">
        <v>975</v>
      </c>
    </row>
    <row r="3916" spans="1:6" x14ac:dyDescent="0.25">
      <c r="A3916" s="4" t="str">
        <f>"Proceedings of the Heterogeneous Computing Workshop, HCW"</f>
        <v>Proceedings of the Heterogeneous Computing Workshop, HCW</v>
      </c>
      <c r="B3916" s="4" t="s">
        <v>8</v>
      </c>
      <c r="C3916" s="4" t="str">
        <f t="shared" si="136"/>
        <v>-</v>
      </c>
      <c r="D3916" s="4" t="str">
        <f>"-"</f>
        <v>-</v>
      </c>
      <c r="E3916" s="4" t="str">
        <f t="shared" si="140"/>
        <v>-</v>
      </c>
      <c r="F3916" s="4" t="s">
        <v>9</v>
      </c>
    </row>
    <row r="3917" spans="1:6" x14ac:dyDescent="0.25">
      <c r="A3917" s="4" t="str">
        <f>"Proceedings of the Human Factors and Ergonomics Society"</f>
        <v>Proceedings of the Human Factors and Ergonomics Society</v>
      </c>
      <c r="B3917" s="4" t="s">
        <v>8</v>
      </c>
      <c r="C3917" s="4" t="str">
        <f t="shared" ref="C3917:C3934" si="141">"-"</f>
        <v>-</v>
      </c>
      <c r="D3917" s="4" t="str">
        <f>"10711813"</f>
        <v>10711813</v>
      </c>
      <c r="E3917" s="4" t="str">
        <f t="shared" si="140"/>
        <v>-</v>
      </c>
      <c r="F3917" s="4" t="s">
        <v>976</v>
      </c>
    </row>
    <row r="3918" spans="1:6" x14ac:dyDescent="0.25">
      <c r="A3918" s="4" t="str">
        <f>"Proceedings of the IASTED International Conference on Intelligent Systems and Control"</f>
        <v>Proceedings of the IASTED International Conference on Intelligent Systems and Control</v>
      </c>
      <c r="B3918" s="4" t="s">
        <v>8</v>
      </c>
      <c r="C3918" s="4" t="str">
        <f t="shared" si="141"/>
        <v>-</v>
      </c>
      <c r="D3918" s="4" t="str">
        <f>"10258973"</f>
        <v>10258973</v>
      </c>
      <c r="E3918" s="4" t="str">
        <f t="shared" si="140"/>
        <v>-</v>
      </c>
      <c r="F3918" s="4" t="s">
        <v>305</v>
      </c>
    </row>
    <row r="3919" spans="1:6" x14ac:dyDescent="0.25">
      <c r="A3919" s="4" t="str">
        <f>"Proceedings of the IASTED International Conference on Modelling and Simulation"</f>
        <v>Proceedings of the IASTED International Conference on Modelling and Simulation</v>
      </c>
      <c r="B3919" s="4" t="s">
        <v>8</v>
      </c>
      <c r="C3919" s="4" t="str">
        <f t="shared" si="141"/>
        <v>-</v>
      </c>
      <c r="D3919" s="4" t="str">
        <f>"10218181"</f>
        <v>10218181</v>
      </c>
      <c r="E3919" s="4" t="str">
        <f t="shared" si="140"/>
        <v>-</v>
      </c>
      <c r="F3919" s="4" t="s">
        <v>305</v>
      </c>
    </row>
    <row r="3920" spans="1:6" x14ac:dyDescent="0.25">
      <c r="A3920" s="4" t="str">
        <f>"Proceedings of the IASTED International Conference on Modelling, Identification and Control"</f>
        <v>Proceedings of the IASTED International Conference on Modelling, Identification and Control</v>
      </c>
      <c r="B3920" s="4" t="s">
        <v>8</v>
      </c>
      <c r="C3920" s="4" t="str">
        <f t="shared" si="141"/>
        <v>-</v>
      </c>
      <c r="D3920" s="4" t="str">
        <f>"10258973"</f>
        <v>10258973</v>
      </c>
      <c r="E3920" s="4" t="str">
        <f t="shared" si="140"/>
        <v>-</v>
      </c>
      <c r="F3920" s="4" t="s">
        <v>305</v>
      </c>
    </row>
    <row r="3921" spans="1:6" x14ac:dyDescent="0.25">
      <c r="A3921" s="4" t="str">
        <f>"Proceedings of the IASTED International Conference on Modelling, Identification, and Control, MIC"</f>
        <v>Proceedings of the IASTED International Conference on Modelling, Identification, and Control, MIC</v>
      </c>
      <c r="B3921" s="4" t="s">
        <v>8</v>
      </c>
      <c r="C3921" s="4" t="str">
        <f t="shared" si="141"/>
        <v>-</v>
      </c>
      <c r="D3921" s="4" t="str">
        <f>"10258973"</f>
        <v>10258973</v>
      </c>
      <c r="E3921" s="4" t="str">
        <f t="shared" si="140"/>
        <v>-</v>
      </c>
      <c r="F3921" s="4" t="s">
        <v>305</v>
      </c>
    </row>
    <row r="3922" spans="1:6" x14ac:dyDescent="0.25">
      <c r="A3922" s="4" t="str">
        <f>"Proceedings of the IASTED International Conference on Modelling, Simulation, and Optimization"</f>
        <v>Proceedings of the IASTED International Conference on Modelling, Simulation, and Optimization</v>
      </c>
      <c r="B3922" s="4" t="s">
        <v>8</v>
      </c>
      <c r="C3922" s="4" t="str">
        <f t="shared" si="141"/>
        <v>-</v>
      </c>
      <c r="D3922" s="4" t="str">
        <f>"-"</f>
        <v>-</v>
      </c>
      <c r="E3922" s="4" t="str">
        <f t="shared" si="140"/>
        <v>-</v>
      </c>
      <c r="F3922" s="4" t="s">
        <v>305</v>
      </c>
    </row>
    <row r="3923" spans="1:6" x14ac:dyDescent="0.25">
      <c r="A3923" s="4" t="str">
        <f>"Proceedings of the IASTED International Conference on Parallel and Distributed Computing and Systems"</f>
        <v>Proceedings of the IASTED International Conference on Parallel and Distributed Computing and Systems</v>
      </c>
      <c r="B3923" s="4" t="s">
        <v>8</v>
      </c>
      <c r="C3923" s="4" t="str">
        <f t="shared" si="141"/>
        <v>-</v>
      </c>
      <c r="D3923" s="4" t="str">
        <f>"10272658"</f>
        <v>10272658</v>
      </c>
      <c r="E3923" s="4" t="str">
        <f t="shared" si="140"/>
        <v>-</v>
      </c>
      <c r="F3923" s="4" t="s">
        <v>305</v>
      </c>
    </row>
    <row r="3924" spans="1:6" x14ac:dyDescent="0.25">
      <c r="A3924" s="4" t="str">
        <f>"Proceedings of the IASTED International Conference on Robotics and Applications"</f>
        <v>Proceedings of the IASTED International Conference on Robotics and Applications</v>
      </c>
      <c r="B3924" s="4" t="s">
        <v>8</v>
      </c>
      <c r="C3924" s="4" t="str">
        <f t="shared" si="141"/>
        <v>-</v>
      </c>
      <c r="D3924" s="4" t="str">
        <f>"1027264X"</f>
        <v>1027264X</v>
      </c>
      <c r="E3924" s="4" t="str">
        <f t="shared" si="140"/>
        <v>-</v>
      </c>
      <c r="F3924" s="4" t="s">
        <v>305</v>
      </c>
    </row>
    <row r="3925" spans="1:6" x14ac:dyDescent="0.25">
      <c r="A3925" s="4" t="str">
        <f>"Proceedings of the IASTED International Multi-Conference on Applied Informatics"</f>
        <v>Proceedings of the IASTED International Multi-Conference on Applied Informatics</v>
      </c>
      <c r="B3925" s="4" t="s">
        <v>8</v>
      </c>
      <c r="C3925" s="4" t="str">
        <f t="shared" si="141"/>
        <v>-</v>
      </c>
      <c r="D3925" s="4" t="str">
        <f>"10272666"</f>
        <v>10272666</v>
      </c>
      <c r="E3925" s="4" t="str">
        <f t="shared" si="140"/>
        <v>-</v>
      </c>
      <c r="F3925" s="4" t="s">
        <v>305</v>
      </c>
    </row>
    <row r="3926" spans="1:6" x14ac:dyDescent="0.25">
      <c r="A3926" s="4" t="str">
        <f>"Proceedings of the IEEE"</f>
        <v>Proceedings of the IEEE</v>
      </c>
      <c r="B3926" s="4" t="s">
        <v>6</v>
      </c>
      <c r="C3926" s="4" t="str">
        <f t="shared" si="141"/>
        <v>-</v>
      </c>
      <c r="D3926" s="4" t="str">
        <f>"00189219"</f>
        <v>00189219</v>
      </c>
      <c r="E3926" s="4" t="str">
        <f t="shared" si="140"/>
        <v>-</v>
      </c>
      <c r="F3926" s="4" t="s">
        <v>105</v>
      </c>
    </row>
    <row r="3927" spans="1:6" x14ac:dyDescent="0.25">
      <c r="A3927" s="4" t="str">
        <f>"Proceedings of the IEEE Annual Northeast Bioengineering Conference, NEBEC"</f>
        <v>Proceedings of the IEEE Annual Northeast Bioengineering Conference, NEBEC</v>
      </c>
      <c r="B3927" s="4" t="s">
        <v>8</v>
      </c>
      <c r="C3927" s="4" t="str">
        <f t="shared" si="141"/>
        <v>-</v>
      </c>
      <c r="D3927" s="4" t="str">
        <f>"1071121X"</f>
        <v>1071121X</v>
      </c>
      <c r="E3927" s="4" t="str">
        <f>"21607001"</f>
        <v>21607001</v>
      </c>
      <c r="F3927" s="4" t="s">
        <v>105</v>
      </c>
    </row>
    <row r="3928" spans="1:6" x14ac:dyDescent="0.25">
      <c r="A3928" s="4" t="str">
        <f>"Proceedings of the IEEE Bipolar/BiCMOS Circuits and Technology Meeting"</f>
        <v>Proceedings of the IEEE Bipolar/BiCMOS Circuits and Technology Meeting</v>
      </c>
      <c r="B3928" s="4" t="s">
        <v>8</v>
      </c>
      <c r="C3928" s="4" t="str">
        <f t="shared" si="141"/>
        <v>-</v>
      </c>
      <c r="D3928" s="4" t="str">
        <f>"10889299"</f>
        <v>10889299</v>
      </c>
      <c r="E3928" s="4" t="str">
        <f t="shared" ref="E3928:E3933" si="142">"-"</f>
        <v>-</v>
      </c>
      <c r="F3928" s="4" t="s">
        <v>105</v>
      </c>
    </row>
    <row r="3929" spans="1:6" x14ac:dyDescent="0.25">
      <c r="A3929" s="4" t="str">
        <f>"Proceedings of the IEEE Computer Society Conference on Computer Vision and Pattern Recognition"</f>
        <v>Proceedings of the IEEE Computer Society Conference on Computer Vision and Pattern Recognition</v>
      </c>
      <c r="B3929" s="4" t="s">
        <v>8</v>
      </c>
      <c r="C3929" s="4" t="str">
        <f t="shared" si="141"/>
        <v>-</v>
      </c>
      <c r="D3929" s="4" t="str">
        <f>"10636919"</f>
        <v>10636919</v>
      </c>
      <c r="E3929" s="4" t="str">
        <f t="shared" si="142"/>
        <v>-</v>
      </c>
      <c r="F3929" s="4" t="s">
        <v>9</v>
      </c>
    </row>
    <row r="3930" spans="1:6" x14ac:dyDescent="0.25">
      <c r="A3930" s="4" t="str">
        <f>"Proceedings of the IEEE Computer Society Symposium on Research in Security and Privacy"</f>
        <v>Proceedings of the IEEE Computer Society Symposium on Research in Security and Privacy</v>
      </c>
      <c r="B3930" s="4" t="s">
        <v>8</v>
      </c>
      <c r="C3930" s="4" t="str">
        <f t="shared" si="141"/>
        <v>-</v>
      </c>
      <c r="D3930" s="4" t="str">
        <f>"10637109"</f>
        <v>10637109</v>
      </c>
      <c r="E3930" s="4" t="str">
        <f t="shared" si="142"/>
        <v>-</v>
      </c>
      <c r="F3930" s="4" t="s">
        <v>105</v>
      </c>
    </row>
    <row r="3931" spans="1:6" x14ac:dyDescent="0.25">
      <c r="A3931" s="4" t="str">
        <f>"Proceedings of the IEEE Computer Society Workshop on Future Trends of Distributed Computing Systems"</f>
        <v>Proceedings of the IEEE Computer Society Workshop on Future Trends of Distributed Computing Systems</v>
      </c>
      <c r="B3931" s="4" t="s">
        <v>8</v>
      </c>
      <c r="C3931" s="4" t="str">
        <f t="shared" si="141"/>
        <v>-</v>
      </c>
      <c r="D3931" s="4" t="str">
        <f>"-"</f>
        <v>-</v>
      </c>
      <c r="E3931" s="4" t="str">
        <f t="shared" si="142"/>
        <v>-</v>
      </c>
      <c r="F3931" s="4" t="s">
        <v>9</v>
      </c>
    </row>
    <row r="3932" spans="1:6" x14ac:dyDescent="0.25">
      <c r="A3932" s="4" t="str">
        <f>"Proceedings of the IEEE Conference on Decision and Control"</f>
        <v>Proceedings of the IEEE Conference on Decision and Control</v>
      </c>
      <c r="B3932" s="4" t="s">
        <v>8</v>
      </c>
      <c r="C3932" s="4" t="str">
        <f t="shared" si="141"/>
        <v>-</v>
      </c>
      <c r="D3932" s="4" t="str">
        <f>"07431546"</f>
        <v>07431546</v>
      </c>
      <c r="E3932" s="4" t="str">
        <f t="shared" si="142"/>
        <v>-</v>
      </c>
      <c r="F3932" s="4" t="s">
        <v>105</v>
      </c>
    </row>
    <row r="3933" spans="1:6" x14ac:dyDescent="0.25">
      <c r="A3933" s="4" t="str">
        <f>"Proceedings of the IEEE Conference on Evolutionary Computation, ICEC"</f>
        <v>Proceedings of the IEEE Conference on Evolutionary Computation, ICEC</v>
      </c>
      <c r="B3933" s="4" t="s">
        <v>8</v>
      </c>
      <c r="C3933" s="4" t="str">
        <f t="shared" si="141"/>
        <v>-</v>
      </c>
      <c r="D3933" s="4" t="str">
        <f>"-"</f>
        <v>-</v>
      </c>
      <c r="E3933" s="4" t="str">
        <f t="shared" si="142"/>
        <v>-</v>
      </c>
      <c r="F3933" s="4" t="s">
        <v>105</v>
      </c>
    </row>
    <row r="3934" spans="1:6" x14ac:dyDescent="0.25">
      <c r="A3934" s="4" t="str">
        <f>"Proceedings of the IEEE Conference on Nanotechnology"</f>
        <v>Proceedings of the IEEE Conference on Nanotechnology</v>
      </c>
      <c r="B3934" s="4" t="s">
        <v>8</v>
      </c>
      <c r="C3934" s="4" t="str">
        <f t="shared" si="141"/>
        <v>-</v>
      </c>
      <c r="D3934" s="4" t="str">
        <f>"19449399"</f>
        <v>19449399</v>
      </c>
      <c r="E3934" s="4" t="str">
        <f>"19449380"</f>
        <v>19449380</v>
      </c>
      <c r="F3934" s="4" t="s">
        <v>9</v>
      </c>
    </row>
    <row r="3935" spans="1:6" x14ac:dyDescent="0.25">
      <c r="A3935" s="4" t="str">
        <f>"Proceedings of the IEEE Conference on Nanotechnology"</f>
        <v>Proceedings of the IEEE Conference on Nanotechnology</v>
      </c>
      <c r="B3935" s="4" t="s">
        <v>8</v>
      </c>
      <c r="C3935" s="4" t="str">
        <f>"9781479956227"</f>
        <v>9781479956227</v>
      </c>
      <c r="D3935" s="4" t="str">
        <f>"-"</f>
        <v>-</v>
      </c>
      <c r="E3935" s="4" t="str">
        <f>"1944 9399"</f>
        <v>1944 9399</v>
      </c>
      <c r="F3935" s="4" t="s">
        <v>105</v>
      </c>
    </row>
    <row r="3936" spans="1:6" ht="30" x14ac:dyDescent="0.25">
      <c r="A3936" s="4" t="str">
        <f>"Proceedings of the IEEE Cornell Conference on Advanced Concepts in High Speed Semiconductor Devices and Circuits"</f>
        <v>Proceedings of the IEEE Cornell Conference on Advanced Concepts in High Speed Semiconductor Devices and Circuits</v>
      </c>
      <c r="B3936" s="4" t="s">
        <v>8</v>
      </c>
      <c r="C3936" s="4" t="str">
        <f t="shared" ref="C3936:C3999" si="143">"-"</f>
        <v>-</v>
      </c>
      <c r="D3936" s="4" t="str">
        <f>"-"</f>
        <v>-</v>
      </c>
      <c r="E3936" s="4" t="str">
        <f t="shared" ref="E3936:E3946" si="144">"-"</f>
        <v>-</v>
      </c>
      <c r="F3936" s="4" t="s">
        <v>105</v>
      </c>
    </row>
    <row r="3937" spans="1:6" x14ac:dyDescent="0.25">
      <c r="A3937" s="4" t="str">
        <f>"Proceedings of the IEEE Hong Kong Electron Devices Meeting"</f>
        <v>Proceedings of the IEEE Hong Kong Electron Devices Meeting</v>
      </c>
      <c r="B3937" s="4" t="s">
        <v>8</v>
      </c>
      <c r="C3937" s="4" t="str">
        <f t="shared" si="143"/>
        <v>-</v>
      </c>
      <c r="D3937" s="4" t="str">
        <f>"-"</f>
        <v>-</v>
      </c>
      <c r="E3937" s="4" t="str">
        <f t="shared" si="144"/>
        <v>-</v>
      </c>
      <c r="F3937" s="4" t="s">
        <v>105</v>
      </c>
    </row>
    <row r="3938" spans="1:6" x14ac:dyDescent="0.25">
      <c r="A3938" s="4" t="str">
        <f>"Proceedings of the IEEE International Caracas Conference on Devices, Circuits and Systems, ICCDCS"</f>
        <v>Proceedings of the IEEE International Caracas Conference on Devices, Circuits and Systems, ICCDCS</v>
      </c>
      <c r="B3938" s="4" t="s">
        <v>8</v>
      </c>
      <c r="C3938" s="4" t="str">
        <f t="shared" si="143"/>
        <v>-</v>
      </c>
      <c r="D3938" s="4" t="str">
        <f>"15416275"</f>
        <v>15416275</v>
      </c>
      <c r="E3938" s="4" t="str">
        <f t="shared" si="144"/>
        <v>-</v>
      </c>
      <c r="F3938" s="4" t="s">
        <v>105</v>
      </c>
    </row>
    <row r="3939" spans="1:6" x14ac:dyDescent="0.25">
      <c r="A3939" s="4" t="str">
        <f>"Proceedings of the IEEE International Conference on Computer Vision"</f>
        <v>Proceedings of the IEEE International Conference on Computer Vision</v>
      </c>
      <c r="B3939" s="4" t="s">
        <v>8</v>
      </c>
      <c r="C3939" s="4" t="str">
        <f t="shared" si="143"/>
        <v>-</v>
      </c>
      <c r="D3939" s="4" t="str">
        <f>"15505499"</f>
        <v>15505499</v>
      </c>
      <c r="E3939" s="4" t="str">
        <f t="shared" si="144"/>
        <v>-</v>
      </c>
      <c r="F3939" s="4" t="s">
        <v>105</v>
      </c>
    </row>
    <row r="3940" spans="1:6" x14ac:dyDescent="0.25">
      <c r="A3940" s="4" t="str">
        <f>"Proceedings of the IEEE International Conference on Control Applications"</f>
        <v>Proceedings of the IEEE International Conference on Control Applications</v>
      </c>
      <c r="B3940" s="4" t="s">
        <v>8</v>
      </c>
      <c r="C3940" s="4" t="str">
        <f t="shared" si="143"/>
        <v>-</v>
      </c>
      <c r="D3940" s="4" t="str">
        <f>"-"</f>
        <v>-</v>
      </c>
      <c r="E3940" s="4" t="str">
        <f t="shared" si="144"/>
        <v>-</v>
      </c>
      <c r="F3940" s="4" t="s">
        <v>105</v>
      </c>
    </row>
    <row r="3941" spans="1:6" x14ac:dyDescent="0.25">
      <c r="A3941" s="4" t="str">
        <f>"Proceedings of the IEEE International Conference on Electronics, Circuits, and Systems"</f>
        <v>Proceedings of the IEEE International Conference on Electronics, Circuits, and Systems</v>
      </c>
      <c r="B3941" s="4" t="s">
        <v>8</v>
      </c>
      <c r="C3941" s="4" t="str">
        <f t="shared" si="143"/>
        <v>-</v>
      </c>
      <c r="D3941" s="4" t="str">
        <f>"-"</f>
        <v>-</v>
      </c>
      <c r="E3941" s="4" t="str">
        <f t="shared" si="144"/>
        <v>-</v>
      </c>
      <c r="F3941" s="4" t="s">
        <v>105</v>
      </c>
    </row>
    <row r="3942" spans="1:6" x14ac:dyDescent="0.25">
      <c r="A3942" s="4" t="str">
        <f>"Proceedings of the IEEE International Conference on Engineering of Complex Computer Systems, ICECCS"</f>
        <v>Proceedings of the IEEE International Conference on Engineering of Complex Computer Systems, ICECCS</v>
      </c>
      <c r="B3942" s="4" t="s">
        <v>8</v>
      </c>
      <c r="C3942" s="4" t="str">
        <f t="shared" si="143"/>
        <v>-</v>
      </c>
      <c r="D3942" s="4" t="str">
        <f>"-"</f>
        <v>-</v>
      </c>
      <c r="E3942" s="4" t="str">
        <f t="shared" si="144"/>
        <v>-</v>
      </c>
      <c r="F3942" s="4" t="s">
        <v>105</v>
      </c>
    </row>
    <row r="3943" spans="1:6" x14ac:dyDescent="0.25">
      <c r="A3943" s="4" t="str">
        <f>"Proceedings of the IEEE International Conference on Industrial Technology"</f>
        <v>Proceedings of the IEEE International Conference on Industrial Technology</v>
      </c>
      <c r="B3943" s="4" t="s">
        <v>8</v>
      </c>
      <c r="C3943" s="4" t="str">
        <f t="shared" si="143"/>
        <v>-</v>
      </c>
      <c r="D3943" s="4" t="str">
        <f>"-"</f>
        <v>-</v>
      </c>
      <c r="E3943" s="4" t="str">
        <f t="shared" si="144"/>
        <v>-</v>
      </c>
      <c r="F3943" s="4" t="s">
        <v>105</v>
      </c>
    </row>
    <row r="3944" spans="1:6" x14ac:dyDescent="0.25">
      <c r="A3944" s="4" t="str">
        <f>"Proceedings of the IEEE International Conference on Micro Electro Mechanical Systems (MEMS)"</f>
        <v>Proceedings of the IEEE International Conference on Micro Electro Mechanical Systems (MEMS)</v>
      </c>
      <c r="B3944" s="4" t="s">
        <v>8</v>
      </c>
      <c r="C3944" s="4" t="str">
        <f t="shared" si="143"/>
        <v>-</v>
      </c>
      <c r="D3944" s="4" t="str">
        <f>"10846999"</f>
        <v>10846999</v>
      </c>
      <c r="E3944" s="4" t="str">
        <f t="shared" si="144"/>
        <v>-</v>
      </c>
      <c r="F3944" s="4" t="s">
        <v>105</v>
      </c>
    </row>
    <row r="3945" spans="1:6" x14ac:dyDescent="0.25">
      <c r="A3945" s="4" t="str">
        <f>"Proceedings of the IEEE International Conference on Properties and Applications of Dielectric Materials"</f>
        <v>Proceedings of the IEEE International Conference on Properties and Applications of Dielectric Materials</v>
      </c>
      <c r="B3945" s="4" t="s">
        <v>8</v>
      </c>
      <c r="C3945" s="4" t="str">
        <f t="shared" si="143"/>
        <v>-</v>
      </c>
      <c r="D3945" s="4" t="str">
        <f>"-"</f>
        <v>-</v>
      </c>
      <c r="E3945" s="4" t="str">
        <f t="shared" si="144"/>
        <v>-</v>
      </c>
      <c r="F3945" s="4" t="s">
        <v>105</v>
      </c>
    </row>
    <row r="3946" spans="1:6" x14ac:dyDescent="0.25">
      <c r="A3946" s="4" t="str">
        <f>"Proceedings of the IEEE International Conference on Requirements Engineering"</f>
        <v>Proceedings of the IEEE International Conference on Requirements Engineering</v>
      </c>
      <c r="B3946" s="4" t="s">
        <v>8</v>
      </c>
      <c r="C3946" s="4" t="str">
        <f t="shared" si="143"/>
        <v>-</v>
      </c>
      <c r="D3946" s="4" t="str">
        <f>"1090705X"</f>
        <v>1090705X</v>
      </c>
      <c r="E3946" s="4" t="str">
        <f t="shared" si="144"/>
        <v>-</v>
      </c>
      <c r="F3946" s="4" t="s">
        <v>9</v>
      </c>
    </row>
    <row r="3947" spans="1:6" x14ac:dyDescent="0.25">
      <c r="A3947" s="4" t="str">
        <f>"Proceedings of the IEEE International Conference on Software Engineering and Service Sciences, ICSESS"</f>
        <v>Proceedings of the IEEE International Conference on Software Engineering and Service Sciences, ICSESS</v>
      </c>
      <c r="B3947" s="4" t="s">
        <v>8</v>
      </c>
      <c r="C3947" s="4" t="str">
        <f t="shared" si="143"/>
        <v>-</v>
      </c>
      <c r="D3947" s="4" t="str">
        <f>"23270586"</f>
        <v>23270586</v>
      </c>
      <c r="E3947" s="4" t="str">
        <f>"23270594"</f>
        <v>23270594</v>
      </c>
      <c r="F3947" s="4" t="s">
        <v>9</v>
      </c>
    </row>
    <row r="3948" spans="1:6" ht="30" x14ac:dyDescent="0.25">
      <c r="A3948" s="4" t="str">
        <f>"Proceedings of the IEEE International Conference on Transmission and Distribution Construction and Live Line Maintenance, ESMO"</f>
        <v>Proceedings of the IEEE International Conference on Transmission and Distribution Construction and Live Line Maintenance, ESMO</v>
      </c>
      <c r="B3948" s="4" t="s">
        <v>8</v>
      </c>
      <c r="C3948" s="4" t="str">
        <f t="shared" si="143"/>
        <v>-</v>
      </c>
      <c r="D3948" s="4" t="str">
        <f>"-"</f>
        <v>-</v>
      </c>
      <c r="E3948" s="4" t="str">
        <f>"-"</f>
        <v>-</v>
      </c>
      <c r="F3948" s="4" t="s">
        <v>105</v>
      </c>
    </row>
    <row r="3949" spans="1:6" x14ac:dyDescent="0.25">
      <c r="A3949" s="4" t="str">
        <f>"Proceedings of the IEEE International Conference on VLSI Design"</f>
        <v>Proceedings of the IEEE International Conference on VLSI Design</v>
      </c>
      <c r="B3949" s="4" t="s">
        <v>8</v>
      </c>
      <c r="C3949" s="4" t="str">
        <f t="shared" si="143"/>
        <v>-</v>
      </c>
      <c r="D3949" s="4" t="str">
        <f>"10639667"</f>
        <v>10639667</v>
      </c>
      <c r="E3949" s="4" t="str">
        <f>"-"</f>
        <v>-</v>
      </c>
      <c r="F3949" s="4" t="s">
        <v>9</v>
      </c>
    </row>
    <row r="3950" spans="1:6" x14ac:dyDescent="0.25">
      <c r="A3950" s="4" t="str">
        <f>"Proceedings of the IEEE International Frequency Control Symposium and Exposition"</f>
        <v>Proceedings of the IEEE International Frequency Control Symposium and Exposition</v>
      </c>
      <c r="B3950" s="4" t="s">
        <v>8</v>
      </c>
      <c r="C3950" s="4" t="str">
        <f t="shared" si="143"/>
        <v>-</v>
      </c>
      <c r="D3950" s="4" t="str">
        <f>"-"</f>
        <v>-</v>
      </c>
      <c r="E3950" s="4" t="str">
        <f>"-"</f>
        <v>-</v>
      </c>
      <c r="F3950" s="4" t="s">
        <v>105</v>
      </c>
    </row>
    <row r="3951" spans="1:6" x14ac:dyDescent="0.25">
      <c r="A3951" s="4" t="str">
        <f>"Proceedings of the IEEE International Symposium on Assembly and Task Planning"</f>
        <v>Proceedings of the IEEE International Symposium on Assembly and Task Planning</v>
      </c>
      <c r="B3951" s="4" t="s">
        <v>8</v>
      </c>
      <c r="C3951" s="4" t="str">
        <f t="shared" si="143"/>
        <v>-</v>
      </c>
      <c r="D3951" s="4" t="str">
        <f>"-"</f>
        <v>-</v>
      </c>
      <c r="E3951" s="4" t="str">
        <f>"-"</f>
        <v>-</v>
      </c>
      <c r="F3951" s="4" t="s">
        <v>9</v>
      </c>
    </row>
    <row r="3952" spans="1:6" x14ac:dyDescent="0.25">
      <c r="A3952" s="4" t="str">
        <f>"Proceedings of the IEEE International Symposium on Computer-Aided Control System Design"</f>
        <v>Proceedings of the IEEE International Symposium on Computer-Aided Control System Design</v>
      </c>
      <c r="B3952" s="4" t="s">
        <v>8</v>
      </c>
      <c r="C3952" s="4" t="str">
        <f t="shared" si="143"/>
        <v>-</v>
      </c>
      <c r="D3952" s="4" t="str">
        <f>"21653011"</f>
        <v>21653011</v>
      </c>
      <c r="E3952" s="4" t="str">
        <f>"2165302X"</f>
        <v>2165302X</v>
      </c>
      <c r="F3952" s="4" t="s">
        <v>105</v>
      </c>
    </row>
    <row r="3953" spans="1:6" x14ac:dyDescent="0.25">
      <c r="A3953" s="4" t="str">
        <f>"Proceedings of the IEEE International Symposium on High Performance Distributed Computing"</f>
        <v>Proceedings of the IEEE International Symposium on High Performance Distributed Computing</v>
      </c>
      <c r="B3953" s="4" t="s">
        <v>8</v>
      </c>
      <c r="C3953" s="4" t="str">
        <f t="shared" si="143"/>
        <v>-</v>
      </c>
      <c r="D3953" s="4" t="str">
        <f>"10828907"</f>
        <v>10828907</v>
      </c>
      <c r="E3953" s="4" t="str">
        <f>"-"</f>
        <v>-</v>
      </c>
      <c r="F3953" s="4" t="s">
        <v>105</v>
      </c>
    </row>
    <row r="3954" spans="1:6" x14ac:dyDescent="0.25">
      <c r="A3954" s="4" t="str">
        <f>"Proceedings of the IEEE International Vacuum Microelectronics Conference, IVMC"</f>
        <v>Proceedings of the IEEE International Vacuum Microelectronics Conference, IVMC</v>
      </c>
      <c r="B3954" s="4" t="s">
        <v>8</v>
      </c>
      <c r="C3954" s="4" t="str">
        <f t="shared" si="143"/>
        <v>-</v>
      </c>
      <c r="D3954" s="4" t="str">
        <f>"-"</f>
        <v>-</v>
      </c>
      <c r="E3954" s="4" t="str">
        <f>"-"</f>
        <v>-</v>
      </c>
      <c r="F3954" s="4" t="s">
        <v>105</v>
      </c>
    </row>
    <row r="3955" spans="1:6" x14ac:dyDescent="0.25">
      <c r="A3955" s="4" t="str">
        <f>"Proceedings of the IEEE International Workshop on Behavioral Modeling and Simulation, BMAS"</f>
        <v>Proceedings of the IEEE International Workshop on Behavioral Modeling and Simulation, BMAS</v>
      </c>
      <c r="B3955" s="4" t="s">
        <v>8</v>
      </c>
      <c r="C3955" s="4" t="str">
        <f t="shared" si="143"/>
        <v>-</v>
      </c>
      <c r="D3955" s="4" t="str">
        <f>"21603804"</f>
        <v>21603804</v>
      </c>
      <c r="E3955" s="4" t="str">
        <f>"21603812"</f>
        <v>21603812</v>
      </c>
      <c r="F3955" s="4" t="s">
        <v>9</v>
      </c>
    </row>
    <row r="3956" spans="1:6" x14ac:dyDescent="0.25">
      <c r="A3956" s="4" t="str">
        <f>"Proceedings of the IEEE International Workshop on Cellular Neural Networks and their Applications"</f>
        <v>Proceedings of the IEEE International Workshop on Cellular Neural Networks and their Applications</v>
      </c>
      <c r="B3956" s="4" t="s">
        <v>8</v>
      </c>
      <c r="C3956" s="4" t="str">
        <f t="shared" si="143"/>
        <v>-</v>
      </c>
      <c r="D3956" s="4" t="str">
        <f>"-"</f>
        <v>-</v>
      </c>
      <c r="E3956" s="4" t="str">
        <f>"-"</f>
        <v>-</v>
      </c>
      <c r="F3956" s="4" t="s">
        <v>105</v>
      </c>
    </row>
    <row r="3957" spans="1:6" x14ac:dyDescent="0.25">
      <c r="A3957" s="4" t="str">
        <f>"Proceedings of the IEEE International Workshop on Research Issues in Data Engineering"</f>
        <v>Proceedings of the IEEE International Workshop on Research Issues in Data Engineering</v>
      </c>
      <c r="B3957" s="4" t="s">
        <v>8</v>
      </c>
      <c r="C3957" s="4" t="str">
        <f t="shared" si="143"/>
        <v>-</v>
      </c>
      <c r="D3957" s="4" t="str">
        <f>"-"</f>
        <v>-</v>
      </c>
      <c r="E3957" s="4" t="str">
        <f>"-"</f>
        <v>-</v>
      </c>
      <c r="F3957" s="4" t="s">
        <v>9</v>
      </c>
    </row>
    <row r="3958" spans="1:6" x14ac:dyDescent="0.25">
      <c r="A3958" s="4" t="str">
        <f>"Proceedings of the IEEE National Aerospace Electronics Conference, NAECON"</f>
        <v>Proceedings of the IEEE National Aerospace Electronics Conference, NAECON</v>
      </c>
      <c r="B3958" s="4" t="s">
        <v>8</v>
      </c>
      <c r="C3958" s="4" t="str">
        <f t="shared" si="143"/>
        <v>-</v>
      </c>
      <c r="D3958" s="4" t="str">
        <f>"05473578"</f>
        <v>05473578</v>
      </c>
      <c r="E3958" s="4" t="str">
        <f>"23792027"</f>
        <v>23792027</v>
      </c>
      <c r="F3958" s="4" t="s">
        <v>105</v>
      </c>
    </row>
    <row r="3959" spans="1:6" x14ac:dyDescent="0.25">
      <c r="A3959" s="4" t="str">
        <f>"Proceedings of the IEEE Particle Accelerator Conference"</f>
        <v>Proceedings of the IEEE Particle Accelerator Conference</v>
      </c>
      <c r="B3959" s="4" t="s">
        <v>8</v>
      </c>
      <c r="C3959" s="4" t="str">
        <f t="shared" si="143"/>
        <v>-</v>
      </c>
      <c r="D3959" s="4" t="str">
        <f>"-"</f>
        <v>-</v>
      </c>
      <c r="E3959" s="4" t="str">
        <f>"-"</f>
        <v>-</v>
      </c>
      <c r="F3959" s="4" t="s">
        <v>105</v>
      </c>
    </row>
    <row r="3960" spans="1:6" x14ac:dyDescent="0.25">
      <c r="A3960" s="4" t="str">
        <f>"Proceedings of the IEEE Power Engineering Society Transmission and Distribution Conference"</f>
        <v>Proceedings of the IEEE Power Engineering Society Transmission and Distribution Conference</v>
      </c>
      <c r="B3960" s="4" t="s">
        <v>8</v>
      </c>
      <c r="C3960" s="4" t="str">
        <f t="shared" si="143"/>
        <v>-</v>
      </c>
      <c r="D3960" s="4" t="str">
        <f>"21608555"</f>
        <v>21608555</v>
      </c>
      <c r="E3960" s="4" t="str">
        <f>"21608563"</f>
        <v>21608563</v>
      </c>
      <c r="F3960" s="4" t="s">
        <v>105</v>
      </c>
    </row>
    <row r="3961" spans="1:6" ht="30" x14ac:dyDescent="0.25">
      <c r="A3961" s="4" t="str">
        <f>"Proceedings of the IEEE RAS and EMBS International Conference on Biomedical Robotics and Biomechatronics"</f>
        <v>Proceedings of the IEEE RAS and EMBS International Conference on Biomedical Robotics and Biomechatronics</v>
      </c>
      <c r="B3961" s="4" t="s">
        <v>8</v>
      </c>
      <c r="C3961" s="4" t="str">
        <f t="shared" si="143"/>
        <v>-</v>
      </c>
      <c r="D3961" s="4" t="str">
        <f>"21551774"</f>
        <v>21551774</v>
      </c>
      <c r="E3961" s="4" t="str">
        <f>"-"</f>
        <v>-</v>
      </c>
      <c r="F3961" s="4" t="s">
        <v>9</v>
      </c>
    </row>
    <row r="3962" spans="1:6" x14ac:dyDescent="0.25">
      <c r="A3962" s="4" t="str">
        <f>"Proceedings of the IEEE Real-Time and Embedded Technology and Applications Symposium, RTAS"</f>
        <v>Proceedings of the IEEE Real-Time and Embedded Technology and Applications Symposium, RTAS</v>
      </c>
      <c r="B3962" s="4" t="s">
        <v>8</v>
      </c>
      <c r="C3962" s="4" t="str">
        <f t="shared" si="143"/>
        <v>-</v>
      </c>
      <c r="D3962" s="4" t="str">
        <f>"15453421"</f>
        <v>15453421</v>
      </c>
      <c r="E3962" s="4" t="str">
        <f>"-"</f>
        <v>-</v>
      </c>
      <c r="F3962" s="4" t="s">
        <v>105</v>
      </c>
    </row>
    <row r="3963" spans="1:6" x14ac:dyDescent="0.25">
      <c r="A3963" s="4" t="str">
        <f>"Proceedings of the IEEE Sensor Array and Multichannel Signal Processing Workshop"</f>
        <v>Proceedings of the IEEE Sensor Array and Multichannel Signal Processing Workshop</v>
      </c>
      <c r="B3963" s="4" t="s">
        <v>8</v>
      </c>
      <c r="C3963" s="4" t="str">
        <f t="shared" si="143"/>
        <v>-</v>
      </c>
      <c r="D3963" s="4" t="str">
        <f>"-"</f>
        <v>-</v>
      </c>
      <c r="E3963" s="4" t="str">
        <f>"2151870X"</f>
        <v>2151870X</v>
      </c>
      <c r="F3963" s="4" t="s">
        <v>9</v>
      </c>
    </row>
    <row r="3964" spans="1:6" x14ac:dyDescent="0.25">
      <c r="A3964" s="4" t="str">
        <f>"Proceedings of the IEEE Southwest Symposium on Image Analysis and Interpretation"</f>
        <v>Proceedings of the IEEE Southwest Symposium on Image Analysis and Interpretation</v>
      </c>
      <c r="B3964" s="4" t="s">
        <v>8</v>
      </c>
      <c r="C3964" s="4" t="str">
        <f t="shared" si="143"/>
        <v>-</v>
      </c>
      <c r="D3964" s="4" t="str">
        <f>"-"</f>
        <v>-</v>
      </c>
      <c r="E3964" s="4" t="str">
        <f t="shared" ref="E3964:E3981" si="145">"-"</f>
        <v>-</v>
      </c>
      <c r="F3964" s="4" t="s">
        <v>105</v>
      </c>
    </row>
    <row r="3965" spans="1:6" x14ac:dyDescent="0.25">
      <c r="A3965" s="4" t="str">
        <f>"Proceedings of the IEEE Symposium on Autonomous Underwater Vehicle Technology"</f>
        <v>Proceedings of the IEEE Symposium on Autonomous Underwater Vehicle Technology</v>
      </c>
      <c r="B3965" s="4" t="s">
        <v>8</v>
      </c>
      <c r="C3965" s="4" t="str">
        <f t="shared" si="143"/>
        <v>-</v>
      </c>
      <c r="D3965" s="4" t="str">
        <f>"-"</f>
        <v>-</v>
      </c>
      <c r="E3965" s="4" t="str">
        <f t="shared" si="145"/>
        <v>-</v>
      </c>
      <c r="F3965" s="4" t="s">
        <v>105</v>
      </c>
    </row>
    <row r="3966" spans="1:6" x14ac:dyDescent="0.25">
      <c r="A3966" s="4" t="str">
        <f>"Proceedings of the IEEE Symposium on Reliable Distributed Systems"</f>
        <v>Proceedings of the IEEE Symposium on Reliable Distributed Systems</v>
      </c>
      <c r="B3966" s="4" t="s">
        <v>8</v>
      </c>
      <c r="C3966" s="4" t="str">
        <f t="shared" si="143"/>
        <v>-</v>
      </c>
      <c r="D3966" s="4" t="str">
        <f>"10609857"</f>
        <v>10609857</v>
      </c>
      <c r="E3966" s="4" t="str">
        <f t="shared" si="145"/>
        <v>-</v>
      </c>
      <c r="F3966" s="4" t="s">
        <v>9</v>
      </c>
    </row>
    <row r="3967" spans="1:6" x14ac:dyDescent="0.25">
      <c r="A3967" s="4" t="str">
        <f>"Proceedings of the IEEE Visualization Conference"</f>
        <v>Proceedings of the IEEE Visualization Conference</v>
      </c>
      <c r="B3967" s="4" t="s">
        <v>8</v>
      </c>
      <c r="C3967" s="4" t="str">
        <f t="shared" si="143"/>
        <v>-</v>
      </c>
      <c r="D3967" s="4" t="str">
        <f>"-"</f>
        <v>-</v>
      </c>
      <c r="E3967" s="4" t="str">
        <f t="shared" si="145"/>
        <v>-</v>
      </c>
      <c r="F3967" s="4" t="s">
        <v>9</v>
      </c>
    </row>
    <row r="3968" spans="1:6" x14ac:dyDescent="0.25">
      <c r="A3968" s="4" t="str">
        <f>"Proceedings of the IEEE VLSI Test Symposium"</f>
        <v>Proceedings of the IEEE VLSI Test Symposium</v>
      </c>
      <c r="B3968" s="4" t="s">
        <v>8</v>
      </c>
      <c r="C3968" s="4" t="str">
        <f t="shared" si="143"/>
        <v>-</v>
      </c>
      <c r="D3968" s="4" t="str">
        <f>"-"</f>
        <v>-</v>
      </c>
      <c r="E3968" s="4" t="str">
        <f t="shared" si="145"/>
        <v>-</v>
      </c>
      <c r="F3968" s="4" t="s">
        <v>9</v>
      </c>
    </row>
    <row r="3969" spans="1:6" x14ac:dyDescent="0.25">
      <c r="A3969" s="4" t="str">
        <f>"Proceedings of the IEEE Working Conference on Current Measurement"</f>
        <v>Proceedings of the IEEE Working Conference on Current Measurement</v>
      </c>
      <c r="B3969" s="4" t="s">
        <v>8</v>
      </c>
      <c r="C3969" s="4" t="str">
        <f t="shared" si="143"/>
        <v>-</v>
      </c>
      <c r="D3969" s="4" t="str">
        <f>"-"</f>
        <v>-</v>
      </c>
      <c r="E3969" s="4" t="str">
        <f t="shared" si="145"/>
        <v>-</v>
      </c>
      <c r="F3969" s="4" t="s">
        <v>105</v>
      </c>
    </row>
    <row r="3970" spans="1:6" x14ac:dyDescent="0.25">
      <c r="A3970" s="4" t="str">
        <f>"Proceedings of the IEEE Working Conference on Current Measurement Technology"</f>
        <v>Proceedings of the IEEE Working Conference on Current Measurement Technology</v>
      </c>
      <c r="B3970" s="4" t="s">
        <v>8</v>
      </c>
      <c r="C3970" s="4" t="str">
        <f t="shared" si="143"/>
        <v>-</v>
      </c>
      <c r="D3970" s="4" t="str">
        <f>"-"</f>
        <v>-</v>
      </c>
      <c r="E3970" s="4" t="str">
        <f t="shared" si="145"/>
        <v>-</v>
      </c>
      <c r="F3970" s="4" t="s">
        <v>105</v>
      </c>
    </row>
    <row r="3971" spans="1:6" x14ac:dyDescent="0.25">
      <c r="A3971" s="4" t="str">
        <f>"Proceedings of the IEEE Workshop on Computers in Power Electronics, COMPEL"</f>
        <v>Proceedings of the IEEE Workshop on Computers in Power Electronics, COMPEL</v>
      </c>
      <c r="B3971" s="4" t="s">
        <v>8</v>
      </c>
      <c r="C3971" s="4" t="str">
        <f t="shared" si="143"/>
        <v>-</v>
      </c>
      <c r="D3971" s="4" t="str">
        <f>"10935142"</f>
        <v>10935142</v>
      </c>
      <c r="E3971" s="4" t="str">
        <f t="shared" si="145"/>
        <v>-</v>
      </c>
      <c r="F3971" s="4" t="s">
        <v>105</v>
      </c>
    </row>
    <row r="3972" spans="1:6" x14ac:dyDescent="0.25">
      <c r="A3972" s="4" t="str">
        <f>"Proceedings of the IEEE/ASME Joint Railroad Conference"</f>
        <v>Proceedings of the IEEE/ASME Joint Railroad Conference</v>
      </c>
      <c r="B3972" s="4" t="s">
        <v>8</v>
      </c>
      <c r="C3972" s="4" t="str">
        <f t="shared" si="143"/>
        <v>-</v>
      </c>
      <c r="D3972" s="4" t="str">
        <f>"-"</f>
        <v>-</v>
      </c>
      <c r="E3972" s="4" t="str">
        <f t="shared" si="145"/>
        <v>-</v>
      </c>
      <c r="F3972" s="4" t="s">
        <v>105</v>
      </c>
    </row>
    <row r="3973" spans="1:6" x14ac:dyDescent="0.25">
      <c r="A3973" s="4" t="str">
        <f>"Proceedings of the IEEE/CPMT International Electronics Manufacturing Technology (IEMT) Symposium"</f>
        <v>Proceedings of the IEEE/CPMT International Electronics Manufacturing Technology (IEMT) Symposium</v>
      </c>
      <c r="B3973" s="4" t="s">
        <v>8</v>
      </c>
      <c r="C3973" s="4" t="str">
        <f t="shared" si="143"/>
        <v>-</v>
      </c>
      <c r="D3973" s="4" t="str">
        <f>"10898190"</f>
        <v>10898190</v>
      </c>
      <c r="E3973" s="4" t="str">
        <f t="shared" si="145"/>
        <v>-</v>
      </c>
      <c r="F3973" s="4" t="s">
        <v>105</v>
      </c>
    </row>
    <row r="3974" spans="1:6" ht="30" x14ac:dyDescent="0.25">
      <c r="A3974" s="4" t="str">
        <f>"Proceedings of the IEEE/EMBS Region 8 International Conference on Information Technology Applications in Biomedicine, ITAB"</f>
        <v>Proceedings of the IEEE/EMBS Region 8 International Conference on Information Technology Applications in Biomedicine, ITAB</v>
      </c>
      <c r="B3974" s="4" t="s">
        <v>8</v>
      </c>
      <c r="C3974" s="4" t="str">
        <f t="shared" si="143"/>
        <v>-</v>
      </c>
      <c r="D3974" s="4" t="str">
        <f>"-"</f>
        <v>-</v>
      </c>
      <c r="E3974" s="4" t="str">
        <f t="shared" si="145"/>
        <v>-</v>
      </c>
      <c r="F3974" s="4" t="s">
        <v>105</v>
      </c>
    </row>
    <row r="3975" spans="1:6" x14ac:dyDescent="0.25">
      <c r="A3975" s="4" t="str">
        <f>"Proceedings of the Indian Academy of Sciences: Mathematical Sciences"</f>
        <v>Proceedings of the Indian Academy of Sciences: Mathematical Sciences</v>
      </c>
      <c r="B3975" s="4" t="s">
        <v>6</v>
      </c>
      <c r="C3975" s="4" t="str">
        <f t="shared" si="143"/>
        <v>-</v>
      </c>
      <c r="D3975" s="4" t="str">
        <f>"02534142"</f>
        <v>02534142</v>
      </c>
      <c r="E3975" s="4" t="str">
        <f t="shared" si="145"/>
        <v>-</v>
      </c>
      <c r="F3975" s="4" t="s">
        <v>224</v>
      </c>
    </row>
    <row r="3976" spans="1:6" x14ac:dyDescent="0.25">
      <c r="A3976" s="4" t="str">
        <f>"Proceedings of the Indian National Science Academy"</f>
        <v>Proceedings of the Indian National Science Academy</v>
      </c>
      <c r="B3976" s="4" t="s">
        <v>6</v>
      </c>
      <c r="C3976" s="4" t="str">
        <f t="shared" si="143"/>
        <v>-</v>
      </c>
      <c r="D3976" s="4" t="str">
        <f>"03700046"</f>
        <v>03700046</v>
      </c>
      <c r="E3976" s="4" t="str">
        <f t="shared" si="145"/>
        <v>-</v>
      </c>
      <c r="F3976" s="4" t="s">
        <v>977</v>
      </c>
    </row>
    <row r="3977" spans="1:6" x14ac:dyDescent="0.25">
      <c r="A3977" s="4" t="str">
        <f>"Proceedings of the Information Systems Education Conference, ISECON"</f>
        <v>Proceedings of the Information Systems Education Conference, ISECON</v>
      </c>
      <c r="B3977" s="4" t="s">
        <v>8</v>
      </c>
      <c r="C3977" s="4" t="str">
        <f t="shared" si="143"/>
        <v>-</v>
      </c>
      <c r="D3977" s="4" t="str">
        <f>"21671435"</f>
        <v>21671435</v>
      </c>
      <c r="E3977" s="4" t="str">
        <f t="shared" si="145"/>
        <v>-</v>
      </c>
      <c r="F3977" s="4" t="s">
        <v>978</v>
      </c>
    </row>
    <row r="3978" spans="1:6" ht="30" x14ac:dyDescent="0.25">
      <c r="A3978" s="4" t="str">
        <f>"Proceedings of the Innovative Architecture for Future Generation High-Performance Processors and Systems"</f>
        <v>Proceedings of the Innovative Architecture for Future Generation High-Performance Processors and Systems</v>
      </c>
      <c r="B3978" s="4" t="s">
        <v>8</v>
      </c>
      <c r="C3978" s="4" t="str">
        <f t="shared" si="143"/>
        <v>-</v>
      </c>
      <c r="D3978" s="4" t="str">
        <f>"15373223"</f>
        <v>15373223</v>
      </c>
      <c r="E3978" s="4" t="str">
        <f t="shared" si="145"/>
        <v>-</v>
      </c>
      <c r="F3978" s="4" t="s">
        <v>9</v>
      </c>
    </row>
    <row r="3979" spans="1:6" x14ac:dyDescent="0.25">
      <c r="A3979" s="4" t="str">
        <f>"Proceedings of the Institute of Acoustics"</f>
        <v>Proceedings of the Institute of Acoustics</v>
      </c>
      <c r="B3979" s="4" t="s">
        <v>8</v>
      </c>
      <c r="C3979" s="4" t="str">
        <f t="shared" si="143"/>
        <v>-</v>
      </c>
      <c r="D3979" s="4" t="str">
        <f>"14786095"</f>
        <v>14786095</v>
      </c>
      <c r="E3979" s="4" t="str">
        <f t="shared" si="145"/>
        <v>-</v>
      </c>
      <c r="F3979" s="4" t="s">
        <v>27</v>
      </c>
    </row>
    <row r="3980" spans="1:6" ht="30" x14ac:dyDescent="0.25">
      <c r="A3980" s="4" t="str">
        <f>"Proceedings of the Institute of Marine Engineering, Science and Technology Part A: Journal of Marine Engineering and Technology"</f>
        <v>Proceedings of the Institute of Marine Engineering, Science and Technology Part A: Journal of Marine Engineering and Technology</v>
      </c>
      <c r="B3980" s="4" t="s">
        <v>6</v>
      </c>
      <c r="C3980" s="4" t="str">
        <f t="shared" si="143"/>
        <v>-</v>
      </c>
      <c r="D3980" s="4" t="str">
        <f>"14761548"</f>
        <v>14761548</v>
      </c>
      <c r="E3980" s="4" t="str">
        <f t="shared" si="145"/>
        <v>-</v>
      </c>
      <c r="F3980" s="4" t="s">
        <v>301</v>
      </c>
    </row>
    <row r="3981" spans="1:6" x14ac:dyDescent="0.25">
      <c r="A3981" s="4" t="str">
        <f>"Proceedings of the Institute of Navigation, National Technical Meeting"</f>
        <v>Proceedings of the Institute of Navigation, National Technical Meeting</v>
      </c>
      <c r="B3981" s="4" t="s">
        <v>8</v>
      </c>
      <c r="C3981" s="4" t="str">
        <f t="shared" si="143"/>
        <v>-</v>
      </c>
      <c r="D3981" s="4" t="str">
        <f>"-"</f>
        <v>-</v>
      </c>
      <c r="E3981" s="4" t="str">
        <f t="shared" si="145"/>
        <v>-</v>
      </c>
      <c r="F3981" s="4" t="s">
        <v>969</v>
      </c>
    </row>
    <row r="3982" spans="1:6" x14ac:dyDescent="0.25">
      <c r="A3982" s="4" t="str">
        <f>"Proceedings of the Institution of Civil Engineers: Bridge Engineering"</f>
        <v>Proceedings of the Institution of Civil Engineers: Bridge Engineering</v>
      </c>
      <c r="B3982" s="4" t="s">
        <v>6</v>
      </c>
      <c r="C3982" s="4" t="str">
        <f t="shared" si="143"/>
        <v>-</v>
      </c>
      <c r="D3982" s="4" t="str">
        <f>"14784637"</f>
        <v>14784637</v>
      </c>
      <c r="E3982" s="4" t="str">
        <f>"17517664"</f>
        <v>17517664</v>
      </c>
      <c r="F3982" s="4" t="s">
        <v>74</v>
      </c>
    </row>
    <row r="3983" spans="1:6" x14ac:dyDescent="0.25">
      <c r="A3983" s="4" t="str">
        <f>"Proceedings of the Institution of Civil Engineers: Civil Engineering"</f>
        <v>Proceedings of the Institution of Civil Engineers: Civil Engineering</v>
      </c>
      <c r="B3983" s="4" t="s">
        <v>6</v>
      </c>
      <c r="C3983" s="4" t="str">
        <f t="shared" si="143"/>
        <v>-</v>
      </c>
      <c r="D3983" s="4" t="str">
        <f>"0965089X"</f>
        <v>0965089X</v>
      </c>
      <c r="E3983" s="4" t="str">
        <f>"17517672"</f>
        <v>17517672</v>
      </c>
      <c r="F3983" s="4" t="s">
        <v>185</v>
      </c>
    </row>
    <row r="3984" spans="1:6" x14ac:dyDescent="0.25">
      <c r="A3984" s="4" t="str">
        <f>"Proceedings of the Institution of Civil Engineers: Engineering and Computational Mechanics"</f>
        <v>Proceedings of the Institution of Civil Engineers: Engineering and Computational Mechanics</v>
      </c>
      <c r="B3984" s="4" t="s">
        <v>6</v>
      </c>
      <c r="C3984" s="4" t="str">
        <f t="shared" si="143"/>
        <v>-</v>
      </c>
      <c r="D3984" s="4" t="str">
        <f>"17550777"</f>
        <v>17550777</v>
      </c>
      <c r="E3984" s="4" t="str">
        <f>"17550785"</f>
        <v>17550785</v>
      </c>
      <c r="F3984" s="4" t="s">
        <v>74</v>
      </c>
    </row>
    <row r="3985" spans="1:6" x14ac:dyDescent="0.25">
      <c r="A3985" s="4" t="str">
        <f>"Proceedings of the Institution of Civil Engineers: Engineering Sustainability"</f>
        <v>Proceedings of the Institution of Civil Engineers: Engineering Sustainability</v>
      </c>
      <c r="B3985" s="4" t="s">
        <v>6</v>
      </c>
      <c r="C3985" s="4" t="str">
        <f t="shared" si="143"/>
        <v>-</v>
      </c>
      <c r="D3985" s="4" t="str">
        <f>"14784629"</f>
        <v>14784629</v>
      </c>
      <c r="E3985" s="4" t="str">
        <f>"17517680"</f>
        <v>17517680</v>
      </c>
      <c r="F3985" s="4" t="s">
        <v>185</v>
      </c>
    </row>
    <row r="3986" spans="1:6" x14ac:dyDescent="0.25">
      <c r="A3986" s="4" t="str">
        <f>"Proceedings of the Institution of Civil Engineers: Forensic Engineering"</f>
        <v>Proceedings of the Institution of Civil Engineers: Forensic Engineering</v>
      </c>
      <c r="B3986" s="4" t="s">
        <v>6</v>
      </c>
      <c r="C3986" s="4" t="str">
        <f t="shared" si="143"/>
        <v>-</v>
      </c>
      <c r="D3986" s="4" t="str">
        <f>"20439903"</f>
        <v>20439903</v>
      </c>
      <c r="E3986" s="4" t="str">
        <f>"20439911"</f>
        <v>20439911</v>
      </c>
      <c r="F3986" s="4" t="s">
        <v>74</v>
      </c>
    </row>
    <row r="3987" spans="1:6" x14ac:dyDescent="0.25">
      <c r="A3987" s="4" t="str">
        <f>"Proceedings of the Institution of Civil Engineers: Geotechnical Engineering"</f>
        <v>Proceedings of the Institution of Civil Engineers: Geotechnical Engineering</v>
      </c>
      <c r="B3987" s="4" t="s">
        <v>6</v>
      </c>
      <c r="C3987" s="4" t="str">
        <f t="shared" si="143"/>
        <v>-</v>
      </c>
      <c r="D3987" s="4" t="str">
        <f>"13532618"</f>
        <v>13532618</v>
      </c>
      <c r="E3987" s="4" t="str">
        <f>"17518563"</f>
        <v>17518563</v>
      </c>
      <c r="F3987" s="4" t="s">
        <v>74</v>
      </c>
    </row>
    <row r="3988" spans="1:6" x14ac:dyDescent="0.25">
      <c r="A3988" s="4" t="str">
        <f>"Proceedings of the Institution of Civil Engineers: Ground Improvement"</f>
        <v>Proceedings of the Institution of Civil Engineers: Ground Improvement</v>
      </c>
      <c r="B3988" s="4" t="s">
        <v>6</v>
      </c>
      <c r="C3988" s="4" t="str">
        <f t="shared" si="143"/>
        <v>-</v>
      </c>
      <c r="D3988" s="4" t="str">
        <f>"17550750"</f>
        <v>17550750</v>
      </c>
      <c r="E3988" s="4" t="str">
        <f>"17550769"</f>
        <v>17550769</v>
      </c>
      <c r="F3988" s="4" t="s">
        <v>74</v>
      </c>
    </row>
    <row r="3989" spans="1:6" x14ac:dyDescent="0.25">
      <c r="A3989" s="4" t="str">
        <f>"Proceedings of the Institution of Civil Engineers: Maritime Engineering"</f>
        <v>Proceedings of the Institution of Civil Engineers: Maritime Engineering</v>
      </c>
      <c r="B3989" s="4" t="s">
        <v>6</v>
      </c>
      <c r="C3989" s="4" t="str">
        <f t="shared" si="143"/>
        <v>-</v>
      </c>
      <c r="D3989" s="4" t="str">
        <f>"17417597"</f>
        <v>17417597</v>
      </c>
      <c r="E3989" s="4" t="str">
        <f>"17517737"</f>
        <v>17517737</v>
      </c>
      <c r="F3989" s="4" t="s">
        <v>185</v>
      </c>
    </row>
    <row r="3990" spans="1:6" x14ac:dyDescent="0.25">
      <c r="A3990" s="4" t="str">
        <f>"Proceedings of the Institution of Civil Engineers: Municipal Engineer"</f>
        <v>Proceedings of the Institution of Civil Engineers: Municipal Engineer</v>
      </c>
      <c r="B3990" s="4" t="s">
        <v>6</v>
      </c>
      <c r="C3990" s="4" t="str">
        <f t="shared" si="143"/>
        <v>-</v>
      </c>
      <c r="D3990" s="4" t="str">
        <f>"09650903"</f>
        <v>09650903</v>
      </c>
      <c r="E3990" s="4" t="str">
        <f>"17517699"</f>
        <v>17517699</v>
      </c>
      <c r="F3990" s="4" t="s">
        <v>74</v>
      </c>
    </row>
    <row r="3991" spans="1:6" x14ac:dyDescent="0.25">
      <c r="A3991" s="4" t="str">
        <f>"Proceedings of the Institution of Civil Engineers: Structures and Buildings"</f>
        <v>Proceedings of the Institution of Civil Engineers: Structures and Buildings</v>
      </c>
      <c r="B3991" s="4" t="s">
        <v>6</v>
      </c>
      <c r="C3991" s="4" t="str">
        <f t="shared" si="143"/>
        <v>-</v>
      </c>
      <c r="D3991" s="4" t="str">
        <f>"09650911"</f>
        <v>09650911</v>
      </c>
      <c r="E3991" s="4" t="str">
        <f>"17517702"</f>
        <v>17517702</v>
      </c>
      <c r="F3991" s="4" t="s">
        <v>74</v>
      </c>
    </row>
    <row r="3992" spans="1:6" x14ac:dyDescent="0.25">
      <c r="A3992" s="4" t="str">
        <f>"Proceedings of the Institution of Civil Engineers: Transport"</f>
        <v>Proceedings of the Institution of Civil Engineers: Transport</v>
      </c>
      <c r="B3992" s="4" t="s">
        <v>6</v>
      </c>
      <c r="C3992" s="4" t="str">
        <f t="shared" si="143"/>
        <v>-</v>
      </c>
      <c r="D3992" s="4" t="str">
        <f>"0965092X"</f>
        <v>0965092X</v>
      </c>
      <c r="E3992" s="4" t="str">
        <f>"17517710"</f>
        <v>17517710</v>
      </c>
      <c r="F3992" s="4" t="s">
        <v>74</v>
      </c>
    </row>
    <row r="3993" spans="1:6" x14ac:dyDescent="0.25">
      <c r="A3993" s="4" t="str">
        <f>"Proceedings of the Institution of Civil Engineers: Urban Design and Planning"</f>
        <v>Proceedings of the Institution of Civil Engineers: Urban Design and Planning</v>
      </c>
      <c r="B3993" s="4" t="s">
        <v>6</v>
      </c>
      <c r="C3993" s="4" t="str">
        <f t="shared" si="143"/>
        <v>-</v>
      </c>
      <c r="D3993" s="4" t="str">
        <f>"17550793"</f>
        <v>17550793</v>
      </c>
      <c r="E3993" s="4" t="str">
        <f>"17550807"</f>
        <v>17550807</v>
      </c>
      <c r="F3993" s="4" t="s">
        <v>74</v>
      </c>
    </row>
    <row r="3994" spans="1:6" x14ac:dyDescent="0.25">
      <c r="A3994" s="4" t="str">
        <f>"Proceedings of the Institution of Civil Engineers: Water Management"</f>
        <v>Proceedings of the Institution of Civil Engineers: Water Management</v>
      </c>
      <c r="B3994" s="4" t="s">
        <v>6</v>
      </c>
      <c r="C3994" s="4" t="str">
        <f t="shared" si="143"/>
        <v>-</v>
      </c>
      <c r="D3994" s="4" t="str">
        <f>"17417589"</f>
        <v>17417589</v>
      </c>
      <c r="E3994" s="4" t="str">
        <f>"17517729"</f>
        <v>17517729</v>
      </c>
      <c r="F3994" s="4" t="s">
        <v>74</v>
      </c>
    </row>
    <row r="3995" spans="1:6" ht="30" x14ac:dyDescent="0.25">
      <c r="A3995" s="4" t="str">
        <f>"Proceedings of the Institution of Mechanical Engineers Part M: Journal of Engineering for the Maritime Environment"</f>
        <v>Proceedings of the Institution of Mechanical Engineers Part M: Journal of Engineering for the Maritime Environment</v>
      </c>
      <c r="B3995" s="4" t="s">
        <v>6</v>
      </c>
      <c r="C3995" s="4" t="str">
        <f t="shared" si="143"/>
        <v>-</v>
      </c>
      <c r="D3995" s="4" t="str">
        <f>"14750902"</f>
        <v>14750902</v>
      </c>
      <c r="E3995" s="4" t="str">
        <f>"20413084"</f>
        <v>20413084</v>
      </c>
      <c r="F3995" s="4" t="s">
        <v>212</v>
      </c>
    </row>
    <row r="3996" spans="1:6" x14ac:dyDescent="0.25">
      <c r="A3996" s="4" t="str">
        <f>"Proceedings of the Institution of Mechanical Engineers, Part A: Journal of Power and Energy"</f>
        <v>Proceedings of the Institution of Mechanical Engineers, Part A: Journal of Power and Energy</v>
      </c>
      <c r="B3996" s="4" t="s">
        <v>6</v>
      </c>
      <c r="C3996" s="4" t="str">
        <f t="shared" si="143"/>
        <v>-</v>
      </c>
      <c r="D3996" s="4" t="str">
        <f>"09576509"</f>
        <v>09576509</v>
      </c>
      <c r="E3996" s="4" t="str">
        <f>"20412967"</f>
        <v>20412967</v>
      </c>
      <c r="F3996" s="4" t="s">
        <v>212</v>
      </c>
    </row>
    <row r="3997" spans="1:6" x14ac:dyDescent="0.25">
      <c r="A3997" s="4" t="str">
        <f>"Proceedings of the Institution of Mechanical Engineers, Part B: Journal of Engineering Manufacture"</f>
        <v>Proceedings of the Institution of Mechanical Engineers, Part B: Journal of Engineering Manufacture</v>
      </c>
      <c r="B3997" s="4" t="s">
        <v>6</v>
      </c>
      <c r="C3997" s="4" t="str">
        <f t="shared" si="143"/>
        <v>-</v>
      </c>
      <c r="D3997" s="4" t="str">
        <f>"09544054"</f>
        <v>09544054</v>
      </c>
      <c r="E3997" s="4" t="str">
        <f>"20412975"</f>
        <v>20412975</v>
      </c>
      <c r="F3997" s="4" t="s">
        <v>212</v>
      </c>
    </row>
    <row r="3998" spans="1:6" x14ac:dyDescent="0.25">
      <c r="A3998" s="4" t="str">
        <f>"Proceedings of the Institution of Mechanical Engineers, Part C: Journal of Mechanical Engineering Science"</f>
        <v>Proceedings of the Institution of Mechanical Engineers, Part C: Journal of Mechanical Engineering Science</v>
      </c>
      <c r="B3998" s="4" t="s">
        <v>6</v>
      </c>
      <c r="C3998" s="4" t="str">
        <f t="shared" si="143"/>
        <v>-</v>
      </c>
      <c r="D3998" s="4" t="str">
        <f>"09544062"</f>
        <v>09544062</v>
      </c>
      <c r="E3998" s="4" t="str">
        <f>"20412983"</f>
        <v>20412983</v>
      </c>
      <c r="F3998" s="4" t="s">
        <v>212</v>
      </c>
    </row>
    <row r="3999" spans="1:6" x14ac:dyDescent="0.25">
      <c r="A3999" s="4" t="str">
        <f>"Proceedings of the Institution of Mechanical Engineers, Part D: Journal of Automobile Engineering"</f>
        <v>Proceedings of the Institution of Mechanical Engineers, Part D: Journal of Automobile Engineering</v>
      </c>
      <c r="B3999" s="4" t="s">
        <v>6</v>
      </c>
      <c r="C3999" s="4" t="str">
        <f t="shared" si="143"/>
        <v>-</v>
      </c>
      <c r="D3999" s="4" t="str">
        <f>"09544070"</f>
        <v>09544070</v>
      </c>
      <c r="E3999" s="4" t="str">
        <f>"-"</f>
        <v>-</v>
      </c>
      <c r="F3999" s="4" t="s">
        <v>212</v>
      </c>
    </row>
    <row r="4000" spans="1:6" x14ac:dyDescent="0.25">
      <c r="A4000" s="4" t="str">
        <f>"Proceedings of the Institution of Mechanical Engineers, Part E: Journal of Process Mechanical Engineering"</f>
        <v>Proceedings of the Institution of Mechanical Engineers, Part E: Journal of Process Mechanical Engineering</v>
      </c>
      <c r="B4000" s="4" t="s">
        <v>6</v>
      </c>
      <c r="C4000" s="4" t="str">
        <f t="shared" ref="C4000:C4063" si="146">"-"</f>
        <v>-</v>
      </c>
      <c r="D4000" s="4" t="str">
        <f>"09544089"</f>
        <v>09544089</v>
      </c>
      <c r="E4000" s="4" t="str">
        <f>"-"</f>
        <v>-</v>
      </c>
      <c r="F4000" s="4" t="s">
        <v>212</v>
      </c>
    </row>
    <row r="4001" spans="1:6" x14ac:dyDescent="0.25">
      <c r="A4001" s="4" t="str">
        <f>"Proceedings of the Institution of Mechanical Engineers, Part F: Journal of Rail and Rapid Transit"</f>
        <v>Proceedings of the Institution of Mechanical Engineers, Part F: Journal of Rail and Rapid Transit</v>
      </c>
      <c r="B4001" s="4" t="s">
        <v>6</v>
      </c>
      <c r="C4001" s="4" t="str">
        <f t="shared" si="146"/>
        <v>-</v>
      </c>
      <c r="D4001" s="4" t="str">
        <f>"09544097"</f>
        <v>09544097</v>
      </c>
      <c r="E4001" s="4" t="str">
        <f>"20413017"</f>
        <v>20413017</v>
      </c>
      <c r="F4001" s="4" t="s">
        <v>212</v>
      </c>
    </row>
    <row r="4002" spans="1:6" x14ac:dyDescent="0.25">
      <c r="A4002" s="4" t="str">
        <f>"Proceedings of the Institution of Mechanical Engineers, Part G: Journal of Aerospace Engineering"</f>
        <v>Proceedings of the Institution of Mechanical Engineers, Part G: Journal of Aerospace Engineering</v>
      </c>
      <c r="B4002" s="4" t="s">
        <v>6</v>
      </c>
      <c r="C4002" s="4" t="str">
        <f t="shared" si="146"/>
        <v>-</v>
      </c>
      <c r="D4002" s="4" t="str">
        <f>"09544100"</f>
        <v>09544100</v>
      </c>
      <c r="E4002" s="4" t="str">
        <f>"20413025"</f>
        <v>20413025</v>
      </c>
      <c r="F4002" s="4" t="s">
        <v>212</v>
      </c>
    </row>
    <row r="4003" spans="1:6" x14ac:dyDescent="0.25">
      <c r="A4003" s="4" t="str">
        <f>"Proceedings of the Institution of Mechanical Engineers, Part H: Journal of Engineering in Medicine"</f>
        <v>Proceedings of the Institution of Mechanical Engineers, Part H: Journal of Engineering in Medicine</v>
      </c>
      <c r="B4003" s="4" t="s">
        <v>6</v>
      </c>
      <c r="C4003" s="4" t="str">
        <f t="shared" si="146"/>
        <v>-</v>
      </c>
      <c r="D4003" s="4" t="str">
        <f>"09544119"</f>
        <v>09544119</v>
      </c>
      <c r="E4003" s="4" t="str">
        <f>"20413033"</f>
        <v>20413033</v>
      </c>
      <c r="F4003" s="4" t="s">
        <v>212</v>
      </c>
    </row>
    <row r="4004" spans="1:6" x14ac:dyDescent="0.25">
      <c r="A4004" s="4" t="str">
        <f>"Proceedings of the Institution of Mechanical Engineers, Part J: Journal of Engineering Tribology"</f>
        <v>Proceedings of the Institution of Mechanical Engineers, Part J: Journal of Engineering Tribology</v>
      </c>
      <c r="B4004" s="4" t="s">
        <v>6</v>
      </c>
      <c r="C4004" s="4" t="str">
        <f t="shared" si="146"/>
        <v>-</v>
      </c>
      <c r="D4004" s="4" t="str">
        <f>"13506501"</f>
        <v>13506501</v>
      </c>
      <c r="E4004" s="4" t="str">
        <f>"2041305X"</f>
        <v>2041305X</v>
      </c>
      <c r="F4004" s="4" t="s">
        <v>212</v>
      </c>
    </row>
    <row r="4005" spans="1:6" x14ac:dyDescent="0.25">
      <c r="A4005" s="4" t="str">
        <f>"Proceedings of the Institution of Mechanical Engineers, Part K: Journal of Multi-body Dynamics"</f>
        <v>Proceedings of the Institution of Mechanical Engineers, Part K: Journal of Multi-body Dynamics</v>
      </c>
      <c r="B4005" s="4" t="s">
        <v>6</v>
      </c>
      <c r="C4005" s="4" t="str">
        <f t="shared" si="146"/>
        <v>-</v>
      </c>
      <c r="D4005" s="4" t="str">
        <f>"14644193"</f>
        <v>14644193</v>
      </c>
      <c r="E4005" s="4" t="str">
        <f>"20413068"</f>
        <v>20413068</v>
      </c>
      <c r="F4005" s="4" t="s">
        <v>212</v>
      </c>
    </row>
    <row r="4006" spans="1:6" ht="30" x14ac:dyDescent="0.25">
      <c r="A4006" s="4" t="str">
        <f>"Proceedings of the Institution of Mechanical Engineers, Part L: Journal of Materials: Design and Applications"</f>
        <v>Proceedings of the Institution of Mechanical Engineers, Part L: Journal of Materials: Design and Applications</v>
      </c>
      <c r="B4006" s="4" t="s">
        <v>6</v>
      </c>
      <c r="C4006" s="4" t="str">
        <f t="shared" si="146"/>
        <v>-</v>
      </c>
      <c r="D4006" s="4" t="str">
        <f>"14644207"</f>
        <v>14644207</v>
      </c>
      <c r="E4006" s="4" t="str">
        <f>"20413076"</f>
        <v>20413076</v>
      </c>
      <c r="F4006" s="4" t="s">
        <v>212</v>
      </c>
    </row>
    <row r="4007" spans="1:6" ht="30" x14ac:dyDescent="0.25">
      <c r="A4007" s="4" t="str">
        <f>"Proceedings of the Institution of Mechanical Engineers, Part N: Journal of Nanoengineering and Nanosystems"</f>
        <v>Proceedings of the Institution of Mechanical Engineers, Part N: Journal of Nanoengineering and Nanosystems</v>
      </c>
      <c r="B4007" s="4" t="s">
        <v>6</v>
      </c>
      <c r="C4007" s="4" t="str">
        <f t="shared" si="146"/>
        <v>-</v>
      </c>
      <c r="D4007" s="4" t="str">
        <f>"17403499"</f>
        <v>17403499</v>
      </c>
      <c r="E4007" s="4" t="str">
        <f>"20413092"</f>
        <v>20413092</v>
      </c>
      <c r="F4007" s="4" t="s">
        <v>212</v>
      </c>
    </row>
    <row r="4008" spans="1:6" x14ac:dyDescent="0.25">
      <c r="A4008" s="4" t="str">
        <f>"Proceedings of the Institution of Mechanical Engineers, Part O: Journal of Risk and Reliability"</f>
        <v>Proceedings of the Institution of Mechanical Engineers, Part O: Journal of Risk and Reliability</v>
      </c>
      <c r="B4008" s="4" t="s">
        <v>6</v>
      </c>
      <c r="C4008" s="4" t="str">
        <f t="shared" si="146"/>
        <v>-</v>
      </c>
      <c r="D4008" s="4" t="str">
        <f>"1748006X"</f>
        <v>1748006X</v>
      </c>
      <c r="E4008" s="4" t="str">
        <f>"17480078"</f>
        <v>17480078</v>
      </c>
      <c r="F4008" s="4" t="s">
        <v>212</v>
      </c>
    </row>
    <row r="4009" spans="1:6" ht="30" x14ac:dyDescent="0.25">
      <c r="A4009" s="4" t="str">
        <f>"Proceedings of the Institution of Mechanical Engineers, Part P: Journal of Sports Engineering and Technology"</f>
        <v>Proceedings of the Institution of Mechanical Engineers, Part P: Journal of Sports Engineering and Technology</v>
      </c>
      <c r="B4009" s="4" t="s">
        <v>6</v>
      </c>
      <c r="C4009" s="4" t="str">
        <f t="shared" si="146"/>
        <v>-</v>
      </c>
      <c r="D4009" s="4" t="str">
        <f>"17543371"</f>
        <v>17543371</v>
      </c>
      <c r="E4009" s="4" t="str">
        <f>"1754338X"</f>
        <v>1754338X</v>
      </c>
      <c r="F4009" s="4" t="s">
        <v>212</v>
      </c>
    </row>
    <row r="4010" spans="1:6" x14ac:dyDescent="0.25">
      <c r="A4010" s="4" t="str">
        <f>"Proceedings of the Institution of Mechanical Engineers. Part I: Journal of Systems and Control Engineering"</f>
        <v>Proceedings of the Institution of Mechanical Engineers. Part I: Journal of Systems and Control Engineering</v>
      </c>
      <c r="B4010" s="4" t="s">
        <v>6</v>
      </c>
      <c r="C4010" s="4" t="str">
        <f t="shared" si="146"/>
        <v>-</v>
      </c>
      <c r="D4010" s="4" t="str">
        <f>"09596518"</f>
        <v>09596518</v>
      </c>
      <c r="E4010" s="4" t="str">
        <f>"20413041"</f>
        <v>20413041</v>
      </c>
      <c r="F4010" s="4" t="s">
        <v>212</v>
      </c>
    </row>
    <row r="4011" spans="1:6" x14ac:dyDescent="0.25">
      <c r="A4011" s="4" t="str">
        <f>"Proceedings of the International ACM SIGGROUP Conference on Supporting Group Work"</f>
        <v>Proceedings of the International ACM SIGGROUP Conference on Supporting Group Work</v>
      </c>
      <c r="B4011" s="4" t="s">
        <v>8</v>
      </c>
      <c r="C4011" s="4" t="str">
        <f t="shared" si="146"/>
        <v>-</v>
      </c>
      <c r="D4011" s="4" t="str">
        <f>"-"</f>
        <v>-</v>
      </c>
      <c r="E4011" s="4" t="str">
        <f>"-"</f>
        <v>-</v>
      </c>
      <c r="F4011" s="4" t="s">
        <v>21</v>
      </c>
    </row>
    <row r="4012" spans="1:6" x14ac:dyDescent="0.25">
      <c r="A4012" s="4" t="str">
        <f>"Proceedings of the International Astronautical Congress, IAC"</f>
        <v>Proceedings of the International Astronautical Congress, IAC</v>
      </c>
      <c r="B4012" s="4" t="s">
        <v>8</v>
      </c>
      <c r="C4012" s="4" t="str">
        <f t="shared" si="146"/>
        <v>-</v>
      </c>
      <c r="D4012" s="4" t="str">
        <f>"00741795"</f>
        <v>00741795</v>
      </c>
      <c r="E4012" s="4" t="str">
        <f>"-"</f>
        <v>-</v>
      </c>
      <c r="F4012" s="4" t="s">
        <v>979</v>
      </c>
    </row>
    <row r="4013" spans="1:6" x14ac:dyDescent="0.25">
      <c r="A4013" s="4" t="s">
        <v>980</v>
      </c>
      <c r="B4013" s="4" t="s">
        <v>8</v>
      </c>
      <c r="C4013" s="4" t="str">
        <f t="shared" si="146"/>
        <v>-</v>
      </c>
      <c r="D4013" s="4" t="str">
        <f>"2346612X"</f>
        <v>2346612X</v>
      </c>
      <c r="E4013" s="4" t="str">
        <f>"23466138"</f>
        <v>23466138</v>
      </c>
      <c r="F4013" s="4" t="s">
        <v>981</v>
      </c>
    </row>
    <row r="4014" spans="1:6" x14ac:dyDescent="0.25">
      <c r="A4014" s="4" t="str">
        <f>"Proceedings of the International Conference on Additives for Polyolefines"</f>
        <v>Proceedings of the International Conference on Additives for Polyolefines</v>
      </c>
      <c r="B4014" s="4" t="s">
        <v>8</v>
      </c>
      <c r="C4014" s="4" t="str">
        <f t="shared" si="146"/>
        <v>-</v>
      </c>
      <c r="D4014" s="4" t="str">
        <f>"-"</f>
        <v>-</v>
      </c>
      <c r="E4014" s="4" t="str">
        <f>"-"</f>
        <v>-</v>
      </c>
      <c r="F4014" s="4" t="s">
        <v>132</v>
      </c>
    </row>
    <row r="4015" spans="1:6" x14ac:dyDescent="0.25">
      <c r="A4015" s="4" t="str">
        <f>"Proceedings of the International Conference on Advanced Optoelectronics and Lasers, CAOL"</f>
        <v>Proceedings of the International Conference on Advanced Optoelectronics and Lasers, CAOL</v>
      </c>
      <c r="B4015" s="4" t="s">
        <v>8</v>
      </c>
      <c r="C4015" s="4" t="str">
        <f t="shared" si="146"/>
        <v>-</v>
      </c>
      <c r="D4015" s="4" t="str">
        <f>"21601518"</f>
        <v>21601518</v>
      </c>
      <c r="E4015" s="4" t="str">
        <f>"21601534"</f>
        <v>21601534</v>
      </c>
      <c r="F4015" s="4" t="s">
        <v>9</v>
      </c>
    </row>
    <row r="4016" spans="1:6" x14ac:dyDescent="0.25">
      <c r="A4016" s="4" t="str">
        <f>"Proceedings of the International Conference on Anti-Counterfeiting, Security and Identification, ASID"</f>
        <v>Proceedings of the International Conference on Anti-Counterfeiting, Security and Identification, ASID</v>
      </c>
      <c r="B4016" s="4" t="s">
        <v>8</v>
      </c>
      <c r="C4016" s="4" t="str">
        <f t="shared" si="146"/>
        <v>-</v>
      </c>
      <c r="D4016" s="4" t="str">
        <f>"21635048"</f>
        <v>21635048</v>
      </c>
      <c r="E4016" s="4" t="str">
        <f>"21635056"</f>
        <v>21635056</v>
      </c>
      <c r="F4016" s="4" t="s">
        <v>9</v>
      </c>
    </row>
    <row r="4017" spans="1:6" ht="30" x14ac:dyDescent="0.25">
      <c r="A4017" s="4" t="str">
        <f>"Proceedings of the International Conference on Applications of Advanced Technologies in Transportation Engineering"</f>
        <v>Proceedings of the International Conference on Applications of Advanced Technologies in Transportation Engineering</v>
      </c>
      <c r="B4017" s="4" t="s">
        <v>8</v>
      </c>
      <c r="C4017" s="4" t="str">
        <f t="shared" si="146"/>
        <v>-</v>
      </c>
      <c r="D4017" s="4" t="str">
        <f>"-"</f>
        <v>-</v>
      </c>
      <c r="E4017" s="4" t="str">
        <f>"-"</f>
        <v>-</v>
      </c>
      <c r="F4017" s="4" t="s">
        <v>111</v>
      </c>
    </row>
    <row r="4018" spans="1:6" ht="30" x14ac:dyDescent="0.25">
      <c r="A4018" s="4" t="str">
        <f>"Proceedings of the International Conference on Application-Specific Systems, Architectures and Processors"</f>
        <v>Proceedings of the International Conference on Application-Specific Systems, Architectures and Processors</v>
      </c>
      <c r="B4018" s="4" t="s">
        <v>8</v>
      </c>
      <c r="C4018" s="4" t="str">
        <f t="shared" si="146"/>
        <v>-</v>
      </c>
      <c r="D4018" s="4" t="str">
        <f>"10636862"</f>
        <v>10636862</v>
      </c>
      <c r="E4018" s="4" t="str">
        <f>"-"</f>
        <v>-</v>
      </c>
      <c r="F4018" s="4" t="s">
        <v>105</v>
      </c>
    </row>
    <row r="4019" spans="1:6" x14ac:dyDescent="0.25">
      <c r="A4019" s="4" t="str">
        <f>"Proceedings of the International Conference on Artificial Intelligence and Law"</f>
        <v>Proceedings of the International Conference on Artificial Intelligence and Law</v>
      </c>
      <c r="B4019" s="4" t="s">
        <v>8</v>
      </c>
      <c r="C4019" s="4" t="str">
        <f t="shared" si="146"/>
        <v>-</v>
      </c>
      <c r="D4019" s="4" t="str">
        <f>"-"</f>
        <v>-</v>
      </c>
      <c r="E4019" s="4" t="str">
        <f>"-"</f>
        <v>-</v>
      </c>
      <c r="F4019" s="4" t="s">
        <v>21</v>
      </c>
    </row>
    <row r="4020" spans="1:6" x14ac:dyDescent="0.25">
      <c r="A4020" s="4" t="str">
        <f>"Proceedings of the International Conference on Automated People Movers"</f>
        <v>Proceedings of the International Conference on Automated People Movers</v>
      </c>
      <c r="B4020" s="4" t="s">
        <v>8</v>
      </c>
      <c r="C4020" s="4" t="str">
        <f t="shared" si="146"/>
        <v>-</v>
      </c>
      <c r="D4020" s="4" t="str">
        <f>"-"</f>
        <v>-</v>
      </c>
      <c r="E4020" s="4" t="str">
        <f>"-"</f>
        <v>-</v>
      </c>
      <c r="F4020" s="4" t="s">
        <v>111</v>
      </c>
    </row>
    <row r="4021" spans="1:6" x14ac:dyDescent="0.25">
      <c r="A4021" s="4" t="str">
        <f>"Proceedings of the International Conference on Autonomous Agents"</f>
        <v>Proceedings of the International Conference on Autonomous Agents</v>
      </c>
      <c r="B4021" s="4" t="s">
        <v>8</v>
      </c>
      <c r="C4021" s="4" t="str">
        <f t="shared" si="146"/>
        <v>-</v>
      </c>
      <c r="D4021" s="4" t="str">
        <f>"-"</f>
        <v>-</v>
      </c>
      <c r="E4021" s="4" t="str">
        <f>"-"</f>
        <v>-</v>
      </c>
      <c r="F4021" s="4" t="s">
        <v>21</v>
      </c>
    </row>
    <row r="4022" spans="1:6" x14ac:dyDescent="0.25">
      <c r="A4022" s="4" t="str">
        <f>"Proceedings of the International Conference on Cloud Computing Technology and Science, CloudCom"</f>
        <v>Proceedings of the International Conference on Cloud Computing Technology and Science, CloudCom</v>
      </c>
      <c r="B4022" s="4" t="s">
        <v>8</v>
      </c>
      <c r="C4022" s="4" t="str">
        <f t="shared" si="146"/>
        <v>-</v>
      </c>
      <c r="D4022" s="4" t="str">
        <f>"23302194"</f>
        <v>23302194</v>
      </c>
      <c r="E4022" s="4" t="str">
        <f>"23302186"</f>
        <v>23302186</v>
      </c>
      <c r="F4022" s="4" t="s">
        <v>9</v>
      </c>
    </row>
    <row r="4023" spans="1:6" x14ac:dyDescent="0.25">
      <c r="A4023" s="4" t="str">
        <f>"Proceedings of the International Conference on Cold Regions Engineering"</f>
        <v>Proceedings of the International Conference on Cold Regions Engineering</v>
      </c>
      <c r="B4023" s="4" t="s">
        <v>8</v>
      </c>
      <c r="C4023" s="4" t="str">
        <f t="shared" si="146"/>
        <v>-</v>
      </c>
      <c r="D4023" s="4" t="str">
        <f>"-"</f>
        <v>-</v>
      </c>
      <c r="E4023" s="4" t="str">
        <f>"-"</f>
        <v>-</v>
      </c>
      <c r="F4023" s="4" t="s">
        <v>111</v>
      </c>
    </row>
    <row r="4024" spans="1:6" x14ac:dyDescent="0.25">
      <c r="A4024" s="4" t="str">
        <f>"Proceedings of the International Conference on Computer Science and its Applications"</f>
        <v>Proceedings of the International Conference on Computer Science and its Applications</v>
      </c>
      <c r="B4024" s="4" t="s">
        <v>8</v>
      </c>
      <c r="C4024" s="4" t="str">
        <f t="shared" si="146"/>
        <v>-</v>
      </c>
      <c r="D4024" s="4" t="str">
        <f>"21597030"</f>
        <v>21597030</v>
      </c>
      <c r="E4024" s="4" t="str">
        <f>"21597049"</f>
        <v>21597049</v>
      </c>
      <c r="F4024" s="4" t="s">
        <v>260</v>
      </c>
    </row>
    <row r="4025" spans="1:6" x14ac:dyDescent="0.25">
      <c r="A4025" s="4" t="str">
        <f>"Proceedings of the International Conference on Dependable Systems and Networks"</f>
        <v>Proceedings of the International Conference on Dependable Systems and Networks</v>
      </c>
      <c r="B4025" s="4" t="s">
        <v>8</v>
      </c>
      <c r="C4025" s="4" t="str">
        <f t="shared" si="146"/>
        <v>-</v>
      </c>
      <c r="D4025" s="4" t="str">
        <f>"-"</f>
        <v>-</v>
      </c>
      <c r="E4025" s="4" t="str">
        <f>"-"</f>
        <v>-</v>
      </c>
      <c r="F4025" s="4" t="s">
        <v>9</v>
      </c>
    </row>
    <row r="4026" spans="1:6" x14ac:dyDescent="0.25">
      <c r="A4026" s="4" t="str">
        <f>"Proceedings of the International Conference on Document Analysis and Recognition, ICDAR"</f>
        <v>Proceedings of the International Conference on Document Analysis and Recognition, ICDAR</v>
      </c>
      <c r="B4026" s="4" t="s">
        <v>8</v>
      </c>
      <c r="C4026" s="4" t="str">
        <f t="shared" si="146"/>
        <v>-</v>
      </c>
      <c r="D4026" s="4" t="str">
        <f>"15205363"</f>
        <v>15205363</v>
      </c>
      <c r="E4026" s="4" t="str">
        <f>"-"</f>
        <v>-</v>
      </c>
      <c r="F4026" s="4" t="s">
        <v>9</v>
      </c>
    </row>
    <row r="4027" spans="1:6" x14ac:dyDescent="0.25">
      <c r="A4027" s="4" t="str">
        <f>"Proceedings of the International Conference on Dublin Core and Metadata Applications"</f>
        <v>Proceedings of the International Conference on Dublin Core and Metadata Applications</v>
      </c>
      <c r="B4027" s="4" t="s">
        <v>8</v>
      </c>
      <c r="C4027" s="4" t="str">
        <f t="shared" si="146"/>
        <v>-</v>
      </c>
      <c r="D4027" s="4" t="str">
        <f>"19391358"</f>
        <v>19391358</v>
      </c>
      <c r="E4027" s="4" t="str">
        <f>"19391366"</f>
        <v>19391366</v>
      </c>
      <c r="F4027" s="4" t="s">
        <v>982</v>
      </c>
    </row>
    <row r="4028" spans="1:6" x14ac:dyDescent="0.25">
      <c r="A4028" s="4" t="str">
        <f>"Proceedings of the International Conference on e-Learning, ICEL"</f>
        <v>Proceedings of the International Conference on e-Learning, ICEL</v>
      </c>
      <c r="B4028" s="4" t="s">
        <v>8</v>
      </c>
      <c r="C4028" s="4" t="str">
        <f t="shared" si="146"/>
        <v>-</v>
      </c>
      <c r="D4028" s="4" t="str">
        <f>"20488882"</f>
        <v>20488882</v>
      </c>
      <c r="E4028" s="4" t="str">
        <f>"20488890"</f>
        <v>20488890</v>
      </c>
      <c r="F4028" s="4" t="s">
        <v>973</v>
      </c>
    </row>
    <row r="4029" spans="1:6" x14ac:dyDescent="0.25">
      <c r="A4029" s="4" t="str">
        <f>"Proceedings of the International Conference on Electromagnetic Interference and Compatibility"</f>
        <v>Proceedings of the International Conference on Electromagnetic Interference and Compatibility</v>
      </c>
      <c r="B4029" s="4" t="s">
        <v>8</v>
      </c>
      <c r="C4029" s="4" t="str">
        <f t="shared" si="146"/>
        <v>-</v>
      </c>
      <c r="D4029" s="4" t="str">
        <f>"-"</f>
        <v>-</v>
      </c>
      <c r="E4029" s="4" t="str">
        <f>"-"</f>
        <v>-</v>
      </c>
      <c r="F4029" s="4" t="s">
        <v>105</v>
      </c>
    </row>
    <row r="4030" spans="1:6" x14ac:dyDescent="0.25">
      <c r="A4030" s="4" t="str">
        <f>"Proceedings of the International Conference on Electronic Business (ICEB)"</f>
        <v>Proceedings of the International Conference on Electronic Business (ICEB)</v>
      </c>
      <c r="B4030" s="4" t="s">
        <v>8</v>
      </c>
      <c r="C4030" s="4" t="str">
        <f t="shared" si="146"/>
        <v>-</v>
      </c>
      <c r="D4030" s="4" t="str">
        <f>"16830040"</f>
        <v>16830040</v>
      </c>
      <c r="E4030" s="4" t="str">
        <f>"-"</f>
        <v>-</v>
      </c>
      <c r="F4030" s="4" t="s">
        <v>260</v>
      </c>
    </row>
    <row r="4031" spans="1:6" x14ac:dyDescent="0.25">
      <c r="A4031" s="4" t="str">
        <f>"Proceedings of the International Conference on Energy Management and Power Delivery, EMPD"</f>
        <v>Proceedings of the International Conference on Energy Management and Power Delivery, EMPD</v>
      </c>
      <c r="B4031" s="4" t="s">
        <v>8</v>
      </c>
      <c r="C4031" s="4" t="str">
        <f t="shared" si="146"/>
        <v>-</v>
      </c>
      <c r="D4031" s="4" t="str">
        <f>"-"</f>
        <v>-</v>
      </c>
      <c r="E4031" s="4" t="str">
        <f>"-"</f>
        <v>-</v>
      </c>
      <c r="F4031" s="4" t="s">
        <v>105</v>
      </c>
    </row>
    <row r="4032" spans="1:6" x14ac:dyDescent="0.25">
      <c r="A4032" s="4" t="str">
        <f>"Proceedings of the International Conference on Engineering Design, ICED"</f>
        <v>Proceedings of the International Conference on Engineering Design, ICED</v>
      </c>
      <c r="B4032" s="4" t="s">
        <v>8</v>
      </c>
      <c r="C4032" s="4" t="str">
        <f t="shared" si="146"/>
        <v>-</v>
      </c>
      <c r="D4032" s="4" t="str">
        <f>"22204334"</f>
        <v>22204334</v>
      </c>
      <c r="E4032" s="4" t="str">
        <f>"22204342"</f>
        <v>22204342</v>
      </c>
      <c r="F4032" s="4" t="s">
        <v>983</v>
      </c>
    </row>
    <row r="4033" spans="1:6" x14ac:dyDescent="0.25">
      <c r="A4033" s="4" t="str">
        <f>"Proceedings of the International Conference on Estuarine and Coastal Modeling"</f>
        <v>Proceedings of the International Conference on Estuarine and Coastal Modeling</v>
      </c>
      <c r="B4033" s="4" t="s">
        <v>8</v>
      </c>
      <c r="C4033" s="4" t="str">
        <f t="shared" si="146"/>
        <v>-</v>
      </c>
      <c r="D4033" s="4" t="str">
        <f>"-"</f>
        <v>-</v>
      </c>
      <c r="E4033" s="4" t="str">
        <f>"-"</f>
        <v>-</v>
      </c>
      <c r="F4033" s="4" t="s">
        <v>111</v>
      </c>
    </row>
    <row r="4034" spans="1:6" x14ac:dyDescent="0.25">
      <c r="A4034" s="4" t="str">
        <f>"Proceedings of the International Conference on Information Technology Interfaces, ITI"</f>
        <v>Proceedings of the International Conference on Information Technology Interfaces, ITI</v>
      </c>
      <c r="B4034" s="4" t="s">
        <v>8</v>
      </c>
      <c r="C4034" s="4" t="str">
        <f t="shared" si="146"/>
        <v>-</v>
      </c>
      <c r="D4034" s="4" t="str">
        <f>"13301012"</f>
        <v>13301012</v>
      </c>
      <c r="E4034" s="4" t="str">
        <f>"-"</f>
        <v>-</v>
      </c>
      <c r="F4034" s="4" t="s">
        <v>311</v>
      </c>
    </row>
    <row r="4035" spans="1:6" x14ac:dyDescent="0.25">
      <c r="A4035" s="4" t="str">
        <f>"Proceedings of the International Conference on Information Visualisation"</f>
        <v>Proceedings of the International Conference on Information Visualisation</v>
      </c>
      <c r="B4035" s="4" t="s">
        <v>8</v>
      </c>
      <c r="C4035" s="4" t="str">
        <f t="shared" si="146"/>
        <v>-</v>
      </c>
      <c r="D4035" s="4" t="str">
        <f>"10939547"</f>
        <v>10939547</v>
      </c>
      <c r="E4035" s="4" t="str">
        <f>"-"</f>
        <v>-</v>
      </c>
      <c r="F4035" s="4" t="s">
        <v>105</v>
      </c>
    </row>
    <row r="4036" spans="1:6" x14ac:dyDescent="0.25">
      <c r="A4036" s="4" t="str">
        <f>"Proceedings of the International Conference on Ion Implantation Technology"</f>
        <v>Proceedings of the International Conference on Ion Implantation Technology</v>
      </c>
      <c r="B4036" s="4" t="s">
        <v>8</v>
      </c>
      <c r="C4036" s="4" t="str">
        <f t="shared" si="146"/>
        <v>-</v>
      </c>
      <c r="D4036" s="4" t="str">
        <f>"-"</f>
        <v>-</v>
      </c>
      <c r="E4036" s="4" t="str">
        <f>"-"</f>
        <v>-</v>
      </c>
      <c r="F4036" s="4" t="s">
        <v>105</v>
      </c>
    </row>
    <row r="4037" spans="1:6" x14ac:dyDescent="0.25">
      <c r="A4037" s="4" t="str">
        <f>"Proceedings of the International Conference on Microelectronics, ICM"</f>
        <v>Proceedings of the International Conference on Microelectronics, ICM</v>
      </c>
      <c r="B4037" s="4" t="s">
        <v>8</v>
      </c>
      <c r="C4037" s="4" t="str">
        <f t="shared" si="146"/>
        <v>-</v>
      </c>
      <c r="D4037" s="4" t="str">
        <f>"-"</f>
        <v>-</v>
      </c>
      <c r="E4037" s="4" t="str">
        <f>"-"</f>
        <v>-</v>
      </c>
      <c r="F4037" s="4" t="s">
        <v>105</v>
      </c>
    </row>
    <row r="4038" spans="1:6" x14ac:dyDescent="0.25">
      <c r="A4038" s="4" t="str">
        <f>"Proceedings of the International Conference on Networking and Distributed Computing, ICNDC"</f>
        <v>Proceedings of the International Conference on Networking and Distributed Computing, ICNDC</v>
      </c>
      <c r="B4038" s="4" t="s">
        <v>8</v>
      </c>
      <c r="C4038" s="4" t="str">
        <f t="shared" si="146"/>
        <v>-</v>
      </c>
      <c r="D4038" s="4" t="str">
        <f>"21654999"</f>
        <v>21654999</v>
      </c>
      <c r="E4038" s="4" t="str">
        <f>"21655006"</f>
        <v>21655006</v>
      </c>
      <c r="F4038" s="4" t="s">
        <v>9</v>
      </c>
    </row>
    <row r="4039" spans="1:6" x14ac:dyDescent="0.25">
      <c r="A4039" s="4" t="str">
        <f>"Proceedings of the International Conference on Numerical Simulation of Optoelectronic Devices, NUSOD"</f>
        <v>Proceedings of the International Conference on Numerical Simulation of Optoelectronic Devices, NUSOD</v>
      </c>
      <c r="B4039" s="4" t="s">
        <v>8</v>
      </c>
      <c r="C4039" s="4" t="str">
        <f t="shared" si="146"/>
        <v>-</v>
      </c>
      <c r="D4039" s="4" t="str">
        <f>"21583234"</f>
        <v>21583234</v>
      </c>
      <c r="E4039" s="4" t="str">
        <f t="shared" ref="E4039:E4044" si="147">"-"</f>
        <v>-</v>
      </c>
      <c r="F4039" s="4" t="s">
        <v>9</v>
      </c>
    </row>
    <row r="4040" spans="1:6" x14ac:dyDescent="0.25">
      <c r="A4040" s="4" t="str">
        <f>"Proceedings of the International Conference on Offshore Mechanics and Arctic Engineering - OMAE"</f>
        <v>Proceedings of the International Conference on Offshore Mechanics and Arctic Engineering - OMAE</v>
      </c>
      <c r="B4040" s="4" t="s">
        <v>8</v>
      </c>
      <c r="C4040" s="4" t="str">
        <f t="shared" si="146"/>
        <v>-</v>
      </c>
      <c r="D4040" s="4" t="str">
        <f>"-"</f>
        <v>-</v>
      </c>
      <c r="E4040" s="4" t="str">
        <f t="shared" si="147"/>
        <v>-</v>
      </c>
      <c r="F4040" s="4" t="s">
        <v>73</v>
      </c>
    </row>
    <row r="4041" spans="1:6" ht="30" x14ac:dyDescent="0.25">
      <c r="A4041" s="4" t="str">
        <f>"Proceedings of the International Conference on Optimisation of Electrical and Electronic Equipment, OPTIM"</f>
        <v>Proceedings of the International Conference on Optimisation of Electrical and Electronic Equipment, OPTIM</v>
      </c>
      <c r="B4041" s="4" t="s">
        <v>8</v>
      </c>
      <c r="C4041" s="4" t="str">
        <f t="shared" si="146"/>
        <v>-</v>
      </c>
      <c r="D4041" s="4" t="str">
        <f>"18420133"</f>
        <v>18420133</v>
      </c>
      <c r="E4041" s="4" t="str">
        <f t="shared" si="147"/>
        <v>-</v>
      </c>
      <c r="F4041" s="4" t="s">
        <v>984</v>
      </c>
    </row>
    <row r="4042" spans="1:6" x14ac:dyDescent="0.25">
      <c r="A4042" s="4" t="str">
        <f>"Proceedings of the International Conference on Parallel and Distributed Systems - ICPADS"</f>
        <v>Proceedings of the International Conference on Parallel and Distributed Systems - ICPADS</v>
      </c>
      <c r="B4042" s="4" t="s">
        <v>8</v>
      </c>
      <c r="C4042" s="4" t="str">
        <f t="shared" si="146"/>
        <v>-</v>
      </c>
      <c r="D4042" s="4" t="str">
        <f>"15219097"</f>
        <v>15219097</v>
      </c>
      <c r="E4042" s="4" t="str">
        <f t="shared" si="147"/>
        <v>-</v>
      </c>
      <c r="F4042" s="4" t="s">
        <v>9</v>
      </c>
    </row>
    <row r="4043" spans="1:6" x14ac:dyDescent="0.25">
      <c r="A4043" s="4" t="str">
        <f>"Proceedings of the International Conference on Parallel Processing"</f>
        <v>Proceedings of the International Conference on Parallel Processing</v>
      </c>
      <c r="B4043" s="4" t="s">
        <v>8</v>
      </c>
      <c r="C4043" s="4" t="str">
        <f t="shared" si="146"/>
        <v>-</v>
      </c>
      <c r="D4043" s="4" t="str">
        <f>"01903918"</f>
        <v>01903918</v>
      </c>
      <c r="E4043" s="4" t="str">
        <f t="shared" si="147"/>
        <v>-</v>
      </c>
      <c r="F4043" s="4" t="s">
        <v>105</v>
      </c>
    </row>
    <row r="4044" spans="1:6" x14ac:dyDescent="0.25">
      <c r="A4044" s="4" t="str">
        <f>"Proceedings of the International Conference on Parallel Processing Workshops"</f>
        <v>Proceedings of the International Conference on Parallel Processing Workshops</v>
      </c>
      <c r="B4044" s="4" t="s">
        <v>8</v>
      </c>
      <c r="C4044" s="4" t="str">
        <f t="shared" si="146"/>
        <v>-</v>
      </c>
      <c r="D4044" s="4" t="str">
        <f>"15302016"</f>
        <v>15302016</v>
      </c>
      <c r="E4044" s="4" t="str">
        <f t="shared" si="147"/>
        <v>-</v>
      </c>
      <c r="F4044" s="4" t="s">
        <v>105</v>
      </c>
    </row>
    <row r="4045" spans="1:6" ht="30" x14ac:dyDescent="0.25">
      <c r="A4045" s="4" t="str">
        <f>"Proceedings of the International Conference on Port and Ocean Engineering under Arctic Conditions, POAC"</f>
        <v>Proceedings of the International Conference on Port and Ocean Engineering under Arctic Conditions, POAC</v>
      </c>
      <c r="B4045" s="4" t="s">
        <v>8</v>
      </c>
      <c r="C4045" s="4" t="str">
        <f t="shared" si="146"/>
        <v>-</v>
      </c>
      <c r="D4045" s="4" t="str">
        <f>"03766756"</f>
        <v>03766756</v>
      </c>
      <c r="E4045" s="4" t="str">
        <f>"20777841"</f>
        <v>20777841</v>
      </c>
      <c r="F4045" s="4" t="s">
        <v>985</v>
      </c>
    </row>
    <row r="4046" spans="1:6" x14ac:dyDescent="0.25">
      <c r="A4046" s="4" t="str">
        <f>"Proceedings of the International Conference on Power Electronics and Drive Systems"</f>
        <v>Proceedings of the International Conference on Power Electronics and Drive Systems</v>
      </c>
      <c r="B4046" s="4" t="s">
        <v>8</v>
      </c>
      <c r="C4046" s="4" t="str">
        <f t="shared" si="146"/>
        <v>-</v>
      </c>
      <c r="D4046" s="4" t="str">
        <f>"-"</f>
        <v>-</v>
      </c>
      <c r="E4046" s="4" t="str">
        <f>"-"</f>
        <v>-</v>
      </c>
      <c r="F4046" s="4" t="s">
        <v>105</v>
      </c>
    </row>
    <row r="4047" spans="1:6" ht="30" x14ac:dyDescent="0.25">
      <c r="A4047" s="4" t="str">
        <f>"Proceedings of the International Conference on Radioactive Waste Management and Environmental Remediation, ICEM"</f>
        <v>Proceedings of the International Conference on Radioactive Waste Management and Environmental Remediation, ICEM</v>
      </c>
      <c r="B4047" s="4" t="s">
        <v>8</v>
      </c>
      <c r="C4047" s="4" t="str">
        <f t="shared" si="146"/>
        <v>-</v>
      </c>
      <c r="D4047" s="4" t="str">
        <f>"-"</f>
        <v>-</v>
      </c>
      <c r="E4047" s="4" t="str">
        <f>"-"</f>
        <v>-</v>
      </c>
      <c r="F4047" s="4" t="s">
        <v>73</v>
      </c>
    </row>
    <row r="4048" spans="1:6" x14ac:dyDescent="0.25">
      <c r="A4048" s="4" t="str">
        <f>"Proceedings of the International Conference on Scientific and Statistical Database Management, SSDBM"</f>
        <v>Proceedings of the International Conference on Scientific and Statistical Database Management, SSDBM</v>
      </c>
      <c r="B4048" s="4" t="s">
        <v>8</v>
      </c>
      <c r="C4048" s="4" t="str">
        <f t="shared" si="146"/>
        <v>-</v>
      </c>
      <c r="D4048" s="4" t="str">
        <f>"10993371"</f>
        <v>10993371</v>
      </c>
      <c r="E4048" s="4" t="str">
        <f>"-"</f>
        <v>-</v>
      </c>
      <c r="F4048" s="4" t="s">
        <v>9</v>
      </c>
    </row>
    <row r="4049" spans="1:6" x14ac:dyDescent="0.25">
      <c r="A4049" s="4" t="str">
        <f>"Proceedings of the International Conference on Sensing Technology, ICST"</f>
        <v>Proceedings of the International Conference on Sensing Technology, ICST</v>
      </c>
      <c r="B4049" s="4" t="s">
        <v>8</v>
      </c>
      <c r="C4049" s="4" t="str">
        <f t="shared" si="146"/>
        <v>-</v>
      </c>
      <c r="D4049" s="4" t="str">
        <f>"21568065"</f>
        <v>21568065</v>
      </c>
      <c r="E4049" s="4" t="str">
        <f>"21568073"</f>
        <v>21568073</v>
      </c>
      <c r="F4049" s="4" t="s">
        <v>9</v>
      </c>
    </row>
    <row r="4050" spans="1:6" x14ac:dyDescent="0.25">
      <c r="A4050" s="4" t="str">
        <f>"Proceedings of the International Conference on Software Engineering and Knowledge Engineering, SEKE"</f>
        <v>Proceedings of the International Conference on Software Engineering and Knowledge Engineering, SEKE</v>
      </c>
      <c r="B4050" s="4" t="s">
        <v>8</v>
      </c>
      <c r="C4050" s="4" t="str">
        <f t="shared" si="146"/>
        <v>-</v>
      </c>
      <c r="D4050" s="4" t="str">
        <f>"23259000"</f>
        <v>23259000</v>
      </c>
      <c r="E4050" s="4" t="str">
        <f>"23259086"</f>
        <v>23259086</v>
      </c>
      <c r="F4050" s="4" t="s">
        <v>986</v>
      </c>
    </row>
    <row r="4051" spans="1:6" x14ac:dyDescent="0.25">
      <c r="A4051" s="4" t="str">
        <f>"Proceedings of the International Conference on Solid Waste Technology and Management"</f>
        <v>Proceedings of the International Conference on Solid Waste Technology and Management</v>
      </c>
      <c r="B4051" s="4" t="s">
        <v>8</v>
      </c>
      <c r="C4051" s="4" t="str">
        <f t="shared" si="146"/>
        <v>-</v>
      </c>
      <c r="D4051" s="4" t="str">
        <f>"10918043"</f>
        <v>10918043</v>
      </c>
      <c r="E4051" s="4" t="str">
        <f t="shared" ref="E4051:E4057" si="148">"-"</f>
        <v>-</v>
      </c>
      <c r="F4051" s="4" t="s">
        <v>764</v>
      </c>
    </row>
    <row r="4052" spans="1:6" x14ac:dyDescent="0.25">
      <c r="A4052" s="4" t="str">
        <f>"Proceedings of the International Conference on Speech Prosody"</f>
        <v>Proceedings of the International Conference on Speech Prosody</v>
      </c>
      <c r="B4052" s="4" t="s">
        <v>8</v>
      </c>
      <c r="C4052" s="4" t="str">
        <f t="shared" si="146"/>
        <v>-</v>
      </c>
      <c r="D4052" s="4" t="str">
        <f>"23332042"</f>
        <v>23332042</v>
      </c>
      <c r="E4052" s="4" t="str">
        <f t="shared" si="148"/>
        <v>-</v>
      </c>
      <c r="F4052" s="4" t="s">
        <v>987</v>
      </c>
    </row>
    <row r="4053" spans="1:6" x14ac:dyDescent="0.25">
      <c r="A4053" s="4" t="str">
        <f>"Proceedings of the International Conference on Supercomputing"</f>
        <v>Proceedings of the International Conference on Supercomputing</v>
      </c>
      <c r="B4053" s="4" t="s">
        <v>8</v>
      </c>
      <c r="C4053" s="4" t="str">
        <f t="shared" si="146"/>
        <v>-</v>
      </c>
      <c r="D4053" s="4" t="str">
        <f>"-"</f>
        <v>-</v>
      </c>
      <c r="E4053" s="4" t="str">
        <f t="shared" si="148"/>
        <v>-</v>
      </c>
      <c r="F4053" s="4" t="s">
        <v>21</v>
      </c>
    </row>
    <row r="4054" spans="1:6" x14ac:dyDescent="0.25">
      <c r="A4054" s="4" t="str">
        <f>"Proceedings of the International Conference on Systems Science"</f>
        <v>Proceedings of the International Conference on Systems Science</v>
      </c>
      <c r="B4054" s="4" t="s">
        <v>8</v>
      </c>
      <c r="C4054" s="4" t="str">
        <f t="shared" si="146"/>
        <v>-</v>
      </c>
      <c r="D4054" s="4" t="str">
        <f>"-"</f>
        <v>-</v>
      </c>
      <c r="E4054" s="4" t="str">
        <f t="shared" si="148"/>
        <v>-</v>
      </c>
      <c r="F4054" s="4" t="s">
        <v>383</v>
      </c>
    </row>
    <row r="4055" spans="1:6" x14ac:dyDescent="0.25">
      <c r="A4055" s="4" t="str">
        <f>"Proceedings of the International Database Engineering and Applications Symposium, IDEAS"</f>
        <v>Proceedings of the International Database Engineering and Applications Symposium, IDEAS</v>
      </c>
      <c r="B4055" s="4" t="s">
        <v>8</v>
      </c>
      <c r="C4055" s="4" t="str">
        <f t="shared" si="146"/>
        <v>-</v>
      </c>
      <c r="D4055" s="4" t="str">
        <f>"10988068"</f>
        <v>10988068</v>
      </c>
      <c r="E4055" s="4" t="str">
        <f t="shared" si="148"/>
        <v>-</v>
      </c>
      <c r="F4055" s="4" t="s">
        <v>105</v>
      </c>
    </row>
    <row r="4056" spans="1:6" x14ac:dyDescent="0.25">
      <c r="A4056" s="4" t="str">
        <f>"Proceedings of the International Display Workshops"</f>
        <v>Proceedings of the International Display Workshops</v>
      </c>
      <c r="B4056" s="4" t="s">
        <v>8</v>
      </c>
      <c r="C4056" s="4" t="str">
        <f t="shared" si="146"/>
        <v>-</v>
      </c>
      <c r="D4056" s="4" t="str">
        <f>"18832490"</f>
        <v>18832490</v>
      </c>
      <c r="E4056" s="4" t="str">
        <f t="shared" si="148"/>
        <v>-</v>
      </c>
      <c r="F4056" s="4" t="s">
        <v>988</v>
      </c>
    </row>
    <row r="4057" spans="1:6" x14ac:dyDescent="0.25">
      <c r="A4057" s="4" t="str">
        <f>"Proceedings of the International Instrumentation Symposium"</f>
        <v>Proceedings of the International Instrumentation Symposium</v>
      </c>
      <c r="B4057" s="4" t="s">
        <v>8</v>
      </c>
      <c r="C4057" s="4" t="str">
        <f t="shared" si="146"/>
        <v>-</v>
      </c>
      <c r="D4057" s="4" t="str">
        <f>"15588041"</f>
        <v>15588041</v>
      </c>
      <c r="E4057" s="4" t="str">
        <f t="shared" si="148"/>
        <v>-</v>
      </c>
      <c r="F4057" s="4" t="s">
        <v>188</v>
      </c>
    </row>
    <row r="4058" spans="1:6" ht="30" x14ac:dyDescent="0.25">
      <c r="A4058" s="4" t="str">
        <f>"Proceedings of the International Joint Conference on Autonomous Agents and Multiagent Systems, AAMAS"</f>
        <v>Proceedings of the International Joint Conference on Autonomous Agents and Multiagent Systems, AAMAS</v>
      </c>
      <c r="B4058" s="4" t="s">
        <v>8</v>
      </c>
      <c r="C4058" s="4" t="str">
        <f t="shared" si="146"/>
        <v>-</v>
      </c>
      <c r="D4058" s="4" t="str">
        <f>"15488403"</f>
        <v>15488403</v>
      </c>
      <c r="E4058" s="4" t="str">
        <f>"15582914"</f>
        <v>15582914</v>
      </c>
      <c r="F4058" s="4" t="s">
        <v>989</v>
      </c>
    </row>
    <row r="4059" spans="1:6" x14ac:dyDescent="0.25">
      <c r="A4059" s="4" t="str">
        <f>"Proceedings of the International Joint Conference on Neural Networks"</f>
        <v>Proceedings of the International Joint Conference on Neural Networks</v>
      </c>
      <c r="B4059" s="4" t="s">
        <v>8</v>
      </c>
      <c r="C4059" s="4" t="str">
        <f t="shared" si="146"/>
        <v>-</v>
      </c>
      <c r="D4059" s="4" t="str">
        <f>"-"</f>
        <v>-</v>
      </c>
      <c r="E4059" s="4" t="str">
        <f>"-"</f>
        <v>-</v>
      </c>
      <c r="F4059" s="4" t="s">
        <v>105</v>
      </c>
    </row>
    <row r="4060" spans="1:6" x14ac:dyDescent="0.25">
      <c r="A4060" s="4" t="str">
        <f>"Proceedings of the International Offshore and Polar Engineering Conference"</f>
        <v>Proceedings of the International Offshore and Polar Engineering Conference</v>
      </c>
      <c r="B4060" s="4" t="s">
        <v>8</v>
      </c>
      <c r="C4060" s="4" t="str">
        <f t="shared" si="146"/>
        <v>-</v>
      </c>
      <c r="D4060" s="4" t="str">
        <f>"10986189"</f>
        <v>10986189</v>
      </c>
      <c r="E4060" s="4" t="str">
        <f>"15551792"</f>
        <v>15551792</v>
      </c>
      <c r="F4060" s="4" t="s">
        <v>594</v>
      </c>
    </row>
    <row r="4061" spans="1:6" x14ac:dyDescent="0.25">
      <c r="A4061" s="4" t="str">
        <f>"Proceedings of the International Parallel Processing Symposium, IPPS"</f>
        <v>Proceedings of the International Parallel Processing Symposium, IPPS</v>
      </c>
      <c r="B4061" s="4" t="s">
        <v>8</v>
      </c>
      <c r="C4061" s="4" t="str">
        <f t="shared" si="146"/>
        <v>-</v>
      </c>
      <c r="D4061" s="4" t="str">
        <f>"10637133"</f>
        <v>10637133</v>
      </c>
      <c r="E4061" s="4" t="str">
        <f>"-"</f>
        <v>-</v>
      </c>
      <c r="F4061" s="4" t="s">
        <v>9</v>
      </c>
    </row>
    <row r="4062" spans="1:6" x14ac:dyDescent="0.25">
      <c r="A4062" s="4" t="str">
        <f>"Proceedings of the International Particleboard/Composite Materials Symposium"</f>
        <v>Proceedings of the International Particleboard/Composite Materials Symposium</v>
      </c>
      <c r="B4062" s="4" t="s">
        <v>8</v>
      </c>
      <c r="C4062" s="4" t="str">
        <f t="shared" si="146"/>
        <v>-</v>
      </c>
      <c r="D4062" s="4" t="str">
        <f>"-"</f>
        <v>-</v>
      </c>
      <c r="E4062" s="4" t="str">
        <f>"-"</f>
        <v>-</v>
      </c>
      <c r="F4062" s="4" t="s">
        <v>425</v>
      </c>
    </row>
    <row r="4063" spans="1:6" x14ac:dyDescent="0.25">
      <c r="A4063" s="4" t="str">
        <f>"Proceedings of the International Printing and Graphic Arts Conference"</f>
        <v>Proceedings of the International Printing and Graphic Arts Conference</v>
      </c>
      <c r="B4063" s="4" t="s">
        <v>8</v>
      </c>
      <c r="C4063" s="4" t="str">
        <f t="shared" si="146"/>
        <v>-</v>
      </c>
      <c r="D4063" s="4" t="str">
        <f>"-"</f>
        <v>-</v>
      </c>
      <c r="E4063" s="4" t="str">
        <f>"-"</f>
        <v>-</v>
      </c>
      <c r="F4063" s="4" t="s">
        <v>131</v>
      </c>
    </row>
    <row r="4064" spans="1:6" x14ac:dyDescent="0.25">
      <c r="A4064" s="4" t="s">
        <v>990</v>
      </c>
      <c r="B4064" s="4" t="s">
        <v>8</v>
      </c>
      <c r="C4064" s="4" t="str">
        <f t="shared" ref="C4064:E4127" si="149">"-"</f>
        <v>-</v>
      </c>
      <c r="D4064" s="4" t="str">
        <f>"0074784X"</f>
        <v>0074784X</v>
      </c>
      <c r="E4064" s="4" t="str">
        <f>"18798195"</f>
        <v>18798195</v>
      </c>
      <c r="F4064" s="4" t="s">
        <v>103</v>
      </c>
    </row>
    <row r="4065" spans="1:6" x14ac:dyDescent="0.25">
      <c r="A4065" s="4" t="str">
        <f>"Proceedings of the International Semiconductor Conference, CAS"</f>
        <v>Proceedings of the International Semiconductor Conference, CAS</v>
      </c>
      <c r="B4065" s="4" t="s">
        <v>8</v>
      </c>
      <c r="C4065" s="4" t="str">
        <f t="shared" si="149"/>
        <v>-</v>
      </c>
      <c r="D4065" s="4" t="str">
        <f>"-"</f>
        <v>-</v>
      </c>
      <c r="E4065" s="4" t="str">
        <f>"-"</f>
        <v>-</v>
      </c>
      <c r="F4065" s="4" t="s">
        <v>105</v>
      </c>
    </row>
    <row r="4066" spans="1:6" x14ac:dyDescent="0.25">
      <c r="A4066" s="4" t="str">
        <f>"Proceedings of the International Spring Seminar on Electronics Technology"</f>
        <v>Proceedings of the International Spring Seminar on Electronics Technology</v>
      </c>
      <c r="B4066" s="4" t="s">
        <v>8</v>
      </c>
      <c r="C4066" s="4" t="str">
        <f t="shared" si="149"/>
        <v>-</v>
      </c>
      <c r="D4066" s="4" t="str">
        <f>"21612528"</f>
        <v>21612528</v>
      </c>
      <c r="E4066" s="4" t="str">
        <f>"21612536"</f>
        <v>21612536</v>
      </c>
      <c r="F4066" s="4" t="s">
        <v>9</v>
      </c>
    </row>
    <row r="4067" spans="1:6" ht="30" x14ac:dyDescent="0.25">
      <c r="A4067" s="4" t="str">
        <f>"Proceedings of the International Symposium and Exhibition on Advanced Packaging Materials Processes, Properties and Interfaces"</f>
        <v>Proceedings of the International Symposium and Exhibition on Advanced Packaging Materials Processes, Properties and Interfaces</v>
      </c>
      <c r="B4067" s="4" t="s">
        <v>8</v>
      </c>
      <c r="C4067" s="4" t="str">
        <f t="shared" si="149"/>
        <v>-</v>
      </c>
      <c r="D4067" s="4" t="str">
        <f t="shared" si="149"/>
        <v>-</v>
      </c>
      <c r="E4067" s="4" t="str">
        <f t="shared" si="149"/>
        <v>-</v>
      </c>
      <c r="F4067" s="4" t="s">
        <v>105</v>
      </c>
    </row>
    <row r="4068" spans="1:6" x14ac:dyDescent="0.25">
      <c r="A4068" s="4" t="str">
        <f>"Proceedings of the International Symposium and Workshop on Engineering of Computer Based Systems"</f>
        <v>Proceedings of the International Symposium and Workshop on Engineering of Computer Based Systems</v>
      </c>
      <c r="B4068" s="4" t="s">
        <v>8</v>
      </c>
      <c r="C4068" s="4" t="str">
        <f t="shared" si="149"/>
        <v>-</v>
      </c>
      <c r="D4068" s="4" t="str">
        <f t="shared" si="149"/>
        <v>-</v>
      </c>
      <c r="E4068" s="4" t="str">
        <f t="shared" si="149"/>
        <v>-</v>
      </c>
      <c r="F4068" s="4" t="s">
        <v>105</v>
      </c>
    </row>
    <row r="4069" spans="1:6" x14ac:dyDescent="0.25">
      <c r="A4069" s="4" t="str">
        <f>"Proceedings of the International Symposium on Consumer Electronics, ISCE"</f>
        <v>Proceedings of the International Symposium on Consumer Electronics, ISCE</v>
      </c>
      <c r="B4069" s="4" t="s">
        <v>8</v>
      </c>
      <c r="C4069" s="4" t="str">
        <f t="shared" si="149"/>
        <v>-</v>
      </c>
      <c r="D4069" s="4" t="str">
        <f t="shared" si="149"/>
        <v>-</v>
      </c>
      <c r="E4069" s="4" t="str">
        <f t="shared" si="149"/>
        <v>-</v>
      </c>
      <c r="F4069" s="4" t="s">
        <v>105</v>
      </c>
    </row>
    <row r="4070" spans="1:6" x14ac:dyDescent="0.25">
      <c r="A4070" s="4" t="str">
        <f>"Proceedings of the International Symposium on Corrosion in the Pulp and Paper Industry"</f>
        <v>Proceedings of the International Symposium on Corrosion in the Pulp and Paper Industry</v>
      </c>
      <c r="B4070" s="4" t="s">
        <v>8</v>
      </c>
      <c r="C4070" s="4" t="str">
        <f t="shared" si="149"/>
        <v>-</v>
      </c>
      <c r="D4070" s="4" t="str">
        <f t="shared" si="149"/>
        <v>-</v>
      </c>
      <c r="E4070" s="4" t="str">
        <f t="shared" si="149"/>
        <v>-</v>
      </c>
      <c r="F4070" s="4" t="s">
        <v>131</v>
      </c>
    </row>
    <row r="4071" spans="1:6" x14ac:dyDescent="0.25">
      <c r="A4071" s="4" t="str">
        <f>"Proceedings of the International Symposium on Electrical Insulating Materials"</f>
        <v>Proceedings of the International Symposium on Electrical Insulating Materials</v>
      </c>
      <c r="B4071" s="4" t="s">
        <v>8</v>
      </c>
      <c r="C4071" s="4" t="str">
        <f t="shared" si="149"/>
        <v>-</v>
      </c>
      <c r="D4071" s="4" t="str">
        <f t="shared" si="149"/>
        <v>-</v>
      </c>
      <c r="E4071" s="4" t="str">
        <f t="shared" si="149"/>
        <v>-</v>
      </c>
      <c r="F4071" s="4" t="s">
        <v>520</v>
      </c>
    </row>
    <row r="4072" spans="1:6" x14ac:dyDescent="0.25">
      <c r="A4072" s="4" t="str">
        <f>"Proceedings of the International Symposium on Low Power Electronics and Design"</f>
        <v>Proceedings of the International Symposium on Low Power Electronics and Design</v>
      </c>
      <c r="B4072" s="4" t="s">
        <v>8</v>
      </c>
      <c r="C4072" s="4" t="str">
        <f t="shared" si="149"/>
        <v>-</v>
      </c>
      <c r="D4072" s="4" t="str">
        <f>"15334678"</f>
        <v>15334678</v>
      </c>
      <c r="E4072" s="4" t="str">
        <f t="shared" si="149"/>
        <v>-</v>
      </c>
      <c r="F4072" s="4" t="s">
        <v>105</v>
      </c>
    </row>
    <row r="4073" spans="1:6" x14ac:dyDescent="0.25">
      <c r="A4073" s="4" t="str">
        <f>"Proceedings of the International Symposium on Micro Machine and Human Science"</f>
        <v>Proceedings of the International Symposium on Micro Machine and Human Science</v>
      </c>
      <c r="B4073" s="4" t="s">
        <v>8</v>
      </c>
      <c r="C4073" s="4" t="str">
        <f t="shared" si="149"/>
        <v>-</v>
      </c>
      <c r="D4073" s="4" t="str">
        <f>"-"</f>
        <v>-</v>
      </c>
      <c r="E4073" s="4" t="str">
        <f t="shared" si="149"/>
        <v>-</v>
      </c>
      <c r="F4073" s="4" t="s">
        <v>105</v>
      </c>
    </row>
    <row r="4074" spans="1:6" x14ac:dyDescent="0.25">
      <c r="A4074" s="4" t="str">
        <f>"Proceedings of the International Symposium on Mobile Ad Hoc Networking and Computing (MobiHoc)"</f>
        <v>Proceedings of the International Symposium on Mobile Ad Hoc Networking and Computing (MobiHoc)</v>
      </c>
      <c r="B4074" s="4" t="s">
        <v>8</v>
      </c>
      <c r="C4074" s="4" t="str">
        <f t="shared" si="149"/>
        <v>-</v>
      </c>
      <c r="D4074" s="4" t="str">
        <f>"-"</f>
        <v>-</v>
      </c>
      <c r="E4074" s="4" t="str">
        <f t="shared" si="149"/>
        <v>-</v>
      </c>
      <c r="F4074" s="4" t="s">
        <v>21</v>
      </c>
    </row>
    <row r="4075" spans="1:6" x14ac:dyDescent="0.25">
      <c r="A4075" s="4" t="str">
        <f>"Proceedings of The International Symposium on Multiple-Valued Logic"</f>
        <v>Proceedings of The International Symposium on Multiple-Valued Logic</v>
      </c>
      <c r="B4075" s="4" t="s">
        <v>8</v>
      </c>
      <c r="C4075" s="4" t="str">
        <f t="shared" si="149"/>
        <v>-</v>
      </c>
      <c r="D4075" s="4" t="str">
        <f>"0195623X"</f>
        <v>0195623X</v>
      </c>
      <c r="E4075" s="4" t="str">
        <f t="shared" si="149"/>
        <v>-</v>
      </c>
      <c r="F4075" s="4" t="s">
        <v>9</v>
      </c>
    </row>
    <row r="4076" spans="1:6" x14ac:dyDescent="0.25">
      <c r="A4076" s="4" t="str">
        <f>"Proceedings of the International Symposium on Ocean Wave Measurement and Analysis"</f>
        <v>Proceedings of the International Symposium on Ocean Wave Measurement and Analysis</v>
      </c>
      <c r="B4076" s="4" t="s">
        <v>8</v>
      </c>
      <c r="C4076" s="4" t="str">
        <f t="shared" si="149"/>
        <v>-</v>
      </c>
      <c r="D4076" s="4" t="str">
        <f>"-"</f>
        <v>-</v>
      </c>
      <c r="E4076" s="4" t="str">
        <f t="shared" si="149"/>
        <v>-</v>
      </c>
      <c r="F4076" s="4" t="s">
        <v>111</v>
      </c>
    </row>
    <row r="4077" spans="1:6" x14ac:dyDescent="0.25">
      <c r="A4077" s="4" t="str">
        <f>"Proceedings of the International Symposium on Parallel Architectures, Algorithms and Networks, I-SPAN"</f>
        <v>Proceedings of the International Symposium on Parallel Architectures, Algorithms and Networks, I-SPAN</v>
      </c>
      <c r="B4077" s="4" t="s">
        <v>8</v>
      </c>
      <c r="C4077" s="4" t="str">
        <f t="shared" si="149"/>
        <v>-</v>
      </c>
      <c r="D4077" s="4" t="str">
        <f>"-"</f>
        <v>-</v>
      </c>
      <c r="E4077" s="4" t="str">
        <f t="shared" si="149"/>
        <v>-</v>
      </c>
      <c r="F4077" s="4" t="s">
        <v>9</v>
      </c>
    </row>
    <row r="4078" spans="1:6" x14ac:dyDescent="0.25">
      <c r="A4078" s="4" t="str">
        <f>"Proceedings of the International Symposium on Physical Design"</f>
        <v>Proceedings of the International Symposium on Physical Design</v>
      </c>
      <c r="B4078" s="4" t="s">
        <v>8</v>
      </c>
      <c r="C4078" s="4" t="str">
        <f t="shared" si="149"/>
        <v>-</v>
      </c>
      <c r="D4078" s="4" t="str">
        <f>"-"</f>
        <v>-</v>
      </c>
      <c r="E4078" s="4" t="str">
        <f t="shared" si="149"/>
        <v>-</v>
      </c>
      <c r="F4078" s="4" t="s">
        <v>21</v>
      </c>
    </row>
    <row r="4079" spans="1:6" x14ac:dyDescent="0.25">
      <c r="A4079" s="4" t="str">
        <f>"Proceedings of the International Symposium on Power Semiconductor Devices and ICs"</f>
        <v>Proceedings of the International Symposium on Power Semiconductor Devices and ICs</v>
      </c>
      <c r="B4079" s="4" t="s">
        <v>8</v>
      </c>
      <c r="C4079" s="4" t="str">
        <f t="shared" si="149"/>
        <v>-</v>
      </c>
      <c r="D4079" s="4" t="str">
        <f>"10636854"</f>
        <v>10636854</v>
      </c>
      <c r="E4079" s="4" t="str">
        <f t="shared" si="149"/>
        <v>-</v>
      </c>
      <c r="F4079" s="4" t="s">
        <v>105</v>
      </c>
    </row>
    <row r="4080" spans="1:6" x14ac:dyDescent="0.25">
      <c r="A4080" s="4" t="str">
        <f>"Proceedings of the International Symposium on Structural Intermetallics"</f>
        <v>Proceedings of the International Symposium on Structural Intermetallics</v>
      </c>
      <c r="B4080" s="4" t="s">
        <v>8</v>
      </c>
      <c r="C4080" s="4" t="str">
        <f t="shared" si="149"/>
        <v>-</v>
      </c>
      <c r="D4080" s="4" t="str">
        <f>"-"</f>
        <v>-</v>
      </c>
      <c r="E4080" s="4" t="str">
        <f t="shared" si="149"/>
        <v>-</v>
      </c>
      <c r="F4080" s="4" t="s">
        <v>648</v>
      </c>
    </row>
    <row r="4081" spans="1:6" x14ac:dyDescent="0.25">
      <c r="A4081" s="4" t="str">
        <f>"Proceedings of the International Symposium on Superalloys"</f>
        <v>Proceedings of the International Symposium on Superalloys</v>
      </c>
      <c r="B4081" s="4" t="s">
        <v>8</v>
      </c>
      <c r="C4081" s="4" t="str">
        <f t="shared" si="149"/>
        <v>-</v>
      </c>
      <c r="D4081" s="4" t="str">
        <f>"-"</f>
        <v>-</v>
      </c>
      <c r="E4081" s="4" t="str">
        <f t="shared" si="149"/>
        <v>-</v>
      </c>
      <c r="F4081" s="4" t="s">
        <v>648</v>
      </c>
    </row>
    <row r="4082" spans="1:6" x14ac:dyDescent="0.25">
      <c r="A4082" s="4" t="str">
        <f>"Proceedings of the International Symposium on Superalloys and Various Derivatives"</f>
        <v>Proceedings of the International Symposium on Superalloys and Various Derivatives</v>
      </c>
      <c r="B4082" s="4" t="s">
        <v>8</v>
      </c>
      <c r="C4082" s="4" t="str">
        <f t="shared" si="149"/>
        <v>-</v>
      </c>
      <c r="D4082" s="4" t="str">
        <f>"-"</f>
        <v>-</v>
      </c>
      <c r="E4082" s="4" t="str">
        <f t="shared" si="149"/>
        <v>-</v>
      </c>
      <c r="F4082" s="4" t="s">
        <v>648</v>
      </c>
    </row>
    <row r="4083" spans="1:6" x14ac:dyDescent="0.25">
      <c r="A4083" s="4" t="str">
        <f>"Proceedings of the International Symposium on Symbolic and Algebraic Computation, ISSAC"</f>
        <v>Proceedings of the International Symposium on Symbolic and Algebraic Computation, ISSAC</v>
      </c>
      <c r="B4083" s="4" t="s">
        <v>8</v>
      </c>
      <c r="C4083" s="4" t="str">
        <f t="shared" si="149"/>
        <v>-</v>
      </c>
      <c r="D4083" s="4" t="str">
        <f>"-"</f>
        <v>-</v>
      </c>
      <c r="E4083" s="4" t="str">
        <f t="shared" si="149"/>
        <v>-</v>
      </c>
      <c r="F4083" s="4" t="s">
        <v>21</v>
      </c>
    </row>
    <row r="4084" spans="1:6" x14ac:dyDescent="0.25">
      <c r="A4084" s="4" t="str">
        <f>"Proceedings of the International Symposium on System Synthesis"</f>
        <v>Proceedings of the International Symposium on System Synthesis</v>
      </c>
      <c r="B4084" s="4" t="s">
        <v>8</v>
      </c>
      <c r="C4084" s="4" t="str">
        <f t="shared" si="149"/>
        <v>-</v>
      </c>
      <c r="D4084" s="4" t="str">
        <f>"10801820"</f>
        <v>10801820</v>
      </c>
      <c r="E4084" s="4" t="str">
        <f t="shared" si="149"/>
        <v>-</v>
      </c>
      <c r="F4084" s="4" t="s">
        <v>9</v>
      </c>
    </row>
    <row r="4085" spans="1:6" x14ac:dyDescent="0.25">
      <c r="A4085" s="4" t="str">
        <f>"Proceedings of the International Symposium on Test and Measurement"</f>
        <v>Proceedings of the International Symposium on Test and Measurement</v>
      </c>
      <c r="B4085" s="4" t="s">
        <v>8</v>
      </c>
      <c r="C4085" s="4" t="str">
        <f t="shared" si="149"/>
        <v>-</v>
      </c>
      <c r="D4085" s="4" t="str">
        <f>"-"</f>
        <v>-</v>
      </c>
      <c r="E4085" s="4" t="str">
        <f t="shared" si="149"/>
        <v>-</v>
      </c>
      <c r="F4085" s="4" t="s">
        <v>991</v>
      </c>
    </row>
    <row r="4086" spans="1:6" ht="30" x14ac:dyDescent="0.25">
      <c r="A4086" s="4" t="str">
        <f>"Proceedings of the International Symposium on the Physical and Failure Analysis of Integrated Circuits, IPFA"</f>
        <v>Proceedings of the International Symposium on the Physical and Failure Analysis of Integrated Circuits, IPFA</v>
      </c>
      <c r="B4086" s="4" t="s">
        <v>8</v>
      </c>
      <c r="C4086" s="4" t="str">
        <f t="shared" si="149"/>
        <v>-</v>
      </c>
      <c r="D4086" s="4" t="str">
        <f>"-"</f>
        <v>-</v>
      </c>
      <c r="E4086" s="4" t="str">
        <f t="shared" si="149"/>
        <v>-</v>
      </c>
      <c r="F4086" s="4" t="s">
        <v>105</v>
      </c>
    </row>
    <row r="4087" spans="1:6" x14ac:dyDescent="0.25">
      <c r="A4087" s="4" t="str">
        <f>"Proceedings of the International Symposium on Wireless Communication Systems"</f>
        <v>Proceedings of the International Symposium on Wireless Communication Systems</v>
      </c>
      <c r="B4087" s="4" t="s">
        <v>8</v>
      </c>
      <c r="C4087" s="4" t="str">
        <f t="shared" si="149"/>
        <v>-</v>
      </c>
      <c r="D4087" s="4" t="str">
        <f>"21540217"</f>
        <v>21540217</v>
      </c>
      <c r="E4087" s="4" t="str">
        <f>"21540225"</f>
        <v>21540225</v>
      </c>
      <c r="F4087" s="4" t="s">
        <v>992</v>
      </c>
    </row>
    <row r="4088" spans="1:6" x14ac:dyDescent="0.25">
      <c r="A4088" s="4" t="str">
        <f>"Proceedings of the International Telemetering Conference"</f>
        <v>Proceedings of the International Telemetering Conference</v>
      </c>
      <c r="B4088" s="4" t="s">
        <v>8</v>
      </c>
      <c r="C4088" s="4" t="str">
        <f t="shared" si="149"/>
        <v>-</v>
      </c>
      <c r="D4088" s="4" t="str">
        <f>"08845123"</f>
        <v>08845123</v>
      </c>
      <c r="E4088" s="4" t="str">
        <f t="shared" ref="E4088:E4108" si="150">"-"</f>
        <v>-</v>
      </c>
      <c r="F4088" s="4" t="s">
        <v>993</v>
      </c>
    </row>
    <row r="4089" spans="1:6" x14ac:dyDescent="0.25">
      <c r="A4089" s="4" t="str">
        <f>"Proceedings of the International Thermal Spray Conference"</f>
        <v>Proceedings of the International Thermal Spray Conference</v>
      </c>
      <c r="B4089" s="4" t="s">
        <v>8</v>
      </c>
      <c r="C4089" s="4" t="str">
        <f t="shared" si="149"/>
        <v>-</v>
      </c>
      <c r="D4089" s="4" t="str">
        <f>"-"</f>
        <v>-</v>
      </c>
      <c r="E4089" s="4" t="str">
        <f t="shared" si="150"/>
        <v>-</v>
      </c>
      <c r="F4089" s="4" t="s">
        <v>65</v>
      </c>
    </row>
    <row r="4090" spans="1:6" ht="30" x14ac:dyDescent="0.25">
      <c r="A4090" s="4" t="str">
        <f>"Proceedings of the International Workshop on High-Level Programming Models and Supportive Environments, HIPS"</f>
        <v>Proceedings of the International Workshop on High-Level Programming Models and Supportive Environments, HIPS</v>
      </c>
      <c r="B4090" s="4" t="s">
        <v>8</v>
      </c>
      <c r="C4090" s="4" t="str">
        <f t="shared" si="149"/>
        <v>-</v>
      </c>
      <c r="D4090" s="4" t="str">
        <f>"-"</f>
        <v>-</v>
      </c>
      <c r="E4090" s="4" t="str">
        <f t="shared" si="150"/>
        <v>-</v>
      </c>
      <c r="F4090" s="4" t="s">
        <v>9</v>
      </c>
    </row>
    <row r="4091" spans="1:6" ht="30" x14ac:dyDescent="0.25">
      <c r="A4091" s="4" t="str">
        <f>"Proceedings of the International Workshop on Network and Operating System Support for Digital Audio and Video"</f>
        <v>Proceedings of the International Workshop on Network and Operating System Support for Digital Audio and Video</v>
      </c>
      <c r="B4091" s="4" t="s">
        <v>8</v>
      </c>
      <c r="C4091" s="4" t="str">
        <f t="shared" si="149"/>
        <v>-</v>
      </c>
      <c r="D4091" s="4" t="str">
        <f>"-"</f>
        <v>-</v>
      </c>
      <c r="E4091" s="4" t="str">
        <f t="shared" si="150"/>
        <v>-</v>
      </c>
      <c r="F4091" s="4" t="s">
        <v>21</v>
      </c>
    </row>
    <row r="4092" spans="1:6" x14ac:dyDescent="0.25">
      <c r="A4092" s="4" t="str">
        <f>"Proceedings of the International Workshop on Rapid System Prototyping"</f>
        <v>Proceedings of the International Workshop on Rapid System Prototyping</v>
      </c>
      <c r="B4092" s="4" t="s">
        <v>8</v>
      </c>
      <c r="C4092" s="4" t="str">
        <f t="shared" si="149"/>
        <v>-</v>
      </c>
      <c r="D4092" s="4" t="str">
        <f>"10746005"</f>
        <v>10746005</v>
      </c>
      <c r="E4092" s="4" t="str">
        <f t="shared" si="150"/>
        <v>-</v>
      </c>
      <c r="F4092" s="4" t="s">
        <v>9</v>
      </c>
    </row>
    <row r="4093" spans="1:6" ht="30" x14ac:dyDescent="0.25">
      <c r="A4093" s="4" t="str">
        <f>"Proceedings of the International Workshop on Recognition, Analysis, and Tracking of Faces and Gestures in Real-Time Systems"</f>
        <v>Proceedings of the International Workshop on Recognition, Analysis, and Tracking of Faces and Gestures in Real-Time Systems</v>
      </c>
      <c r="B4093" s="4" t="s">
        <v>8</v>
      </c>
      <c r="C4093" s="4" t="str">
        <f t="shared" si="149"/>
        <v>-</v>
      </c>
      <c r="D4093" s="4" t="str">
        <f>"15301044"</f>
        <v>15301044</v>
      </c>
      <c r="E4093" s="4" t="str">
        <f t="shared" si="150"/>
        <v>-</v>
      </c>
      <c r="F4093" s="4" t="s">
        <v>105</v>
      </c>
    </row>
    <row r="4094" spans="1:6" ht="30" x14ac:dyDescent="0.25">
      <c r="A4094" s="4" t="str">
        <f>"Proceedings of the International Workshop on Research Issues in Data Engineering - Distributed Object Management -RIDE-DOM"</f>
        <v>Proceedings of the International Workshop on Research Issues in Data Engineering - Distributed Object Management -RIDE-DOM</v>
      </c>
      <c r="B4094" s="4" t="s">
        <v>8</v>
      </c>
      <c r="C4094" s="4" t="str">
        <f t="shared" si="149"/>
        <v>-</v>
      </c>
      <c r="D4094" s="4" t="str">
        <f>"-"</f>
        <v>-</v>
      </c>
      <c r="E4094" s="4" t="str">
        <f t="shared" si="150"/>
        <v>-</v>
      </c>
      <c r="F4094" s="4" t="s">
        <v>9</v>
      </c>
    </row>
    <row r="4095" spans="1:6" x14ac:dyDescent="0.25">
      <c r="A4095" s="4" t="str">
        <f>"Proceedings of the International Workshop on Temporal Representation and Reasoning"</f>
        <v>Proceedings of the International Workshop on Temporal Representation and Reasoning</v>
      </c>
      <c r="B4095" s="4" t="s">
        <v>8</v>
      </c>
      <c r="C4095" s="4" t="str">
        <f t="shared" si="149"/>
        <v>-</v>
      </c>
      <c r="D4095" s="4" t="str">
        <f>"-"</f>
        <v>-</v>
      </c>
      <c r="E4095" s="4" t="str">
        <f t="shared" si="150"/>
        <v>-</v>
      </c>
      <c r="F4095" s="4" t="s">
        <v>105</v>
      </c>
    </row>
    <row r="4096" spans="1:6" x14ac:dyDescent="0.25">
      <c r="A4096" s="4" t="str">
        <f>"Proceedings of the Interntational Workshop on Web Information and Data Management WIDM"</f>
        <v>Proceedings of the Interntational Workshop on Web Information and Data Management WIDM</v>
      </c>
      <c r="B4096" s="4" t="s">
        <v>8</v>
      </c>
      <c r="C4096" s="4" t="str">
        <f t="shared" si="149"/>
        <v>-</v>
      </c>
      <c r="D4096" s="4" t="str">
        <f>"-"</f>
        <v>-</v>
      </c>
      <c r="E4096" s="4" t="str">
        <f t="shared" si="150"/>
        <v>-</v>
      </c>
      <c r="F4096" s="4" t="s">
        <v>21</v>
      </c>
    </row>
    <row r="4097" spans="1:6" x14ac:dyDescent="0.25">
      <c r="A4097" s="4" t="str">
        <f>"Proceedings of the Intersociety Energy Conversion Engineering Conference"</f>
        <v>Proceedings of the Intersociety Energy Conversion Engineering Conference</v>
      </c>
      <c r="B4097" s="4" t="s">
        <v>8</v>
      </c>
      <c r="C4097" s="4" t="str">
        <f t="shared" si="149"/>
        <v>-</v>
      </c>
      <c r="D4097" s="4" t="str">
        <f>"0146955X"</f>
        <v>0146955X</v>
      </c>
      <c r="E4097" s="4" t="str">
        <f t="shared" si="150"/>
        <v>-</v>
      </c>
      <c r="F4097" s="4" t="s">
        <v>105</v>
      </c>
    </row>
    <row r="4098" spans="1:6" x14ac:dyDescent="0.25">
      <c r="A4098" s="4" t="str">
        <f>"Proceedings of the ISAT International Scientific School"</f>
        <v>Proceedings of the ISAT International Scientific School</v>
      </c>
      <c r="B4098" s="4" t="s">
        <v>8</v>
      </c>
      <c r="C4098" s="4" t="str">
        <f t="shared" si="149"/>
        <v>-</v>
      </c>
      <c r="D4098" s="4" t="str">
        <f>"-"</f>
        <v>-</v>
      </c>
      <c r="E4098" s="4" t="str">
        <f t="shared" si="150"/>
        <v>-</v>
      </c>
      <c r="F4098" s="4" t="s">
        <v>383</v>
      </c>
    </row>
    <row r="4099" spans="1:6" x14ac:dyDescent="0.25">
      <c r="A4099" s="4" t="str">
        <f>"Proceedings of the ISOPE Ocean Mining Symposium"</f>
        <v>Proceedings of the ISOPE Ocean Mining Symposium</v>
      </c>
      <c r="B4099" s="4" t="s">
        <v>8</v>
      </c>
      <c r="C4099" s="4" t="str">
        <f t="shared" si="149"/>
        <v>-</v>
      </c>
      <c r="D4099" s="4" t="str">
        <f>"-"</f>
        <v>-</v>
      </c>
      <c r="E4099" s="4" t="str">
        <f t="shared" si="150"/>
        <v>-</v>
      </c>
      <c r="F4099" s="4" t="s">
        <v>594</v>
      </c>
    </row>
    <row r="4100" spans="1:6" x14ac:dyDescent="0.25">
      <c r="A4100" s="4" t="str">
        <f>"Proceedings of the Joint ACM Java Grande - ISCOPE Conference"</f>
        <v>Proceedings of the Joint ACM Java Grande - ISCOPE Conference</v>
      </c>
      <c r="B4100" s="4" t="s">
        <v>8</v>
      </c>
      <c r="C4100" s="4" t="str">
        <f t="shared" si="149"/>
        <v>-</v>
      </c>
      <c r="D4100" s="4" t="str">
        <f>"-"</f>
        <v>-</v>
      </c>
      <c r="E4100" s="4" t="str">
        <f t="shared" si="150"/>
        <v>-</v>
      </c>
      <c r="F4100" s="4" t="s">
        <v>21</v>
      </c>
    </row>
    <row r="4101" spans="1:6" x14ac:dyDescent="0.25">
      <c r="A4101" s="4" t="str">
        <f>"Proceedings of the Mediterranean Electrotechnical Conference - MELECON"</f>
        <v>Proceedings of the Mediterranean Electrotechnical Conference - MELECON</v>
      </c>
      <c r="B4101" s="4" t="s">
        <v>8</v>
      </c>
      <c r="C4101" s="4" t="str">
        <f t="shared" si="149"/>
        <v>-</v>
      </c>
      <c r="D4101" s="4" t="str">
        <f>"-"</f>
        <v>-</v>
      </c>
      <c r="E4101" s="4" t="str">
        <f t="shared" si="150"/>
        <v>-</v>
      </c>
      <c r="F4101" s="4" t="s">
        <v>105</v>
      </c>
    </row>
    <row r="4102" spans="1:6" x14ac:dyDescent="0.25">
      <c r="A4102" s="4" t="str">
        <f>"Proceedings of the Mexican International Conference on Computer Science"</f>
        <v>Proceedings of the Mexican International Conference on Computer Science</v>
      </c>
      <c r="B4102" s="4" t="s">
        <v>8</v>
      </c>
      <c r="C4102" s="4" t="str">
        <f t="shared" si="149"/>
        <v>-</v>
      </c>
      <c r="D4102" s="4" t="str">
        <f>"15504069"</f>
        <v>15504069</v>
      </c>
      <c r="E4102" s="4" t="str">
        <f t="shared" si="150"/>
        <v>-</v>
      </c>
      <c r="F4102" s="4" t="s">
        <v>9</v>
      </c>
    </row>
    <row r="4103" spans="1:6" x14ac:dyDescent="0.25">
      <c r="A4103" s="4" t="str">
        <f>"Proceedings of the Mini Conference on Vehicle System Dynamics, Identification and Anomalies"</f>
        <v>Proceedings of the Mini Conference on Vehicle System Dynamics, Identification and Anomalies</v>
      </c>
      <c r="B4103" s="4" t="s">
        <v>8</v>
      </c>
      <c r="C4103" s="4" t="str">
        <f t="shared" si="149"/>
        <v>-</v>
      </c>
      <c r="D4103" s="4" t="str">
        <f t="shared" si="149"/>
        <v>-</v>
      </c>
      <c r="E4103" s="4" t="str">
        <f t="shared" si="150"/>
        <v>-</v>
      </c>
      <c r="F4103" s="4" t="s">
        <v>927</v>
      </c>
    </row>
    <row r="4104" spans="1:6" x14ac:dyDescent="0.25">
      <c r="A4104" s="4" t="str">
        <f>"Proceedings of the National Conference on Artificial Intelligence"</f>
        <v>Proceedings of the National Conference on Artificial Intelligence</v>
      </c>
      <c r="B4104" s="4" t="s">
        <v>8</v>
      </c>
      <c r="C4104" s="4" t="str">
        <f t="shared" si="149"/>
        <v>-</v>
      </c>
      <c r="D4104" s="4" t="str">
        <f t="shared" si="149"/>
        <v>-</v>
      </c>
      <c r="E4104" s="4" t="str">
        <f t="shared" si="150"/>
        <v>-</v>
      </c>
      <c r="F4104" s="4" t="s">
        <v>11</v>
      </c>
    </row>
    <row r="4105" spans="1:6" x14ac:dyDescent="0.25">
      <c r="A4105" s="4" t="str">
        <f>"Proceedings of the National Symposium on Civil Engineering History"</f>
        <v>Proceedings of the National Symposium on Civil Engineering History</v>
      </c>
      <c r="B4105" s="4" t="s">
        <v>8</v>
      </c>
      <c r="C4105" s="4" t="str">
        <f t="shared" si="149"/>
        <v>-</v>
      </c>
      <c r="D4105" s="4" t="str">
        <f t="shared" si="149"/>
        <v>-</v>
      </c>
      <c r="E4105" s="4" t="str">
        <f t="shared" si="150"/>
        <v>-</v>
      </c>
      <c r="F4105" s="4" t="s">
        <v>111</v>
      </c>
    </row>
    <row r="4106" spans="1:6" x14ac:dyDescent="0.25">
      <c r="A4106" s="4" t="str">
        <f>"Proceedings of the Permian Basin Oil and Gas Recovery Conference"</f>
        <v>Proceedings of the Permian Basin Oil and Gas Recovery Conference</v>
      </c>
      <c r="B4106" s="4" t="s">
        <v>8</v>
      </c>
      <c r="C4106" s="4" t="str">
        <f t="shared" si="149"/>
        <v>-</v>
      </c>
      <c r="D4106" s="4" t="str">
        <f t="shared" si="149"/>
        <v>-</v>
      </c>
      <c r="E4106" s="4" t="str">
        <f t="shared" si="150"/>
        <v>-</v>
      </c>
      <c r="F4106" s="4" t="s">
        <v>915</v>
      </c>
    </row>
    <row r="4107" spans="1:6" x14ac:dyDescent="0.25">
      <c r="A4107" s="4" t="str">
        <f>"Proceedings of the Pipeline Division Specialty Conference"</f>
        <v>Proceedings of the Pipeline Division Specialty Conference</v>
      </c>
      <c r="B4107" s="4" t="s">
        <v>8</v>
      </c>
      <c r="C4107" s="4" t="str">
        <f t="shared" si="149"/>
        <v>-</v>
      </c>
      <c r="D4107" s="4" t="str">
        <f t="shared" si="149"/>
        <v>-</v>
      </c>
      <c r="E4107" s="4" t="str">
        <f t="shared" si="150"/>
        <v>-</v>
      </c>
      <c r="F4107" s="4" t="s">
        <v>111</v>
      </c>
    </row>
    <row r="4108" spans="1:6" x14ac:dyDescent="0.25">
      <c r="A4108" s="4" t="str">
        <f>"Proceedings of the Pulp and Paper Research Conference"</f>
        <v>Proceedings of the Pulp and Paper Research Conference</v>
      </c>
      <c r="B4108" s="4" t="s">
        <v>8</v>
      </c>
      <c r="C4108" s="4" t="str">
        <f t="shared" si="149"/>
        <v>-</v>
      </c>
      <c r="D4108" s="4" t="str">
        <f t="shared" si="149"/>
        <v>-</v>
      </c>
      <c r="E4108" s="4" t="str">
        <f t="shared" si="150"/>
        <v>-</v>
      </c>
      <c r="F4108" s="4" t="s">
        <v>994</v>
      </c>
    </row>
    <row r="4109" spans="1:6" x14ac:dyDescent="0.25">
      <c r="A4109" s="4" t="str">
        <f>"Proceedings of the Royal Society A: Mathematical, Physical and Engineering Sciences"</f>
        <v>Proceedings of the Royal Society A: Mathematical, Physical and Engineering Sciences</v>
      </c>
      <c r="B4109" s="4" t="s">
        <v>6</v>
      </c>
      <c r="C4109" s="4" t="str">
        <f t="shared" si="149"/>
        <v>-</v>
      </c>
      <c r="D4109" s="4" t="str">
        <f>"13645021"</f>
        <v>13645021</v>
      </c>
      <c r="E4109" s="4" t="str">
        <f>"14712946"</f>
        <v>14712946</v>
      </c>
      <c r="F4109" s="4" t="s">
        <v>798</v>
      </c>
    </row>
    <row r="4110" spans="1:6" x14ac:dyDescent="0.25">
      <c r="A4110" s="4" t="str">
        <f>"Proceedings of the SICE Annual Conference"</f>
        <v>Proceedings of the SICE Annual Conference</v>
      </c>
      <c r="B4110" s="4" t="s">
        <v>8</v>
      </c>
      <c r="C4110" s="4" t="str">
        <f t="shared" si="149"/>
        <v>-</v>
      </c>
      <c r="D4110" s="4" t="str">
        <f>"-"</f>
        <v>-</v>
      </c>
      <c r="E4110" s="4" t="str">
        <f>"-"</f>
        <v>-</v>
      </c>
      <c r="F4110" s="4" t="s">
        <v>995</v>
      </c>
    </row>
    <row r="4111" spans="1:6" x14ac:dyDescent="0.25">
      <c r="A4111" s="4" t="str">
        <f>"Proceedings of the SIGGRAPH/Eurographics Workshop on Graphics Hardware"</f>
        <v>Proceedings of the SIGGRAPH/Eurographics Workshop on Graphics Hardware</v>
      </c>
      <c r="B4111" s="4" t="s">
        <v>8</v>
      </c>
      <c r="C4111" s="4" t="str">
        <f t="shared" si="149"/>
        <v>-</v>
      </c>
      <c r="D4111" s="4" t="str">
        <f>"-"</f>
        <v>-</v>
      </c>
      <c r="E4111" s="4" t="str">
        <f>"-"</f>
        <v>-</v>
      </c>
      <c r="F4111" s="4" t="s">
        <v>23</v>
      </c>
    </row>
    <row r="4112" spans="1:6" x14ac:dyDescent="0.25">
      <c r="A4112" s="4" t="str">
        <f>"Proceedings of the Society for Experimental Mechanics, Inc."</f>
        <v>Proceedings of the Society for Experimental Mechanics, Inc.</v>
      </c>
      <c r="B4112" s="4" t="s">
        <v>6</v>
      </c>
      <c r="C4112" s="4" t="str">
        <f t="shared" si="149"/>
        <v>-</v>
      </c>
      <c r="D4112" s="4" t="str">
        <f>"10466789"</f>
        <v>10466789</v>
      </c>
      <c r="E4112" s="4" t="str">
        <f t="shared" ref="E4112:E4122" si="151">"-"</f>
        <v>-</v>
      </c>
      <c r="F4112" s="4" t="s">
        <v>996</v>
      </c>
    </row>
    <row r="4113" spans="1:6" x14ac:dyDescent="0.25">
      <c r="A4113" s="4" t="str">
        <f>"Proceedings of the South African Symposium on Communications and Signal Processing, COMSIG"</f>
        <v>Proceedings of the South African Symposium on Communications and Signal Processing, COMSIG</v>
      </c>
      <c r="B4113" s="4" t="s">
        <v>8</v>
      </c>
      <c r="C4113" s="4" t="str">
        <f t="shared" si="149"/>
        <v>-</v>
      </c>
      <c r="D4113" s="4" t="str">
        <f>"-"</f>
        <v>-</v>
      </c>
      <c r="E4113" s="4" t="str">
        <f t="shared" si="151"/>
        <v>-</v>
      </c>
      <c r="F4113" s="4" t="s">
        <v>9</v>
      </c>
    </row>
    <row r="4114" spans="1:6" x14ac:dyDescent="0.25">
      <c r="A4114" s="4" t="str">
        <f>"Proceedings of the SPBG: Symposium on Point Based Graphics"</f>
        <v>Proceedings of the SPBG: Symposium on Point Based Graphics</v>
      </c>
      <c r="B4114" s="4" t="s">
        <v>8</v>
      </c>
      <c r="C4114" s="4" t="str">
        <f t="shared" si="149"/>
        <v>-</v>
      </c>
      <c r="D4114" s="4" t="str">
        <f>"18117813"</f>
        <v>18117813</v>
      </c>
      <c r="E4114" s="4" t="str">
        <f t="shared" si="151"/>
        <v>-</v>
      </c>
      <c r="F4114" s="4" t="s">
        <v>23</v>
      </c>
    </row>
    <row r="4115" spans="1:6" x14ac:dyDescent="0.25">
      <c r="A4115" s="4" t="str">
        <f>"Proceedings of the SPE Asia Pacific Conference on Integrated Modelling for Asset Management"</f>
        <v>Proceedings of the SPE Asia Pacific Conference on Integrated Modelling for Asset Management</v>
      </c>
      <c r="B4115" s="4" t="s">
        <v>8</v>
      </c>
      <c r="C4115" s="4" t="str">
        <f t="shared" si="149"/>
        <v>-</v>
      </c>
      <c r="D4115" s="4" t="str">
        <f>"-"</f>
        <v>-</v>
      </c>
      <c r="E4115" s="4" t="str">
        <f t="shared" si="151"/>
        <v>-</v>
      </c>
      <c r="F4115" s="4" t="s">
        <v>915</v>
      </c>
    </row>
    <row r="4116" spans="1:6" x14ac:dyDescent="0.25">
      <c r="A4116" s="4" t="str">
        <f>"Proceedings of the SPE/IADC Middle East Drilling Technology Conference and Exhibition"</f>
        <v>Proceedings of the SPE/IADC Middle East Drilling Technology Conference and Exhibition</v>
      </c>
      <c r="B4116" s="4" t="s">
        <v>8</v>
      </c>
      <c r="C4116" s="4" t="str">
        <f t="shared" si="149"/>
        <v>-</v>
      </c>
      <c r="D4116" s="4" t="str">
        <f>"-"</f>
        <v>-</v>
      </c>
      <c r="E4116" s="4" t="str">
        <f t="shared" si="151"/>
        <v>-</v>
      </c>
      <c r="F4116" s="4" t="s">
        <v>915</v>
      </c>
    </row>
    <row r="4117" spans="1:6" x14ac:dyDescent="0.25">
      <c r="A4117" s="4" t="str">
        <f>"Proceedings of the SPE/ICoTA Coiled Tubing Roundtable Conference"</f>
        <v>Proceedings of the SPE/ICoTA Coiled Tubing Roundtable Conference</v>
      </c>
      <c r="B4117" s="4" t="s">
        <v>8</v>
      </c>
      <c r="C4117" s="4" t="str">
        <f t="shared" si="149"/>
        <v>-</v>
      </c>
      <c r="D4117" s="4" t="str">
        <f>"-"</f>
        <v>-</v>
      </c>
      <c r="E4117" s="4" t="str">
        <f t="shared" si="151"/>
        <v>-</v>
      </c>
      <c r="F4117" s="4" t="s">
        <v>915</v>
      </c>
    </row>
    <row r="4118" spans="1:6" x14ac:dyDescent="0.25">
      <c r="A4118" s="4" t="str">
        <f>"Proceedings of the SPE/ISRM Rock Mechanics in Petroleum Engineering Conference"</f>
        <v>Proceedings of the SPE/ISRM Rock Mechanics in Petroleum Engineering Conference</v>
      </c>
      <c r="B4118" s="4" t="s">
        <v>8</v>
      </c>
      <c r="C4118" s="4" t="str">
        <f t="shared" si="149"/>
        <v>-</v>
      </c>
      <c r="D4118" s="4" t="str">
        <f>"-"</f>
        <v>-</v>
      </c>
      <c r="E4118" s="4" t="str">
        <f t="shared" si="151"/>
        <v>-</v>
      </c>
      <c r="F4118" s="4" t="s">
        <v>915</v>
      </c>
    </row>
    <row r="4119" spans="1:6" x14ac:dyDescent="0.25">
      <c r="A4119" s="4" t="str">
        <f>"Proceedings of the Spring Technical Conference of the ASME Internal Combustion Engine Division"</f>
        <v>Proceedings of the Spring Technical Conference of the ASME Internal Combustion Engine Division</v>
      </c>
      <c r="B4119" s="4" t="s">
        <v>8</v>
      </c>
      <c r="C4119" s="4" t="str">
        <f t="shared" si="149"/>
        <v>-</v>
      </c>
      <c r="D4119" s="4" t="str">
        <f>"15296598"</f>
        <v>15296598</v>
      </c>
      <c r="E4119" s="4" t="str">
        <f t="shared" si="151"/>
        <v>-</v>
      </c>
      <c r="F4119" s="4" t="s">
        <v>73</v>
      </c>
    </row>
    <row r="4120" spans="1:6" x14ac:dyDescent="0.25">
      <c r="A4120" s="4" t="str">
        <f>"Proceedings of the Structures Congress and Exposition"</f>
        <v>Proceedings of the Structures Congress and Exposition</v>
      </c>
      <c r="B4120" s="4" t="s">
        <v>8</v>
      </c>
      <c r="C4120" s="4" t="str">
        <f t="shared" si="149"/>
        <v>-</v>
      </c>
      <c r="D4120" s="4" t="str">
        <f>"-"</f>
        <v>-</v>
      </c>
      <c r="E4120" s="4" t="str">
        <f t="shared" si="151"/>
        <v>-</v>
      </c>
      <c r="F4120" s="4" t="s">
        <v>111</v>
      </c>
    </row>
    <row r="4121" spans="1:6" x14ac:dyDescent="0.25">
      <c r="A4121" s="4" t="str">
        <f>"Proceedings of the Symposium on Combustion"</f>
        <v>Proceedings of the Symposium on Combustion</v>
      </c>
      <c r="B4121" s="4" t="s">
        <v>8</v>
      </c>
      <c r="C4121" s="4" t="str">
        <f t="shared" si="149"/>
        <v>-</v>
      </c>
      <c r="D4121" s="4" t="str">
        <f>"-"</f>
        <v>-</v>
      </c>
      <c r="E4121" s="4" t="str">
        <f t="shared" si="151"/>
        <v>-</v>
      </c>
      <c r="F4121" s="4" t="s">
        <v>263</v>
      </c>
    </row>
    <row r="4122" spans="1:6" x14ac:dyDescent="0.25">
      <c r="A4122" s="4" t="str">
        <f>"Proceedings of the Symposium on Interactive 3D Graphics"</f>
        <v>Proceedings of the Symposium on Interactive 3D Graphics</v>
      </c>
      <c r="B4122" s="4" t="s">
        <v>8</v>
      </c>
      <c r="C4122" s="4" t="str">
        <f t="shared" si="149"/>
        <v>-</v>
      </c>
      <c r="D4122" s="4" t="str">
        <f>"-"</f>
        <v>-</v>
      </c>
      <c r="E4122" s="4" t="str">
        <f t="shared" si="151"/>
        <v>-</v>
      </c>
      <c r="F4122" s="4" t="s">
        <v>21</v>
      </c>
    </row>
    <row r="4123" spans="1:6" ht="30" x14ac:dyDescent="0.25">
      <c r="A4123" s="4" t="str">
        <f>"Proceedings of the Symposium on the Application of Geophyics to Engineering and Environmental Problems, SAGEEP"</f>
        <v>Proceedings of the Symposium on the Application of Geophyics to Engineering and Environmental Problems, SAGEEP</v>
      </c>
      <c r="B4123" s="4" t="s">
        <v>8</v>
      </c>
      <c r="C4123" s="4" t="str">
        <f t="shared" si="149"/>
        <v>-</v>
      </c>
      <c r="D4123" s="4" t="str">
        <f>"15548015"</f>
        <v>15548015</v>
      </c>
      <c r="E4123" s="4" t="str">
        <f>"15548015"</f>
        <v>15548015</v>
      </c>
      <c r="F4123" s="4" t="s">
        <v>959</v>
      </c>
    </row>
    <row r="4124" spans="1:6" x14ac:dyDescent="0.25">
      <c r="A4124" s="4" t="str">
        <f>"Proceedings of the Technical Association of the Graphic Arts, TAGA"</f>
        <v>Proceedings of the Technical Association of the Graphic Arts, TAGA</v>
      </c>
      <c r="B4124" s="4" t="s">
        <v>8</v>
      </c>
      <c r="C4124" s="4" t="str">
        <f t="shared" si="149"/>
        <v>-</v>
      </c>
      <c r="D4124" s="4" t="str">
        <f t="shared" si="149"/>
        <v>-</v>
      </c>
      <c r="E4124" s="4" t="str">
        <f t="shared" si="149"/>
        <v>-</v>
      </c>
      <c r="F4124" s="4" t="s">
        <v>997</v>
      </c>
    </row>
    <row r="4125" spans="1:6" x14ac:dyDescent="0.25">
      <c r="A4125" s="4" t="str">
        <f>"Proceedings of the TMS Fall Extraction and Processing Conference"</f>
        <v>Proceedings of the TMS Fall Extraction and Processing Conference</v>
      </c>
      <c r="B4125" s="4" t="s">
        <v>8</v>
      </c>
      <c r="C4125" s="4" t="str">
        <f t="shared" si="149"/>
        <v>-</v>
      </c>
      <c r="D4125" s="4" t="str">
        <f t="shared" si="149"/>
        <v>-</v>
      </c>
      <c r="E4125" s="4" t="str">
        <f t="shared" si="149"/>
        <v>-</v>
      </c>
      <c r="F4125" s="4" t="s">
        <v>648</v>
      </c>
    </row>
    <row r="4126" spans="1:6" x14ac:dyDescent="0.25">
      <c r="A4126" s="4" t="str">
        <f>"Proceedings of the TMS Fall Meeting"</f>
        <v>Proceedings of the TMS Fall Meeting</v>
      </c>
      <c r="B4126" s="4" t="s">
        <v>8</v>
      </c>
      <c r="C4126" s="4" t="str">
        <f t="shared" si="149"/>
        <v>-</v>
      </c>
      <c r="D4126" s="4" t="str">
        <f t="shared" si="149"/>
        <v>-</v>
      </c>
      <c r="E4126" s="4" t="str">
        <f t="shared" si="149"/>
        <v>-</v>
      </c>
      <c r="F4126" s="4" t="s">
        <v>648</v>
      </c>
    </row>
    <row r="4127" spans="1:6" x14ac:dyDescent="0.25">
      <c r="A4127" s="4" t="str">
        <f>"Proceedings of the Universities Power Engineering Conference"</f>
        <v>Proceedings of the Universities Power Engineering Conference</v>
      </c>
      <c r="B4127" s="4" t="s">
        <v>8</v>
      </c>
      <c r="C4127" s="4" t="str">
        <f t="shared" si="149"/>
        <v>-</v>
      </c>
      <c r="D4127" s="4" t="str">
        <f t="shared" si="149"/>
        <v>-</v>
      </c>
      <c r="E4127" s="4" t="str">
        <f t="shared" si="149"/>
        <v>-</v>
      </c>
      <c r="F4127" s="4" t="s">
        <v>9</v>
      </c>
    </row>
    <row r="4128" spans="1:6" x14ac:dyDescent="0.25">
      <c r="A4128" s="4" t="str">
        <f>"Proceedings of the VHDL International Users Forum Fall Conference, VIUF"</f>
        <v>Proceedings of the VHDL International Users Forum Fall Conference, VIUF</v>
      </c>
      <c r="B4128" s="4" t="s">
        <v>8</v>
      </c>
      <c r="C4128" s="4" t="str">
        <f t="shared" ref="C4128:E4191" si="152">"-"</f>
        <v>-</v>
      </c>
      <c r="D4128" s="4" t="str">
        <f t="shared" si="152"/>
        <v>-</v>
      </c>
      <c r="E4128" s="4" t="str">
        <f t="shared" si="152"/>
        <v>-</v>
      </c>
      <c r="F4128" s="4" t="s">
        <v>9</v>
      </c>
    </row>
    <row r="4129" spans="1:6" x14ac:dyDescent="0.25">
      <c r="A4129" s="4" t="str">
        <f>"Proceedings of the VLDB Endowment"</f>
        <v>Proceedings of the VLDB Endowment</v>
      </c>
      <c r="B4129" s="4" t="s">
        <v>8</v>
      </c>
      <c r="C4129" s="4" t="str">
        <f t="shared" si="152"/>
        <v>-</v>
      </c>
      <c r="D4129" s="4" t="str">
        <f>"-"</f>
        <v>-</v>
      </c>
      <c r="E4129" s="4" t="str">
        <f>"21508097"</f>
        <v>21508097</v>
      </c>
      <c r="F4129" s="4" t="s">
        <v>21</v>
      </c>
    </row>
    <row r="4130" spans="1:6" x14ac:dyDescent="0.25">
      <c r="A4130" s="4" t="str">
        <f>"Proceedings of the Watershed Management Symposium"</f>
        <v>Proceedings of the Watershed Management Symposium</v>
      </c>
      <c r="B4130" s="4" t="s">
        <v>8</v>
      </c>
      <c r="C4130" s="4" t="str">
        <f t="shared" si="152"/>
        <v>-</v>
      </c>
      <c r="D4130" s="4" t="str">
        <f>"-"</f>
        <v>-</v>
      </c>
      <c r="E4130" s="4" t="str">
        <f t="shared" ref="E4130:E4147" si="153">"-"</f>
        <v>-</v>
      </c>
      <c r="F4130" s="4" t="s">
        <v>111</v>
      </c>
    </row>
    <row r="4131" spans="1:6" x14ac:dyDescent="0.25">
      <c r="A4131" s="4" t="str">
        <f>"Proceedings of The Western Snow Conference"</f>
        <v>Proceedings of The Western Snow Conference</v>
      </c>
      <c r="B4131" s="4" t="s">
        <v>8</v>
      </c>
      <c r="C4131" s="4" t="str">
        <f t="shared" si="152"/>
        <v>-</v>
      </c>
      <c r="D4131" s="4" t="str">
        <f>"01610589"</f>
        <v>01610589</v>
      </c>
      <c r="E4131" s="4" t="str">
        <f t="shared" si="153"/>
        <v>-</v>
      </c>
      <c r="F4131" s="4" t="s">
        <v>998</v>
      </c>
    </row>
    <row r="4132" spans="1:6" x14ac:dyDescent="0.25">
      <c r="A4132" s="4" t="str">
        <f>"Proceedings of the Workshop on Advanced Visual Interfaces AVI"</f>
        <v>Proceedings of the Workshop on Advanced Visual Interfaces AVI</v>
      </c>
      <c r="B4132" s="4" t="s">
        <v>8</v>
      </c>
      <c r="C4132" s="4" t="str">
        <f t="shared" si="152"/>
        <v>-</v>
      </c>
      <c r="D4132" s="4" t="str">
        <f>"-"</f>
        <v>-</v>
      </c>
      <c r="E4132" s="4" t="str">
        <f t="shared" si="153"/>
        <v>-</v>
      </c>
      <c r="F4132" s="4" t="s">
        <v>21</v>
      </c>
    </row>
    <row r="4133" spans="1:6" x14ac:dyDescent="0.25">
      <c r="A4133" s="4" t="str">
        <f>"Proceedings of the Workshop on Algorithm Engineering and Experiments"</f>
        <v>Proceedings of the Workshop on Algorithm Engineering and Experiments</v>
      </c>
      <c r="B4133" s="4" t="s">
        <v>8</v>
      </c>
      <c r="C4133" s="4" t="str">
        <f t="shared" si="152"/>
        <v>-</v>
      </c>
      <c r="D4133" s="4" t="str">
        <f>"21640300"</f>
        <v>21640300</v>
      </c>
      <c r="E4133" s="4" t="str">
        <f t="shared" si="153"/>
        <v>-</v>
      </c>
      <c r="F4133" s="4" t="s">
        <v>249</v>
      </c>
    </row>
    <row r="4134" spans="1:6" ht="30" x14ac:dyDescent="0.25">
      <c r="A4134" s="4" t="str">
        <f>"Proceedings of the Workshop on Enabling Technologies: Infrastructure for Collaborative Enterprises, WETICE"</f>
        <v>Proceedings of the Workshop on Enabling Technologies: Infrastructure for Collaborative Enterprises, WETICE</v>
      </c>
      <c r="B4134" s="4" t="s">
        <v>8</v>
      </c>
      <c r="C4134" s="4" t="str">
        <f t="shared" si="152"/>
        <v>-</v>
      </c>
      <c r="D4134" s="4" t="str">
        <f>"15244547"</f>
        <v>15244547</v>
      </c>
      <c r="E4134" s="4" t="str">
        <f t="shared" si="153"/>
        <v>-</v>
      </c>
      <c r="F4134" s="4" t="s">
        <v>9</v>
      </c>
    </row>
    <row r="4135" spans="1:6" x14ac:dyDescent="0.25">
      <c r="A4135" s="4" t="str">
        <f>"Proceedings of the Workshop on Formal Methods in Software Practice"</f>
        <v>Proceedings of the Workshop on Formal Methods in Software Practice</v>
      </c>
      <c r="B4135" s="4" t="s">
        <v>8</v>
      </c>
      <c r="C4135" s="4" t="str">
        <f t="shared" si="152"/>
        <v>-</v>
      </c>
      <c r="D4135" s="4" t="str">
        <f>"-"</f>
        <v>-</v>
      </c>
      <c r="E4135" s="4" t="str">
        <f t="shared" si="153"/>
        <v>-</v>
      </c>
      <c r="F4135" s="4" t="s">
        <v>21</v>
      </c>
    </row>
    <row r="4136" spans="1:6" x14ac:dyDescent="0.25">
      <c r="A4136" s="4" t="str">
        <f>"Proceedings of the Workshop on Hot Topics in Operating Systems - HOTOS"</f>
        <v>Proceedings of the Workshop on Hot Topics in Operating Systems - HOTOS</v>
      </c>
      <c r="B4136" s="4" t="s">
        <v>8</v>
      </c>
      <c r="C4136" s="4" t="str">
        <f t="shared" si="152"/>
        <v>-</v>
      </c>
      <c r="D4136" s="4" t="str">
        <f>"-"</f>
        <v>-</v>
      </c>
      <c r="E4136" s="4" t="str">
        <f t="shared" si="153"/>
        <v>-</v>
      </c>
      <c r="F4136" s="4" t="s">
        <v>9</v>
      </c>
    </row>
    <row r="4137" spans="1:6" x14ac:dyDescent="0.25">
      <c r="A4137" s="4" t="str">
        <f>"Proceedings of the Workshop on Mathematical Methods in Biomedical Image Analysis"</f>
        <v>Proceedings of the Workshop on Mathematical Methods in Biomedical Image Analysis</v>
      </c>
      <c r="B4137" s="4" t="s">
        <v>8</v>
      </c>
      <c r="C4137" s="4" t="str">
        <f t="shared" si="152"/>
        <v>-</v>
      </c>
      <c r="D4137" s="4" t="str">
        <f>"-"</f>
        <v>-</v>
      </c>
      <c r="E4137" s="4" t="str">
        <f t="shared" si="153"/>
        <v>-</v>
      </c>
      <c r="F4137" s="4" t="s">
        <v>9</v>
      </c>
    </row>
    <row r="4138" spans="1:6" x14ac:dyDescent="0.25">
      <c r="A4138" s="4" t="str">
        <f>"Proceedings of the World Congress on Intelligent Control and Automation (WCICA)"</f>
        <v>Proceedings of the World Congress on Intelligent Control and Automation (WCICA)</v>
      </c>
      <c r="B4138" s="4" t="s">
        <v>8</v>
      </c>
      <c r="C4138" s="4" t="str">
        <f t="shared" si="152"/>
        <v>-</v>
      </c>
      <c r="D4138" s="4" t="str">
        <f>"-"</f>
        <v>-</v>
      </c>
      <c r="E4138" s="4" t="str">
        <f t="shared" si="153"/>
        <v>-</v>
      </c>
      <c r="F4138" s="4" t="s">
        <v>105</v>
      </c>
    </row>
    <row r="4139" spans="1:6" x14ac:dyDescent="0.25">
      <c r="A4139" s="4" t="str">
        <f>"Proceedings of the World Multiconference on Applied Economics, Business and Development"</f>
        <v>Proceedings of the World Multiconference on Applied Economics, Business and Development</v>
      </c>
      <c r="B4139" s="4" t="s">
        <v>8</v>
      </c>
      <c r="C4139" s="4" t="str">
        <f t="shared" si="152"/>
        <v>-</v>
      </c>
      <c r="D4139" s="4" t="str">
        <f>"22235779"</f>
        <v>22235779</v>
      </c>
      <c r="E4139" s="4" t="str">
        <f t="shared" si="153"/>
        <v>-</v>
      </c>
      <c r="F4139" s="4" t="s">
        <v>553</v>
      </c>
    </row>
    <row r="4140" spans="1:6" x14ac:dyDescent="0.25">
      <c r="A4140" s="4" t="str">
        <f>"Proceedings of the WSEAS/IASME International Conference on Educational Technologies"</f>
        <v>Proceedings of the WSEAS/IASME International Conference on Educational Technologies</v>
      </c>
      <c r="B4140" s="4" t="s">
        <v>8</v>
      </c>
      <c r="C4140" s="4" t="str">
        <f t="shared" si="152"/>
        <v>-</v>
      </c>
      <c r="D4140" s="4" t="str">
        <f>"22235787"</f>
        <v>22235787</v>
      </c>
      <c r="E4140" s="4" t="str">
        <f t="shared" si="153"/>
        <v>-</v>
      </c>
      <c r="F4140" s="4" t="s">
        <v>553</v>
      </c>
    </row>
    <row r="4141" spans="1:6" x14ac:dyDescent="0.25">
      <c r="A4141" s="4" t="str">
        <f>"Proceedings, Annual Conference - Canadian Society for Civil Engineering"</f>
        <v>Proceedings, Annual Conference - Canadian Society for Civil Engineering</v>
      </c>
      <c r="B4141" s="4" t="s">
        <v>8</v>
      </c>
      <c r="C4141" s="4" t="str">
        <f t="shared" si="152"/>
        <v>-</v>
      </c>
      <c r="D4141" s="4" t="str">
        <f>"-"</f>
        <v>-</v>
      </c>
      <c r="E4141" s="4" t="str">
        <f t="shared" si="153"/>
        <v>-</v>
      </c>
      <c r="F4141" s="4" t="s">
        <v>999</v>
      </c>
    </row>
    <row r="4142" spans="1:6" x14ac:dyDescent="0.25">
      <c r="A4142" s="4" t="str">
        <f>"Proceedings, Annual Convention - Gas Processors Association"</f>
        <v>Proceedings, Annual Convention - Gas Processors Association</v>
      </c>
      <c r="B4142" s="4" t="s">
        <v>8</v>
      </c>
      <c r="C4142" s="4" t="str">
        <f t="shared" si="152"/>
        <v>-</v>
      </c>
      <c r="D4142" s="4" t="str">
        <f>"00968870"</f>
        <v>00968870</v>
      </c>
      <c r="E4142" s="4" t="str">
        <f t="shared" si="153"/>
        <v>-</v>
      </c>
      <c r="F4142" s="4" t="s">
        <v>1000</v>
      </c>
    </row>
    <row r="4143" spans="1:6" x14ac:dyDescent="0.25">
      <c r="A4143" s="4" t="str">
        <f>"Proceedings, Annual Technical Conference - Society of Vacuum Coaters"</f>
        <v>Proceedings, Annual Technical Conference - Society of Vacuum Coaters</v>
      </c>
      <c r="B4143" s="4" t="s">
        <v>8</v>
      </c>
      <c r="C4143" s="4" t="str">
        <f t="shared" si="152"/>
        <v>-</v>
      </c>
      <c r="D4143" s="4" t="str">
        <f>"07375921"</f>
        <v>07375921</v>
      </c>
      <c r="E4143" s="4" t="str">
        <f t="shared" si="153"/>
        <v>-</v>
      </c>
      <c r="F4143" s="4" t="s">
        <v>1001</v>
      </c>
    </row>
    <row r="4144" spans="1:6" x14ac:dyDescent="0.25">
      <c r="A4144" s="4" t="str">
        <f>"Proceedings/STC, Society for Technical Communication Annual Conference"</f>
        <v>Proceedings/STC, Society for Technical Communication Annual Conference</v>
      </c>
      <c r="B4144" s="4" t="s">
        <v>8</v>
      </c>
      <c r="C4144" s="4" t="str">
        <f t="shared" si="152"/>
        <v>-</v>
      </c>
      <c r="D4144" s="4" t="str">
        <f>"-"</f>
        <v>-</v>
      </c>
      <c r="E4144" s="4" t="str">
        <f t="shared" si="153"/>
        <v>-</v>
      </c>
      <c r="F4144" s="4" t="s">
        <v>1002</v>
      </c>
    </row>
    <row r="4145" spans="1:6" x14ac:dyDescent="0.25">
      <c r="A4145" s="4" t="str">
        <f>"Process Biochemistry"</f>
        <v>Process Biochemistry</v>
      </c>
      <c r="B4145" s="4" t="s">
        <v>6</v>
      </c>
      <c r="C4145" s="4" t="str">
        <f t="shared" si="152"/>
        <v>-</v>
      </c>
      <c r="D4145" s="4" t="str">
        <f>"13595113"</f>
        <v>13595113</v>
      </c>
      <c r="E4145" s="4" t="str">
        <f t="shared" si="153"/>
        <v>-</v>
      </c>
      <c r="F4145" s="4" t="s">
        <v>19</v>
      </c>
    </row>
    <row r="4146" spans="1:6" x14ac:dyDescent="0.25">
      <c r="A4146" s="4" t="str">
        <f>"Process Engineering (London)"</f>
        <v>Process Engineering (London)</v>
      </c>
      <c r="B4146" s="4" t="s">
        <v>22</v>
      </c>
      <c r="C4146" s="4" t="str">
        <f t="shared" si="152"/>
        <v>-</v>
      </c>
      <c r="D4146" s="4" t="str">
        <f>"03701859"</f>
        <v>03701859</v>
      </c>
      <c r="E4146" s="4" t="str">
        <f t="shared" si="153"/>
        <v>-</v>
      </c>
      <c r="F4146" s="4" t="s">
        <v>374</v>
      </c>
    </row>
    <row r="4147" spans="1:6" x14ac:dyDescent="0.25">
      <c r="A4147" s="4" t="str">
        <f>"Process Safety and Environmental Protection"</f>
        <v>Process Safety and Environmental Protection</v>
      </c>
      <c r="B4147" s="4" t="s">
        <v>6</v>
      </c>
      <c r="C4147" s="4" t="str">
        <f t="shared" si="152"/>
        <v>-</v>
      </c>
      <c r="D4147" s="4" t="str">
        <f>"09575820"</f>
        <v>09575820</v>
      </c>
      <c r="E4147" s="4" t="str">
        <f t="shared" si="153"/>
        <v>-</v>
      </c>
      <c r="F4147" s="4" t="s">
        <v>264</v>
      </c>
    </row>
    <row r="4148" spans="1:6" x14ac:dyDescent="0.25">
      <c r="A4148" s="4" t="str">
        <f>"Process Safety Progress"</f>
        <v>Process Safety Progress</v>
      </c>
      <c r="B4148" s="4" t="s">
        <v>6</v>
      </c>
      <c r="C4148" s="4" t="str">
        <f t="shared" si="152"/>
        <v>-</v>
      </c>
      <c r="D4148" s="4" t="str">
        <f>"10668527"</f>
        <v>10668527</v>
      </c>
      <c r="E4148" s="4" t="str">
        <f>"15475913"</f>
        <v>15475913</v>
      </c>
      <c r="F4148" s="4" t="s">
        <v>87</v>
      </c>
    </row>
    <row r="4149" spans="1:6" x14ac:dyDescent="0.25">
      <c r="A4149" s="4" t="str">
        <f>"Production Engineering"</f>
        <v>Production Engineering</v>
      </c>
      <c r="B4149" s="4" t="s">
        <v>6</v>
      </c>
      <c r="C4149" s="4" t="str">
        <f t="shared" si="152"/>
        <v>-</v>
      </c>
      <c r="D4149" s="4" t="str">
        <f>"09446524"</f>
        <v>09446524</v>
      </c>
      <c r="E4149" s="4" t="str">
        <f>"18637353"</f>
        <v>18637353</v>
      </c>
      <c r="F4149" s="4" t="s">
        <v>42</v>
      </c>
    </row>
    <row r="4150" spans="1:6" x14ac:dyDescent="0.25">
      <c r="A4150" s="4" t="str">
        <f>"Production Planning and Control"</f>
        <v>Production Planning and Control</v>
      </c>
      <c r="B4150" s="4" t="s">
        <v>6</v>
      </c>
      <c r="C4150" s="4" t="str">
        <f t="shared" si="152"/>
        <v>-</v>
      </c>
      <c r="D4150" s="4" t="str">
        <f>"09537287"</f>
        <v>09537287</v>
      </c>
      <c r="E4150" s="4" t="str">
        <f>"13665871"</f>
        <v>13665871</v>
      </c>
      <c r="F4150" s="4" t="s">
        <v>60</v>
      </c>
    </row>
    <row r="4151" spans="1:6" x14ac:dyDescent="0.25">
      <c r="A4151" s="4" t="str">
        <f>"Professional Papermaking"</f>
        <v>Professional Papermaking</v>
      </c>
      <c r="B4151" s="4" t="s">
        <v>22</v>
      </c>
      <c r="C4151" s="4" t="str">
        <f t="shared" si="152"/>
        <v>-</v>
      </c>
      <c r="D4151" s="4" t="str">
        <f>"16120485"</f>
        <v>16120485</v>
      </c>
      <c r="E4151" s="4" t="str">
        <f>"-"</f>
        <v>-</v>
      </c>
      <c r="F4151" s="4" t="s">
        <v>266</v>
      </c>
    </row>
    <row r="4152" spans="1:6" x14ac:dyDescent="0.25">
      <c r="A4152" s="4" t="str">
        <f>"Programming and Computer Software"</f>
        <v>Programming and Computer Software</v>
      </c>
      <c r="B4152" s="4" t="s">
        <v>6</v>
      </c>
      <c r="C4152" s="4" t="str">
        <f t="shared" si="152"/>
        <v>-</v>
      </c>
      <c r="D4152" s="4" t="str">
        <f>"03617688"</f>
        <v>03617688</v>
      </c>
      <c r="E4152" s="4" t="str">
        <f>"-"</f>
        <v>-</v>
      </c>
      <c r="F4152" s="4" t="s">
        <v>171</v>
      </c>
    </row>
    <row r="4153" spans="1:6" x14ac:dyDescent="0.25">
      <c r="A4153" s="4" t="str">
        <f>"Progress in Aerospace Sciences"</f>
        <v>Progress in Aerospace Sciences</v>
      </c>
      <c r="B4153" s="4" t="s">
        <v>6</v>
      </c>
      <c r="C4153" s="4" t="str">
        <f t="shared" si="152"/>
        <v>-</v>
      </c>
      <c r="D4153" s="4" t="str">
        <f>"03760421"</f>
        <v>03760421</v>
      </c>
      <c r="E4153" s="4" t="str">
        <f>"-"</f>
        <v>-</v>
      </c>
      <c r="F4153" s="4" t="s">
        <v>19</v>
      </c>
    </row>
    <row r="4154" spans="1:6" x14ac:dyDescent="0.25">
      <c r="A4154" s="4" t="str">
        <f>"Progress in Artificial Intelligence"</f>
        <v>Progress in Artificial Intelligence</v>
      </c>
      <c r="B4154" s="4" t="s">
        <v>6</v>
      </c>
      <c r="C4154" s="4" t="str">
        <f t="shared" si="152"/>
        <v>-</v>
      </c>
      <c r="D4154" s="4" t="str">
        <f>"21926352"</f>
        <v>21926352</v>
      </c>
      <c r="E4154" s="4" t="str">
        <f>"21926360"</f>
        <v>21926360</v>
      </c>
      <c r="F4154" s="4" t="s">
        <v>42</v>
      </c>
    </row>
    <row r="4155" spans="1:6" x14ac:dyDescent="0.25">
      <c r="A4155" s="4" t="str">
        <f>"Progress in Biomedical Optics and Imaging - Proceedings of SPIE"</f>
        <v>Progress in Biomedical Optics and Imaging - Proceedings of SPIE</v>
      </c>
      <c r="B4155" s="4" t="s">
        <v>8</v>
      </c>
      <c r="C4155" s="4" t="str">
        <f t="shared" si="152"/>
        <v>-</v>
      </c>
      <c r="D4155" s="4" t="str">
        <f>"16057422"</f>
        <v>16057422</v>
      </c>
      <c r="E4155" s="4" t="str">
        <f>"-"</f>
        <v>-</v>
      </c>
      <c r="F4155" s="4" t="s">
        <v>663</v>
      </c>
    </row>
    <row r="4156" spans="1:6" x14ac:dyDescent="0.25">
      <c r="A4156" s="4" t="str">
        <f>"Progress in Computational Fluid Dynamics"</f>
        <v>Progress in Computational Fluid Dynamics</v>
      </c>
      <c r="B4156" s="4" t="s">
        <v>6</v>
      </c>
      <c r="C4156" s="4" t="str">
        <f t="shared" si="152"/>
        <v>-</v>
      </c>
      <c r="D4156" s="4" t="str">
        <f>"14684349"</f>
        <v>14684349</v>
      </c>
      <c r="E4156" s="4" t="str">
        <f>"17415233"</f>
        <v>17415233</v>
      </c>
      <c r="F4156" s="4" t="s">
        <v>396</v>
      </c>
    </row>
    <row r="4157" spans="1:6" x14ac:dyDescent="0.25">
      <c r="A4157" s="4" t="str">
        <f>"Progress in Crystal Growth and Characterization of Materials"</f>
        <v>Progress in Crystal Growth and Characterization of Materials</v>
      </c>
      <c r="B4157" s="4" t="s">
        <v>6</v>
      </c>
      <c r="C4157" s="4" t="str">
        <f t="shared" si="152"/>
        <v>-</v>
      </c>
      <c r="D4157" s="4" t="str">
        <f>"09608974"</f>
        <v>09608974</v>
      </c>
      <c r="E4157" s="4" t="str">
        <f>"-"</f>
        <v>-</v>
      </c>
      <c r="F4157" s="4" t="s">
        <v>19</v>
      </c>
    </row>
    <row r="4158" spans="1:6" x14ac:dyDescent="0.25">
      <c r="A4158" s="4" t="str">
        <f>"Progress in Electromagnetics Research"</f>
        <v>Progress in Electromagnetics Research</v>
      </c>
      <c r="B4158" s="4" t="s">
        <v>6</v>
      </c>
      <c r="C4158" s="4" t="str">
        <f t="shared" si="152"/>
        <v>-</v>
      </c>
      <c r="D4158" s="4" t="str">
        <f>"10704698"</f>
        <v>10704698</v>
      </c>
      <c r="E4158" s="4" t="str">
        <f>"15598985"</f>
        <v>15598985</v>
      </c>
      <c r="F4158" s="4" t="s">
        <v>1003</v>
      </c>
    </row>
    <row r="4159" spans="1:6" x14ac:dyDescent="0.25">
      <c r="A4159" s="4" t="str">
        <f>"Progress In Electromagnetics Research B"</f>
        <v>Progress In Electromagnetics Research B</v>
      </c>
      <c r="B4159" s="4" t="s">
        <v>6</v>
      </c>
      <c r="C4159" s="4" t="str">
        <f t="shared" si="152"/>
        <v>-</v>
      </c>
      <c r="D4159" s="4" t="str">
        <f>"19376472"</f>
        <v>19376472</v>
      </c>
      <c r="E4159" s="4" t="str">
        <f>"-"</f>
        <v>-</v>
      </c>
      <c r="F4159" s="4" t="s">
        <v>1003</v>
      </c>
    </row>
    <row r="4160" spans="1:6" x14ac:dyDescent="0.25">
      <c r="A4160" s="4" t="str">
        <f>"Progress In Electromagnetics Research C"</f>
        <v>Progress In Electromagnetics Research C</v>
      </c>
      <c r="B4160" s="4" t="s">
        <v>6</v>
      </c>
      <c r="C4160" s="4" t="str">
        <f t="shared" si="152"/>
        <v>-</v>
      </c>
      <c r="D4160" s="4" t="str">
        <f>"19378718"</f>
        <v>19378718</v>
      </c>
      <c r="E4160" s="4" t="str">
        <f>"15309681"</f>
        <v>15309681</v>
      </c>
      <c r="F4160" s="4" t="s">
        <v>1003</v>
      </c>
    </row>
    <row r="4161" spans="1:6" x14ac:dyDescent="0.25">
      <c r="A4161" s="4" t="str">
        <f>"Progress in Electromagnetics Research Letters"</f>
        <v>Progress in Electromagnetics Research Letters</v>
      </c>
      <c r="B4161" s="4" t="s">
        <v>6</v>
      </c>
      <c r="C4161" s="4" t="str">
        <f t="shared" si="152"/>
        <v>-</v>
      </c>
      <c r="D4161" s="4" t="str">
        <f>"19376480"</f>
        <v>19376480</v>
      </c>
      <c r="E4161" s="4" t="str">
        <f>"-"</f>
        <v>-</v>
      </c>
      <c r="F4161" s="4" t="s">
        <v>1003</v>
      </c>
    </row>
    <row r="4162" spans="1:6" x14ac:dyDescent="0.25">
      <c r="A4162" s="4" t="str">
        <f>"Progress In Electromagnetics Research M"</f>
        <v>Progress In Electromagnetics Research M</v>
      </c>
      <c r="B4162" s="4" t="s">
        <v>6</v>
      </c>
      <c r="C4162" s="4" t="str">
        <f t="shared" si="152"/>
        <v>-</v>
      </c>
      <c r="D4162" s="4" t="str">
        <f>"19378726"</f>
        <v>19378726</v>
      </c>
      <c r="E4162" s="4" t="str">
        <f>"10988963"</f>
        <v>10988963</v>
      </c>
      <c r="F4162" s="4" t="s">
        <v>1003</v>
      </c>
    </row>
    <row r="4163" spans="1:6" x14ac:dyDescent="0.25">
      <c r="A4163" s="4" t="str">
        <f>"Progress in Electromagnetics Research Symposium"</f>
        <v>Progress in Electromagnetics Research Symposium</v>
      </c>
      <c r="B4163" s="4" t="s">
        <v>8</v>
      </c>
      <c r="C4163" s="4" t="str">
        <f t="shared" si="152"/>
        <v>-</v>
      </c>
      <c r="D4163" s="4" t="str">
        <f>"15599450"</f>
        <v>15599450</v>
      </c>
      <c r="E4163" s="4" t="str">
        <f>"19317360"</f>
        <v>19317360</v>
      </c>
      <c r="F4163" s="4" t="s">
        <v>1003</v>
      </c>
    </row>
    <row r="4164" spans="1:6" x14ac:dyDescent="0.25">
      <c r="A4164" s="4" t="str">
        <f>"Progress in Energy and Combustion Science"</f>
        <v>Progress in Energy and Combustion Science</v>
      </c>
      <c r="B4164" s="4" t="s">
        <v>6</v>
      </c>
      <c r="C4164" s="4" t="str">
        <f t="shared" si="152"/>
        <v>-</v>
      </c>
      <c r="D4164" s="4" t="str">
        <f>"03601285"</f>
        <v>03601285</v>
      </c>
      <c r="E4164" s="4" t="str">
        <f>"-"</f>
        <v>-</v>
      </c>
      <c r="F4164" s="4" t="s">
        <v>19</v>
      </c>
    </row>
    <row r="4165" spans="1:6" x14ac:dyDescent="0.25">
      <c r="A4165" s="4" t="str">
        <f>"Progress in Informatics"</f>
        <v>Progress in Informatics</v>
      </c>
      <c r="B4165" s="4" t="s">
        <v>6</v>
      </c>
      <c r="C4165" s="4" t="str">
        <f t="shared" si="152"/>
        <v>-</v>
      </c>
      <c r="D4165" s="4" t="str">
        <f>"13498614"</f>
        <v>13498614</v>
      </c>
      <c r="E4165" s="4" t="str">
        <f>"13498606"</f>
        <v>13498606</v>
      </c>
      <c r="F4165" s="4" t="s">
        <v>884</v>
      </c>
    </row>
    <row r="4166" spans="1:6" x14ac:dyDescent="0.25">
      <c r="A4166" s="4" t="str">
        <f>"Progress in Materials Science"</f>
        <v>Progress in Materials Science</v>
      </c>
      <c r="B4166" s="4" t="s">
        <v>6</v>
      </c>
      <c r="C4166" s="4" t="str">
        <f t="shared" si="152"/>
        <v>-</v>
      </c>
      <c r="D4166" s="4" t="str">
        <f>"00796425"</f>
        <v>00796425</v>
      </c>
      <c r="E4166" s="4" t="str">
        <f t="shared" ref="E4166:E4173" si="154">"-"</f>
        <v>-</v>
      </c>
      <c r="F4166" s="4" t="s">
        <v>19</v>
      </c>
    </row>
    <row r="4167" spans="1:6" x14ac:dyDescent="0.25">
      <c r="A4167" s="4" t="str">
        <f>"Progress in Mathematical Physics"</f>
        <v>Progress in Mathematical Physics</v>
      </c>
      <c r="B4167" s="4" t="s">
        <v>8</v>
      </c>
      <c r="C4167" s="4" t="str">
        <f t="shared" si="152"/>
        <v>-</v>
      </c>
      <c r="D4167" s="4" t="str">
        <f>"15449998"</f>
        <v>15449998</v>
      </c>
      <c r="E4167" s="4" t="str">
        <f t="shared" si="154"/>
        <v>-</v>
      </c>
      <c r="F4167" s="4" t="s">
        <v>280</v>
      </c>
    </row>
    <row r="4168" spans="1:6" x14ac:dyDescent="0.25">
      <c r="A4168" s="4" t="str">
        <f>"Progress in Nuclear Energy"</f>
        <v>Progress in Nuclear Energy</v>
      </c>
      <c r="B4168" s="4" t="s">
        <v>6</v>
      </c>
      <c r="C4168" s="4" t="str">
        <f t="shared" si="152"/>
        <v>-</v>
      </c>
      <c r="D4168" s="4" t="str">
        <f>"01491970"</f>
        <v>01491970</v>
      </c>
      <c r="E4168" s="4" t="str">
        <f t="shared" si="154"/>
        <v>-</v>
      </c>
      <c r="F4168" s="4" t="s">
        <v>19</v>
      </c>
    </row>
    <row r="4169" spans="1:6" x14ac:dyDescent="0.25">
      <c r="A4169" s="4" t="str">
        <f>"Progress in Nuclear Magnetic Resonance Spectroscopy"</f>
        <v>Progress in Nuclear Magnetic Resonance Spectroscopy</v>
      </c>
      <c r="B4169" s="4" t="s">
        <v>6</v>
      </c>
      <c r="C4169" s="4" t="str">
        <f t="shared" si="152"/>
        <v>-</v>
      </c>
      <c r="D4169" s="4" t="str">
        <f>"00796565"</f>
        <v>00796565</v>
      </c>
      <c r="E4169" s="4" t="str">
        <f t="shared" si="154"/>
        <v>-</v>
      </c>
      <c r="F4169" s="4" t="s">
        <v>55</v>
      </c>
    </row>
    <row r="4170" spans="1:6" x14ac:dyDescent="0.25">
      <c r="A4170" s="4" t="str">
        <f>"Progress in Oceanography"</f>
        <v>Progress in Oceanography</v>
      </c>
      <c r="B4170" s="4" t="s">
        <v>6</v>
      </c>
      <c r="C4170" s="4" t="str">
        <f t="shared" si="152"/>
        <v>-</v>
      </c>
      <c r="D4170" s="4" t="str">
        <f>"00796611"</f>
        <v>00796611</v>
      </c>
      <c r="E4170" s="4" t="str">
        <f t="shared" si="154"/>
        <v>-</v>
      </c>
      <c r="F4170" s="4" t="s">
        <v>19</v>
      </c>
    </row>
    <row r="4171" spans="1:6" x14ac:dyDescent="0.25">
      <c r="A4171" s="4" t="str">
        <f>"Progress in Organic Coatings"</f>
        <v>Progress in Organic Coatings</v>
      </c>
      <c r="B4171" s="4" t="s">
        <v>6</v>
      </c>
      <c r="C4171" s="4" t="str">
        <f t="shared" si="152"/>
        <v>-</v>
      </c>
      <c r="D4171" s="4" t="str">
        <f>"03009440"</f>
        <v>03009440</v>
      </c>
      <c r="E4171" s="4" t="str">
        <f t="shared" si="154"/>
        <v>-</v>
      </c>
      <c r="F4171" s="4" t="s">
        <v>55</v>
      </c>
    </row>
    <row r="4172" spans="1:6" x14ac:dyDescent="0.25">
      <c r="A4172" s="4" t="str">
        <f>"Progress in Paper Recycling"</f>
        <v>Progress in Paper Recycling</v>
      </c>
      <c r="B4172" s="4" t="s">
        <v>6</v>
      </c>
      <c r="C4172" s="4" t="str">
        <f t="shared" si="152"/>
        <v>-</v>
      </c>
      <c r="D4172" s="4" t="str">
        <f>"10611452"</f>
        <v>10611452</v>
      </c>
      <c r="E4172" s="4" t="str">
        <f t="shared" si="154"/>
        <v>-</v>
      </c>
      <c r="F4172" s="4" t="s">
        <v>1004</v>
      </c>
    </row>
    <row r="4173" spans="1:6" x14ac:dyDescent="0.25">
      <c r="A4173" s="4" t="str">
        <f>"Progress in Particle and Nuclear Physics"</f>
        <v>Progress in Particle and Nuclear Physics</v>
      </c>
      <c r="B4173" s="4" t="s">
        <v>6</v>
      </c>
      <c r="C4173" s="4" t="str">
        <f t="shared" si="152"/>
        <v>-</v>
      </c>
      <c r="D4173" s="4" t="str">
        <f>"01466410"</f>
        <v>01466410</v>
      </c>
      <c r="E4173" s="4" t="str">
        <f t="shared" si="154"/>
        <v>-</v>
      </c>
      <c r="F4173" s="4" t="s">
        <v>55</v>
      </c>
    </row>
    <row r="4174" spans="1:6" x14ac:dyDescent="0.25">
      <c r="A4174" s="4" t="str">
        <f>"Progress in Photovoltaics: Research and Applications"</f>
        <v>Progress in Photovoltaics: Research and Applications</v>
      </c>
      <c r="B4174" s="4" t="s">
        <v>6</v>
      </c>
      <c r="C4174" s="4" t="str">
        <f t="shared" si="152"/>
        <v>-</v>
      </c>
      <c r="D4174" s="4" t="str">
        <f>"10627995"</f>
        <v>10627995</v>
      </c>
      <c r="E4174" s="4" t="str">
        <f>"1099159X"</f>
        <v>1099159X</v>
      </c>
      <c r="F4174" s="4" t="s">
        <v>142</v>
      </c>
    </row>
    <row r="4175" spans="1:6" x14ac:dyDescent="0.25">
      <c r="A4175" s="4" t="str">
        <f>"Progress in Polymer Science"</f>
        <v>Progress in Polymer Science</v>
      </c>
      <c r="B4175" s="4" t="s">
        <v>6</v>
      </c>
      <c r="C4175" s="4" t="str">
        <f t="shared" si="152"/>
        <v>-</v>
      </c>
      <c r="D4175" s="4" t="str">
        <f>"00796700"</f>
        <v>00796700</v>
      </c>
      <c r="E4175" s="4" t="str">
        <f>"-"</f>
        <v>-</v>
      </c>
      <c r="F4175" s="4" t="s">
        <v>19</v>
      </c>
    </row>
    <row r="4176" spans="1:6" x14ac:dyDescent="0.25">
      <c r="A4176" s="4" t="str">
        <f>"Progress in Quantum Electronics"</f>
        <v>Progress in Quantum Electronics</v>
      </c>
      <c r="B4176" s="4" t="s">
        <v>6</v>
      </c>
      <c r="C4176" s="4" t="str">
        <f t="shared" si="152"/>
        <v>-</v>
      </c>
      <c r="D4176" s="4" t="str">
        <f>"00796727"</f>
        <v>00796727</v>
      </c>
      <c r="E4176" s="4" t="str">
        <f>"-"</f>
        <v>-</v>
      </c>
      <c r="F4176" s="4" t="s">
        <v>19</v>
      </c>
    </row>
    <row r="4177" spans="1:6" x14ac:dyDescent="0.25">
      <c r="A4177" s="4" t="str">
        <f>"Progress in Reaction Kinetics and Mechanism"</f>
        <v>Progress in Reaction Kinetics and Mechanism</v>
      </c>
      <c r="B4177" s="4" t="s">
        <v>6</v>
      </c>
      <c r="C4177" s="4" t="str">
        <f t="shared" si="152"/>
        <v>-</v>
      </c>
      <c r="D4177" s="4" t="str">
        <f>"14686783"</f>
        <v>14686783</v>
      </c>
      <c r="E4177" s="4" t="str">
        <f>"-"</f>
        <v>-</v>
      </c>
      <c r="F4177" s="4" t="s">
        <v>1005</v>
      </c>
    </row>
    <row r="4178" spans="1:6" x14ac:dyDescent="0.25">
      <c r="A4178" s="4" t="str">
        <f>"Progress in Rubber, Plastics and Recycling Technology"</f>
        <v>Progress in Rubber, Plastics and Recycling Technology</v>
      </c>
      <c r="B4178" s="4" t="s">
        <v>6</v>
      </c>
      <c r="C4178" s="4" t="str">
        <f t="shared" si="152"/>
        <v>-</v>
      </c>
      <c r="D4178" s="4" t="str">
        <f>"14777606"</f>
        <v>14777606</v>
      </c>
      <c r="E4178" s="4" t="str">
        <f>"14782413"</f>
        <v>14782413</v>
      </c>
      <c r="F4178" s="4" t="s">
        <v>251</v>
      </c>
    </row>
    <row r="4179" spans="1:6" x14ac:dyDescent="0.25">
      <c r="A4179" s="4" t="str">
        <f>"Progress in Solid State Chemistry"</f>
        <v>Progress in Solid State Chemistry</v>
      </c>
      <c r="B4179" s="4" t="s">
        <v>6</v>
      </c>
      <c r="C4179" s="4" t="str">
        <f t="shared" si="152"/>
        <v>-</v>
      </c>
      <c r="D4179" s="4" t="str">
        <f>"00796786"</f>
        <v>00796786</v>
      </c>
      <c r="E4179" s="4" t="str">
        <f>"-"</f>
        <v>-</v>
      </c>
      <c r="F4179" s="4" t="s">
        <v>19</v>
      </c>
    </row>
    <row r="4180" spans="1:6" x14ac:dyDescent="0.25">
      <c r="A4180" s="4" t="str">
        <f>"Progress in Superconductivity and Cryogenics (PSAC)"</f>
        <v>Progress in Superconductivity and Cryogenics (PSAC)</v>
      </c>
      <c r="B4180" s="4" t="s">
        <v>6</v>
      </c>
      <c r="C4180" s="4" t="str">
        <f t="shared" si="152"/>
        <v>-</v>
      </c>
      <c r="D4180" s="4" t="str">
        <f>"12293008"</f>
        <v>12293008</v>
      </c>
      <c r="E4180" s="4" t="str">
        <f>"22876251"</f>
        <v>22876251</v>
      </c>
      <c r="F4180" s="4" t="s">
        <v>1006</v>
      </c>
    </row>
    <row r="4181" spans="1:6" x14ac:dyDescent="0.25">
      <c r="A4181" s="4" t="str">
        <f>"Progress in Surface Science"</f>
        <v>Progress in Surface Science</v>
      </c>
      <c r="B4181" s="4" t="s">
        <v>6</v>
      </c>
      <c r="C4181" s="4" t="str">
        <f t="shared" si="152"/>
        <v>-</v>
      </c>
      <c r="D4181" s="4" t="str">
        <f>"00796816"</f>
        <v>00796816</v>
      </c>
      <c r="E4181" s="4" t="str">
        <f>"-"</f>
        <v>-</v>
      </c>
      <c r="F4181" s="4" t="s">
        <v>19</v>
      </c>
    </row>
    <row r="4182" spans="1:6" x14ac:dyDescent="0.25">
      <c r="A4182" s="4" t="str">
        <f>"Propellants, Explosives, Pyrotechnics"</f>
        <v>Propellants, Explosives, Pyrotechnics</v>
      </c>
      <c r="B4182" s="4" t="s">
        <v>6</v>
      </c>
      <c r="C4182" s="4" t="str">
        <f t="shared" si="152"/>
        <v>-</v>
      </c>
      <c r="D4182" s="4" t="str">
        <f>"07213115"</f>
        <v>07213115</v>
      </c>
      <c r="E4182" s="4" t="str">
        <f>"15214087"</f>
        <v>15214087</v>
      </c>
      <c r="F4182" s="4" t="s">
        <v>63</v>
      </c>
    </row>
    <row r="4183" spans="1:6" x14ac:dyDescent="0.25">
      <c r="A4183" s="4" t="str">
        <f>"Protection of Metals and Physical Chemistry of Surfaces"</f>
        <v>Protection of Metals and Physical Chemistry of Surfaces</v>
      </c>
      <c r="B4183" s="4" t="s">
        <v>6</v>
      </c>
      <c r="C4183" s="4" t="str">
        <f t="shared" si="152"/>
        <v>-</v>
      </c>
      <c r="D4183" s="4" t="str">
        <f>"20702051"</f>
        <v>20702051</v>
      </c>
      <c r="E4183" s="4" t="str">
        <f>"2070206X"</f>
        <v>2070206X</v>
      </c>
      <c r="F4183" s="4" t="s">
        <v>171</v>
      </c>
    </row>
    <row r="4184" spans="1:6" x14ac:dyDescent="0.25">
      <c r="A4184" s="4" t="str">
        <f>"Protein Engineering, Design and Selection"</f>
        <v>Protein Engineering, Design and Selection</v>
      </c>
      <c r="B4184" s="4" t="s">
        <v>6</v>
      </c>
      <c r="C4184" s="4" t="str">
        <f t="shared" si="152"/>
        <v>-</v>
      </c>
      <c r="D4184" s="4" t="str">
        <f>"17410126"</f>
        <v>17410126</v>
      </c>
      <c r="E4184" s="4" t="str">
        <f>"17410134"</f>
        <v>17410134</v>
      </c>
      <c r="F4184" s="4" t="s">
        <v>126</v>
      </c>
    </row>
    <row r="4185" spans="1:6" x14ac:dyDescent="0.25">
      <c r="A4185" s="4" t="str">
        <f>"Przeglad Papierniczy"</f>
        <v>Przeglad Papierniczy</v>
      </c>
      <c r="B4185" s="4" t="s">
        <v>22</v>
      </c>
      <c r="C4185" s="4" t="str">
        <f t="shared" si="152"/>
        <v>-</v>
      </c>
      <c r="D4185" s="4" t="str">
        <f>"00332291"</f>
        <v>00332291</v>
      </c>
      <c r="E4185" s="4" t="str">
        <f>"-"</f>
        <v>-</v>
      </c>
      <c r="F4185" s="4" t="s">
        <v>1007</v>
      </c>
    </row>
    <row r="4186" spans="1:6" x14ac:dyDescent="0.25">
      <c r="A4186" s="4" t="str">
        <f>"Public Transport"</f>
        <v>Public Transport</v>
      </c>
      <c r="B4186" s="4" t="s">
        <v>6</v>
      </c>
      <c r="C4186" s="4" t="str">
        <f t="shared" si="152"/>
        <v>-</v>
      </c>
      <c r="D4186" s="4" t="str">
        <f>"1866749X"</f>
        <v>1866749X</v>
      </c>
      <c r="E4186" s="4" t="str">
        <f>"16137159"</f>
        <v>16137159</v>
      </c>
      <c r="F4186" s="4" t="s">
        <v>42</v>
      </c>
    </row>
    <row r="4187" spans="1:6" x14ac:dyDescent="0.25">
      <c r="A4187" s="4" t="str">
        <f>"Publications of the Finnish Artificial Intelligence Society"</f>
        <v>Publications of the Finnish Artificial Intelligence Society</v>
      </c>
      <c r="B4187" s="4" t="s">
        <v>8</v>
      </c>
      <c r="C4187" s="4" t="str">
        <f t="shared" si="152"/>
        <v>-</v>
      </c>
      <c r="D4187" s="4" t="str">
        <f>"1796623X"</f>
        <v>1796623X</v>
      </c>
      <c r="E4187" s="4" t="str">
        <f>"-"</f>
        <v>-</v>
      </c>
      <c r="F4187" s="4" t="s">
        <v>1008</v>
      </c>
    </row>
    <row r="4188" spans="1:6" x14ac:dyDescent="0.25">
      <c r="A4188" s="4" t="str">
        <f>"Pulp and Paper Canada"</f>
        <v>Pulp and Paper Canada</v>
      </c>
      <c r="B4188" s="4" t="s">
        <v>22</v>
      </c>
      <c r="C4188" s="4" t="str">
        <f t="shared" si="152"/>
        <v>-</v>
      </c>
      <c r="D4188" s="4" t="str">
        <f>"03164004"</f>
        <v>03164004</v>
      </c>
      <c r="E4188" s="4" t="str">
        <f>"-"</f>
        <v>-</v>
      </c>
      <c r="F4188" s="4" t="s">
        <v>244</v>
      </c>
    </row>
    <row r="4189" spans="1:6" x14ac:dyDescent="0.25">
      <c r="A4189" s="4" t="str">
        <f>"Pulping Conference, Proceedings of the Technical Association of the Pulp and Paper Industry"</f>
        <v>Pulping Conference, Proceedings of the Technical Association of the Pulp and Paper Industry</v>
      </c>
      <c r="B4189" s="4" t="s">
        <v>8</v>
      </c>
      <c r="C4189" s="4" t="str">
        <f t="shared" si="152"/>
        <v>-</v>
      </c>
      <c r="D4189" s="4" t="str">
        <f>"02750899"</f>
        <v>02750899</v>
      </c>
      <c r="E4189" s="4" t="str">
        <f>"-"</f>
        <v>-</v>
      </c>
      <c r="F4189" s="4" t="s">
        <v>306</v>
      </c>
    </row>
    <row r="4190" spans="1:6" x14ac:dyDescent="0.25">
      <c r="A4190" s="4" t="str">
        <f>"Pure and Applied Chemistry"</f>
        <v>Pure and Applied Chemistry</v>
      </c>
      <c r="B4190" s="4" t="s">
        <v>6</v>
      </c>
      <c r="C4190" s="4" t="str">
        <f t="shared" si="152"/>
        <v>-</v>
      </c>
      <c r="D4190" s="4" t="str">
        <f>"00334545"</f>
        <v>00334545</v>
      </c>
      <c r="E4190" s="4" t="str">
        <f>"13653075"</f>
        <v>13653075</v>
      </c>
      <c r="F4190" s="4" t="s">
        <v>189</v>
      </c>
    </row>
    <row r="4191" spans="1:6" x14ac:dyDescent="0.25">
      <c r="A4191" s="4" t="str">
        <f>"Pure and Applied Geophysics"</f>
        <v>Pure and Applied Geophysics</v>
      </c>
      <c r="B4191" s="4" t="s">
        <v>6</v>
      </c>
      <c r="C4191" s="4" t="str">
        <f t="shared" si="152"/>
        <v>-</v>
      </c>
      <c r="D4191" s="4" t="str">
        <f>"00334553"</f>
        <v>00334553</v>
      </c>
      <c r="E4191" s="4" t="str">
        <f>"14209136"</f>
        <v>14209136</v>
      </c>
      <c r="F4191" s="4" t="s">
        <v>730</v>
      </c>
    </row>
    <row r="4192" spans="1:6" x14ac:dyDescent="0.25">
      <c r="A4192" s="4" t="str">
        <f>"Qiche Gongcheng/Automotive Engineering"</f>
        <v>Qiche Gongcheng/Automotive Engineering</v>
      </c>
      <c r="B4192" s="4" t="s">
        <v>6</v>
      </c>
      <c r="C4192" s="4" t="str">
        <f t="shared" ref="C4192:C4255" si="155">"-"</f>
        <v>-</v>
      </c>
      <c r="D4192" s="4" t="str">
        <f>"1000680X"</f>
        <v>1000680X</v>
      </c>
      <c r="E4192" s="4" t="str">
        <f>"-"</f>
        <v>-</v>
      </c>
      <c r="F4192" s="4" t="s">
        <v>1009</v>
      </c>
    </row>
    <row r="4193" spans="1:6" x14ac:dyDescent="0.25">
      <c r="A4193" s="4" t="str">
        <f>"Qinghua Daxue Xuebao/Journal of Tsinghua University"</f>
        <v>Qinghua Daxue Xuebao/Journal of Tsinghua University</v>
      </c>
      <c r="B4193" s="4" t="s">
        <v>6</v>
      </c>
      <c r="C4193" s="4" t="str">
        <f t="shared" si="155"/>
        <v>-</v>
      </c>
      <c r="D4193" s="4" t="str">
        <f>"10000054"</f>
        <v>10000054</v>
      </c>
      <c r="E4193" s="4" t="str">
        <f>"-"</f>
        <v>-</v>
      </c>
      <c r="F4193" s="4" t="s">
        <v>1010</v>
      </c>
    </row>
    <row r="4194" spans="1:6" x14ac:dyDescent="0.25">
      <c r="A4194" s="4" t="str">
        <f>"Quality and Reliability Engineering International"</f>
        <v>Quality and Reliability Engineering International</v>
      </c>
      <c r="B4194" s="4" t="s">
        <v>6</v>
      </c>
      <c r="C4194" s="4" t="str">
        <f t="shared" si="155"/>
        <v>-</v>
      </c>
      <c r="D4194" s="4" t="str">
        <f>"07488017"</f>
        <v>07488017</v>
      </c>
      <c r="E4194" s="4" t="str">
        <f>"10991638"</f>
        <v>10991638</v>
      </c>
      <c r="F4194" s="4" t="s">
        <v>142</v>
      </c>
    </row>
    <row r="4195" spans="1:6" x14ac:dyDescent="0.25">
      <c r="A4195" s="4" t="str">
        <f>"Quality Engineering"</f>
        <v>Quality Engineering</v>
      </c>
      <c r="B4195" s="4" t="s">
        <v>6</v>
      </c>
      <c r="C4195" s="4" t="str">
        <f t="shared" si="155"/>
        <v>-</v>
      </c>
      <c r="D4195" s="4" t="str">
        <f>"08982112"</f>
        <v>08982112</v>
      </c>
      <c r="E4195" s="4" t="str">
        <f>"15324222"</f>
        <v>15324222</v>
      </c>
      <c r="F4195" s="4" t="s">
        <v>96</v>
      </c>
    </row>
    <row r="4196" spans="1:6" x14ac:dyDescent="0.25">
      <c r="A4196" s="4" t="str">
        <f>"Quality Technology and Quantitative Management"</f>
        <v>Quality Technology and Quantitative Management</v>
      </c>
      <c r="B4196" s="4" t="s">
        <v>6</v>
      </c>
      <c r="C4196" s="4" t="str">
        <f t="shared" si="155"/>
        <v>-</v>
      </c>
      <c r="D4196" s="4" t="str">
        <f>"16843703"</f>
        <v>16843703</v>
      </c>
      <c r="E4196" s="4" t="str">
        <f>"-"</f>
        <v>-</v>
      </c>
      <c r="F4196" s="4" t="s">
        <v>1011</v>
      </c>
    </row>
    <row r="4197" spans="1:6" x14ac:dyDescent="0.25">
      <c r="A4197" s="4" t="str">
        <f>"Quantitative InfraRed Thermography Journal"</f>
        <v>Quantitative InfraRed Thermography Journal</v>
      </c>
      <c r="B4197" s="4" t="s">
        <v>6</v>
      </c>
      <c r="C4197" s="4" t="str">
        <f t="shared" si="155"/>
        <v>-</v>
      </c>
      <c r="D4197" s="4" t="str">
        <f>"17686733"</f>
        <v>17686733</v>
      </c>
      <c r="E4197" s="4" t="str">
        <f>"21167176"</f>
        <v>21167176</v>
      </c>
      <c r="F4197" s="4" t="s">
        <v>60</v>
      </c>
    </row>
    <row r="4198" spans="1:6" x14ac:dyDescent="0.25">
      <c r="A4198" s="4" t="str">
        <f>"Quantum Electronics"</f>
        <v>Quantum Electronics</v>
      </c>
      <c r="B4198" s="4" t="s">
        <v>6</v>
      </c>
      <c r="C4198" s="4" t="str">
        <f t="shared" si="155"/>
        <v>-</v>
      </c>
      <c r="D4198" s="4" t="str">
        <f>"10637818"</f>
        <v>10637818</v>
      </c>
      <c r="E4198" s="4" t="str">
        <f>"14684799"</f>
        <v>14684799</v>
      </c>
      <c r="F4198" s="4" t="s">
        <v>1012</v>
      </c>
    </row>
    <row r="4199" spans="1:6" x14ac:dyDescent="0.25">
      <c r="A4199" s="4" t="str">
        <f>"Quantum Information Processing"</f>
        <v>Quantum Information Processing</v>
      </c>
      <c r="B4199" s="4" t="s">
        <v>6</v>
      </c>
      <c r="C4199" s="4" t="str">
        <f t="shared" si="155"/>
        <v>-</v>
      </c>
      <c r="D4199" s="4" t="str">
        <f>"15700755"</f>
        <v>15700755</v>
      </c>
      <c r="E4199" s="4" t="str">
        <f>"-"</f>
        <v>-</v>
      </c>
      <c r="F4199" s="4" t="s">
        <v>57</v>
      </c>
    </row>
    <row r="4200" spans="1:6" x14ac:dyDescent="0.25">
      <c r="A4200" s="4" t="str">
        <f>"Quarterly Journal of Engineering Geology and Hydrogeology"</f>
        <v>Quarterly Journal of Engineering Geology and Hydrogeology</v>
      </c>
      <c r="B4200" s="4" t="s">
        <v>6</v>
      </c>
      <c r="C4200" s="4" t="str">
        <f t="shared" si="155"/>
        <v>-</v>
      </c>
      <c r="D4200" s="4" t="str">
        <f>"14709236"</f>
        <v>14709236</v>
      </c>
      <c r="E4200" s="4" t="str">
        <f>"-"</f>
        <v>-</v>
      </c>
      <c r="F4200" s="4" t="s">
        <v>783</v>
      </c>
    </row>
    <row r="4201" spans="1:6" x14ac:dyDescent="0.25">
      <c r="A4201" s="4" t="str">
        <f>"Quarterly Journal of Mechanics and Applied Mathematics"</f>
        <v>Quarterly Journal of Mechanics and Applied Mathematics</v>
      </c>
      <c r="B4201" s="4" t="s">
        <v>6</v>
      </c>
      <c r="C4201" s="4" t="str">
        <f t="shared" si="155"/>
        <v>-</v>
      </c>
      <c r="D4201" s="4" t="str">
        <f>"00335614"</f>
        <v>00335614</v>
      </c>
      <c r="E4201" s="4" t="str">
        <f>"14643855"</f>
        <v>14643855</v>
      </c>
      <c r="F4201" s="4" t="s">
        <v>126</v>
      </c>
    </row>
    <row r="4202" spans="1:6" x14ac:dyDescent="0.25">
      <c r="A4202" s="4" t="str">
        <f>"Quarterly Journal of the Royal Meteorological Society"</f>
        <v>Quarterly Journal of the Royal Meteorological Society</v>
      </c>
      <c r="B4202" s="4" t="s">
        <v>6</v>
      </c>
      <c r="C4202" s="4" t="str">
        <f t="shared" si="155"/>
        <v>-</v>
      </c>
      <c r="D4202" s="4" t="str">
        <f>"00359009"</f>
        <v>00359009</v>
      </c>
      <c r="E4202" s="4" t="str">
        <f>"1477870X"</f>
        <v>1477870X</v>
      </c>
      <c r="F4202" s="4" t="s">
        <v>142</v>
      </c>
    </row>
    <row r="4203" spans="1:6" x14ac:dyDescent="0.25">
      <c r="A4203" s="4" t="str">
        <f>"Quarterly of Applied Mathematics"</f>
        <v>Quarterly of Applied Mathematics</v>
      </c>
      <c r="B4203" s="4" t="s">
        <v>6</v>
      </c>
      <c r="C4203" s="4" t="str">
        <f t="shared" si="155"/>
        <v>-</v>
      </c>
      <c r="D4203" s="4" t="str">
        <f>"0033569X"</f>
        <v>0033569X</v>
      </c>
      <c r="E4203" s="4" t="str">
        <f>"15524485"</f>
        <v>15524485</v>
      </c>
      <c r="F4203" s="4" t="s">
        <v>1013</v>
      </c>
    </row>
    <row r="4204" spans="1:6" x14ac:dyDescent="0.25">
      <c r="A4204" s="4" t="str">
        <f>"Quarterly Report of RTRI (Railway Technical Research Institute)"</f>
        <v>Quarterly Report of RTRI (Railway Technical Research Institute)</v>
      </c>
      <c r="B4204" s="4" t="s">
        <v>6</v>
      </c>
      <c r="C4204" s="4" t="str">
        <f t="shared" si="155"/>
        <v>-</v>
      </c>
      <c r="D4204" s="4" t="str">
        <f>"00339008"</f>
        <v>00339008</v>
      </c>
      <c r="E4204" s="4" t="str">
        <f>"18801765"</f>
        <v>18801765</v>
      </c>
      <c r="F4204" s="4" t="s">
        <v>1014</v>
      </c>
    </row>
    <row r="4205" spans="1:6" x14ac:dyDescent="0.25">
      <c r="A4205" s="4" t="str">
        <f>"Quaternary Research (United States)"</f>
        <v>Quaternary Research (United States)</v>
      </c>
      <c r="B4205" s="4" t="s">
        <v>6</v>
      </c>
      <c r="C4205" s="4" t="str">
        <f t="shared" si="155"/>
        <v>-</v>
      </c>
      <c r="D4205" s="4" t="str">
        <f>"00335894"</f>
        <v>00335894</v>
      </c>
      <c r="E4205" s="4" t="str">
        <f>"10960287"</f>
        <v>10960287</v>
      </c>
      <c r="F4205" s="4" t="s">
        <v>71</v>
      </c>
    </row>
    <row r="4206" spans="1:6" x14ac:dyDescent="0.25">
      <c r="A4206" s="4" t="str">
        <f>"Quaternary Science Reviews"</f>
        <v>Quaternary Science Reviews</v>
      </c>
      <c r="B4206" s="4" t="s">
        <v>6</v>
      </c>
      <c r="C4206" s="4" t="str">
        <f t="shared" si="155"/>
        <v>-</v>
      </c>
      <c r="D4206" s="4" t="str">
        <f>"02773791"</f>
        <v>02773791</v>
      </c>
      <c r="E4206" s="4" t="str">
        <f>"-"</f>
        <v>-</v>
      </c>
      <c r="F4206" s="4" t="s">
        <v>19</v>
      </c>
    </row>
    <row r="4207" spans="1:6" x14ac:dyDescent="0.25">
      <c r="A4207" s="4" t="str">
        <f>"Queue"</f>
        <v>Queue</v>
      </c>
      <c r="B4207" s="4" t="s">
        <v>6</v>
      </c>
      <c r="C4207" s="4" t="str">
        <f t="shared" si="155"/>
        <v>-</v>
      </c>
      <c r="D4207" s="4" t="str">
        <f>"15427730"</f>
        <v>15427730</v>
      </c>
      <c r="E4207" s="4" t="str">
        <f>"15427749"</f>
        <v>15427749</v>
      </c>
      <c r="F4207" s="4" t="s">
        <v>21</v>
      </c>
    </row>
    <row r="4208" spans="1:6" x14ac:dyDescent="0.25">
      <c r="A4208" s="4" t="str">
        <f>"R and D: Research and Development Kobe Steel Engineering Reports"</f>
        <v>R and D: Research and Development Kobe Steel Engineering Reports</v>
      </c>
      <c r="B4208" s="4" t="s">
        <v>6</v>
      </c>
      <c r="C4208" s="4" t="str">
        <f t="shared" si="155"/>
        <v>-</v>
      </c>
      <c r="D4208" s="4" t="str">
        <f>"03738868"</f>
        <v>03738868</v>
      </c>
      <c r="E4208" s="4" t="str">
        <f>"-"</f>
        <v>-</v>
      </c>
      <c r="F4208" s="4" t="s">
        <v>1015</v>
      </c>
    </row>
    <row r="4209" spans="1:6" x14ac:dyDescent="0.25">
      <c r="A4209" s="4" t="str">
        <f>"Radiation and Environmental Biophysics"</f>
        <v>Radiation and Environmental Biophysics</v>
      </c>
      <c r="B4209" s="4" t="s">
        <v>6</v>
      </c>
      <c r="C4209" s="4" t="str">
        <f t="shared" si="155"/>
        <v>-</v>
      </c>
      <c r="D4209" s="4" t="str">
        <f>"0301634X"</f>
        <v>0301634X</v>
      </c>
      <c r="E4209" s="4" t="str">
        <f>"-"</f>
        <v>-</v>
      </c>
      <c r="F4209" s="4" t="s">
        <v>57</v>
      </c>
    </row>
    <row r="4210" spans="1:6" x14ac:dyDescent="0.25">
      <c r="A4210" s="4" t="str">
        <f>"Radiation Effects and Defects in Solids"</f>
        <v>Radiation Effects and Defects in Solids</v>
      </c>
      <c r="B4210" s="4" t="s">
        <v>6</v>
      </c>
      <c r="C4210" s="4" t="str">
        <f t="shared" si="155"/>
        <v>-</v>
      </c>
      <c r="D4210" s="4" t="str">
        <f>"10420150"</f>
        <v>10420150</v>
      </c>
      <c r="E4210" s="4" t="str">
        <f>"10294953"</f>
        <v>10294953</v>
      </c>
      <c r="F4210" s="4" t="s">
        <v>96</v>
      </c>
    </row>
    <row r="4211" spans="1:6" x14ac:dyDescent="0.25">
      <c r="A4211" s="4" t="str">
        <f>"Radiation Measurements"</f>
        <v>Radiation Measurements</v>
      </c>
      <c r="B4211" s="4" t="s">
        <v>6</v>
      </c>
      <c r="C4211" s="4" t="str">
        <f t="shared" si="155"/>
        <v>-</v>
      </c>
      <c r="D4211" s="4" t="str">
        <f>"13504487"</f>
        <v>13504487</v>
      </c>
      <c r="E4211" s="4" t="str">
        <f>"-"</f>
        <v>-</v>
      </c>
      <c r="F4211" s="4" t="s">
        <v>19</v>
      </c>
    </row>
    <row r="4212" spans="1:6" x14ac:dyDescent="0.25">
      <c r="A4212" s="4" t="str">
        <f>"Radiation Physics and Chemistry"</f>
        <v>Radiation Physics and Chemistry</v>
      </c>
      <c r="B4212" s="4" t="s">
        <v>6</v>
      </c>
      <c r="C4212" s="4" t="str">
        <f t="shared" si="155"/>
        <v>-</v>
      </c>
      <c r="D4212" s="4" t="str">
        <f>"0969806X"</f>
        <v>0969806X</v>
      </c>
      <c r="E4212" s="4" t="str">
        <f>"18790895"</f>
        <v>18790895</v>
      </c>
      <c r="F4212" s="4" t="s">
        <v>19</v>
      </c>
    </row>
    <row r="4213" spans="1:6" x14ac:dyDescent="0.25">
      <c r="A4213" s="4" t="str">
        <f>"Radio Science"</f>
        <v>Radio Science</v>
      </c>
      <c r="B4213" s="4" t="s">
        <v>6</v>
      </c>
      <c r="C4213" s="4" t="str">
        <f t="shared" si="155"/>
        <v>-</v>
      </c>
      <c r="D4213" s="4" t="str">
        <f>"00486604"</f>
        <v>00486604</v>
      </c>
      <c r="E4213" s="4" t="str">
        <f>"1944799X"</f>
        <v>1944799X</v>
      </c>
      <c r="F4213" s="4" t="s">
        <v>209</v>
      </c>
    </row>
    <row r="4214" spans="1:6" x14ac:dyDescent="0.25">
      <c r="A4214" s="4" t="str">
        <f>"Radioelectronics and Communications Systems"</f>
        <v>Radioelectronics and Communications Systems</v>
      </c>
      <c r="B4214" s="4" t="s">
        <v>6</v>
      </c>
      <c r="C4214" s="4" t="str">
        <f t="shared" si="155"/>
        <v>-</v>
      </c>
      <c r="D4214" s="4" t="str">
        <f>"07352727"</f>
        <v>07352727</v>
      </c>
      <c r="E4214" s="4" t="str">
        <f>"-"</f>
        <v>-</v>
      </c>
      <c r="F4214" s="4" t="s">
        <v>145</v>
      </c>
    </row>
    <row r="4215" spans="1:6" x14ac:dyDescent="0.25">
      <c r="A4215" s="4" t="str">
        <f>"Radiophysics and Quantum Electronics"</f>
        <v>Radiophysics and Quantum Electronics</v>
      </c>
      <c r="B4215" s="4" t="s">
        <v>6</v>
      </c>
      <c r="C4215" s="4" t="str">
        <f t="shared" si="155"/>
        <v>-</v>
      </c>
      <c r="D4215" s="4" t="str">
        <f>"00338443"</f>
        <v>00338443</v>
      </c>
      <c r="E4215" s="4" t="str">
        <f>"15739120"</f>
        <v>15739120</v>
      </c>
      <c r="F4215" s="4" t="s">
        <v>57</v>
      </c>
    </row>
    <row r="4216" spans="1:6" x14ac:dyDescent="0.25">
      <c r="A4216" s="4" t="str">
        <f>"Radioprotection"</f>
        <v>Radioprotection</v>
      </c>
      <c r="B4216" s="4" t="s">
        <v>6</v>
      </c>
      <c r="C4216" s="4" t="str">
        <f t="shared" si="155"/>
        <v>-</v>
      </c>
      <c r="D4216" s="4" t="str">
        <f>"00338451"</f>
        <v>00338451</v>
      </c>
      <c r="E4216" s="4" t="str">
        <f>"1769700X"</f>
        <v>1769700X</v>
      </c>
      <c r="F4216" s="4" t="s">
        <v>161</v>
      </c>
    </row>
    <row r="4217" spans="1:6" x14ac:dyDescent="0.25">
      <c r="A4217" s="4" t="str">
        <f>"Radwaste Solutions"</f>
        <v>Radwaste Solutions</v>
      </c>
      <c r="B4217" s="4" t="s">
        <v>6</v>
      </c>
      <c r="C4217" s="4" t="str">
        <f t="shared" si="155"/>
        <v>-</v>
      </c>
      <c r="D4217" s="4" t="str">
        <f>"15294900"</f>
        <v>15294900</v>
      </c>
      <c r="E4217" s="4" t="str">
        <f>"-"</f>
        <v>-</v>
      </c>
      <c r="F4217" s="4" t="s">
        <v>453</v>
      </c>
    </row>
    <row r="4218" spans="1:6" x14ac:dyDescent="0.25">
      <c r="A4218" s="4" t="str">
        <f>"RAIRO - Operations Research"</f>
        <v>RAIRO - Operations Research</v>
      </c>
      <c r="B4218" s="4" t="s">
        <v>6</v>
      </c>
      <c r="C4218" s="4" t="str">
        <f t="shared" si="155"/>
        <v>-</v>
      </c>
      <c r="D4218" s="4" t="str">
        <f>"03990559"</f>
        <v>03990559</v>
      </c>
      <c r="E4218" s="4" t="str">
        <f>"-"</f>
        <v>-</v>
      </c>
      <c r="F4218" s="4" t="s">
        <v>161</v>
      </c>
    </row>
    <row r="4219" spans="1:6" x14ac:dyDescent="0.25">
      <c r="A4219" s="4" t="str">
        <f>"RAIRO - Theoretical Informatics and Applications"</f>
        <v>RAIRO - Theoretical Informatics and Applications</v>
      </c>
      <c r="B4219" s="4" t="s">
        <v>6</v>
      </c>
      <c r="C4219" s="4" t="str">
        <f t="shared" si="155"/>
        <v>-</v>
      </c>
      <c r="D4219" s="4" t="str">
        <f>"09883754"</f>
        <v>09883754</v>
      </c>
      <c r="E4219" s="4" t="str">
        <f>"1290385X"</f>
        <v>1290385X</v>
      </c>
      <c r="F4219" s="4" t="s">
        <v>161</v>
      </c>
    </row>
    <row r="4220" spans="1:6" x14ac:dyDescent="0.25">
      <c r="A4220" s="4" t="str">
        <f>"Ranliao Huaxue Xuebao/Journal of Fuel Chemistry and Technology"</f>
        <v>Ranliao Huaxue Xuebao/Journal of Fuel Chemistry and Technology</v>
      </c>
      <c r="B4220" s="4" t="s">
        <v>6</v>
      </c>
      <c r="C4220" s="4" t="str">
        <f t="shared" si="155"/>
        <v>-</v>
      </c>
      <c r="D4220" s="4" t="str">
        <f>"02532409"</f>
        <v>02532409</v>
      </c>
      <c r="E4220" s="4" t="str">
        <f>"-"</f>
        <v>-</v>
      </c>
      <c r="F4220" s="4" t="s">
        <v>37</v>
      </c>
    </row>
    <row r="4221" spans="1:6" x14ac:dyDescent="0.25">
      <c r="A4221" s="4" t="str">
        <f>"Rapid Prototyping Journal"</f>
        <v>Rapid Prototyping Journal</v>
      </c>
      <c r="B4221" s="4" t="s">
        <v>6</v>
      </c>
      <c r="C4221" s="4" t="str">
        <f t="shared" si="155"/>
        <v>-</v>
      </c>
      <c r="D4221" s="4" t="str">
        <f>"13552546"</f>
        <v>13552546</v>
      </c>
      <c r="E4221" s="4" t="str">
        <f>"-"</f>
        <v>-</v>
      </c>
      <c r="F4221" s="4" t="s">
        <v>110</v>
      </c>
    </row>
    <row r="4222" spans="1:6" x14ac:dyDescent="0.25">
      <c r="A4222" s="4" t="str">
        <f>"Rare Metals"</f>
        <v>Rare Metals</v>
      </c>
      <c r="B4222" s="4" t="s">
        <v>6</v>
      </c>
      <c r="C4222" s="4" t="str">
        <f t="shared" si="155"/>
        <v>-</v>
      </c>
      <c r="D4222" s="4" t="str">
        <f>"10010521"</f>
        <v>10010521</v>
      </c>
      <c r="E4222" s="4" t="str">
        <f>"18677185"</f>
        <v>18677185</v>
      </c>
      <c r="F4222" s="4" t="s">
        <v>590</v>
      </c>
    </row>
    <row r="4223" spans="1:6" x14ac:dyDescent="0.25">
      <c r="A4223" s="4" t="str">
        <f>"Reaction Kinetics, Mechanisms and Catalysis"</f>
        <v>Reaction Kinetics, Mechanisms and Catalysis</v>
      </c>
      <c r="B4223" s="4" t="s">
        <v>6</v>
      </c>
      <c r="C4223" s="4" t="str">
        <f t="shared" si="155"/>
        <v>-</v>
      </c>
      <c r="D4223" s="4" t="str">
        <f>"18785190"</f>
        <v>18785190</v>
      </c>
      <c r="E4223" s="4" t="str">
        <f>"18785204"</f>
        <v>18785204</v>
      </c>
      <c r="F4223" s="4" t="s">
        <v>31</v>
      </c>
    </row>
    <row r="4224" spans="1:6" x14ac:dyDescent="0.25">
      <c r="A4224" s="4" t="str">
        <f>"Reactive and Functional Polymers"</f>
        <v>Reactive and Functional Polymers</v>
      </c>
      <c r="B4224" s="4" t="s">
        <v>6</v>
      </c>
      <c r="C4224" s="4" t="str">
        <f t="shared" si="155"/>
        <v>-</v>
      </c>
      <c r="D4224" s="4" t="str">
        <f>"13815148"</f>
        <v>13815148</v>
      </c>
      <c r="E4224" s="4" t="str">
        <f>"-"</f>
        <v>-</v>
      </c>
      <c r="F4224" s="4" t="s">
        <v>55</v>
      </c>
    </row>
    <row r="4225" spans="1:6" x14ac:dyDescent="0.25">
      <c r="A4225" s="4" t="str">
        <f>"Real-Time Systems"</f>
        <v>Real-Time Systems</v>
      </c>
      <c r="B4225" s="4" t="s">
        <v>6</v>
      </c>
      <c r="C4225" s="4" t="str">
        <f t="shared" si="155"/>
        <v>-</v>
      </c>
      <c r="D4225" s="4" t="str">
        <f>"09226443"</f>
        <v>09226443</v>
      </c>
      <c r="E4225" s="4" t="str">
        <f>"15731383"</f>
        <v>15731383</v>
      </c>
      <c r="F4225" s="4" t="s">
        <v>57</v>
      </c>
    </row>
    <row r="4226" spans="1:6" x14ac:dyDescent="0.25">
      <c r="A4226" s="4" t="str">
        <f>"Real-Time Technology and Applications - Proceedings"</f>
        <v>Real-Time Technology and Applications - Proceedings</v>
      </c>
      <c r="B4226" s="4" t="s">
        <v>8</v>
      </c>
      <c r="C4226" s="4" t="str">
        <f t="shared" si="155"/>
        <v>-</v>
      </c>
      <c r="D4226" s="4" t="str">
        <f>"10801812"</f>
        <v>10801812</v>
      </c>
      <c r="E4226" s="4" t="str">
        <f>"-"</f>
        <v>-</v>
      </c>
      <c r="F4226" s="4" t="s">
        <v>9</v>
      </c>
    </row>
    <row r="4227" spans="1:6" x14ac:dyDescent="0.25">
      <c r="A4227" s="4" t="str">
        <f>"Recent Advances in Electrical and Electronic Engineering"</f>
        <v>Recent Advances in Electrical and Electronic Engineering</v>
      </c>
      <c r="B4227" s="4" t="s">
        <v>6</v>
      </c>
      <c r="C4227" s="4" t="str">
        <f t="shared" si="155"/>
        <v>-</v>
      </c>
      <c r="D4227" s="4" t="str">
        <f>"23520965"</f>
        <v>23520965</v>
      </c>
      <c r="E4227" s="4" t="str">
        <f>"23520973"</f>
        <v>23520973</v>
      </c>
      <c r="F4227" s="4" t="s">
        <v>316</v>
      </c>
    </row>
    <row r="4228" spans="1:6" x14ac:dyDescent="0.25">
      <c r="A4228" s="4" t="str">
        <f>"Recent Innovations in Chemical Engineering"</f>
        <v>Recent Innovations in Chemical Engineering</v>
      </c>
      <c r="B4228" s="4" t="s">
        <v>6</v>
      </c>
      <c r="C4228" s="4" t="str">
        <f t="shared" si="155"/>
        <v>-</v>
      </c>
      <c r="D4228" s="4" t="str">
        <f>"24055204"</f>
        <v>24055204</v>
      </c>
      <c r="E4228" s="4" t="str">
        <f>"24055212"</f>
        <v>24055212</v>
      </c>
      <c r="F4228" s="4" t="s">
        <v>316</v>
      </c>
    </row>
    <row r="4229" spans="1:6" x14ac:dyDescent="0.25">
      <c r="A4229" s="4" t="str">
        <f>"Recent Patents on Biomedical Engineering"</f>
        <v>Recent Patents on Biomedical Engineering</v>
      </c>
      <c r="B4229" s="4" t="s">
        <v>6</v>
      </c>
      <c r="C4229" s="4" t="str">
        <f t="shared" si="155"/>
        <v>-</v>
      </c>
      <c r="D4229" s="4" t="str">
        <f>"18747647"</f>
        <v>18747647</v>
      </c>
      <c r="E4229" s="4" t="str">
        <f>"-"</f>
        <v>-</v>
      </c>
      <c r="F4229" s="4" t="s">
        <v>316</v>
      </c>
    </row>
    <row r="4230" spans="1:6" x14ac:dyDescent="0.25">
      <c r="A4230" s="4" t="str">
        <f>"Recent Patents on Computer Science"</f>
        <v>Recent Patents on Computer Science</v>
      </c>
      <c r="B4230" s="4" t="s">
        <v>6</v>
      </c>
      <c r="C4230" s="4" t="str">
        <f t="shared" si="155"/>
        <v>-</v>
      </c>
      <c r="D4230" s="4" t="str">
        <f>"18744796"</f>
        <v>18744796</v>
      </c>
      <c r="E4230" s="4" t="str">
        <f>"-"</f>
        <v>-</v>
      </c>
      <c r="F4230" s="4" t="s">
        <v>316</v>
      </c>
    </row>
    <row r="4231" spans="1:6" x14ac:dyDescent="0.25">
      <c r="A4231" s="4" t="str">
        <f>"Recent Patents on Engineering"</f>
        <v>Recent Patents on Engineering</v>
      </c>
      <c r="B4231" s="4" t="s">
        <v>6</v>
      </c>
      <c r="C4231" s="4" t="str">
        <f t="shared" si="155"/>
        <v>-</v>
      </c>
      <c r="D4231" s="4" t="str">
        <f>"18722121"</f>
        <v>18722121</v>
      </c>
      <c r="E4231" s="4" t="str">
        <f>"-"</f>
        <v>-</v>
      </c>
      <c r="F4231" s="4" t="s">
        <v>316</v>
      </c>
    </row>
    <row r="4232" spans="1:6" x14ac:dyDescent="0.25">
      <c r="A4232" s="4" t="str">
        <f>"Recent Patents on Materials Science"</f>
        <v>Recent Patents on Materials Science</v>
      </c>
      <c r="B4232" s="4" t="s">
        <v>6</v>
      </c>
      <c r="C4232" s="4" t="str">
        <f t="shared" si="155"/>
        <v>-</v>
      </c>
      <c r="D4232" s="4" t="str">
        <f>"18744648"</f>
        <v>18744648</v>
      </c>
      <c r="E4232" s="4" t="str">
        <f>"18744656"</f>
        <v>18744656</v>
      </c>
      <c r="F4232" s="4" t="s">
        <v>316</v>
      </c>
    </row>
    <row r="4233" spans="1:6" x14ac:dyDescent="0.25">
      <c r="A4233" s="4" t="str">
        <f>"Recent Patents on Mechanical Engineering"</f>
        <v>Recent Patents on Mechanical Engineering</v>
      </c>
      <c r="B4233" s="4" t="s">
        <v>6</v>
      </c>
      <c r="C4233" s="4" t="str">
        <f t="shared" si="155"/>
        <v>-</v>
      </c>
      <c r="D4233" s="4" t="str">
        <f>"1874477X"</f>
        <v>1874477X</v>
      </c>
      <c r="E4233" s="4" t="str">
        <f>"-"</f>
        <v>-</v>
      </c>
      <c r="F4233" s="4" t="s">
        <v>316</v>
      </c>
    </row>
    <row r="4234" spans="1:6" x14ac:dyDescent="0.25">
      <c r="A4234" s="4" t="str">
        <f>"Recent Patents on Nanotechnology"</f>
        <v>Recent Patents on Nanotechnology</v>
      </c>
      <c r="B4234" s="4" t="s">
        <v>6</v>
      </c>
      <c r="C4234" s="4" t="str">
        <f t="shared" si="155"/>
        <v>-</v>
      </c>
      <c r="D4234" s="4" t="str">
        <f>"18722105"</f>
        <v>18722105</v>
      </c>
      <c r="E4234" s="4" t="str">
        <f>"-"</f>
        <v>-</v>
      </c>
      <c r="F4234" s="4" t="s">
        <v>316</v>
      </c>
    </row>
    <row r="4235" spans="1:6" x14ac:dyDescent="0.25">
      <c r="A4235" s="4" t="str">
        <f>"Recherche Transports Securite"</f>
        <v>Recherche Transports Securite</v>
      </c>
      <c r="B4235" s="4" t="s">
        <v>6</v>
      </c>
      <c r="C4235" s="4" t="str">
        <f t="shared" si="155"/>
        <v>-</v>
      </c>
      <c r="D4235" s="4" t="str">
        <f>"07618980"</f>
        <v>07618980</v>
      </c>
      <c r="E4235" s="4" t="str">
        <f>"19516614"</f>
        <v>19516614</v>
      </c>
      <c r="F4235" s="4" t="s">
        <v>123</v>
      </c>
    </row>
    <row r="4236" spans="1:6" x14ac:dyDescent="0.25">
      <c r="A4236" s="4" t="str">
        <f>"Record - IEEE PLANS, Position Location and Navigation Symposium"</f>
        <v>Record - IEEE PLANS, Position Location and Navigation Symposium</v>
      </c>
      <c r="B4236" s="4" t="s">
        <v>8</v>
      </c>
      <c r="C4236" s="4" t="str">
        <f t="shared" si="155"/>
        <v>-</v>
      </c>
      <c r="D4236" s="4" t="str">
        <f>"-"</f>
        <v>-</v>
      </c>
      <c r="E4236" s="4" t="str">
        <f>"-"</f>
        <v>-</v>
      </c>
      <c r="F4236" s="4" t="s">
        <v>105</v>
      </c>
    </row>
    <row r="4237" spans="1:6" x14ac:dyDescent="0.25">
      <c r="A4237" s="4" t="str">
        <f>"Record of Conference Papers - Annual Petroleum and Chemical Industry Conference"</f>
        <v>Record of Conference Papers - Annual Petroleum and Chemical Industry Conference</v>
      </c>
      <c r="B4237" s="4" t="s">
        <v>8</v>
      </c>
      <c r="C4237" s="4" t="str">
        <f t="shared" si="155"/>
        <v>-</v>
      </c>
      <c r="D4237" s="4" t="str">
        <f>"00903507"</f>
        <v>00903507</v>
      </c>
      <c r="E4237" s="4" t="str">
        <f>"-"</f>
        <v>-</v>
      </c>
      <c r="F4237" s="4" t="s">
        <v>105</v>
      </c>
    </row>
    <row r="4238" spans="1:6" x14ac:dyDescent="0.25">
      <c r="A4238" s="4" t="str">
        <f>"Records of the IEEE International Workshop on Memory Technology, Design and Testing"</f>
        <v>Records of the IEEE International Workshop on Memory Technology, Design and Testing</v>
      </c>
      <c r="B4238" s="4" t="s">
        <v>8</v>
      </c>
      <c r="C4238" s="4" t="str">
        <f t="shared" si="155"/>
        <v>-</v>
      </c>
      <c r="D4238" s="4" t="str">
        <f>"10874852"</f>
        <v>10874852</v>
      </c>
      <c r="E4238" s="4" t="str">
        <f>"-"</f>
        <v>-</v>
      </c>
      <c r="F4238" s="4" t="s">
        <v>9</v>
      </c>
    </row>
    <row r="4239" spans="1:6" x14ac:dyDescent="0.25">
      <c r="A4239" s="4" t="str">
        <f>"Refractories and Industrial Ceramics"</f>
        <v>Refractories and Industrial Ceramics</v>
      </c>
      <c r="B4239" s="4" t="s">
        <v>6</v>
      </c>
      <c r="C4239" s="4" t="str">
        <f t="shared" si="155"/>
        <v>-</v>
      </c>
      <c r="D4239" s="4" t="str">
        <f>"10834877"</f>
        <v>10834877</v>
      </c>
      <c r="E4239" s="4" t="str">
        <f>"-"</f>
        <v>-</v>
      </c>
      <c r="F4239" s="4" t="s">
        <v>57</v>
      </c>
    </row>
    <row r="4240" spans="1:6" x14ac:dyDescent="0.25">
      <c r="A4240" s="4" t="str">
        <f>"Refrigeration Science and Technology"</f>
        <v>Refrigeration Science and Technology</v>
      </c>
      <c r="B4240" s="4" t="s">
        <v>8</v>
      </c>
      <c r="C4240" s="4" t="str">
        <f t="shared" si="155"/>
        <v>-</v>
      </c>
      <c r="D4240" s="4" t="str">
        <f>"01511637"</f>
        <v>01511637</v>
      </c>
      <c r="E4240" s="4" t="str">
        <f>"-"</f>
        <v>-</v>
      </c>
      <c r="F4240" s="4" t="s">
        <v>1016</v>
      </c>
    </row>
    <row r="4241" spans="1:6" x14ac:dyDescent="0.25">
      <c r="A4241" s="4" t="str">
        <f>"Reliability Engineering and System Safety"</f>
        <v>Reliability Engineering and System Safety</v>
      </c>
      <c r="B4241" s="4" t="s">
        <v>6</v>
      </c>
      <c r="C4241" s="4" t="str">
        <f t="shared" si="155"/>
        <v>-</v>
      </c>
      <c r="D4241" s="4" t="str">
        <f>"09518320"</f>
        <v>09518320</v>
      </c>
      <c r="E4241" s="4" t="str">
        <f>"-"</f>
        <v>-</v>
      </c>
      <c r="F4241" s="4" t="s">
        <v>19</v>
      </c>
    </row>
    <row r="4242" spans="1:6" x14ac:dyDescent="0.25">
      <c r="A4242" s="4" t="str">
        <f>"Reliable Computing"</f>
        <v>Reliable Computing</v>
      </c>
      <c r="B4242" s="4" t="s">
        <v>6</v>
      </c>
      <c r="C4242" s="4" t="str">
        <f t="shared" si="155"/>
        <v>-</v>
      </c>
      <c r="D4242" s="4" t="str">
        <f>"13853139"</f>
        <v>13853139</v>
      </c>
      <c r="E4242" s="4" t="str">
        <f>"15731340"</f>
        <v>15731340</v>
      </c>
      <c r="F4242" s="4" t="s">
        <v>31</v>
      </c>
    </row>
    <row r="4243" spans="1:6" x14ac:dyDescent="0.25">
      <c r="A4243" s="4" t="str">
        <f>"Remote Sensing"</f>
        <v>Remote Sensing</v>
      </c>
      <c r="B4243" s="4" t="s">
        <v>6</v>
      </c>
      <c r="C4243" s="4" t="str">
        <f t="shared" si="155"/>
        <v>-</v>
      </c>
      <c r="D4243" s="4" t="str">
        <f>"-"</f>
        <v>-</v>
      </c>
      <c r="E4243" s="4" t="str">
        <f>"20724292"</f>
        <v>20724292</v>
      </c>
      <c r="F4243" s="4" t="s">
        <v>114</v>
      </c>
    </row>
    <row r="4244" spans="1:6" x14ac:dyDescent="0.25">
      <c r="A4244" s="4" t="str">
        <f>"Remote Sensing Letters"</f>
        <v>Remote Sensing Letters</v>
      </c>
      <c r="B4244" s="4" t="s">
        <v>6</v>
      </c>
      <c r="C4244" s="4" t="str">
        <f t="shared" si="155"/>
        <v>-</v>
      </c>
      <c r="D4244" s="4" t="str">
        <f>"2150704X"</f>
        <v>2150704X</v>
      </c>
      <c r="E4244" s="4" t="str">
        <f>"21507058"</f>
        <v>21507058</v>
      </c>
      <c r="F4244" s="4" t="s">
        <v>60</v>
      </c>
    </row>
    <row r="4245" spans="1:6" x14ac:dyDescent="0.25">
      <c r="A4245" s="4" t="str">
        <f>"Remote Sensing of Environment"</f>
        <v>Remote Sensing of Environment</v>
      </c>
      <c r="B4245" s="4" t="s">
        <v>6</v>
      </c>
      <c r="C4245" s="4" t="str">
        <f t="shared" si="155"/>
        <v>-</v>
      </c>
      <c r="D4245" s="4" t="str">
        <f>"00344257"</f>
        <v>00344257</v>
      </c>
      <c r="E4245" s="4" t="str">
        <f>"-"</f>
        <v>-</v>
      </c>
      <c r="F4245" s="4" t="s">
        <v>141</v>
      </c>
    </row>
    <row r="4246" spans="1:6" x14ac:dyDescent="0.25">
      <c r="A4246" s="4" t="str">
        <f>"Rendiconti Lincei"</f>
        <v>Rendiconti Lincei</v>
      </c>
      <c r="B4246" s="4" t="s">
        <v>6</v>
      </c>
      <c r="C4246" s="4" t="str">
        <f t="shared" si="155"/>
        <v>-</v>
      </c>
      <c r="D4246" s="4" t="str">
        <f>"20374631"</f>
        <v>20374631</v>
      </c>
      <c r="E4246" s="4" t="str">
        <f>"17200776"</f>
        <v>17200776</v>
      </c>
      <c r="F4246" s="4" t="s">
        <v>943</v>
      </c>
    </row>
    <row r="4247" spans="1:6" x14ac:dyDescent="0.25">
      <c r="A4247" s="4" t="str">
        <f>"Renewable and Sustainable Energy Reviews"</f>
        <v>Renewable and Sustainable Energy Reviews</v>
      </c>
      <c r="B4247" s="4" t="s">
        <v>6</v>
      </c>
      <c r="C4247" s="4" t="str">
        <f t="shared" si="155"/>
        <v>-</v>
      </c>
      <c r="D4247" s="4" t="str">
        <f>"13640321"</f>
        <v>13640321</v>
      </c>
      <c r="E4247" s="4" t="str">
        <f>"18790690"</f>
        <v>18790690</v>
      </c>
      <c r="F4247" s="4" t="s">
        <v>19</v>
      </c>
    </row>
    <row r="4248" spans="1:6" x14ac:dyDescent="0.25">
      <c r="A4248" s="4" t="str">
        <f>"Renewable Energy"</f>
        <v>Renewable Energy</v>
      </c>
      <c r="B4248" s="4" t="s">
        <v>6</v>
      </c>
      <c r="C4248" s="4" t="str">
        <f t="shared" si="155"/>
        <v>-</v>
      </c>
      <c r="D4248" s="4" t="str">
        <f>"09601481"</f>
        <v>09601481</v>
      </c>
      <c r="E4248" s="4" t="str">
        <f>"18790682 "</f>
        <v xml:space="preserve">18790682 </v>
      </c>
      <c r="F4248" s="4" t="s">
        <v>19</v>
      </c>
    </row>
    <row r="4249" spans="1:6" x14ac:dyDescent="0.25">
      <c r="A4249" s="4" t="str">
        <f>"Renewable Energy for Development"</f>
        <v>Renewable Energy for Development</v>
      </c>
      <c r="B4249" s="4" t="s">
        <v>6</v>
      </c>
      <c r="C4249" s="4" t="str">
        <f t="shared" si="155"/>
        <v>-</v>
      </c>
      <c r="D4249" s="4" t="str">
        <f>"11018267"</f>
        <v>11018267</v>
      </c>
      <c r="E4249" s="4" t="str">
        <f>"-"</f>
        <v>-</v>
      </c>
      <c r="F4249" s="4" t="s">
        <v>1017</v>
      </c>
    </row>
    <row r="4250" spans="1:6" x14ac:dyDescent="0.25">
      <c r="A4250" s="4" t="str">
        <f>"Report - Helsinki University of Technology, Signal Processing Laboratory"</f>
        <v>Report - Helsinki University of Technology, Signal Processing Laboratory</v>
      </c>
      <c r="B4250" s="4" t="s">
        <v>8</v>
      </c>
      <c r="C4250" s="4" t="str">
        <f t="shared" si="155"/>
        <v>-</v>
      </c>
      <c r="D4250" s="4" t="str">
        <f>"14586401"</f>
        <v>14586401</v>
      </c>
      <c r="E4250" s="4" t="str">
        <f>"-"</f>
        <v>-</v>
      </c>
      <c r="F4250" s="4" t="s">
        <v>1018</v>
      </c>
    </row>
    <row r="4251" spans="1:6" x14ac:dyDescent="0.25">
      <c r="A4251" s="4" t="str">
        <f>"Requirements Engineering"</f>
        <v>Requirements Engineering</v>
      </c>
      <c r="B4251" s="4" t="s">
        <v>6</v>
      </c>
      <c r="C4251" s="4" t="str">
        <f t="shared" si="155"/>
        <v>-</v>
      </c>
      <c r="D4251" s="4" t="str">
        <f>"09473602"</f>
        <v>09473602</v>
      </c>
      <c r="E4251" s="4" t="str">
        <f>"1432010X"</f>
        <v>1432010X</v>
      </c>
      <c r="F4251" s="4" t="s">
        <v>62</v>
      </c>
    </row>
    <row r="4252" spans="1:6" x14ac:dyDescent="0.25">
      <c r="A4252" s="4" t="str">
        <f>"Research for Rural Development"</f>
        <v>Research for Rural Development</v>
      </c>
      <c r="B4252" s="4" t="s">
        <v>8</v>
      </c>
      <c r="C4252" s="4" t="str">
        <f t="shared" si="155"/>
        <v>-</v>
      </c>
      <c r="D4252" s="4" t="str">
        <f>"16914031"</f>
        <v>16914031</v>
      </c>
      <c r="E4252" s="4" t="str">
        <f>"16914031"</f>
        <v>16914031</v>
      </c>
      <c r="F4252" s="4" t="s">
        <v>1019</v>
      </c>
    </row>
    <row r="4253" spans="1:6" x14ac:dyDescent="0.25">
      <c r="A4253" s="4" t="str">
        <f>"Research Forum on Recycling, Proceedings"</f>
        <v>Research Forum on Recycling, Proceedings</v>
      </c>
      <c r="B4253" s="4" t="s">
        <v>8</v>
      </c>
      <c r="C4253" s="4" t="str">
        <f t="shared" si="155"/>
        <v>-</v>
      </c>
      <c r="D4253" s="4" t="str">
        <f>"-"</f>
        <v>-</v>
      </c>
      <c r="E4253" s="4" t="str">
        <f>"-"</f>
        <v>-</v>
      </c>
      <c r="F4253" s="4" t="s">
        <v>131</v>
      </c>
    </row>
    <row r="4254" spans="1:6" x14ac:dyDescent="0.25">
      <c r="A4254" s="4" t="str">
        <f>"Research in Engineering Design"</f>
        <v>Research in Engineering Design</v>
      </c>
      <c r="B4254" s="4" t="s">
        <v>6</v>
      </c>
      <c r="C4254" s="4" t="str">
        <f t="shared" si="155"/>
        <v>-</v>
      </c>
      <c r="D4254" s="4" t="str">
        <f>"09349839"</f>
        <v>09349839</v>
      </c>
      <c r="E4254" s="4" t="str">
        <f>"14356066"</f>
        <v>14356066</v>
      </c>
      <c r="F4254" s="4" t="s">
        <v>62</v>
      </c>
    </row>
    <row r="4255" spans="1:6" x14ac:dyDescent="0.25">
      <c r="A4255" s="4" t="str">
        <f>"Research in Nondestructive Evaluation"</f>
        <v>Research in Nondestructive Evaluation</v>
      </c>
      <c r="B4255" s="4" t="s">
        <v>6</v>
      </c>
      <c r="C4255" s="4" t="str">
        <f t="shared" si="155"/>
        <v>-</v>
      </c>
      <c r="D4255" s="4" t="str">
        <f>"09349847"</f>
        <v>09349847</v>
      </c>
      <c r="E4255" s="4" t="str">
        <f>"14322110"</f>
        <v>14322110</v>
      </c>
      <c r="F4255" s="4" t="s">
        <v>96</v>
      </c>
    </row>
    <row r="4256" spans="1:6" x14ac:dyDescent="0.25">
      <c r="A4256" s="4" t="str">
        <f>"Research on Chemical Intermediates"</f>
        <v>Research on Chemical Intermediates</v>
      </c>
      <c r="B4256" s="4" t="s">
        <v>6</v>
      </c>
      <c r="C4256" s="4" t="str">
        <f t="shared" ref="C4256:C4319" si="156">"-"</f>
        <v>-</v>
      </c>
      <c r="D4256" s="4" t="str">
        <f>"09226168"</f>
        <v>09226168</v>
      </c>
      <c r="E4256" s="4" t="str">
        <f>"15685675"</f>
        <v>15685675</v>
      </c>
      <c r="F4256" s="4" t="s">
        <v>31</v>
      </c>
    </row>
    <row r="4257" spans="1:6" x14ac:dyDescent="0.25">
      <c r="A4257" s="4" t="str">
        <f>"Research Policy"</f>
        <v>Research Policy</v>
      </c>
      <c r="B4257" s="4" t="s">
        <v>6</v>
      </c>
      <c r="C4257" s="4" t="str">
        <f t="shared" si="156"/>
        <v>-</v>
      </c>
      <c r="D4257" s="4" t="str">
        <f>"00487333"</f>
        <v>00487333</v>
      </c>
      <c r="E4257" s="4" t="str">
        <f>"-"</f>
        <v>-</v>
      </c>
      <c r="F4257" s="4" t="s">
        <v>55</v>
      </c>
    </row>
    <row r="4258" spans="1:6" x14ac:dyDescent="0.25">
      <c r="A4258" s="4" t="str">
        <f>"Research Report ARR"</f>
        <v>Research Report ARR</v>
      </c>
      <c r="B4258" s="4" t="s">
        <v>6</v>
      </c>
      <c r="C4258" s="4" t="str">
        <f t="shared" si="156"/>
        <v>-</v>
      </c>
      <c r="D4258" s="4" t="str">
        <f>"01580728"</f>
        <v>01580728</v>
      </c>
      <c r="E4258" s="4" t="str">
        <f>"-"</f>
        <v>-</v>
      </c>
      <c r="F4258" s="4" t="s">
        <v>950</v>
      </c>
    </row>
    <row r="4259" spans="1:6" x14ac:dyDescent="0.25">
      <c r="A4259" s="4" t="str">
        <f>"Research Reports on Information Science and Electrical Engineering of Kyushu University"</f>
        <v>Research Reports on Information Science and Electrical Engineering of Kyushu University</v>
      </c>
      <c r="B4259" s="4" t="s">
        <v>6</v>
      </c>
      <c r="C4259" s="4" t="str">
        <f t="shared" si="156"/>
        <v>-</v>
      </c>
      <c r="D4259" s="4" t="str">
        <f>"13423819"</f>
        <v>13423819</v>
      </c>
      <c r="E4259" s="4" t="str">
        <f>"-"</f>
        <v>-</v>
      </c>
      <c r="F4259" s="4" t="s">
        <v>868</v>
      </c>
    </row>
    <row r="4260" spans="1:6" x14ac:dyDescent="0.25">
      <c r="A4260" s="4" t="str">
        <f>"Research Technology Management"</f>
        <v>Research Technology Management</v>
      </c>
      <c r="B4260" s="4" t="s">
        <v>6</v>
      </c>
      <c r="C4260" s="4" t="str">
        <f t="shared" si="156"/>
        <v>-</v>
      </c>
      <c r="D4260" s="4" t="str">
        <f>"08956308"</f>
        <v>08956308</v>
      </c>
      <c r="E4260" s="4" t="str">
        <f>"19300166"</f>
        <v>19300166</v>
      </c>
      <c r="F4260" s="4" t="s">
        <v>1020</v>
      </c>
    </row>
    <row r="4261" spans="1:6" x14ac:dyDescent="0.25">
      <c r="A4261" s="4" t="str">
        <f>"Resource and Energy Economics"</f>
        <v>Resource and Energy Economics</v>
      </c>
      <c r="B4261" s="4" t="s">
        <v>6</v>
      </c>
      <c r="C4261" s="4" t="str">
        <f t="shared" si="156"/>
        <v>-</v>
      </c>
      <c r="D4261" s="4" t="str">
        <f>"09287655"</f>
        <v>09287655</v>
      </c>
      <c r="E4261" s="4" t="str">
        <f>"-"</f>
        <v>-</v>
      </c>
      <c r="F4261" s="4" t="s">
        <v>55</v>
      </c>
    </row>
    <row r="4262" spans="1:6" x14ac:dyDescent="0.25">
      <c r="A4262" s="4" t="str">
        <f>"Resource: Engineering and Technology for Sustainable World"</f>
        <v>Resource: Engineering and Technology for Sustainable World</v>
      </c>
      <c r="B4262" s="4" t="s">
        <v>22</v>
      </c>
      <c r="C4262" s="4" t="str">
        <f t="shared" si="156"/>
        <v>-</v>
      </c>
      <c r="D4262" s="4" t="str">
        <f>"10763333"</f>
        <v>10763333</v>
      </c>
      <c r="E4262" s="4" t="str">
        <f>"-"</f>
        <v>-</v>
      </c>
      <c r="F4262" s="4" t="s">
        <v>140</v>
      </c>
    </row>
    <row r="4263" spans="1:6" x14ac:dyDescent="0.25">
      <c r="A4263" s="4" t="str">
        <f>"Resources Policy"</f>
        <v>Resources Policy</v>
      </c>
      <c r="B4263" s="4" t="s">
        <v>6</v>
      </c>
      <c r="C4263" s="4" t="str">
        <f t="shared" si="156"/>
        <v>-</v>
      </c>
      <c r="D4263" s="4" t="str">
        <f>"03014207"</f>
        <v>03014207</v>
      </c>
      <c r="E4263" s="4" t="str">
        <f>"-"</f>
        <v>-</v>
      </c>
      <c r="F4263" s="4" t="s">
        <v>19</v>
      </c>
    </row>
    <row r="4264" spans="1:6" x14ac:dyDescent="0.25">
      <c r="A4264" s="4" t="str">
        <f>"Resources, Conservation and Recycling"</f>
        <v>Resources, Conservation and Recycling</v>
      </c>
      <c r="B4264" s="4" t="s">
        <v>6</v>
      </c>
      <c r="C4264" s="4" t="str">
        <f t="shared" si="156"/>
        <v>-</v>
      </c>
      <c r="D4264" s="4" t="str">
        <f>"09213449"</f>
        <v>09213449</v>
      </c>
      <c r="E4264" s="4" t="str">
        <f>"18790658"</f>
        <v>18790658</v>
      </c>
      <c r="F4264" s="4" t="s">
        <v>55</v>
      </c>
    </row>
    <row r="4265" spans="1:6" x14ac:dyDescent="0.25">
      <c r="A4265" s="4" t="str">
        <f>"Restaurator"</f>
        <v>Restaurator</v>
      </c>
      <c r="B4265" s="4" t="s">
        <v>6</v>
      </c>
      <c r="C4265" s="4" t="str">
        <f t="shared" si="156"/>
        <v>-</v>
      </c>
      <c r="D4265" s="4" t="str">
        <f>"00345806"</f>
        <v>00345806</v>
      </c>
      <c r="E4265" s="4" t="str">
        <f>"18658431"</f>
        <v>18658431</v>
      </c>
      <c r="F4265" s="4" t="s">
        <v>189</v>
      </c>
    </row>
    <row r="4266" spans="1:6" x14ac:dyDescent="0.25">
      <c r="A4266" s="4" t="str">
        <f>"Review of Automotive Engineering"</f>
        <v>Review of Automotive Engineering</v>
      </c>
      <c r="B4266" s="4" t="s">
        <v>6</v>
      </c>
      <c r="C4266" s="4" t="str">
        <f t="shared" si="156"/>
        <v>-</v>
      </c>
      <c r="D4266" s="4" t="str">
        <f>"13494724"</f>
        <v>13494724</v>
      </c>
      <c r="E4266" s="4" t="str">
        <f>"13494740"</f>
        <v>13494740</v>
      </c>
      <c r="F4266" s="4" t="s">
        <v>1021</v>
      </c>
    </row>
    <row r="4267" spans="1:6" x14ac:dyDescent="0.25">
      <c r="A4267" s="4" t="str">
        <f>"Review of Scientific Instruments"</f>
        <v>Review of Scientific Instruments</v>
      </c>
      <c r="B4267" s="4" t="s">
        <v>6</v>
      </c>
      <c r="C4267" s="4" t="str">
        <f t="shared" si="156"/>
        <v>-</v>
      </c>
      <c r="D4267" s="4" t="str">
        <f>"00346748"</f>
        <v>00346748</v>
      </c>
      <c r="E4267" s="4" t="str">
        <f>"10897623"</f>
        <v>10897623</v>
      </c>
      <c r="F4267" s="4" t="s">
        <v>108</v>
      </c>
    </row>
    <row r="4268" spans="1:6" x14ac:dyDescent="0.25">
      <c r="A4268" s="4" t="str">
        <f>"Reviews in Chemical Engineering"</f>
        <v>Reviews in Chemical Engineering</v>
      </c>
      <c r="B4268" s="4" t="s">
        <v>6</v>
      </c>
      <c r="C4268" s="4" t="str">
        <f t="shared" si="156"/>
        <v>-</v>
      </c>
      <c r="D4268" s="4" t="str">
        <f>"01678299"</f>
        <v>01678299</v>
      </c>
      <c r="E4268" s="4" t="str">
        <f>"-"</f>
        <v>-</v>
      </c>
      <c r="F4268" s="4" t="s">
        <v>189</v>
      </c>
    </row>
    <row r="4269" spans="1:6" x14ac:dyDescent="0.25">
      <c r="A4269" s="4" t="str">
        <f>"Reviews in Mineralogy and Geochemistry"</f>
        <v>Reviews in Mineralogy and Geochemistry</v>
      </c>
      <c r="B4269" s="4" t="s">
        <v>29</v>
      </c>
      <c r="C4269" s="4" t="str">
        <f t="shared" si="156"/>
        <v>-</v>
      </c>
      <c r="D4269" s="4" t="str">
        <f>"15296466"</f>
        <v>15296466</v>
      </c>
      <c r="E4269" s="4" t="str">
        <f>"-"</f>
        <v>-</v>
      </c>
      <c r="F4269" s="4" t="s">
        <v>1022</v>
      </c>
    </row>
    <row r="4270" spans="1:6" x14ac:dyDescent="0.25">
      <c r="A4270" s="4" t="str">
        <f>"Reviews of Geophysics"</f>
        <v>Reviews of Geophysics</v>
      </c>
      <c r="B4270" s="4" t="s">
        <v>6</v>
      </c>
      <c r="C4270" s="4" t="str">
        <f t="shared" si="156"/>
        <v>-</v>
      </c>
      <c r="D4270" s="4" t="str">
        <f>"87551209"</f>
        <v>87551209</v>
      </c>
      <c r="E4270" s="4" t="str">
        <f>"19449208"</f>
        <v>19449208</v>
      </c>
      <c r="F4270" s="4" t="s">
        <v>209</v>
      </c>
    </row>
    <row r="4271" spans="1:6" x14ac:dyDescent="0.25">
      <c r="A4271" s="4" t="str">
        <f>"Reviews of Modern Physics"</f>
        <v>Reviews of Modern Physics</v>
      </c>
      <c r="B4271" s="4" t="s">
        <v>6</v>
      </c>
      <c r="C4271" s="4" t="str">
        <f t="shared" si="156"/>
        <v>-</v>
      </c>
      <c r="D4271" s="4" t="str">
        <f>"00346861"</f>
        <v>00346861</v>
      </c>
      <c r="E4271" s="4" t="str">
        <f>"15390756"</f>
        <v>15390756</v>
      </c>
      <c r="F4271" s="4" t="s">
        <v>933</v>
      </c>
    </row>
    <row r="4272" spans="1:6" x14ac:dyDescent="0.25">
      <c r="A4272" s="4" t="str">
        <f>"Reviews on Advanced Materials Science"</f>
        <v>Reviews on Advanced Materials Science</v>
      </c>
      <c r="B4272" s="4" t="s">
        <v>6</v>
      </c>
      <c r="C4272" s="4" t="str">
        <f t="shared" si="156"/>
        <v>-</v>
      </c>
      <c r="D4272" s="4" t="str">
        <f>"16065131"</f>
        <v>16065131</v>
      </c>
      <c r="E4272" s="4" t="str">
        <f>"16058127"</f>
        <v>16058127</v>
      </c>
      <c r="F4272" s="4" t="s">
        <v>853</v>
      </c>
    </row>
    <row r="4273" spans="1:6" x14ac:dyDescent="0.25">
      <c r="A4273" s="4" t="str">
        <f>"Revista Brasileira de Engenharia Biomedica"</f>
        <v>Revista Brasileira de Engenharia Biomedica</v>
      </c>
      <c r="B4273" s="4" t="s">
        <v>6</v>
      </c>
      <c r="C4273" s="4" t="str">
        <f t="shared" si="156"/>
        <v>-</v>
      </c>
      <c r="D4273" s="4" t="str">
        <f>"15173151"</f>
        <v>15173151</v>
      </c>
      <c r="E4273" s="4" t="str">
        <f>"19847742"</f>
        <v>19847742</v>
      </c>
      <c r="F4273" s="4" t="s">
        <v>1023</v>
      </c>
    </row>
    <row r="4274" spans="1:6" x14ac:dyDescent="0.25">
      <c r="A4274" s="4" t="str">
        <f>"Revista de la Facultad de Ingenieria"</f>
        <v>Revista de la Facultad de Ingenieria</v>
      </c>
      <c r="B4274" s="4" t="s">
        <v>6</v>
      </c>
      <c r="C4274" s="4" t="str">
        <f t="shared" si="156"/>
        <v>-</v>
      </c>
      <c r="D4274" s="4" t="str">
        <f>"07984065"</f>
        <v>07984065</v>
      </c>
      <c r="E4274" s="4" t="str">
        <f>"-"</f>
        <v>-</v>
      </c>
      <c r="F4274" s="4" t="s">
        <v>201</v>
      </c>
    </row>
    <row r="4275" spans="1:6" x14ac:dyDescent="0.25">
      <c r="A4275" s="4" t="str">
        <f>"Revista de Metalurgia"</f>
        <v>Revista de Metalurgia</v>
      </c>
      <c r="B4275" s="4" t="s">
        <v>6</v>
      </c>
      <c r="C4275" s="4" t="str">
        <f t="shared" si="156"/>
        <v>-</v>
      </c>
      <c r="D4275" s="4" t="str">
        <f>"00348570"</f>
        <v>00348570</v>
      </c>
      <c r="E4275" s="4" t="str">
        <f>"19884222"</f>
        <v>19884222</v>
      </c>
      <c r="F4275" s="4" t="s">
        <v>1024</v>
      </c>
    </row>
    <row r="4276" spans="1:6" x14ac:dyDescent="0.25">
      <c r="A4276" s="4" t="str">
        <f>"Revista de Obras Publicas"</f>
        <v>Revista de Obras Publicas</v>
      </c>
      <c r="B4276" s="4" t="s">
        <v>6</v>
      </c>
      <c r="C4276" s="4" t="str">
        <f t="shared" si="156"/>
        <v>-</v>
      </c>
      <c r="D4276" s="4" t="str">
        <f>"00348619"</f>
        <v>00348619</v>
      </c>
      <c r="E4276" s="4" t="str">
        <f>"16954408"</f>
        <v>16954408</v>
      </c>
      <c r="F4276" s="4" t="s">
        <v>1025</v>
      </c>
    </row>
    <row r="4277" spans="1:6" x14ac:dyDescent="0.25">
      <c r="A4277" s="4" t="str">
        <f>"Revista Iberoamericana de Tecnologias del Aprendizaje"</f>
        <v>Revista Iberoamericana de Tecnologias del Aprendizaje</v>
      </c>
      <c r="B4277" s="4" t="s">
        <v>6</v>
      </c>
      <c r="C4277" s="4" t="str">
        <f t="shared" si="156"/>
        <v>-</v>
      </c>
      <c r="D4277" s="4" t="str">
        <f>"-"</f>
        <v>-</v>
      </c>
      <c r="E4277" s="4" t="str">
        <f>"19328540"</f>
        <v>19328540</v>
      </c>
      <c r="F4277" s="4" t="s">
        <v>1026</v>
      </c>
    </row>
    <row r="4278" spans="1:6" x14ac:dyDescent="0.25">
      <c r="A4278" s="4" t="str">
        <f>"Revista Tecnica de la Facultad de Ingenieria Universidad del Zulia"</f>
        <v>Revista Tecnica de la Facultad de Ingenieria Universidad del Zulia</v>
      </c>
      <c r="B4278" s="4" t="s">
        <v>6</v>
      </c>
      <c r="C4278" s="4" t="str">
        <f t="shared" si="156"/>
        <v>-</v>
      </c>
      <c r="D4278" s="4" t="str">
        <f>"02540770"</f>
        <v>02540770</v>
      </c>
      <c r="E4278" s="4" t="str">
        <f>"-"</f>
        <v>-</v>
      </c>
      <c r="F4278" s="4" t="s">
        <v>1027</v>
      </c>
    </row>
    <row r="4279" spans="1:6" x14ac:dyDescent="0.25">
      <c r="A4279" s="4" t="str">
        <f>"Revue de l'Energie"</f>
        <v>Revue de l'Energie</v>
      </c>
      <c r="B4279" s="4" t="s">
        <v>6</v>
      </c>
      <c r="C4279" s="4" t="str">
        <f t="shared" si="156"/>
        <v>-</v>
      </c>
      <c r="D4279" s="4" t="str">
        <f>"0303240X"</f>
        <v>0303240X</v>
      </c>
      <c r="E4279" s="4" t="str">
        <f>"-"</f>
        <v>-</v>
      </c>
      <c r="F4279" s="4" t="s">
        <v>1028</v>
      </c>
    </row>
    <row r="4280" spans="1:6" x14ac:dyDescent="0.25">
      <c r="A4280" s="4" t="str">
        <f>"Revue des Composites et des Materiaux Avances"</f>
        <v>Revue des Composites et des Materiaux Avances</v>
      </c>
      <c r="B4280" s="4" t="s">
        <v>6</v>
      </c>
      <c r="C4280" s="4" t="str">
        <f t="shared" si="156"/>
        <v>-</v>
      </c>
      <c r="D4280" s="4" t="str">
        <f>"11697954"</f>
        <v>11697954</v>
      </c>
      <c r="E4280" s="4" t="str">
        <f>"19585799"</f>
        <v>19585799</v>
      </c>
      <c r="F4280" s="4" t="s">
        <v>122</v>
      </c>
    </row>
    <row r="4281" spans="1:6" x14ac:dyDescent="0.25">
      <c r="A4281" s="4" t="str">
        <f>"Revue des Nouvelles Technologies de l'Information"</f>
        <v>Revue des Nouvelles Technologies de l'Information</v>
      </c>
      <c r="B4281" s="4" t="s">
        <v>8</v>
      </c>
      <c r="C4281" s="4" t="str">
        <f t="shared" si="156"/>
        <v>-</v>
      </c>
      <c r="D4281" s="4" t="str">
        <f>"17641667"</f>
        <v>17641667</v>
      </c>
      <c r="E4281" s="4" t="str">
        <f>"-"</f>
        <v>-</v>
      </c>
      <c r="F4281" s="4" t="s">
        <v>1029</v>
      </c>
    </row>
    <row r="4282" spans="1:6" x14ac:dyDescent="0.25">
      <c r="A4282" s="4" t="str">
        <f>"Revue des Sciences de l'Eau"</f>
        <v>Revue des Sciences de l'Eau</v>
      </c>
      <c r="B4282" s="4" t="s">
        <v>6</v>
      </c>
      <c r="C4282" s="4" t="str">
        <f t="shared" si="156"/>
        <v>-</v>
      </c>
      <c r="D4282" s="4" t="str">
        <f>"09927158"</f>
        <v>09927158</v>
      </c>
      <c r="E4282" s="4" t="str">
        <f>"17188598"</f>
        <v>17188598</v>
      </c>
      <c r="F4282" s="4" t="s">
        <v>1030</v>
      </c>
    </row>
    <row r="4283" spans="1:6" x14ac:dyDescent="0.25">
      <c r="A4283" s="4" t="str">
        <f>"Revue d'Intelligence Artificielle"</f>
        <v>Revue d'Intelligence Artificielle</v>
      </c>
      <c r="B4283" s="4" t="s">
        <v>6</v>
      </c>
      <c r="C4283" s="4" t="str">
        <f t="shared" si="156"/>
        <v>-</v>
      </c>
      <c r="D4283" s="4" t="str">
        <f>"0992499X"</f>
        <v>0992499X</v>
      </c>
      <c r="E4283" s="4" t="str">
        <f>"-"</f>
        <v>-</v>
      </c>
      <c r="F4283" s="4" t="s">
        <v>122</v>
      </c>
    </row>
    <row r="4284" spans="1:6" x14ac:dyDescent="0.25">
      <c r="A4284" s="4" t="str">
        <f>"Revue Forestiere Francaise"</f>
        <v>Revue Forestiere Francaise</v>
      </c>
      <c r="B4284" s="4" t="s">
        <v>6</v>
      </c>
      <c r="C4284" s="4" t="str">
        <f t="shared" si="156"/>
        <v>-</v>
      </c>
      <c r="D4284" s="4" t="str">
        <f>"00352829"</f>
        <v>00352829</v>
      </c>
      <c r="E4284" s="4" t="str">
        <f>"-"</f>
        <v>-</v>
      </c>
      <c r="F4284" s="4" t="s">
        <v>1031</v>
      </c>
    </row>
    <row r="4285" spans="1:6" x14ac:dyDescent="0.25">
      <c r="A4285" s="4" t="str">
        <f>"Revue Francaise de Photogrammetrie et de Teledetection"</f>
        <v>Revue Francaise de Photogrammetrie et de Teledetection</v>
      </c>
      <c r="B4285" s="4" t="s">
        <v>6</v>
      </c>
      <c r="C4285" s="4" t="str">
        <f t="shared" si="156"/>
        <v>-</v>
      </c>
      <c r="D4285" s="4" t="str">
        <f>"17689791"</f>
        <v>17689791</v>
      </c>
      <c r="E4285" s="4" t="str">
        <f>"-"</f>
        <v>-</v>
      </c>
      <c r="F4285" s="4" t="s">
        <v>1032</v>
      </c>
    </row>
    <row r="4286" spans="1:6" x14ac:dyDescent="0.25">
      <c r="A4286" s="4" t="str">
        <f>"RIAI - Revista Iberoamericana de Automatica e Informatica Industrial"</f>
        <v>RIAI - Revista Iberoamericana de Automatica e Informatica Industrial</v>
      </c>
      <c r="B4286" s="4" t="s">
        <v>6</v>
      </c>
      <c r="C4286" s="4" t="str">
        <f t="shared" si="156"/>
        <v>-</v>
      </c>
      <c r="D4286" s="4" t="str">
        <f>"16977912"</f>
        <v>16977912</v>
      </c>
      <c r="E4286" s="4" t="str">
        <f>"16977920"</f>
        <v>16977920</v>
      </c>
      <c r="F4286" s="4" t="s">
        <v>1033</v>
      </c>
    </row>
    <row r="4287" spans="1:6" x14ac:dyDescent="0.25">
      <c r="A4287" s="4" t="str">
        <f>"Rinsan Shikenj Oha/Journal of the Hokkaido Forest Products Research Institute"</f>
        <v>Rinsan Shikenj Oha/Journal of the Hokkaido Forest Products Research Institute</v>
      </c>
      <c r="B4287" s="4" t="s">
        <v>6</v>
      </c>
      <c r="C4287" s="4" t="str">
        <f t="shared" si="156"/>
        <v>-</v>
      </c>
      <c r="D4287" s="4" t="str">
        <f>"0913140X"</f>
        <v>0913140X</v>
      </c>
      <c r="E4287" s="4" t="str">
        <f>"-"</f>
        <v>-</v>
      </c>
      <c r="F4287" s="4" t="s">
        <v>1034</v>
      </c>
    </row>
    <row r="4288" spans="1:6" x14ac:dyDescent="0.25">
      <c r="A4288" s="4" t="str">
        <f>"Risk Analysis"</f>
        <v>Risk Analysis</v>
      </c>
      <c r="B4288" s="4" t="s">
        <v>6</v>
      </c>
      <c r="C4288" s="4" t="str">
        <f t="shared" si="156"/>
        <v>-</v>
      </c>
      <c r="D4288" s="4" t="str">
        <f>"02724332"</f>
        <v>02724332</v>
      </c>
      <c r="E4288" s="4" t="str">
        <f>"15396924"</f>
        <v>15396924</v>
      </c>
      <c r="F4288" s="4" t="s">
        <v>291</v>
      </c>
    </row>
    <row r="4289" spans="1:6" x14ac:dyDescent="0.25">
      <c r="A4289" s="4" t="str">
        <f>"Risk-Based Decision Making in Water Resources, Proceedings of the Conference"</f>
        <v>Risk-Based Decision Making in Water Resources, Proceedings of the Conference</v>
      </c>
      <c r="B4289" s="4" t="s">
        <v>8</v>
      </c>
      <c r="C4289" s="4" t="str">
        <f t="shared" si="156"/>
        <v>-</v>
      </c>
      <c r="D4289" s="4" t="str">
        <f>"-"</f>
        <v>-</v>
      </c>
      <c r="E4289" s="4" t="str">
        <f>"-"</f>
        <v>-</v>
      </c>
      <c r="F4289" s="4" t="s">
        <v>111</v>
      </c>
    </row>
    <row r="4290" spans="1:6" x14ac:dyDescent="0.25">
      <c r="A4290" s="4" t="str">
        <f>"RISTI - Revista Iberica de Sistemas e Tecnologias de Informacao"</f>
        <v>RISTI - Revista Iberica de Sistemas e Tecnologias de Informacao</v>
      </c>
      <c r="B4290" s="4" t="s">
        <v>6</v>
      </c>
      <c r="C4290" s="4" t="str">
        <f t="shared" si="156"/>
        <v>-</v>
      </c>
      <c r="D4290" s="4" t="str">
        <f>"16469895"</f>
        <v>16469895</v>
      </c>
      <c r="E4290" s="4" t="str">
        <f>"-"</f>
        <v>-</v>
      </c>
      <c r="F4290" s="4" t="s">
        <v>1035</v>
      </c>
    </row>
    <row r="4291" spans="1:6" x14ac:dyDescent="0.25">
      <c r="A4291" s="4" t="str">
        <f>"Rivista Italiana della Saldatura"</f>
        <v>Rivista Italiana della Saldatura</v>
      </c>
      <c r="B4291" s="4" t="s">
        <v>6</v>
      </c>
      <c r="C4291" s="4" t="str">
        <f t="shared" si="156"/>
        <v>-</v>
      </c>
      <c r="D4291" s="4" t="str">
        <f>"00356794"</f>
        <v>00356794</v>
      </c>
      <c r="E4291" s="4" t="str">
        <f>"-"</f>
        <v>-</v>
      </c>
      <c r="F4291" s="4" t="s">
        <v>1036</v>
      </c>
    </row>
    <row r="4292" spans="1:6" x14ac:dyDescent="0.25">
      <c r="A4292" s="4" t="str">
        <f>"Road and Transport Research"</f>
        <v>Road and Transport Research</v>
      </c>
      <c r="B4292" s="4" t="s">
        <v>6</v>
      </c>
      <c r="C4292" s="4" t="str">
        <f t="shared" si="156"/>
        <v>-</v>
      </c>
      <c r="D4292" s="4" t="str">
        <f>"10375783"</f>
        <v>10375783</v>
      </c>
      <c r="E4292" s="4" t="str">
        <f>"-"</f>
        <v>-</v>
      </c>
      <c r="F4292" s="4" t="s">
        <v>950</v>
      </c>
    </row>
    <row r="4293" spans="1:6" x14ac:dyDescent="0.25">
      <c r="A4293" s="4" t="str">
        <f>"Road Materials and Pavement Design"</f>
        <v>Road Materials and Pavement Design</v>
      </c>
      <c r="B4293" s="4" t="s">
        <v>6</v>
      </c>
      <c r="C4293" s="4" t="str">
        <f t="shared" si="156"/>
        <v>-</v>
      </c>
      <c r="D4293" s="4" t="str">
        <f>"14680629"</f>
        <v>14680629</v>
      </c>
      <c r="E4293" s="4" t="str">
        <f>"21647402"</f>
        <v>21647402</v>
      </c>
      <c r="F4293" s="4" t="s">
        <v>60</v>
      </c>
    </row>
    <row r="4294" spans="1:6" x14ac:dyDescent="0.25">
      <c r="A4294" s="4" t="str">
        <f>"Robotica"</f>
        <v>Robotica</v>
      </c>
      <c r="B4294" s="4" t="s">
        <v>6</v>
      </c>
      <c r="C4294" s="4" t="str">
        <f t="shared" si="156"/>
        <v>-</v>
      </c>
      <c r="D4294" s="4" t="str">
        <f>"02635747"</f>
        <v>02635747</v>
      </c>
      <c r="E4294" s="4" t="str">
        <f>"14698668"</f>
        <v>14698668</v>
      </c>
      <c r="F4294" s="4" t="s">
        <v>152</v>
      </c>
    </row>
    <row r="4295" spans="1:6" x14ac:dyDescent="0.25">
      <c r="A4295" s="4" t="str">
        <f>"Robotics and Autonomous Systems"</f>
        <v>Robotics and Autonomous Systems</v>
      </c>
      <c r="B4295" s="4" t="s">
        <v>6</v>
      </c>
      <c r="C4295" s="4" t="str">
        <f t="shared" si="156"/>
        <v>-</v>
      </c>
      <c r="D4295" s="4" t="str">
        <f>"09218890"</f>
        <v>09218890</v>
      </c>
      <c r="E4295" s="4" t="str">
        <f>"-"</f>
        <v>-</v>
      </c>
      <c r="F4295" s="4" t="s">
        <v>55</v>
      </c>
    </row>
    <row r="4296" spans="1:6" x14ac:dyDescent="0.25">
      <c r="A4296" s="4" t="str">
        <f>"Robotics and Computer-Integrated Manufacturing"</f>
        <v>Robotics and Computer-Integrated Manufacturing</v>
      </c>
      <c r="B4296" s="4" t="s">
        <v>6</v>
      </c>
      <c r="C4296" s="4" t="str">
        <f t="shared" si="156"/>
        <v>-</v>
      </c>
      <c r="D4296" s="4" t="str">
        <f>"07365845"</f>
        <v>07365845</v>
      </c>
      <c r="E4296" s="4" t="str">
        <f>"-"</f>
        <v>-</v>
      </c>
      <c r="F4296" s="4" t="s">
        <v>19</v>
      </c>
    </row>
    <row r="4297" spans="1:6" x14ac:dyDescent="0.25">
      <c r="A4297" s="4" t="str">
        <f>"Rock Mechanics and Rock Engineering"</f>
        <v>Rock Mechanics and Rock Engineering</v>
      </c>
      <c r="B4297" s="4" t="s">
        <v>6</v>
      </c>
      <c r="C4297" s="4" t="str">
        <f t="shared" si="156"/>
        <v>-</v>
      </c>
      <c r="D4297" s="4" t="str">
        <f>"07232632"</f>
        <v>07232632</v>
      </c>
      <c r="E4297" s="4" t="str">
        <f>"-"</f>
        <v>-</v>
      </c>
      <c r="F4297" s="4" t="s">
        <v>43</v>
      </c>
    </row>
    <row r="4298" spans="1:6" x14ac:dyDescent="0.25">
      <c r="A4298" s="4" t="str">
        <f>"Romanian Review Precision Mechanics, Optics and Mechatronics"</f>
        <v>Romanian Review Precision Mechanics, Optics and Mechatronics</v>
      </c>
      <c r="B4298" s="4" t="s">
        <v>6</v>
      </c>
      <c r="C4298" s="4" t="str">
        <f t="shared" si="156"/>
        <v>-</v>
      </c>
      <c r="D4298" s="4" t="str">
        <f>"15845982"</f>
        <v>15845982</v>
      </c>
      <c r="E4298" s="4" t="str">
        <f>"-"</f>
        <v>-</v>
      </c>
      <c r="F4298" s="4" t="s">
        <v>1037</v>
      </c>
    </row>
    <row r="4299" spans="1:6" x14ac:dyDescent="0.25">
      <c r="A4299" s="4" t="str">
        <f>"RSC Advances"</f>
        <v>RSC Advances</v>
      </c>
      <c r="B4299" s="4" t="s">
        <v>6</v>
      </c>
      <c r="C4299" s="4" t="str">
        <f t="shared" si="156"/>
        <v>-</v>
      </c>
      <c r="D4299" s="4" t="str">
        <f>"-"</f>
        <v>-</v>
      </c>
      <c r="E4299" s="4" t="str">
        <f>"20462069"</f>
        <v>20462069</v>
      </c>
      <c r="F4299" s="4" t="s">
        <v>121</v>
      </c>
    </row>
    <row r="4300" spans="1:6" x14ac:dyDescent="0.25">
      <c r="A4300" s="4" t="str">
        <f>"RSC Smart Materials"</f>
        <v>RSC Smart Materials</v>
      </c>
      <c r="B4300" s="4" t="s">
        <v>29</v>
      </c>
      <c r="C4300" s="4" t="str">
        <f t="shared" si="156"/>
        <v>-</v>
      </c>
      <c r="D4300" s="4" t="str">
        <f>"20460066"</f>
        <v>20460066</v>
      </c>
      <c r="E4300" s="4" t="str">
        <f>"20460074"</f>
        <v>20460074</v>
      </c>
      <c r="F4300" s="4" t="s">
        <v>121</v>
      </c>
    </row>
    <row r="4301" spans="1:6" x14ac:dyDescent="0.25">
      <c r="A4301" s="4" t="str">
        <f>"Ruan Jian Xue Bao/Journal of Software"</f>
        <v>Ruan Jian Xue Bao/Journal of Software</v>
      </c>
      <c r="B4301" s="4" t="s">
        <v>6</v>
      </c>
      <c r="C4301" s="4" t="str">
        <f t="shared" si="156"/>
        <v>-</v>
      </c>
      <c r="D4301" s="4" t="str">
        <f>"10009825"</f>
        <v>10009825</v>
      </c>
      <c r="E4301" s="4" t="str">
        <f t="shared" ref="E4301:E4306" si="157">"-"</f>
        <v>-</v>
      </c>
      <c r="F4301" s="4" t="s">
        <v>412</v>
      </c>
    </row>
    <row r="4302" spans="1:6" x14ac:dyDescent="0.25">
      <c r="A4302" s="4" t="str">
        <f>"Rubber Chemistry and Technology"</f>
        <v>Rubber Chemistry and Technology</v>
      </c>
      <c r="B4302" s="4" t="s">
        <v>6</v>
      </c>
      <c r="C4302" s="4" t="str">
        <f t="shared" si="156"/>
        <v>-</v>
      </c>
      <c r="D4302" s="4" t="str">
        <f>"00359475"</f>
        <v>00359475</v>
      </c>
      <c r="E4302" s="4" t="str">
        <f t="shared" si="157"/>
        <v>-</v>
      </c>
      <c r="F4302" s="4" t="s">
        <v>1038</v>
      </c>
    </row>
    <row r="4303" spans="1:6" x14ac:dyDescent="0.25">
      <c r="A4303" s="4" t="str">
        <f>"Rubber World"</f>
        <v>Rubber World</v>
      </c>
      <c r="B4303" s="4" t="s">
        <v>6</v>
      </c>
      <c r="C4303" s="4" t="str">
        <f t="shared" si="156"/>
        <v>-</v>
      </c>
      <c r="D4303" s="4" t="str">
        <f>"00359572"</f>
        <v>00359572</v>
      </c>
      <c r="E4303" s="4" t="str">
        <f t="shared" si="157"/>
        <v>-</v>
      </c>
      <c r="F4303" s="4" t="s">
        <v>1039</v>
      </c>
    </row>
    <row r="4304" spans="1:6" x14ac:dyDescent="0.25">
      <c r="A4304" s="4" t="str">
        <f>"Rudarsko Geolosko Naftni Zbornik"</f>
        <v>Rudarsko Geolosko Naftni Zbornik</v>
      </c>
      <c r="B4304" s="4" t="s">
        <v>6</v>
      </c>
      <c r="C4304" s="4" t="str">
        <f t="shared" si="156"/>
        <v>-</v>
      </c>
      <c r="D4304" s="4" t="str">
        <f>"03534529"</f>
        <v>03534529</v>
      </c>
      <c r="E4304" s="4" t="str">
        <f t="shared" si="157"/>
        <v>-</v>
      </c>
      <c r="F4304" s="4" t="s">
        <v>311</v>
      </c>
    </row>
    <row r="4305" spans="1:6" x14ac:dyDescent="0.25">
      <c r="A4305" s="4" t="str">
        <f>"Russian Aeronautics"</f>
        <v>Russian Aeronautics</v>
      </c>
      <c r="B4305" s="4" t="s">
        <v>6</v>
      </c>
      <c r="C4305" s="4" t="str">
        <f t="shared" si="156"/>
        <v>-</v>
      </c>
      <c r="D4305" s="4" t="str">
        <f>"10687998"</f>
        <v>10687998</v>
      </c>
      <c r="E4305" s="4" t="str">
        <f t="shared" si="157"/>
        <v>-</v>
      </c>
      <c r="F4305" s="4" t="s">
        <v>145</v>
      </c>
    </row>
    <row r="4306" spans="1:6" x14ac:dyDescent="0.25">
      <c r="A4306" s="4" t="str">
        <f>"Russian Electrical Engineering"</f>
        <v>Russian Electrical Engineering</v>
      </c>
      <c r="B4306" s="4" t="s">
        <v>6</v>
      </c>
      <c r="C4306" s="4" t="str">
        <f t="shared" si="156"/>
        <v>-</v>
      </c>
      <c r="D4306" s="4" t="str">
        <f>"10683712"</f>
        <v>10683712</v>
      </c>
      <c r="E4306" s="4" t="str">
        <f t="shared" si="157"/>
        <v>-</v>
      </c>
      <c r="F4306" s="4" t="s">
        <v>145</v>
      </c>
    </row>
    <row r="4307" spans="1:6" x14ac:dyDescent="0.25">
      <c r="A4307" s="4" t="str">
        <f>"Russian Engineering Research"</f>
        <v>Russian Engineering Research</v>
      </c>
      <c r="B4307" s="4" t="s">
        <v>6</v>
      </c>
      <c r="C4307" s="4" t="str">
        <f t="shared" si="156"/>
        <v>-</v>
      </c>
      <c r="D4307" s="4" t="str">
        <f>"1068798X"</f>
        <v>1068798X</v>
      </c>
      <c r="E4307" s="4" t="str">
        <f>"19348088"</f>
        <v>19348088</v>
      </c>
      <c r="F4307" s="4" t="s">
        <v>145</v>
      </c>
    </row>
    <row r="4308" spans="1:6" x14ac:dyDescent="0.25">
      <c r="A4308" s="4" t="str">
        <f>"Russian Journal of Coordination Chemistry/Koordinatsionnaya Khimiya"</f>
        <v>Russian Journal of Coordination Chemistry/Koordinatsionnaya Khimiya</v>
      </c>
      <c r="B4308" s="4" t="s">
        <v>6</v>
      </c>
      <c r="C4308" s="4" t="str">
        <f t="shared" si="156"/>
        <v>-</v>
      </c>
      <c r="D4308" s="4" t="str">
        <f>"10703284"</f>
        <v>10703284</v>
      </c>
      <c r="E4308" s="4" t="str">
        <f>"-"</f>
        <v>-</v>
      </c>
      <c r="F4308" s="4" t="s">
        <v>171</v>
      </c>
    </row>
    <row r="4309" spans="1:6" x14ac:dyDescent="0.25">
      <c r="A4309" s="4" t="str">
        <f>"Russian Journal of Electrochemistry"</f>
        <v>Russian Journal of Electrochemistry</v>
      </c>
      <c r="B4309" s="4" t="s">
        <v>6</v>
      </c>
      <c r="C4309" s="4" t="str">
        <f t="shared" si="156"/>
        <v>-</v>
      </c>
      <c r="D4309" s="4" t="str">
        <f>"10231935"</f>
        <v>10231935</v>
      </c>
      <c r="E4309" s="4" t="str">
        <f>"16083342"</f>
        <v>16083342</v>
      </c>
      <c r="F4309" s="4" t="s">
        <v>171</v>
      </c>
    </row>
    <row r="4310" spans="1:6" x14ac:dyDescent="0.25">
      <c r="A4310" s="4" t="str">
        <f>"Russian Journal of Inorganic Chemistry"</f>
        <v>Russian Journal of Inorganic Chemistry</v>
      </c>
      <c r="B4310" s="4" t="s">
        <v>6</v>
      </c>
      <c r="C4310" s="4" t="str">
        <f t="shared" si="156"/>
        <v>-</v>
      </c>
      <c r="D4310" s="4" t="str">
        <f>"00360236"</f>
        <v>00360236</v>
      </c>
      <c r="E4310" s="4" t="str">
        <f>"-"</f>
        <v>-</v>
      </c>
      <c r="F4310" s="4" t="s">
        <v>24</v>
      </c>
    </row>
    <row r="4311" spans="1:6" x14ac:dyDescent="0.25">
      <c r="A4311" s="4" t="str">
        <f>"Russian Journal of Nondestructive Testing"</f>
        <v>Russian Journal of Nondestructive Testing</v>
      </c>
      <c r="B4311" s="4" t="s">
        <v>6</v>
      </c>
      <c r="C4311" s="4" t="str">
        <f t="shared" si="156"/>
        <v>-</v>
      </c>
      <c r="D4311" s="4" t="str">
        <f>"10618309"</f>
        <v>10618309</v>
      </c>
      <c r="E4311" s="4" t="str">
        <f>"16083385"</f>
        <v>16083385</v>
      </c>
      <c r="F4311" s="4" t="s">
        <v>171</v>
      </c>
    </row>
    <row r="4312" spans="1:6" x14ac:dyDescent="0.25">
      <c r="A4312" s="4" t="str">
        <f>"Russian Journal of Non-Ferrous Metals"</f>
        <v>Russian Journal of Non-Ferrous Metals</v>
      </c>
      <c r="B4312" s="4" t="s">
        <v>6</v>
      </c>
      <c r="C4312" s="4" t="str">
        <f t="shared" si="156"/>
        <v>-</v>
      </c>
      <c r="D4312" s="4" t="str">
        <f>"10678212"</f>
        <v>10678212</v>
      </c>
      <c r="E4312" s="4" t="str">
        <f>"1934970X"</f>
        <v>1934970X</v>
      </c>
      <c r="F4312" s="4" t="s">
        <v>145</v>
      </c>
    </row>
    <row r="4313" spans="1:6" x14ac:dyDescent="0.25">
      <c r="A4313" s="4" t="str">
        <f>"Russian Journal of Numerical Analysis and Mathematical Modelling"</f>
        <v>Russian Journal of Numerical Analysis and Mathematical Modelling</v>
      </c>
      <c r="B4313" s="4" t="s">
        <v>6</v>
      </c>
      <c r="C4313" s="4" t="str">
        <f t="shared" si="156"/>
        <v>-</v>
      </c>
      <c r="D4313" s="4" t="str">
        <f>"09276467"</f>
        <v>09276467</v>
      </c>
      <c r="E4313" s="4" t="str">
        <f>"15693988"</f>
        <v>15693988</v>
      </c>
      <c r="F4313" s="4" t="s">
        <v>189</v>
      </c>
    </row>
    <row r="4314" spans="1:6" x14ac:dyDescent="0.25">
      <c r="A4314" s="4" t="str">
        <f>"Russian Journal of Physical Chemistry A"</f>
        <v>Russian Journal of Physical Chemistry A</v>
      </c>
      <c r="B4314" s="4" t="s">
        <v>6</v>
      </c>
      <c r="C4314" s="4" t="str">
        <f t="shared" si="156"/>
        <v>-</v>
      </c>
      <c r="D4314" s="4" t="str">
        <f>"00360244"</f>
        <v>00360244</v>
      </c>
      <c r="E4314" s="4" t="str">
        <f>"-"</f>
        <v>-</v>
      </c>
      <c r="F4314" s="4" t="s">
        <v>24</v>
      </c>
    </row>
    <row r="4315" spans="1:6" x14ac:dyDescent="0.25">
      <c r="A4315" s="4" t="str">
        <f>"Russian Metallurgy (Metally)"</f>
        <v>Russian Metallurgy (Metally)</v>
      </c>
      <c r="B4315" s="4" t="s">
        <v>6</v>
      </c>
      <c r="C4315" s="4" t="str">
        <f t="shared" si="156"/>
        <v>-</v>
      </c>
      <c r="D4315" s="4" t="str">
        <f>"00360295"</f>
        <v>00360295</v>
      </c>
      <c r="E4315" s="4" t="str">
        <f>"15556255"</f>
        <v>15556255</v>
      </c>
      <c r="F4315" s="4" t="s">
        <v>24</v>
      </c>
    </row>
    <row r="4316" spans="1:6" x14ac:dyDescent="0.25">
      <c r="A4316" s="4" t="str">
        <f>"Russian Meteorology and Hydrology"</f>
        <v>Russian Meteorology and Hydrology</v>
      </c>
      <c r="B4316" s="4" t="s">
        <v>6</v>
      </c>
      <c r="C4316" s="4" t="str">
        <f t="shared" si="156"/>
        <v>-</v>
      </c>
      <c r="D4316" s="4" t="str">
        <f>"10683739"</f>
        <v>10683739</v>
      </c>
      <c r="E4316" s="4" t="str">
        <f>"-"</f>
        <v>-</v>
      </c>
      <c r="F4316" s="4" t="s">
        <v>145</v>
      </c>
    </row>
    <row r="4317" spans="1:6" x14ac:dyDescent="0.25">
      <c r="A4317" s="4" t="str">
        <f>"Russian Microelectronics"</f>
        <v>Russian Microelectronics</v>
      </c>
      <c r="B4317" s="4" t="s">
        <v>6</v>
      </c>
      <c r="C4317" s="4" t="str">
        <f t="shared" si="156"/>
        <v>-</v>
      </c>
      <c r="D4317" s="4" t="str">
        <f>"10637397"</f>
        <v>10637397</v>
      </c>
      <c r="E4317" s="4" t="str">
        <f>"-"</f>
        <v>-</v>
      </c>
      <c r="F4317" s="4" t="s">
        <v>171</v>
      </c>
    </row>
    <row r="4318" spans="1:6" x14ac:dyDescent="0.25">
      <c r="A4318" s="4" t="str">
        <f>"Sadhana - Academy Proceedings in Engineering Sciences"</f>
        <v>Sadhana - Academy Proceedings in Engineering Sciences</v>
      </c>
      <c r="B4318" s="4" t="s">
        <v>6</v>
      </c>
      <c r="C4318" s="4" t="str">
        <f t="shared" si="156"/>
        <v>-</v>
      </c>
      <c r="D4318" s="4" t="str">
        <f>"02562499"</f>
        <v>02562499</v>
      </c>
      <c r="E4318" s="4" t="str">
        <f>"09737677"</f>
        <v>09737677</v>
      </c>
      <c r="F4318" s="4" t="s">
        <v>101</v>
      </c>
    </row>
    <row r="4319" spans="1:6" x14ac:dyDescent="0.25">
      <c r="A4319" s="4" t="str">
        <f>"SAE International Journal of Aerospace"</f>
        <v>SAE International Journal of Aerospace</v>
      </c>
      <c r="B4319" s="4" t="s">
        <v>6</v>
      </c>
      <c r="C4319" s="4" t="str">
        <f t="shared" si="156"/>
        <v>-</v>
      </c>
      <c r="D4319" s="4" t="str">
        <f>"19463855"</f>
        <v>19463855</v>
      </c>
      <c r="E4319" s="4" t="str">
        <f>"19463901"</f>
        <v>19463901</v>
      </c>
      <c r="F4319" s="4" t="s">
        <v>1040</v>
      </c>
    </row>
    <row r="4320" spans="1:6" x14ac:dyDescent="0.25">
      <c r="A4320" s="4" t="str">
        <f>"SAE International Journal of Alternative Powertrains"</f>
        <v>SAE International Journal of Alternative Powertrains</v>
      </c>
      <c r="B4320" s="4" t="s">
        <v>6</v>
      </c>
      <c r="C4320" s="4" t="str">
        <f t="shared" ref="C4320:C4344" si="158">"-"</f>
        <v>-</v>
      </c>
      <c r="D4320" s="4" t="str">
        <f>"21674191"</f>
        <v>21674191</v>
      </c>
      <c r="E4320" s="4" t="str">
        <f>"21674205"</f>
        <v>21674205</v>
      </c>
      <c r="F4320" s="4" t="s">
        <v>1040</v>
      </c>
    </row>
    <row r="4321" spans="1:6" x14ac:dyDescent="0.25">
      <c r="A4321" s="4" t="str">
        <f>"SAE International Journal of Commercial Vehicles"</f>
        <v>SAE International Journal of Commercial Vehicles</v>
      </c>
      <c r="B4321" s="4" t="s">
        <v>6</v>
      </c>
      <c r="C4321" s="4" t="str">
        <f t="shared" si="158"/>
        <v>-</v>
      </c>
      <c r="D4321" s="4" t="str">
        <f>"1946391X"</f>
        <v>1946391X</v>
      </c>
      <c r="E4321" s="4" t="str">
        <f>"19463928"</f>
        <v>19463928</v>
      </c>
      <c r="F4321" s="4" t="s">
        <v>1040</v>
      </c>
    </row>
    <row r="4322" spans="1:6" x14ac:dyDescent="0.25">
      <c r="A4322" s="4" t="str">
        <f>"SAE International Journal of Engines"</f>
        <v>SAE International Journal of Engines</v>
      </c>
      <c r="B4322" s="4" t="s">
        <v>6</v>
      </c>
      <c r="C4322" s="4" t="str">
        <f t="shared" si="158"/>
        <v>-</v>
      </c>
      <c r="D4322" s="4" t="str">
        <f>"19463936"</f>
        <v>19463936</v>
      </c>
      <c r="E4322" s="4" t="str">
        <f>"19463944"</f>
        <v>19463944</v>
      </c>
      <c r="F4322" s="4" t="s">
        <v>1040</v>
      </c>
    </row>
    <row r="4323" spans="1:6" x14ac:dyDescent="0.25">
      <c r="A4323" s="4" t="str">
        <f>"SAE International Journal of Fuels and Lubricants"</f>
        <v>SAE International Journal of Fuels and Lubricants</v>
      </c>
      <c r="B4323" s="4" t="s">
        <v>6</v>
      </c>
      <c r="C4323" s="4" t="str">
        <f t="shared" si="158"/>
        <v>-</v>
      </c>
      <c r="D4323" s="4" t="str">
        <f>"19463952"</f>
        <v>19463952</v>
      </c>
      <c r="E4323" s="4" t="str">
        <f>"19463960"</f>
        <v>19463960</v>
      </c>
      <c r="F4323" s="4" t="s">
        <v>1040</v>
      </c>
    </row>
    <row r="4324" spans="1:6" x14ac:dyDescent="0.25">
      <c r="A4324" s="4" t="str">
        <f>"SAE International Journal of Materials and Manufacturing"</f>
        <v>SAE International Journal of Materials and Manufacturing</v>
      </c>
      <c r="B4324" s="4" t="s">
        <v>6</v>
      </c>
      <c r="C4324" s="4" t="str">
        <f t="shared" si="158"/>
        <v>-</v>
      </c>
      <c r="D4324" s="4" t="str">
        <f>"19463979"</f>
        <v>19463979</v>
      </c>
      <c r="E4324" s="4" t="str">
        <f>"19463987"</f>
        <v>19463987</v>
      </c>
      <c r="F4324" s="4" t="s">
        <v>1040</v>
      </c>
    </row>
    <row r="4325" spans="1:6" x14ac:dyDescent="0.25">
      <c r="A4325" s="4" t="str">
        <f>"SAE International Journal of Passenger Cars - Electronic and Electrical Systems"</f>
        <v>SAE International Journal of Passenger Cars - Electronic and Electrical Systems</v>
      </c>
      <c r="B4325" s="4" t="s">
        <v>6</v>
      </c>
      <c r="C4325" s="4" t="str">
        <f t="shared" si="158"/>
        <v>-</v>
      </c>
      <c r="D4325" s="4" t="str">
        <f>"19464614"</f>
        <v>19464614</v>
      </c>
      <c r="E4325" s="4" t="str">
        <f>"19464622"</f>
        <v>19464622</v>
      </c>
      <c r="F4325" s="4" t="s">
        <v>1040</v>
      </c>
    </row>
    <row r="4326" spans="1:6" x14ac:dyDescent="0.25">
      <c r="A4326" s="4" t="str">
        <f>"SAE International Journal of Passenger Cars - Mechanical Systems"</f>
        <v>SAE International Journal of Passenger Cars - Mechanical Systems</v>
      </c>
      <c r="B4326" s="4" t="s">
        <v>6</v>
      </c>
      <c r="C4326" s="4" t="str">
        <f t="shared" si="158"/>
        <v>-</v>
      </c>
      <c r="D4326" s="4" t="str">
        <f>"19463995"</f>
        <v>19463995</v>
      </c>
      <c r="E4326" s="4" t="str">
        <f>"19464002"</f>
        <v>19464002</v>
      </c>
      <c r="F4326" s="4" t="s">
        <v>1040</v>
      </c>
    </row>
    <row r="4327" spans="1:6" x14ac:dyDescent="0.25">
      <c r="A4327" s="4" t="str">
        <f>"SAE International Journal of Transportation Safety"</f>
        <v>SAE International Journal of Transportation Safety</v>
      </c>
      <c r="B4327" s="4" t="s">
        <v>6</v>
      </c>
      <c r="C4327" s="4" t="str">
        <f t="shared" si="158"/>
        <v>-</v>
      </c>
      <c r="D4327" s="4" t="str">
        <f>"23275626"</f>
        <v>23275626</v>
      </c>
      <c r="E4327" s="4" t="str">
        <f>"23275634"</f>
        <v>23275634</v>
      </c>
      <c r="F4327" s="4" t="s">
        <v>1040</v>
      </c>
    </row>
    <row r="4328" spans="1:6" x14ac:dyDescent="0.25">
      <c r="A4328" s="4" t="str">
        <f>"SAE Technical Papers"</f>
        <v>SAE Technical Papers</v>
      </c>
      <c r="B4328" s="4" t="s">
        <v>6</v>
      </c>
      <c r="C4328" s="4" t="str">
        <f t="shared" si="158"/>
        <v>-</v>
      </c>
      <c r="D4328" s="4" t="str">
        <f>"-"</f>
        <v>-</v>
      </c>
      <c r="E4328" s="4" t="str">
        <f>"-"</f>
        <v>-</v>
      </c>
      <c r="F4328" s="4" t="s">
        <v>1040</v>
      </c>
    </row>
    <row r="4329" spans="1:6" x14ac:dyDescent="0.25">
      <c r="A4329" s="4" t="str">
        <f>"Safety Science"</f>
        <v>Safety Science</v>
      </c>
      <c r="B4329" s="4" t="s">
        <v>6</v>
      </c>
      <c r="C4329" s="4" t="str">
        <f t="shared" si="158"/>
        <v>-</v>
      </c>
      <c r="D4329" s="4" t="str">
        <f>"09257535"</f>
        <v>09257535</v>
      </c>
      <c r="E4329" s="4" t="str">
        <f>"18791042"</f>
        <v>18791042</v>
      </c>
      <c r="F4329" s="4" t="s">
        <v>55</v>
      </c>
    </row>
    <row r="4330" spans="1:6" x14ac:dyDescent="0.25">
      <c r="A4330" s="4" t="str">
        <f>"SAIEE Africa Research Journal"</f>
        <v>SAIEE Africa Research Journal</v>
      </c>
      <c r="B4330" s="4" t="s">
        <v>6</v>
      </c>
      <c r="C4330" s="4" t="str">
        <f t="shared" si="158"/>
        <v>-</v>
      </c>
      <c r="D4330" s="4" t="str">
        <f>"00382221"</f>
        <v>00382221</v>
      </c>
      <c r="E4330" s="4" t="str">
        <f>"-"</f>
        <v>-</v>
      </c>
      <c r="F4330" s="4" t="s">
        <v>1041</v>
      </c>
    </row>
    <row r="4331" spans="1:6" x14ac:dyDescent="0.25">
      <c r="A4331" s="4" t="str">
        <f>"SAMPE Journal"</f>
        <v>SAMPE Journal</v>
      </c>
      <c r="B4331" s="4" t="s">
        <v>6</v>
      </c>
      <c r="C4331" s="4" t="str">
        <f t="shared" si="158"/>
        <v>-</v>
      </c>
      <c r="D4331" s="4" t="str">
        <f>"00911062"</f>
        <v>00911062</v>
      </c>
      <c r="E4331" s="4" t="str">
        <f>"-"</f>
        <v>-</v>
      </c>
      <c r="F4331" s="4" t="s">
        <v>610</v>
      </c>
    </row>
    <row r="4332" spans="1:6" x14ac:dyDescent="0.25">
      <c r="A4332" s="4" t="str">
        <f>"SBM: Sketch Based Interfaces and Modeling"</f>
        <v>SBM: Sketch Based Interfaces and Modeling</v>
      </c>
      <c r="B4332" s="4" t="s">
        <v>8</v>
      </c>
      <c r="C4332" s="4" t="str">
        <f t="shared" si="158"/>
        <v>-</v>
      </c>
      <c r="D4332" s="4" t="str">
        <f>"18123503"</f>
        <v>18123503</v>
      </c>
      <c r="E4332" s="4" t="str">
        <f>"-"</f>
        <v>-</v>
      </c>
      <c r="F4332" s="4" t="s">
        <v>23</v>
      </c>
    </row>
    <row r="4333" spans="1:6" x14ac:dyDescent="0.25">
      <c r="A4333" s="4" t="str">
        <f>"SBMO/IEEE MTT-S International Microwave and Optoelectronics Conference Proceedings"</f>
        <v>SBMO/IEEE MTT-S International Microwave and Optoelectronics Conference Proceedings</v>
      </c>
      <c r="B4333" s="4" t="s">
        <v>8</v>
      </c>
      <c r="C4333" s="4" t="str">
        <f t="shared" si="158"/>
        <v>-</v>
      </c>
      <c r="D4333" s="4" t="str">
        <f>"-"</f>
        <v>-</v>
      </c>
      <c r="E4333" s="4" t="str">
        <f>"-"</f>
        <v>-</v>
      </c>
      <c r="F4333" s="4" t="s">
        <v>105</v>
      </c>
    </row>
    <row r="4334" spans="1:6" x14ac:dyDescent="0.25">
      <c r="A4334" s="4" t="str">
        <f>"Scalable Computing"</f>
        <v>Scalable Computing</v>
      </c>
      <c r="B4334" s="4" t="s">
        <v>6</v>
      </c>
      <c r="C4334" s="4" t="str">
        <f t="shared" si="158"/>
        <v>-</v>
      </c>
      <c r="D4334" s="4" t="str">
        <f>"18951767"</f>
        <v>18951767</v>
      </c>
      <c r="E4334" s="4" t="str">
        <f>"-"</f>
        <v>-</v>
      </c>
      <c r="F4334" s="4" t="s">
        <v>1042</v>
      </c>
    </row>
    <row r="4335" spans="1:6" x14ac:dyDescent="0.25">
      <c r="A4335" s="4" t="str">
        <f>"Scandinavian Journal of Forest Research"</f>
        <v>Scandinavian Journal of Forest Research</v>
      </c>
      <c r="B4335" s="4" t="s">
        <v>6</v>
      </c>
      <c r="C4335" s="4" t="str">
        <f t="shared" si="158"/>
        <v>-</v>
      </c>
      <c r="D4335" s="4" t="str">
        <f>"02827581"</f>
        <v>02827581</v>
      </c>
      <c r="E4335" s="4" t="str">
        <f>"16511891"</f>
        <v>16511891</v>
      </c>
      <c r="F4335" s="4" t="s">
        <v>1043</v>
      </c>
    </row>
    <row r="4336" spans="1:6" x14ac:dyDescent="0.25">
      <c r="A4336" s="4" t="str">
        <f>"Scanning"</f>
        <v>Scanning</v>
      </c>
      <c r="B4336" s="4" t="s">
        <v>6</v>
      </c>
      <c r="C4336" s="4" t="str">
        <f t="shared" si="158"/>
        <v>-</v>
      </c>
      <c r="D4336" s="4" t="str">
        <f>"01610457"</f>
        <v>01610457</v>
      </c>
      <c r="E4336" s="4" t="str">
        <f>"19328745"</f>
        <v>19328745</v>
      </c>
      <c r="F4336" s="4" t="s">
        <v>87</v>
      </c>
    </row>
    <row r="4337" spans="1:6" x14ac:dyDescent="0.25">
      <c r="A4337" s="4" t="str">
        <f>"Science and Engineering of Composite Materials"</f>
        <v>Science and Engineering of Composite Materials</v>
      </c>
      <c r="B4337" s="4" t="s">
        <v>6</v>
      </c>
      <c r="C4337" s="4" t="str">
        <f t="shared" si="158"/>
        <v>-</v>
      </c>
      <c r="D4337" s="4" t="str">
        <f>"0334181X"</f>
        <v>0334181X</v>
      </c>
      <c r="E4337" s="4" t="str">
        <f>"-"</f>
        <v>-</v>
      </c>
      <c r="F4337" s="4" t="s">
        <v>189</v>
      </c>
    </row>
    <row r="4338" spans="1:6" x14ac:dyDescent="0.25">
      <c r="A4338" s="4" t="str">
        <f>"Science and Global Security"</f>
        <v>Science and Global Security</v>
      </c>
      <c r="B4338" s="4" t="s">
        <v>6</v>
      </c>
      <c r="C4338" s="4" t="str">
        <f t="shared" si="158"/>
        <v>-</v>
      </c>
      <c r="D4338" s="4" t="str">
        <f>"08929882"</f>
        <v>08929882</v>
      </c>
      <c r="E4338" s="4" t="str">
        <f>"15477800"</f>
        <v>15477800</v>
      </c>
      <c r="F4338" s="4" t="s">
        <v>96</v>
      </c>
    </row>
    <row r="4339" spans="1:6" x14ac:dyDescent="0.25">
      <c r="A4339" s="4" t="str">
        <f>"Science and Technology for the Built Environment"</f>
        <v>Science and Technology for the Built Environment</v>
      </c>
      <c r="B4339" s="4" t="s">
        <v>6</v>
      </c>
      <c r="C4339" s="4" t="str">
        <f t="shared" si="158"/>
        <v>-</v>
      </c>
      <c r="D4339" s="4" t="str">
        <f>"23744731"</f>
        <v>23744731</v>
      </c>
      <c r="E4339" s="4" t="str">
        <f>"2374474X"</f>
        <v>2374474X</v>
      </c>
      <c r="F4339" s="4" t="s">
        <v>96</v>
      </c>
    </row>
    <row r="4340" spans="1:6" x14ac:dyDescent="0.25">
      <c r="A4340" s="4" t="str">
        <f>"Science and Technology Libraries"</f>
        <v>Science and Technology Libraries</v>
      </c>
      <c r="B4340" s="4" t="s">
        <v>6</v>
      </c>
      <c r="C4340" s="4" t="str">
        <f t="shared" si="158"/>
        <v>-</v>
      </c>
      <c r="D4340" s="4" t="str">
        <f>"0194262X"</f>
        <v>0194262X</v>
      </c>
      <c r="E4340" s="4" t="str">
        <f>"15411109"</f>
        <v>15411109</v>
      </c>
      <c r="F4340" s="4" t="s">
        <v>211</v>
      </c>
    </row>
    <row r="4341" spans="1:6" x14ac:dyDescent="0.25">
      <c r="A4341" s="4" t="str">
        <f>"Science and Technology of Advanced Materials"</f>
        <v>Science and Technology of Advanced Materials</v>
      </c>
      <c r="B4341" s="4" t="s">
        <v>6</v>
      </c>
      <c r="C4341" s="4" t="str">
        <f t="shared" si="158"/>
        <v>-</v>
      </c>
      <c r="D4341" s="4" t="str">
        <f>"14686996"</f>
        <v>14686996</v>
      </c>
      <c r="E4341" s="4" t="str">
        <f>"-"</f>
        <v>-</v>
      </c>
      <c r="F4341" s="4" t="s">
        <v>184</v>
      </c>
    </row>
    <row r="4342" spans="1:6" x14ac:dyDescent="0.25">
      <c r="A4342" s="4" t="str">
        <f>"Science and Technology of Energetic Materials"</f>
        <v>Science and Technology of Energetic Materials</v>
      </c>
      <c r="B4342" s="4" t="s">
        <v>6</v>
      </c>
      <c r="C4342" s="4" t="str">
        <f t="shared" si="158"/>
        <v>-</v>
      </c>
      <c r="D4342" s="4" t="str">
        <f>"13479466"</f>
        <v>13479466</v>
      </c>
      <c r="E4342" s="4" t="str">
        <f>"-"</f>
        <v>-</v>
      </c>
      <c r="F4342" s="4" t="s">
        <v>406</v>
      </c>
    </row>
    <row r="4343" spans="1:6" x14ac:dyDescent="0.25">
      <c r="A4343" s="4" t="str">
        <f>"Science and Technology of Nuclear Installations"</f>
        <v>Science and Technology of Nuclear Installations</v>
      </c>
      <c r="B4343" s="4" t="s">
        <v>6</v>
      </c>
      <c r="C4343" s="4" t="str">
        <f t="shared" si="158"/>
        <v>-</v>
      </c>
      <c r="D4343" s="4" t="str">
        <f>"16876075"</f>
        <v>16876075</v>
      </c>
      <c r="E4343" s="4" t="str">
        <f>"16876083"</f>
        <v>16876083</v>
      </c>
      <c r="F4343" s="4" t="s">
        <v>54</v>
      </c>
    </row>
    <row r="4344" spans="1:6" x14ac:dyDescent="0.25">
      <c r="A4344" s="4" t="str">
        <f>"Science and Technology of Welding and Joining"</f>
        <v>Science and Technology of Welding and Joining</v>
      </c>
      <c r="B4344" s="4" t="s">
        <v>6</v>
      </c>
      <c r="C4344" s="4" t="str">
        <f t="shared" si="158"/>
        <v>-</v>
      </c>
      <c r="D4344" s="4" t="str">
        <f>"13621718"</f>
        <v>13621718</v>
      </c>
      <c r="E4344" s="4" t="str">
        <f>"17432936"</f>
        <v>17432936</v>
      </c>
      <c r="F4344" s="4" t="s">
        <v>70</v>
      </c>
    </row>
    <row r="4345" spans="1:6" x14ac:dyDescent="0.25">
      <c r="A4345" s="4" t="s">
        <v>1044</v>
      </c>
      <c r="B4345" s="4" t="s">
        <v>6</v>
      </c>
      <c r="D4345" s="4" t="s">
        <v>1045</v>
      </c>
      <c r="E4345" s="4" t="s">
        <v>1046</v>
      </c>
      <c r="F4345" s="4" t="s">
        <v>1047</v>
      </c>
    </row>
    <row r="4346" spans="1:6" x14ac:dyDescent="0.25">
      <c r="A4346" s="4" t="str">
        <f>"Science China Chemistry"</f>
        <v>Science China Chemistry</v>
      </c>
      <c r="B4346" s="4" t="s">
        <v>6</v>
      </c>
      <c r="C4346" s="4" t="str">
        <f t="shared" ref="C4346:C4354" si="159">"-"</f>
        <v>-</v>
      </c>
      <c r="D4346" s="4" t="str">
        <f>"16747291"</f>
        <v>16747291</v>
      </c>
      <c r="E4346" s="4" t="str">
        <f>"-"</f>
        <v>-</v>
      </c>
      <c r="F4346" s="4" t="s">
        <v>1047</v>
      </c>
    </row>
    <row r="4347" spans="1:6" x14ac:dyDescent="0.25">
      <c r="A4347" s="4" t="str">
        <f>"Science China Earth Sciences"</f>
        <v>Science China Earth Sciences</v>
      </c>
      <c r="B4347" s="4" t="s">
        <v>6</v>
      </c>
      <c r="C4347" s="4" t="str">
        <f t="shared" si="159"/>
        <v>-</v>
      </c>
      <c r="D4347" s="4" t="str">
        <f>"16747313"</f>
        <v>16747313</v>
      </c>
      <c r="E4347" s="4" t="str">
        <f>"-"</f>
        <v>-</v>
      </c>
      <c r="F4347" s="4" t="s">
        <v>1047</v>
      </c>
    </row>
    <row r="4348" spans="1:6" x14ac:dyDescent="0.25">
      <c r="A4348" s="4" t="str">
        <f>"Science China Information Sciences"</f>
        <v>Science China Information Sciences</v>
      </c>
      <c r="B4348" s="4" t="s">
        <v>6</v>
      </c>
      <c r="C4348" s="4" t="str">
        <f t="shared" si="159"/>
        <v>-</v>
      </c>
      <c r="D4348" s="4" t="str">
        <f>"1674733X"</f>
        <v>1674733X</v>
      </c>
      <c r="E4348" s="4" t="str">
        <f>"-"</f>
        <v>-</v>
      </c>
      <c r="F4348" s="4" t="s">
        <v>1047</v>
      </c>
    </row>
    <row r="4349" spans="1:6" x14ac:dyDescent="0.25">
      <c r="A4349" s="4" t="str">
        <f>"Science China Technological Sciences"</f>
        <v>Science China Technological Sciences</v>
      </c>
      <c r="B4349" s="4" t="s">
        <v>6</v>
      </c>
      <c r="C4349" s="4" t="str">
        <f t="shared" si="159"/>
        <v>-</v>
      </c>
      <c r="D4349" s="4" t="str">
        <f>"16747321"</f>
        <v>16747321</v>
      </c>
      <c r="E4349" s="4" t="str">
        <f>"1862281X"</f>
        <v>1862281X</v>
      </c>
      <c r="F4349" s="4" t="s">
        <v>42</v>
      </c>
    </row>
    <row r="4350" spans="1:6" x14ac:dyDescent="0.25">
      <c r="A4350" s="4" t="str">
        <f>"Science China: Physics, Mechanics and Astronomy"</f>
        <v>Science China: Physics, Mechanics and Astronomy</v>
      </c>
      <c r="B4350" s="4" t="s">
        <v>6</v>
      </c>
      <c r="C4350" s="4" t="str">
        <f t="shared" si="159"/>
        <v>-</v>
      </c>
      <c r="D4350" s="4" t="str">
        <f>"16747348"</f>
        <v>16747348</v>
      </c>
      <c r="E4350" s="4" t="str">
        <f>"-"</f>
        <v>-</v>
      </c>
      <c r="F4350" s="4" t="s">
        <v>1047</v>
      </c>
    </row>
    <row r="4351" spans="1:6" x14ac:dyDescent="0.25">
      <c r="A4351" s="4" t="str">
        <f>"Science of Computer Programming"</f>
        <v>Science of Computer Programming</v>
      </c>
      <c r="B4351" s="4" t="s">
        <v>6</v>
      </c>
      <c r="C4351" s="4" t="str">
        <f t="shared" si="159"/>
        <v>-</v>
      </c>
      <c r="D4351" s="4" t="str">
        <f>"01676423"</f>
        <v>01676423</v>
      </c>
      <c r="E4351" s="4" t="str">
        <f>"-"</f>
        <v>-</v>
      </c>
      <c r="F4351" s="4" t="s">
        <v>55</v>
      </c>
    </row>
    <row r="4352" spans="1:6" x14ac:dyDescent="0.25">
      <c r="A4352" s="4" t="str">
        <f>"Science of the Total Environment"</f>
        <v>Science of the Total Environment</v>
      </c>
      <c r="B4352" s="4" t="s">
        <v>6</v>
      </c>
      <c r="C4352" s="4" t="str">
        <f t="shared" si="159"/>
        <v>-</v>
      </c>
      <c r="D4352" s="4" t="str">
        <f>"00489697"</f>
        <v>00489697</v>
      </c>
      <c r="E4352" s="4" t="str">
        <f>"18791026"</f>
        <v>18791026</v>
      </c>
      <c r="F4352" s="4" t="s">
        <v>55</v>
      </c>
    </row>
    <row r="4353" spans="1:6" x14ac:dyDescent="0.25">
      <c r="A4353" s="4" t="str">
        <f>"Scientia Forestalis/Forest Sciences"</f>
        <v>Scientia Forestalis/Forest Sciences</v>
      </c>
      <c r="B4353" s="4" t="s">
        <v>6</v>
      </c>
      <c r="C4353" s="4" t="str">
        <f t="shared" si="159"/>
        <v>-</v>
      </c>
      <c r="D4353" s="4" t="str">
        <f>"14139324"</f>
        <v>14139324</v>
      </c>
      <c r="E4353" s="4" t="str">
        <f>"-"</f>
        <v>-</v>
      </c>
      <c r="F4353" s="4" t="s">
        <v>1048</v>
      </c>
    </row>
    <row r="4354" spans="1:6" x14ac:dyDescent="0.25">
      <c r="A4354" s="4" t="str">
        <f>"Scientia Iranica"</f>
        <v>Scientia Iranica</v>
      </c>
      <c r="B4354" s="4" t="s">
        <v>6</v>
      </c>
      <c r="C4354" s="4" t="str">
        <f t="shared" si="159"/>
        <v>-</v>
      </c>
      <c r="D4354" s="4" t="str">
        <f>"10263098"</f>
        <v>10263098</v>
      </c>
      <c r="E4354" s="4" t="str">
        <f>"-"</f>
        <v>-</v>
      </c>
      <c r="F4354" s="4" t="s">
        <v>1049</v>
      </c>
    </row>
    <row r="4355" spans="1:6" x14ac:dyDescent="0.25">
      <c r="A4355" s="4" t="s">
        <v>1050</v>
      </c>
      <c r="B4355" s="4" t="s">
        <v>6</v>
      </c>
      <c r="D4355" s="4" t="s">
        <v>1051</v>
      </c>
      <c r="F4355" s="4" t="s">
        <v>1052</v>
      </c>
    </row>
    <row r="4356" spans="1:6" x14ac:dyDescent="0.25">
      <c r="A4356" s="4" t="s">
        <v>1053</v>
      </c>
      <c r="B4356" s="4" t="s">
        <v>6</v>
      </c>
      <c r="D4356" s="4" t="s">
        <v>1054</v>
      </c>
      <c r="F4356" s="4" t="s">
        <v>1055</v>
      </c>
    </row>
    <row r="4357" spans="1:6" x14ac:dyDescent="0.25">
      <c r="A4357" s="4" t="str">
        <f>"Scientific and Technical Information Processing"</f>
        <v>Scientific and Technical Information Processing</v>
      </c>
      <c r="B4357" s="4" t="s">
        <v>6</v>
      </c>
      <c r="C4357" s="4" t="str">
        <f t="shared" ref="C4357:C4420" si="160">"-"</f>
        <v>-</v>
      </c>
      <c r="D4357" s="4" t="str">
        <f>"01476882"</f>
        <v>01476882</v>
      </c>
      <c r="E4357" s="4" t="str">
        <f>"19348118"</f>
        <v>19348118</v>
      </c>
      <c r="F4357" s="4" t="s">
        <v>145</v>
      </c>
    </row>
    <row r="4358" spans="1:6" x14ac:dyDescent="0.25">
      <c r="A4358" s="4" t="str">
        <f>"Scientific Computing"</f>
        <v>Scientific Computing</v>
      </c>
      <c r="B4358" s="4" t="s">
        <v>22</v>
      </c>
      <c r="C4358" s="4" t="str">
        <f t="shared" si="160"/>
        <v>-</v>
      </c>
      <c r="D4358" s="4" t="str">
        <f>"19305753"</f>
        <v>19305753</v>
      </c>
      <c r="E4358" s="4" t="str">
        <f>"-"</f>
        <v>-</v>
      </c>
      <c r="F4358" s="4" t="s">
        <v>1056</v>
      </c>
    </row>
    <row r="4359" spans="1:6" x14ac:dyDescent="0.25">
      <c r="A4359" s="4" t="str">
        <f>"Scientific Drilling"</f>
        <v>Scientific Drilling</v>
      </c>
      <c r="B4359" s="4" t="s">
        <v>6</v>
      </c>
      <c r="C4359" s="4" t="str">
        <f t="shared" si="160"/>
        <v>-</v>
      </c>
      <c r="D4359" s="4" t="str">
        <f>"18168957"</f>
        <v>18168957</v>
      </c>
      <c r="E4359" s="4" t="str">
        <f>"18163459"</f>
        <v>18163459</v>
      </c>
      <c r="F4359" s="4" t="s">
        <v>89</v>
      </c>
    </row>
    <row r="4360" spans="1:6" x14ac:dyDescent="0.25">
      <c r="A4360" s="4" t="str">
        <f>"Scientific Programming"</f>
        <v>Scientific Programming</v>
      </c>
      <c r="B4360" s="4" t="s">
        <v>6</v>
      </c>
      <c r="C4360" s="4" t="str">
        <f t="shared" si="160"/>
        <v>-</v>
      </c>
      <c r="D4360" s="4" t="str">
        <f>"10589244"</f>
        <v>10589244</v>
      </c>
      <c r="E4360" s="4" t="str">
        <f>"-"</f>
        <v>-</v>
      </c>
      <c r="F4360" s="4" t="s">
        <v>103</v>
      </c>
    </row>
    <row r="4361" spans="1:6" x14ac:dyDescent="0.25">
      <c r="A4361" s="4" t="str">
        <f>"Scientific Study and Research: Chemistry and Chemical Engineering, Biotechnology, Food Industry"</f>
        <v>Scientific Study and Research: Chemistry and Chemical Engineering, Biotechnology, Food Industry</v>
      </c>
      <c r="B4361" s="4" t="s">
        <v>6</v>
      </c>
      <c r="C4361" s="4" t="str">
        <f t="shared" si="160"/>
        <v>-</v>
      </c>
      <c r="D4361" s="4" t="str">
        <f>"1582540X"</f>
        <v>1582540X</v>
      </c>
      <c r="E4361" s="4" t="str">
        <f>"-"</f>
        <v>-</v>
      </c>
      <c r="F4361" s="4" t="s">
        <v>1057</v>
      </c>
    </row>
    <row r="4362" spans="1:6" x14ac:dyDescent="0.25">
      <c r="A4362" s="4" t="str">
        <f>"Scientific Visualization"</f>
        <v>Scientific Visualization</v>
      </c>
      <c r="B4362" s="4" t="s">
        <v>6</v>
      </c>
      <c r="C4362" s="4" t="str">
        <f t="shared" si="160"/>
        <v>-</v>
      </c>
      <c r="D4362" s="4" t="str">
        <f>"-"</f>
        <v>-</v>
      </c>
      <c r="E4362" s="4" t="str">
        <f>"20793537"</f>
        <v>20793537</v>
      </c>
      <c r="F4362" s="4" t="s">
        <v>1058</v>
      </c>
    </row>
    <row r="4363" spans="1:6" x14ac:dyDescent="0.25">
      <c r="A4363" s="4" t="str">
        <f>"Scripta Materialia"</f>
        <v>Scripta Materialia</v>
      </c>
      <c r="B4363" s="4" t="s">
        <v>6</v>
      </c>
      <c r="C4363" s="4" t="str">
        <f t="shared" si="160"/>
        <v>-</v>
      </c>
      <c r="D4363" s="4" t="str">
        <f>"13596462"</f>
        <v>13596462</v>
      </c>
      <c r="E4363" s="4" t="str">
        <f>"-"</f>
        <v>-</v>
      </c>
      <c r="F4363" s="4" t="s">
        <v>19</v>
      </c>
    </row>
    <row r="4364" spans="1:6" x14ac:dyDescent="0.25">
      <c r="A4364" s="4" t="str">
        <f>"SDHM Structural Durability and Health Monitoring"</f>
        <v>SDHM Structural Durability and Health Monitoring</v>
      </c>
      <c r="B4364" s="4" t="s">
        <v>6</v>
      </c>
      <c r="C4364" s="4" t="str">
        <f t="shared" si="160"/>
        <v>-</v>
      </c>
      <c r="D4364" s="4" t="str">
        <f>"19302983"</f>
        <v>19302983</v>
      </c>
      <c r="E4364" s="4" t="str">
        <f>"19302991"</f>
        <v>19302991</v>
      </c>
      <c r="F4364" s="4" t="s">
        <v>287</v>
      </c>
    </row>
    <row r="4365" spans="1:6" x14ac:dyDescent="0.25">
      <c r="A4365" s="4" t="str">
        <f>"SEAISI Quarterly (South East Asia Iron and Steel Institute)"</f>
        <v>SEAISI Quarterly (South East Asia Iron and Steel Institute)</v>
      </c>
      <c r="B4365" s="4" t="s">
        <v>6</v>
      </c>
      <c r="C4365" s="4" t="str">
        <f t="shared" si="160"/>
        <v>-</v>
      </c>
      <c r="D4365" s="4" t="str">
        <f>"01295721"</f>
        <v>01295721</v>
      </c>
      <c r="E4365" s="4" t="str">
        <f>"-"</f>
        <v>-</v>
      </c>
      <c r="F4365" s="4" t="s">
        <v>1059</v>
      </c>
    </row>
    <row r="4366" spans="1:6" x14ac:dyDescent="0.25">
      <c r="A4366" s="4" t="str">
        <f>"Sealing Technology"</f>
        <v>Sealing Technology</v>
      </c>
      <c r="B4366" s="4" t="s">
        <v>22</v>
      </c>
      <c r="C4366" s="4" t="str">
        <f t="shared" si="160"/>
        <v>-</v>
      </c>
      <c r="D4366" s="4" t="str">
        <f>"13504789"</f>
        <v>13504789</v>
      </c>
      <c r="E4366" s="4" t="str">
        <f>"-"</f>
        <v>-</v>
      </c>
      <c r="F4366" s="4" t="s">
        <v>19</v>
      </c>
    </row>
    <row r="4367" spans="1:6" x14ac:dyDescent="0.25">
      <c r="A4367" s="4" t="str">
        <f>"Security and Communication Networks"</f>
        <v>Security and Communication Networks</v>
      </c>
      <c r="B4367" s="4" t="s">
        <v>6</v>
      </c>
      <c r="C4367" s="4" t="str">
        <f t="shared" si="160"/>
        <v>-</v>
      </c>
      <c r="D4367" s="4" t="str">
        <f>"19390114"</f>
        <v>19390114</v>
      </c>
      <c r="E4367" s="4" t="str">
        <f>"19390122"</f>
        <v>19390122</v>
      </c>
      <c r="F4367" s="4" t="s">
        <v>87</v>
      </c>
    </row>
    <row r="4368" spans="1:6" x14ac:dyDescent="0.25">
      <c r="A4368" s="4" t="str">
        <f>"Sedimentary Geology"</f>
        <v>Sedimentary Geology</v>
      </c>
      <c r="B4368" s="4" t="s">
        <v>6</v>
      </c>
      <c r="C4368" s="4" t="str">
        <f t="shared" si="160"/>
        <v>-</v>
      </c>
      <c r="D4368" s="4" t="str">
        <f>"00370738"</f>
        <v>00370738</v>
      </c>
      <c r="E4368" s="4" t="str">
        <f>"-"</f>
        <v>-</v>
      </c>
      <c r="F4368" s="4" t="s">
        <v>55</v>
      </c>
    </row>
    <row r="4369" spans="1:6" x14ac:dyDescent="0.25">
      <c r="A4369" s="4" t="str">
        <f>"Sedimentology"</f>
        <v>Sedimentology</v>
      </c>
      <c r="B4369" s="4" t="s">
        <v>6</v>
      </c>
      <c r="C4369" s="4" t="str">
        <f t="shared" si="160"/>
        <v>-</v>
      </c>
      <c r="D4369" s="4" t="str">
        <f>"00370746"</f>
        <v>00370746</v>
      </c>
      <c r="E4369" s="4" t="str">
        <f>"13653091"</f>
        <v>13653091</v>
      </c>
      <c r="F4369" s="4" t="s">
        <v>209</v>
      </c>
    </row>
    <row r="4370" spans="1:6" x14ac:dyDescent="0.25">
      <c r="A4370" s="4" t="str">
        <f>"SEI Technical Review"</f>
        <v>SEI Technical Review</v>
      </c>
      <c r="B4370" s="4" t="s">
        <v>6</v>
      </c>
      <c r="C4370" s="4" t="str">
        <f t="shared" si="160"/>
        <v>-</v>
      </c>
      <c r="D4370" s="4" t="str">
        <f>"13434349"</f>
        <v>13434349</v>
      </c>
      <c r="E4370" s="4" t="str">
        <f>"-"</f>
        <v>-</v>
      </c>
      <c r="F4370" s="4" t="s">
        <v>1060</v>
      </c>
    </row>
    <row r="4371" spans="1:6" x14ac:dyDescent="0.25">
      <c r="A4371" s="4" t="str">
        <f>"Seimitsu Kogaku Kaishi/Journal of the Japan Society for Precision Engineering"</f>
        <v>Seimitsu Kogaku Kaishi/Journal of the Japan Society for Precision Engineering</v>
      </c>
      <c r="B4371" s="4" t="s">
        <v>6</v>
      </c>
      <c r="C4371" s="4" t="str">
        <f t="shared" si="160"/>
        <v>-</v>
      </c>
      <c r="D4371" s="4" t="str">
        <f>"09120289"</f>
        <v>09120289</v>
      </c>
      <c r="E4371" s="4" t="str">
        <f>"-"</f>
        <v>-</v>
      </c>
      <c r="F4371" s="4" t="s">
        <v>1061</v>
      </c>
    </row>
    <row r="4372" spans="1:6" x14ac:dyDescent="0.25">
      <c r="A4372" s="4" t="str">
        <f>"Seismological Research Letters"</f>
        <v>Seismological Research Letters</v>
      </c>
      <c r="B4372" s="4" t="s">
        <v>6</v>
      </c>
      <c r="C4372" s="4" t="str">
        <f t="shared" si="160"/>
        <v>-</v>
      </c>
      <c r="D4372" s="4" t="str">
        <f>"08950695"</f>
        <v>08950695</v>
      </c>
      <c r="E4372" s="4" t="str">
        <f>"19382057"</f>
        <v>19382057</v>
      </c>
      <c r="F4372" s="4" t="s">
        <v>233</v>
      </c>
    </row>
    <row r="4373" spans="1:6" x14ac:dyDescent="0.25">
      <c r="A4373" s="4" t="str">
        <f>"Semiconductor Science and Technology"</f>
        <v>Semiconductor Science and Technology</v>
      </c>
      <c r="B4373" s="4" t="s">
        <v>6</v>
      </c>
      <c r="C4373" s="4" t="str">
        <f t="shared" si="160"/>
        <v>-</v>
      </c>
      <c r="D4373" s="4" t="str">
        <f>"02681242"</f>
        <v>02681242</v>
      </c>
      <c r="E4373" s="4" t="str">
        <f>"13616641"</f>
        <v>13616641</v>
      </c>
      <c r="F4373" s="4" t="s">
        <v>184</v>
      </c>
    </row>
    <row r="4374" spans="1:6" x14ac:dyDescent="0.25">
      <c r="A4374" s="4" t="str">
        <f>"Sen'i Gakkaishi"</f>
        <v>Sen'i Gakkaishi</v>
      </c>
      <c r="B4374" s="4" t="s">
        <v>6</v>
      </c>
      <c r="C4374" s="4" t="str">
        <f t="shared" si="160"/>
        <v>-</v>
      </c>
      <c r="D4374" s="4" t="str">
        <f>"00379875"</f>
        <v>00379875</v>
      </c>
      <c r="E4374" s="4" t="str">
        <f>"-"</f>
        <v>-</v>
      </c>
      <c r="F4374" s="4" t="s">
        <v>1062</v>
      </c>
    </row>
    <row r="4375" spans="1:6" x14ac:dyDescent="0.25">
      <c r="A4375" s="4" t="str">
        <f>"Sensing and Imaging"</f>
        <v>Sensing and Imaging</v>
      </c>
      <c r="B4375" s="4" t="s">
        <v>6</v>
      </c>
      <c r="C4375" s="4" t="str">
        <f t="shared" si="160"/>
        <v>-</v>
      </c>
      <c r="D4375" s="4" t="str">
        <f>"15572064"</f>
        <v>15572064</v>
      </c>
      <c r="E4375" s="4" t="str">
        <f>"15739317"</f>
        <v>15739317</v>
      </c>
      <c r="F4375" s="4" t="s">
        <v>57</v>
      </c>
    </row>
    <row r="4376" spans="1:6" x14ac:dyDescent="0.25">
      <c r="A4376" s="4" t="str">
        <f>"Sensor Letters"</f>
        <v>Sensor Letters</v>
      </c>
      <c r="B4376" s="4" t="s">
        <v>6</v>
      </c>
      <c r="C4376" s="4" t="str">
        <f t="shared" si="160"/>
        <v>-</v>
      </c>
      <c r="D4376" s="4" t="str">
        <f>"1546198X"</f>
        <v>1546198X</v>
      </c>
      <c r="E4376" s="4" t="str">
        <f>"15461971"</f>
        <v>15461971</v>
      </c>
      <c r="F4376" s="4" t="s">
        <v>654</v>
      </c>
    </row>
    <row r="4377" spans="1:6" x14ac:dyDescent="0.25">
      <c r="A4377" s="4" t="str">
        <f>"Sensor Review"</f>
        <v>Sensor Review</v>
      </c>
      <c r="B4377" s="4" t="s">
        <v>6</v>
      </c>
      <c r="C4377" s="4" t="str">
        <f t="shared" si="160"/>
        <v>-</v>
      </c>
      <c r="D4377" s="4" t="str">
        <f>"02602288"</f>
        <v>02602288</v>
      </c>
      <c r="E4377" s="4" t="str">
        <f>"-"</f>
        <v>-</v>
      </c>
      <c r="F4377" s="4" t="s">
        <v>110</v>
      </c>
    </row>
    <row r="4378" spans="1:6" x14ac:dyDescent="0.25">
      <c r="A4378" s="4" t="str">
        <f>"Sensors (Switzerland)"</f>
        <v>Sensors (Switzerland)</v>
      </c>
      <c r="B4378" s="4" t="s">
        <v>6</v>
      </c>
      <c r="C4378" s="4" t="str">
        <f t="shared" si="160"/>
        <v>-</v>
      </c>
      <c r="D4378" s="4" t="str">
        <f>"14248220"</f>
        <v>14248220</v>
      </c>
      <c r="E4378" s="4" t="str">
        <f>"-"</f>
        <v>-</v>
      </c>
      <c r="F4378" s="4" t="s">
        <v>114</v>
      </c>
    </row>
    <row r="4379" spans="1:6" x14ac:dyDescent="0.25">
      <c r="A4379" s="4" t="str">
        <f>"Sensors and Actuators, A: Physical"</f>
        <v>Sensors and Actuators, A: Physical</v>
      </c>
      <c r="B4379" s="4" t="s">
        <v>6</v>
      </c>
      <c r="C4379" s="4" t="str">
        <f t="shared" si="160"/>
        <v>-</v>
      </c>
      <c r="D4379" s="4" t="str">
        <f>"09244247"</f>
        <v>09244247</v>
      </c>
      <c r="E4379" s="4" t="str">
        <f>"-"</f>
        <v>-</v>
      </c>
      <c r="F4379" s="4" t="s">
        <v>55</v>
      </c>
    </row>
    <row r="4380" spans="1:6" x14ac:dyDescent="0.25">
      <c r="A4380" s="4" t="str">
        <f>"Sensors and Actuators, B: Chemical"</f>
        <v>Sensors and Actuators, B: Chemical</v>
      </c>
      <c r="B4380" s="4" t="s">
        <v>6</v>
      </c>
      <c r="C4380" s="4" t="str">
        <f t="shared" si="160"/>
        <v>-</v>
      </c>
      <c r="D4380" s="4" t="str">
        <f>"09254005"</f>
        <v>09254005</v>
      </c>
      <c r="E4380" s="4" t="str">
        <f>"-"</f>
        <v>-</v>
      </c>
      <c r="F4380" s="4" t="s">
        <v>55</v>
      </c>
    </row>
    <row r="4381" spans="1:6" x14ac:dyDescent="0.25">
      <c r="A4381" s="4" t="str">
        <f>"Sensors and Materials"</f>
        <v>Sensors and Materials</v>
      </c>
      <c r="B4381" s="4" t="s">
        <v>6</v>
      </c>
      <c r="C4381" s="4" t="str">
        <f t="shared" si="160"/>
        <v>-</v>
      </c>
      <c r="D4381" s="4" t="str">
        <f>"09144935"</f>
        <v>09144935</v>
      </c>
      <c r="E4381" s="4" t="str">
        <f>"-"</f>
        <v>-</v>
      </c>
      <c r="F4381" s="4" t="s">
        <v>1063</v>
      </c>
    </row>
    <row r="4382" spans="1:6" x14ac:dyDescent="0.25">
      <c r="A4382" s="4" t="str">
        <f>"Separation and Purification Reviews"</f>
        <v>Separation and Purification Reviews</v>
      </c>
      <c r="B4382" s="4" t="s">
        <v>6</v>
      </c>
      <c r="C4382" s="4" t="str">
        <f t="shared" si="160"/>
        <v>-</v>
      </c>
      <c r="D4382" s="4" t="str">
        <f>"15422119"</f>
        <v>15422119</v>
      </c>
      <c r="E4382" s="4" t="str">
        <f>"15422127"</f>
        <v>15422127</v>
      </c>
      <c r="F4382" s="4" t="s">
        <v>96</v>
      </c>
    </row>
    <row r="4383" spans="1:6" x14ac:dyDescent="0.25">
      <c r="A4383" s="4" t="str">
        <f>"Separation and Purification Technology"</f>
        <v>Separation and Purification Technology</v>
      </c>
      <c r="B4383" s="4" t="s">
        <v>6</v>
      </c>
      <c r="C4383" s="4" t="str">
        <f t="shared" si="160"/>
        <v>-</v>
      </c>
      <c r="D4383" s="4" t="str">
        <f>"13835866"</f>
        <v>13835866</v>
      </c>
      <c r="E4383" s="4" t="str">
        <f>"18733794"</f>
        <v>18733794</v>
      </c>
      <c r="F4383" s="4" t="s">
        <v>55</v>
      </c>
    </row>
    <row r="4384" spans="1:6" x14ac:dyDescent="0.25">
      <c r="A4384" s="4" t="str">
        <f>"Separation Science and Technology (Philadelphia)"</f>
        <v>Separation Science and Technology (Philadelphia)</v>
      </c>
      <c r="B4384" s="4" t="s">
        <v>6</v>
      </c>
      <c r="C4384" s="4" t="str">
        <f t="shared" si="160"/>
        <v>-</v>
      </c>
      <c r="D4384" s="4" t="str">
        <f>"01496395"</f>
        <v>01496395</v>
      </c>
      <c r="E4384" s="4" t="str">
        <f>"15205754"</f>
        <v>15205754</v>
      </c>
      <c r="F4384" s="4" t="s">
        <v>96</v>
      </c>
    </row>
    <row r="4385" spans="1:6" x14ac:dyDescent="0.25">
      <c r="A4385" s="4" t="str">
        <f>"Sequential Analysis"</f>
        <v>Sequential Analysis</v>
      </c>
      <c r="B4385" s="4" t="s">
        <v>6</v>
      </c>
      <c r="C4385" s="4" t="str">
        <f t="shared" si="160"/>
        <v>-</v>
      </c>
      <c r="D4385" s="4" t="str">
        <f>"07474946"</f>
        <v>07474946</v>
      </c>
      <c r="E4385" s="4" t="str">
        <f>"15324176"</f>
        <v>15324176</v>
      </c>
      <c r="F4385" s="4" t="s">
        <v>96</v>
      </c>
    </row>
    <row r="4386" spans="1:6" x14ac:dyDescent="0.25">
      <c r="A4386" s="4" t="str">
        <f>"Series on Advances in Bioinformatics and Computational Biology"</f>
        <v>Series on Advances in Bioinformatics and Computational Biology</v>
      </c>
      <c r="B4386" s="4" t="s">
        <v>8</v>
      </c>
      <c r="C4386" s="4" t="str">
        <f t="shared" si="160"/>
        <v>-</v>
      </c>
      <c r="D4386" s="4" t="str">
        <f>"17516404"</f>
        <v>17516404</v>
      </c>
      <c r="E4386" s="4" t="str">
        <f>"-"</f>
        <v>-</v>
      </c>
      <c r="F4386" s="4" t="s">
        <v>1064</v>
      </c>
    </row>
    <row r="4387" spans="1:6" x14ac:dyDescent="0.25">
      <c r="A4387" s="4" t="str">
        <f>"Series on Energy and Power Systems"</f>
        <v>Series on Energy and Power Systems</v>
      </c>
      <c r="B4387" s="4" t="s">
        <v>8</v>
      </c>
      <c r="C4387" s="4" t="str">
        <f t="shared" si="160"/>
        <v>-</v>
      </c>
      <c r="D4387" s="4" t="str">
        <f>"14827891"</f>
        <v>14827891</v>
      </c>
      <c r="E4387" s="4" t="str">
        <f>"-"</f>
        <v>-</v>
      </c>
      <c r="F4387" s="4" t="s">
        <v>305</v>
      </c>
    </row>
    <row r="4388" spans="1:6" x14ac:dyDescent="0.25">
      <c r="A4388" s="4" t="str">
        <f>"Service Oriented Computing and Applications"</f>
        <v>Service Oriented Computing and Applications</v>
      </c>
      <c r="B4388" s="4" t="s">
        <v>6</v>
      </c>
      <c r="C4388" s="4" t="str">
        <f t="shared" si="160"/>
        <v>-</v>
      </c>
      <c r="D4388" s="4" t="str">
        <f>"18632386"</f>
        <v>18632386</v>
      </c>
      <c r="E4388" s="4" t="str">
        <f>"18632394"</f>
        <v>18632394</v>
      </c>
      <c r="F4388" s="4" t="s">
        <v>62</v>
      </c>
    </row>
    <row r="4389" spans="1:6" x14ac:dyDescent="0.25">
      <c r="A4389" s="4" t="str">
        <f>"SESHA Journal: Semiconductor Environmental Safety and Health Association"</f>
        <v>SESHA Journal: Semiconductor Environmental Safety and Health Association</v>
      </c>
      <c r="B4389" s="4" t="s">
        <v>6</v>
      </c>
      <c r="C4389" s="4" t="str">
        <f t="shared" si="160"/>
        <v>-</v>
      </c>
      <c r="D4389" s="4" t="str">
        <f>"15374467"</f>
        <v>15374467</v>
      </c>
      <c r="E4389" s="4" t="str">
        <f t="shared" ref="E4389:E4402" si="161">"-"</f>
        <v>-</v>
      </c>
      <c r="F4389" s="4" t="s">
        <v>1065</v>
      </c>
    </row>
    <row r="4390" spans="1:6" x14ac:dyDescent="0.25">
      <c r="A4390" s="4" t="str">
        <f>"Shanghai Jiaotong Daxue Xuebao/Journal of Shanghai Jiaotong University"</f>
        <v>Shanghai Jiaotong Daxue Xuebao/Journal of Shanghai Jiaotong University</v>
      </c>
      <c r="B4390" s="4" t="s">
        <v>6</v>
      </c>
      <c r="C4390" s="4" t="str">
        <f t="shared" si="160"/>
        <v>-</v>
      </c>
      <c r="D4390" s="4" t="str">
        <f>"10062467"</f>
        <v>10062467</v>
      </c>
      <c r="E4390" s="4" t="str">
        <f t="shared" si="161"/>
        <v>-</v>
      </c>
      <c r="F4390" s="4" t="s">
        <v>761</v>
      </c>
    </row>
    <row r="4391" spans="1:6" x14ac:dyDescent="0.25">
      <c r="A4391" s="4" t="str">
        <f>"Shapu Giho/Sharp Technical Journal"</f>
        <v>Shapu Giho/Sharp Technical Journal</v>
      </c>
      <c r="B4391" s="4" t="s">
        <v>6</v>
      </c>
      <c r="C4391" s="4" t="str">
        <f t="shared" si="160"/>
        <v>-</v>
      </c>
      <c r="D4391" s="4" t="str">
        <f>"02850362"</f>
        <v>02850362</v>
      </c>
      <c r="E4391" s="4" t="str">
        <f t="shared" si="161"/>
        <v>-</v>
      </c>
      <c r="F4391" s="4" t="s">
        <v>1066</v>
      </c>
    </row>
    <row r="4392" spans="1:6" x14ac:dyDescent="0.25">
      <c r="A4392" s="4" t="str">
        <f>"Shengxue Xuebao/Acta Acustica"</f>
        <v>Shengxue Xuebao/Acta Acustica</v>
      </c>
      <c r="B4392" s="4" t="s">
        <v>6</v>
      </c>
      <c r="C4392" s="4" t="str">
        <f t="shared" si="160"/>
        <v>-</v>
      </c>
      <c r="D4392" s="4" t="str">
        <f>"03710025"</f>
        <v>03710025</v>
      </c>
      <c r="E4392" s="4" t="str">
        <f t="shared" si="161"/>
        <v>-</v>
      </c>
      <c r="F4392" s="4" t="s">
        <v>37</v>
      </c>
    </row>
    <row r="4393" spans="1:6" x14ac:dyDescent="0.25">
      <c r="A4393" s="4" t="str">
        <f>"Ship Building of China"</f>
        <v>Ship Building of China</v>
      </c>
      <c r="B4393" s="4" t="s">
        <v>6</v>
      </c>
      <c r="C4393" s="4" t="str">
        <f t="shared" si="160"/>
        <v>-</v>
      </c>
      <c r="D4393" s="4" t="str">
        <f>"10004882"</f>
        <v>10004882</v>
      </c>
      <c r="E4393" s="4" t="str">
        <f t="shared" si="161"/>
        <v>-</v>
      </c>
      <c r="F4393" s="4" t="s">
        <v>1067</v>
      </c>
    </row>
    <row r="4394" spans="1:6" x14ac:dyDescent="0.25">
      <c r="A4394" s="4" t="str">
        <f>"Ship Technology Research"</f>
        <v>Ship Technology Research</v>
      </c>
      <c r="B4394" s="4" t="s">
        <v>6</v>
      </c>
      <c r="C4394" s="4" t="str">
        <f t="shared" si="160"/>
        <v>-</v>
      </c>
      <c r="D4394" s="4" t="str">
        <f>"09377255"</f>
        <v>09377255</v>
      </c>
      <c r="E4394" s="4" t="str">
        <f t="shared" si="161"/>
        <v>-</v>
      </c>
      <c r="F4394" s="4" t="s">
        <v>70</v>
      </c>
    </row>
    <row r="4395" spans="1:6" x14ac:dyDescent="0.25">
      <c r="A4395" s="4" t="str">
        <f>"Ships and Offshore Structures"</f>
        <v>Ships and Offshore Structures</v>
      </c>
      <c r="B4395" s="4" t="s">
        <v>6</v>
      </c>
      <c r="C4395" s="4" t="str">
        <f t="shared" si="160"/>
        <v>-</v>
      </c>
      <c r="D4395" s="4" t="str">
        <f>"17445302"</f>
        <v>17445302</v>
      </c>
      <c r="E4395" s="4" t="str">
        <f t="shared" si="161"/>
        <v>-</v>
      </c>
      <c r="F4395" s="4" t="s">
        <v>60</v>
      </c>
    </row>
    <row r="4396" spans="1:6" x14ac:dyDescent="0.25">
      <c r="A4396" s="4" t="str">
        <f>"Shiyou Diqiu Wuli Kantan/Oil Geophysical Prospecting"</f>
        <v>Shiyou Diqiu Wuli Kantan/Oil Geophysical Prospecting</v>
      </c>
      <c r="B4396" s="4" t="s">
        <v>6</v>
      </c>
      <c r="C4396" s="4" t="str">
        <f t="shared" si="160"/>
        <v>-</v>
      </c>
      <c r="D4396" s="4" t="str">
        <f>"10007210"</f>
        <v>10007210</v>
      </c>
      <c r="E4396" s="4" t="str">
        <f t="shared" si="161"/>
        <v>-</v>
      </c>
      <c r="F4396" s="4" t="s">
        <v>37</v>
      </c>
    </row>
    <row r="4397" spans="1:6" x14ac:dyDescent="0.25">
      <c r="A4397" s="4" t="str">
        <f>"Shiyou Kantan Yu Kaifa/Petroleum Exploration and Development"</f>
        <v>Shiyou Kantan Yu Kaifa/Petroleum Exploration and Development</v>
      </c>
      <c r="B4397" s="4" t="s">
        <v>6</v>
      </c>
      <c r="C4397" s="4" t="str">
        <f t="shared" si="160"/>
        <v>-</v>
      </c>
      <c r="D4397" s="4" t="str">
        <f>"10000747"</f>
        <v>10000747</v>
      </c>
      <c r="E4397" s="4" t="str">
        <f t="shared" si="161"/>
        <v>-</v>
      </c>
      <c r="F4397" s="4" t="s">
        <v>37</v>
      </c>
    </row>
    <row r="4398" spans="1:6" x14ac:dyDescent="0.25">
      <c r="A4398" s="4" t="str">
        <f>"Shiyou Xuebao, Shiyou Jiagong/Acta Petrolei Sinica (Petroleum Processing Section)"</f>
        <v>Shiyou Xuebao, Shiyou Jiagong/Acta Petrolei Sinica (Petroleum Processing Section)</v>
      </c>
      <c r="B4398" s="4" t="s">
        <v>6</v>
      </c>
      <c r="C4398" s="4" t="str">
        <f t="shared" si="160"/>
        <v>-</v>
      </c>
      <c r="D4398" s="4" t="str">
        <f>"10018719"</f>
        <v>10018719</v>
      </c>
      <c r="E4398" s="4" t="str">
        <f t="shared" si="161"/>
        <v>-</v>
      </c>
      <c r="F4398" s="4" t="s">
        <v>37</v>
      </c>
    </row>
    <row r="4399" spans="1:6" x14ac:dyDescent="0.25">
      <c r="A4399" s="4" t="str">
        <f>"Shiyou Xuebao/Acta Petrolei Sinica"</f>
        <v>Shiyou Xuebao/Acta Petrolei Sinica</v>
      </c>
      <c r="B4399" s="4" t="s">
        <v>6</v>
      </c>
      <c r="C4399" s="4" t="str">
        <f t="shared" si="160"/>
        <v>-</v>
      </c>
      <c r="D4399" s="4" t="str">
        <f>"02532697"</f>
        <v>02532697</v>
      </c>
      <c r="E4399" s="4" t="str">
        <f t="shared" si="161"/>
        <v>-</v>
      </c>
      <c r="F4399" s="4" t="s">
        <v>37</v>
      </c>
    </row>
    <row r="4400" spans="1:6" x14ac:dyDescent="0.25">
      <c r="A4400" s="4" t="str">
        <f>"Shock and Vibration"</f>
        <v>Shock and Vibration</v>
      </c>
      <c r="B4400" s="4" t="s">
        <v>6</v>
      </c>
      <c r="C4400" s="4" t="str">
        <f t="shared" si="160"/>
        <v>-</v>
      </c>
      <c r="D4400" s="4" t="str">
        <f>"10709622"</f>
        <v>10709622</v>
      </c>
      <c r="E4400" s="4" t="str">
        <f t="shared" si="161"/>
        <v>-</v>
      </c>
      <c r="F4400" s="4" t="s">
        <v>54</v>
      </c>
    </row>
    <row r="4401" spans="1:6" x14ac:dyDescent="0.25">
      <c r="A4401" s="4" t="str">
        <f>"Shuikexue Jinzhan/Advances in Water Science"</f>
        <v>Shuikexue Jinzhan/Advances in Water Science</v>
      </c>
      <c r="B4401" s="4" t="s">
        <v>6</v>
      </c>
      <c r="C4401" s="4" t="str">
        <f t="shared" si="160"/>
        <v>-</v>
      </c>
      <c r="D4401" s="4" t="str">
        <f>"10016791"</f>
        <v>10016791</v>
      </c>
      <c r="E4401" s="4" t="str">
        <f t="shared" si="161"/>
        <v>-</v>
      </c>
      <c r="F4401" s="4" t="s">
        <v>1068</v>
      </c>
    </row>
    <row r="4402" spans="1:6" x14ac:dyDescent="0.25">
      <c r="A4402" s="4" t="str">
        <f>"Shuili Xuebao/Journal of Hydraulic Engineering"</f>
        <v>Shuili Xuebao/Journal of Hydraulic Engineering</v>
      </c>
      <c r="B4402" s="4" t="s">
        <v>6</v>
      </c>
      <c r="C4402" s="4" t="str">
        <f t="shared" si="160"/>
        <v>-</v>
      </c>
      <c r="D4402" s="4" t="str">
        <f>"05599350"</f>
        <v>05599350</v>
      </c>
      <c r="E4402" s="4" t="str">
        <f t="shared" si="161"/>
        <v>-</v>
      </c>
      <c r="F4402" s="4" t="s">
        <v>1068</v>
      </c>
    </row>
    <row r="4403" spans="1:6" x14ac:dyDescent="0.25">
      <c r="A4403" s="4" t="str">
        <f>"SIAM Journal on Applied Dynamical Systems"</f>
        <v>SIAM Journal on Applied Dynamical Systems</v>
      </c>
      <c r="B4403" s="4" t="s">
        <v>6</v>
      </c>
      <c r="C4403" s="4" t="str">
        <f t="shared" si="160"/>
        <v>-</v>
      </c>
      <c r="D4403" s="4" t="str">
        <f>"-"</f>
        <v>-</v>
      </c>
      <c r="E4403" s="4" t="str">
        <f>"15360040"</f>
        <v>15360040</v>
      </c>
      <c r="F4403" s="4" t="s">
        <v>249</v>
      </c>
    </row>
    <row r="4404" spans="1:6" x14ac:dyDescent="0.25">
      <c r="A4404" s="4" t="str">
        <f>"SIAM Journal on Applied Mathematics"</f>
        <v>SIAM Journal on Applied Mathematics</v>
      </c>
      <c r="B4404" s="4" t="s">
        <v>6</v>
      </c>
      <c r="C4404" s="4" t="str">
        <f t="shared" si="160"/>
        <v>-</v>
      </c>
      <c r="D4404" s="4" t="str">
        <f>"00361399"</f>
        <v>00361399</v>
      </c>
      <c r="E4404" s="4" t="str">
        <f>"-"</f>
        <v>-</v>
      </c>
      <c r="F4404" s="4" t="s">
        <v>249</v>
      </c>
    </row>
    <row r="4405" spans="1:6" x14ac:dyDescent="0.25">
      <c r="A4405" s="4" t="str">
        <f>"SIAM Journal on Computing"</f>
        <v>SIAM Journal on Computing</v>
      </c>
      <c r="B4405" s="4" t="s">
        <v>6</v>
      </c>
      <c r="C4405" s="4" t="str">
        <f t="shared" si="160"/>
        <v>-</v>
      </c>
      <c r="D4405" s="4" t="str">
        <f>"00975397"</f>
        <v>00975397</v>
      </c>
      <c r="E4405" s="4" t="str">
        <f>"-"</f>
        <v>-</v>
      </c>
      <c r="F4405" s="4" t="s">
        <v>249</v>
      </c>
    </row>
    <row r="4406" spans="1:6" x14ac:dyDescent="0.25">
      <c r="A4406" s="4" t="str">
        <f>"SIAM Journal on Control and Optimization"</f>
        <v>SIAM Journal on Control and Optimization</v>
      </c>
      <c r="B4406" s="4" t="s">
        <v>6</v>
      </c>
      <c r="C4406" s="4" t="str">
        <f t="shared" si="160"/>
        <v>-</v>
      </c>
      <c r="D4406" s="4" t="str">
        <f>"03630129"</f>
        <v>03630129</v>
      </c>
      <c r="E4406" s="4" t="str">
        <f>"-"</f>
        <v>-</v>
      </c>
      <c r="F4406" s="4" t="s">
        <v>249</v>
      </c>
    </row>
    <row r="4407" spans="1:6" x14ac:dyDescent="0.25">
      <c r="A4407" s="4" t="str">
        <f>"SIAM Journal on Discrete Mathematics"</f>
        <v>SIAM Journal on Discrete Mathematics</v>
      </c>
      <c r="B4407" s="4" t="s">
        <v>6</v>
      </c>
      <c r="C4407" s="4" t="str">
        <f t="shared" si="160"/>
        <v>-</v>
      </c>
      <c r="D4407" s="4" t="str">
        <f>"08954801"</f>
        <v>08954801</v>
      </c>
      <c r="E4407" s="4" t="str">
        <f>"-"</f>
        <v>-</v>
      </c>
      <c r="F4407" s="4" t="s">
        <v>249</v>
      </c>
    </row>
    <row r="4408" spans="1:6" x14ac:dyDescent="0.25">
      <c r="A4408" s="4" t="str">
        <f>"SIAM Journal on Imaging Sciences"</f>
        <v>SIAM Journal on Imaging Sciences</v>
      </c>
      <c r="B4408" s="4" t="s">
        <v>6</v>
      </c>
      <c r="C4408" s="4" t="str">
        <f t="shared" si="160"/>
        <v>-</v>
      </c>
      <c r="D4408" s="4" t="str">
        <f>"-"</f>
        <v>-</v>
      </c>
      <c r="E4408" s="4" t="str">
        <f>"19364954"</f>
        <v>19364954</v>
      </c>
      <c r="F4408" s="4" t="s">
        <v>249</v>
      </c>
    </row>
    <row r="4409" spans="1:6" x14ac:dyDescent="0.25">
      <c r="A4409" s="4" t="str">
        <f>"SIAM Journal on Mathematical Analysis"</f>
        <v>SIAM Journal on Mathematical Analysis</v>
      </c>
      <c r="B4409" s="4" t="s">
        <v>6</v>
      </c>
      <c r="C4409" s="4" t="str">
        <f t="shared" si="160"/>
        <v>-</v>
      </c>
      <c r="D4409" s="4" t="str">
        <f>"00361410"</f>
        <v>00361410</v>
      </c>
      <c r="E4409" s="4" t="str">
        <f>"10957111"</f>
        <v>10957111</v>
      </c>
      <c r="F4409" s="4" t="s">
        <v>249</v>
      </c>
    </row>
    <row r="4410" spans="1:6" x14ac:dyDescent="0.25">
      <c r="A4410" s="4" t="str">
        <f>"SIAM Journal on Matrix Analysis and Applications"</f>
        <v>SIAM Journal on Matrix Analysis and Applications</v>
      </c>
      <c r="B4410" s="4" t="s">
        <v>6</v>
      </c>
      <c r="C4410" s="4" t="str">
        <f t="shared" si="160"/>
        <v>-</v>
      </c>
      <c r="D4410" s="4" t="str">
        <f>"08954798"</f>
        <v>08954798</v>
      </c>
      <c r="E4410" s="4" t="str">
        <f>"10957162"</f>
        <v>10957162</v>
      </c>
      <c r="F4410" s="4" t="s">
        <v>249</v>
      </c>
    </row>
    <row r="4411" spans="1:6" x14ac:dyDescent="0.25">
      <c r="A4411" s="4" t="str">
        <f>"SIAM Journal on Numerical Analysis"</f>
        <v>SIAM Journal on Numerical Analysis</v>
      </c>
      <c r="B4411" s="4" t="s">
        <v>6</v>
      </c>
      <c r="C4411" s="4" t="str">
        <f t="shared" si="160"/>
        <v>-</v>
      </c>
      <c r="D4411" s="4" t="str">
        <f>"00361429"</f>
        <v>00361429</v>
      </c>
      <c r="E4411" s="4" t="str">
        <f>"-"</f>
        <v>-</v>
      </c>
      <c r="F4411" s="4" t="s">
        <v>249</v>
      </c>
    </row>
    <row r="4412" spans="1:6" x14ac:dyDescent="0.25">
      <c r="A4412" s="4" t="str">
        <f>"SIAM Journal on Optimization"</f>
        <v>SIAM Journal on Optimization</v>
      </c>
      <c r="B4412" s="4" t="s">
        <v>6</v>
      </c>
      <c r="C4412" s="4" t="str">
        <f t="shared" si="160"/>
        <v>-</v>
      </c>
      <c r="D4412" s="4" t="str">
        <f>"10526234"</f>
        <v>10526234</v>
      </c>
      <c r="E4412" s="4" t="str">
        <f>"-"</f>
        <v>-</v>
      </c>
      <c r="F4412" s="4" t="s">
        <v>249</v>
      </c>
    </row>
    <row r="4413" spans="1:6" x14ac:dyDescent="0.25">
      <c r="A4413" s="4" t="str">
        <f>"SIAM Journal on Scientific Computing"</f>
        <v>SIAM Journal on Scientific Computing</v>
      </c>
      <c r="B4413" s="4" t="s">
        <v>6</v>
      </c>
      <c r="C4413" s="4" t="str">
        <f t="shared" si="160"/>
        <v>-</v>
      </c>
      <c r="D4413" s="4" t="str">
        <f>"10648275"</f>
        <v>10648275</v>
      </c>
      <c r="E4413" s="4" t="str">
        <f>"10957200"</f>
        <v>10957200</v>
      </c>
      <c r="F4413" s="4" t="s">
        <v>249</v>
      </c>
    </row>
    <row r="4414" spans="1:6" x14ac:dyDescent="0.25">
      <c r="A4414" s="4" t="str">
        <f>"SIAM Proceedings Series"</f>
        <v>SIAM Proceedings Series</v>
      </c>
      <c r="B4414" s="4" t="s">
        <v>8</v>
      </c>
      <c r="C4414" s="4" t="str">
        <f t="shared" si="160"/>
        <v>-</v>
      </c>
      <c r="D4414" s="4" t="str">
        <f>"-"</f>
        <v>-</v>
      </c>
      <c r="E4414" s="4" t="str">
        <f>"-"</f>
        <v>-</v>
      </c>
      <c r="F4414" s="4" t="s">
        <v>249</v>
      </c>
    </row>
    <row r="4415" spans="1:6" x14ac:dyDescent="0.25">
      <c r="A4415" s="4" t="str">
        <f>"SIAM Review"</f>
        <v>SIAM Review</v>
      </c>
      <c r="B4415" s="4" t="s">
        <v>6</v>
      </c>
      <c r="C4415" s="4" t="str">
        <f t="shared" si="160"/>
        <v>-</v>
      </c>
      <c r="D4415" s="4" t="str">
        <f>"00361445"</f>
        <v>00361445</v>
      </c>
      <c r="E4415" s="4" t="str">
        <f t="shared" ref="E4415:E4420" si="162">"-"</f>
        <v>-</v>
      </c>
      <c r="F4415" s="4" t="s">
        <v>249</v>
      </c>
    </row>
    <row r="4416" spans="1:6" ht="30" x14ac:dyDescent="0.25">
      <c r="A4416" s="4" t="str">
        <f>"Sichuan Daxue Xuebao (Gongcheng Kexue Ban)/Journal of Sichuan University (Engineering Science Edition)"</f>
        <v>Sichuan Daxue Xuebao (Gongcheng Kexue Ban)/Journal of Sichuan University (Engineering Science Edition)</v>
      </c>
      <c r="B4416" s="4" t="s">
        <v>6</v>
      </c>
      <c r="C4416" s="4" t="str">
        <f t="shared" si="160"/>
        <v>-</v>
      </c>
      <c r="D4416" s="4" t="str">
        <f>"10093087"</f>
        <v>10093087</v>
      </c>
      <c r="E4416" s="4" t="str">
        <f t="shared" si="162"/>
        <v>-</v>
      </c>
      <c r="F4416" s="4" t="s">
        <v>1069</v>
      </c>
    </row>
    <row r="4417" spans="1:6" x14ac:dyDescent="0.25">
      <c r="A4417" s="4" t="str">
        <f>"SID Conference Record of the International Display Research Conference"</f>
        <v>SID Conference Record of the International Display Research Conference</v>
      </c>
      <c r="B4417" s="4" t="s">
        <v>8</v>
      </c>
      <c r="C4417" s="4" t="str">
        <f t="shared" si="160"/>
        <v>-</v>
      </c>
      <c r="D4417" s="4" t="str">
        <f>"10831312"</f>
        <v>10831312</v>
      </c>
      <c r="E4417" s="4" t="str">
        <f t="shared" si="162"/>
        <v>-</v>
      </c>
      <c r="F4417" s="4" t="s">
        <v>535</v>
      </c>
    </row>
    <row r="4418" spans="1:6" x14ac:dyDescent="0.25">
      <c r="A4418" s="4" t="str">
        <f>"SIGCSE Bulletin Inroads"</f>
        <v>SIGCSE Bulletin Inroads</v>
      </c>
      <c r="B4418" s="4" t="s">
        <v>6</v>
      </c>
      <c r="C4418" s="4" t="str">
        <f t="shared" si="160"/>
        <v>-</v>
      </c>
      <c r="D4418" s="4" t="str">
        <f>"10963936"</f>
        <v>10963936</v>
      </c>
      <c r="E4418" s="4" t="str">
        <f t="shared" si="162"/>
        <v>-</v>
      </c>
      <c r="F4418" s="4" t="s">
        <v>21</v>
      </c>
    </row>
    <row r="4419" spans="1:6" x14ac:dyDescent="0.25">
      <c r="A4419" s="4" t="str">
        <f>"SIGMOD Record"</f>
        <v>SIGMOD Record</v>
      </c>
      <c r="B4419" s="4" t="s">
        <v>6</v>
      </c>
      <c r="C4419" s="4" t="str">
        <f t="shared" si="160"/>
        <v>-</v>
      </c>
      <c r="D4419" s="4" t="str">
        <f>"01635808"</f>
        <v>01635808</v>
      </c>
      <c r="E4419" s="4" t="str">
        <f t="shared" si="162"/>
        <v>-</v>
      </c>
      <c r="F4419" s="4" t="s">
        <v>21</v>
      </c>
    </row>
    <row r="4420" spans="1:6" x14ac:dyDescent="0.25">
      <c r="A4420" s="4" t="str">
        <f>"Signal Processing"</f>
        <v>Signal Processing</v>
      </c>
      <c r="B4420" s="4" t="s">
        <v>6</v>
      </c>
      <c r="C4420" s="4" t="str">
        <f t="shared" si="160"/>
        <v>-</v>
      </c>
      <c r="D4420" s="4" t="str">
        <f>"01651684"</f>
        <v>01651684</v>
      </c>
      <c r="E4420" s="4" t="str">
        <f t="shared" si="162"/>
        <v>-</v>
      </c>
      <c r="F4420" s="4" t="s">
        <v>55</v>
      </c>
    </row>
    <row r="4421" spans="1:6" ht="30" x14ac:dyDescent="0.25">
      <c r="A4421" s="4" t="str">
        <f>"Signal Processing - Algorithms, Architectures, Arrangements, and Applications Conference Proceedings, SPA"</f>
        <v>Signal Processing - Algorithms, Architectures, Arrangements, and Applications Conference Proceedings, SPA</v>
      </c>
      <c r="B4421" s="4" t="s">
        <v>8</v>
      </c>
      <c r="C4421" s="4" t="str">
        <f t="shared" ref="C4421:C4434" si="163">"-"</f>
        <v>-</v>
      </c>
      <c r="D4421" s="4" t="str">
        <f>"23260262"</f>
        <v>23260262</v>
      </c>
      <c r="E4421" s="4" t="str">
        <f>"23260319"</f>
        <v>23260319</v>
      </c>
      <c r="F4421" s="4" t="s">
        <v>9</v>
      </c>
    </row>
    <row r="4422" spans="1:6" x14ac:dyDescent="0.25">
      <c r="A4422" s="4" t="str">
        <f>"Signal Processing: Image Communication"</f>
        <v>Signal Processing: Image Communication</v>
      </c>
      <c r="B4422" s="4" t="s">
        <v>6</v>
      </c>
      <c r="C4422" s="4" t="str">
        <f t="shared" si="163"/>
        <v>-</v>
      </c>
      <c r="D4422" s="4" t="str">
        <f>"09235965"</f>
        <v>09235965</v>
      </c>
      <c r="E4422" s="4" t="str">
        <f>"-"</f>
        <v>-</v>
      </c>
      <c r="F4422" s="4" t="s">
        <v>55</v>
      </c>
    </row>
    <row r="4423" spans="1:6" x14ac:dyDescent="0.25">
      <c r="A4423" s="4" t="str">
        <f>"Signal, Image and Video Processing"</f>
        <v>Signal, Image and Video Processing</v>
      </c>
      <c r="B4423" s="4" t="s">
        <v>6</v>
      </c>
      <c r="C4423" s="4" t="str">
        <f t="shared" si="163"/>
        <v>-</v>
      </c>
      <c r="D4423" s="4" t="str">
        <f>"18631703"</f>
        <v>18631703</v>
      </c>
      <c r="E4423" s="4" t="str">
        <f>"18631711"</f>
        <v>18631711</v>
      </c>
      <c r="F4423" s="4" t="s">
        <v>62</v>
      </c>
    </row>
    <row r="4424" spans="1:6" x14ac:dyDescent="0.25">
      <c r="A4424" s="4" t="str">
        <f>"Silicon"</f>
        <v>Silicon</v>
      </c>
      <c r="B4424" s="4" t="s">
        <v>6</v>
      </c>
      <c r="C4424" s="4" t="str">
        <f t="shared" si="163"/>
        <v>-</v>
      </c>
      <c r="D4424" s="4" t="str">
        <f>"1876990X"</f>
        <v>1876990X</v>
      </c>
      <c r="E4424" s="4" t="str">
        <f>"18769918"</f>
        <v>18769918</v>
      </c>
      <c r="F4424" s="4" t="s">
        <v>31</v>
      </c>
    </row>
    <row r="4425" spans="1:6" x14ac:dyDescent="0.25">
      <c r="A4425" s="4" t="str">
        <f>"Silva Fennica"</f>
        <v>Silva Fennica</v>
      </c>
      <c r="B4425" s="4" t="s">
        <v>6</v>
      </c>
      <c r="C4425" s="4" t="str">
        <f t="shared" si="163"/>
        <v>-</v>
      </c>
      <c r="D4425" s="4" t="str">
        <f>"00375330"</f>
        <v>00375330</v>
      </c>
      <c r="E4425" s="4" t="str">
        <f>"22424075"</f>
        <v>22424075</v>
      </c>
      <c r="F4425" s="4" t="s">
        <v>1070</v>
      </c>
    </row>
    <row r="4426" spans="1:6" x14ac:dyDescent="0.25">
      <c r="A4426" s="4" t="str">
        <f>"Silvae Genetica"</f>
        <v>Silvae Genetica</v>
      </c>
      <c r="B4426" s="4" t="s">
        <v>6</v>
      </c>
      <c r="C4426" s="4" t="str">
        <f t="shared" si="163"/>
        <v>-</v>
      </c>
      <c r="D4426" s="4" t="str">
        <f>"00375349"</f>
        <v>00375349</v>
      </c>
      <c r="E4426" s="4" t="str">
        <f>"-"</f>
        <v>-</v>
      </c>
      <c r="F4426" s="4" t="s">
        <v>1071</v>
      </c>
    </row>
    <row r="4427" spans="1:6" x14ac:dyDescent="0.25">
      <c r="A4427" s="4" t="str">
        <f>"Simulation"</f>
        <v>Simulation</v>
      </c>
      <c r="B4427" s="4" t="s">
        <v>6</v>
      </c>
      <c r="C4427" s="4" t="str">
        <f t="shared" si="163"/>
        <v>-</v>
      </c>
      <c r="D4427" s="4" t="str">
        <f>"00375497"</f>
        <v>00375497</v>
      </c>
      <c r="E4427" s="4" t="str">
        <f>"17413133"</f>
        <v>17413133</v>
      </c>
      <c r="F4427" s="4" t="s">
        <v>212</v>
      </c>
    </row>
    <row r="4428" spans="1:6" x14ac:dyDescent="0.25">
      <c r="A4428" s="4" t="str">
        <f>"Simulation Modelling Practice and Theory"</f>
        <v>Simulation Modelling Practice and Theory</v>
      </c>
      <c r="B4428" s="4" t="s">
        <v>6</v>
      </c>
      <c r="C4428" s="4" t="str">
        <f t="shared" si="163"/>
        <v>-</v>
      </c>
      <c r="D4428" s="4" t="str">
        <f>"1569190X"</f>
        <v>1569190X</v>
      </c>
      <c r="E4428" s="4" t="str">
        <f>"-"</f>
        <v>-</v>
      </c>
      <c r="F4428" s="4" t="s">
        <v>55</v>
      </c>
    </row>
    <row r="4429" spans="1:6" x14ac:dyDescent="0.25">
      <c r="A4429" s="4" t="str">
        <f>"Simulation Series"</f>
        <v>Simulation Series</v>
      </c>
      <c r="B4429" s="4" t="s">
        <v>8</v>
      </c>
      <c r="C4429" s="4" t="str">
        <f t="shared" si="163"/>
        <v>-</v>
      </c>
      <c r="D4429" s="4" t="str">
        <f>"07359276"</f>
        <v>07359276</v>
      </c>
      <c r="E4429" s="4" t="str">
        <f>"-"</f>
        <v>-</v>
      </c>
      <c r="F4429" s="4" t="s">
        <v>1072</v>
      </c>
    </row>
    <row r="4430" spans="1:6" x14ac:dyDescent="0.25">
      <c r="A4430" s="4" t="str">
        <f>"Skin Research and Technology"</f>
        <v>Skin Research and Technology</v>
      </c>
      <c r="B4430" s="4" t="s">
        <v>6</v>
      </c>
      <c r="C4430" s="4" t="str">
        <f t="shared" si="163"/>
        <v>-</v>
      </c>
      <c r="D4430" s="4" t="str">
        <f>"0909752X"</f>
        <v>0909752X</v>
      </c>
      <c r="E4430" s="4" t="str">
        <f>"16000846"</f>
        <v>16000846</v>
      </c>
      <c r="F4430" s="4" t="s">
        <v>209</v>
      </c>
    </row>
    <row r="4431" spans="1:6" x14ac:dyDescent="0.25">
      <c r="A4431" s="4" t="str">
        <f>"Small"</f>
        <v>Small</v>
      </c>
      <c r="B4431" s="4" t="s">
        <v>6</v>
      </c>
      <c r="C4431" s="4" t="str">
        <f t="shared" si="163"/>
        <v>-</v>
      </c>
      <c r="D4431" s="4" t="str">
        <f>"16136810"</f>
        <v>16136810</v>
      </c>
      <c r="E4431" s="4" t="str">
        <f>"16136829"</f>
        <v>16136829</v>
      </c>
      <c r="F4431" s="4" t="s">
        <v>63</v>
      </c>
    </row>
    <row r="4432" spans="1:6" x14ac:dyDescent="0.25">
      <c r="A4432" s="4" t="str">
        <f>"Small Scale Digital Device Forensics Journal"</f>
        <v>Small Scale Digital Device Forensics Journal</v>
      </c>
      <c r="B4432" s="4" t="s">
        <v>6</v>
      </c>
      <c r="C4432" s="4" t="str">
        <f t="shared" si="163"/>
        <v>-</v>
      </c>
      <c r="D4432" s="4" t="str">
        <f>"-"</f>
        <v>-</v>
      </c>
      <c r="E4432" s="4" t="str">
        <f>"19416164"</f>
        <v>19416164</v>
      </c>
      <c r="F4432" s="4" t="s">
        <v>1073</v>
      </c>
    </row>
    <row r="4433" spans="1:6" x14ac:dyDescent="0.25">
      <c r="A4433" s="4" t="str">
        <f>"Smart Innovation, Systems and Technologies"</f>
        <v>Smart Innovation, Systems and Technologies</v>
      </c>
      <c r="B4433" s="4" t="s">
        <v>29</v>
      </c>
      <c r="C4433" s="4" t="str">
        <f t="shared" si="163"/>
        <v>-</v>
      </c>
      <c r="D4433" s="4" t="str">
        <f>"21903018"</f>
        <v>21903018</v>
      </c>
      <c r="E4433" s="4" t="str">
        <f>"21903026"</f>
        <v>21903026</v>
      </c>
      <c r="F4433" s="4" t="s">
        <v>1074</v>
      </c>
    </row>
    <row r="4434" spans="1:6" x14ac:dyDescent="0.25">
      <c r="A4434" s="4" t="str">
        <f>"Smart Materials and Structures"</f>
        <v>Smart Materials and Structures</v>
      </c>
      <c r="B4434" s="4" t="s">
        <v>6</v>
      </c>
      <c r="C4434" s="4" t="str">
        <f t="shared" si="163"/>
        <v>-</v>
      </c>
      <c r="D4434" s="4" t="str">
        <f>"09641726"</f>
        <v>09641726</v>
      </c>
      <c r="E4434" s="4" t="str">
        <f>"1361665X"</f>
        <v>1361665X</v>
      </c>
      <c r="F4434" s="4" t="s">
        <v>184</v>
      </c>
    </row>
    <row r="4435" spans="1:6" x14ac:dyDescent="0.25">
      <c r="A4435" s="4" t="s">
        <v>1075</v>
      </c>
      <c r="B4435" s="4" t="s">
        <v>6</v>
      </c>
      <c r="C4435" s="4" t="s">
        <v>324</v>
      </c>
      <c r="D4435" s="4" t="s">
        <v>1076</v>
      </c>
      <c r="E4435" s="4" t="s">
        <v>1077</v>
      </c>
      <c r="F4435" s="4" t="s">
        <v>1078</v>
      </c>
    </row>
    <row r="4436" spans="1:6" x14ac:dyDescent="0.25">
      <c r="A4436" s="4" t="str">
        <f>"SMT Surface Mount Technology Magazine"</f>
        <v>SMT Surface Mount Technology Magazine</v>
      </c>
      <c r="B4436" s="4" t="s">
        <v>6</v>
      </c>
      <c r="C4436" s="4" t="str">
        <f t="shared" ref="C4436:C4499" si="164">"-"</f>
        <v>-</v>
      </c>
      <c r="D4436" s="4" t="str">
        <f>"15298930"</f>
        <v>15298930</v>
      </c>
      <c r="E4436" s="4" t="str">
        <f>"-"</f>
        <v>-</v>
      </c>
      <c r="F4436" s="4" t="s">
        <v>830</v>
      </c>
    </row>
    <row r="4437" spans="1:6" x14ac:dyDescent="0.25">
      <c r="A4437" s="4" t="str">
        <f>"SOCAR Proceedings"</f>
        <v>SOCAR Proceedings</v>
      </c>
      <c r="B4437" s="4" t="s">
        <v>6</v>
      </c>
      <c r="C4437" s="4" t="str">
        <f t="shared" si="164"/>
        <v>-</v>
      </c>
      <c r="D4437" s="4" t="str">
        <f>"22186867"</f>
        <v>22186867</v>
      </c>
      <c r="E4437" s="4" t="str">
        <f>"22188622"</f>
        <v>22188622</v>
      </c>
      <c r="F4437" s="4" t="s">
        <v>1079</v>
      </c>
    </row>
    <row r="4438" spans="1:6" ht="30" x14ac:dyDescent="0.25">
      <c r="A4438" s="4" t="str">
        <f>"Society for Imaging Science and Technology: Image Processing, Image Quality, Image Capture, Systems Conference"</f>
        <v>Society for Imaging Science and Technology: Image Processing, Image Quality, Image Capture, Systems Conference</v>
      </c>
      <c r="B4438" s="4" t="s">
        <v>8</v>
      </c>
      <c r="C4438" s="4" t="str">
        <f t="shared" si="164"/>
        <v>-</v>
      </c>
      <c r="D4438" s="4" t="str">
        <f>"-"</f>
        <v>-</v>
      </c>
      <c r="E4438" s="4" t="str">
        <f>"-"</f>
        <v>-</v>
      </c>
      <c r="F4438" s="4" t="s">
        <v>415</v>
      </c>
    </row>
    <row r="4439" spans="1:6" x14ac:dyDescent="0.25">
      <c r="A4439" s="4" t="str">
        <f>"Soft Computing"</f>
        <v>Soft Computing</v>
      </c>
      <c r="B4439" s="4" t="s">
        <v>6</v>
      </c>
      <c r="C4439" s="4" t="str">
        <f t="shared" si="164"/>
        <v>-</v>
      </c>
      <c r="D4439" s="4" t="str">
        <f>"14327643"</f>
        <v>14327643</v>
      </c>
      <c r="E4439" s="4" t="str">
        <f>"14337479"</f>
        <v>14337479</v>
      </c>
      <c r="F4439" s="4" t="s">
        <v>42</v>
      </c>
    </row>
    <row r="4440" spans="1:6" x14ac:dyDescent="0.25">
      <c r="A4440" s="4" t="str">
        <f>"Soft Materials"</f>
        <v>Soft Materials</v>
      </c>
      <c r="B4440" s="4" t="s">
        <v>6</v>
      </c>
      <c r="C4440" s="4" t="str">
        <f t="shared" si="164"/>
        <v>-</v>
      </c>
      <c r="D4440" s="4" t="str">
        <f>"1539445X"</f>
        <v>1539445X</v>
      </c>
      <c r="E4440" s="4" t="str">
        <f>"15394468"</f>
        <v>15394468</v>
      </c>
      <c r="F4440" s="4" t="s">
        <v>96</v>
      </c>
    </row>
    <row r="4441" spans="1:6" x14ac:dyDescent="0.25">
      <c r="A4441" s="4" t="str">
        <f>"Soft Matter"</f>
        <v>Soft Matter</v>
      </c>
      <c r="B4441" s="4" t="s">
        <v>6</v>
      </c>
      <c r="C4441" s="4" t="str">
        <f t="shared" si="164"/>
        <v>-</v>
      </c>
      <c r="D4441" s="4" t="str">
        <f>"1744683X"</f>
        <v>1744683X</v>
      </c>
      <c r="E4441" s="4" t="str">
        <f>"17446848"</f>
        <v>17446848</v>
      </c>
      <c r="F4441" s="4" t="s">
        <v>121</v>
      </c>
    </row>
    <row r="4442" spans="1:6" x14ac:dyDescent="0.25">
      <c r="A4442" s="4" t="str">
        <f>"Software - Practice and Experience"</f>
        <v>Software - Practice and Experience</v>
      </c>
      <c r="B4442" s="4" t="s">
        <v>6</v>
      </c>
      <c r="C4442" s="4" t="str">
        <f t="shared" si="164"/>
        <v>-</v>
      </c>
      <c r="D4442" s="4" t="str">
        <f>"00380644"</f>
        <v>00380644</v>
      </c>
      <c r="E4442" s="4" t="str">
        <f>"1097024X"</f>
        <v>1097024X</v>
      </c>
      <c r="F4442" s="4" t="s">
        <v>142</v>
      </c>
    </row>
    <row r="4443" spans="1:6" x14ac:dyDescent="0.25">
      <c r="A4443" s="4" t="str">
        <f>"Software and Systems Modeling"</f>
        <v>Software and Systems Modeling</v>
      </c>
      <c r="B4443" s="4" t="s">
        <v>6</v>
      </c>
      <c r="C4443" s="4" t="str">
        <f t="shared" si="164"/>
        <v>-</v>
      </c>
      <c r="D4443" s="4" t="str">
        <f>"16191366"</f>
        <v>16191366</v>
      </c>
      <c r="E4443" s="4" t="str">
        <f>"16191374"</f>
        <v>16191374</v>
      </c>
      <c r="F4443" s="4" t="s">
        <v>42</v>
      </c>
    </row>
    <row r="4444" spans="1:6" x14ac:dyDescent="0.25">
      <c r="A4444" s="4" t="str">
        <f>"Software Engineering Education Conference, Proceedings"</f>
        <v>Software Engineering Education Conference, Proceedings</v>
      </c>
      <c r="B4444" s="4" t="s">
        <v>8</v>
      </c>
      <c r="C4444" s="4" t="str">
        <f t="shared" si="164"/>
        <v>-</v>
      </c>
      <c r="D4444" s="4" t="str">
        <f>"10930175"</f>
        <v>10930175</v>
      </c>
      <c r="E4444" s="4" t="str">
        <f>"-"</f>
        <v>-</v>
      </c>
      <c r="F4444" s="4" t="s">
        <v>105</v>
      </c>
    </row>
    <row r="4445" spans="1:6" x14ac:dyDescent="0.25">
      <c r="A4445" s="4" t="str">
        <f>"Software Quality Journal"</f>
        <v>Software Quality Journal</v>
      </c>
      <c r="B4445" s="4" t="s">
        <v>6</v>
      </c>
      <c r="C4445" s="4" t="str">
        <f t="shared" si="164"/>
        <v>-</v>
      </c>
      <c r="D4445" s="4" t="str">
        <f>"09639314"</f>
        <v>09639314</v>
      </c>
      <c r="E4445" s="4" t="str">
        <f>"15731367"</f>
        <v>15731367</v>
      </c>
      <c r="F4445" s="4" t="s">
        <v>57</v>
      </c>
    </row>
    <row r="4446" spans="1:6" x14ac:dyDescent="0.25">
      <c r="A4446" s="4" t="str">
        <f>"Software Testing Verification and Reliability"</f>
        <v>Software Testing Verification and Reliability</v>
      </c>
      <c r="B4446" s="4" t="s">
        <v>6</v>
      </c>
      <c r="C4446" s="4" t="str">
        <f t="shared" si="164"/>
        <v>-</v>
      </c>
      <c r="D4446" s="4" t="str">
        <f>"09600833"</f>
        <v>09600833</v>
      </c>
      <c r="E4446" s="4" t="str">
        <f>"10991689"</f>
        <v>10991689</v>
      </c>
      <c r="F4446" s="4" t="s">
        <v>142</v>
      </c>
    </row>
    <row r="4447" spans="1:6" x14ac:dyDescent="0.25">
      <c r="A4447" s="4" t="str">
        <f>"Soil and Sediment Contamination"</f>
        <v>Soil and Sediment Contamination</v>
      </c>
      <c r="B4447" s="4" t="s">
        <v>6</v>
      </c>
      <c r="C4447" s="4" t="str">
        <f t="shared" si="164"/>
        <v>-</v>
      </c>
      <c r="D4447" s="4" t="str">
        <f>"15320383"</f>
        <v>15320383</v>
      </c>
      <c r="E4447" s="4" t="str">
        <f>"15497887"</f>
        <v>15497887</v>
      </c>
      <c r="F4447" s="4" t="s">
        <v>96</v>
      </c>
    </row>
    <row r="4448" spans="1:6" x14ac:dyDescent="0.25">
      <c r="A4448" s="4" t="str">
        <f>"Soil and Tillage Research"</f>
        <v>Soil and Tillage Research</v>
      </c>
      <c r="B4448" s="4" t="s">
        <v>6</v>
      </c>
      <c r="C4448" s="4" t="str">
        <f t="shared" si="164"/>
        <v>-</v>
      </c>
      <c r="D4448" s="4" t="str">
        <f>"01671987"</f>
        <v>01671987</v>
      </c>
      <c r="E4448" s="4" t="str">
        <f>"-"</f>
        <v>-</v>
      </c>
      <c r="F4448" s="4" t="s">
        <v>55</v>
      </c>
    </row>
    <row r="4449" spans="1:6" x14ac:dyDescent="0.25">
      <c r="A4449" s="4" t="str">
        <f>"Soil Biology and Biochemistry"</f>
        <v>Soil Biology and Biochemistry</v>
      </c>
      <c r="B4449" s="4" t="s">
        <v>6</v>
      </c>
      <c r="C4449" s="4" t="str">
        <f t="shared" si="164"/>
        <v>-</v>
      </c>
      <c r="D4449" s="4" t="str">
        <f>"00380717"</f>
        <v>00380717</v>
      </c>
      <c r="E4449" s="4" t="str">
        <f>"-"</f>
        <v>-</v>
      </c>
      <c r="F4449" s="4" t="s">
        <v>19</v>
      </c>
    </row>
    <row r="4450" spans="1:6" x14ac:dyDescent="0.25">
      <c r="A4450" s="4" t="str">
        <f>"Soil Dynamics and Earthquake Engineering"</f>
        <v>Soil Dynamics and Earthquake Engineering</v>
      </c>
      <c r="B4450" s="4" t="s">
        <v>6</v>
      </c>
      <c r="C4450" s="4" t="str">
        <f t="shared" si="164"/>
        <v>-</v>
      </c>
      <c r="D4450" s="4" t="str">
        <f>"02677261"</f>
        <v>02677261</v>
      </c>
      <c r="E4450" s="4" t="str">
        <f>"-"</f>
        <v>-</v>
      </c>
      <c r="F4450" s="4" t="s">
        <v>19</v>
      </c>
    </row>
    <row r="4451" spans="1:6" x14ac:dyDescent="0.25">
      <c r="A4451" s="4" t="str">
        <f>"Soil Mechanics and Foundation Engineering"</f>
        <v>Soil Mechanics and Foundation Engineering</v>
      </c>
      <c r="B4451" s="4" t="s">
        <v>6</v>
      </c>
      <c r="C4451" s="4" t="str">
        <f t="shared" si="164"/>
        <v>-</v>
      </c>
      <c r="D4451" s="4" t="str">
        <f>"00380741"</f>
        <v>00380741</v>
      </c>
      <c r="E4451" s="4" t="str">
        <f>"-"</f>
        <v>-</v>
      </c>
      <c r="F4451" s="4" t="s">
        <v>57</v>
      </c>
    </row>
    <row r="4452" spans="1:6" x14ac:dyDescent="0.25">
      <c r="A4452" s="4" t="str">
        <f>"Soil Research"</f>
        <v>Soil Research</v>
      </c>
      <c r="B4452" s="4" t="s">
        <v>6</v>
      </c>
      <c r="C4452" s="4" t="str">
        <f t="shared" si="164"/>
        <v>-</v>
      </c>
      <c r="D4452" s="4" t="str">
        <f>"1838675X"</f>
        <v>1838675X</v>
      </c>
      <c r="E4452" s="4" t="str">
        <f>"-"</f>
        <v>-</v>
      </c>
      <c r="F4452" s="4" t="s">
        <v>170</v>
      </c>
    </row>
    <row r="4453" spans="1:6" x14ac:dyDescent="0.25">
      <c r="A4453" s="4" t="str">
        <f>"Soil Science Society of America Journal"</f>
        <v>Soil Science Society of America Journal</v>
      </c>
      <c r="B4453" s="4" t="s">
        <v>6</v>
      </c>
      <c r="C4453" s="4" t="str">
        <f t="shared" si="164"/>
        <v>-</v>
      </c>
      <c r="D4453" s="4" t="str">
        <f>"03615995"</f>
        <v>03615995</v>
      </c>
      <c r="E4453" s="4" t="str">
        <f>"14350661"</f>
        <v>14350661</v>
      </c>
      <c r="F4453" s="4" t="s">
        <v>1080</v>
      </c>
    </row>
    <row r="4454" spans="1:6" x14ac:dyDescent="0.25">
      <c r="A4454" s="4" t="str">
        <f>"Soils and Foundations"</f>
        <v>Soils and Foundations</v>
      </c>
      <c r="B4454" s="4" t="s">
        <v>6</v>
      </c>
      <c r="C4454" s="4" t="str">
        <f t="shared" si="164"/>
        <v>-</v>
      </c>
      <c r="D4454" s="4" t="str">
        <f>"00380806"</f>
        <v>00380806</v>
      </c>
      <c r="E4454" s="4" t="str">
        <f>"-"</f>
        <v>-</v>
      </c>
      <c r="F4454" s="4" t="s">
        <v>1081</v>
      </c>
    </row>
    <row r="4455" spans="1:6" x14ac:dyDescent="0.25">
      <c r="A4455" s="4" t="str">
        <f>"Soils and Rocks"</f>
        <v>Soils and Rocks</v>
      </c>
      <c r="B4455" s="4" t="s">
        <v>6</v>
      </c>
      <c r="C4455" s="4" t="str">
        <f t="shared" si="164"/>
        <v>-</v>
      </c>
      <c r="D4455" s="4" t="str">
        <f>"19809743"</f>
        <v>19809743</v>
      </c>
      <c r="E4455" s="4" t="str">
        <f>"-"</f>
        <v>-</v>
      </c>
      <c r="F4455" s="4" t="s">
        <v>1082</v>
      </c>
    </row>
    <row r="4456" spans="1:6" x14ac:dyDescent="0.25">
      <c r="A4456" s="4" t="str">
        <f>"Solar Energy"</f>
        <v>Solar Energy</v>
      </c>
      <c r="B4456" s="4" t="s">
        <v>6</v>
      </c>
      <c r="C4456" s="4" t="str">
        <f t="shared" si="164"/>
        <v>-</v>
      </c>
      <c r="D4456" s="4" t="str">
        <f>"0038092X"</f>
        <v>0038092X</v>
      </c>
      <c r="E4456" s="4" t="str">
        <f>"-"</f>
        <v>-</v>
      </c>
      <c r="F4456" s="4" t="s">
        <v>19</v>
      </c>
    </row>
    <row r="4457" spans="1:6" x14ac:dyDescent="0.25">
      <c r="A4457" s="4" t="str">
        <f>"Solar Energy Materials and Solar Cells"</f>
        <v>Solar Energy Materials and Solar Cells</v>
      </c>
      <c r="B4457" s="4" t="s">
        <v>6</v>
      </c>
      <c r="C4457" s="4" t="str">
        <f t="shared" si="164"/>
        <v>-</v>
      </c>
      <c r="D4457" s="4" t="str">
        <f>"09270248"</f>
        <v>09270248</v>
      </c>
      <c r="E4457" s="4" t="str">
        <f>"-"</f>
        <v>-</v>
      </c>
      <c r="F4457" s="4" t="s">
        <v>55</v>
      </c>
    </row>
    <row r="4458" spans="1:6" x14ac:dyDescent="0.25">
      <c r="A4458" s="4" t="str">
        <f>"Soldagem e Inspecao"</f>
        <v>Soldagem e Inspecao</v>
      </c>
      <c r="B4458" s="4" t="s">
        <v>6</v>
      </c>
      <c r="C4458" s="4" t="str">
        <f t="shared" si="164"/>
        <v>-</v>
      </c>
      <c r="D4458" s="4" t="str">
        <f>"01049224"</f>
        <v>01049224</v>
      </c>
      <c r="E4458" s="4" t="str">
        <f>"19806973"</f>
        <v>19806973</v>
      </c>
      <c r="F4458" s="4" t="s">
        <v>1083</v>
      </c>
    </row>
    <row r="4459" spans="1:6" x14ac:dyDescent="0.25">
      <c r="A4459" s="4" t="str">
        <f>"Soldering and Surface Mount Technology"</f>
        <v>Soldering and Surface Mount Technology</v>
      </c>
      <c r="B4459" s="4" t="s">
        <v>6</v>
      </c>
      <c r="C4459" s="4" t="str">
        <f t="shared" si="164"/>
        <v>-</v>
      </c>
      <c r="D4459" s="4" t="str">
        <f>"09540911"</f>
        <v>09540911</v>
      </c>
      <c r="E4459" s="4" t="str">
        <f>"-"</f>
        <v>-</v>
      </c>
      <c r="F4459" s="4" t="s">
        <v>110</v>
      </c>
    </row>
    <row r="4460" spans="1:6" x14ac:dyDescent="0.25">
      <c r="A4460" s="4" t="str">
        <f>"Solid Earth"</f>
        <v>Solid Earth</v>
      </c>
      <c r="B4460" s="4" t="s">
        <v>6</v>
      </c>
      <c r="C4460" s="4" t="str">
        <f t="shared" si="164"/>
        <v>-</v>
      </c>
      <c r="D4460" s="4" t="str">
        <f>"18699510"</f>
        <v>18699510</v>
      </c>
      <c r="E4460" s="4" t="str">
        <f>"18699529"</f>
        <v>18699529</v>
      </c>
      <c r="F4460" s="4" t="s">
        <v>89</v>
      </c>
    </row>
    <row r="4461" spans="1:6" x14ac:dyDescent="0.25">
      <c r="A4461" s="4" t="str">
        <f>"Solid Fuel Chemistry"</f>
        <v>Solid Fuel Chemistry</v>
      </c>
      <c r="B4461" s="4" t="s">
        <v>6</v>
      </c>
      <c r="C4461" s="4" t="str">
        <f t="shared" si="164"/>
        <v>-</v>
      </c>
      <c r="D4461" s="4" t="str">
        <f>"03615219"</f>
        <v>03615219</v>
      </c>
      <c r="E4461" s="4" t="str">
        <f>"-"</f>
        <v>-</v>
      </c>
      <c r="F4461" s="4" t="s">
        <v>145</v>
      </c>
    </row>
    <row r="4462" spans="1:6" x14ac:dyDescent="0.25">
      <c r="A4462" s="4" t="str">
        <f>"Solid Mechanics and its Applications"</f>
        <v>Solid Mechanics and its Applications</v>
      </c>
      <c r="B4462" s="4" t="s">
        <v>29</v>
      </c>
      <c r="C4462" s="4" t="str">
        <f t="shared" si="164"/>
        <v>-</v>
      </c>
      <c r="D4462" s="4" t="str">
        <f>"09250042"</f>
        <v>09250042</v>
      </c>
      <c r="E4462" s="4" t="str">
        <f>"-"</f>
        <v>-</v>
      </c>
      <c r="F4462" s="4" t="s">
        <v>42</v>
      </c>
    </row>
    <row r="4463" spans="1:6" x14ac:dyDescent="0.25">
      <c r="A4463" s="4" t="str">
        <f>"Solid State Communications"</f>
        <v>Solid State Communications</v>
      </c>
      <c r="B4463" s="4" t="s">
        <v>6</v>
      </c>
      <c r="C4463" s="4" t="str">
        <f t="shared" si="164"/>
        <v>-</v>
      </c>
      <c r="D4463" s="4" t="str">
        <f>"00381098"</f>
        <v>00381098</v>
      </c>
      <c r="E4463" s="4" t="str">
        <f>"-"</f>
        <v>-</v>
      </c>
      <c r="F4463" s="4" t="s">
        <v>19</v>
      </c>
    </row>
    <row r="4464" spans="1:6" x14ac:dyDescent="0.25">
      <c r="A4464" s="4" t="str">
        <f>"Solid State Ionics"</f>
        <v>Solid State Ionics</v>
      </c>
      <c r="B4464" s="4" t="s">
        <v>6</v>
      </c>
      <c r="C4464" s="4" t="str">
        <f t="shared" si="164"/>
        <v>-</v>
      </c>
      <c r="D4464" s="4" t="str">
        <f>"01672738"</f>
        <v>01672738</v>
      </c>
      <c r="E4464" s="4" t="str">
        <f>"-"</f>
        <v>-</v>
      </c>
      <c r="F4464" s="4" t="s">
        <v>55</v>
      </c>
    </row>
    <row r="4465" spans="1:6" x14ac:dyDescent="0.25">
      <c r="A4465" s="4" t="str">
        <f>"Solid State Nuclear Magnetic Resonance"</f>
        <v>Solid State Nuclear Magnetic Resonance</v>
      </c>
      <c r="B4465" s="4" t="s">
        <v>6</v>
      </c>
      <c r="C4465" s="4" t="str">
        <f t="shared" si="164"/>
        <v>-</v>
      </c>
      <c r="D4465" s="4" t="str">
        <f>"09262040"</f>
        <v>09262040</v>
      </c>
      <c r="E4465" s="4" t="str">
        <f>"-"</f>
        <v>-</v>
      </c>
      <c r="F4465" s="4" t="s">
        <v>55</v>
      </c>
    </row>
    <row r="4466" spans="1:6" x14ac:dyDescent="0.25">
      <c r="A4466" s="4" t="str">
        <f>"Solid State Phenomena"</f>
        <v>Solid State Phenomena</v>
      </c>
      <c r="B4466" s="4" t="s">
        <v>29</v>
      </c>
      <c r="C4466" s="4" t="str">
        <f t="shared" si="164"/>
        <v>-</v>
      </c>
      <c r="D4466" s="4" t="str">
        <f>"-"</f>
        <v>-</v>
      </c>
      <c r="E4466" s="4" t="str">
        <f>"16629779"</f>
        <v>16629779</v>
      </c>
      <c r="F4466" s="4" t="s">
        <v>320</v>
      </c>
    </row>
    <row r="4467" spans="1:6" x14ac:dyDescent="0.25">
      <c r="A4467" s="4" t="str">
        <f>"Solid State Sciences"</f>
        <v>Solid State Sciences</v>
      </c>
      <c r="B4467" s="4" t="s">
        <v>6</v>
      </c>
      <c r="C4467" s="4" t="str">
        <f t="shared" si="164"/>
        <v>-</v>
      </c>
      <c r="D4467" s="4" t="str">
        <f>"12932558"</f>
        <v>12932558</v>
      </c>
      <c r="E4467" s="4" t="str">
        <f>"-"</f>
        <v>-</v>
      </c>
      <c r="F4467" s="4" t="s">
        <v>97</v>
      </c>
    </row>
    <row r="4468" spans="1:6" x14ac:dyDescent="0.25">
      <c r="A4468" s="4" t="str">
        <f>"Solid State Technology"</f>
        <v>Solid State Technology</v>
      </c>
      <c r="B4468" s="4" t="s">
        <v>22</v>
      </c>
      <c r="C4468" s="4" t="str">
        <f t="shared" si="164"/>
        <v>-</v>
      </c>
      <c r="D4468" s="4" t="str">
        <f>"0038111X"</f>
        <v>0038111X</v>
      </c>
      <c r="E4468" s="4" t="str">
        <f>"-"</f>
        <v>-</v>
      </c>
      <c r="F4468" s="4" t="s">
        <v>830</v>
      </c>
    </row>
    <row r="4469" spans="1:6" x14ac:dyDescent="0.25">
      <c r="A4469" s="4" t="str">
        <f>"Solid-State Electronics"</f>
        <v>Solid-State Electronics</v>
      </c>
      <c r="B4469" s="4" t="s">
        <v>6</v>
      </c>
      <c r="C4469" s="4" t="str">
        <f t="shared" si="164"/>
        <v>-</v>
      </c>
      <c r="D4469" s="4" t="str">
        <f>"00381101"</f>
        <v>00381101</v>
      </c>
      <c r="E4469" s="4" t="str">
        <f>"-"</f>
        <v>-</v>
      </c>
      <c r="F4469" s="4" t="s">
        <v>19</v>
      </c>
    </row>
    <row r="4470" spans="1:6" x14ac:dyDescent="0.25">
      <c r="A4470" s="4" t="str">
        <f>"Solvent Extraction and Ion Exchange"</f>
        <v>Solvent Extraction and Ion Exchange</v>
      </c>
      <c r="B4470" s="4" t="s">
        <v>6</v>
      </c>
      <c r="C4470" s="4" t="str">
        <f t="shared" si="164"/>
        <v>-</v>
      </c>
      <c r="D4470" s="4" t="str">
        <f>"07366299"</f>
        <v>07366299</v>
      </c>
      <c r="E4470" s="4" t="str">
        <f>"15322262"</f>
        <v>15322262</v>
      </c>
      <c r="F4470" s="4" t="s">
        <v>96</v>
      </c>
    </row>
    <row r="4471" spans="1:6" x14ac:dyDescent="0.25">
      <c r="A4471" s="4" t="str">
        <f>"SORT"</f>
        <v>SORT</v>
      </c>
      <c r="B4471" s="4" t="s">
        <v>6</v>
      </c>
      <c r="C4471" s="4" t="str">
        <f t="shared" si="164"/>
        <v>-</v>
      </c>
      <c r="D4471" s="4" t="str">
        <f>"16962281"</f>
        <v>16962281</v>
      </c>
      <c r="E4471" s="4" t="str">
        <f>"20138830"</f>
        <v>20138830</v>
      </c>
      <c r="F4471" s="4" t="s">
        <v>1084</v>
      </c>
    </row>
    <row r="4472" spans="1:6" x14ac:dyDescent="0.25">
      <c r="A4472" s="4" t="str">
        <f>"Sound and Vibration"</f>
        <v>Sound and Vibration</v>
      </c>
      <c r="B4472" s="4" t="s">
        <v>22</v>
      </c>
      <c r="C4472" s="4" t="str">
        <f t="shared" si="164"/>
        <v>-</v>
      </c>
      <c r="D4472" s="4" t="str">
        <f>"15410161"</f>
        <v>15410161</v>
      </c>
      <c r="E4472" s="4" t="str">
        <f>"-"</f>
        <v>-</v>
      </c>
      <c r="F4472" s="4" t="s">
        <v>1085</v>
      </c>
    </row>
    <row r="4473" spans="1:6" x14ac:dyDescent="0.25">
      <c r="A4473" s="4" t="str">
        <f>"South African Journal of Industrial Engineering"</f>
        <v>South African Journal of Industrial Engineering</v>
      </c>
      <c r="B4473" s="4" t="s">
        <v>6</v>
      </c>
      <c r="C4473" s="4" t="str">
        <f t="shared" si="164"/>
        <v>-</v>
      </c>
      <c r="D4473" s="4" t="str">
        <f>"1012277X"</f>
        <v>1012277X</v>
      </c>
      <c r="E4473" s="4" t="str">
        <f>"22247890"</f>
        <v>22247890</v>
      </c>
      <c r="F4473" s="4" t="s">
        <v>1086</v>
      </c>
    </row>
    <row r="4474" spans="1:6" x14ac:dyDescent="0.25">
      <c r="A4474" s="4" t="str">
        <f>"Southern Journal of Applied Forestry"</f>
        <v>Southern Journal of Applied Forestry</v>
      </c>
      <c r="B4474" s="4" t="s">
        <v>6</v>
      </c>
      <c r="C4474" s="4" t="str">
        <f t="shared" si="164"/>
        <v>-</v>
      </c>
      <c r="D4474" s="4" t="str">
        <f>"01484419"</f>
        <v>01484419</v>
      </c>
      <c r="E4474" s="4" t="str">
        <f>"-"</f>
        <v>-</v>
      </c>
      <c r="F4474" s="4" t="s">
        <v>426</v>
      </c>
    </row>
    <row r="4475" spans="1:6" x14ac:dyDescent="0.25">
      <c r="A4475" s="4" t="str">
        <f>"Space Communications"</f>
        <v>Space Communications</v>
      </c>
      <c r="B4475" s="4" t="s">
        <v>6</v>
      </c>
      <c r="C4475" s="4" t="str">
        <f t="shared" si="164"/>
        <v>-</v>
      </c>
      <c r="D4475" s="4" t="str">
        <f>"09248625"</f>
        <v>09248625</v>
      </c>
      <c r="E4475" s="4" t="str">
        <f>"-"</f>
        <v>-</v>
      </c>
      <c r="F4475" s="4" t="s">
        <v>103</v>
      </c>
    </row>
    <row r="4476" spans="1:6" x14ac:dyDescent="0.25">
      <c r="A4476" s="4" t="str">
        <f>"Space Science Reviews"</f>
        <v>Space Science Reviews</v>
      </c>
      <c r="B4476" s="4" t="s">
        <v>6</v>
      </c>
      <c r="C4476" s="4" t="str">
        <f t="shared" si="164"/>
        <v>-</v>
      </c>
      <c r="D4476" s="4" t="str">
        <f>"00386308"</f>
        <v>00386308</v>
      </c>
      <c r="E4476" s="4" t="str">
        <f>"15729672"</f>
        <v>15729672</v>
      </c>
      <c r="F4476" s="4" t="s">
        <v>31</v>
      </c>
    </row>
    <row r="4477" spans="1:6" x14ac:dyDescent="0.25">
      <c r="A4477" s="4" t="str">
        <f>"Spatial Cognition and Computation"</f>
        <v>Spatial Cognition and Computation</v>
      </c>
      <c r="B4477" s="4" t="s">
        <v>6</v>
      </c>
      <c r="C4477" s="4" t="str">
        <f t="shared" si="164"/>
        <v>-</v>
      </c>
      <c r="D4477" s="4" t="str">
        <f>"13875868"</f>
        <v>13875868</v>
      </c>
      <c r="E4477" s="4" t="str">
        <f>"15427633"</f>
        <v>15427633</v>
      </c>
      <c r="F4477" s="4" t="s">
        <v>96</v>
      </c>
    </row>
    <row r="4478" spans="1:6" x14ac:dyDescent="0.25">
      <c r="A4478" s="4" t="str">
        <f>"SPE - European Formation Damage Conference, Proceedings, EFDC"</f>
        <v>SPE - European Formation Damage Conference, Proceedings, EFDC</v>
      </c>
      <c r="B4478" s="4" t="s">
        <v>8</v>
      </c>
      <c r="C4478" s="4" t="str">
        <f t="shared" si="164"/>
        <v>-</v>
      </c>
      <c r="D4478" s="4" t="str">
        <f>"-"</f>
        <v>-</v>
      </c>
      <c r="E4478" s="4" t="str">
        <f>"-"</f>
        <v>-</v>
      </c>
      <c r="F4478" s="4" t="s">
        <v>915</v>
      </c>
    </row>
    <row r="4479" spans="1:6" x14ac:dyDescent="0.25">
      <c r="A4479" s="4" t="str">
        <f>"SPE Drilling and Completion"</f>
        <v>SPE Drilling and Completion</v>
      </c>
      <c r="B4479" s="4" t="s">
        <v>6</v>
      </c>
      <c r="C4479" s="4" t="str">
        <f t="shared" si="164"/>
        <v>-</v>
      </c>
      <c r="D4479" s="4" t="str">
        <f>"10646671"</f>
        <v>10646671</v>
      </c>
      <c r="E4479" s="4" t="str">
        <f t="shared" ref="E4479:E4496" si="165">"-"</f>
        <v>-</v>
      </c>
      <c r="F4479" s="4" t="s">
        <v>671</v>
      </c>
    </row>
    <row r="4480" spans="1:6" x14ac:dyDescent="0.25">
      <c r="A4480" s="4" t="str">
        <f>"SPE Eastern Regional Meeting"</f>
        <v>SPE Eastern Regional Meeting</v>
      </c>
      <c r="B4480" s="4" t="s">
        <v>8</v>
      </c>
      <c r="C4480" s="4" t="str">
        <f t="shared" si="164"/>
        <v>-</v>
      </c>
      <c r="D4480" s="4" t="str">
        <f>"-"</f>
        <v>-</v>
      </c>
      <c r="E4480" s="4" t="str">
        <f t="shared" si="165"/>
        <v>-</v>
      </c>
      <c r="F4480" s="4" t="s">
        <v>915</v>
      </c>
    </row>
    <row r="4481" spans="1:6" x14ac:dyDescent="0.25">
      <c r="A4481" s="4" t="str">
        <f>"SPE Economics and Management"</f>
        <v>SPE Economics and Management</v>
      </c>
      <c r="B4481" s="4" t="s">
        <v>6</v>
      </c>
      <c r="C4481" s="4" t="str">
        <f t="shared" si="164"/>
        <v>-</v>
      </c>
      <c r="D4481" s="4" t="str">
        <f>"21501173"</f>
        <v>21501173</v>
      </c>
      <c r="E4481" s="4" t="str">
        <f t="shared" si="165"/>
        <v>-</v>
      </c>
      <c r="F4481" s="4" t="s">
        <v>671</v>
      </c>
    </row>
    <row r="4482" spans="1:6" x14ac:dyDescent="0.25">
      <c r="A4482" s="4" t="str">
        <f>"SPE Hydrocarbon Economics and Evaluation Symposium"</f>
        <v>SPE Hydrocarbon Economics and Evaluation Symposium</v>
      </c>
      <c r="B4482" s="4" t="s">
        <v>8</v>
      </c>
      <c r="C4482" s="4" t="str">
        <f t="shared" si="164"/>
        <v>-</v>
      </c>
      <c r="D4482" s="4" t="str">
        <f>"-"</f>
        <v>-</v>
      </c>
      <c r="E4482" s="4" t="str">
        <f t="shared" si="165"/>
        <v>-</v>
      </c>
      <c r="F4482" s="4" t="s">
        <v>915</v>
      </c>
    </row>
    <row r="4483" spans="1:6" x14ac:dyDescent="0.25">
      <c r="A4483" s="4" t="str">
        <f>"SPE International Petroleum Conference in Mexico - Proceedings"</f>
        <v>SPE International Petroleum Conference in Mexico - Proceedings</v>
      </c>
      <c r="B4483" s="4" t="s">
        <v>8</v>
      </c>
      <c r="C4483" s="4" t="str">
        <f t="shared" si="164"/>
        <v>-</v>
      </c>
      <c r="D4483" s="4" t="str">
        <f>"-"</f>
        <v>-</v>
      </c>
      <c r="E4483" s="4" t="str">
        <f t="shared" si="165"/>
        <v>-</v>
      </c>
      <c r="F4483" s="4" t="s">
        <v>915</v>
      </c>
    </row>
    <row r="4484" spans="1:6" x14ac:dyDescent="0.25">
      <c r="A4484" s="4" t="str">
        <f>"SPE Journal"</f>
        <v>SPE Journal</v>
      </c>
      <c r="B4484" s="4" t="s">
        <v>6</v>
      </c>
      <c r="C4484" s="4" t="str">
        <f t="shared" si="164"/>
        <v>-</v>
      </c>
      <c r="D4484" s="4" t="str">
        <f>"1086055X"</f>
        <v>1086055X</v>
      </c>
      <c r="E4484" s="4" t="str">
        <f t="shared" si="165"/>
        <v>-</v>
      </c>
      <c r="F4484" s="4" t="s">
        <v>671</v>
      </c>
    </row>
    <row r="4485" spans="1:6" x14ac:dyDescent="0.25">
      <c r="A4485" s="4" t="str">
        <f>"SPE Latin American and Caribbean Petroleum Engineering Conference Proceedings"</f>
        <v>SPE Latin American and Caribbean Petroleum Engineering Conference Proceedings</v>
      </c>
      <c r="B4485" s="4" t="s">
        <v>8</v>
      </c>
      <c r="C4485" s="4" t="str">
        <f t="shared" si="164"/>
        <v>-</v>
      </c>
      <c r="D4485" s="4" t="str">
        <f>"-"</f>
        <v>-</v>
      </c>
      <c r="E4485" s="4" t="str">
        <f t="shared" si="165"/>
        <v>-</v>
      </c>
      <c r="F4485" s="4" t="s">
        <v>915</v>
      </c>
    </row>
    <row r="4486" spans="1:6" x14ac:dyDescent="0.25">
      <c r="A4486" s="4" t="str">
        <f>"SPE Middle East Oil and Gas Show and Conference, MEOS, Proceedings"</f>
        <v>SPE Middle East Oil and Gas Show and Conference, MEOS, Proceedings</v>
      </c>
      <c r="B4486" s="4" t="s">
        <v>8</v>
      </c>
      <c r="C4486" s="4" t="str">
        <f t="shared" si="164"/>
        <v>-</v>
      </c>
      <c r="D4486" s="4" t="str">
        <f>"-"</f>
        <v>-</v>
      </c>
      <c r="E4486" s="4" t="str">
        <f t="shared" si="165"/>
        <v>-</v>
      </c>
      <c r="F4486" s="4" t="s">
        <v>915</v>
      </c>
    </row>
    <row r="4487" spans="1:6" x14ac:dyDescent="0.25">
      <c r="A4487" s="4" t="str">
        <f>"SPE Offshore Europe Conference Proceedings"</f>
        <v>SPE Offshore Europe Conference Proceedings</v>
      </c>
      <c r="B4487" s="4" t="s">
        <v>8</v>
      </c>
      <c r="C4487" s="4" t="str">
        <f t="shared" si="164"/>
        <v>-</v>
      </c>
      <c r="D4487" s="4" t="str">
        <f>"-"</f>
        <v>-</v>
      </c>
      <c r="E4487" s="4" t="str">
        <f t="shared" si="165"/>
        <v>-</v>
      </c>
      <c r="F4487" s="4" t="s">
        <v>915</v>
      </c>
    </row>
    <row r="4488" spans="1:6" x14ac:dyDescent="0.25">
      <c r="A4488" s="4" t="str">
        <f>"SPE Proceedings - Gas Technology Symposium"</f>
        <v>SPE Proceedings - Gas Technology Symposium</v>
      </c>
      <c r="B4488" s="4" t="s">
        <v>8</v>
      </c>
      <c r="C4488" s="4" t="str">
        <f t="shared" si="164"/>
        <v>-</v>
      </c>
      <c r="D4488" s="4" t="str">
        <f>"-"</f>
        <v>-</v>
      </c>
      <c r="E4488" s="4" t="str">
        <f t="shared" si="165"/>
        <v>-</v>
      </c>
      <c r="F4488" s="4" t="s">
        <v>915</v>
      </c>
    </row>
    <row r="4489" spans="1:6" x14ac:dyDescent="0.25">
      <c r="A4489" s="4" t="str">
        <f>"SPE Production and Operations"</f>
        <v>SPE Production and Operations</v>
      </c>
      <c r="B4489" s="4" t="s">
        <v>6</v>
      </c>
      <c r="C4489" s="4" t="str">
        <f t="shared" si="164"/>
        <v>-</v>
      </c>
      <c r="D4489" s="4" t="str">
        <f>"19301855"</f>
        <v>19301855</v>
      </c>
      <c r="E4489" s="4" t="str">
        <f t="shared" si="165"/>
        <v>-</v>
      </c>
      <c r="F4489" s="4" t="s">
        <v>671</v>
      </c>
    </row>
    <row r="4490" spans="1:6" x14ac:dyDescent="0.25">
      <c r="A4490" s="4" t="str">
        <f>"SPE Production and Operations Symposium, Proceedings"</f>
        <v>SPE Production and Operations Symposium, Proceedings</v>
      </c>
      <c r="B4490" s="4" t="s">
        <v>8</v>
      </c>
      <c r="C4490" s="4" t="str">
        <f t="shared" si="164"/>
        <v>-</v>
      </c>
      <c r="D4490" s="4" t="str">
        <f>"-"</f>
        <v>-</v>
      </c>
      <c r="E4490" s="4" t="str">
        <f t="shared" si="165"/>
        <v>-</v>
      </c>
      <c r="F4490" s="4" t="s">
        <v>915</v>
      </c>
    </row>
    <row r="4491" spans="1:6" x14ac:dyDescent="0.25">
      <c r="A4491" s="4" t="str">
        <f>"SPE Projects, Facilities and Construction"</f>
        <v>SPE Projects, Facilities and Construction</v>
      </c>
      <c r="B4491" s="4" t="s">
        <v>6</v>
      </c>
      <c r="C4491" s="4" t="str">
        <f t="shared" si="164"/>
        <v>-</v>
      </c>
      <c r="D4491" s="4" t="str">
        <f>"19422431"</f>
        <v>19422431</v>
      </c>
      <c r="E4491" s="4" t="str">
        <f t="shared" si="165"/>
        <v>-</v>
      </c>
      <c r="F4491" s="4" t="s">
        <v>915</v>
      </c>
    </row>
    <row r="4492" spans="1:6" x14ac:dyDescent="0.25">
      <c r="A4492" s="4" t="str">
        <f>"SPE Reprint Series"</f>
        <v>SPE Reprint Series</v>
      </c>
      <c r="B4492" s="4" t="s">
        <v>29</v>
      </c>
      <c r="C4492" s="4" t="str">
        <f t="shared" si="164"/>
        <v>-</v>
      </c>
      <c r="D4492" s="4" t="str">
        <f>"08910901"</f>
        <v>08910901</v>
      </c>
      <c r="E4492" s="4" t="str">
        <f t="shared" si="165"/>
        <v>-</v>
      </c>
      <c r="F4492" s="4" t="s">
        <v>915</v>
      </c>
    </row>
    <row r="4493" spans="1:6" x14ac:dyDescent="0.25">
      <c r="A4493" s="4" t="str">
        <f>"SPE Reservoir Evaluation and Engineering"</f>
        <v>SPE Reservoir Evaluation and Engineering</v>
      </c>
      <c r="B4493" s="4" t="s">
        <v>6</v>
      </c>
      <c r="C4493" s="4" t="str">
        <f t="shared" si="164"/>
        <v>-</v>
      </c>
      <c r="D4493" s="4" t="str">
        <f>"10946470"</f>
        <v>10946470</v>
      </c>
      <c r="E4493" s="4" t="str">
        <f t="shared" si="165"/>
        <v>-</v>
      </c>
      <c r="F4493" s="4" t="s">
        <v>671</v>
      </c>
    </row>
    <row r="4494" spans="1:6" x14ac:dyDescent="0.25">
      <c r="A4494" s="4" t="str">
        <f>"SPE/EPA/DOE Exploration and Production Environmental Conference, Proceedings"</f>
        <v>SPE/EPA/DOE Exploration and Production Environmental Conference, Proceedings</v>
      </c>
      <c r="B4494" s="4" t="s">
        <v>8</v>
      </c>
      <c r="C4494" s="4" t="str">
        <f t="shared" si="164"/>
        <v>-</v>
      </c>
      <c r="D4494" s="4" t="str">
        <f>"-"</f>
        <v>-</v>
      </c>
      <c r="E4494" s="4" t="str">
        <f t="shared" si="165"/>
        <v>-</v>
      </c>
      <c r="F4494" s="4" t="s">
        <v>915</v>
      </c>
    </row>
    <row r="4495" spans="1:6" x14ac:dyDescent="0.25">
      <c r="A4495" s="4" t="str">
        <f>"SPE/IADC Drilling Conference, Proceedings"</f>
        <v>SPE/IADC Drilling Conference, Proceedings</v>
      </c>
      <c r="B4495" s="4" t="s">
        <v>8</v>
      </c>
      <c r="C4495" s="4" t="str">
        <f t="shared" si="164"/>
        <v>-</v>
      </c>
      <c r="D4495" s="4" t="str">
        <f>"-"</f>
        <v>-</v>
      </c>
      <c r="E4495" s="4" t="str">
        <f t="shared" si="165"/>
        <v>-</v>
      </c>
      <c r="F4495" s="4" t="s">
        <v>915</v>
      </c>
    </row>
    <row r="4496" spans="1:6" x14ac:dyDescent="0.25">
      <c r="A4496" s="4" t="str">
        <f>"Special Paper of the Geological Society of America"</f>
        <v>Special Paper of the Geological Society of America</v>
      </c>
      <c r="B4496" s="4" t="s">
        <v>29</v>
      </c>
      <c r="C4496" s="4" t="str">
        <f t="shared" si="164"/>
        <v>-</v>
      </c>
      <c r="D4496" s="4" t="str">
        <f>"00721077"</f>
        <v>00721077</v>
      </c>
      <c r="E4496" s="4" t="str">
        <f t="shared" si="165"/>
        <v>-</v>
      </c>
      <c r="F4496" s="4" t="s">
        <v>228</v>
      </c>
    </row>
    <row r="4497" spans="1:6" x14ac:dyDescent="0.25">
      <c r="A4497" s="4" t="str">
        <f>"Special Topics and Reviews in Porous Media"</f>
        <v>Special Topics and Reviews in Porous Media</v>
      </c>
      <c r="B4497" s="4" t="s">
        <v>6</v>
      </c>
      <c r="C4497" s="4" t="str">
        <f t="shared" si="164"/>
        <v>-</v>
      </c>
      <c r="D4497" s="4" t="str">
        <f>"21514798"</f>
        <v>21514798</v>
      </c>
      <c r="E4497" s="4" t="str">
        <f>"2151562X"</f>
        <v>2151562X</v>
      </c>
      <c r="F4497" s="4" t="s">
        <v>69</v>
      </c>
    </row>
    <row r="4498" spans="1:6" x14ac:dyDescent="0.25">
      <c r="A4498" s="4" t="str">
        <f>"Spectrochimica Acta - Part A Molecular Spectroscopy"</f>
        <v>Spectrochimica Acta - Part A Molecular Spectroscopy</v>
      </c>
      <c r="B4498" s="4" t="s">
        <v>6</v>
      </c>
      <c r="C4498" s="4" t="str">
        <f t="shared" si="164"/>
        <v>-</v>
      </c>
      <c r="D4498" s="4" t="str">
        <f>"05848539"</f>
        <v>05848539</v>
      </c>
      <c r="E4498" s="4" t="str">
        <f t="shared" ref="E4498:E4503" si="166">"-"</f>
        <v>-</v>
      </c>
      <c r="F4498" s="4" t="s">
        <v>55</v>
      </c>
    </row>
    <row r="4499" spans="1:6" x14ac:dyDescent="0.25">
      <c r="A4499" s="4" t="str">
        <f>"Spectrochimica Acta - Part A: Molecular and Biomolecular Spectroscopy"</f>
        <v>Spectrochimica Acta - Part A: Molecular and Biomolecular Spectroscopy</v>
      </c>
      <c r="B4499" s="4" t="s">
        <v>6</v>
      </c>
      <c r="C4499" s="4" t="str">
        <f t="shared" si="164"/>
        <v>-</v>
      </c>
      <c r="D4499" s="4" t="str">
        <f>"13861425"</f>
        <v>13861425</v>
      </c>
      <c r="E4499" s="4" t="str">
        <f t="shared" si="166"/>
        <v>-</v>
      </c>
      <c r="F4499" s="4" t="s">
        <v>55</v>
      </c>
    </row>
    <row r="4500" spans="1:6" x14ac:dyDescent="0.25">
      <c r="A4500" s="4" t="str">
        <f>"Spectrochimica Acta - Part B Atomic Spectroscopy"</f>
        <v>Spectrochimica Acta - Part B Atomic Spectroscopy</v>
      </c>
      <c r="B4500" s="4" t="s">
        <v>6</v>
      </c>
      <c r="C4500" s="4" t="str">
        <f t="shared" ref="C4500:C4563" si="167">"-"</f>
        <v>-</v>
      </c>
      <c r="D4500" s="4" t="str">
        <f>"05848547"</f>
        <v>05848547</v>
      </c>
      <c r="E4500" s="4" t="str">
        <f t="shared" si="166"/>
        <v>-</v>
      </c>
      <c r="F4500" s="4" t="s">
        <v>55</v>
      </c>
    </row>
    <row r="4501" spans="1:6" x14ac:dyDescent="0.25">
      <c r="A4501" s="4" t="str">
        <f>"Spectroscopy (Santa Monica)"</f>
        <v>Spectroscopy (Santa Monica)</v>
      </c>
      <c r="B4501" s="4" t="s">
        <v>6</v>
      </c>
      <c r="C4501" s="4" t="str">
        <f t="shared" si="167"/>
        <v>-</v>
      </c>
      <c r="D4501" s="4" t="str">
        <f>"08876703"</f>
        <v>08876703</v>
      </c>
      <c r="E4501" s="4" t="str">
        <f t="shared" si="166"/>
        <v>-</v>
      </c>
      <c r="F4501" s="4" t="s">
        <v>930</v>
      </c>
    </row>
    <row r="4502" spans="1:6" x14ac:dyDescent="0.25">
      <c r="A4502" s="4" t="str">
        <f>"Spectroscopy Europe"</f>
        <v>Spectroscopy Europe</v>
      </c>
      <c r="B4502" s="4" t="s">
        <v>6</v>
      </c>
      <c r="C4502" s="4" t="str">
        <f t="shared" si="167"/>
        <v>-</v>
      </c>
      <c r="D4502" s="4" t="str">
        <f>"09660941"</f>
        <v>09660941</v>
      </c>
      <c r="E4502" s="4" t="str">
        <f t="shared" si="166"/>
        <v>-</v>
      </c>
      <c r="F4502" s="4" t="s">
        <v>142</v>
      </c>
    </row>
    <row r="4503" spans="1:6" x14ac:dyDescent="0.25">
      <c r="A4503" s="4" t="str">
        <f>"Speech Communication"</f>
        <v>Speech Communication</v>
      </c>
      <c r="B4503" s="4" t="s">
        <v>6</v>
      </c>
      <c r="C4503" s="4" t="str">
        <f t="shared" si="167"/>
        <v>-</v>
      </c>
      <c r="D4503" s="4" t="str">
        <f>"01676393"</f>
        <v>01676393</v>
      </c>
      <c r="E4503" s="4" t="str">
        <f t="shared" si="166"/>
        <v>-</v>
      </c>
      <c r="F4503" s="4" t="s">
        <v>55</v>
      </c>
    </row>
    <row r="4504" spans="1:6" x14ac:dyDescent="0.25">
      <c r="A4504" s="4" t="str">
        <f>"Sports Engineering"</f>
        <v>Sports Engineering</v>
      </c>
      <c r="B4504" s="4" t="s">
        <v>6</v>
      </c>
      <c r="C4504" s="4" t="str">
        <f t="shared" si="167"/>
        <v>-</v>
      </c>
      <c r="D4504" s="4" t="str">
        <f>"13697072"</f>
        <v>13697072</v>
      </c>
      <c r="E4504" s="4" t="str">
        <f>"14602687"</f>
        <v>14602687</v>
      </c>
      <c r="F4504" s="4" t="s">
        <v>62</v>
      </c>
    </row>
    <row r="4505" spans="1:6" x14ac:dyDescent="0.25">
      <c r="A4505" s="4" t="str">
        <f>"Springer Proceedings in Mathematics"</f>
        <v>Springer Proceedings in Mathematics</v>
      </c>
      <c r="B4505" s="4" t="s">
        <v>8</v>
      </c>
      <c r="C4505" s="4" t="str">
        <f t="shared" si="167"/>
        <v>-</v>
      </c>
      <c r="D4505" s="4" t="str">
        <f>"21905614"</f>
        <v>21905614</v>
      </c>
      <c r="E4505" s="4" t="str">
        <f>"21905622"</f>
        <v>21905622</v>
      </c>
      <c r="F4505" s="4" t="s">
        <v>42</v>
      </c>
    </row>
    <row r="4506" spans="1:6" x14ac:dyDescent="0.25">
      <c r="A4506" s="4" t="str">
        <f>"Springer Proceedings in Mathematics and Statistics"</f>
        <v>Springer Proceedings in Mathematics and Statistics</v>
      </c>
      <c r="B4506" s="4" t="s">
        <v>8</v>
      </c>
      <c r="C4506" s="4" t="str">
        <f t="shared" si="167"/>
        <v>-</v>
      </c>
      <c r="D4506" s="4" t="str">
        <f>"21941009"</f>
        <v>21941009</v>
      </c>
      <c r="E4506" s="4" t="str">
        <f>"21941017"</f>
        <v>21941017</v>
      </c>
      <c r="F4506" s="4" t="s">
        <v>57</v>
      </c>
    </row>
    <row r="4507" spans="1:6" x14ac:dyDescent="0.25">
      <c r="A4507" s="4" t="str">
        <f>"Springer Proceedings in Physics"</f>
        <v>Springer Proceedings in Physics</v>
      </c>
      <c r="B4507" s="4" t="s">
        <v>8</v>
      </c>
      <c r="C4507" s="4" t="str">
        <f t="shared" si="167"/>
        <v>-</v>
      </c>
      <c r="D4507" s="4" t="str">
        <f>"09308989"</f>
        <v>09308989</v>
      </c>
      <c r="E4507" s="4" t="str">
        <f>"18674941"</f>
        <v>18674941</v>
      </c>
      <c r="F4507" s="4" t="s">
        <v>834</v>
      </c>
    </row>
    <row r="4508" spans="1:6" x14ac:dyDescent="0.25">
      <c r="A4508" s="4" t="str">
        <f>"Springer Series in Geomechanics and Geoengineering"</f>
        <v>Springer Series in Geomechanics and Geoengineering</v>
      </c>
      <c r="B4508" s="4" t="s">
        <v>29</v>
      </c>
      <c r="C4508" s="4" t="str">
        <f t="shared" si="167"/>
        <v>-</v>
      </c>
      <c r="D4508" s="4" t="str">
        <f>"18668755"</f>
        <v>18668755</v>
      </c>
      <c r="E4508" s="4" t="str">
        <f>"18668763"</f>
        <v>18668763</v>
      </c>
      <c r="F4508" s="4" t="s">
        <v>42</v>
      </c>
    </row>
    <row r="4509" spans="1:6" x14ac:dyDescent="0.25">
      <c r="A4509" s="4" t="str">
        <f>"Springer Tracts in Advanced Robotics"</f>
        <v>Springer Tracts in Advanced Robotics</v>
      </c>
      <c r="B4509" s="4" t="s">
        <v>29</v>
      </c>
      <c r="C4509" s="4" t="str">
        <f t="shared" si="167"/>
        <v>-</v>
      </c>
      <c r="D4509" s="4" t="str">
        <f>"16107438"</f>
        <v>16107438</v>
      </c>
      <c r="E4509" s="4" t="str">
        <f>"1610742X"</f>
        <v>1610742X</v>
      </c>
      <c r="F4509" s="4" t="s">
        <v>42</v>
      </c>
    </row>
    <row r="4510" spans="1:6" x14ac:dyDescent="0.25">
      <c r="A4510" s="4" t="str">
        <f>"SpringerBriefs in Applied Sciences and Technology"</f>
        <v>SpringerBriefs in Applied Sciences and Technology</v>
      </c>
      <c r="B4510" s="4" t="s">
        <v>29</v>
      </c>
      <c r="C4510" s="4" t="str">
        <f t="shared" si="167"/>
        <v>-</v>
      </c>
      <c r="D4510" s="4" t="str">
        <f>"2191530X"</f>
        <v>2191530X</v>
      </c>
      <c r="E4510" s="4" t="str">
        <f>"21915318"</f>
        <v>21915318</v>
      </c>
      <c r="F4510" s="4" t="s">
        <v>42</v>
      </c>
    </row>
    <row r="4511" spans="1:6" x14ac:dyDescent="0.25">
      <c r="A4511" s="4" t="str">
        <f>"Stahlbau"</f>
        <v>Stahlbau</v>
      </c>
      <c r="B4511" s="4" t="s">
        <v>22</v>
      </c>
      <c r="C4511" s="4" t="str">
        <f t="shared" si="167"/>
        <v>-</v>
      </c>
      <c r="D4511" s="4" t="str">
        <f>"00389145"</f>
        <v>00389145</v>
      </c>
      <c r="E4511" s="4" t="str">
        <f>"14371049"</f>
        <v>14371049</v>
      </c>
      <c r="F4511" s="4" t="s">
        <v>261</v>
      </c>
    </row>
    <row r="4512" spans="1:6" x14ac:dyDescent="0.25">
      <c r="A4512" s="4" t="str">
        <f>"Standardization News"</f>
        <v>Standardization News</v>
      </c>
      <c r="B4512" s="4" t="s">
        <v>6</v>
      </c>
      <c r="C4512" s="4" t="str">
        <f t="shared" si="167"/>
        <v>-</v>
      </c>
      <c r="D4512" s="4" t="str">
        <f>"10944656"</f>
        <v>10944656</v>
      </c>
      <c r="E4512" s="4" t="str">
        <f>"-"</f>
        <v>-</v>
      </c>
      <c r="F4512" s="4" t="s">
        <v>75</v>
      </c>
    </row>
    <row r="4513" spans="1:6" x14ac:dyDescent="0.25">
      <c r="A4513" s="4" t="str">
        <f>"Starch/Staerke"</f>
        <v>Starch/Staerke</v>
      </c>
      <c r="B4513" s="4" t="s">
        <v>6</v>
      </c>
      <c r="C4513" s="4" t="str">
        <f t="shared" si="167"/>
        <v>-</v>
      </c>
      <c r="D4513" s="4" t="str">
        <f>"00389056"</f>
        <v>00389056</v>
      </c>
      <c r="E4513" s="4" t="str">
        <f>"1521379X"</f>
        <v>1521379X</v>
      </c>
      <c r="F4513" s="4" t="s">
        <v>63</v>
      </c>
    </row>
    <row r="4514" spans="1:6" x14ac:dyDescent="0.25">
      <c r="A4514" s="4" t="str">
        <f>"Statistical Analysis and Data Mining"</f>
        <v>Statistical Analysis and Data Mining</v>
      </c>
      <c r="B4514" s="4" t="s">
        <v>6</v>
      </c>
      <c r="C4514" s="4" t="str">
        <f t="shared" si="167"/>
        <v>-</v>
      </c>
      <c r="D4514" s="4" t="str">
        <f>"19321864"</f>
        <v>19321864</v>
      </c>
      <c r="E4514" s="4" t="str">
        <f>"19321872"</f>
        <v>19321872</v>
      </c>
      <c r="F4514" s="4" t="s">
        <v>87</v>
      </c>
    </row>
    <row r="4515" spans="1:6" x14ac:dyDescent="0.25">
      <c r="A4515" s="4" t="str">
        <f>"Steel and Composite Structures"</f>
        <v>Steel and Composite Structures</v>
      </c>
      <c r="B4515" s="4" t="s">
        <v>6</v>
      </c>
      <c r="C4515" s="4" t="str">
        <f t="shared" si="167"/>
        <v>-</v>
      </c>
      <c r="D4515" s="4" t="str">
        <f>"12299367"</f>
        <v>12299367</v>
      </c>
      <c r="E4515" s="4" t="str">
        <f>"-"</f>
        <v>-</v>
      </c>
      <c r="F4515" s="4" t="s">
        <v>297</v>
      </c>
    </row>
    <row r="4516" spans="1:6" x14ac:dyDescent="0.25">
      <c r="A4516" s="4" t="str">
        <f>"Steel in Translation"</f>
        <v>Steel in Translation</v>
      </c>
      <c r="B4516" s="4" t="s">
        <v>6</v>
      </c>
      <c r="C4516" s="4" t="str">
        <f t="shared" si="167"/>
        <v>-</v>
      </c>
      <c r="D4516" s="4" t="str">
        <f>"09670912"</f>
        <v>09670912</v>
      </c>
      <c r="E4516" s="4" t="str">
        <f>"-"</f>
        <v>-</v>
      </c>
      <c r="F4516" s="4" t="s">
        <v>145</v>
      </c>
    </row>
    <row r="4517" spans="1:6" x14ac:dyDescent="0.25">
      <c r="A4517" s="4" t="str">
        <f>"Steel Research International"</f>
        <v>Steel Research International</v>
      </c>
      <c r="B4517" s="4" t="s">
        <v>6</v>
      </c>
      <c r="C4517" s="4" t="str">
        <f t="shared" si="167"/>
        <v>-</v>
      </c>
      <c r="D4517" s="4" t="str">
        <f>"16113683"</f>
        <v>16113683</v>
      </c>
      <c r="E4517" s="4" t="str">
        <f>"-"</f>
        <v>-</v>
      </c>
      <c r="F4517" s="4" t="s">
        <v>63</v>
      </c>
    </row>
    <row r="4518" spans="1:6" x14ac:dyDescent="0.25">
      <c r="A4518" s="4" t="str">
        <f>"Stochastic Environmental Research and Risk Assessment"</f>
        <v>Stochastic Environmental Research and Risk Assessment</v>
      </c>
      <c r="B4518" s="4" t="s">
        <v>6</v>
      </c>
      <c r="C4518" s="4" t="str">
        <f t="shared" si="167"/>
        <v>-</v>
      </c>
      <c r="D4518" s="4" t="str">
        <f>"14363240"</f>
        <v>14363240</v>
      </c>
      <c r="E4518" s="4" t="str">
        <f>"14363259"</f>
        <v>14363259</v>
      </c>
      <c r="F4518" s="4" t="s">
        <v>57</v>
      </c>
    </row>
    <row r="4519" spans="1:6" x14ac:dyDescent="0.25">
      <c r="A4519" s="4" t="str">
        <f>"Stochastic Models"</f>
        <v>Stochastic Models</v>
      </c>
      <c r="B4519" s="4" t="s">
        <v>6</v>
      </c>
      <c r="C4519" s="4" t="str">
        <f t="shared" si="167"/>
        <v>-</v>
      </c>
      <c r="D4519" s="4" t="str">
        <f>"15326349"</f>
        <v>15326349</v>
      </c>
      <c r="E4519" s="4" t="str">
        <f>"15324214"</f>
        <v>15324214</v>
      </c>
      <c r="F4519" s="4" t="s">
        <v>96</v>
      </c>
    </row>
    <row r="4520" spans="1:6" x14ac:dyDescent="0.25">
      <c r="A4520" s="4" t="str">
        <f>"Stochastic Processes and their Applications"</f>
        <v>Stochastic Processes and their Applications</v>
      </c>
      <c r="B4520" s="4" t="s">
        <v>6</v>
      </c>
      <c r="C4520" s="4" t="str">
        <f t="shared" si="167"/>
        <v>-</v>
      </c>
      <c r="D4520" s="4" t="str">
        <f>"03044149"</f>
        <v>03044149</v>
      </c>
      <c r="E4520" s="4" t="str">
        <f>"-"</f>
        <v>-</v>
      </c>
      <c r="F4520" s="4" t="s">
        <v>55</v>
      </c>
    </row>
    <row r="4521" spans="1:6" x14ac:dyDescent="0.25">
      <c r="A4521" s="4" t="str">
        <f>"Strain"</f>
        <v>Strain</v>
      </c>
      <c r="B4521" s="4" t="s">
        <v>6</v>
      </c>
      <c r="C4521" s="4" t="str">
        <f t="shared" si="167"/>
        <v>-</v>
      </c>
      <c r="D4521" s="4" t="str">
        <f>"00392103"</f>
        <v>00392103</v>
      </c>
      <c r="E4521" s="4" t="str">
        <f>"14751305"</f>
        <v>14751305</v>
      </c>
      <c r="F4521" s="4" t="s">
        <v>209</v>
      </c>
    </row>
    <row r="4522" spans="1:6" x14ac:dyDescent="0.25">
      <c r="A4522" s="4" t="str">
        <f>"Strategic Management Journal"</f>
        <v>Strategic Management Journal</v>
      </c>
      <c r="B4522" s="4" t="s">
        <v>6</v>
      </c>
      <c r="C4522" s="4" t="str">
        <f t="shared" si="167"/>
        <v>-</v>
      </c>
      <c r="D4522" s="4" t="str">
        <f>"01432095"</f>
        <v>01432095</v>
      </c>
      <c r="E4522" s="4" t="str">
        <f>"10970266"</f>
        <v>10970266</v>
      </c>
      <c r="F4522" s="4" t="s">
        <v>142</v>
      </c>
    </row>
    <row r="4523" spans="1:6" x14ac:dyDescent="0.25">
      <c r="A4523" s="4" t="str">
        <f>"Strategic Planning for Energy and the Environment"</f>
        <v>Strategic Planning for Energy and the Environment</v>
      </c>
      <c r="B4523" s="4" t="s">
        <v>6</v>
      </c>
      <c r="C4523" s="4" t="str">
        <f t="shared" si="167"/>
        <v>-</v>
      </c>
      <c r="D4523" s="4" t="str">
        <f>"10485236"</f>
        <v>10485236</v>
      </c>
      <c r="E4523" s="4" t="str">
        <f>"15460126"</f>
        <v>15460126</v>
      </c>
      <c r="F4523" s="4" t="s">
        <v>96</v>
      </c>
    </row>
    <row r="4524" spans="1:6" x14ac:dyDescent="0.25">
      <c r="A4524" s="4" t="str">
        <f>"Strength of Materials"</f>
        <v>Strength of Materials</v>
      </c>
      <c r="B4524" s="4" t="s">
        <v>6</v>
      </c>
      <c r="C4524" s="4" t="str">
        <f t="shared" si="167"/>
        <v>-</v>
      </c>
      <c r="D4524" s="4" t="str">
        <f>"00392316"</f>
        <v>00392316</v>
      </c>
      <c r="E4524" s="4" t="str">
        <f>"15739325"</f>
        <v>15739325</v>
      </c>
      <c r="F4524" s="4" t="s">
        <v>57</v>
      </c>
    </row>
    <row r="4525" spans="1:6" x14ac:dyDescent="0.25">
      <c r="A4525" s="4" t="str">
        <f>"Strength, Fracture and Complexity"</f>
        <v>Strength, Fracture and Complexity</v>
      </c>
      <c r="B4525" s="4" t="s">
        <v>6</v>
      </c>
      <c r="C4525" s="4" t="str">
        <f t="shared" si="167"/>
        <v>-</v>
      </c>
      <c r="D4525" s="4" t="str">
        <f>"15672069"</f>
        <v>15672069</v>
      </c>
      <c r="E4525" s="4" t="str">
        <f>"-"</f>
        <v>-</v>
      </c>
      <c r="F4525" s="4" t="s">
        <v>103</v>
      </c>
    </row>
    <row r="4526" spans="1:6" x14ac:dyDescent="0.25">
      <c r="A4526" s="4" t="str">
        <f>"Strojarstvo"</f>
        <v>Strojarstvo</v>
      </c>
      <c r="B4526" s="4" t="s">
        <v>6</v>
      </c>
      <c r="C4526" s="4" t="str">
        <f t="shared" si="167"/>
        <v>-</v>
      </c>
      <c r="D4526" s="4" t="str">
        <f>"05621887"</f>
        <v>05621887</v>
      </c>
      <c r="E4526" s="4" t="str">
        <f>"-"</f>
        <v>-</v>
      </c>
      <c r="F4526" s="4" t="s">
        <v>1087</v>
      </c>
    </row>
    <row r="4527" spans="1:6" x14ac:dyDescent="0.25">
      <c r="A4527" s="4" t="str">
        <f>"Strojniski Vestnik/Journal of Mechanical Engineering"</f>
        <v>Strojniski Vestnik/Journal of Mechanical Engineering</v>
      </c>
      <c r="B4527" s="4" t="s">
        <v>6</v>
      </c>
      <c r="C4527" s="4" t="str">
        <f t="shared" si="167"/>
        <v>-</v>
      </c>
      <c r="D4527" s="4" t="str">
        <f>"00392480"</f>
        <v>00392480</v>
      </c>
      <c r="E4527" s="4" t="str">
        <f>"-"</f>
        <v>-</v>
      </c>
      <c r="F4527" s="4" t="s">
        <v>1088</v>
      </c>
    </row>
    <row r="4528" spans="1:6" x14ac:dyDescent="0.25">
      <c r="A4528" s="4" t="str">
        <f>"Structural and Multidisciplinary Optimization"</f>
        <v>Structural and Multidisciplinary Optimization</v>
      </c>
      <c r="B4528" s="4" t="s">
        <v>6</v>
      </c>
      <c r="C4528" s="4" t="str">
        <f t="shared" si="167"/>
        <v>-</v>
      </c>
      <c r="D4528" s="4" t="str">
        <f>"1615147X"</f>
        <v>1615147X</v>
      </c>
      <c r="E4528" s="4" t="str">
        <f>"16151488"</f>
        <v>16151488</v>
      </c>
      <c r="F4528" s="4" t="s">
        <v>42</v>
      </c>
    </row>
    <row r="4529" spans="1:6" x14ac:dyDescent="0.25">
      <c r="A4529" s="4" t="str">
        <f>"Structural Concrete"</f>
        <v>Structural Concrete</v>
      </c>
      <c r="B4529" s="4" t="s">
        <v>6</v>
      </c>
      <c r="C4529" s="4" t="str">
        <f t="shared" si="167"/>
        <v>-</v>
      </c>
      <c r="D4529" s="4" t="str">
        <f>"14644177"</f>
        <v>14644177</v>
      </c>
      <c r="E4529" s="4" t="str">
        <f>"17517648"</f>
        <v>17517648</v>
      </c>
      <c r="F4529" s="4" t="s">
        <v>156</v>
      </c>
    </row>
    <row r="4530" spans="1:6" x14ac:dyDescent="0.25">
      <c r="A4530" s="4" t="str">
        <f>"Structural Control and Health Monitoring"</f>
        <v>Structural Control and Health Monitoring</v>
      </c>
      <c r="B4530" s="4" t="s">
        <v>6</v>
      </c>
      <c r="C4530" s="4" t="str">
        <f t="shared" si="167"/>
        <v>-</v>
      </c>
      <c r="D4530" s="4" t="str">
        <f>"15452255"</f>
        <v>15452255</v>
      </c>
      <c r="E4530" s="4" t="str">
        <f>"15452263"</f>
        <v>15452263</v>
      </c>
      <c r="F4530" s="4" t="s">
        <v>142</v>
      </c>
    </row>
    <row r="4531" spans="1:6" x14ac:dyDescent="0.25">
      <c r="A4531" s="4" t="str">
        <f>"Structural Design of Tall and Special Buildings"</f>
        <v>Structural Design of Tall and Special Buildings</v>
      </c>
      <c r="B4531" s="4" t="s">
        <v>6</v>
      </c>
      <c r="C4531" s="4" t="str">
        <f t="shared" si="167"/>
        <v>-</v>
      </c>
      <c r="D4531" s="4" t="str">
        <f>"15417794"</f>
        <v>15417794</v>
      </c>
      <c r="E4531" s="4" t="str">
        <f>"15417808"</f>
        <v>15417808</v>
      </c>
      <c r="F4531" s="4" t="s">
        <v>142</v>
      </c>
    </row>
    <row r="4532" spans="1:6" x14ac:dyDescent="0.25">
      <c r="A4532" s="4" t="str">
        <f>"Structural Engineer"</f>
        <v>Structural Engineer</v>
      </c>
      <c r="B4532" s="4" t="s">
        <v>22</v>
      </c>
      <c r="C4532" s="4" t="str">
        <f t="shared" si="167"/>
        <v>-</v>
      </c>
      <c r="D4532" s="4" t="str">
        <f>"14665123"</f>
        <v>14665123</v>
      </c>
      <c r="E4532" s="4" t="str">
        <f>"-"</f>
        <v>-</v>
      </c>
      <c r="F4532" s="4" t="s">
        <v>1089</v>
      </c>
    </row>
    <row r="4533" spans="1:6" x14ac:dyDescent="0.25">
      <c r="A4533" s="4" t="str">
        <f>"Structural Engineering and Mechanics"</f>
        <v>Structural Engineering and Mechanics</v>
      </c>
      <c r="B4533" s="4" t="s">
        <v>6</v>
      </c>
      <c r="C4533" s="4" t="str">
        <f t="shared" si="167"/>
        <v>-</v>
      </c>
      <c r="D4533" s="4" t="str">
        <f>"12254568"</f>
        <v>12254568</v>
      </c>
      <c r="E4533" s="4" t="str">
        <f>"-"</f>
        <v>-</v>
      </c>
      <c r="F4533" s="4" t="s">
        <v>297</v>
      </c>
    </row>
    <row r="4534" spans="1:6" ht="30" x14ac:dyDescent="0.25">
      <c r="A4534" s="4" t="str">
        <f>"Structural Engineering International: Journal of the International Association for Bridge and Structural Engineering (IABSE)"</f>
        <v>Structural Engineering International: Journal of the International Association for Bridge and Structural Engineering (IABSE)</v>
      </c>
      <c r="B4534" s="4" t="s">
        <v>6</v>
      </c>
      <c r="C4534" s="4" t="str">
        <f t="shared" si="167"/>
        <v>-</v>
      </c>
      <c r="D4534" s="4" t="str">
        <f>"10168664"</f>
        <v>10168664</v>
      </c>
      <c r="E4534" s="4" t="str">
        <f>"-"</f>
        <v>-</v>
      </c>
      <c r="F4534" s="4" t="s">
        <v>1090</v>
      </c>
    </row>
    <row r="4535" spans="1:6" x14ac:dyDescent="0.25">
      <c r="A4535" s="4" t="str">
        <f>"Structural Engineering/Earthquake Engineering"</f>
        <v>Structural Engineering/Earthquake Engineering</v>
      </c>
      <c r="B4535" s="4" t="s">
        <v>6</v>
      </c>
      <c r="C4535" s="4" t="str">
        <f t="shared" si="167"/>
        <v>-</v>
      </c>
      <c r="D4535" s="4" t="str">
        <f>"02898063"</f>
        <v>02898063</v>
      </c>
      <c r="E4535" s="4" t="str">
        <f>"-"</f>
        <v>-</v>
      </c>
      <c r="F4535" s="4" t="s">
        <v>1091</v>
      </c>
    </row>
    <row r="4536" spans="1:6" x14ac:dyDescent="0.25">
      <c r="A4536" s="4" t="str">
        <f>"Structural Equation Modeling"</f>
        <v>Structural Equation Modeling</v>
      </c>
      <c r="B4536" s="4" t="s">
        <v>6</v>
      </c>
      <c r="C4536" s="4" t="str">
        <f t="shared" si="167"/>
        <v>-</v>
      </c>
      <c r="D4536" s="4" t="str">
        <f>"10705511"</f>
        <v>10705511</v>
      </c>
      <c r="E4536" s="4" t="str">
        <f>"15328007"</f>
        <v>15328007</v>
      </c>
      <c r="F4536" s="4" t="s">
        <v>211</v>
      </c>
    </row>
    <row r="4537" spans="1:6" x14ac:dyDescent="0.25">
      <c r="A4537" s="4" t="str">
        <f>"Structural Health Monitoring"</f>
        <v>Structural Health Monitoring</v>
      </c>
      <c r="B4537" s="4" t="s">
        <v>6</v>
      </c>
      <c r="C4537" s="4" t="str">
        <f t="shared" si="167"/>
        <v>-</v>
      </c>
      <c r="D4537" s="4" t="str">
        <f>"14759217"</f>
        <v>14759217</v>
      </c>
      <c r="E4537" s="4" t="str">
        <f>"17413168"</f>
        <v>17413168</v>
      </c>
      <c r="F4537" s="4" t="s">
        <v>212</v>
      </c>
    </row>
    <row r="4538" spans="1:6" x14ac:dyDescent="0.25">
      <c r="A4538" s="4" t="str">
        <f>"Structural Safety"</f>
        <v>Structural Safety</v>
      </c>
      <c r="B4538" s="4" t="s">
        <v>6</v>
      </c>
      <c r="C4538" s="4" t="str">
        <f t="shared" si="167"/>
        <v>-</v>
      </c>
      <c r="D4538" s="4" t="str">
        <f>"01674730"</f>
        <v>01674730</v>
      </c>
      <c r="E4538" s="4" t="str">
        <f>"-"</f>
        <v>-</v>
      </c>
      <c r="F4538" s="4" t="s">
        <v>55</v>
      </c>
    </row>
    <row r="4539" spans="1:6" x14ac:dyDescent="0.25">
      <c r="A4539" s="4" t="str">
        <f>"Structural Survey"</f>
        <v>Structural Survey</v>
      </c>
      <c r="B4539" s="4" t="s">
        <v>6</v>
      </c>
      <c r="C4539" s="4" t="str">
        <f t="shared" si="167"/>
        <v>-</v>
      </c>
      <c r="D4539" s="4" t="str">
        <f>"0263080X"</f>
        <v>0263080X</v>
      </c>
      <c r="E4539" s="4" t="str">
        <f>"17586844"</f>
        <v>17586844</v>
      </c>
      <c r="F4539" s="4" t="s">
        <v>110</v>
      </c>
    </row>
    <row r="4540" spans="1:6" x14ac:dyDescent="0.25">
      <c r="A4540" s="4" t="str">
        <f>"Structure and Infrastructure Engineering"</f>
        <v>Structure and Infrastructure Engineering</v>
      </c>
      <c r="B4540" s="4" t="s">
        <v>6</v>
      </c>
      <c r="C4540" s="4" t="str">
        <f t="shared" si="167"/>
        <v>-</v>
      </c>
      <c r="D4540" s="4" t="str">
        <f>"15732479"</f>
        <v>15732479</v>
      </c>
      <c r="E4540" s="4" t="str">
        <f>"17448980"</f>
        <v>17448980</v>
      </c>
      <c r="F4540" s="4" t="s">
        <v>60</v>
      </c>
    </row>
    <row r="4541" spans="1:6" x14ac:dyDescent="0.25">
      <c r="A4541" s="4" t="str">
        <f>"Studies in Applied Electromagnetics and Mechanics"</f>
        <v>Studies in Applied Electromagnetics and Mechanics</v>
      </c>
      <c r="B4541" s="4" t="s">
        <v>29</v>
      </c>
      <c r="C4541" s="4" t="str">
        <f t="shared" si="167"/>
        <v>-</v>
      </c>
      <c r="D4541" s="4" t="str">
        <f>"13837281"</f>
        <v>13837281</v>
      </c>
      <c r="E4541" s="4" t="str">
        <f>"18798322"</f>
        <v>18798322</v>
      </c>
      <c r="F4541" s="4" t="s">
        <v>103</v>
      </c>
    </row>
    <row r="4542" spans="1:6" x14ac:dyDescent="0.25">
      <c r="A4542" s="4" t="str">
        <f>"Studies in Classification, Data Analysis, and Knowledge Organization"</f>
        <v>Studies in Classification, Data Analysis, and Knowledge Organization</v>
      </c>
      <c r="B4542" s="4" t="s">
        <v>8</v>
      </c>
      <c r="C4542" s="4" t="str">
        <f t="shared" si="167"/>
        <v>-</v>
      </c>
      <c r="D4542" s="4" t="str">
        <f>"14318814"</f>
        <v>14318814</v>
      </c>
      <c r="E4542" s="4" t="str">
        <f>"-"</f>
        <v>-</v>
      </c>
      <c r="F4542" s="4" t="s">
        <v>162</v>
      </c>
    </row>
    <row r="4543" spans="1:6" x14ac:dyDescent="0.25">
      <c r="A4543" s="4" t="str">
        <f>"Studies in Conservation"</f>
        <v>Studies in Conservation</v>
      </c>
      <c r="B4543" s="4" t="s">
        <v>6</v>
      </c>
      <c r="C4543" s="4" t="str">
        <f t="shared" si="167"/>
        <v>-</v>
      </c>
      <c r="D4543" s="4" t="str">
        <f>"00393630"</f>
        <v>00393630</v>
      </c>
      <c r="E4543" s="4" t="str">
        <f>"20470584"</f>
        <v>20470584</v>
      </c>
      <c r="F4543" s="4" t="s">
        <v>70</v>
      </c>
    </row>
    <row r="4544" spans="1:6" x14ac:dyDescent="0.25">
      <c r="A4544" s="4" t="str">
        <f>"Studies in Surface Science and Catalysis"</f>
        <v>Studies in Surface Science and Catalysis</v>
      </c>
      <c r="B4544" s="4" t="s">
        <v>29</v>
      </c>
      <c r="C4544" s="4" t="str">
        <f t="shared" si="167"/>
        <v>-</v>
      </c>
      <c r="D4544" s="4" t="str">
        <f>"01672991"</f>
        <v>01672991</v>
      </c>
      <c r="E4544" s="4" t="str">
        <f>"-"</f>
        <v>-</v>
      </c>
      <c r="F4544" s="4" t="s">
        <v>141</v>
      </c>
    </row>
    <row r="4545" spans="1:6" x14ac:dyDescent="0.25">
      <c r="A4545" s="4" t="str">
        <f>"Subnuclear Series - Proceedings of the International School of Subnuclear Physics"</f>
        <v>Subnuclear Series - Proceedings of the International School of Subnuclear Physics</v>
      </c>
      <c r="B4545" s="4" t="s">
        <v>8</v>
      </c>
      <c r="C4545" s="4" t="str">
        <f t="shared" si="167"/>
        <v>-</v>
      </c>
      <c r="D4545" s="4" t="str">
        <f>"87564475"</f>
        <v>87564475</v>
      </c>
      <c r="E4545" s="4" t="str">
        <f>"-"</f>
        <v>-</v>
      </c>
      <c r="F4545" s="4" t="s">
        <v>157</v>
      </c>
    </row>
    <row r="4546" spans="1:6" x14ac:dyDescent="0.25">
      <c r="A4546" s="4" t="str">
        <f>"Sumarski List"</f>
        <v>Sumarski List</v>
      </c>
      <c r="B4546" s="4" t="s">
        <v>6</v>
      </c>
      <c r="C4546" s="4" t="str">
        <f t="shared" si="167"/>
        <v>-</v>
      </c>
      <c r="D4546" s="4" t="str">
        <f>"03731332"</f>
        <v>03731332</v>
      </c>
      <c r="E4546" s="4" t="str">
        <f>"-"</f>
        <v>-</v>
      </c>
      <c r="F4546" s="4" t="s">
        <v>1092</v>
      </c>
    </row>
    <row r="4547" spans="1:6" x14ac:dyDescent="0.25">
      <c r="A4547" s="4" t="str">
        <f>"Summaries of JSSI and JSSE Joint Conference on Snow and Ice Research"</f>
        <v>Summaries of JSSI and JSSE Joint Conference on Snow and Ice Research</v>
      </c>
      <c r="B4547" s="4" t="s">
        <v>6</v>
      </c>
      <c r="C4547" s="4" t="str">
        <f t="shared" si="167"/>
        <v>-</v>
      </c>
      <c r="D4547" s="4" t="str">
        <f>"18830870"</f>
        <v>18830870</v>
      </c>
      <c r="E4547" s="4" t="str">
        <f>"18830889"</f>
        <v>18830889</v>
      </c>
      <c r="F4547" s="4" t="s">
        <v>1093</v>
      </c>
    </row>
    <row r="4548" spans="1:6" x14ac:dyDescent="0.25">
      <c r="A4548" s="4" t="str">
        <f>"Superconductor Science and Technology"</f>
        <v>Superconductor Science and Technology</v>
      </c>
      <c r="B4548" s="4" t="s">
        <v>6</v>
      </c>
      <c r="C4548" s="4" t="str">
        <f t="shared" si="167"/>
        <v>-</v>
      </c>
      <c r="D4548" s="4" t="str">
        <f>"09532048"</f>
        <v>09532048</v>
      </c>
      <c r="E4548" s="4" t="str">
        <f>"13616668"</f>
        <v>13616668</v>
      </c>
      <c r="F4548" s="4" t="s">
        <v>184</v>
      </c>
    </row>
    <row r="4549" spans="1:6" x14ac:dyDescent="0.25">
      <c r="A4549" s="4" t="str">
        <f>"Superlattices and Microstructures"</f>
        <v>Superlattices and Microstructures</v>
      </c>
      <c r="B4549" s="4" t="s">
        <v>6</v>
      </c>
      <c r="C4549" s="4" t="str">
        <f t="shared" si="167"/>
        <v>-</v>
      </c>
      <c r="D4549" s="4" t="str">
        <f>"07496036"</f>
        <v>07496036</v>
      </c>
      <c r="E4549" s="4" t="str">
        <f>"10963677"</f>
        <v>10963677</v>
      </c>
      <c r="F4549" s="4" t="s">
        <v>193</v>
      </c>
    </row>
    <row r="4550" spans="1:6" x14ac:dyDescent="0.25">
      <c r="A4550" s="4" t="str">
        <f>"Surface and Coatings Technology"</f>
        <v>Surface and Coatings Technology</v>
      </c>
      <c r="B4550" s="4" t="s">
        <v>6</v>
      </c>
      <c r="C4550" s="4" t="str">
        <f t="shared" si="167"/>
        <v>-</v>
      </c>
      <c r="D4550" s="4" t="str">
        <f>"02578972"</f>
        <v>02578972</v>
      </c>
      <c r="E4550" s="4" t="str">
        <f>"-"</f>
        <v>-</v>
      </c>
      <c r="F4550" s="4" t="s">
        <v>55</v>
      </c>
    </row>
    <row r="4551" spans="1:6" x14ac:dyDescent="0.25">
      <c r="A4551" s="4" t="str">
        <f>"Surface and Interface Analysis"</f>
        <v>Surface and Interface Analysis</v>
      </c>
      <c r="B4551" s="4" t="s">
        <v>6</v>
      </c>
      <c r="C4551" s="4" t="str">
        <f t="shared" si="167"/>
        <v>-</v>
      </c>
      <c r="D4551" s="4" t="str">
        <f>"01422421"</f>
        <v>01422421</v>
      </c>
      <c r="E4551" s="4" t="str">
        <f>"10969918"</f>
        <v>10969918</v>
      </c>
      <c r="F4551" s="4" t="s">
        <v>142</v>
      </c>
    </row>
    <row r="4552" spans="1:6" x14ac:dyDescent="0.25">
      <c r="A4552" s="4" t="str">
        <f>"Surface Engineering"</f>
        <v>Surface Engineering</v>
      </c>
      <c r="B4552" s="4" t="s">
        <v>6</v>
      </c>
      <c r="C4552" s="4" t="str">
        <f t="shared" si="167"/>
        <v>-</v>
      </c>
      <c r="D4552" s="4" t="str">
        <f>"02670844"</f>
        <v>02670844</v>
      </c>
      <c r="E4552" s="4" t="str">
        <f>"17432944"</f>
        <v>17432944</v>
      </c>
      <c r="F4552" s="4" t="s">
        <v>70</v>
      </c>
    </row>
    <row r="4553" spans="1:6" x14ac:dyDescent="0.25">
      <c r="A4553" s="4" t="str">
        <f>"Surface Engineering and Applied Electrochemistry"</f>
        <v>Surface Engineering and Applied Electrochemistry</v>
      </c>
      <c r="B4553" s="4" t="s">
        <v>6</v>
      </c>
      <c r="C4553" s="4" t="str">
        <f t="shared" si="167"/>
        <v>-</v>
      </c>
      <c r="D4553" s="4" t="str">
        <f>"10683755"</f>
        <v>10683755</v>
      </c>
      <c r="E4553" s="4" t="str">
        <f>"19348002"</f>
        <v>19348002</v>
      </c>
      <c r="F4553" s="4" t="s">
        <v>145</v>
      </c>
    </row>
    <row r="4554" spans="1:6" x14ac:dyDescent="0.25">
      <c r="A4554" s="4" t="str">
        <f>"Surface Innovations"</f>
        <v>Surface Innovations</v>
      </c>
      <c r="B4554" s="4" t="s">
        <v>6</v>
      </c>
      <c r="C4554" s="4" t="str">
        <f t="shared" si="167"/>
        <v>-</v>
      </c>
      <c r="D4554" s="4" t="str">
        <f>"20506252"</f>
        <v>20506252</v>
      </c>
      <c r="E4554" s="4" t="str">
        <f>"20506260"</f>
        <v>20506260</v>
      </c>
      <c r="F4554" s="4" t="s">
        <v>185</v>
      </c>
    </row>
    <row r="4555" spans="1:6" x14ac:dyDescent="0.25">
      <c r="A4555" s="4" t="str">
        <f>"Surface Review and Letters"</f>
        <v>Surface Review and Letters</v>
      </c>
      <c r="B4555" s="4" t="s">
        <v>6</v>
      </c>
      <c r="C4555" s="4" t="str">
        <f t="shared" si="167"/>
        <v>-</v>
      </c>
      <c r="D4555" s="4" t="str">
        <f>"0218625X"</f>
        <v>0218625X</v>
      </c>
      <c r="E4555" s="4" t="str">
        <f>"-"</f>
        <v>-</v>
      </c>
      <c r="F4555" s="4" t="s">
        <v>157</v>
      </c>
    </row>
    <row r="4556" spans="1:6" x14ac:dyDescent="0.25">
      <c r="A4556" s="4" t="str">
        <f>"Surface Science"</f>
        <v>Surface Science</v>
      </c>
      <c r="B4556" s="4" t="s">
        <v>6</v>
      </c>
      <c r="C4556" s="4" t="str">
        <f t="shared" si="167"/>
        <v>-</v>
      </c>
      <c r="D4556" s="4" t="str">
        <f>"00396028"</f>
        <v>00396028</v>
      </c>
      <c r="E4556" s="4" t="str">
        <f>"-"</f>
        <v>-</v>
      </c>
      <c r="F4556" s="4" t="s">
        <v>55</v>
      </c>
    </row>
    <row r="4557" spans="1:6" x14ac:dyDescent="0.25">
      <c r="A4557" s="4" t="str">
        <f>"Surface Science Reports"</f>
        <v>Surface Science Reports</v>
      </c>
      <c r="B4557" s="4" t="s">
        <v>6</v>
      </c>
      <c r="C4557" s="4" t="str">
        <f t="shared" si="167"/>
        <v>-</v>
      </c>
      <c r="D4557" s="4" t="str">
        <f>"01675729"</f>
        <v>01675729</v>
      </c>
      <c r="E4557" s="4" t="str">
        <f>"-"</f>
        <v>-</v>
      </c>
      <c r="F4557" s="4" t="s">
        <v>55</v>
      </c>
    </row>
    <row r="4558" spans="1:6" x14ac:dyDescent="0.25">
      <c r="A4558" s="4" t="str">
        <f>"Surface Science Spectra"</f>
        <v>Surface Science Spectra</v>
      </c>
      <c r="B4558" s="4" t="s">
        <v>6</v>
      </c>
      <c r="C4558" s="4" t="str">
        <f t="shared" si="167"/>
        <v>-</v>
      </c>
      <c r="D4558" s="4" t="str">
        <f>"10555269"</f>
        <v>10555269</v>
      </c>
      <c r="E4558" s="4" t="str">
        <f>"15208575"</f>
        <v>15208575</v>
      </c>
      <c r="F4558" s="4" t="s">
        <v>108</v>
      </c>
    </row>
    <row r="4559" spans="1:6" x14ac:dyDescent="0.25">
      <c r="A4559" s="4" t="str">
        <f>"Surface Topography: Metrology and Properties"</f>
        <v>Surface Topography: Metrology and Properties</v>
      </c>
      <c r="B4559" s="4" t="s">
        <v>6</v>
      </c>
      <c r="C4559" s="4" t="str">
        <f t="shared" si="167"/>
        <v>-</v>
      </c>
      <c r="D4559" s="4" t="str">
        <f>"-"</f>
        <v>-</v>
      </c>
      <c r="E4559" s="4" t="str">
        <f>"2051672X"</f>
        <v>2051672X</v>
      </c>
      <c r="F4559" s="4" t="s">
        <v>1094</v>
      </c>
    </row>
    <row r="4560" spans="1:6" x14ac:dyDescent="0.25">
      <c r="A4560" s="4" t="str">
        <f>"Surveys in Geophysics"</f>
        <v>Surveys in Geophysics</v>
      </c>
      <c r="B4560" s="4" t="s">
        <v>6</v>
      </c>
      <c r="C4560" s="4" t="str">
        <f t="shared" si="167"/>
        <v>-</v>
      </c>
      <c r="D4560" s="4" t="str">
        <f>"01693298"</f>
        <v>01693298</v>
      </c>
      <c r="E4560" s="4" t="str">
        <f>"15730956"</f>
        <v>15730956</v>
      </c>
      <c r="F4560" s="4" t="s">
        <v>31</v>
      </c>
    </row>
    <row r="4561" spans="1:6" x14ac:dyDescent="0.25">
      <c r="A4561" s="4" t="str">
        <f>"Sustainable Computing: Informatics and Systems"</f>
        <v>Sustainable Computing: Informatics and Systems</v>
      </c>
      <c r="B4561" s="4" t="s">
        <v>6</v>
      </c>
      <c r="C4561" s="4" t="str">
        <f t="shared" si="167"/>
        <v>-</v>
      </c>
      <c r="D4561" s="4" t="str">
        <f>"22105379"</f>
        <v>22105379</v>
      </c>
      <c r="E4561" s="4" t="str">
        <f>"-"</f>
        <v>-</v>
      </c>
      <c r="F4561" s="4" t="s">
        <v>141</v>
      </c>
    </row>
    <row r="4562" spans="1:6" x14ac:dyDescent="0.25">
      <c r="A4562" s="4" t="str">
        <f>"Sustainable Energy Technologies and Assessments"</f>
        <v>Sustainable Energy Technologies and Assessments</v>
      </c>
      <c r="B4562" s="4" t="s">
        <v>6</v>
      </c>
      <c r="C4562" s="4" t="str">
        <f t="shared" si="167"/>
        <v>-</v>
      </c>
      <c r="D4562" s="4" t="str">
        <f>"22131388"</f>
        <v>22131388</v>
      </c>
      <c r="E4562" s="4" t="str">
        <f>"-"</f>
        <v>-</v>
      </c>
      <c r="F4562" s="4" t="s">
        <v>19</v>
      </c>
    </row>
    <row r="4563" spans="1:6" x14ac:dyDescent="0.25">
      <c r="A4563" s="4" t="str">
        <f>"Swarm and Evolutionary Computation"</f>
        <v>Swarm and Evolutionary Computation</v>
      </c>
      <c r="B4563" s="4" t="s">
        <v>6</v>
      </c>
      <c r="C4563" s="4" t="str">
        <f t="shared" si="167"/>
        <v>-</v>
      </c>
      <c r="D4563" s="4" t="str">
        <f>"22106502"</f>
        <v>22106502</v>
      </c>
      <c r="E4563" s="4" t="str">
        <f>"-"</f>
        <v>-</v>
      </c>
      <c r="F4563" s="4" t="s">
        <v>55</v>
      </c>
    </row>
    <row r="4564" spans="1:6" x14ac:dyDescent="0.25">
      <c r="A4564" s="4" t="str">
        <f>"Swarm Intelligence"</f>
        <v>Swarm Intelligence</v>
      </c>
      <c r="B4564" s="4" t="s">
        <v>6</v>
      </c>
      <c r="C4564" s="4" t="str">
        <f t="shared" ref="C4564:C4608" si="168">"-"</f>
        <v>-</v>
      </c>
      <c r="D4564" s="4" t="str">
        <f>"19353812"</f>
        <v>19353812</v>
      </c>
      <c r="E4564" s="4" t="str">
        <f>"19353820"</f>
        <v>19353820</v>
      </c>
      <c r="F4564" s="4" t="s">
        <v>57</v>
      </c>
    </row>
    <row r="4565" spans="1:6" x14ac:dyDescent="0.25">
      <c r="A4565" s="4" t="str">
        <f>"Symposium on Application Accelerators in High-Performance Computing"</f>
        <v>Symposium on Application Accelerators in High-Performance Computing</v>
      </c>
      <c r="B4565" s="4" t="s">
        <v>8</v>
      </c>
      <c r="C4565" s="4" t="str">
        <f t="shared" si="168"/>
        <v>-</v>
      </c>
      <c r="D4565" s="4" t="str">
        <f>"21665133"</f>
        <v>21665133</v>
      </c>
      <c r="E4565" s="4" t="str">
        <f>"2166515X"</f>
        <v>2166515X</v>
      </c>
      <c r="F4565" s="4" t="s">
        <v>9</v>
      </c>
    </row>
    <row r="4566" spans="1:6" x14ac:dyDescent="0.25">
      <c r="A4566" s="4" t="str">
        <f>"Symposium on Combustion and Flame and Explosion Phenomena"</f>
        <v>Symposium on Combustion and Flame and Explosion Phenomena</v>
      </c>
      <c r="B4566" s="4" t="s">
        <v>8</v>
      </c>
      <c r="C4566" s="4" t="str">
        <f t="shared" si="168"/>
        <v>-</v>
      </c>
      <c r="D4566" s="4" t="str">
        <f>"-"</f>
        <v>-</v>
      </c>
      <c r="E4566" s="4" t="str">
        <f>"-"</f>
        <v>-</v>
      </c>
      <c r="F4566" s="4" t="s">
        <v>263</v>
      </c>
    </row>
    <row r="4567" spans="1:6" x14ac:dyDescent="0.25">
      <c r="A4567" s="4" t="str">
        <f>"Synthesiology"</f>
        <v>Synthesiology</v>
      </c>
      <c r="B4567" s="4" t="s">
        <v>6</v>
      </c>
      <c r="C4567" s="4" t="str">
        <f t="shared" si="168"/>
        <v>-</v>
      </c>
      <c r="D4567" s="4" t="str">
        <f>"18830978"</f>
        <v>18830978</v>
      </c>
      <c r="E4567" s="4" t="str">
        <f>"-"</f>
        <v>-</v>
      </c>
      <c r="F4567" s="4" t="s">
        <v>112</v>
      </c>
    </row>
    <row r="4568" spans="1:6" x14ac:dyDescent="0.25">
      <c r="A4568" s="4" t="str">
        <f>"Synthesis (Germany)"</f>
        <v>Synthesis (Germany)</v>
      </c>
      <c r="B4568" s="4" t="s">
        <v>6</v>
      </c>
      <c r="C4568" s="4" t="str">
        <f t="shared" si="168"/>
        <v>-</v>
      </c>
      <c r="D4568" s="4" t="str">
        <f>"00397881"</f>
        <v>00397881</v>
      </c>
      <c r="E4568" s="4" t="str">
        <f>"1437210X"</f>
        <v>1437210X</v>
      </c>
      <c r="F4568" s="4" t="s">
        <v>1095</v>
      </c>
    </row>
    <row r="4569" spans="1:6" x14ac:dyDescent="0.25">
      <c r="A4569" s="4" t="str">
        <f>"Synthesis Lectures on Antennas"</f>
        <v>Synthesis Lectures on Antennas</v>
      </c>
      <c r="B4569" s="4" t="s">
        <v>29</v>
      </c>
      <c r="C4569" s="4" t="str">
        <f t="shared" si="168"/>
        <v>-</v>
      </c>
      <c r="D4569" s="4" t="str">
        <f>"19326076"</f>
        <v>19326076</v>
      </c>
      <c r="E4569" s="4" t="str">
        <f>"19326084"</f>
        <v>19326084</v>
      </c>
      <c r="F4569" s="4" t="s">
        <v>1096</v>
      </c>
    </row>
    <row r="4570" spans="1:6" x14ac:dyDescent="0.25">
      <c r="A4570" s="4" t="str">
        <f>"Synthesis Lectures on Artificial Intelligence and Machine Learning"</f>
        <v>Synthesis Lectures on Artificial Intelligence and Machine Learning</v>
      </c>
      <c r="B4570" s="4" t="s">
        <v>29</v>
      </c>
      <c r="C4570" s="4" t="str">
        <f t="shared" si="168"/>
        <v>-</v>
      </c>
      <c r="D4570" s="4" t="str">
        <f>"19394608"</f>
        <v>19394608</v>
      </c>
      <c r="E4570" s="4" t="str">
        <f>"19394616"</f>
        <v>19394616</v>
      </c>
      <c r="F4570" s="4" t="s">
        <v>1096</v>
      </c>
    </row>
    <row r="4571" spans="1:6" x14ac:dyDescent="0.25">
      <c r="A4571" s="4" t="str">
        <f>"Synthesis Lectures on Biomedical Engineering"</f>
        <v>Synthesis Lectures on Biomedical Engineering</v>
      </c>
      <c r="B4571" s="4" t="s">
        <v>29</v>
      </c>
      <c r="C4571" s="4" t="str">
        <f t="shared" si="168"/>
        <v>-</v>
      </c>
      <c r="D4571" s="4" t="str">
        <f>"19300328"</f>
        <v>19300328</v>
      </c>
      <c r="E4571" s="4" t="str">
        <f>"19300336"</f>
        <v>19300336</v>
      </c>
      <c r="F4571" s="4" t="s">
        <v>1096</v>
      </c>
    </row>
    <row r="4572" spans="1:6" x14ac:dyDescent="0.25">
      <c r="A4572" s="4" t="str">
        <f>"Synthesis Lectures on Communication Networks"</f>
        <v>Synthesis Lectures on Communication Networks</v>
      </c>
      <c r="B4572" s="4" t="s">
        <v>29</v>
      </c>
      <c r="C4572" s="4" t="str">
        <f t="shared" si="168"/>
        <v>-</v>
      </c>
      <c r="D4572" s="4" t="str">
        <f>"19354185"</f>
        <v>19354185</v>
      </c>
      <c r="E4572" s="4" t="str">
        <f>"-"</f>
        <v>-</v>
      </c>
      <c r="F4572" s="4" t="s">
        <v>1096</v>
      </c>
    </row>
    <row r="4573" spans="1:6" x14ac:dyDescent="0.25">
      <c r="A4573" s="4" t="str">
        <f>"Synthesis Lectures on Communications"</f>
        <v>Synthesis Lectures on Communications</v>
      </c>
      <c r="B4573" s="4" t="s">
        <v>29</v>
      </c>
      <c r="C4573" s="4" t="str">
        <f t="shared" si="168"/>
        <v>-</v>
      </c>
      <c r="D4573" s="4" t="str">
        <f>"19321244"</f>
        <v>19321244</v>
      </c>
      <c r="E4573" s="4" t="str">
        <f>"19321708"</f>
        <v>19321708</v>
      </c>
      <c r="F4573" s="4" t="s">
        <v>1096</v>
      </c>
    </row>
    <row r="4574" spans="1:6" x14ac:dyDescent="0.25">
      <c r="A4574" s="4" t="str">
        <f>"Synthesis Lectures on Computational Electromagnetics"</f>
        <v>Synthesis Lectures on Computational Electromagnetics</v>
      </c>
      <c r="B4574" s="4" t="s">
        <v>29</v>
      </c>
      <c r="C4574" s="4" t="str">
        <f t="shared" si="168"/>
        <v>-</v>
      </c>
      <c r="D4574" s="4" t="str">
        <f>"19321252"</f>
        <v>19321252</v>
      </c>
      <c r="E4574" s="4" t="str">
        <f>"19321716"</f>
        <v>19321716</v>
      </c>
      <c r="F4574" s="4" t="s">
        <v>1096</v>
      </c>
    </row>
    <row r="4575" spans="1:6" x14ac:dyDescent="0.25">
      <c r="A4575" s="4" t="str">
        <f>"Synthesis Lectures on Computer Architecture"</f>
        <v>Synthesis Lectures on Computer Architecture</v>
      </c>
      <c r="B4575" s="4" t="s">
        <v>29</v>
      </c>
      <c r="C4575" s="4" t="str">
        <f t="shared" si="168"/>
        <v>-</v>
      </c>
      <c r="D4575" s="4" t="str">
        <f>"19353235"</f>
        <v>19353235</v>
      </c>
      <c r="E4575" s="4" t="str">
        <f>"19353243"</f>
        <v>19353243</v>
      </c>
      <c r="F4575" s="4" t="s">
        <v>1096</v>
      </c>
    </row>
    <row r="4576" spans="1:6" x14ac:dyDescent="0.25">
      <c r="A4576" s="4" t="str">
        <f>"Synthesis Lectures on Computer Graphics and Animation"</f>
        <v>Synthesis Lectures on Computer Graphics and Animation</v>
      </c>
      <c r="B4576" s="4" t="s">
        <v>29</v>
      </c>
      <c r="C4576" s="4" t="str">
        <f t="shared" si="168"/>
        <v>-</v>
      </c>
      <c r="D4576" s="4" t="str">
        <f>"19338996"</f>
        <v>19338996</v>
      </c>
      <c r="E4576" s="4" t="str">
        <f>"19339003"</f>
        <v>19339003</v>
      </c>
      <c r="F4576" s="4" t="s">
        <v>1096</v>
      </c>
    </row>
    <row r="4577" spans="1:6" x14ac:dyDescent="0.25">
      <c r="A4577" s="4" t="str">
        <f>"Synthesis Lectures on Computer Science"</f>
        <v>Synthesis Lectures on Computer Science</v>
      </c>
      <c r="B4577" s="4" t="s">
        <v>29</v>
      </c>
      <c r="C4577" s="4" t="str">
        <f t="shared" si="168"/>
        <v>-</v>
      </c>
      <c r="D4577" s="4" t="str">
        <f>"19321228"</f>
        <v>19321228</v>
      </c>
      <c r="E4577" s="4" t="str">
        <f>"19321686"</f>
        <v>19321686</v>
      </c>
      <c r="F4577" s="4" t="s">
        <v>1096</v>
      </c>
    </row>
    <row r="4578" spans="1:6" x14ac:dyDescent="0.25">
      <c r="A4578" s="4" t="str">
        <f>"Synthesis Lectures on Digital Circuits and Systems"</f>
        <v>Synthesis Lectures on Digital Circuits and Systems</v>
      </c>
      <c r="B4578" s="4" t="s">
        <v>29</v>
      </c>
      <c r="C4578" s="4" t="str">
        <f t="shared" si="168"/>
        <v>-</v>
      </c>
      <c r="D4578" s="4" t="str">
        <f>"19323166"</f>
        <v>19323166</v>
      </c>
      <c r="E4578" s="4" t="str">
        <f>"19323174"</f>
        <v>19323174</v>
      </c>
      <c r="F4578" s="4" t="s">
        <v>1096</v>
      </c>
    </row>
    <row r="4579" spans="1:6" x14ac:dyDescent="0.25">
      <c r="A4579" s="4" t="str">
        <f>"Synthesis Lectures on Electrical Engineering"</f>
        <v>Synthesis Lectures on Electrical Engineering</v>
      </c>
      <c r="B4579" s="4" t="s">
        <v>29</v>
      </c>
      <c r="C4579" s="4" t="str">
        <f t="shared" si="168"/>
        <v>-</v>
      </c>
      <c r="D4579" s="4" t="str">
        <f>"1559811X"</f>
        <v>1559811X</v>
      </c>
      <c r="E4579" s="4" t="str">
        <f>"15598128"</f>
        <v>15598128</v>
      </c>
      <c r="F4579" s="4" t="s">
        <v>1096</v>
      </c>
    </row>
    <row r="4580" spans="1:6" x14ac:dyDescent="0.25">
      <c r="A4580" s="4" t="str">
        <f>"Synthesis Lectures on Engineering"</f>
        <v>Synthesis Lectures on Engineering</v>
      </c>
      <c r="B4580" s="4" t="s">
        <v>29</v>
      </c>
      <c r="C4580" s="4" t="str">
        <f t="shared" si="168"/>
        <v>-</v>
      </c>
      <c r="D4580" s="4" t="str">
        <f>"19395221"</f>
        <v>19395221</v>
      </c>
      <c r="E4580" s="4" t="str">
        <f>"1939523X"</f>
        <v>1939523X</v>
      </c>
      <c r="F4580" s="4" t="s">
        <v>1096</v>
      </c>
    </row>
    <row r="4581" spans="1:6" x14ac:dyDescent="0.25">
      <c r="A4581" s="4" t="str">
        <f>"Synthesis Lectures on Engineers, Technology, and Society"</f>
        <v>Synthesis Lectures on Engineers, Technology, and Society</v>
      </c>
      <c r="B4581" s="4" t="s">
        <v>29</v>
      </c>
      <c r="C4581" s="4" t="str">
        <f t="shared" si="168"/>
        <v>-</v>
      </c>
      <c r="D4581" s="4" t="str">
        <f>"-"</f>
        <v>-</v>
      </c>
      <c r="E4581" s="4" t="str">
        <f>"-"</f>
        <v>-</v>
      </c>
      <c r="F4581" s="4" t="s">
        <v>1096</v>
      </c>
    </row>
    <row r="4582" spans="1:6" x14ac:dyDescent="0.25">
      <c r="A4582" s="4" t="str">
        <f>"Synthesis Lectures on Image, Video, and Multimedia Processing"</f>
        <v>Synthesis Lectures on Image, Video, and Multimedia Processing</v>
      </c>
      <c r="B4582" s="4" t="s">
        <v>29</v>
      </c>
      <c r="C4582" s="4" t="str">
        <f t="shared" si="168"/>
        <v>-</v>
      </c>
      <c r="D4582" s="4" t="str">
        <f>"15598136"</f>
        <v>15598136</v>
      </c>
      <c r="E4582" s="4" t="str">
        <f>"15598144"</f>
        <v>15598144</v>
      </c>
      <c r="F4582" s="4" t="s">
        <v>1096</v>
      </c>
    </row>
    <row r="4583" spans="1:6" x14ac:dyDescent="0.25">
      <c r="A4583" s="4" t="str">
        <f>"Synthesis Lectures on Mobile and Pervasive Computing"</f>
        <v>Synthesis Lectures on Mobile and Pervasive Computing</v>
      </c>
      <c r="B4583" s="4" t="s">
        <v>29</v>
      </c>
      <c r="C4583" s="4" t="str">
        <f t="shared" si="168"/>
        <v>-</v>
      </c>
      <c r="D4583" s="4" t="str">
        <f>"19339011"</f>
        <v>19339011</v>
      </c>
      <c r="E4583" s="4" t="str">
        <f>"1933902X"</f>
        <v>1933902X</v>
      </c>
      <c r="F4583" s="4" t="s">
        <v>1096</v>
      </c>
    </row>
    <row r="4584" spans="1:6" x14ac:dyDescent="0.25">
      <c r="A4584" s="4" t="str">
        <f>"Synthesis Lectures on Power Electronics"</f>
        <v>Synthesis Lectures on Power Electronics</v>
      </c>
      <c r="B4584" s="4" t="s">
        <v>29</v>
      </c>
      <c r="C4584" s="4" t="str">
        <f t="shared" si="168"/>
        <v>-</v>
      </c>
      <c r="D4584" s="4" t="str">
        <f>"19319525"</f>
        <v>19319525</v>
      </c>
      <c r="E4584" s="4" t="str">
        <f>"19319533"</f>
        <v>19319533</v>
      </c>
      <c r="F4584" s="4" t="s">
        <v>1096</v>
      </c>
    </row>
    <row r="4585" spans="1:6" x14ac:dyDescent="0.25">
      <c r="A4585" s="4" t="str">
        <f>"Synthesis Lectures on Signal Processing"</f>
        <v>Synthesis Lectures on Signal Processing</v>
      </c>
      <c r="B4585" s="4" t="s">
        <v>29</v>
      </c>
      <c r="C4585" s="4" t="str">
        <f t="shared" si="168"/>
        <v>-</v>
      </c>
      <c r="D4585" s="4" t="str">
        <f>"19321236"</f>
        <v>19321236</v>
      </c>
      <c r="E4585" s="4" t="str">
        <f>"19321694"</f>
        <v>19321694</v>
      </c>
      <c r="F4585" s="4" t="s">
        <v>1096</v>
      </c>
    </row>
    <row r="4586" spans="1:6" x14ac:dyDescent="0.25">
      <c r="A4586" s="4" t="str">
        <f>"Synthesis Lectures on Solid State Materials and Devices"</f>
        <v>Synthesis Lectures on Solid State Materials and Devices</v>
      </c>
      <c r="B4586" s="4" t="s">
        <v>29</v>
      </c>
      <c r="C4586" s="4" t="str">
        <f t="shared" si="168"/>
        <v>-</v>
      </c>
      <c r="D4586" s="4" t="str">
        <f>"19321260"</f>
        <v>19321260</v>
      </c>
      <c r="E4586" s="4" t="str">
        <f>"19321724"</f>
        <v>19321724</v>
      </c>
      <c r="F4586" s="4" t="s">
        <v>1096</v>
      </c>
    </row>
    <row r="4587" spans="1:6" x14ac:dyDescent="0.25">
      <c r="A4587" s="4" t="str">
        <f>"Synthesis Lectures on Speech and Audio Processing"</f>
        <v>Synthesis Lectures on Speech and Audio Processing</v>
      </c>
      <c r="B4587" s="4" t="s">
        <v>29</v>
      </c>
      <c r="C4587" s="4" t="str">
        <f t="shared" si="168"/>
        <v>-</v>
      </c>
      <c r="D4587" s="4" t="str">
        <f>"1932121X"</f>
        <v>1932121X</v>
      </c>
      <c r="E4587" s="4" t="str">
        <f>"19321678"</f>
        <v>19321678</v>
      </c>
      <c r="F4587" s="4" t="s">
        <v>1096</v>
      </c>
    </row>
    <row r="4588" spans="1:6" x14ac:dyDescent="0.25">
      <c r="A4588" s="4" t="str">
        <f>"Synthesis Lectures on Technology, Management and Entrepreneurship"</f>
        <v>Synthesis Lectures on Technology, Management and Entrepreneurship</v>
      </c>
      <c r="B4588" s="4" t="s">
        <v>29</v>
      </c>
      <c r="C4588" s="4" t="str">
        <f t="shared" si="168"/>
        <v>-</v>
      </c>
      <c r="D4588" s="4" t="str">
        <f>"1933978X"</f>
        <v>1933978X</v>
      </c>
      <c r="E4588" s="4" t="str">
        <f>"19339798"</f>
        <v>19339798</v>
      </c>
      <c r="F4588" s="4" t="s">
        <v>1096</v>
      </c>
    </row>
    <row r="4589" spans="1:6" x14ac:dyDescent="0.25">
      <c r="A4589" s="4" t="str">
        <f>"Synthetic Metals"</f>
        <v>Synthetic Metals</v>
      </c>
      <c r="B4589" s="4" t="s">
        <v>6</v>
      </c>
      <c r="C4589" s="4" t="str">
        <f t="shared" si="168"/>
        <v>-</v>
      </c>
      <c r="D4589" s="4" t="str">
        <f>"03796779"</f>
        <v>03796779</v>
      </c>
      <c r="E4589" s="4" t="str">
        <f>"-"</f>
        <v>-</v>
      </c>
      <c r="F4589" s="4" t="s">
        <v>19</v>
      </c>
    </row>
    <row r="4590" spans="1:6" x14ac:dyDescent="0.25">
      <c r="A4590" s="4" t="str">
        <f>"Systems Analysis Modelling Simulation"</f>
        <v>Systems Analysis Modelling Simulation</v>
      </c>
      <c r="B4590" s="4" t="s">
        <v>6</v>
      </c>
      <c r="C4590" s="4" t="str">
        <f t="shared" si="168"/>
        <v>-</v>
      </c>
      <c r="D4590" s="4" t="str">
        <f>"02329298"</f>
        <v>02329298</v>
      </c>
      <c r="E4590" s="4" t="str">
        <f>"10294902"</f>
        <v>10294902</v>
      </c>
      <c r="F4590" s="4" t="s">
        <v>96</v>
      </c>
    </row>
    <row r="4591" spans="1:6" x14ac:dyDescent="0.25">
      <c r="A4591" s="4" t="str">
        <f>"Systems and Control Letters"</f>
        <v>Systems and Control Letters</v>
      </c>
      <c r="B4591" s="4" t="s">
        <v>6</v>
      </c>
      <c r="C4591" s="4" t="str">
        <f t="shared" si="168"/>
        <v>-</v>
      </c>
      <c r="D4591" s="4" t="str">
        <f>"01676911"</f>
        <v>01676911</v>
      </c>
      <c r="E4591" s="4" t="str">
        <f>"-"</f>
        <v>-</v>
      </c>
      <c r="F4591" s="4" t="s">
        <v>55</v>
      </c>
    </row>
    <row r="4592" spans="1:6" x14ac:dyDescent="0.25">
      <c r="A4592" s="4" t="str">
        <f>"Systems Engineering"</f>
        <v>Systems Engineering</v>
      </c>
      <c r="B4592" s="4" t="s">
        <v>6</v>
      </c>
      <c r="C4592" s="4" t="str">
        <f t="shared" si="168"/>
        <v>-</v>
      </c>
      <c r="D4592" s="4" t="str">
        <f>"10981241"</f>
        <v>10981241</v>
      </c>
      <c r="E4592" s="4" t="str">
        <f>"15206858"</f>
        <v>15206858</v>
      </c>
      <c r="F4592" s="4" t="s">
        <v>87</v>
      </c>
    </row>
    <row r="4593" spans="1:6" x14ac:dyDescent="0.25">
      <c r="A4593" s="4" t="str">
        <f>"Systems Research and Behavioral Science"</f>
        <v>Systems Research and Behavioral Science</v>
      </c>
      <c r="B4593" s="4" t="s">
        <v>6</v>
      </c>
      <c r="C4593" s="4" t="str">
        <f t="shared" si="168"/>
        <v>-</v>
      </c>
      <c r="D4593" s="4" t="str">
        <f>"10927026"</f>
        <v>10927026</v>
      </c>
      <c r="E4593" s="4" t="str">
        <f>"10991743"</f>
        <v>10991743</v>
      </c>
      <c r="F4593" s="4" t="s">
        <v>142</v>
      </c>
    </row>
    <row r="4594" spans="1:6" x14ac:dyDescent="0.25">
      <c r="A4594" s="4" t="str">
        <f>"Systems Science"</f>
        <v>Systems Science</v>
      </c>
      <c r="B4594" s="4" t="s">
        <v>6</v>
      </c>
      <c r="C4594" s="4" t="str">
        <f t="shared" si="168"/>
        <v>-</v>
      </c>
      <c r="D4594" s="4" t="str">
        <f>"01371223"</f>
        <v>01371223</v>
      </c>
      <c r="E4594" s="4" t="str">
        <f t="shared" ref="E4594:E4603" si="169">"-"</f>
        <v>-</v>
      </c>
      <c r="F4594" s="4" t="s">
        <v>383</v>
      </c>
    </row>
    <row r="4595" spans="1:6" x14ac:dyDescent="0.25">
      <c r="A4595" s="4" t="str">
        <f>"Taiwan Journal of Forest Science"</f>
        <v>Taiwan Journal of Forest Science</v>
      </c>
      <c r="B4595" s="4" t="s">
        <v>6</v>
      </c>
      <c r="C4595" s="4" t="str">
        <f t="shared" si="168"/>
        <v>-</v>
      </c>
      <c r="D4595" s="4" t="str">
        <f>"10264469"</f>
        <v>10264469</v>
      </c>
      <c r="E4595" s="4" t="str">
        <f t="shared" si="169"/>
        <v>-</v>
      </c>
      <c r="F4595" s="4" t="s">
        <v>1097</v>
      </c>
    </row>
    <row r="4596" spans="1:6" x14ac:dyDescent="0.25">
      <c r="A4596" s="4" t="str">
        <f>"Taiwan Water Conservancy"</f>
        <v>Taiwan Water Conservancy</v>
      </c>
      <c r="B4596" s="4" t="s">
        <v>6</v>
      </c>
      <c r="C4596" s="4" t="str">
        <f t="shared" si="168"/>
        <v>-</v>
      </c>
      <c r="D4596" s="4" t="str">
        <f>"04921505"</f>
        <v>04921505</v>
      </c>
      <c r="E4596" s="4" t="str">
        <f t="shared" si="169"/>
        <v>-</v>
      </c>
      <c r="F4596" s="4" t="s">
        <v>1098</v>
      </c>
    </row>
    <row r="4597" spans="1:6" x14ac:dyDescent="0.25">
      <c r="A4597" s="4" t="str">
        <f>"Taiyangneng Xuebao/Acta Energiae Solaris Sinica"</f>
        <v>Taiyangneng Xuebao/Acta Energiae Solaris Sinica</v>
      </c>
      <c r="B4597" s="4" t="s">
        <v>6</v>
      </c>
      <c r="C4597" s="4" t="str">
        <f t="shared" si="168"/>
        <v>-</v>
      </c>
      <c r="D4597" s="4" t="str">
        <f>"02540096"</f>
        <v>02540096</v>
      </c>
      <c r="E4597" s="4" t="str">
        <f t="shared" si="169"/>
        <v>-</v>
      </c>
      <c r="F4597" s="4" t="s">
        <v>37</v>
      </c>
    </row>
    <row r="4598" spans="1:6" x14ac:dyDescent="0.25">
      <c r="A4598" s="4" t="str">
        <f>"Talanta"</f>
        <v>Talanta</v>
      </c>
      <c r="B4598" s="4" t="s">
        <v>6</v>
      </c>
      <c r="C4598" s="4" t="str">
        <f t="shared" si="168"/>
        <v>-</v>
      </c>
      <c r="D4598" s="4" t="str">
        <f>"00399140"</f>
        <v>00399140</v>
      </c>
      <c r="E4598" s="4" t="str">
        <f t="shared" si="169"/>
        <v>-</v>
      </c>
      <c r="F4598" s="4" t="s">
        <v>55</v>
      </c>
    </row>
    <row r="4599" spans="1:6" x14ac:dyDescent="0.25">
      <c r="A4599" s="4" t="str">
        <f>"TAPPI - Polymers, Laminations and Coatings Conference"</f>
        <v>TAPPI - Polymers, Laminations and Coatings Conference</v>
      </c>
      <c r="B4599" s="4" t="s">
        <v>8</v>
      </c>
      <c r="C4599" s="4" t="str">
        <f t="shared" si="168"/>
        <v>-</v>
      </c>
      <c r="D4599" s="4" t="str">
        <f>"1047305X"</f>
        <v>1047305X</v>
      </c>
      <c r="E4599" s="4" t="str">
        <f t="shared" si="169"/>
        <v>-</v>
      </c>
      <c r="F4599" s="4" t="s">
        <v>306</v>
      </c>
    </row>
    <row r="4600" spans="1:6" x14ac:dyDescent="0.25">
      <c r="A4600" s="4" t="str">
        <f>"TAPPI European PLACE Conference"</f>
        <v>TAPPI European PLACE Conference</v>
      </c>
      <c r="B4600" s="4" t="s">
        <v>8</v>
      </c>
      <c r="C4600" s="4" t="str">
        <f t="shared" si="168"/>
        <v>-</v>
      </c>
      <c r="D4600" s="4" t="str">
        <f>"-"</f>
        <v>-</v>
      </c>
      <c r="E4600" s="4" t="str">
        <f t="shared" si="169"/>
        <v>-</v>
      </c>
      <c r="F4600" s="4" t="s">
        <v>1099</v>
      </c>
    </row>
    <row r="4601" spans="1:6" x14ac:dyDescent="0.25">
      <c r="A4601" s="4" t="str">
        <f>"Tappi Journal"</f>
        <v>Tappi Journal</v>
      </c>
      <c r="B4601" s="4" t="s">
        <v>22</v>
      </c>
      <c r="C4601" s="4" t="str">
        <f t="shared" si="168"/>
        <v>-</v>
      </c>
      <c r="D4601" s="4" t="str">
        <f>"07341415"</f>
        <v>07341415</v>
      </c>
      <c r="E4601" s="4" t="str">
        <f t="shared" si="169"/>
        <v>-</v>
      </c>
      <c r="F4601" s="4" t="s">
        <v>1099</v>
      </c>
    </row>
    <row r="4602" spans="1:6" x14ac:dyDescent="0.25">
      <c r="A4602" s="4" t="str">
        <f>"TAPPI Proceedings - Environmental Conference and Exhibit"</f>
        <v>TAPPI Proceedings - Environmental Conference and Exhibit</v>
      </c>
      <c r="B4602" s="4" t="s">
        <v>8</v>
      </c>
      <c r="C4602" s="4" t="str">
        <f t="shared" si="168"/>
        <v>-</v>
      </c>
      <c r="D4602" s="4" t="str">
        <f>"-"</f>
        <v>-</v>
      </c>
      <c r="E4602" s="4" t="str">
        <f t="shared" si="169"/>
        <v>-</v>
      </c>
      <c r="F4602" s="4" t="s">
        <v>306</v>
      </c>
    </row>
    <row r="4603" spans="1:6" x14ac:dyDescent="0.25">
      <c r="A4603" s="4" t="str">
        <f>"Tecbahia Revista Baiana De Tecnologia"</f>
        <v>Tecbahia Revista Baiana De Tecnologia</v>
      </c>
      <c r="B4603" s="4" t="s">
        <v>6</v>
      </c>
      <c r="C4603" s="4" t="str">
        <f t="shared" si="168"/>
        <v>-</v>
      </c>
      <c r="D4603" s="4" t="str">
        <f>"01043285"</f>
        <v>01043285</v>
      </c>
      <c r="E4603" s="4" t="str">
        <f t="shared" si="169"/>
        <v>-</v>
      </c>
      <c r="F4603" s="4" t="s">
        <v>1100</v>
      </c>
    </row>
    <row r="4604" spans="1:6" x14ac:dyDescent="0.25">
      <c r="A4604" s="4" t="str">
        <f>"Technical (Online) Report - University of Texas at Austin, Center for Research in Water Resources"</f>
        <v>Technical (Online) Report - University of Texas at Austin, Center for Research in Water Resources</v>
      </c>
      <c r="B4604" s="4" t="s">
        <v>6</v>
      </c>
      <c r="C4604" s="4" t="str">
        <f t="shared" si="168"/>
        <v>-</v>
      </c>
      <c r="D4604" s="4" t="str">
        <f>"-"</f>
        <v>-</v>
      </c>
      <c r="E4604" s="4" t="str">
        <f>"01472194"</f>
        <v>01472194</v>
      </c>
      <c r="F4604" s="4" t="s">
        <v>1101</v>
      </c>
    </row>
    <row r="4605" spans="1:6" x14ac:dyDescent="0.25">
      <c r="A4605" s="4" t="str">
        <f>"Technical Communication Quarterly"</f>
        <v>Technical Communication Quarterly</v>
      </c>
      <c r="B4605" s="4" t="s">
        <v>6</v>
      </c>
      <c r="C4605" s="4" t="str">
        <f t="shared" si="168"/>
        <v>-</v>
      </c>
      <c r="D4605" s="4" t="str">
        <f>"10572252"</f>
        <v>10572252</v>
      </c>
      <c r="E4605" s="4" t="str">
        <f>"15427625"</f>
        <v>15427625</v>
      </c>
      <c r="F4605" s="4" t="s">
        <v>211</v>
      </c>
    </row>
    <row r="4606" spans="1:6" x14ac:dyDescent="0.25">
      <c r="A4606" s="4" t="str">
        <f>"Technical Digest - GaAs IC Symposium (Gallium Arsenide Integrated Circuit)"</f>
        <v>Technical Digest - GaAs IC Symposium (Gallium Arsenide Integrated Circuit)</v>
      </c>
      <c r="B4606" s="4" t="s">
        <v>8</v>
      </c>
      <c r="C4606" s="4" t="str">
        <f t="shared" si="168"/>
        <v>-</v>
      </c>
      <c r="D4606" s="4" t="str">
        <f>"-"</f>
        <v>-</v>
      </c>
      <c r="E4606" s="4" t="str">
        <f>"-"</f>
        <v>-</v>
      </c>
      <c r="F4606" s="4" t="s">
        <v>105</v>
      </c>
    </row>
    <row r="4607" spans="1:6" x14ac:dyDescent="0.25">
      <c r="A4607" s="4" t="str">
        <f>"Technical Digest - IEEE Compound Semiconductor Integrated Circuit Symposium, CSIC"</f>
        <v>Technical Digest - IEEE Compound Semiconductor Integrated Circuit Symposium, CSIC</v>
      </c>
      <c r="B4607" s="4" t="s">
        <v>8</v>
      </c>
      <c r="C4607" s="4" t="str">
        <f t="shared" si="168"/>
        <v>-</v>
      </c>
      <c r="D4607" s="4" t="str">
        <f>"15508781"</f>
        <v>15508781</v>
      </c>
      <c r="E4607" s="4" t="str">
        <f>"-"</f>
        <v>-</v>
      </c>
      <c r="F4607" s="4" t="s">
        <v>105</v>
      </c>
    </row>
    <row r="4608" spans="1:6" x14ac:dyDescent="0.25">
      <c r="A4608" s="4" t="str">
        <f>"Technical Digest - International Electron Devices Meeting, IEDM"</f>
        <v>Technical Digest - International Electron Devices Meeting, IEDM</v>
      </c>
      <c r="B4608" s="4" t="s">
        <v>8</v>
      </c>
      <c r="C4608" s="4" t="str">
        <f t="shared" si="168"/>
        <v>-</v>
      </c>
      <c r="D4608" s="4" t="str">
        <f>"01631918"</f>
        <v>01631918</v>
      </c>
      <c r="E4608" s="4" t="str">
        <f>"-"</f>
        <v>-</v>
      </c>
      <c r="F4608" s="4" t="s">
        <v>105</v>
      </c>
    </row>
    <row r="4609" spans="1:6" x14ac:dyDescent="0.25">
      <c r="A4609" s="4" t="str">
        <f>"Technical Digest - Solid-State Sensors, Actuators, and Microsystems Workshop"</f>
        <v>Technical Digest - Solid-State Sensors, Actuators, and Microsystems Workshop</v>
      </c>
      <c r="B4609" s="4" t="s">
        <v>8</v>
      </c>
      <c r="C4609" s="4" t="str">
        <f>"9780964002494"</f>
        <v>9780964002494</v>
      </c>
      <c r="D4609" s="4" t="str">
        <f>"-"</f>
        <v>-</v>
      </c>
      <c r="E4609" s="4" t="str">
        <f>"-"</f>
        <v>-</v>
      </c>
      <c r="F4609" s="4" t="s">
        <v>1102</v>
      </c>
    </row>
    <row r="4610" spans="1:6" x14ac:dyDescent="0.25">
      <c r="A4610" s="4" t="str">
        <f>"Technical Electrodynamics"</f>
        <v>Technical Electrodynamics</v>
      </c>
      <c r="B4610" s="4" t="s">
        <v>6</v>
      </c>
      <c r="C4610" s="4" t="str">
        <f t="shared" ref="C4610:E4673" si="170">"-"</f>
        <v>-</v>
      </c>
      <c r="D4610" s="4" t="str">
        <f>"16077970"</f>
        <v>16077970</v>
      </c>
      <c r="E4610" s="4" t="str">
        <f>"22181903"</f>
        <v>22181903</v>
      </c>
      <c r="F4610" s="4" t="s">
        <v>1103</v>
      </c>
    </row>
    <row r="4611" spans="1:6" x14ac:dyDescent="0.25">
      <c r="A4611" s="4" t="str">
        <f>"Technical Paper - Society of Manufacturing Engineers"</f>
        <v>Technical Paper - Society of Manufacturing Engineers</v>
      </c>
      <c r="B4611" s="4" t="s">
        <v>8</v>
      </c>
      <c r="C4611" s="4" t="str">
        <f t="shared" si="170"/>
        <v>-</v>
      </c>
      <c r="D4611" s="4" t="str">
        <f t="shared" si="170"/>
        <v>-</v>
      </c>
      <c r="E4611" s="4" t="str">
        <f t="shared" si="170"/>
        <v>-</v>
      </c>
      <c r="F4611" s="4" t="s">
        <v>845</v>
      </c>
    </row>
    <row r="4612" spans="1:6" x14ac:dyDescent="0.25">
      <c r="A4612" s="4" t="str">
        <f>"Technical Paper - Society of Manufacturing Engineers, MC"</f>
        <v>Technical Paper - Society of Manufacturing Engineers, MC</v>
      </c>
      <c r="B4612" s="4" t="s">
        <v>6</v>
      </c>
      <c r="C4612" s="4" t="str">
        <f t="shared" si="170"/>
        <v>-</v>
      </c>
      <c r="D4612" s="4" t="str">
        <f t="shared" si="170"/>
        <v>-</v>
      </c>
      <c r="E4612" s="4" t="str">
        <f t="shared" si="170"/>
        <v>-</v>
      </c>
      <c r="F4612" s="4" t="s">
        <v>845</v>
      </c>
    </row>
    <row r="4613" spans="1:6" x14ac:dyDescent="0.25">
      <c r="A4613" s="4" t="str">
        <f>"Technical Paper - Society of Manufacturing Engineers, RP"</f>
        <v>Technical Paper - Society of Manufacturing Engineers, RP</v>
      </c>
      <c r="B4613" s="4" t="s">
        <v>6</v>
      </c>
      <c r="C4613" s="4" t="str">
        <f t="shared" si="170"/>
        <v>-</v>
      </c>
      <c r="D4613" s="4" t="str">
        <f t="shared" si="170"/>
        <v>-</v>
      </c>
      <c r="E4613" s="4" t="str">
        <f t="shared" si="170"/>
        <v>-</v>
      </c>
      <c r="F4613" s="4" t="s">
        <v>845</v>
      </c>
    </row>
    <row r="4614" spans="1:6" x14ac:dyDescent="0.25">
      <c r="A4614" s="4" t="str">
        <f>"Technical Paper - Society of Manufacturing Engineers. AD"</f>
        <v>Technical Paper - Society of Manufacturing Engineers. AD</v>
      </c>
      <c r="B4614" s="4" t="s">
        <v>6</v>
      </c>
      <c r="C4614" s="4" t="str">
        <f t="shared" si="170"/>
        <v>-</v>
      </c>
      <c r="D4614" s="4" t="str">
        <f>"03618765"</f>
        <v>03618765</v>
      </c>
      <c r="E4614" s="4" t="str">
        <f t="shared" si="170"/>
        <v>-</v>
      </c>
      <c r="F4614" s="4" t="s">
        <v>845</v>
      </c>
    </row>
    <row r="4615" spans="1:6" x14ac:dyDescent="0.25">
      <c r="A4615" s="4" t="str">
        <f>"Technical Paper - Society of Manufacturing Engineers. EM"</f>
        <v>Technical Paper - Society of Manufacturing Engineers. EM</v>
      </c>
      <c r="B4615" s="4" t="s">
        <v>6</v>
      </c>
      <c r="C4615" s="4" t="str">
        <f t="shared" si="170"/>
        <v>-</v>
      </c>
      <c r="D4615" s="4" t="str">
        <f>"01611852"</f>
        <v>01611852</v>
      </c>
      <c r="E4615" s="4" t="str">
        <f t="shared" si="170"/>
        <v>-</v>
      </c>
      <c r="F4615" s="4" t="s">
        <v>845</v>
      </c>
    </row>
    <row r="4616" spans="1:6" x14ac:dyDescent="0.25">
      <c r="A4616" s="4" t="str">
        <f>"Technical Paper - Society of Manufacturing Engineers. FC"</f>
        <v>Technical Paper - Society of Manufacturing Engineers. FC</v>
      </c>
      <c r="B4616" s="4" t="s">
        <v>6</v>
      </c>
      <c r="C4616" s="4" t="str">
        <f t="shared" si="170"/>
        <v>-</v>
      </c>
      <c r="D4616" s="4" t="str">
        <f>"01611844"</f>
        <v>01611844</v>
      </c>
      <c r="E4616" s="4" t="str">
        <f t="shared" si="170"/>
        <v>-</v>
      </c>
      <c r="F4616" s="4" t="s">
        <v>845</v>
      </c>
    </row>
    <row r="4617" spans="1:6" x14ac:dyDescent="0.25">
      <c r="A4617" s="4" t="str">
        <f>"Technical Paper - Society of Manufacturing Engineers. IQ"</f>
        <v>Technical Paper - Society of Manufacturing Engineers. IQ</v>
      </c>
      <c r="B4617" s="4" t="s">
        <v>8</v>
      </c>
      <c r="C4617" s="4" t="str">
        <f t="shared" si="170"/>
        <v>-</v>
      </c>
      <c r="D4617" s="4" t="str">
        <f>"01611860"</f>
        <v>01611860</v>
      </c>
      <c r="E4617" s="4" t="str">
        <f t="shared" si="170"/>
        <v>-</v>
      </c>
      <c r="F4617" s="4" t="s">
        <v>845</v>
      </c>
    </row>
    <row r="4618" spans="1:6" x14ac:dyDescent="0.25">
      <c r="A4618" s="4" t="str">
        <f>"Technical Paper - Society of Manufacturing Engineers. MF"</f>
        <v>Technical Paper - Society of Manufacturing Engineers. MF</v>
      </c>
      <c r="B4618" s="4" t="s">
        <v>6</v>
      </c>
      <c r="C4618" s="4" t="str">
        <f t="shared" si="170"/>
        <v>-</v>
      </c>
      <c r="D4618" s="4" t="str">
        <f>"0191085X"</f>
        <v>0191085X</v>
      </c>
      <c r="E4618" s="4" t="str">
        <f t="shared" si="170"/>
        <v>-</v>
      </c>
      <c r="F4618" s="4" t="s">
        <v>845</v>
      </c>
    </row>
    <row r="4619" spans="1:6" x14ac:dyDescent="0.25">
      <c r="A4619" s="4" t="str">
        <f>"Technical Paper - Society of Manufacturing Engineers. MM"</f>
        <v>Technical Paper - Society of Manufacturing Engineers. MM</v>
      </c>
      <c r="B4619" s="4" t="s">
        <v>6</v>
      </c>
      <c r="C4619" s="4" t="str">
        <f t="shared" si="170"/>
        <v>-</v>
      </c>
      <c r="D4619" s="4" t="str">
        <f>"-"</f>
        <v>-</v>
      </c>
      <c r="E4619" s="4" t="str">
        <f t="shared" si="170"/>
        <v>-</v>
      </c>
      <c r="F4619" s="4" t="s">
        <v>845</v>
      </c>
    </row>
    <row r="4620" spans="1:6" x14ac:dyDescent="0.25">
      <c r="A4620" s="4" t="str">
        <f>"Technical Paper - Society of Manufacturing Engineers. MR"</f>
        <v>Technical Paper - Society of Manufacturing Engineers. MR</v>
      </c>
      <c r="B4620" s="4" t="s">
        <v>6</v>
      </c>
      <c r="C4620" s="4" t="str">
        <f t="shared" si="170"/>
        <v>-</v>
      </c>
      <c r="D4620" s="4" t="str">
        <f>"01611879"</f>
        <v>01611879</v>
      </c>
      <c r="E4620" s="4" t="str">
        <f t="shared" si="170"/>
        <v>-</v>
      </c>
      <c r="F4620" s="4" t="s">
        <v>845</v>
      </c>
    </row>
    <row r="4621" spans="1:6" x14ac:dyDescent="0.25">
      <c r="A4621" s="4" t="str">
        <f>"Technical Paper - Society of Manufacturing Engineers. MS"</f>
        <v>Technical Paper - Society of Manufacturing Engineers. MS</v>
      </c>
      <c r="B4621" s="4" t="s">
        <v>6</v>
      </c>
      <c r="C4621" s="4" t="str">
        <f t="shared" si="170"/>
        <v>-</v>
      </c>
      <c r="D4621" s="4" t="str">
        <f>"01616382"</f>
        <v>01616382</v>
      </c>
      <c r="E4621" s="4" t="str">
        <f t="shared" si="170"/>
        <v>-</v>
      </c>
      <c r="F4621" s="4" t="s">
        <v>845</v>
      </c>
    </row>
    <row r="4622" spans="1:6" x14ac:dyDescent="0.25">
      <c r="A4622" s="4" t="str">
        <f>"Technical Paper - Society of Manufacturing Engineers. PE"</f>
        <v>Technical Paper - Society of Manufacturing Engineers. PE</v>
      </c>
      <c r="B4622" s="4" t="s">
        <v>6</v>
      </c>
      <c r="C4622" s="4" t="str">
        <f t="shared" si="170"/>
        <v>-</v>
      </c>
      <c r="D4622" s="4" t="str">
        <f>"-"</f>
        <v>-</v>
      </c>
      <c r="E4622" s="4" t="str">
        <f t="shared" si="170"/>
        <v>-</v>
      </c>
      <c r="F4622" s="4" t="s">
        <v>845</v>
      </c>
    </row>
    <row r="4623" spans="1:6" x14ac:dyDescent="0.25">
      <c r="A4623" s="4" t="str">
        <f>"Technical Paper -Society of Manufacturing Engineers. CM"</f>
        <v>Technical Paper -Society of Manufacturing Engineers. CM</v>
      </c>
      <c r="B4623" s="4" t="s">
        <v>6</v>
      </c>
      <c r="C4623" s="4" t="str">
        <f t="shared" si="170"/>
        <v>-</v>
      </c>
      <c r="D4623" s="4" t="str">
        <f>"-"</f>
        <v>-</v>
      </c>
      <c r="E4623" s="4" t="str">
        <f t="shared" si="170"/>
        <v>-</v>
      </c>
      <c r="F4623" s="4" t="s">
        <v>845</v>
      </c>
    </row>
    <row r="4624" spans="1:6" x14ac:dyDescent="0.25">
      <c r="A4624" s="4" t="str">
        <f>"Technical Papers of ISA"</f>
        <v>Technical Papers of ISA</v>
      </c>
      <c r="B4624" s="4" t="s">
        <v>8</v>
      </c>
      <c r="C4624" s="4" t="str">
        <f t="shared" si="170"/>
        <v>-</v>
      </c>
      <c r="D4624" s="4" t="str">
        <f>"-"</f>
        <v>-</v>
      </c>
      <c r="E4624" s="4" t="str">
        <f t="shared" si="170"/>
        <v>-</v>
      </c>
      <c r="F4624" s="4" t="s">
        <v>188</v>
      </c>
    </row>
    <row r="4625" spans="1:6" x14ac:dyDescent="0.25">
      <c r="A4625" s="4" t="str">
        <f>"Technical Papers, Regional Technical Conference - Society of Plastics Engineers"</f>
        <v>Technical Papers, Regional Technical Conference - Society of Plastics Engineers</v>
      </c>
      <c r="B4625" s="4" t="s">
        <v>8</v>
      </c>
      <c r="C4625" s="4" t="str">
        <f t="shared" si="170"/>
        <v>-</v>
      </c>
      <c r="D4625" s="4" t="str">
        <f>"-"</f>
        <v>-</v>
      </c>
      <c r="E4625" s="4" t="str">
        <f t="shared" si="170"/>
        <v>-</v>
      </c>
      <c r="F4625" s="4" t="s">
        <v>132</v>
      </c>
    </row>
    <row r="4626" spans="1:6" x14ac:dyDescent="0.25">
      <c r="A4626" s="4" t="str">
        <f>"Technical Services Quarterly"</f>
        <v>Technical Services Quarterly</v>
      </c>
      <c r="B4626" s="4" t="s">
        <v>6</v>
      </c>
      <c r="C4626" s="4" t="str">
        <f t="shared" si="170"/>
        <v>-</v>
      </c>
      <c r="D4626" s="4" t="str">
        <f>"07317131"</f>
        <v>07317131</v>
      </c>
      <c r="E4626" s="4" t="str">
        <f t="shared" si="170"/>
        <v>-</v>
      </c>
      <c r="F4626" s="4" t="s">
        <v>211</v>
      </c>
    </row>
    <row r="4627" spans="1:6" x14ac:dyDescent="0.25">
      <c r="A4627" s="4" t="str">
        <f>"Technische Berichte des Hasso-Plattner-Instituts fur Softwaresystemtechnik an der Universitat Potsdam"</f>
        <v>Technische Berichte des Hasso-Plattner-Instituts fur Softwaresystemtechnik an der Universitat Potsdam</v>
      </c>
      <c r="B4627" s="4" t="s">
        <v>8</v>
      </c>
      <c r="C4627" s="4" t="str">
        <f t="shared" si="170"/>
        <v>-</v>
      </c>
      <c r="D4627" s="4" t="str">
        <f>"21911665"</f>
        <v>21911665</v>
      </c>
      <c r="E4627" s="4" t="str">
        <f>"16135652"</f>
        <v>16135652</v>
      </c>
      <c r="F4627" s="4" t="s">
        <v>1104</v>
      </c>
    </row>
    <row r="4628" spans="1:6" x14ac:dyDescent="0.25">
      <c r="A4628" s="4" t="str">
        <f>"Technische Berichte des Instituts fur Informatik der Christian-Albrechts-Universitat zu Kiel"</f>
        <v>Technische Berichte des Instituts fur Informatik der Christian-Albrechts-Universitat zu Kiel</v>
      </c>
      <c r="B4628" s="4" t="s">
        <v>8</v>
      </c>
      <c r="C4628" s="4" t="str">
        <f t="shared" si="170"/>
        <v>-</v>
      </c>
      <c r="D4628" s="4" t="str">
        <f>"21926247"</f>
        <v>21926247</v>
      </c>
      <c r="E4628" s="4" t="str">
        <f>"21926247"</f>
        <v>21926247</v>
      </c>
      <c r="F4628" s="4" t="s">
        <v>1105</v>
      </c>
    </row>
    <row r="4629" spans="1:6" x14ac:dyDescent="0.25">
      <c r="A4629" s="4" t="str">
        <f>"Technisches Messen"</f>
        <v>Technisches Messen</v>
      </c>
      <c r="B4629" s="4" t="s">
        <v>6</v>
      </c>
      <c r="C4629" s="4" t="str">
        <f t="shared" si="170"/>
        <v>-</v>
      </c>
      <c r="D4629" s="4" t="str">
        <f>"01718096"</f>
        <v>01718096</v>
      </c>
      <c r="E4629" s="4" t="str">
        <f t="shared" ref="E4629:E4634" si="171">"-"</f>
        <v>-</v>
      </c>
      <c r="F4629" s="4" t="s">
        <v>189</v>
      </c>
    </row>
    <row r="4630" spans="1:6" x14ac:dyDescent="0.25">
      <c r="A4630" s="4" t="str">
        <f>"Technological Forecasting and Social Change"</f>
        <v>Technological Forecasting and Social Change</v>
      </c>
      <c r="B4630" s="4" t="s">
        <v>6</v>
      </c>
      <c r="C4630" s="4" t="str">
        <f t="shared" si="170"/>
        <v>-</v>
      </c>
      <c r="D4630" s="4" t="str">
        <f>"00401625"</f>
        <v>00401625</v>
      </c>
      <c r="E4630" s="4" t="str">
        <f t="shared" si="171"/>
        <v>-</v>
      </c>
      <c r="F4630" s="4" t="s">
        <v>141</v>
      </c>
    </row>
    <row r="4631" spans="1:6" x14ac:dyDescent="0.25">
      <c r="A4631" s="4" t="str">
        <f>"Technology in Society"</f>
        <v>Technology in Society</v>
      </c>
      <c r="B4631" s="4" t="s">
        <v>6</v>
      </c>
      <c r="C4631" s="4" t="str">
        <f t="shared" si="170"/>
        <v>-</v>
      </c>
      <c r="D4631" s="4" t="str">
        <f>"0160791X"</f>
        <v>0160791X</v>
      </c>
      <c r="E4631" s="4" t="str">
        <f t="shared" si="171"/>
        <v>-</v>
      </c>
      <c r="F4631" s="4" t="s">
        <v>19</v>
      </c>
    </row>
    <row r="4632" spans="1:6" x14ac:dyDescent="0.25">
      <c r="A4632" s="4" t="str">
        <f>"Technology of Object-Oriented Languages and Systems, TOOLS"</f>
        <v>Technology of Object-Oriented Languages and Systems, TOOLS</v>
      </c>
      <c r="B4632" s="4" t="s">
        <v>8</v>
      </c>
      <c r="C4632" s="4" t="str">
        <f t="shared" si="170"/>
        <v>-</v>
      </c>
      <c r="D4632" s="4" t="str">
        <f>"-"</f>
        <v>-</v>
      </c>
      <c r="E4632" s="4" t="str">
        <f t="shared" si="171"/>
        <v>-</v>
      </c>
      <c r="F4632" s="4" t="s">
        <v>9</v>
      </c>
    </row>
    <row r="4633" spans="1:6" x14ac:dyDescent="0.25">
      <c r="A4633" s="4" t="str">
        <f>"Technology Reports of Kansai University"</f>
        <v>Technology Reports of Kansai University</v>
      </c>
      <c r="B4633" s="4" t="s">
        <v>6</v>
      </c>
      <c r="C4633" s="4" t="str">
        <f t="shared" si="170"/>
        <v>-</v>
      </c>
      <c r="D4633" s="4" t="str">
        <f>"04532198"</f>
        <v>04532198</v>
      </c>
      <c r="E4633" s="4" t="str">
        <f t="shared" si="171"/>
        <v>-</v>
      </c>
      <c r="F4633" s="4" t="s">
        <v>1106</v>
      </c>
    </row>
    <row r="4634" spans="1:6" x14ac:dyDescent="0.25">
      <c r="A4634" s="4" t="str">
        <f>"Technology Review"</f>
        <v>Technology Review</v>
      </c>
      <c r="B4634" s="4" t="s">
        <v>6</v>
      </c>
      <c r="C4634" s="4" t="str">
        <f t="shared" si="170"/>
        <v>-</v>
      </c>
      <c r="D4634" s="4" t="str">
        <f>"1099274X"</f>
        <v>1099274X</v>
      </c>
      <c r="E4634" s="4" t="str">
        <f t="shared" si="171"/>
        <v>-</v>
      </c>
      <c r="F4634" s="4" t="s">
        <v>1107</v>
      </c>
    </row>
    <row r="4635" spans="1:6" x14ac:dyDescent="0.25">
      <c r="A4635" s="4" t="str">
        <f>"Technology, Knowledge and Learning"</f>
        <v>Technology, Knowledge and Learning</v>
      </c>
      <c r="B4635" s="4" t="s">
        <v>6</v>
      </c>
      <c r="C4635" s="4" t="str">
        <f t="shared" si="170"/>
        <v>-</v>
      </c>
      <c r="D4635" s="4" t="str">
        <f>"22111662"</f>
        <v>22111662</v>
      </c>
      <c r="E4635" s="4" t="str">
        <f>"22111670"</f>
        <v>22111670</v>
      </c>
      <c r="F4635" s="4" t="s">
        <v>31</v>
      </c>
    </row>
    <row r="4636" spans="1:6" x14ac:dyDescent="0.25">
      <c r="A4636" s="4" t="str">
        <f>"Technometrics"</f>
        <v>Technometrics</v>
      </c>
      <c r="B4636" s="4" t="s">
        <v>6</v>
      </c>
      <c r="C4636" s="4" t="str">
        <f t="shared" si="170"/>
        <v>-</v>
      </c>
      <c r="D4636" s="4" t="str">
        <f>"00401706"</f>
        <v>00401706</v>
      </c>
      <c r="E4636" s="4" t="str">
        <f>"15372723"</f>
        <v>15372723</v>
      </c>
      <c r="F4636" s="4" t="s">
        <v>1108</v>
      </c>
    </row>
    <row r="4637" spans="1:6" x14ac:dyDescent="0.25">
      <c r="A4637" s="4" t="str">
        <f>"Technovation"</f>
        <v>Technovation</v>
      </c>
      <c r="B4637" s="4" t="s">
        <v>6</v>
      </c>
      <c r="C4637" s="4" t="str">
        <f t="shared" si="170"/>
        <v>-</v>
      </c>
      <c r="D4637" s="4" t="str">
        <f>"01664972"</f>
        <v>01664972</v>
      </c>
      <c r="E4637" s="4" t="str">
        <f>"-"</f>
        <v>-</v>
      </c>
      <c r="F4637" s="4" t="s">
        <v>19</v>
      </c>
    </row>
    <row r="4638" spans="1:6" x14ac:dyDescent="0.25">
      <c r="A4638" s="4" t="str">
        <f>"Tectonics"</f>
        <v>Tectonics</v>
      </c>
      <c r="B4638" s="4" t="s">
        <v>6</v>
      </c>
      <c r="C4638" s="4" t="str">
        <f t="shared" si="170"/>
        <v>-</v>
      </c>
      <c r="D4638" s="4" t="str">
        <f>"02787407"</f>
        <v>02787407</v>
      </c>
      <c r="E4638" s="4" t="str">
        <f>"19449194"</f>
        <v>19449194</v>
      </c>
      <c r="F4638" s="4" t="s">
        <v>209</v>
      </c>
    </row>
    <row r="4639" spans="1:6" x14ac:dyDescent="0.25">
      <c r="A4639" s="4" t="str">
        <f>"Tectonophysics"</f>
        <v>Tectonophysics</v>
      </c>
      <c r="B4639" s="4" t="s">
        <v>6</v>
      </c>
      <c r="C4639" s="4" t="str">
        <f t="shared" si="170"/>
        <v>-</v>
      </c>
      <c r="D4639" s="4" t="str">
        <f>"00401951"</f>
        <v>00401951</v>
      </c>
      <c r="E4639" s="4" t="str">
        <f>"-"</f>
        <v>-</v>
      </c>
      <c r="F4639" s="4" t="s">
        <v>55</v>
      </c>
    </row>
    <row r="4640" spans="1:6" x14ac:dyDescent="0.25">
      <c r="A4640" s="4" t="str">
        <f>"Tehnicki Vjesnik"</f>
        <v>Tehnicki Vjesnik</v>
      </c>
      <c r="B4640" s="4" t="s">
        <v>6</v>
      </c>
      <c r="C4640" s="4" t="str">
        <f t="shared" si="170"/>
        <v>-</v>
      </c>
      <c r="D4640" s="4" t="str">
        <f>"13303651"</f>
        <v>13303651</v>
      </c>
      <c r="E4640" s="4" t="str">
        <f>"-"</f>
        <v>-</v>
      </c>
      <c r="F4640" s="4" t="s">
        <v>1109</v>
      </c>
    </row>
    <row r="4641" spans="1:6" x14ac:dyDescent="0.25">
      <c r="A4641" s="4" t="str">
        <f>"Teknik Dergi/Technical Journal of Turkish Chamber of Civil Engineers"</f>
        <v>Teknik Dergi/Technical Journal of Turkish Chamber of Civil Engineers</v>
      </c>
      <c r="B4641" s="4" t="s">
        <v>6</v>
      </c>
      <c r="C4641" s="4" t="str">
        <f t="shared" si="170"/>
        <v>-</v>
      </c>
      <c r="D4641" s="4" t="str">
        <f>"13003453"</f>
        <v>13003453</v>
      </c>
      <c r="E4641" s="4" t="str">
        <f>"-"</f>
        <v>-</v>
      </c>
      <c r="F4641" s="4" t="s">
        <v>1110</v>
      </c>
    </row>
    <row r="4642" spans="1:6" x14ac:dyDescent="0.25">
      <c r="A4642" s="4" t="str">
        <f>"Tekstil ve Muhendis"</f>
        <v>Tekstil ve Muhendis</v>
      </c>
      <c r="B4642" s="4" t="s">
        <v>6</v>
      </c>
      <c r="C4642" s="4" t="str">
        <f t="shared" si="170"/>
        <v>-</v>
      </c>
      <c r="D4642" s="4" t="str">
        <f>"13007599"</f>
        <v>13007599</v>
      </c>
      <c r="E4642" s="4" t="str">
        <f>"21470510"</f>
        <v>21470510</v>
      </c>
      <c r="F4642" s="4" t="s">
        <v>1111</v>
      </c>
    </row>
    <row r="4643" spans="1:6" x14ac:dyDescent="0.25">
      <c r="A4643" s="4" t="str">
        <f>"Tekstilec"</f>
        <v>Tekstilec</v>
      </c>
      <c r="B4643" s="4" t="s">
        <v>22</v>
      </c>
      <c r="C4643" s="4" t="str">
        <f t="shared" si="170"/>
        <v>-</v>
      </c>
      <c r="D4643" s="4" t="str">
        <f>"03513386"</f>
        <v>03513386</v>
      </c>
      <c r="E4643" s="4" t="str">
        <f>"-"</f>
        <v>-</v>
      </c>
      <c r="F4643" s="4" t="s">
        <v>1112</v>
      </c>
    </row>
    <row r="4644" spans="1:6" x14ac:dyDescent="0.25">
      <c r="A4644" s="4" t="str">
        <f>"Telecommunication Systems"</f>
        <v>Telecommunication Systems</v>
      </c>
      <c r="B4644" s="4" t="s">
        <v>6</v>
      </c>
      <c r="C4644" s="4" t="str">
        <f t="shared" si="170"/>
        <v>-</v>
      </c>
      <c r="D4644" s="4" t="str">
        <f>"10184864"</f>
        <v>10184864</v>
      </c>
      <c r="E4644" s="4" t="str">
        <f>"15729451"</f>
        <v>15729451</v>
      </c>
      <c r="F4644" s="4" t="s">
        <v>57</v>
      </c>
    </row>
    <row r="4645" spans="1:6" x14ac:dyDescent="0.25">
      <c r="A4645" s="4" t="str">
        <f>"Telecommunications and Radio Engineering (English translation of Elektrosvyaz and Radiotekhnika)"</f>
        <v>Telecommunications and Radio Engineering (English translation of Elektrosvyaz and Radiotekhnika)</v>
      </c>
      <c r="B4645" s="4" t="s">
        <v>6</v>
      </c>
      <c r="C4645" s="4" t="str">
        <f t="shared" si="170"/>
        <v>-</v>
      </c>
      <c r="D4645" s="4" t="str">
        <f>"00402508"</f>
        <v>00402508</v>
      </c>
      <c r="E4645" s="4" t="str">
        <f>"19436009"</f>
        <v>19436009</v>
      </c>
      <c r="F4645" s="4" t="s">
        <v>69</v>
      </c>
    </row>
    <row r="4646" spans="1:6" x14ac:dyDescent="0.25">
      <c r="A4646" s="4" t="str">
        <f>"Telecommunications Policy"</f>
        <v>Telecommunications Policy</v>
      </c>
      <c r="B4646" s="4" t="s">
        <v>6</v>
      </c>
      <c r="C4646" s="4" t="str">
        <f t="shared" si="170"/>
        <v>-</v>
      </c>
      <c r="D4646" s="4" t="str">
        <f>"03085961"</f>
        <v>03085961</v>
      </c>
      <c r="E4646" s="4" t="str">
        <f>"-"</f>
        <v>-</v>
      </c>
      <c r="F4646" s="4" t="s">
        <v>19</v>
      </c>
    </row>
    <row r="4647" spans="1:6" x14ac:dyDescent="0.25">
      <c r="A4647" s="4" t="str">
        <f>"Teledetection"</f>
        <v>Teledetection</v>
      </c>
      <c r="B4647" s="4" t="s">
        <v>6</v>
      </c>
      <c r="C4647" s="4" t="str">
        <f t="shared" si="170"/>
        <v>-</v>
      </c>
      <c r="D4647" s="4" t="str">
        <f>"10287736"</f>
        <v>10287736</v>
      </c>
      <c r="E4647" s="4" t="str">
        <f>"-"</f>
        <v>-</v>
      </c>
      <c r="F4647" s="4" t="s">
        <v>1113</v>
      </c>
    </row>
    <row r="4648" spans="1:6" x14ac:dyDescent="0.25">
      <c r="A4648" s="4" t="str">
        <f>"Telematics and Informatics"</f>
        <v>Telematics and Informatics</v>
      </c>
      <c r="B4648" s="4" t="s">
        <v>6</v>
      </c>
      <c r="C4648" s="4" t="str">
        <f t="shared" si="170"/>
        <v>-</v>
      </c>
      <c r="D4648" s="4" t="str">
        <f>"07365853"</f>
        <v>07365853</v>
      </c>
      <c r="E4648" s="4" t="str">
        <f>"-"</f>
        <v>-</v>
      </c>
      <c r="F4648" s="4" t="s">
        <v>19</v>
      </c>
    </row>
    <row r="4649" spans="1:6" x14ac:dyDescent="0.25">
      <c r="A4649" s="4" t="str">
        <f>"Telemedicine and e-Health"</f>
        <v>Telemedicine and e-Health</v>
      </c>
      <c r="B4649" s="4" t="s">
        <v>6</v>
      </c>
      <c r="C4649" s="4" t="str">
        <f t="shared" si="170"/>
        <v>-</v>
      </c>
      <c r="D4649" s="4" t="str">
        <f>"15305627"</f>
        <v>15305627</v>
      </c>
      <c r="E4649" s="4" t="str">
        <f>"15563669"</f>
        <v>15563669</v>
      </c>
      <c r="F4649" s="4" t="s">
        <v>385</v>
      </c>
    </row>
    <row r="4650" spans="1:6" x14ac:dyDescent="0.25">
      <c r="A4650" s="4" t="str">
        <f>"Telkomnika (Telecommunication Computing Electronics and Control)"</f>
        <v>Telkomnika (Telecommunication Computing Electronics and Control)</v>
      </c>
      <c r="B4650" s="4" t="s">
        <v>6</v>
      </c>
      <c r="C4650" s="4" t="str">
        <f t="shared" si="170"/>
        <v>-</v>
      </c>
      <c r="D4650" s="4" t="str">
        <f>"16936930"</f>
        <v>16936930</v>
      </c>
      <c r="E4650" s="4" t="str">
        <f>"23029293"</f>
        <v>23029293</v>
      </c>
      <c r="F4650" s="4" t="s">
        <v>1114</v>
      </c>
    </row>
    <row r="4651" spans="1:6" x14ac:dyDescent="0.25">
      <c r="A4651" s="4" t="str">
        <f>"Tenside, Surfactants, Detergents"</f>
        <v>Tenside, Surfactants, Detergents</v>
      </c>
      <c r="B4651" s="4" t="s">
        <v>6</v>
      </c>
      <c r="C4651" s="4" t="str">
        <f t="shared" si="170"/>
        <v>-</v>
      </c>
      <c r="D4651" s="4" t="str">
        <f>"09323414"</f>
        <v>09323414</v>
      </c>
      <c r="E4651" s="4" t="str">
        <f>"-"</f>
        <v>-</v>
      </c>
      <c r="F4651" s="4" t="s">
        <v>490</v>
      </c>
    </row>
    <row r="4652" spans="1:6" x14ac:dyDescent="0.25">
      <c r="A4652" s="4" t="str">
        <f>"Test Engineering and Management"</f>
        <v>Test Engineering and Management</v>
      </c>
      <c r="B4652" s="4" t="s">
        <v>22</v>
      </c>
      <c r="C4652" s="4" t="str">
        <f t="shared" si="170"/>
        <v>-</v>
      </c>
      <c r="D4652" s="4" t="str">
        <f>"01934120"</f>
        <v>01934120</v>
      </c>
      <c r="E4652" s="4" t="str">
        <f>"-"</f>
        <v>-</v>
      </c>
      <c r="F4652" s="4" t="s">
        <v>1115</v>
      </c>
    </row>
    <row r="4653" spans="1:6" x14ac:dyDescent="0.25">
      <c r="A4653" s="4" t="str">
        <f>"Tetsu-To-Hagane/Journal of the Iron and Steel Institute of Japan"</f>
        <v>Tetsu-To-Hagane/Journal of the Iron and Steel Institute of Japan</v>
      </c>
      <c r="B4653" s="4" t="s">
        <v>6</v>
      </c>
      <c r="C4653" s="4" t="str">
        <f t="shared" si="170"/>
        <v>-</v>
      </c>
      <c r="D4653" s="4" t="str">
        <f>"00211575"</f>
        <v>00211575</v>
      </c>
      <c r="E4653" s="4" t="str">
        <f>"-"</f>
        <v>-</v>
      </c>
      <c r="F4653" s="4" t="s">
        <v>625</v>
      </c>
    </row>
    <row r="4654" spans="1:6" x14ac:dyDescent="0.25">
      <c r="A4654" s="4" t="str">
        <f>"Texas Transportation Researcher"</f>
        <v>Texas Transportation Researcher</v>
      </c>
      <c r="B4654" s="4" t="s">
        <v>22</v>
      </c>
      <c r="C4654" s="4" t="str">
        <f t="shared" si="170"/>
        <v>-</v>
      </c>
      <c r="D4654" s="4" t="str">
        <f>"00404748"</f>
        <v>00404748</v>
      </c>
      <c r="E4654" s="4" t="str">
        <f>"-"</f>
        <v>-</v>
      </c>
      <c r="F4654" s="4" t="s">
        <v>1116</v>
      </c>
    </row>
    <row r="4655" spans="1:6" x14ac:dyDescent="0.25">
      <c r="A4655" s="4" t="str">
        <f>"Textile Outlook International"</f>
        <v>Textile Outlook International</v>
      </c>
      <c r="B4655" s="4" t="s">
        <v>6</v>
      </c>
      <c r="C4655" s="4" t="str">
        <f t="shared" si="170"/>
        <v>-</v>
      </c>
      <c r="D4655" s="4" t="str">
        <f>"02684764"</f>
        <v>02684764</v>
      </c>
      <c r="E4655" s="4" t="str">
        <f>"-"</f>
        <v>-</v>
      </c>
      <c r="F4655" s="4" t="s">
        <v>1117</v>
      </c>
    </row>
    <row r="4656" spans="1:6" x14ac:dyDescent="0.25">
      <c r="A4656" s="4" t="str">
        <f>"Textile Progress"</f>
        <v>Textile Progress</v>
      </c>
      <c r="B4656" s="4" t="s">
        <v>22</v>
      </c>
      <c r="C4656" s="4" t="str">
        <f t="shared" si="170"/>
        <v>-</v>
      </c>
      <c r="D4656" s="4" t="str">
        <f>"00405167"</f>
        <v>00405167</v>
      </c>
      <c r="E4656" s="4" t="str">
        <f>"17542278"</f>
        <v>17542278</v>
      </c>
      <c r="F4656" s="4" t="s">
        <v>60</v>
      </c>
    </row>
    <row r="4657" spans="1:6" x14ac:dyDescent="0.25">
      <c r="A4657" s="4" t="str">
        <f>"Textile Research Journal"</f>
        <v>Textile Research Journal</v>
      </c>
      <c r="B4657" s="4" t="s">
        <v>6</v>
      </c>
      <c r="C4657" s="4" t="str">
        <f t="shared" si="170"/>
        <v>-</v>
      </c>
      <c r="D4657" s="4" t="str">
        <f>"00405175"</f>
        <v>00405175</v>
      </c>
      <c r="E4657" s="4" t="str">
        <f>"-"</f>
        <v>-</v>
      </c>
      <c r="F4657" s="4" t="s">
        <v>212</v>
      </c>
    </row>
    <row r="4658" spans="1:6" x14ac:dyDescent="0.25">
      <c r="A4658" s="4" t="str">
        <f>"Theoretical and Applied Fracture Mechanics"</f>
        <v>Theoretical and Applied Fracture Mechanics</v>
      </c>
      <c r="B4658" s="4" t="s">
        <v>6</v>
      </c>
      <c r="C4658" s="4" t="str">
        <f t="shared" si="170"/>
        <v>-</v>
      </c>
      <c r="D4658" s="4" t="str">
        <f>"01678442"</f>
        <v>01678442</v>
      </c>
      <c r="E4658" s="4" t="str">
        <f>"-"</f>
        <v>-</v>
      </c>
      <c r="F4658" s="4" t="s">
        <v>55</v>
      </c>
    </row>
    <row r="4659" spans="1:6" x14ac:dyDescent="0.25">
      <c r="A4659" s="4" t="str">
        <f>"Theoretical and Applied Genetics"</f>
        <v>Theoretical and Applied Genetics</v>
      </c>
      <c r="B4659" s="4" t="s">
        <v>6</v>
      </c>
      <c r="C4659" s="4" t="str">
        <f t="shared" si="170"/>
        <v>-</v>
      </c>
      <c r="D4659" s="4" t="str">
        <f>"00405752"</f>
        <v>00405752</v>
      </c>
      <c r="E4659" s="4" t="str">
        <f>"-"</f>
        <v>-</v>
      </c>
      <c r="F4659" s="4" t="s">
        <v>42</v>
      </c>
    </row>
    <row r="4660" spans="1:6" x14ac:dyDescent="0.25">
      <c r="A4660" s="4" t="str">
        <f>"Theoretical and Applied Mechanics Japan"</f>
        <v>Theoretical and Applied Mechanics Japan</v>
      </c>
      <c r="B4660" s="4" t="s">
        <v>6</v>
      </c>
      <c r="C4660" s="4" t="str">
        <f t="shared" si="170"/>
        <v>-</v>
      </c>
      <c r="D4660" s="4" t="str">
        <f>"13480693"</f>
        <v>13480693</v>
      </c>
      <c r="E4660" s="4" t="str">
        <f>"13494244"</f>
        <v>13494244</v>
      </c>
      <c r="F4660" s="4" t="s">
        <v>1118</v>
      </c>
    </row>
    <row r="4661" spans="1:6" x14ac:dyDescent="0.25">
      <c r="A4661" s="4" t="str">
        <f>"Theoretical and Computational Fluid Dynamics"</f>
        <v>Theoretical and Computational Fluid Dynamics</v>
      </c>
      <c r="B4661" s="4" t="s">
        <v>6</v>
      </c>
      <c r="C4661" s="4" t="str">
        <f t="shared" si="170"/>
        <v>-</v>
      </c>
      <c r="D4661" s="4" t="str">
        <f>"09354964"</f>
        <v>09354964</v>
      </c>
      <c r="E4661" s="4" t="str">
        <f>"14322250"</f>
        <v>14322250</v>
      </c>
      <c r="F4661" s="4" t="s">
        <v>57</v>
      </c>
    </row>
    <row r="4662" spans="1:6" x14ac:dyDescent="0.25">
      <c r="A4662" s="4" t="str">
        <f>"Theoretical Computer Science"</f>
        <v>Theoretical Computer Science</v>
      </c>
      <c r="B4662" s="4" t="s">
        <v>6</v>
      </c>
      <c r="C4662" s="4" t="str">
        <f t="shared" si="170"/>
        <v>-</v>
      </c>
      <c r="D4662" s="4" t="str">
        <f>"03043975"</f>
        <v>03043975</v>
      </c>
      <c r="E4662" s="4" t="str">
        <f>"-"</f>
        <v>-</v>
      </c>
      <c r="F4662" s="4" t="s">
        <v>55</v>
      </c>
    </row>
    <row r="4663" spans="1:6" x14ac:dyDescent="0.25">
      <c r="A4663" s="4" t="str">
        <f>"Theoretical Foundations of Chemical Engineering"</f>
        <v>Theoretical Foundations of Chemical Engineering</v>
      </c>
      <c r="B4663" s="4" t="s">
        <v>6</v>
      </c>
      <c r="C4663" s="4" t="str">
        <f t="shared" si="170"/>
        <v>-</v>
      </c>
      <c r="D4663" s="4" t="str">
        <f>"00405795"</f>
        <v>00405795</v>
      </c>
      <c r="E4663" s="4" t="str">
        <f>"-"</f>
        <v>-</v>
      </c>
      <c r="F4663" s="4" t="s">
        <v>171</v>
      </c>
    </row>
    <row r="4664" spans="1:6" x14ac:dyDescent="0.25">
      <c r="A4664" s="4" t="str">
        <f>"Theory and Decision"</f>
        <v>Theory and Decision</v>
      </c>
      <c r="B4664" s="4" t="s">
        <v>6</v>
      </c>
      <c r="C4664" s="4" t="str">
        <f t="shared" si="170"/>
        <v>-</v>
      </c>
      <c r="D4664" s="4" t="str">
        <f>"00405833"</f>
        <v>00405833</v>
      </c>
      <c r="E4664" s="4" t="str">
        <f>"15737187"</f>
        <v>15737187</v>
      </c>
      <c r="F4664" s="4" t="s">
        <v>57</v>
      </c>
    </row>
    <row r="4665" spans="1:6" x14ac:dyDescent="0.25">
      <c r="A4665" s="4" t="str">
        <f>"Theory and Practice of Logic Programming"</f>
        <v>Theory and Practice of Logic Programming</v>
      </c>
      <c r="B4665" s="4" t="s">
        <v>6</v>
      </c>
      <c r="C4665" s="4" t="str">
        <f t="shared" si="170"/>
        <v>-</v>
      </c>
      <c r="D4665" s="4" t="str">
        <f>"14710684"</f>
        <v>14710684</v>
      </c>
      <c r="E4665" s="4" t="str">
        <f>"14753081"</f>
        <v>14753081</v>
      </c>
      <c r="F4665" s="4" t="s">
        <v>152</v>
      </c>
    </row>
    <row r="4666" spans="1:6" x14ac:dyDescent="0.25">
      <c r="A4666" s="4" t="str">
        <f>"Theory of Computing Systems"</f>
        <v>Theory of Computing Systems</v>
      </c>
      <c r="B4666" s="4" t="s">
        <v>6</v>
      </c>
      <c r="C4666" s="4" t="str">
        <f t="shared" si="170"/>
        <v>-</v>
      </c>
      <c r="D4666" s="4" t="str">
        <f>"14324350"</f>
        <v>14324350</v>
      </c>
      <c r="E4666" s="4" t="str">
        <f>"14330490"</f>
        <v>14330490</v>
      </c>
      <c r="F4666" s="4" t="s">
        <v>57</v>
      </c>
    </row>
    <row r="4667" spans="1:6" x14ac:dyDescent="0.25">
      <c r="A4667" s="4" t="str">
        <f>"Thermal Engineering (English translation of Teploenergetika)"</f>
        <v>Thermal Engineering (English translation of Teploenergetika)</v>
      </c>
      <c r="B4667" s="4" t="s">
        <v>6</v>
      </c>
      <c r="C4667" s="4" t="str">
        <f t="shared" si="170"/>
        <v>-</v>
      </c>
      <c r="D4667" s="4" t="str">
        <f>"00406015"</f>
        <v>00406015</v>
      </c>
      <c r="E4667" s="4" t="str">
        <f>"-"</f>
        <v>-</v>
      </c>
      <c r="F4667" s="4" t="s">
        <v>24</v>
      </c>
    </row>
    <row r="4668" spans="1:6" x14ac:dyDescent="0.25">
      <c r="A4668" s="4" t="str">
        <f>"Thermochimica Acta"</f>
        <v>Thermochimica Acta</v>
      </c>
      <c r="B4668" s="4" t="s">
        <v>6</v>
      </c>
      <c r="C4668" s="4" t="str">
        <f t="shared" si="170"/>
        <v>-</v>
      </c>
      <c r="D4668" s="4" t="str">
        <f>"00406031"</f>
        <v>00406031</v>
      </c>
      <c r="E4668" s="4" t="str">
        <f>"-"</f>
        <v>-</v>
      </c>
      <c r="F4668" s="4" t="s">
        <v>55</v>
      </c>
    </row>
    <row r="4669" spans="1:6" x14ac:dyDescent="0.25">
      <c r="A4669" s="4" t="str">
        <f>"Thermomechanical Phenomena in Electronic Systems -Proceedings of the Intersociety Conference"</f>
        <v>Thermomechanical Phenomena in Electronic Systems -Proceedings of the Intersociety Conference</v>
      </c>
      <c r="B4669" s="4" t="s">
        <v>8</v>
      </c>
      <c r="C4669" s="4" t="str">
        <f t="shared" si="170"/>
        <v>-</v>
      </c>
      <c r="D4669" s="4" t="str">
        <f>"-"</f>
        <v>-</v>
      </c>
      <c r="E4669" s="4" t="str">
        <f>"-"</f>
        <v>-</v>
      </c>
      <c r="F4669" s="4" t="s">
        <v>105</v>
      </c>
    </row>
    <row r="4670" spans="1:6" x14ac:dyDescent="0.25">
      <c r="A4670" s="4" t="str">
        <f>"Thermophysics and Aeromechanics"</f>
        <v>Thermophysics and Aeromechanics</v>
      </c>
      <c r="B4670" s="4" t="s">
        <v>6</v>
      </c>
      <c r="C4670" s="4" t="str">
        <f t="shared" si="170"/>
        <v>-</v>
      </c>
      <c r="D4670" s="4" t="str">
        <f>"08698643"</f>
        <v>08698643</v>
      </c>
      <c r="E4670" s="4" t="str">
        <f>"15318699"</f>
        <v>15318699</v>
      </c>
      <c r="F4670" s="4" t="s">
        <v>24</v>
      </c>
    </row>
    <row r="4671" spans="1:6" x14ac:dyDescent="0.25">
      <c r="A4671" s="4" t="str">
        <f>"Thin Solid Films"</f>
        <v>Thin Solid Films</v>
      </c>
      <c r="B4671" s="4" t="s">
        <v>6</v>
      </c>
      <c r="C4671" s="4" t="str">
        <f t="shared" si="170"/>
        <v>-</v>
      </c>
      <c r="D4671" s="4" t="str">
        <f>"00406090"</f>
        <v>00406090</v>
      </c>
      <c r="E4671" s="4" t="str">
        <f t="shared" ref="E4671:E4677" si="172">"-"</f>
        <v>-</v>
      </c>
      <c r="F4671" s="4" t="s">
        <v>55</v>
      </c>
    </row>
    <row r="4672" spans="1:6" x14ac:dyDescent="0.25">
      <c r="A4672" s="4" t="str">
        <f>"Thin-Walled Structures"</f>
        <v>Thin-Walled Structures</v>
      </c>
      <c r="B4672" s="4" t="s">
        <v>6</v>
      </c>
      <c r="C4672" s="4" t="str">
        <f t="shared" si="170"/>
        <v>-</v>
      </c>
      <c r="D4672" s="4" t="str">
        <f>"02638231"</f>
        <v>02638231</v>
      </c>
      <c r="E4672" s="4" t="str">
        <f t="shared" si="172"/>
        <v>-</v>
      </c>
      <c r="F4672" s="4" t="s">
        <v>19</v>
      </c>
    </row>
    <row r="4673" spans="1:6" x14ac:dyDescent="0.25">
      <c r="A4673" s="4" t="str">
        <f>"ThyssenKrupp techforum"</f>
        <v>ThyssenKrupp techforum</v>
      </c>
      <c r="B4673" s="4" t="s">
        <v>6</v>
      </c>
      <c r="C4673" s="4" t="str">
        <f t="shared" si="170"/>
        <v>-</v>
      </c>
      <c r="D4673" s="4" t="str">
        <f>"16122771"</f>
        <v>16122771</v>
      </c>
      <c r="E4673" s="4" t="str">
        <f t="shared" si="172"/>
        <v>-</v>
      </c>
      <c r="F4673" s="4" t="s">
        <v>1119</v>
      </c>
    </row>
    <row r="4674" spans="1:6" ht="30" x14ac:dyDescent="0.25">
      <c r="A4674" s="4" t="str">
        <f>"Tianjin Daxue Xuebao (Ziran Kexue yu Gongcheng Jishu Ban)/Journal of Tianjin University Science and Technology"</f>
        <v>Tianjin Daxue Xuebao (Ziran Kexue yu Gongcheng Jishu Ban)/Journal of Tianjin University Science and Technology</v>
      </c>
      <c r="B4674" s="4" t="s">
        <v>6</v>
      </c>
      <c r="C4674" s="4" t="str">
        <f t="shared" ref="C4674:C4737" si="173">"-"</f>
        <v>-</v>
      </c>
      <c r="D4674" s="4" t="str">
        <f>"04932137"</f>
        <v>04932137</v>
      </c>
      <c r="E4674" s="4" t="str">
        <f t="shared" si="172"/>
        <v>-</v>
      </c>
      <c r="F4674" s="4" t="s">
        <v>1120</v>
      </c>
    </row>
    <row r="4675" spans="1:6" x14ac:dyDescent="0.25">
      <c r="A4675" s="4" t="str">
        <f>"Tiedao Xuebao/Journal of the China Railway Society"</f>
        <v>Tiedao Xuebao/Journal of the China Railway Society</v>
      </c>
      <c r="B4675" s="4" t="s">
        <v>6</v>
      </c>
      <c r="C4675" s="4" t="str">
        <f t="shared" si="173"/>
        <v>-</v>
      </c>
      <c r="D4675" s="4" t="str">
        <f>"10018360"</f>
        <v>10018360</v>
      </c>
      <c r="E4675" s="4" t="str">
        <f t="shared" si="172"/>
        <v>-</v>
      </c>
      <c r="F4675" s="4" t="s">
        <v>37</v>
      </c>
    </row>
    <row r="4676" spans="1:6" x14ac:dyDescent="0.25">
      <c r="A4676" s="4" t="str">
        <f>"Tien Tzu Hsueh Pao/Acta Electronica Sinica"</f>
        <v>Tien Tzu Hsueh Pao/Acta Electronica Sinica</v>
      </c>
      <c r="B4676" s="4" t="s">
        <v>6</v>
      </c>
      <c r="C4676" s="4" t="str">
        <f t="shared" si="173"/>
        <v>-</v>
      </c>
      <c r="D4676" s="4" t="str">
        <f>"03722112"</f>
        <v>03722112</v>
      </c>
      <c r="E4676" s="4" t="str">
        <f t="shared" si="172"/>
        <v>-</v>
      </c>
      <c r="F4676" s="4" t="s">
        <v>1121</v>
      </c>
    </row>
    <row r="4677" spans="1:6" x14ac:dyDescent="0.25">
      <c r="A4677" s="4" t="str">
        <f>"Tire Science and Technology"</f>
        <v>Tire Science and Technology</v>
      </c>
      <c r="B4677" s="4" t="s">
        <v>6</v>
      </c>
      <c r="C4677" s="4" t="str">
        <f t="shared" si="173"/>
        <v>-</v>
      </c>
      <c r="D4677" s="4" t="str">
        <f>"00908657"</f>
        <v>00908657</v>
      </c>
      <c r="E4677" s="4" t="str">
        <f t="shared" si="172"/>
        <v>-</v>
      </c>
      <c r="F4677" s="4" t="s">
        <v>1122</v>
      </c>
    </row>
    <row r="4678" spans="1:6" x14ac:dyDescent="0.25">
      <c r="A4678" s="4" t="str">
        <f>"Tissue Engineering - Part A"</f>
        <v>Tissue Engineering - Part A</v>
      </c>
      <c r="B4678" s="4" t="s">
        <v>6</v>
      </c>
      <c r="C4678" s="4" t="str">
        <f t="shared" si="173"/>
        <v>-</v>
      </c>
      <c r="D4678" s="4" t="str">
        <f>"19373341"</f>
        <v>19373341</v>
      </c>
      <c r="E4678" s="4" t="str">
        <f>"1937335X"</f>
        <v>1937335X</v>
      </c>
      <c r="F4678" s="4" t="s">
        <v>385</v>
      </c>
    </row>
    <row r="4679" spans="1:6" x14ac:dyDescent="0.25">
      <c r="A4679" s="4" t="str">
        <f>"Tissue Engineering - Part B: Reviews"</f>
        <v>Tissue Engineering - Part B: Reviews</v>
      </c>
      <c r="B4679" s="4" t="s">
        <v>6</v>
      </c>
      <c r="C4679" s="4" t="str">
        <f t="shared" si="173"/>
        <v>-</v>
      </c>
      <c r="D4679" s="4" t="str">
        <f>"19373368"</f>
        <v>19373368</v>
      </c>
      <c r="E4679" s="4" t="str">
        <f>"19373376"</f>
        <v>19373376</v>
      </c>
      <c r="F4679" s="4" t="s">
        <v>385</v>
      </c>
    </row>
    <row r="4680" spans="1:6" x14ac:dyDescent="0.25">
      <c r="A4680" s="4" t="str">
        <f>"Tissue Engineering - Part C: Methods"</f>
        <v>Tissue Engineering - Part C: Methods</v>
      </c>
      <c r="B4680" s="4" t="s">
        <v>6</v>
      </c>
      <c r="C4680" s="4" t="str">
        <f t="shared" si="173"/>
        <v>-</v>
      </c>
      <c r="D4680" s="4" t="str">
        <f>"19373384"</f>
        <v>19373384</v>
      </c>
      <c r="E4680" s="4" t="str">
        <f>"19373392"</f>
        <v>19373392</v>
      </c>
      <c r="F4680" s="4" t="s">
        <v>385</v>
      </c>
    </row>
    <row r="4681" spans="1:6" x14ac:dyDescent="0.25">
      <c r="A4681" s="4" t="str">
        <f>"Tissue Engineering and Regenerative Medicine"</f>
        <v>Tissue Engineering and Regenerative Medicine</v>
      </c>
      <c r="B4681" s="4" t="s">
        <v>6</v>
      </c>
      <c r="C4681" s="4" t="str">
        <f t="shared" si="173"/>
        <v>-</v>
      </c>
      <c r="D4681" s="4" t="str">
        <f>"17382696"</f>
        <v>17382696</v>
      </c>
      <c r="E4681" s="4" t="str">
        <f>"22125469"</f>
        <v>22125469</v>
      </c>
      <c r="F4681" s="4" t="s">
        <v>162</v>
      </c>
    </row>
    <row r="4682" spans="1:6" x14ac:dyDescent="0.25">
      <c r="A4682" s="4" t="str">
        <f>"TMS Annual Meeting"</f>
        <v>TMS Annual Meeting</v>
      </c>
      <c r="B4682" s="4" t="s">
        <v>8</v>
      </c>
      <c r="C4682" s="4" t="str">
        <f t="shared" si="173"/>
        <v>-</v>
      </c>
      <c r="D4682" s="4" t="str">
        <f>"-"</f>
        <v>-</v>
      </c>
      <c r="E4682" s="4" t="str">
        <f>"-"</f>
        <v>-</v>
      </c>
      <c r="F4682" s="4" t="s">
        <v>648</v>
      </c>
    </row>
    <row r="4683" spans="1:6" x14ac:dyDescent="0.25">
      <c r="A4683" s="4" t="str">
        <f>"TMS Light Metals"</f>
        <v>TMS Light Metals</v>
      </c>
      <c r="B4683" s="4" t="s">
        <v>8</v>
      </c>
      <c r="C4683" s="4" t="str">
        <f t="shared" si="173"/>
        <v>-</v>
      </c>
      <c r="D4683" s="4" t="str">
        <f>"01470809"</f>
        <v>01470809</v>
      </c>
      <c r="E4683" s="4" t="str">
        <f>"-"</f>
        <v>-</v>
      </c>
      <c r="F4683" s="4" t="s">
        <v>648</v>
      </c>
    </row>
    <row r="4684" spans="1:6" x14ac:dyDescent="0.25">
      <c r="A4684" s="4" t="str">
        <f>"Tongji Daxue Xuebao/Journal of Tongji University"</f>
        <v>Tongji Daxue Xuebao/Journal of Tongji University</v>
      </c>
      <c r="B4684" s="4" t="s">
        <v>6</v>
      </c>
      <c r="C4684" s="4" t="str">
        <f t="shared" si="173"/>
        <v>-</v>
      </c>
      <c r="D4684" s="4" t="str">
        <f>"0253374X"</f>
        <v>0253374X</v>
      </c>
      <c r="E4684" s="4" t="str">
        <f>"-"</f>
        <v>-</v>
      </c>
      <c r="F4684" s="4" t="s">
        <v>37</v>
      </c>
    </row>
    <row r="4685" spans="1:6" x14ac:dyDescent="0.25">
      <c r="A4685" s="4" t="str">
        <f>"Tongxin Xuebao/Journal on Communications"</f>
        <v>Tongxin Xuebao/Journal on Communications</v>
      </c>
      <c r="B4685" s="4" t="s">
        <v>6</v>
      </c>
      <c r="C4685" s="4" t="str">
        <f t="shared" si="173"/>
        <v>-</v>
      </c>
      <c r="D4685" s="4" t="str">
        <f>"1000436X"</f>
        <v>1000436X</v>
      </c>
      <c r="E4685" s="4" t="str">
        <f>"-"</f>
        <v>-</v>
      </c>
      <c r="F4685" s="4" t="s">
        <v>1123</v>
      </c>
    </row>
    <row r="4686" spans="1:6" x14ac:dyDescent="0.25">
      <c r="A4686" s="4" t="str">
        <f>"Topics in Catalysis"</f>
        <v>Topics in Catalysis</v>
      </c>
      <c r="B4686" s="4" t="s">
        <v>6</v>
      </c>
      <c r="C4686" s="4" t="str">
        <f t="shared" si="173"/>
        <v>-</v>
      </c>
      <c r="D4686" s="4" t="str">
        <f>"10225528"</f>
        <v>10225528</v>
      </c>
      <c r="E4686" s="4" t="str">
        <f>"-"</f>
        <v>-</v>
      </c>
      <c r="F4686" s="4" t="s">
        <v>162</v>
      </c>
    </row>
    <row r="4687" spans="1:6" x14ac:dyDescent="0.25">
      <c r="A4687" s="4" t="str">
        <f>"Toraibarojisuto/Journal of Japanese Society of Tribologists"</f>
        <v>Toraibarojisuto/Journal of Japanese Society of Tribologists</v>
      </c>
      <c r="B4687" s="4" t="s">
        <v>6</v>
      </c>
      <c r="C4687" s="4" t="str">
        <f t="shared" si="173"/>
        <v>-</v>
      </c>
      <c r="D4687" s="4" t="str">
        <f>"09151168"</f>
        <v>09151168</v>
      </c>
      <c r="E4687" s="4" t="str">
        <f>"-"</f>
        <v>-</v>
      </c>
      <c r="F4687" s="4" t="s">
        <v>1124</v>
      </c>
    </row>
    <row r="4688" spans="1:6" x14ac:dyDescent="0.25">
      <c r="A4688" s="4" t="str">
        <f>"Toxicological and Environmental Chemistry"</f>
        <v>Toxicological and Environmental Chemistry</v>
      </c>
      <c r="B4688" s="4" t="s">
        <v>6</v>
      </c>
      <c r="C4688" s="4" t="str">
        <f t="shared" si="173"/>
        <v>-</v>
      </c>
      <c r="D4688" s="4" t="str">
        <f>"02772248"</f>
        <v>02772248</v>
      </c>
      <c r="E4688" s="4" t="str">
        <f>"10290486"</f>
        <v>10290486</v>
      </c>
      <c r="F4688" s="4" t="s">
        <v>60</v>
      </c>
    </row>
    <row r="4689" spans="1:6" x14ac:dyDescent="0.25">
      <c r="A4689" s="4" t="str">
        <f>"TQM Journal"</f>
        <v>TQM Journal</v>
      </c>
      <c r="B4689" s="4" t="s">
        <v>6</v>
      </c>
      <c r="C4689" s="4" t="str">
        <f t="shared" si="173"/>
        <v>-</v>
      </c>
      <c r="D4689" s="4" t="str">
        <f>"17542731"</f>
        <v>17542731</v>
      </c>
      <c r="E4689" s="4" t="str">
        <f>"-"</f>
        <v>-</v>
      </c>
      <c r="F4689" s="4" t="s">
        <v>110</v>
      </c>
    </row>
    <row r="4690" spans="1:6" x14ac:dyDescent="0.25">
      <c r="A4690" s="4" t="str">
        <f>"TR News"</f>
        <v>TR News</v>
      </c>
      <c r="B4690" s="4" t="s">
        <v>22</v>
      </c>
      <c r="C4690" s="4" t="str">
        <f t="shared" si="173"/>
        <v>-</v>
      </c>
      <c r="D4690" s="4" t="str">
        <f>"07386826"</f>
        <v>07386826</v>
      </c>
      <c r="E4690" s="4" t="str">
        <f>"-"</f>
        <v>-</v>
      </c>
      <c r="F4690" s="4" t="s">
        <v>1125</v>
      </c>
    </row>
    <row r="4691" spans="1:6" x14ac:dyDescent="0.25">
      <c r="A4691" s="4" t="str">
        <f>"TrAC - Trends in Analytical Chemistry"</f>
        <v>TrAC - Trends in Analytical Chemistry</v>
      </c>
      <c r="B4691" s="4" t="s">
        <v>6</v>
      </c>
      <c r="C4691" s="4" t="str">
        <f t="shared" si="173"/>
        <v>-</v>
      </c>
      <c r="D4691" s="4" t="str">
        <f>"01659936"</f>
        <v>01659936</v>
      </c>
      <c r="E4691" s="4" t="str">
        <f>"18793142"</f>
        <v>18793142</v>
      </c>
      <c r="F4691" s="4" t="s">
        <v>55</v>
      </c>
    </row>
    <row r="4692" spans="1:6" x14ac:dyDescent="0.25">
      <c r="A4692" s="4" t="str">
        <f>"Traffic Engineering and Control"</f>
        <v>Traffic Engineering and Control</v>
      </c>
      <c r="B4692" s="4" t="s">
        <v>6</v>
      </c>
      <c r="C4692" s="4" t="str">
        <f t="shared" si="173"/>
        <v>-</v>
      </c>
      <c r="D4692" s="4" t="str">
        <f>"00410683"</f>
        <v>00410683</v>
      </c>
      <c r="E4692" s="4" t="str">
        <f>"-"</f>
        <v>-</v>
      </c>
      <c r="F4692" s="4" t="s">
        <v>1126</v>
      </c>
    </row>
    <row r="4693" spans="1:6" x14ac:dyDescent="0.25">
      <c r="A4693" s="4" t="str">
        <f>"Traitement du Signal"</f>
        <v>Traitement du Signal</v>
      </c>
      <c r="B4693" s="4" t="s">
        <v>6</v>
      </c>
      <c r="C4693" s="4" t="str">
        <f t="shared" si="173"/>
        <v>-</v>
      </c>
      <c r="D4693" s="4" t="str">
        <f>"07650019"</f>
        <v>07650019</v>
      </c>
      <c r="E4693" s="4" t="str">
        <f>"19585608"</f>
        <v>19585608</v>
      </c>
      <c r="F4693" s="4" t="s">
        <v>122</v>
      </c>
    </row>
    <row r="4694" spans="1:6" x14ac:dyDescent="0.25">
      <c r="A4694" s="4" t="str">
        <f>"Transactions - Geothermal Resources Council"</f>
        <v>Transactions - Geothermal Resources Council</v>
      </c>
      <c r="B4694" s="4" t="s">
        <v>8</v>
      </c>
      <c r="C4694" s="4" t="str">
        <f t="shared" si="173"/>
        <v>-</v>
      </c>
      <c r="D4694" s="4" t="str">
        <f>"01935933"</f>
        <v>01935933</v>
      </c>
      <c r="E4694" s="4" t="str">
        <f>"-"</f>
        <v>-</v>
      </c>
      <c r="F4694" s="4" t="s">
        <v>1127</v>
      </c>
    </row>
    <row r="4695" spans="1:6" x14ac:dyDescent="0.25">
      <c r="A4695" s="4" t="str">
        <f>"Transactions - Society of Naval Architects and Marine Engineers"</f>
        <v>Transactions - Society of Naval Architects and Marine Engineers</v>
      </c>
      <c r="B4695" s="4" t="s">
        <v>6</v>
      </c>
      <c r="C4695" s="4" t="str">
        <f t="shared" si="173"/>
        <v>-</v>
      </c>
      <c r="D4695" s="4" t="str">
        <f>"00811661"</f>
        <v>00811661</v>
      </c>
      <c r="E4695" s="4" t="str">
        <f>"-"</f>
        <v>-</v>
      </c>
      <c r="F4695" s="4" t="s">
        <v>762</v>
      </c>
    </row>
    <row r="4696" spans="1:6" x14ac:dyDescent="0.25">
      <c r="A4696" s="4" t="str">
        <f>"Transactions of Japanese Society for Medical and Biological Engineering"</f>
        <v>Transactions of Japanese Society for Medical and Biological Engineering</v>
      </c>
      <c r="B4696" s="4" t="s">
        <v>6</v>
      </c>
      <c r="C4696" s="4" t="str">
        <f t="shared" si="173"/>
        <v>-</v>
      </c>
      <c r="D4696" s="4" t="str">
        <f>"18814379"</f>
        <v>18814379</v>
      </c>
      <c r="E4696" s="4" t="str">
        <f>"1347443X"</f>
        <v>1347443X</v>
      </c>
      <c r="F4696" s="4" t="s">
        <v>1128</v>
      </c>
    </row>
    <row r="4697" spans="1:6" x14ac:dyDescent="0.25">
      <c r="A4697" s="4" t="str">
        <f>"Transactions of Nanjing University of Aeronautics and Astronautics"</f>
        <v>Transactions of Nanjing University of Aeronautics and Astronautics</v>
      </c>
      <c r="B4697" s="4" t="s">
        <v>6</v>
      </c>
      <c r="C4697" s="4" t="str">
        <f t="shared" si="173"/>
        <v>-</v>
      </c>
      <c r="D4697" s="4" t="str">
        <f>"10051120"</f>
        <v>10051120</v>
      </c>
      <c r="E4697" s="4" t="str">
        <f>"-"</f>
        <v>-</v>
      </c>
      <c r="F4697" s="4" t="s">
        <v>1129</v>
      </c>
    </row>
    <row r="4698" spans="1:6" x14ac:dyDescent="0.25">
      <c r="A4698" s="4" t="str">
        <f>"Transactions of Nonferrous Metals Society of China (English Edition)"</f>
        <v>Transactions of Nonferrous Metals Society of China (English Edition)</v>
      </c>
      <c r="B4698" s="4" t="s">
        <v>6</v>
      </c>
      <c r="C4698" s="4" t="str">
        <f t="shared" si="173"/>
        <v>-</v>
      </c>
      <c r="D4698" s="4" t="str">
        <f>"10036326"</f>
        <v>10036326</v>
      </c>
      <c r="E4698" s="4" t="str">
        <f>"-"</f>
        <v>-</v>
      </c>
      <c r="F4698" s="4" t="s">
        <v>1130</v>
      </c>
    </row>
    <row r="4699" spans="1:6" x14ac:dyDescent="0.25">
      <c r="A4699" s="4" t="str">
        <f>"Transactions of the American Nuclear Society"</f>
        <v>Transactions of the American Nuclear Society</v>
      </c>
      <c r="B4699" s="4" t="s">
        <v>8</v>
      </c>
      <c r="C4699" s="4" t="str">
        <f t="shared" si="173"/>
        <v>-</v>
      </c>
      <c r="D4699" s="4" t="str">
        <f>"0003018X"</f>
        <v>0003018X</v>
      </c>
      <c r="E4699" s="4" t="str">
        <f>"-"</f>
        <v>-</v>
      </c>
      <c r="F4699" s="4" t="s">
        <v>453</v>
      </c>
    </row>
    <row r="4700" spans="1:6" ht="30" x14ac:dyDescent="0.25">
      <c r="A4700" s="4" t="str">
        <f>"Transactions of the Annual Meeting of the Society for Biomaterials and the Annual International Biomaterials Symposium"</f>
        <v>Transactions of the Annual Meeting of the Society for Biomaterials and the Annual International Biomaterials Symposium</v>
      </c>
      <c r="B4700" s="4" t="s">
        <v>8</v>
      </c>
      <c r="C4700" s="4" t="str">
        <f t="shared" si="173"/>
        <v>-</v>
      </c>
      <c r="D4700" s="4" t="str">
        <f>"15267547"</f>
        <v>15267547</v>
      </c>
      <c r="E4700" s="4" t="str">
        <f>"-"</f>
        <v>-</v>
      </c>
      <c r="F4700" s="4" t="s">
        <v>1131</v>
      </c>
    </row>
    <row r="4701" spans="1:6" x14ac:dyDescent="0.25">
      <c r="A4701" s="4" t="str">
        <f>"Transactions of the ASABE"</f>
        <v>Transactions of the ASABE</v>
      </c>
      <c r="B4701" s="4" t="s">
        <v>6</v>
      </c>
      <c r="C4701" s="4" t="str">
        <f t="shared" si="173"/>
        <v>-</v>
      </c>
      <c r="D4701" s="4" t="str">
        <f>"21510032"</f>
        <v>21510032</v>
      </c>
      <c r="E4701" s="4" t="str">
        <f>"-"</f>
        <v>-</v>
      </c>
      <c r="F4701" s="4" t="s">
        <v>140</v>
      </c>
    </row>
    <row r="4702" spans="1:6" x14ac:dyDescent="0.25">
      <c r="A4702" s="4" t="str">
        <f>"Transactions of the Atomic Energy Society of Japan"</f>
        <v>Transactions of the Atomic Energy Society of Japan</v>
      </c>
      <c r="B4702" s="4" t="s">
        <v>6</v>
      </c>
      <c r="C4702" s="4" t="str">
        <f t="shared" si="173"/>
        <v>-</v>
      </c>
      <c r="D4702" s="4" t="str">
        <f>"13472879"</f>
        <v>13472879</v>
      </c>
      <c r="E4702" s="4" t="str">
        <f>"21862931"</f>
        <v>21862931</v>
      </c>
      <c r="F4702" s="4" t="s">
        <v>1132</v>
      </c>
    </row>
    <row r="4703" spans="1:6" x14ac:dyDescent="0.25">
      <c r="A4703" s="4" t="str">
        <f>"Transactions of the Canadian Society for Mechanical Engineering"</f>
        <v>Transactions of the Canadian Society for Mechanical Engineering</v>
      </c>
      <c r="B4703" s="4" t="s">
        <v>6</v>
      </c>
      <c r="C4703" s="4" t="str">
        <f t="shared" si="173"/>
        <v>-</v>
      </c>
      <c r="D4703" s="4" t="str">
        <f>"03158977"</f>
        <v>03158977</v>
      </c>
      <c r="E4703" s="4" t="str">
        <f>"-"</f>
        <v>-</v>
      </c>
      <c r="F4703" s="4" t="s">
        <v>1133</v>
      </c>
    </row>
    <row r="4704" spans="1:6" x14ac:dyDescent="0.25">
      <c r="A4704" s="4" t="str">
        <f>"Transactions of the Indian Ceramic Society"</f>
        <v>Transactions of the Indian Ceramic Society</v>
      </c>
      <c r="B4704" s="4" t="s">
        <v>6</v>
      </c>
      <c r="C4704" s="4" t="str">
        <f t="shared" si="173"/>
        <v>-</v>
      </c>
      <c r="D4704" s="4" t="str">
        <f>"0371750X"</f>
        <v>0371750X</v>
      </c>
      <c r="E4704" s="4" t="str">
        <f>"21655456"</f>
        <v>21655456</v>
      </c>
      <c r="F4704" s="4" t="s">
        <v>60</v>
      </c>
    </row>
    <row r="4705" spans="1:6" x14ac:dyDescent="0.25">
      <c r="A4705" s="4" t="str">
        <f>"Transactions of the Institute of Measurement and Control"</f>
        <v>Transactions of the Institute of Measurement and Control</v>
      </c>
      <c r="B4705" s="4" t="s">
        <v>6</v>
      </c>
      <c r="C4705" s="4" t="str">
        <f t="shared" si="173"/>
        <v>-</v>
      </c>
      <c r="D4705" s="4" t="str">
        <f>"01423312"</f>
        <v>01423312</v>
      </c>
      <c r="E4705" s="4" t="str">
        <f>"-"</f>
        <v>-</v>
      </c>
      <c r="F4705" s="4" t="s">
        <v>212</v>
      </c>
    </row>
    <row r="4706" spans="1:6" x14ac:dyDescent="0.25">
      <c r="A4706" s="4" t="str">
        <f>"Transactions of the Institute of Metal Finishing"</f>
        <v>Transactions of the Institute of Metal Finishing</v>
      </c>
      <c r="B4706" s="4" t="s">
        <v>6</v>
      </c>
      <c r="C4706" s="4" t="str">
        <f t="shared" si="173"/>
        <v>-</v>
      </c>
      <c r="D4706" s="4" t="str">
        <f>"00202967"</f>
        <v>00202967</v>
      </c>
      <c r="E4706" s="4" t="str">
        <f>"17459192"</f>
        <v>17459192</v>
      </c>
      <c r="F4706" s="4" t="s">
        <v>70</v>
      </c>
    </row>
    <row r="4707" spans="1:6" x14ac:dyDescent="0.25">
      <c r="A4707" s="4" t="str">
        <f>"Transactions of the Institutions of Mining and Metallurgy, Section A: Mining Technology"</f>
        <v>Transactions of the Institutions of Mining and Metallurgy, Section A: Mining Technology</v>
      </c>
      <c r="B4707" s="4" t="s">
        <v>6</v>
      </c>
      <c r="C4707" s="4" t="str">
        <f t="shared" si="173"/>
        <v>-</v>
      </c>
      <c r="D4707" s="4" t="str">
        <f>"03717844"</f>
        <v>03717844</v>
      </c>
      <c r="E4707" s="4" t="str">
        <f>"17432863"</f>
        <v>17432863</v>
      </c>
      <c r="F4707" s="4" t="s">
        <v>70</v>
      </c>
    </row>
    <row r="4708" spans="1:6" x14ac:dyDescent="0.25">
      <c r="A4708" s="4" t="str">
        <f>"Transactions of the Institutions of Mining and Metallurgy, Section B: Applied Earth Science"</f>
        <v>Transactions of the Institutions of Mining and Metallurgy, Section B: Applied Earth Science</v>
      </c>
      <c r="B4708" s="4" t="s">
        <v>6</v>
      </c>
      <c r="C4708" s="4" t="str">
        <f t="shared" si="173"/>
        <v>-</v>
      </c>
      <c r="D4708" s="4" t="str">
        <f>"03717453"</f>
        <v>03717453</v>
      </c>
      <c r="E4708" s="4" t="str">
        <f>"17432758"</f>
        <v>17432758</v>
      </c>
      <c r="F4708" s="4" t="s">
        <v>70</v>
      </c>
    </row>
    <row r="4709" spans="1:6" ht="30" x14ac:dyDescent="0.25">
      <c r="A4709" s="4" t="str">
        <f>"Transactions of the Institutions of Mining and Metallurgy, Section C: Mineral Processing and Extractive Metallurgy"</f>
        <v>Transactions of the Institutions of Mining and Metallurgy, Section C: Mineral Processing and Extractive Metallurgy</v>
      </c>
      <c r="B4709" s="4" t="s">
        <v>6</v>
      </c>
      <c r="C4709" s="4" t="str">
        <f t="shared" si="173"/>
        <v>-</v>
      </c>
      <c r="D4709" s="4" t="str">
        <f>"03719553"</f>
        <v>03719553</v>
      </c>
      <c r="E4709" s="4" t="str">
        <f>"17432855"</f>
        <v>17432855</v>
      </c>
      <c r="F4709" s="4" t="s">
        <v>70</v>
      </c>
    </row>
    <row r="4710" spans="1:6" x14ac:dyDescent="0.25">
      <c r="A4710" s="4" t="str">
        <f>"Transactions of the Japan Society for Aeronautical and Space Sciences"</f>
        <v>Transactions of the Japan Society for Aeronautical and Space Sciences</v>
      </c>
      <c r="B4710" s="4" t="s">
        <v>6</v>
      </c>
      <c r="C4710" s="4" t="str">
        <f t="shared" si="173"/>
        <v>-</v>
      </c>
      <c r="D4710" s="4" t="str">
        <f>"05493811"</f>
        <v>05493811</v>
      </c>
      <c r="E4710" s="4" t="str">
        <f>"-"</f>
        <v>-</v>
      </c>
      <c r="F4710" s="4" t="s">
        <v>1134</v>
      </c>
    </row>
    <row r="4711" spans="1:6" x14ac:dyDescent="0.25">
      <c r="A4711" s="4" t="str">
        <f>"Transactions of the Japan Society for Computational Engineering and Science"</f>
        <v>Transactions of the Japan Society for Computational Engineering and Science</v>
      </c>
      <c r="B4711" s="4" t="s">
        <v>6</v>
      </c>
      <c r="C4711" s="4" t="str">
        <f t="shared" si="173"/>
        <v>-</v>
      </c>
      <c r="D4711" s="4" t="str">
        <f>"-"</f>
        <v>-</v>
      </c>
      <c r="E4711" s="4" t="str">
        <f>"13478826"</f>
        <v>13478826</v>
      </c>
      <c r="F4711" s="4" t="s">
        <v>1135</v>
      </c>
    </row>
    <row r="4712" spans="1:6" x14ac:dyDescent="0.25">
      <c r="A4712" s="4" t="str">
        <f>"Transactions of the Japanese Society for Artificial Intelligence"</f>
        <v>Transactions of the Japanese Society for Artificial Intelligence</v>
      </c>
      <c r="B4712" s="4" t="s">
        <v>6</v>
      </c>
      <c r="C4712" s="4" t="str">
        <f t="shared" si="173"/>
        <v>-</v>
      </c>
      <c r="D4712" s="4" t="str">
        <f>"13460714"</f>
        <v>13460714</v>
      </c>
      <c r="E4712" s="4" t="str">
        <f>"13468030"</f>
        <v>13468030</v>
      </c>
      <c r="F4712" s="4" t="s">
        <v>1136</v>
      </c>
    </row>
    <row r="4713" spans="1:6" x14ac:dyDescent="0.25">
      <c r="A4713" s="4" t="str">
        <f>"Transactions of the Korean Institute of Electrical Engineers"</f>
        <v>Transactions of the Korean Institute of Electrical Engineers</v>
      </c>
      <c r="B4713" s="4" t="s">
        <v>6</v>
      </c>
      <c r="C4713" s="4" t="str">
        <f t="shared" si="173"/>
        <v>-</v>
      </c>
      <c r="D4713" s="4" t="str">
        <f>"19758359"</f>
        <v>19758359</v>
      </c>
      <c r="E4713" s="4" t="str">
        <f>"-"</f>
        <v>-</v>
      </c>
      <c r="F4713" s="4" t="s">
        <v>693</v>
      </c>
    </row>
    <row r="4714" spans="1:6" x14ac:dyDescent="0.25">
      <c r="A4714" s="4" t="str">
        <f>"Transactions of the Korean Society of Mechanical Engineers, A"</f>
        <v>Transactions of the Korean Society of Mechanical Engineers, A</v>
      </c>
      <c r="B4714" s="4" t="s">
        <v>6</v>
      </c>
      <c r="C4714" s="4" t="str">
        <f t="shared" si="173"/>
        <v>-</v>
      </c>
      <c r="D4714" s="4" t="str">
        <f>"12264873"</f>
        <v>12264873</v>
      </c>
      <c r="E4714" s="4" t="str">
        <f>"-"</f>
        <v>-</v>
      </c>
      <c r="F4714" s="4" t="s">
        <v>732</v>
      </c>
    </row>
    <row r="4715" spans="1:6" x14ac:dyDescent="0.25">
      <c r="A4715" s="4" t="str">
        <f>"Transactions of the Korean Society of Mechanical Engineers, B"</f>
        <v>Transactions of the Korean Society of Mechanical Engineers, B</v>
      </c>
      <c r="B4715" s="4" t="s">
        <v>6</v>
      </c>
      <c r="C4715" s="4" t="str">
        <f t="shared" si="173"/>
        <v>-</v>
      </c>
      <c r="D4715" s="4" t="str">
        <f>"12264881"</f>
        <v>12264881</v>
      </c>
      <c r="E4715" s="4" t="str">
        <f>"-"</f>
        <v>-</v>
      </c>
      <c r="F4715" s="4" t="s">
        <v>732</v>
      </c>
    </row>
    <row r="4716" spans="1:6" x14ac:dyDescent="0.25">
      <c r="A4716" s="4" t="str">
        <f>"Transactions of the North American Manufacturing Research Institution of SME"</f>
        <v>Transactions of the North American Manufacturing Research Institution of SME</v>
      </c>
      <c r="B4716" s="4" t="s">
        <v>8</v>
      </c>
      <c r="C4716" s="4" t="str">
        <f t="shared" si="173"/>
        <v>-</v>
      </c>
      <c r="D4716" s="4" t="str">
        <f>"10473025"</f>
        <v>10473025</v>
      </c>
      <c r="E4716" s="4" t="str">
        <f>"-"</f>
        <v>-</v>
      </c>
      <c r="F4716" s="4" t="s">
        <v>845</v>
      </c>
    </row>
    <row r="4717" spans="1:6" ht="30" x14ac:dyDescent="0.25">
      <c r="A4717" s="4" t="str">
        <f>"Transactions of the Royal Institution of Naval Architects Part A: International Journal of Maritime Engineering"</f>
        <v>Transactions of the Royal Institution of Naval Architects Part A: International Journal of Maritime Engineering</v>
      </c>
      <c r="B4717" s="4" t="s">
        <v>6</v>
      </c>
      <c r="C4717" s="4" t="str">
        <f t="shared" si="173"/>
        <v>-</v>
      </c>
      <c r="D4717" s="4" t="str">
        <f>"14798751"</f>
        <v>14798751</v>
      </c>
      <c r="E4717" s="4" t="str">
        <f>"17400716"</f>
        <v>17400716</v>
      </c>
      <c r="F4717" s="4" t="s">
        <v>1137</v>
      </c>
    </row>
    <row r="4718" spans="1:6" ht="30" x14ac:dyDescent="0.25">
      <c r="A4718" s="4" t="str">
        <f>"Transactions of the Royal Institution of Naval Architects Part B: International Journal of Small Craft Technology"</f>
        <v>Transactions of the Royal Institution of Naval Architects Part B: International Journal of Small Craft Technology</v>
      </c>
      <c r="B4718" s="4" t="s">
        <v>6</v>
      </c>
      <c r="C4718" s="4" t="str">
        <f t="shared" si="173"/>
        <v>-</v>
      </c>
      <c r="D4718" s="4" t="str">
        <f>"17400694"</f>
        <v>17400694</v>
      </c>
      <c r="E4718" s="4" t="str">
        <f>"-"</f>
        <v>-</v>
      </c>
      <c r="F4718" s="4" t="s">
        <v>1137</v>
      </c>
    </row>
    <row r="4719" spans="1:6" x14ac:dyDescent="0.25">
      <c r="A4719" s="4" t="str">
        <f>"Transactions of the SPWLA Annual Logging Symposium (Society of Professional Well Log Analysts)"</f>
        <v>Transactions of the SPWLA Annual Logging Symposium (Society of Professional Well Log Analysts)</v>
      </c>
      <c r="B4719" s="4" t="s">
        <v>8</v>
      </c>
      <c r="C4719" s="4" t="str">
        <f t="shared" si="173"/>
        <v>-</v>
      </c>
      <c r="D4719" s="4" t="str">
        <f>"00811718"</f>
        <v>00811718</v>
      </c>
      <c r="E4719" s="4" t="str">
        <f>"-"</f>
        <v>-</v>
      </c>
      <c r="F4719" s="4" t="s">
        <v>929</v>
      </c>
    </row>
    <row r="4720" spans="1:6" x14ac:dyDescent="0.25">
      <c r="A4720" s="4" t="str">
        <f>"Transactions of Tianjin University"</f>
        <v>Transactions of Tianjin University</v>
      </c>
      <c r="B4720" s="4" t="s">
        <v>6</v>
      </c>
      <c r="C4720" s="4" t="str">
        <f t="shared" si="173"/>
        <v>-</v>
      </c>
      <c r="D4720" s="4" t="str">
        <f>"10064982"</f>
        <v>10064982</v>
      </c>
      <c r="E4720" s="4" t="str">
        <f>"19958196"</f>
        <v>19958196</v>
      </c>
      <c r="F4720" s="4" t="s">
        <v>1120</v>
      </c>
    </row>
    <row r="4721" spans="1:6" x14ac:dyDescent="0.25">
      <c r="A4721" s="4" t="str">
        <f>"Transactions on Data Privacy"</f>
        <v>Transactions on Data Privacy</v>
      </c>
      <c r="B4721" s="4" t="s">
        <v>6</v>
      </c>
      <c r="C4721" s="4" t="str">
        <f t="shared" si="173"/>
        <v>-</v>
      </c>
      <c r="D4721" s="4" t="str">
        <f>"18885063"</f>
        <v>18885063</v>
      </c>
      <c r="E4721" s="4" t="str">
        <f>"20131631"</f>
        <v>20131631</v>
      </c>
      <c r="F4721" s="4" t="s">
        <v>1138</v>
      </c>
    </row>
    <row r="4722" spans="1:6" x14ac:dyDescent="0.25">
      <c r="A4722" s="4" t="str">
        <f>"Transactions on Electrical and Electronic Materials"</f>
        <v>Transactions on Electrical and Electronic Materials</v>
      </c>
      <c r="B4722" s="4" t="s">
        <v>6</v>
      </c>
      <c r="C4722" s="4" t="str">
        <f t="shared" si="173"/>
        <v>-</v>
      </c>
      <c r="D4722" s="4" t="str">
        <f>"12297607"</f>
        <v>12297607</v>
      </c>
      <c r="E4722" s="4" t="str">
        <f>"20927592"</f>
        <v>20927592</v>
      </c>
      <c r="F4722" s="4" t="s">
        <v>1139</v>
      </c>
    </row>
    <row r="4723" spans="1:6" x14ac:dyDescent="0.25">
      <c r="A4723" s="4" t="str">
        <f>"Transactions on Emerging Telecommunications Technologies"</f>
        <v>Transactions on Emerging Telecommunications Technologies</v>
      </c>
      <c r="B4723" s="4" t="s">
        <v>6</v>
      </c>
      <c r="C4723" s="4" t="str">
        <f t="shared" si="173"/>
        <v>-</v>
      </c>
      <c r="D4723" s="4" t="str">
        <f>"-"</f>
        <v>-</v>
      </c>
      <c r="E4723" s="4" t="str">
        <f>"21613915"</f>
        <v>21613915</v>
      </c>
      <c r="F4723" s="4" t="s">
        <v>261</v>
      </c>
    </row>
    <row r="4724" spans="1:6" x14ac:dyDescent="0.25">
      <c r="A4724" s="4" t="str">
        <f>"Transactions on Interactive Intelligent Systems"</f>
        <v>Transactions on Interactive Intelligent Systems</v>
      </c>
      <c r="B4724" s="4" t="s">
        <v>6</v>
      </c>
      <c r="C4724" s="4" t="str">
        <f t="shared" si="173"/>
        <v>-</v>
      </c>
      <c r="D4724" s="4" t="str">
        <f>"21606455"</f>
        <v>21606455</v>
      </c>
      <c r="E4724" s="4" t="str">
        <f>"21606463"</f>
        <v>21606463</v>
      </c>
      <c r="F4724" s="4" t="s">
        <v>21</v>
      </c>
    </row>
    <row r="4725" spans="1:6" x14ac:dyDescent="0.25">
      <c r="A4725" s="4" t="str">
        <f>"Transition Metal Chemistry"</f>
        <v>Transition Metal Chemistry</v>
      </c>
      <c r="B4725" s="4" t="s">
        <v>6</v>
      </c>
      <c r="C4725" s="4" t="str">
        <f t="shared" si="173"/>
        <v>-</v>
      </c>
      <c r="D4725" s="4" t="str">
        <f>"03404285"</f>
        <v>03404285</v>
      </c>
      <c r="E4725" s="4" t="str">
        <f>"1572901X"</f>
        <v>1572901X</v>
      </c>
      <c r="F4725" s="4" t="s">
        <v>16</v>
      </c>
    </row>
    <row r="4726" spans="1:6" x14ac:dyDescent="0.25">
      <c r="A4726" s="4" t="str">
        <f>"Transport"</f>
        <v>Transport</v>
      </c>
      <c r="B4726" s="4" t="s">
        <v>6</v>
      </c>
      <c r="C4726" s="4" t="str">
        <f t="shared" si="173"/>
        <v>-</v>
      </c>
      <c r="D4726" s="4" t="str">
        <f>"16484142"</f>
        <v>16484142</v>
      </c>
      <c r="E4726" s="4" t="str">
        <f>"16483480"</f>
        <v>16483480</v>
      </c>
      <c r="F4726" s="4" t="s">
        <v>699</v>
      </c>
    </row>
    <row r="4727" spans="1:6" x14ac:dyDescent="0.25">
      <c r="A4727" s="4" t="str">
        <f>"Transport in Porous Media"</f>
        <v>Transport in Porous Media</v>
      </c>
      <c r="B4727" s="4" t="s">
        <v>6</v>
      </c>
      <c r="C4727" s="4" t="str">
        <f t="shared" si="173"/>
        <v>-</v>
      </c>
      <c r="D4727" s="4" t="str">
        <f>"01693913"</f>
        <v>01693913</v>
      </c>
      <c r="E4727" s="4" t="str">
        <f>"15731634"</f>
        <v>15731634</v>
      </c>
      <c r="F4727" s="4" t="s">
        <v>31</v>
      </c>
    </row>
    <row r="4728" spans="1:6" x14ac:dyDescent="0.25">
      <c r="A4728" s="4" t="str">
        <f>"Transport Means - Proceedings of the International Conference"</f>
        <v>Transport Means - Proceedings of the International Conference</v>
      </c>
      <c r="B4728" s="4" t="s">
        <v>8</v>
      </c>
      <c r="C4728" s="4" t="str">
        <f t="shared" si="173"/>
        <v>-</v>
      </c>
      <c r="D4728" s="4" t="str">
        <f>"1822296X"</f>
        <v>1822296X</v>
      </c>
      <c r="E4728" s="4" t="str">
        <f>"-"</f>
        <v>-</v>
      </c>
      <c r="F4728" s="4" t="s">
        <v>1140</v>
      </c>
    </row>
    <row r="4729" spans="1:6" x14ac:dyDescent="0.25">
      <c r="A4729" s="4" t="str">
        <f>"Transportation"</f>
        <v>Transportation</v>
      </c>
      <c r="B4729" s="4" t="s">
        <v>6</v>
      </c>
      <c r="C4729" s="4" t="str">
        <f t="shared" si="173"/>
        <v>-</v>
      </c>
      <c r="D4729" s="4" t="str">
        <f>"00494488"</f>
        <v>00494488</v>
      </c>
      <c r="E4729" s="4" t="str">
        <f>"15729435"</f>
        <v>15729435</v>
      </c>
      <c r="F4729" s="4" t="s">
        <v>57</v>
      </c>
    </row>
    <row r="4730" spans="1:6" x14ac:dyDescent="0.25">
      <c r="A4730" s="4" t="str">
        <f>"Transportation Planning and Technology"</f>
        <v>Transportation Planning and Technology</v>
      </c>
      <c r="B4730" s="4" t="s">
        <v>6</v>
      </c>
      <c r="C4730" s="4" t="str">
        <f t="shared" si="173"/>
        <v>-</v>
      </c>
      <c r="D4730" s="4" t="str">
        <f>"03081060"</f>
        <v>03081060</v>
      </c>
      <c r="E4730" s="4" t="str">
        <f>"10290354"</f>
        <v>10290354</v>
      </c>
      <c r="F4730" s="4" t="s">
        <v>211</v>
      </c>
    </row>
    <row r="4731" spans="1:6" x14ac:dyDescent="0.25">
      <c r="A4731" s="4" t="str">
        <f>"Transportation Research Board - Special Report"</f>
        <v>Transportation Research Board - Special Report</v>
      </c>
      <c r="B4731" s="4" t="s">
        <v>6</v>
      </c>
      <c r="C4731" s="4" t="str">
        <f t="shared" si="173"/>
        <v>-</v>
      </c>
      <c r="D4731" s="4" t="str">
        <f>"-"</f>
        <v>-</v>
      </c>
      <c r="E4731" s="4" t="str">
        <f>"-"</f>
        <v>-</v>
      </c>
      <c r="F4731" s="4" t="s">
        <v>1125</v>
      </c>
    </row>
    <row r="4732" spans="1:6" x14ac:dyDescent="0.25">
      <c r="A4732" s="4" t="str">
        <f>"Transportation Research Part A: Policy and Practice"</f>
        <v>Transportation Research Part A: Policy and Practice</v>
      </c>
      <c r="B4732" s="4" t="s">
        <v>6</v>
      </c>
      <c r="C4732" s="4" t="str">
        <f t="shared" si="173"/>
        <v>-</v>
      </c>
      <c r="D4732" s="4" t="str">
        <f>"09658564"</f>
        <v>09658564</v>
      </c>
      <c r="E4732" s="4" t="str">
        <f t="shared" ref="E4732:E4737" si="174">"-"</f>
        <v>-</v>
      </c>
      <c r="F4732" s="4" t="s">
        <v>19</v>
      </c>
    </row>
    <row r="4733" spans="1:6" x14ac:dyDescent="0.25">
      <c r="A4733" s="4" t="str">
        <f>"Transportation Research Part B: Methodological"</f>
        <v>Transportation Research Part B: Methodological</v>
      </c>
      <c r="B4733" s="4" t="s">
        <v>6</v>
      </c>
      <c r="C4733" s="4" t="str">
        <f t="shared" si="173"/>
        <v>-</v>
      </c>
      <c r="D4733" s="4" t="str">
        <f>"01912615"</f>
        <v>01912615</v>
      </c>
      <c r="E4733" s="4" t="str">
        <f t="shared" si="174"/>
        <v>-</v>
      </c>
      <c r="F4733" s="4" t="s">
        <v>19</v>
      </c>
    </row>
    <row r="4734" spans="1:6" x14ac:dyDescent="0.25">
      <c r="A4734" s="4" t="str">
        <f>"Transportation Research Part C: Emerging Technologies"</f>
        <v>Transportation Research Part C: Emerging Technologies</v>
      </c>
      <c r="B4734" s="4" t="s">
        <v>6</v>
      </c>
      <c r="C4734" s="4" t="str">
        <f t="shared" si="173"/>
        <v>-</v>
      </c>
      <c r="D4734" s="4" t="str">
        <f>"0968090X"</f>
        <v>0968090X</v>
      </c>
      <c r="E4734" s="4" t="str">
        <f t="shared" si="174"/>
        <v>-</v>
      </c>
      <c r="F4734" s="4" t="s">
        <v>19</v>
      </c>
    </row>
    <row r="4735" spans="1:6" x14ac:dyDescent="0.25">
      <c r="A4735" s="4" t="str">
        <f>"Transportation Research Part D: Transport and Environment"</f>
        <v>Transportation Research Part D: Transport and Environment</v>
      </c>
      <c r="B4735" s="4" t="s">
        <v>6</v>
      </c>
      <c r="C4735" s="4" t="str">
        <f t="shared" si="173"/>
        <v>-</v>
      </c>
      <c r="D4735" s="4" t="str">
        <f>"13619209"</f>
        <v>13619209</v>
      </c>
      <c r="E4735" s="4" t="str">
        <f t="shared" si="174"/>
        <v>-</v>
      </c>
      <c r="F4735" s="4" t="s">
        <v>19</v>
      </c>
    </row>
    <row r="4736" spans="1:6" x14ac:dyDescent="0.25">
      <c r="A4736" s="4" t="str">
        <f>"Transportation Research Part F: Traffic Psychology and Behaviour"</f>
        <v>Transportation Research Part F: Traffic Psychology and Behaviour</v>
      </c>
      <c r="B4736" s="4" t="s">
        <v>6</v>
      </c>
      <c r="C4736" s="4" t="str">
        <f t="shared" si="173"/>
        <v>-</v>
      </c>
      <c r="D4736" s="4" t="str">
        <f>"13698478"</f>
        <v>13698478</v>
      </c>
      <c r="E4736" s="4" t="str">
        <f t="shared" si="174"/>
        <v>-</v>
      </c>
      <c r="F4736" s="4" t="s">
        <v>19</v>
      </c>
    </row>
    <row r="4737" spans="1:6" x14ac:dyDescent="0.25">
      <c r="A4737" s="4" t="str">
        <f>"Transportation Research Record"</f>
        <v>Transportation Research Record</v>
      </c>
      <c r="B4737" s="4" t="s">
        <v>29</v>
      </c>
      <c r="C4737" s="4" t="str">
        <f t="shared" si="173"/>
        <v>-</v>
      </c>
      <c r="D4737" s="4" t="str">
        <f>"03611981"</f>
        <v>03611981</v>
      </c>
      <c r="E4737" s="4" t="str">
        <f t="shared" si="174"/>
        <v>-</v>
      </c>
      <c r="F4737" s="4" t="s">
        <v>1125</v>
      </c>
    </row>
    <row r="4738" spans="1:6" x14ac:dyDescent="0.25">
      <c r="A4738" s="4" t="str">
        <f>"Transportation Science"</f>
        <v>Transportation Science</v>
      </c>
      <c r="B4738" s="4" t="s">
        <v>6</v>
      </c>
      <c r="C4738" s="4" t="str">
        <f t="shared" ref="C4738:C4801" si="175">"-"</f>
        <v>-</v>
      </c>
      <c r="D4738" s="4" t="str">
        <f>"00411655"</f>
        <v>00411655</v>
      </c>
      <c r="E4738" s="4" t="str">
        <f>"15265447"</f>
        <v>15265447</v>
      </c>
      <c r="F4738" s="4" t="s">
        <v>538</v>
      </c>
    </row>
    <row r="4739" spans="1:6" x14ac:dyDescent="0.25">
      <c r="A4739" s="4" t="str">
        <f>"Transportmetrica A: Transport Science"</f>
        <v>Transportmetrica A: Transport Science</v>
      </c>
      <c r="B4739" s="4" t="s">
        <v>6</v>
      </c>
      <c r="C4739" s="4" t="str">
        <f t="shared" si="175"/>
        <v>-</v>
      </c>
      <c r="D4739" s="4" t="str">
        <f>"23249935"</f>
        <v>23249935</v>
      </c>
      <c r="E4739" s="4" t="str">
        <f>"23249943"</f>
        <v>23249943</v>
      </c>
      <c r="F4739" s="4" t="s">
        <v>60</v>
      </c>
    </row>
    <row r="4740" spans="1:6" x14ac:dyDescent="0.25">
      <c r="A4740" s="4" t="str">
        <f>"Trees - Structure and Function"</f>
        <v>Trees - Structure and Function</v>
      </c>
      <c r="B4740" s="4" t="s">
        <v>6</v>
      </c>
      <c r="C4740" s="4" t="str">
        <f t="shared" si="175"/>
        <v>-</v>
      </c>
      <c r="D4740" s="4" t="str">
        <f>"09311890"</f>
        <v>09311890</v>
      </c>
      <c r="E4740" s="4" t="str">
        <f>"-"</f>
        <v>-</v>
      </c>
      <c r="F4740" s="4" t="s">
        <v>42</v>
      </c>
    </row>
    <row r="4741" spans="1:6" x14ac:dyDescent="0.25">
      <c r="A4741" s="4" t="str">
        <f>"Trenchless World"</f>
        <v>Trenchless World</v>
      </c>
      <c r="B4741" s="4" t="s">
        <v>6</v>
      </c>
      <c r="C4741" s="4" t="str">
        <f t="shared" si="175"/>
        <v>-</v>
      </c>
      <c r="D4741" s="4" t="str">
        <f>"17564093"</f>
        <v>17564093</v>
      </c>
      <c r="E4741" s="4" t="str">
        <f>"-"</f>
        <v>-</v>
      </c>
      <c r="F4741" s="4" t="s">
        <v>1141</v>
      </c>
    </row>
    <row r="4742" spans="1:6" x14ac:dyDescent="0.25">
      <c r="A4742" s="4" t="str">
        <f>"Trends in Biomaterials and Artificial Organs"</f>
        <v>Trends in Biomaterials and Artificial Organs</v>
      </c>
      <c r="B4742" s="4" t="s">
        <v>6</v>
      </c>
      <c r="C4742" s="4" t="str">
        <f t="shared" si="175"/>
        <v>-</v>
      </c>
      <c r="D4742" s="4" t="str">
        <f>"09711198"</f>
        <v>09711198</v>
      </c>
      <c r="E4742" s="4" t="str">
        <f>"-"</f>
        <v>-</v>
      </c>
      <c r="F4742" s="4" t="s">
        <v>1142</v>
      </c>
    </row>
    <row r="4743" spans="1:6" x14ac:dyDescent="0.25">
      <c r="A4743" s="4" t="str">
        <f>"Trends in Biotechnology"</f>
        <v>Trends in Biotechnology</v>
      </c>
      <c r="B4743" s="4" t="s">
        <v>6</v>
      </c>
      <c r="C4743" s="4" t="str">
        <f t="shared" si="175"/>
        <v>-</v>
      </c>
      <c r="D4743" s="4" t="str">
        <f>"01677799"</f>
        <v>01677799</v>
      </c>
      <c r="E4743" s="4" t="str">
        <f>"18793096"</f>
        <v>18793096</v>
      </c>
      <c r="F4743" s="4" t="s">
        <v>19</v>
      </c>
    </row>
    <row r="4744" spans="1:6" x14ac:dyDescent="0.25">
      <c r="A4744" s="4" t="str">
        <f>"Trends in Cognitive Sciences"</f>
        <v>Trends in Cognitive Sciences</v>
      </c>
      <c r="B4744" s="4" t="s">
        <v>6</v>
      </c>
      <c r="C4744" s="4" t="str">
        <f t="shared" si="175"/>
        <v>-</v>
      </c>
      <c r="D4744" s="4" t="str">
        <f>"13646613"</f>
        <v>13646613</v>
      </c>
      <c r="E4744" s="4" t="str">
        <f>"1879307X"</f>
        <v>1879307X</v>
      </c>
      <c r="F4744" s="4" t="s">
        <v>19</v>
      </c>
    </row>
    <row r="4745" spans="1:6" x14ac:dyDescent="0.25">
      <c r="A4745" s="4" t="str">
        <f>"Trends in Food Science and Technology"</f>
        <v>Trends in Food Science and Technology</v>
      </c>
      <c r="B4745" s="4" t="s">
        <v>6</v>
      </c>
      <c r="C4745" s="4" t="str">
        <f t="shared" si="175"/>
        <v>-</v>
      </c>
      <c r="D4745" s="4" t="str">
        <f>"09242244"</f>
        <v>09242244</v>
      </c>
      <c r="E4745" s="4" t="str">
        <f>"-"</f>
        <v>-</v>
      </c>
      <c r="F4745" s="4" t="s">
        <v>19</v>
      </c>
    </row>
    <row r="4746" spans="1:6" x14ac:dyDescent="0.25">
      <c r="A4746" s="4" t="str">
        <f>"Tribologia"</f>
        <v>Tribologia</v>
      </c>
      <c r="B4746" s="4" t="s">
        <v>6</v>
      </c>
      <c r="C4746" s="4" t="str">
        <f t="shared" si="175"/>
        <v>-</v>
      </c>
      <c r="D4746" s="4" t="str">
        <f>"07802285"</f>
        <v>07802285</v>
      </c>
      <c r="E4746" s="4" t="str">
        <f>"-"</f>
        <v>-</v>
      </c>
      <c r="F4746" s="4" t="s">
        <v>1143</v>
      </c>
    </row>
    <row r="4747" spans="1:6" x14ac:dyDescent="0.25">
      <c r="A4747" s="4" t="str">
        <f>"Tribology - Materials, Surfaces and Interfaces"</f>
        <v>Tribology - Materials, Surfaces and Interfaces</v>
      </c>
      <c r="B4747" s="4" t="s">
        <v>6</v>
      </c>
      <c r="C4747" s="4" t="str">
        <f t="shared" si="175"/>
        <v>-</v>
      </c>
      <c r="D4747" s="4" t="str">
        <f>"17515831"</f>
        <v>17515831</v>
      </c>
      <c r="E4747" s="4" t="str">
        <f>"1751584X"</f>
        <v>1751584X</v>
      </c>
      <c r="F4747" s="4" t="s">
        <v>70</v>
      </c>
    </row>
    <row r="4748" spans="1:6" x14ac:dyDescent="0.25">
      <c r="A4748" s="4" t="str">
        <f>"Tribology International"</f>
        <v>Tribology International</v>
      </c>
      <c r="B4748" s="4" t="s">
        <v>6</v>
      </c>
      <c r="C4748" s="4" t="str">
        <f t="shared" si="175"/>
        <v>-</v>
      </c>
      <c r="D4748" s="4" t="str">
        <f>"0301679X"</f>
        <v>0301679X</v>
      </c>
      <c r="E4748" s="4" t="str">
        <f>"-"</f>
        <v>-</v>
      </c>
      <c r="F4748" s="4" t="s">
        <v>19</v>
      </c>
    </row>
    <row r="4749" spans="1:6" x14ac:dyDescent="0.25">
      <c r="A4749" s="4" t="str">
        <f>"Tribology Letters"</f>
        <v>Tribology Letters</v>
      </c>
      <c r="B4749" s="4" t="s">
        <v>6</v>
      </c>
      <c r="C4749" s="4" t="str">
        <f t="shared" si="175"/>
        <v>-</v>
      </c>
      <c r="D4749" s="4" t="str">
        <f>"10238883"</f>
        <v>10238883</v>
      </c>
      <c r="E4749" s="4" t="str">
        <f>"-"</f>
        <v>-</v>
      </c>
      <c r="F4749" s="4" t="s">
        <v>57</v>
      </c>
    </row>
    <row r="4750" spans="1:6" x14ac:dyDescent="0.25">
      <c r="A4750" s="4" t="str">
        <f>"Tribology Online"</f>
        <v>Tribology Online</v>
      </c>
      <c r="B4750" s="4" t="s">
        <v>6</v>
      </c>
      <c r="C4750" s="4" t="str">
        <f t="shared" si="175"/>
        <v>-</v>
      </c>
      <c r="D4750" s="4" t="str">
        <f>"1881218X"</f>
        <v>1881218X</v>
      </c>
      <c r="E4750" s="4" t="str">
        <f>"18812198"</f>
        <v>18812198</v>
      </c>
      <c r="F4750" s="4" t="s">
        <v>1124</v>
      </c>
    </row>
    <row r="4751" spans="1:6" x14ac:dyDescent="0.25">
      <c r="A4751" s="4" t="str">
        <f>"Tribology Transactions"</f>
        <v>Tribology Transactions</v>
      </c>
      <c r="B4751" s="4" t="s">
        <v>6</v>
      </c>
      <c r="C4751" s="4" t="str">
        <f t="shared" si="175"/>
        <v>-</v>
      </c>
      <c r="D4751" s="4" t="str">
        <f>"10402004"</f>
        <v>10402004</v>
      </c>
      <c r="E4751" s="4" t="str">
        <f>"1547397X"</f>
        <v>1547397X</v>
      </c>
      <c r="F4751" s="4" t="s">
        <v>96</v>
      </c>
    </row>
    <row r="4752" spans="1:6" x14ac:dyDescent="0.25">
      <c r="A4752" s="4" t="str">
        <f>"Tsinghua Science and Technology"</f>
        <v>Tsinghua Science and Technology</v>
      </c>
      <c r="B4752" s="4" t="s">
        <v>6</v>
      </c>
      <c r="C4752" s="4" t="str">
        <f t="shared" si="175"/>
        <v>-</v>
      </c>
      <c r="D4752" s="4" t="str">
        <f>"10070214"</f>
        <v>10070214</v>
      </c>
      <c r="E4752" s="4" t="str">
        <f>"-"</f>
        <v>-</v>
      </c>
      <c r="F4752" s="4" t="s">
        <v>216</v>
      </c>
    </row>
    <row r="4753" spans="1:6" x14ac:dyDescent="0.25">
      <c r="A4753" s="4" t="str">
        <f>"Tuijin Jishu/Journal of Propulsion Technology"</f>
        <v>Tuijin Jishu/Journal of Propulsion Technology</v>
      </c>
      <c r="B4753" s="4" t="s">
        <v>6</v>
      </c>
      <c r="C4753" s="4" t="str">
        <f t="shared" si="175"/>
        <v>-</v>
      </c>
      <c r="D4753" s="4" t="str">
        <f>"10014055"</f>
        <v>10014055</v>
      </c>
      <c r="E4753" s="4" t="str">
        <f>"-"</f>
        <v>-</v>
      </c>
      <c r="F4753" s="4" t="s">
        <v>1144</v>
      </c>
    </row>
    <row r="4754" spans="1:6" x14ac:dyDescent="0.25">
      <c r="A4754" s="4" t="str">
        <f>"Tumu Gongcheng Xuebao/China Civil Engineering Journal"</f>
        <v>Tumu Gongcheng Xuebao/China Civil Engineering Journal</v>
      </c>
      <c r="B4754" s="4" t="s">
        <v>6</v>
      </c>
      <c r="C4754" s="4" t="str">
        <f t="shared" si="175"/>
        <v>-</v>
      </c>
      <c r="D4754" s="4" t="str">
        <f>"1000131X"</f>
        <v>1000131X</v>
      </c>
      <c r="E4754" s="4" t="str">
        <f>"-"</f>
        <v>-</v>
      </c>
      <c r="F4754" s="4" t="s">
        <v>1145</v>
      </c>
    </row>
    <row r="4755" spans="1:6" x14ac:dyDescent="0.25">
      <c r="A4755" s="4" t="str">
        <f>"Tunnelling and Underground Space Technology"</f>
        <v>Tunnelling and Underground Space Technology</v>
      </c>
      <c r="B4755" s="4" t="s">
        <v>6</v>
      </c>
      <c r="C4755" s="4" t="str">
        <f t="shared" si="175"/>
        <v>-</v>
      </c>
      <c r="D4755" s="4" t="str">
        <f>"08867798"</f>
        <v>08867798</v>
      </c>
      <c r="E4755" s="4" t="str">
        <f>"-"</f>
        <v>-</v>
      </c>
      <c r="F4755" s="4" t="s">
        <v>19</v>
      </c>
    </row>
    <row r="4756" spans="1:6" x14ac:dyDescent="0.25">
      <c r="A4756" s="4" t="str">
        <f>"Turkish Journal of Agriculture and Forestry"</f>
        <v>Turkish Journal of Agriculture and Forestry</v>
      </c>
      <c r="B4756" s="4" t="s">
        <v>6</v>
      </c>
      <c r="C4756" s="4" t="str">
        <f t="shared" si="175"/>
        <v>-</v>
      </c>
      <c r="D4756" s="4" t="str">
        <f>"1300011X"</f>
        <v>1300011X</v>
      </c>
      <c r="E4756" s="4" t="str">
        <f>"-"</f>
        <v>-</v>
      </c>
      <c r="F4756" s="4" t="s">
        <v>1146</v>
      </c>
    </row>
    <row r="4757" spans="1:6" x14ac:dyDescent="0.25">
      <c r="A4757" s="4" t="str">
        <f>"Turkish Journal of Electrical Engineering and Computer Sciences"</f>
        <v>Turkish Journal of Electrical Engineering and Computer Sciences</v>
      </c>
      <c r="B4757" s="4" t="s">
        <v>6</v>
      </c>
      <c r="C4757" s="4" t="str">
        <f t="shared" si="175"/>
        <v>-</v>
      </c>
      <c r="D4757" s="4" t="str">
        <f>"13000632"</f>
        <v>13000632</v>
      </c>
      <c r="E4757" s="4" t="str">
        <f>"13036203"</f>
        <v>13036203</v>
      </c>
      <c r="F4757" s="4" t="s">
        <v>1146</v>
      </c>
    </row>
    <row r="4758" spans="1:6" x14ac:dyDescent="0.25">
      <c r="A4758" s="4" t="str">
        <f>"Turkish Journal of Engineering and Environmental Sciences"</f>
        <v>Turkish Journal of Engineering and Environmental Sciences</v>
      </c>
      <c r="B4758" s="4" t="s">
        <v>6</v>
      </c>
      <c r="C4758" s="4" t="str">
        <f t="shared" si="175"/>
        <v>-</v>
      </c>
      <c r="D4758" s="4" t="str">
        <f>"13000160"</f>
        <v>13000160</v>
      </c>
      <c r="E4758" s="4" t="str">
        <f>"13036157"</f>
        <v>13036157</v>
      </c>
      <c r="F4758" s="4" t="s">
        <v>1146</v>
      </c>
    </row>
    <row r="4759" spans="1:6" x14ac:dyDescent="0.25">
      <c r="A4759" s="4" t="str">
        <f>"Turkish Journal of Physics"</f>
        <v>Turkish Journal of Physics</v>
      </c>
      <c r="B4759" s="4" t="s">
        <v>6</v>
      </c>
      <c r="C4759" s="4" t="str">
        <f t="shared" si="175"/>
        <v>-</v>
      </c>
      <c r="D4759" s="4" t="str">
        <f>"13000101"</f>
        <v>13000101</v>
      </c>
      <c r="E4759" s="4" t="str">
        <f>"13036122"</f>
        <v>13036122</v>
      </c>
      <c r="F4759" s="4" t="s">
        <v>1147</v>
      </c>
    </row>
    <row r="4760" spans="1:6" x14ac:dyDescent="0.25">
      <c r="A4760" s="4" t="str">
        <f>"UIST: Proceedings of the Annual ACM Symposium on User Interface Softaware and Technology"</f>
        <v>UIST: Proceedings of the Annual ACM Symposium on User Interface Softaware and Technology</v>
      </c>
      <c r="B4760" s="4" t="s">
        <v>8</v>
      </c>
      <c r="C4760" s="4" t="str">
        <f t="shared" si="175"/>
        <v>-</v>
      </c>
      <c r="D4760" s="4" t="str">
        <f>"-"</f>
        <v>-</v>
      </c>
      <c r="E4760" s="4" t="str">
        <f>"-"</f>
        <v>-</v>
      </c>
      <c r="F4760" s="4" t="s">
        <v>21</v>
      </c>
    </row>
    <row r="4761" spans="1:6" x14ac:dyDescent="0.25">
      <c r="A4761" s="4" t="str">
        <f>"Ultramicroscopy"</f>
        <v>Ultramicroscopy</v>
      </c>
      <c r="B4761" s="4" t="s">
        <v>6</v>
      </c>
      <c r="C4761" s="4" t="str">
        <f t="shared" si="175"/>
        <v>-</v>
      </c>
      <c r="D4761" s="4" t="str">
        <f>"03043991"</f>
        <v>03043991</v>
      </c>
      <c r="E4761" s="4" t="str">
        <f>"18792723"</f>
        <v>18792723</v>
      </c>
      <c r="F4761" s="4" t="s">
        <v>55</v>
      </c>
    </row>
    <row r="4762" spans="1:6" x14ac:dyDescent="0.25">
      <c r="A4762" s="4" t="str">
        <f>"Ultrasonics"</f>
        <v>Ultrasonics</v>
      </c>
      <c r="B4762" s="4" t="s">
        <v>6</v>
      </c>
      <c r="C4762" s="4" t="str">
        <f t="shared" si="175"/>
        <v>-</v>
      </c>
      <c r="D4762" s="4" t="str">
        <f>"0041624X"</f>
        <v>0041624X</v>
      </c>
      <c r="E4762" s="4" t="str">
        <f>"-"</f>
        <v>-</v>
      </c>
      <c r="F4762" s="4" t="s">
        <v>55</v>
      </c>
    </row>
    <row r="4763" spans="1:6" x14ac:dyDescent="0.25">
      <c r="A4763" s="4" t="str">
        <f>"Ultrasonics Sonochemistry"</f>
        <v>Ultrasonics Sonochemistry</v>
      </c>
      <c r="B4763" s="4" t="s">
        <v>6</v>
      </c>
      <c r="C4763" s="4" t="str">
        <f t="shared" si="175"/>
        <v>-</v>
      </c>
      <c r="D4763" s="4" t="str">
        <f>"13504177"</f>
        <v>13504177</v>
      </c>
      <c r="E4763" s="4" t="str">
        <f>"18732828"</f>
        <v>18732828</v>
      </c>
      <c r="F4763" s="4" t="s">
        <v>55</v>
      </c>
    </row>
    <row r="4764" spans="1:6" x14ac:dyDescent="0.25">
      <c r="A4764" s="4" t="str">
        <f>"Ultrasound in Medicine and Biology"</f>
        <v>Ultrasound in Medicine and Biology</v>
      </c>
      <c r="B4764" s="4" t="s">
        <v>6</v>
      </c>
      <c r="C4764" s="4" t="str">
        <f t="shared" si="175"/>
        <v>-</v>
      </c>
      <c r="D4764" s="4" t="str">
        <f>"03015629"</f>
        <v>03015629</v>
      </c>
      <c r="E4764" s="4" t="str">
        <f>"1879291X"</f>
        <v>1879291X</v>
      </c>
      <c r="F4764" s="4" t="s">
        <v>281</v>
      </c>
    </row>
    <row r="4765" spans="1:6" x14ac:dyDescent="0.25">
      <c r="A4765" s="4" t="str">
        <f>"Underwater Technology"</f>
        <v>Underwater Technology</v>
      </c>
      <c r="B4765" s="4" t="s">
        <v>6</v>
      </c>
      <c r="C4765" s="4" t="str">
        <f t="shared" si="175"/>
        <v>-</v>
      </c>
      <c r="D4765" s="4" t="str">
        <f>"17560543"</f>
        <v>17560543</v>
      </c>
      <c r="E4765" s="4" t="str">
        <f>"17560551"</f>
        <v>17560551</v>
      </c>
      <c r="F4765" s="4" t="s">
        <v>1148</v>
      </c>
    </row>
    <row r="4766" spans="1:6" x14ac:dyDescent="0.25">
      <c r="A4766" s="4" t="str">
        <f>"Universal Access in the Information Society"</f>
        <v>Universal Access in the Information Society</v>
      </c>
      <c r="B4766" s="4" t="s">
        <v>6</v>
      </c>
      <c r="C4766" s="4" t="str">
        <f t="shared" si="175"/>
        <v>-</v>
      </c>
      <c r="D4766" s="4" t="str">
        <f>"16155289"</f>
        <v>16155289</v>
      </c>
      <c r="E4766" s="4" t="str">
        <f>"16155297"</f>
        <v>16155297</v>
      </c>
      <c r="F4766" s="4" t="s">
        <v>42</v>
      </c>
    </row>
    <row r="4767" spans="1:6" x14ac:dyDescent="0.25">
      <c r="A4767" s="4" t="str">
        <f>"UPB Scientific Bulletin, Series A: Applied Mathematics and Physics"</f>
        <v>UPB Scientific Bulletin, Series A: Applied Mathematics and Physics</v>
      </c>
      <c r="B4767" s="4" t="s">
        <v>6</v>
      </c>
      <c r="C4767" s="4" t="str">
        <f t="shared" si="175"/>
        <v>-</v>
      </c>
      <c r="D4767" s="4" t="str">
        <f>"12237027"</f>
        <v>12237027</v>
      </c>
      <c r="E4767" s="4" t="str">
        <f>"-"</f>
        <v>-</v>
      </c>
      <c r="F4767" s="4" t="s">
        <v>1149</v>
      </c>
    </row>
    <row r="4768" spans="1:6" x14ac:dyDescent="0.25">
      <c r="A4768" s="4" t="str">
        <f>"UPB Scientific Bulletin, Series B: Chemistry and Materials Science"</f>
        <v>UPB Scientific Bulletin, Series B: Chemistry and Materials Science</v>
      </c>
      <c r="B4768" s="4" t="s">
        <v>6</v>
      </c>
      <c r="C4768" s="4" t="str">
        <f t="shared" si="175"/>
        <v>-</v>
      </c>
      <c r="D4768" s="4" t="str">
        <f>"14542331"</f>
        <v>14542331</v>
      </c>
      <c r="E4768" s="4" t="str">
        <f>"-"</f>
        <v>-</v>
      </c>
      <c r="F4768" s="4" t="s">
        <v>1149</v>
      </c>
    </row>
    <row r="4769" spans="1:6" x14ac:dyDescent="0.25">
      <c r="A4769" s="4" t="str">
        <f>"UPB Scientific Bulletin, Series C: Electrical Engineering"</f>
        <v>UPB Scientific Bulletin, Series C: Electrical Engineering</v>
      </c>
      <c r="B4769" s="4" t="s">
        <v>6</v>
      </c>
      <c r="C4769" s="4" t="str">
        <f t="shared" si="175"/>
        <v>-</v>
      </c>
      <c r="D4769" s="4" t="str">
        <f>"1454234X"</f>
        <v>1454234X</v>
      </c>
      <c r="E4769" s="4" t="str">
        <f>"-"</f>
        <v>-</v>
      </c>
      <c r="F4769" s="4" t="s">
        <v>1149</v>
      </c>
    </row>
    <row r="4770" spans="1:6" x14ac:dyDescent="0.25">
      <c r="A4770" s="4" t="str">
        <f>"UPB Scientific Bulletin, Series D: Mechanical Engineering"</f>
        <v>UPB Scientific Bulletin, Series D: Mechanical Engineering</v>
      </c>
      <c r="B4770" s="4" t="s">
        <v>6</v>
      </c>
      <c r="C4770" s="4" t="str">
        <f t="shared" si="175"/>
        <v>-</v>
      </c>
      <c r="D4770" s="4" t="str">
        <f>"14542358"</f>
        <v>14542358</v>
      </c>
      <c r="E4770" s="4" t="str">
        <f>"-"</f>
        <v>-</v>
      </c>
      <c r="F4770" s="4" t="s">
        <v>1149</v>
      </c>
    </row>
    <row r="4771" spans="1:6" x14ac:dyDescent="0.25">
      <c r="A4771" s="4" t="str">
        <f>"User Modeling and User-Adapted Interaction"</f>
        <v>User Modeling and User-Adapted Interaction</v>
      </c>
      <c r="B4771" s="4" t="s">
        <v>6</v>
      </c>
      <c r="C4771" s="4" t="str">
        <f t="shared" si="175"/>
        <v>-</v>
      </c>
      <c r="D4771" s="4" t="str">
        <f>"09241868"</f>
        <v>09241868</v>
      </c>
      <c r="E4771" s="4" t="str">
        <f>"15731391"</f>
        <v>15731391</v>
      </c>
      <c r="F4771" s="4" t="s">
        <v>31</v>
      </c>
    </row>
    <row r="4772" spans="1:6" x14ac:dyDescent="0.25">
      <c r="A4772" s="4" t="str">
        <f>"Vacuum"</f>
        <v>Vacuum</v>
      </c>
      <c r="B4772" s="4" t="s">
        <v>6</v>
      </c>
      <c r="C4772" s="4" t="str">
        <f t="shared" si="175"/>
        <v>-</v>
      </c>
      <c r="D4772" s="4" t="str">
        <f>"0042207X"</f>
        <v>0042207X</v>
      </c>
      <c r="E4772" s="4" t="str">
        <f>"-"</f>
        <v>-</v>
      </c>
      <c r="F4772" s="4" t="s">
        <v>19</v>
      </c>
    </row>
    <row r="4773" spans="1:6" x14ac:dyDescent="0.25">
      <c r="A4773" s="4" t="str">
        <f>"Vadose Zone Journal"</f>
        <v>Vadose Zone Journal</v>
      </c>
      <c r="B4773" s="4" t="s">
        <v>6</v>
      </c>
      <c r="C4773" s="4" t="str">
        <f t="shared" si="175"/>
        <v>-</v>
      </c>
      <c r="D4773" s="4" t="str">
        <f>"-"</f>
        <v>-</v>
      </c>
      <c r="E4773" s="4" t="str">
        <f>"15391663"</f>
        <v>15391663</v>
      </c>
      <c r="F4773" s="4" t="s">
        <v>1080</v>
      </c>
    </row>
    <row r="4774" spans="1:6" x14ac:dyDescent="0.25">
      <c r="A4774" s="4" t="str">
        <f>"Vakuum in Forschung und Praxis"</f>
        <v>Vakuum in Forschung und Praxis</v>
      </c>
      <c r="B4774" s="4" t="s">
        <v>6</v>
      </c>
      <c r="C4774" s="4" t="str">
        <f t="shared" si="175"/>
        <v>-</v>
      </c>
      <c r="D4774" s="4" t="str">
        <f>"0947076X"</f>
        <v>0947076X</v>
      </c>
      <c r="E4774" s="4" t="str">
        <f>"15222454"</f>
        <v>15222454</v>
      </c>
      <c r="F4774" s="4" t="s">
        <v>63</v>
      </c>
    </row>
    <row r="4775" spans="1:6" x14ac:dyDescent="0.25">
      <c r="A4775" s="4" t="str">
        <f>"VAST: International Symposium on Virtual Reality, Archaeology and Intelligent Cultural Heritage"</f>
        <v>VAST: International Symposium on Virtual Reality, Archaeology and Intelligent Cultural Heritage</v>
      </c>
      <c r="B4775" s="4" t="s">
        <v>8</v>
      </c>
      <c r="C4775" s="4" t="str">
        <f t="shared" si="175"/>
        <v>-</v>
      </c>
      <c r="D4775" s="4" t="str">
        <f>"1811864X"</f>
        <v>1811864X</v>
      </c>
      <c r="E4775" s="4" t="str">
        <f>"-"</f>
        <v>-</v>
      </c>
      <c r="F4775" s="4" t="s">
        <v>23</v>
      </c>
    </row>
    <row r="4776" spans="1:6" x14ac:dyDescent="0.25">
      <c r="A4776" s="4" t="str">
        <f>"VDE Fachberichte"</f>
        <v>VDE Fachberichte</v>
      </c>
      <c r="B4776" s="4" t="s">
        <v>29</v>
      </c>
      <c r="C4776" s="4" t="str">
        <f t="shared" si="175"/>
        <v>-</v>
      </c>
      <c r="D4776" s="4" t="str">
        <f>"03404161"</f>
        <v>03404161</v>
      </c>
      <c r="E4776" s="4" t="str">
        <f>"-"</f>
        <v>-</v>
      </c>
      <c r="F4776" s="4" t="s">
        <v>992</v>
      </c>
    </row>
    <row r="4777" spans="1:6" x14ac:dyDescent="0.25">
      <c r="A4777" s="4" t="str">
        <f>"VDI Berichte"</f>
        <v>VDI Berichte</v>
      </c>
      <c r="B4777" s="4" t="s">
        <v>29</v>
      </c>
      <c r="C4777" s="4" t="str">
        <f t="shared" si="175"/>
        <v>-</v>
      </c>
      <c r="D4777" s="4" t="str">
        <f>"00835560"</f>
        <v>00835560</v>
      </c>
      <c r="E4777" s="4" t="str">
        <f>"-"</f>
        <v>-</v>
      </c>
      <c r="F4777" s="4" t="s">
        <v>1150</v>
      </c>
    </row>
    <row r="4778" spans="1:6" x14ac:dyDescent="0.25">
      <c r="A4778" s="4" t="str">
        <f>"Vehicle System Dynamics"</f>
        <v>Vehicle System Dynamics</v>
      </c>
      <c r="B4778" s="4" t="s">
        <v>6</v>
      </c>
      <c r="C4778" s="4" t="str">
        <f t="shared" si="175"/>
        <v>-</v>
      </c>
      <c r="D4778" s="4" t="str">
        <f>"00423114"</f>
        <v>00423114</v>
      </c>
      <c r="E4778" s="4" t="str">
        <f>"17445159"</f>
        <v>17445159</v>
      </c>
      <c r="F4778" s="4" t="s">
        <v>60</v>
      </c>
    </row>
    <row r="4779" spans="1:6" x14ac:dyDescent="0.25">
      <c r="A4779" s="4" t="str">
        <f>"Vertiflite"</f>
        <v>Vertiflite</v>
      </c>
      <c r="B4779" s="4" t="s">
        <v>6</v>
      </c>
      <c r="C4779" s="4" t="str">
        <f t="shared" si="175"/>
        <v>-</v>
      </c>
      <c r="D4779" s="4" t="str">
        <f>"00424455"</f>
        <v>00424455</v>
      </c>
      <c r="E4779" s="4" t="str">
        <f>"-"</f>
        <v>-</v>
      </c>
      <c r="F4779" s="4" t="s">
        <v>129</v>
      </c>
    </row>
    <row r="4780" spans="1:6" x14ac:dyDescent="0.25">
      <c r="A4780" s="4" t="str">
        <f>"Vibrational Spectroscopy"</f>
        <v>Vibrational Spectroscopy</v>
      </c>
      <c r="B4780" s="4" t="s">
        <v>6</v>
      </c>
      <c r="C4780" s="4" t="str">
        <f t="shared" si="175"/>
        <v>-</v>
      </c>
      <c r="D4780" s="4" t="str">
        <f>"09242031"</f>
        <v>09242031</v>
      </c>
      <c r="E4780" s="4" t="str">
        <f>"-"</f>
        <v>-</v>
      </c>
      <c r="F4780" s="4" t="s">
        <v>55</v>
      </c>
    </row>
    <row r="4781" spans="1:6" x14ac:dyDescent="0.25">
      <c r="A4781" s="4" t="str">
        <f>"Vibroengineering Procedia"</f>
        <v>Vibroengineering Procedia</v>
      </c>
      <c r="B4781" s="4" t="s">
        <v>8</v>
      </c>
      <c r="C4781" s="4" t="str">
        <f t="shared" si="175"/>
        <v>-</v>
      </c>
      <c r="D4781" s="4" t="str">
        <f>"23450533"</f>
        <v>23450533</v>
      </c>
      <c r="E4781" s="4" t="str">
        <f>"-"</f>
        <v>-</v>
      </c>
      <c r="F4781" s="4" t="s">
        <v>1151</v>
      </c>
    </row>
    <row r="4782" spans="1:6" x14ac:dyDescent="0.25">
      <c r="A4782" s="4" t="str">
        <f>"Vide. Tehnologija. Resursi - Environment, Technology, Resources"</f>
        <v>Vide. Tehnologija. Resursi - Environment, Technology, Resources</v>
      </c>
      <c r="B4782" s="4" t="s">
        <v>8</v>
      </c>
      <c r="C4782" s="4" t="str">
        <f t="shared" si="175"/>
        <v>-</v>
      </c>
      <c r="D4782" s="4" t="str">
        <f>"16915402"</f>
        <v>16915402</v>
      </c>
      <c r="E4782" s="4" t="str">
        <f>"-"</f>
        <v>-</v>
      </c>
      <c r="F4782" s="4" t="s">
        <v>1152</v>
      </c>
    </row>
    <row r="4783" spans="1:6" x14ac:dyDescent="0.25">
      <c r="A4783" s="4" t="str">
        <f>"VINE"</f>
        <v>VINE</v>
      </c>
      <c r="B4783" s="4" t="s">
        <v>6</v>
      </c>
      <c r="C4783" s="4" t="str">
        <f t="shared" si="175"/>
        <v>-</v>
      </c>
      <c r="D4783" s="4" t="str">
        <f>"03055728"</f>
        <v>03055728</v>
      </c>
      <c r="E4783" s="4" t="str">
        <f>"14741032"</f>
        <v>14741032</v>
      </c>
      <c r="F4783" s="4" t="s">
        <v>110</v>
      </c>
    </row>
    <row r="4784" spans="1:6" x14ac:dyDescent="0.25">
      <c r="A4784" s="4" t="str">
        <f>"Virtual and Physical Prototyping"</f>
        <v>Virtual and Physical Prototyping</v>
      </c>
      <c r="B4784" s="4" t="s">
        <v>6</v>
      </c>
      <c r="C4784" s="4" t="str">
        <f t="shared" si="175"/>
        <v>-</v>
      </c>
      <c r="D4784" s="4" t="str">
        <f>"17452759"</f>
        <v>17452759</v>
      </c>
      <c r="E4784" s="4" t="str">
        <f>"17452767"</f>
        <v>17452767</v>
      </c>
      <c r="F4784" s="4" t="s">
        <v>60</v>
      </c>
    </row>
    <row r="4785" spans="1:6" x14ac:dyDescent="0.25">
      <c r="A4785" s="4" t="str">
        <f>"Virtual Reality"</f>
        <v>Virtual Reality</v>
      </c>
      <c r="B4785" s="4" t="s">
        <v>6</v>
      </c>
      <c r="C4785" s="4" t="str">
        <f t="shared" si="175"/>
        <v>-</v>
      </c>
      <c r="D4785" s="4" t="str">
        <f>"13594338"</f>
        <v>13594338</v>
      </c>
      <c r="E4785" s="4" t="str">
        <f>"14349957"</f>
        <v>14349957</v>
      </c>
      <c r="F4785" s="4" t="s">
        <v>62</v>
      </c>
    </row>
    <row r="4786" spans="1:6" x14ac:dyDescent="0.25">
      <c r="A4786" s="4" t="str">
        <f>"Vision Tecnologica"</f>
        <v>Vision Tecnologica</v>
      </c>
      <c r="B4786" s="4" t="s">
        <v>6</v>
      </c>
      <c r="C4786" s="4" t="str">
        <f t="shared" si="175"/>
        <v>-</v>
      </c>
      <c r="D4786" s="4" t="str">
        <f>"13150855"</f>
        <v>13150855</v>
      </c>
      <c r="E4786" s="4" t="str">
        <f>"-"</f>
        <v>-</v>
      </c>
      <c r="F4786" s="4" t="s">
        <v>1153</v>
      </c>
    </row>
    <row r="4787" spans="1:6" x14ac:dyDescent="0.25">
      <c r="A4787" s="4" t="str">
        <f>"Visual Computer"</f>
        <v>Visual Computer</v>
      </c>
      <c r="B4787" s="4" t="s">
        <v>6</v>
      </c>
      <c r="C4787" s="4" t="str">
        <f t="shared" si="175"/>
        <v>-</v>
      </c>
      <c r="D4787" s="4" t="str">
        <f>"01782789"</f>
        <v>01782789</v>
      </c>
      <c r="E4787" s="4" t="str">
        <f>"-"</f>
        <v>-</v>
      </c>
      <c r="F4787" s="4" t="s">
        <v>42</v>
      </c>
    </row>
    <row r="4788" spans="1:6" x14ac:dyDescent="0.25">
      <c r="A4788" s="4" t="str">
        <f>"VLDB Journal"</f>
        <v>VLDB Journal</v>
      </c>
      <c r="B4788" s="4" t="s">
        <v>6</v>
      </c>
      <c r="C4788" s="4" t="str">
        <f t="shared" si="175"/>
        <v>-</v>
      </c>
      <c r="D4788" s="4" t="str">
        <f>"10668888"</f>
        <v>10668888</v>
      </c>
      <c r="E4788" s="4" t="str">
        <f>"0949877X"</f>
        <v>0949877X</v>
      </c>
      <c r="F4788" s="4" t="s">
        <v>57</v>
      </c>
    </row>
    <row r="4789" spans="1:6" x14ac:dyDescent="0.25">
      <c r="A4789" s="4" t="str">
        <f>"VLSI Design"</f>
        <v>VLSI Design</v>
      </c>
      <c r="B4789" s="4" t="s">
        <v>6</v>
      </c>
      <c r="C4789" s="4" t="str">
        <f t="shared" si="175"/>
        <v>-</v>
      </c>
      <c r="D4789" s="4" t="str">
        <f>"1065514X"</f>
        <v>1065514X</v>
      </c>
      <c r="E4789" s="4" t="str">
        <f>"-"</f>
        <v>-</v>
      </c>
      <c r="F4789" s="4" t="s">
        <v>54</v>
      </c>
    </row>
    <row r="4790" spans="1:6" x14ac:dyDescent="0.25">
      <c r="A4790" s="4" t="str">
        <f>"VTT Publications"</f>
        <v>VTT Publications</v>
      </c>
      <c r="B4790" s="4" t="s">
        <v>29</v>
      </c>
      <c r="C4790" s="4" t="str">
        <f t="shared" si="175"/>
        <v>-</v>
      </c>
      <c r="D4790" s="4" t="str">
        <f>"12350621"</f>
        <v>12350621</v>
      </c>
      <c r="E4790" s="4" t="str">
        <f>"14550849"</f>
        <v>14550849</v>
      </c>
      <c r="F4790" s="4" t="s">
        <v>1154</v>
      </c>
    </row>
    <row r="4791" spans="1:6" x14ac:dyDescent="0.25">
      <c r="A4791" s="4" t="str">
        <f>"VTT Tiedotteita - Valtion Teknillinen Tutkimuskeskus"</f>
        <v>VTT Tiedotteita - Valtion Teknillinen Tutkimuskeskus</v>
      </c>
      <c r="B4791" s="4" t="s">
        <v>29</v>
      </c>
      <c r="C4791" s="4" t="str">
        <f t="shared" si="175"/>
        <v>-</v>
      </c>
      <c r="D4791" s="4" t="str">
        <f>"12350605"</f>
        <v>12350605</v>
      </c>
      <c r="E4791" s="4" t="str">
        <f>"14550865"</f>
        <v>14550865</v>
      </c>
      <c r="F4791" s="4" t="s">
        <v>1155</v>
      </c>
    </row>
    <row r="4792" spans="1:6" x14ac:dyDescent="0.25">
      <c r="A4792" s="4" t="str">
        <f>"Waste and Biomass Valorization"</f>
        <v>Waste and Biomass Valorization</v>
      </c>
      <c r="B4792" s="4" t="s">
        <v>6</v>
      </c>
      <c r="C4792" s="4" t="str">
        <f t="shared" si="175"/>
        <v>-</v>
      </c>
      <c r="D4792" s="4" t="str">
        <f>"18772641"</f>
        <v>18772641</v>
      </c>
      <c r="E4792" s="4" t="str">
        <f>"1877265X"</f>
        <v>1877265X</v>
      </c>
      <c r="F4792" s="4" t="s">
        <v>31</v>
      </c>
    </row>
    <row r="4793" spans="1:6" x14ac:dyDescent="0.25">
      <c r="A4793" s="4" t="str">
        <f>"Waste Management"</f>
        <v>Waste Management</v>
      </c>
      <c r="B4793" s="4" t="s">
        <v>6</v>
      </c>
      <c r="C4793" s="4" t="str">
        <f t="shared" si="175"/>
        <v>-</v>
      </c>
      <c r="D4793" s="4" t="str">
        <f>"0956053X"</f>
        <v>0956053X</v>
      </c>
      <c r="E4793" s="4" t="str">
        <f>"18792456"</f>
        <v>18792456</v>
      </c>
      <c r="F4793" s="4" t="s">
        <v>19</v>
      </c>
    </row>
    <row r="4794" spans="1:6" x14ac:dyDescent="0.25">
      <c r="A4794" s="4" t="str">
        <f>"Waste Management and Research"</f>
        <v>Waste Management and Research</v>
      </c>
      <c r="B4794" s="4" t="s">
        <v>6</v>
      </c>
      <c r="C4794" s="4" t="str">
        <f t="shared" si="175"/>
        <v>-</v>
      </c>
      <c r="D4794" s="4" t="str">
        <f>"0734242X"</f>
        <v>0734242X</v>
      </c>
      <c r="E4794" s="4" t="str">
        <f>"10963669"</f>
        <v>10963669</v>
      </c>
      <c r="F4794" s="4" t="s">
        <v>212</v>
      </c>
    </row>
    <row r="4795" spans="1:6" x14ac:dyDescent="0.25">
      <c r="A4795" s="4" t="str">
        <f>"Water (Switzerland)"</f>
        <v>Water (Switzerland)</v>
      </c>
      <c r="B4795" s="4" t="s">
        <v>6</v>
      </c>
      <c r="C4795" s="4" t="str">
        <f t="shared" si="175"/>
        <v>-</v>
      </c>
      <c r="D4795" s="4" t="str">
        <f>"-"</f>
        <v>-</v>
      </c>
      <c r="E4795" s="4" t="str">
        <f>"20734441"</f>
        <v>20734441</v>
      </c>
      <c r="F4795" s="4" t="s">
        <v>114</v>
      </c>
    </row>
    <row r="4796" spans="1:6" x14ac:dyDescent="0.25">
      <c r="A4796" s="4" t="str">
        <f>"Water and Environment Journal"</f>
        <v>Water and Environment Journal</v>
      </c>
      <c r="B4796" s="4" t="s">
        <v>6</v>
      </c>
      <c r="C4796" s="4" t="str">
        <f t="shared" si="175"/>
        <v>-</v>
      </c>
      <c r="D4796" s="4" t="str">
        <f>"17476585"</f>
        <v>17476585</v>
      </c>
      <c r="E4796" s="4" t="str">
        <f>"17476593"</f>
        <v>17476593</v>
      </c>
      <c r="F4796" s="4" t="s">
        <v>209</v>
      </c>
    </row>
    <row r="4797" spans="1:6" x14ac:dyDescent="0.25">
      <c r="A4797" s="4" t="str">
        <f>"Water and Wastes Digest"</f>
        <v>Water and Wastes Digest</v>
      </c>
      <c r="B4797" s="4" t="s">
        <v>22</v>
      </c>
      <c r="C4797" s="4" t="str">
        <f t="shared" si="175"/>
        <v>-</v>
      </c>
      <c r="D4797" s="4" t="str">
        <f>"00431141"</f>
        <v>00431141</v>
      </c>
      <c r="E4797" s="4" t="str">
        <f>"-"</f>
        <v>-</v>
      </c>
      <c r="F4797" s="4" t="s">
        <v>1156</v>
      </c>
    </row>
    <row r="4798" spans="1:6" x14ac:dyDescent="0.25">
      <c r="A4798" s="4" t="str">
        <f>"Water and Wastewater International"</f>
        <v>Water and Wastewater International</v>
      </c>
      <c r="B4798" s="4" t="s">
        <v>22</v>
      </c>
      <c r="C4798" s="4" t="str">
        <f t="shared" si="175"/>
        <v>-</v>
      </c>
      <c r="D4798" s="4" t="str">
        <f>"08915385"</f>
        <v>08915385</v>
      </c>
      <c r="E4798" s="4" t="str">
        <f>"-"</f>
        <v>-</v>
      </c>
      <c r="F4798" s="4" t="s">
        <v>830</v>
      </c>
    </row>
    <row r="4799" spans="1:6" x14ac:dyDescent="0.25">
      <c r="A4799" s="4" t="str">
        <f>"Water Environment Research"</f>
        <v>Water Environment Research</v>
      </c>
      <c r="B4799" s="4" t="s">
        <v>6</v>
      </c>
      <c r="C4799" s="4" t="str">
        <f t="shared" si="175"/>
        <v>-</v>
      </c>
      <c r="D4799" s="4" t="str">
        <f>"10614303"</f>
        <v>10614303</v>
      </c>
      <c r="E4799" s="4" t="str">
        <f>"15547531"</f>
        <v>15547531</v>
      </c>
      <c r="F4799" s="4" t="s">
        <v>1157</v>
      </c>
    </row>
    <row r="4800" spans="1:6" x14ac:dyDescent="0.25">
      <c r="A4800" s="4" t="str">
        <f>"Water Practice and Technology"</f>
        <v>Water Practice and Technology</v>
      </c>
      <c r="B4800" s="4" t="s">
        <v>6</v>
      </c>
      <c r="C4800" s="4" t="str">
        <f t="shared" si="175"/>
        <v>-</v>
      </c>
      <c r="D4800" s="4" t="str">
        <f>"1751231X"</f>
        <v>1751231X</v>
      </c>
      <c r="E4800" s="4" t="str">
        <f>"-"</f>
        <v>-</v>
      </c>
      <c r="F4800" s="4" t="s">
        <v>810</v>
      </c>
    </row>
    <row r="4801" spans="1:6" x14ac:dyDescent="0.25">
      <c r="A4801" s="4" t="str">
        <f>"Water Quality Research Journal of Canada"</f>
        <v>Water Quality Research Journal of Canada</v>
      </c>
      <c r="B4801" s="4" t="s">
        <v>6</v>
      </c>
      <c r="C4801" s="4" t="str">
        <f t="shared" si="175"/>
        <v>-</v>
      </c>
      <c r="D4801" s="4" t="str">
        <f>"12013080"</f>
        <v>12013080</v>
      </c>
      <c r="E4801" s="4" t="str">
        <f>"-"</f>
        <v>-</v>
      </c>
      <c r="F4801" s="4" t="s">
        <v>810</v>
      </c>
    </row>
    <row r="4802" spans="1:6" x14ac:dyDescent="0.25">
      <c r="A4802" s="4" t="str">
        <f>"Water Research"</f>
        <v>Water Research</v>
      </c>
      <c r="B4802" s="4" t="s">
        <v>6</v>
      </c>
      <c r="C4802" s="4" t="str">
        <f t="shared" ref="C4802:C4865" si="176">"-"</f>
        <v>-</v>
      </c>
      <c r="D4802" s="4" t="str">
        <f>"00431354"</f>
        <v>00431354</v>
      </c>
      <c r="E4802" s="4" t="str">
        <f>"18792448"</f>
        <v>18792448</v>
      </c>
      <c r="F4802" s="4" t="s">
        <v>19</v>
      </c>
    </row>
    <row r="4803" spans="1:6" x14ac:dyDescent="0.25">
      <c r="A4803" s="4" t="str">
        <f>"Water Resources and Industry"</f>
        <v>Water Resources and Industry</v>
      </c>
      <c r="B4803" s="4" t="s">
        <v>6</v>
      </c>
      <c r="C4803" s="4" t="str">
        <f t="shared" si="176"/>
        <v>-</v>
      </c>
      <c r="D4803" s="4" t="str">
        <f>"22123717"</f>
        <v>22123717</v>
      </c>
      <c r="E4803" s="4" t="str">
        <f>"-"</f>
        <v>-</v>
      </c>
      <c r="F4803" s="4" t="s">
        <v>55</v>
      </c>
    </row>
    <row r="4804" spans="1:6" x14ac:dyDescent="0.25">
      <c r="A4804" s="4" t="str">
        <f>"Water Resources Management"</f>
        <v>Water Resources Management</v>
      </c>
      <c r="B4804" s="4" t="s">
        <v>6</v>
      </c>
      <c r="C4804" s="4" t="str">
        <f t="shared" si="176"/>
        <v>-</v>
      </c>
      <c r="D4804" s="4" t="str">
        <f>"09204741"</f>
        <v>09204741</v>
      </c>
      <c r="E4804" s="4" t="str">
        <f>"15731650"</f>
        <v>15731650</v>
      </c>
      <c r="F4804" s="4" t="s">
        <v>31</v>
      </c>
    </row>
    <row r="4805" spans="1:6" x14ac:dyDescent="0.25">
      <c r="A4805" s="4" t="str">
        <f>"Water Resources Research"</f>
        <v>Water Resources Research</v>
      </c>
      <c r="B4805" s="4" t="s">
        <v>6</v>
      </c>
      <c r="C4805" s="4" t="str">
        <f t="shared" si="176"/>
        <v>-</v>
      </c>
      <c r="D4805" s="4" t="str">
        <f>"00431397"</f>
        <v>00431397</v>
      </c>
      <c r="E4805" s="4" t="str">
        <f>"19447973"</f>
        <v>19447973</v>
      </c>
      <c r="F4805" s="4" t="s">
        <v>209</v>
      </c>
    </row>
    <row r="4806" spans="1:6" x14ac:dyDescent="0.25">
      <c r="A4806" s="4" t="str">
        <f>"Water SA"</f>
        <v>Water SA</v>
      </c>
      <c r="B4806" s="4" t="s">
        <v>6</v>
      </c>
      <c r="C4806" s="4" t="str">
        <f t="shared" si="176"/>
        <v>-</v>
      </c>
      <c r="D4806" s="4" t="str">
        <f>"03784738"</f>
        <v>03784738</v>
      </c>
      <c r="E4806" s="4" t="str">
        <f>"18167950"</f>
        <v>18167950</v>
      </c>
      <c r="F4806" s="4" t="s">
        <v>1158</v>
      </c>
    </row>
    <row r="4807" spans="1:6" x14ac:dyDescent="0.25">
      <c r="A4807" s="4" t="str">
        <f>"Water Science and Engineering"</f>
        <v>Water Science and Engineering</v>
      </c>
      <c r="B4807" s="4" t="s">
        <v>6</v>
      </c>
      <c r="C4807" s="4" t="str">
        <f t="shared" si="176"/>
        <v>-</v>
      </c>
      <c r="D4807" s="4" t="str">
        <f>"16742370"</f>
        <v>16742370</v>
      </c>
      <c r="E4807" s="4" t="str">
        <f>"-"</f>
        <v>-</v>
      </c>
      <c r="F4807" s="4" t="s">
        <v>1159</v>
      </c>
    </row>
    <row r="4808" spans="1:6" x14ac:dyDescent="0.25">
      <c r="A4808" s="4" t="str">
        <f>"Water Science and Technology"</f>
        <v>Water Science and Technology</v>
      </c>
      <c r="B4808" s="4" t="s">
        <v>6</v>
      </c>
      <c r="C4808" s="4" t="str">
        <f t="shared" si="176"/>
        <v>-</v>
      </c>
      <c r="D4808" s="4" t="str">
        <f>"02731223"</f>
        <v>02731223</v>
      </c>
      <c r="E4808" s="4" t="str">
        <f>"-"</f>
        <v>-</v>
      </c>
      <c r="F4808" s="4" t="s">
        <v>810</v>
      </c>
    </row>
    <row r="4809" spans="1:6" x14ac:dyDescent="0.25">
      <c r="A4809" s="4" t="str">
        <f>"Water Science and Technology: Water Supply"</f>
        <v>Water Science and Technology: Water Supply</v>
      </c>
      <c r="B4809" s="4" t="s">
        <v>29</v>
      </c>
      <c r="C4809" s="4" t="str">
        <f t="shared" si="176"/>
        <v>-</v>
      </c>
      <c r="D4809" s="4" t="str">
        <f>"16069749"</f>
        <v>16069749</v>
      </c>
      <c r="E4809" s="4" t="str">
        <f>"-"</f>
        <v>-</v>
      </c>
      <c r="F4809" s="4" t="s">
        <v>810</v>
      </c>
    </row>
    <row r="4810" spans="1:6" x14ac:dyDescent="0.25">
      <c r="A4810" s="4" t="str">
        <f>"Water, Air, and Soil Pollution"</f>
        <v>Water, Air, and Soil Pollution</v>
      </c>
      <c r="B4810" s="4" t="s">
        <v>6</v>
      </c>
      <c r="C4810" s="4" t="str">
        <f t="shared" si="176"/>
        <v>-</v>
      </c>
      <c r="D4810" s="4" t="str">
        <f>"00496979"</f>
        <v>00496979</v>
      </c>
      <c r="E4810" s="4" t="str">
        <f>"15732932"</f>
        <v>15732932</v>
      </c>
      <c r="F4810" s="4" t="s">
        <v>16</v>
      </c>
    </row>
    <row r="4811" spans="1:6" x14ac:dyDescent="0.25">
      <c r="A4811" s="4" t="str">
        <f>"Wave Motion"</f>
        <v>Wave Motion</v>
      </c>
      <c r="B4811" s="4" t="s">
        <v>6</v>
      </c>
      <c r="C4811" s="4" t="str">
        <f t="shared" si="176"/>
        <v>-</v>
      </c>
      <c r="D4811" s="4" t="str">
        <f>"01652125"</f>
        <v>01652125</v>
      </c>
      <c r="E4811" s="4" t="str">
        <f>"-"</f>
        <v>-</v>
      </c>
      <c r="F4811" s="4" t="s">
        <v>55</v>
      </c>
    </row>
    <row r="4812" spans="1:6" x14ac:dyDescent="0.25">
      <c r="A4812" s="4" t="str">
        <f>"Waves in Random and Complex Media"</f>
        <v>Waves in Random and Complex Media</v>
      </c>
      <c r="B4812" s="4" t="s">
        <v>6</v>
      </c>
      <c r="C4812" s="4" t="str">
        <f t="shared" si="176"/>
        <v>-</v>
      </c>
      <c r="D4812" s="4" t="str">
        <f>"17455030"</f>
        <v>17455030</v>
      </c>
      <c r="E4812" s="4" t="str">
        <f>"17455049"</f>
        <v>17455049</v>
      </c>
      <c r="F4812" s="4" t="s">
        <v>60</v>
      </c>
    </row>
    <row r="4813" spans="1:6" x14ac:dyDescent="0.25">
      <c r="A4813" s="4" t="str">
        <f>"Wear"</f>
        <v>Wear</v>
      </c>
      <c r="B4813" s="4" t="s">
        <v>6</v>
      </c>
      <c r="C4813" s="4" t="str">
        <f t="shared" si="176"/>
        <v>-</v>
      </c>
      <c r="D4813" s="4" t="str">
        <f>"00431648"</f>
        <v>00431648</v>
      </c>
      <c r="E4813" s="4" t="str">
        <f>"-"</f>
        <v>-</v>
      </c>
      <c r="F4813" s="4" t="s">
        <v>19</v>
      </c>
    </row>
    <row r="4814" spans="1:6" x14ac:dyDescent="0.25">
      <c r="A4814" s="4" t="str">
        <f>"Weather and Forecasting"</f>
        <v>Weather and Forecasting</v>
      </c>
      <c r="B4814" s="4" t="s">
        <v>6</v>
      </c>
      <c r="C4814" s="4" t="str">
        <f t="shared" si="176"/>
        <v>-</v>
      </c>
      <c r="D4814" s="4" t="str">
        <f>"08828156"</f>
        <v>08828156</v>
      </c>
      <c r="E4814" s="4" t="str">
        <f>"15200434"</f>
        <v>15200434</v>
      </c>
      <c r="F4814" s="4" t="s">
        <v>225</v>
      </c>
    </row>
    <row r="4815" spans="1:6" x14ac:dyDescent="0.25">
      <c r="A4815" s="4" t="str">
        <f>"Web Intelligence"</f>
        <v>Web Intelligence</v>
      </c>
      <c r="B4815" s="4" t="s">
        <v>6</v>
      </c>
      <c r="C4815" s="4" t="str">
        <f t="shared" si="176"/>
        <v>-</v>
      </c>
      <c r="D4815" s="4" t="str">
        <f>"24056456"</f>
        <v>24056456</v>
      </c>
      <c r="E4815" s="4" t="str">
        <f>"24056464"</f>
        <v>24056464</v>
      </c>
      <c r="F4815" s="4" t="s">
        <v>103</v>
      </c>
    </row>
    <row r="4816" spans="1:6" x14ac:dyDescent="0.25">
      <c r="A4816" s="4" t="str">
        <f>"Web Intelligence and Agent Systems"</f>
        <v>Web Intelligence and Agent Systems</v>
      </c>
      <c r="B4816" s="4" t="s">
        <v>6</v>
      </c>
      <c r="C4816" s="4" t="str">
        <f t="shared" si="176"/>
        <v>-</v>
      </c>
      <c r="D4816" s="4" t="str">
        <f>"15701263"</f>
        <v>15701263</v>
      </c>
      <c r="E4816" s="4" t="str">
        <f>"18759289"</f>
        <v>18759289</v>
      </c>
      <c r="F4816" s="4" t="s">
        <v>103</v>
      </c>
    </row>
    <row r="4817" spans="1:6" x14ac:dyDescent="0.25">
      <c r="A4817" s="4" t="str">
        <f>"Web3D Symposium Proceedings"</f>
        <v>Web3D Symposium Proceedings</v>
      </c>
      <c r="B4817" s="4" t="s">
        <v>8</v>
      </c>
      <c r="C4817" s="4" t="str">
        <f t="shared" si="176"/>
        <v>-</v>
      </c>
      <c r="D4817" s="4" t="str">
        <f>"15529886"</f>
        <v>15529886</v>
      </c>
      <c r="E4817" s="4" t="str">
        <f>"-"</f>
        <v>-</v>
      </c>
      <c r="F4817" s="4" t="s">
        <v>21</v>
      </c>
    </row>
    <row r="4818" spans="1:6" x14ac:dyDescent="0.25">
      <c r="A4818" s="4" t="str">
        <f>"Welding and Cutting"</f>
        <v>Welding and Cutting</v>
      </c>
      <c r="B4818" s="4" t="s">
        <v>22</v>
      </c>
      <c r="C4818" s="4" t="str">
        <f t="shared" si="176"/>
        <v>-</v>
      </c>
      <c r="D4818" s="4" t="str">
        <f>"16123433"</f>
        <v>16123433</v>
      </c>
      <c r="E4818" s="4" t="str">
        <f>"-"</f>
        <v>-</v>
      </c>
      <c r="F4818" s="4" t="s">
        <v>1160</v>
      </c>
    </row>
    <row r="4819" spans="1:6" x14ac:dyDescent="0.25">
      <c r="A4819" s="4" t="str">
        <f>"Welding in the World"</f>
        <v>Welding in the World</v>
      </c>
      <c r="B4819" s="4" t="s">
        <v>6</v>
      </c>
      <c r="C4819" s="4" t="str">
        <f t="shared" si="176"/>
        <v>-</v>
      </c>
      <c r="D4819" s="4" t="str">
        <f>"00432288"</f>
        <v>00432288</v>
      </c>
      <c r="E4819" s="4" t="str">
        <f>"-"</f>
        <v>-</v>
      </c>
      <c r="F4819" s="4" t="s">
        <v>42</v>
      </c>
    </row>
    <row r="4820" spans="1:6" x14ac:dyDescent="0.25">
      <c r="A4820" s="4" t="str">
        <f>"Welding International"</f>
        <v>Welding International</v>
      </c>
      <c r="B4820" s="4" t="s">
        <v>6</v>
      </c>
      <c r="C4820" s="4" t="str">
        <f t="shared" si="176"/>
        <v>-</v>
      </c>
      <c r="D4820" s="4" t="str">
        <f>"09507116"</f>
        <v>09507116</v>
      </c>
      <c r="E4820" s="4" t="str">
        <f>"17542138"</f>
        <v>17542138</v>
      </c>
      <c r="F4820" s="4" t="s">
        <v>60</v>
      </c>
    </row>
    <row r="4821" spans="1:6" x14ac:dyDescent="0.25">
      <c r="A4821" s="4" t="str">
        <f>"Welding Journal"</f>
        <v>Welding Journal</v>
      </c>
      <c r="B4821" s="4" t="s">
        <v>6</v>
      </c>
      <c r="C4821" s="4" t="str">
        <f t="shared" si="176"/>
        <v>-</v>
      </c>
      <c r="D4821" s="4" t="str">
        <f>"00432296"</f>
        <v>00432296</v>
      </c>
      <c r="E4821" s="4" t="str">
        <f>"-"</f>
        <v>-</v>
      </c>
      <c r="F4821" s="4" t="s">
        <v>1161</v>
      </c>
    </row>
    <row r="4822" spans="1:6" x14ac:dyDescent="0.25">
      <c r="A4822" s="4" t="str">
        <f>"Western Journal of Applied Forestry"</f>
        <v>Western Journal of Applied Forestry</v>
      </c>
      <c r="B4822" s="4" t="s">
        <v>6</v>
      </c>
      <c r="C4822" s="4" t="str">
        <f t="shared" si="176"/>
        <v>-</v>
      </c>
      <c r="D4822" s="4" t="str">
        <f>"08856095"</f>
        <v>08856095</v>
      </c>
      <c r="E4822" s="4" t="str">
        <f>"-"</f>
        <v>-</v>
      </c>
      <c r="F4822" s="4" t="s">
        <v>426</v>
      </c>
    </row>
    <row r="4823" spans="1:6" x14ac:dyDescent="0.25">
      <c r="A4823" s="4" t="str">
        <f>"Wiley Interdisciplinary Reviews: Climate Change"</f>
        <v>Wiley Interdisciplinary Reviews: Climate Change</v>
      </c>
      <c r="B4823" s="4" t="s">
        <v>6</v>
      </c>
      <c r="C4823" s="4" t="str">
        <f t="shared" si="176"/>
        <v>-</v>
      </c>
      <c r="D4823" s="4" t="str">
        <f>"17577780"</f>
        <v>17577780</v>
      </c>
      <c r="E4823" s="4" t="str">
        <f>"17577799"</f>
        <v>17577799</v>
      </c>
      <c r="F4823" s="4" t="s">
        <v>156</v>
      </c>
    </row>
    <row r="4824" spans="1:6" x14ac:dyDescent="0.25">
      <c r="A4824" s="4" t="str">
        <f>"Wiley Interdisciplinary Reviews: Computational Molecular Science"</f>
        <v>Wiley Interdisciplinary Reviews: Computational Molecular Science</v>
      </c>
      <c r="B4824" s="4" t="s">
        <v>6</v>
      </c>
      <c r="C4824" s="4" t="str">
        <f t="shared" si="176"/>
        <v>-</v>
      </c>
      <c r="D4824" s="4" t="str">
        <f>"17590876"</f>
        <v>17590876</v>
      </c>
      <c r="E4824" s="4" t="str">
        <f>"17590884"</f>
        <v>17590884</v>
      </c>
      <c r="F4824" s="4" t="s">
        <v>291</v>
      </c>
    </row>
    <row r="4825" spans="1:6" x14ac:dyDescent="0.25">
      <c r="A4825" s="4" t="str">
        <f>"Wiley Interdisciplinary Reviews: Computational Statistics"</f>
        <v>Wiley Interdisciplinary Reviews: Computational Statistics</v>
      </c>
      <c r="B4825" s="4" t="s">
        <v>6</v>
      </c>
      <c r="C4825" s="4" t="str">
        <f t="shared" si="176"/>
        <v>-</v>
      </c>
      <c r="D4825" s="4" t="str">
        <f>"19395108"</f>
        <v>19395108</v>
      </c>
      <c r="E4825" s="4" t="str">
        <f>"19390068"</f>
        <v>19390068</v>
      </c>
      <c r="F4825" s="4" t="s">
        <v>156</v>
      </c>
    </row>
    <row r="4826" spans="1:6" x14ac:dyDescent="0.25">
      <c r="A4826" s="4" t="str">
        <f>"Wiley Interdisciplinary Reviews: Data Mining and Knowledge Discovery"</f>
        <v>Wiley Interdisciplinary Reviews: Data Mining and Knowledge Discovery</v>
      </c>
      <c r="B4826" s="4" t="s">
        <v>6</v>
      </c>
      <c r="C4826" s="4" t="str">
        <f t="shared" si="176"/>
        <v>-</v>
      </c>
      <c r="D4826" s="4" t="str">
        <f>"19424787"</f>
        <v>19424787</v>
      </c>
      <c r="E4826" s="4" t="str">
        <f>"19424795"</f>
        <v>19424795</v>
      </c>
      <c r="F4826" s="4" t="s">
        <v>156</v>
      </c>
    </row>
    <row r="4827" spans="1:6" x14ac:dyDescent="0.25">
      <c r="A4827" s="4" t="str">
        <f>"Wiley Interdisciplinary Reviews: Energy and Environment"</f>
        <v>Wiley Interdisciplinary Reviews: Energy and Environment</v>
      </c>
      <c r="B4827" s="4" t="s">
        <v>6</v>
      </c>
      <c r="C4827" s="4" t="str">
        <f t="shared" si="176"/>
        <v>-</v>
      </c>
      <c r="D4827" s="4" t="str">
        <f>"20418396"</f>
        <v>20418396</v>
      </c>
      <c r="E4827" s="4" t="str">
        <f>"2041840X"</f>
        <v>2041840X</v>
      </c>
      <c r="F4827" s="4" t="s">
        <v>142</v>
      </c>
    </row>
    <row r="4828" spans="1:6" x14ac:dyDescent="0.25">
      <c r="A4828" s="4" t="str">
        <f>"Wiley Interdisciplinary Reviews: Nanomedicine and Nanobiotechnology"</f>
        <v>Wiley Interdisciplinary Reviews: Nanomedicine and Nanobiotechnology</v>
      </c>
      <c r="B4828" s="4" t="s">
        <v>6</v>
      </c>
      <c r="C4828" s="4" t="str">
        <f t="shared" si="176"/>
        <v>-</v>
      </c>
      <c r="D4828" s="4" t="str">
        <f>"19395116"</f>
        <v>19395116</v>
      </c>
      <c r="E4828" s="4" t="str">
        <f>"19390041"</f>
        <v>19390041</v>
      </c>
      <c r="F4828" s="4" t="s">
        <v>156</v>
      </c>
    </row>
    <row r="4829" spans="1:6" x14ac:dyDescent="0.25">
      <c r="A4829" s="4" t="str">
        <f>"Wind and Structures, An International Journal"</f>
        <v>Wind and Structures, An International Journal</v>
      </c>
      <c r="B4829" s="4" t="s">
        <v>6</v>
      </c>
      <c r="C4829" s="4" t="str">
        <f t="shared" si="176"/>
        <v>-</v>
      </c>
      <c r="D4829" s="4" t="str">
        <f>"12266116"</f>
        <v>12266116</v>
      </c>
      <c r="E4829" s="4" t="str">
        <f>"-"</f>
        <v>-</v>
      </c>
      <c r="F4829" s="4" t="s">
        <v>297</v>
      </c>
    </row>
    <row r="4830" spans="1:6" x14ac:dyDescent="0.25">
      <c r="A4830" s="4" t="str">
        <f>"Wind Energy"</f>
        <v>Wind Energy</v>
      </c>
      <c r="B4830" s="4" t="s">
        <v>6</v>
      </c>
      <c r="C4830" s="4" t="str">
        <f t="shared" si="176"/>
        <v>-</v>
      </c>
      <c r="D4830" s="4" t="str">
        <f>"10954244"</f>
        <v>10954244</v>
      </c>
      <c r="E4830" s="4" t="str">
        <f>"10991824"</f>
        <v>10991824</v>
      </c>
      <c r="F4830" s="4" t="s">
        <v>142</v>
      </c>
    </row>
    <row r="4831" spans="1:6" x14ac:dyDescent="0.25">
      <c r="A4831" s="4" t="str">
        <f>"Wind Engineering"</f>
        <v>Wind Engineering</v>
      </c>
      <c r="B4831" s="4" t="s">
        <v>6</v>
      </c>
      <c r="C4831" s="4" t="str">
        <f t="shared" si="176"/>
        <v>-</v>
      </c>
      <c r="D4831" s="4" t="str">
        <f>"0309524X"</f>
        <v>0309524X</v>
      </c>
      <c r="E4831" s="4" t="str">
        <f>"-"</f>
        <v>-</v>
      </c>
      <c r="F4831" s="4" t="s">
        <v>58</v>
      </c>
    </row>
    <row r="4832" spans="1:6" x14ac:dyDescent="0.25">
      <c r="A4832" s="4" t="str">
        <f>"Wireless Communications and Mobile Computing"</f>
        <v>Wireless Communications and Mobile Computing</v>
      </c>
      <c r="B4832" s="4" t="s">
        <v>6</v>
      </c>
      <c r="C4832" s="4" t="str">
        <f t="shared" si="176"/>
        <v>-</v>
      </c>
      <c r="D4832" s="4" t="str">
        <f>"15308669"</f>
        <v>15308669</v>
      </c>
      <c r="E4832" s="4" t="str">
        <f>"15308677"</f>
        <v>15308677</v>
      </c>
      <c r="F4832" s="4" t="s">
        <v>142</v>
      </c>
    </row>
    <row r="4833" spans="1:6" x14ac:dyDescent="0.25">
      <c r="A4833" s="4" t="str">
        <f>"Wireless Networks"</f>
        <v>Wireless Networks</v>
      </c>
      <c r="B4833" s="4" t="s">
        <v>6</v>
      </c>
      <c r="C4833" s="4" t="str">
        <f t="shared" si="176"/>
        <v>-</v>
      </c>
      <c r="D4833" s="4" t="str">
        <f>"10220038"</f>
        <v>10220038</v>
      </c>
      <c r="E4833" s="4" t="str">
        <f>"15728196"</f>
        <v>15728196</v>
      </c>
      <c r="F4833" s="4" t="s">
        <v>57</v>
      </c>
    </row>
    <row r="4834" spans="1:6" x14ac:dyDescent="0.25">
      <c r="A4834" s="4" t="str">
        <f>"Wireless Personal Communications"</f>
        <v>Wireless Personal Communications</v>
      </c>
      <c r="B4834" s="4" t="s">
        <v>6</v>
      </c>
      <c r="C4834" s="4" t="str">
        <f t="shared" si="176"/>
        <v>-</v>
      </c>
      <c r="D4834" s="4" t="str">
        <f>"09296212"</f>
        <v>09296212</v>
      </c>
      <c r="E4834" s="4" t="str">
        <f>"1572834X"</f>
        <v>1572834X</v>
      </c>
      <c r="F4834" s="4" t="s">
        <v>57</v>
      </c>
    </row>
    <row r="4835" spans="1:6" x14ac:dyDescent="0.25">
      <c r="A4835" s="4" t="str">
        <f>"Wireless Telecommunications Symposium"</f>
        <v>Wireless Telecommunications Symposium</v>
      </c>
      <c r="B4835" s="4" t="s">
        <v>8</v>
      </c>
      <c r="C4835" s="4" t="str">
        <f t="shared" si="176"/>
        <v>-</v>
      </c>
      <c r="D4835" s="4" t="str">
        <f>"19345070"</f>
        <v>19345070</v>
      </c>
      <c r="E4835" s="4" t="str">
        <f>"-"</f>
        <v>-</v>
      </c>
      <c r="F4835" s="4" t="s">
        <v>9</v>
      </c>
    </row>
    <row r="4836" spans="1:6" x14ac:dyDescent="0.25">
      <c r="A4836" s="4" t="str">
        <f>"Wochenblatt fuer Papierfabrikation"</f>
        <v>Wochenblatt fuer Papierfabrikation</v>
      </c>
      <c r="B4836" s="4" t="s">
        <v>22</v>
      </c>
      <c r="C4836" s="4" t="str">
        <f t="shared" si="176"/>
        <v>-</v>
      </c>
      <c r="D4836" s="4" t="str">
        <f>"00437131"</f>
        <v>00437131</v>
      </c>
      <c r="E4836" s="4" t="str">
        <f>"-"</f>
        <v>-</v>
      </c>
      <c r="F4836" s="4" t="s">
        <v>266</v>
      </c>
    </row>
    <row r="4837" spans="1:6" x14ac:dyDescent="0.25">
      <c r="A4837" s="4" t="str">
        <f>"Wood and Fiber Science"</f>
        <v>Wood and Fiber Science</v>
      </c>
      <c r="B4837" s="4" t="s">
        <v>6</v>
      </c>
      <c r="C4837" s="4" t="str">
        <f t="shared" si="176"/>
        <v>-</v>
      </c>
      <c r="D4837" s="4" t="str">
        <f>"07356161"</f>
        <v>07356161</v>
      </c>
      <c r="E4837" s="4" t="str">
        <f>"-"</f>
        <v>-</v>
      </c>
      <c r="F4837" s="4" t="s">
        <v>1162</v>
      </c>
    </row>
    <row r="4838" spans="1:6" x14ac:dyDescent="0.25">
      <c r="A4838" s="4" t="str">
        <f>"Wood Material Science and Engineering"</f>
        <v>Wood Material Science and Engineering</v>
      </c>
      <c r="B4838" s="4" t="s">
        <v>6</v>
      </c>
      <c r="C4838" s="4" t="str">
        <f t="shared" si="176"/>
        <v>-</v>
      </c>
      <c r="D4838" s="4" t="str">
        <f>"17480272"</f>
        <v>17480272</v>
      </c>
      <c r="E4838" s="4" t="str">
        <f>"17480280"</f>
        <v>17480280</v>
      </c>
      <c r="F4838" s="4" t="s">
        <v>60</v>
      </c>
    </row>
    <row r="4839" spans="1:6" x14ac:dyDescent="0.25">
      <c r="A4839" s="4" t="str">
        <f>"Wood Research"</f>
        <v>Wood Research</v>
      </c>
      <c r="B4839" s="4" t="s">
        <v>6</v>
      </c>
      <c r="C4839" s="4" t="str">
        <f t="shared" si="176"/>
        <v>-</v>
      </c>
      <c r="D4839" s="4" t="str">
        <f>"13364561"</f>
        <v>13364561</v>
      </c>
      <c r="E4839" s="4" t="str">
        <f>"-"</f>
        <v>-</v>
      </c>
      <c r="F4839" s="4" t="s">
        <v>1163</v>
      </c>
    </row>
    <row r="4840" spans="1:6" x14ac:dyDescent="0.25">
      <c r="A4840" s="4" t="str">
        <f>"Wood Science and Technology"</f>
        <v>Wood Science and Technology</v>
      </c>
      <c r="B4840" s="4" t="s">
        <v>6</v>
      </c>
      <c r="C4840" s="4" t="str">
        <f t="shared" si="176"/>
        <v>-</v>
      </c>
      <c r="D4840" s="4" t="str">
        <f>"00437719"</f>
        <v>00437719</v>
      </c>
      <c r="E4840" s="4" t="str">
        <f>"-"</f>
        <v>-</v>
      </c>
      <c r="F4840" s="4" t="s">
        <v>42</v>
      </c>
    </row>
    <row r="4841" spans="1:6" x14ac:dyDescent="0.25">
      <c r="A4841" s="4" t="str">
        <f>"Workshop on Hyperspectral Image and Signal Processing, Evolution in Remote Sensing"</f>
        <v>Workshop on Hyperspectral Image and Signal Processing, Evolution in Remote Sensing</v>
      </c>
      <c r="B4841" s="4" t="s">
        <v>8</v>
      </c>
      <c r="C4841" s="4" t="str">
        <f t="shared" si="176"/>
        <v>-</v>
      </c>
      <c r="D4841" s="4" t="str">
        <f>"21586276"</f>
        <v>21586276</v>
      </c>
      <c r="E4841" s="4" t="str">
        <f>"-"</f>
        <v>-</v>
      </c>
      <c r="F4841" s="4" t="s">
        <v>9</v>
      </c>
    </row>
    <row r="4842" spans="1:6" x14ac:dyDescent="0.25">
      <c r="A4842" s="4" t="str">
        <f>"Workshop on Socio-Technical Aspects in Security and Trust, STAST"</f>
        <v>Workshop on Socio-Technical Aspects in Security and Trust, STAST</v>
      </c>
      <c r="B4842" s="4" t="s">
        <v>8</v>
      </c>
      <c r="C4842" s="4" t="str">
        <f t="shared" si="176"/>
        <v>-</v>
      </c>
      <c r="D4842" s="4" t="str">
        <f>"23251689"</f>
        <v>23251689</v>
      </c>
      <c r="E4842" s="4" t="str">
        <f>"23251697"</f>
        <v>23251697</v>
      </c>
      <c r="F4842" s="4" t="s">
        <v>9</v>
      </c>
    </row>
    <row r="4843" spans="1:6" x14ac:dyDescent="0.25">
      <c r="A4843" s="4" t="str">
        <f>"World Automation Congress Proceedings"</f>
        <v>World Automation Congress Proceedings</v>
      </c>
      <c r="B4843" s="4" t="s">
        <v>8</v>
      </c>
      <c r="C4843" s="4" t="str">
        <f t="shared" si="176"/>
        <v>-</v>
      </c>
      <c r="D4843" s="4" t="str">
        <f>"21544824"</f>
        <v>21544824</v>
      </c>
      <c r="E4843" s="4" t="str">
        <f>"21544832"</f>
        <v>21544832</v>
      </c>
      <c r="F4843" s="4" t="s">
        <v>9</v>
      </c>
    </row>
    <row r="4844" spans="1:6" x14ac:dyDescent="0.25">
      <c r="A4844" s="4" t="str">
        <f>"World Electric Vehicle Journal"</f>
        <v>World Electric Vehicle Journal</v>
      </c>
      <c r="B4844" s="4" t="s">
        <v>6</v>
      </c>
      <c r="C4844" s="4" t="str">
        <f t="shared" si="176"/>
        <v>-</v>
      </c>
      <c r="D4844" s="4" t="str">
        <f>"20326653"</f>
        <v>20326653</v>
      </c>
      <c r="E4844" s="4" t="str">
        <f>"-"</f>
        <v>-</v>
      </c>
      <c r="F4844" s="4" t="s">
        <v>1164</v>
      </c>
    </row>
    <row r="4845" spans="1:6" x14ac:dyDescent="0.25">
      <c r="A4845" s="4" t="str">
        <f>"World Journal of Microbiology and Biotechnology"</f>
        <v>World Journal of Microbiology and Biotechnology</v>
      </c>
      <c r="B4845" s="4" t="s">
        <v>6</v>
      </c>
      <c r="C4845" s="4" t="str">
        <f t="shared" si="176"/>
        <v>-</v>
      </c>
      <c r="D4845" s="4" t="str">
        <f>"09593993"</f>
        <v>09593993</v>
      </c>
      <c r="E4845" s="4" t="str">
        <f>"15730972"</f>
        <v>15730972</v>
      </c>
      <c r="F4845" s="4" t="s">
        <v>31</v>
      </c>
    </row>
    <row r="4846" spans="1:6" x14ac:dyDescent="0.25">
      <c r="A4846" s="4" t="str">
        <f>"World of Metallurgy - ERZMETALL"</f>
        <v>World of Metallurgy - ERZMETALL</v>
      </c>
      <c r="B4846" s="4" t="s">
        <v>6</v>
      </c>
      <c r="C4846" s="4" t="str">
        <f t="shared" si="176"/>
        <v>-</v>
      </c>
      <c r="D4846" s="4" t="str">
        <f>"16132394"</f>
        <v>16132394</v>
      </c>
      <c r="E4846" s="4" t="str">
        <f t="shared" ref="E4846:E4872" si="177">"-"</f>
        <v>-</v>
      </c>
      <c r="F4846" s="4" t="s">
        <v>1165</v>
      </c>
    </row>
    <row r="4847" spans="1:6" x14ac:dyDescent="0.25">
      <c r="A4847" s="4" t="str">
        <f>"World of Mining - Surface and Underground"</f>
        <v>World of Mining - Surface and Underground</v>
      </c>
      <c r="B4847" s="4" t="s">
        <v>6</v>
      </c>
      <c r="C4847" s="4" t="str">
        <f t="shared" si="176"/>
        <v>-</v>
      </c>
      <c r="D4847" s="4" t="str">
        <f>"16132408"</f>
        <v>16132408</v>
      </c>
      <c r="E4847" s="4" t="str">
        <f t="shared" si="177"/>
        <v>-</v>
      </c>
      <c r="F4847" s="4" t="s">
        <v>1165</v>
      </c>
    </row>
    <row r="4848" spans="1:6" x14ac:dyDescent="0.25">
      <c r="A4848" s="4" t="str">
        <f>"World Pumps"</f>
        <v>World Pumps</v>
      </c>
      <c r="B4848" s="4" t="s">
        <v>22</v>
      </c>
      <c r="C4848" s="4" t="str">
        <f t="shared" si="176"/>
        <v>-</v>
      </c>
      <c r="D4848" s="4" t="str">
        <f>"02621762"</f>
        <v>02621762</v>
      </c>
      <c r="E4848" s="4" t="str">
        <f t="shared" si="177"/>
        <v>-</v>
      </c>
      <c r="F4848" s="4" t="s">
        <v>19</v>
      </c>
    </row>
    <row r="4849" spans="1:6" x14ac:dyDescent="0.25">
      <c r="A4849" s="4" t="str">
        <f>"World Transactions on Engineering and Technology Education"</f>
        <v>World Transactions on Engineering and Technology Education</v>
      </c>
      <c r="B4849" s="4" t="s">
        <v>6</v>
      </c>
      <c r="C4849" s="4" t="str">
        <f t="shared" si="176"/>
        <v>-</v>
      </c>
      <c r="D4849" s="4" t="str">
        <f>"14462257"</f>
        <v>14462257</v>
      </c>
      <c r="E4849" s="4" t="str">
        <f t="shared" si="177"/>
        <v>-</v>
      </c>
      <c r="F4849" s="4" t="s">
        <v>1166</v>
      </c>
    </row>
    <row r="4850" spans="1:6" x14ac:dyDescent="0.25">
      <c r="A4850" s="4" t="str">
        <f>"World Tunneling"</f>
        <v>World Tunneling</v>
      </c>
      <c r="B4850" s="4" t="s">
        <v>22</v>
      </c>
      <c r="C4850" s="4" t="str">
        <f t="shared" si="176"/>
        <v>-</v>
      </c>
      <c r="D4850" s="4" t="str">
        <f>"17564107"</f>
        <v>17564107</v>
      </c>
      <c r="E4850" s="4" t="str">
        <f t="shared" si="177"/>
        <v>-</v>
      </c>
      <c r="F4850" s="4" t="s">
        <v>1141</v>
      </c>
    </row>
    <row r="4851" spans="1:6" x14ac:dyDescent="0.25">
      <c r="A4851" s="4" t="str">
        <f>"World Wide Web"</f>
        <v>World Wide Web</v>
      </c>
      <c r="B4851" s="4" t="s">
        <v>6</v>
      </c>
      <c r="C4851" s="4" t="str">
        <f t="shared" si="176"/>
        <v>-</v>
      </c>
      <c r="D4851" s="4" t="str">
        <f>"1386145X"</f>
        <v>1386145X</v>
      </c>
      <c r="E4851" s="4" t="str">
        <f t="shared" si="177"/>
        <v>-</v>
      </c>
      <c r="F4851" s="4" t="s">
        <v>57</v>
      </c>
    </row>
    <row r="4852" spans="1:6" x14ac:dyDescent="0.25">
      <c r="A4852" s="4" t="str">
        <f>"Wuhan Daxue Xuebao (Xinxi Kexue Ban)/Geomatics and Information Science of Wuhan University"</f>
        <v>Wuhan Daxue Xuebao (Xinxi Kexue Ban)/Geomatics and Information Science of Wuhan University</v>
      </c>
      <c r="B4852" s="4" t="s">
        <v>6</v>
      </c>
      <c r="C4852" s="4" t="str">
        <f t="shared" si="176"/>
        <v>-</v>
      </c>
      <c r="D4852" s="4" t="str">
        <f>"16718860"</f>
        <v>16718860</v>
      </c>
      <c r="E4852" s="4" t="str">
        <f t="shared" si="177"/>
        <v>-</v>
      </c>
      <c r="F4852" s="4" t="s">
        <v>1167</v>
      </c>
    </row>
    <row r="4853" spans="1:6" x14ac:dyDescent="0.25">
      <c r="A4853" s="4" t="str">
        <f>"Wuji Cailiao Xuebao/Journal of Inorganic Materials"</f>
        <v>Wuji Cailiao Xuebao/Journal of Inorganic Materials</v>
      </c>
      <c r="B4853" s="4" t="s">
        <v>6</v>
      </c>
      <c r="C4853" s="4" t="str">
        <f t="shared" si="176"/>
        <v>-</v>
      </c>
      <c r="D4853" s="4" t="str">
        <f>"1000324X"</f>
        <v>1000324X</v>
      </c>
      <c r="E4853" s="4" t="str">
        <f t="shared" si="177"/>
        <v>-</v>
      </c>
      <c r="F4853" s="4" t="s">
        <v>37</v>
      </c>
    </row>
    <row r="4854" spans="1:6" x14ac:dyDescent="0.25">
      <c r="A4854" s="4" t="str">
        <f>"Wuli Xuebao/Acta Physica Sinica"</f>
        <v>Wuli Xuebao/Acta Physica Sinica</v>
      </c>
      <c r="B4854" s="4" t="s">
        <v>6</v>
      </c>
      <c r="C4854" s="4" t="str">
        <f t="shared" si="176"/>
        <v>-</v>
      </c>
      <c r="D4854" s="4" t="str">
        <f>"10003290"</f>
        <v>10003290</v>
      </c>
      <c r="E4854" s="4" t="str">
        <f t="shared" si="177"/>
        <v>-</v>
      </c>
      <c r="F4854" s="4" t="s">
        <v>1168</v>
      </c>
    </row>
    <row r="4855" spans="1:6" x14ac:dyDescent="0.25">
      <c r="A4855" s="4" t="str">
        <f>"Xi Tong Gong Cheng Yu Dian Zi Ji Shu/Systems Engineering and Electronics"</f>
        <v>Xi Tong Gong Cheng Yu Dian Zi Ji Shu/Systems Engineering and Electronics</v>
      </c>
      <c r="B4855" s="4" t="s">
        <v>6</v>
      </c>
      <c r="C4855" s="4" t="str">
        <f t="shared" si="176"/>
        <v>-</v>
      </c>
      <c r="D4855" s="4" t="str">
        <f>"1001506X"</f>
        <v>1001506X</v>
      </c>
      <c r="E4855" s="4" t="str">
        <f t="shared" si="177"/>
        <v>-</v>
      </c>
      <c r="F4855" s="4" t="s">
        <v>1121</v>
      </c>
    </row>
    <row r="4856" spans="1:6" x14ac:dyDescent="0.25">
      <c r="A4856" s="4" t="str">
        <f>"Xi'an Dianzi Keji Daxue Xuebao/Journal of Xidian University"</f>
        <v>Xi'an Dianzi Keji Daxue Xuebao/Journal of Xidian University</v>
      </c>
      <c r="B4856" s="4" t="s">
        <v>6</v>
      </c>
      <c r="C4856" s="4" t="str">
        <f t="shared" si="176"/>
        <v>-</v>
      </c>
      <c r="D4856" s="4" t="str">
        <f>"10012400"</f>
        <v>10012400</v>
      </c>
      <c r="E4856" s="4" t="str">
        <f t="shared" si="177"/>
        <v>-</v>
      </c>
      <c r="F4856" s="4" t="s">
        <v>37</v>
      </c>
    </row>
    <row r="4857" spans="1:6" x14ac:dyDescent="0.25">
      <c r="A4857" s="4" t="str">
        <f>"Xibei Gongye Daxue Xuebao/Journal of Northwestern Polytechnical University"</f>
        <v>Xibei Gongye Daxue Xuebao/Journal of Northwestern Polytechnical University</v>
      </c>
      <c r="B4857" s="4" t="s">
        <v>6</v>
      </c>
      <c r="C4857" s="4" t="str">
        <f t="shared" si="176"/>
        <v>-</v>
      </c>
      <c r="D4857" s="4" t="str">
        <f>"10002758"</f>
        <v>10002758</v>
      </c>
      <c r="E4857" s="4" t="str">
        <f t="shared" si="177"/>
        <v>-</v>
      </c>
      <c r="F4857" s="4" t="s">
        <v>1169</v>
      </c>
    </row>
    <row r="4858" spans="1:6" x14ac:dyDescent="0.25">
      <c r="A4858" s="4" t="str">
        <f>"Xinan Jiaotong Daxue Xuebao/Journal of Southwest Jiaotong University"</f>
        <v>Xinan Jiaotong Daxue Xuebao/Journal of Southwest Jiaotong University</v>
      </c>
      <c r="B4858" s="4" t="s">
        <v>6</v>
      </c>
      <c r="C4858" s="4" t="str">
        <f t="shared" si="176"/>
        <v>-</v>
      </c>
      <c r="D4858" s="4" t="str">
        <f>"02582724"</f>
        <v>02582724</v>
      </c>
      <c r="E4858" s="4" t="str">
        <f t="shared" si="177"/>
        <v>-</v>
      </c>
      <c r="F4858" s="4" t="s">
        <v>37</v>
      </c>
    </row>
    <row r="4859" spans="1:6" x14ac:dyDescent="0.25">
      <c r="A4859" s="4" t="str">
        <f>"Xinxing Tan Cailiao/New Carbon Materials"</f>
        <v>Xinxing Tan Cailiao/New Carbon Materials</v>
      </c>
      <c r="B4859" s="4" t="s">
        <v>6</v>
      </c>
      <c r="C4859" s="4" t="str">
        <f t="shared" si="176"/>
        <v>-</v>
      </c>
      <c r="D4859" s="4" t="str">
        <f>"10078827"</f>
        <v>10078827</v>
      </c>
      <c r="E4859" s="4" t="str">
        <f t="shared" si="177"/>
        <v>-</v>
      </c>
      <c r="F4859" s="4" t="s">
        <v>1170</v>
      </c>
    </row>
    <row r="4860" spans="1:6" x14ac:dyDescent="0.25">
      <c r="A4860" s="4" t="str">
        <f>"Xitong Gongcheng Lilun yu Shijian/System Engineering Theory and Practice"</f>
        <v>Xitong Gongcheng Lilun yu Shijian/System Engineering Theory and Practice</v>
      </c>
      <c r="B4860" s="4" t="s">
        <v>6</v>
      </c>
      <c r="C4860" s="4" t="str">
        <f t="shared" si="176"/>
        <v>-</v>
      </c>
      <c r="D4860" s="4" t="str">
        <f>"10006788"</f>
        <v>10006788</v>
      </c>
      <c r="E4860" s="4" t="str">
        <f t="shared" si="177"/>
        <v>-</v>
      </c>
      <c r="F4860" s="4" t="s">
        <v>1171</v>
      </c>
    </row>
    <row r="4861" spans="1:6" x14ac:dyDescent="0.25">
      <c r="A4861" s="4" t="str">
        <f>"Xiyou Jinshu Cailiao Yu Gongcheng/Rare Metal Materials and Engineering"</f>
        <v>Xiyou Jinshu Cailiao Yu Gongcheng/Rare Metal Materials and Engineering</v>
      </c>
      <c r="B4861" s="4" t="s">
        <v>6</v>
      </c>
      <c r="C4861" s="4" t="str">
        <f t="shared" si="176"/>
        <v>-</v>
      </c>
      <c r="D4861" s="4" t="str">
        <f>"1002185X"</f>
        <v>1002185X</v>
      </c>
      <c r="E4861" s="4" t="str">
        <f t="shared" si="177"/>
        <v>-</v>
      </c>
      <c r="F4861" s="4" t="s">
        <v>1172</v>
      </c>
    </row>
    <row r="4862" spans="1:6" x14ac:dyDescent="0.25">
      <c r="A4862" s="4" t="str">
        <f>"Xiyou Jinshu/Chinese Journal of Rare Metals"</f>
        <v>Xiyou Jinshu/Chinese Journal of Rare Metals</v>
      </c>
      <c r="B4862" s="4" t="s">
        <v>6</v>
      </c>
      <c r="C4862" s="4" t="str">
        <f t="shared" si="176"/>
        <v>-</v>
      </c>
      <c r="D4862" s="4" t="str">
        <f>"02587076"</f>
        <v>02587076</v>
      </c>
      <c r="E4862" s="4" t="str">
        <f t="shared" si="177"/>
        <v>-</v>
      </c>
      <c r="F4862" s="4" t="s">
        <v>1173</v>
      </c>
    </row>
    <row r="4863" spans="1:6" x14ac:dyDescent="0.25">
      <c r="A4863" s="4" t="str">
        <f>"Yanshilixue Yu Gongcheng Xuebao/Chinese Journal of Rock Mechanics and Engineering"</f>
        <v>Yanshilixue Yu Gongcheng Xuebao/Chinese Journal of Rock Mechanics and Engineering</v>
      </c>
      <c r="B4863" s="4" t="s">
        <v>6</v>
      </c>
      <c r="C4863" s="4" t="str">
        <f t="shared" si="176"/>
        <v>-</v>
      </c>
      <c r="D4863" s="4" t="str">
        <f>"10006915"</f>
        <v>10006915</v>
      </c>
      <c r="E4863" s="4" t="str">
        <f t="shared" si="177"/>
        <v>-</v>
      </c>
      <c r="F4863" s="4" t="s">
        <v>1174</v>
      </c>
    </row>
    <row r="4864" spans="1:6" x14ac:dyDescent="0.25">
      <c r="A4864" s="4" t="str">
        <f>"Yantu Gongcheng Xuebao/Chinese Journal of Geotechnical Engineering"</f>
        <v>Yantu Gongcheng Xuebao/Chinese Journal of Geotechnical Engineering</v>
      </c>
      <c r="B4864" s="4" t="s">
        <v>6</v>
      </c>
      <c r="C4864" s="4" t="str">
        <f t="shared" si="176"/>
        <v>-</v>
      </c>
      <c r="D4864" s="4" t="str">
        <f>"10004548"</f>
        <v>10004548</v>
      </c>
      <c r="E4864" s="4" t="str">
        <f t="shared" si="177"/>
        <v>-</v>
      </c>
      <c r="F4864" s="4" t="s">
        <v>1175</v>
      </c>
    </row>
    <row r="4865" spans="1:6" x14ac:dyDescent="0.25">
      <c r="A4865" s="4" t="str">
        <f>"Yantu Lixue/Rock and Soil Mechanics"</f>
        <v>Yantu Lixue/Rock and Soil Mechanics</v>
      </c>
      <c r="B4865" s="4" t="s">
        <v>6</v>
      </c>
      <c r="C4865" s="4" t="str">
        <f t="shared" si="176"/>
        <v>-</v>
      </c>
      <c r="D4865" s="4" t="str">
        <f>"10007598"</f>
        <v>10007598</v>
      </c>
      <c r="E4865" s="4" t="str">
        <f t="shared" si="177"/>
        <v>-</v>
      </c>
      <c r="F4865" s="4" t="s">
        <v>1174</v>
      </c>
    </row>
    <row r="4866" spans="1:6" x14ac:dyDescent="0.25">
      <c r="A4866" s="4" t="str">
        <f>"Yi Qi Yi Biao Xue Bao/Chinese Journal of Scientific Instrument"</f>
        <v>Yi Qi Yi Biao Xue Bao/Chinese Journal of Scientific Instrument</v>
      </c>
      <c r="B4866" s="4" t="s">
        <v>6</v>
      </c>
      <c r="C4866" s="4" t="str">
        <f t="shared" ref="C4866:C4895" si="178">"-"</f>
        <v>-</v>
      </c>
      <c r="D4866" s="4" t="str">
        <f>"02543087"</f>
        <v>02543087</v>
      </c>
      <c r="E4866" s="4" t="str">
        <f t="shared" si="177"/>
        <v>-</v>
      </c>
      <c r="F4866" s="4" t="s">
        <v>37</v>
      </c>
    </row>
    <row r="4867" spans="1:6" x14ac:dyDescent="0.25">
      <c r="A4867" s="4" t="str">
        <f>"Yingyong Jichu yu Gongcheng Kexue Xuebao/Journal of Basic Science and Engineering"</f>
        <v>Yingyong Jichu yu Gongcheng Kexue Xuebao/Journal of Basic Science and Engineering</v>
      </c>
      <c r="B4867" s="4" t="s">
        <v>6</v>
      </c>
      <c r="C4867" s="4" t="str">
        <f t="shared" si="178"/>
        <v>-</v>
      </c>
      <c r="D4867" s="4" t="str">
        <f>"10050930"</f>
        <v>10050930</v>
      </c>
      <c r="E4867" s="4" t="str">
        <f t="shared" si="177"/>
        <v>-</v>
      </c>
      <c r="F4867" s="4" t="s">
        <v>1176</v>
      </c>
    </row>
    <row r="4868" spans="1:6" x14ac:dyDescent="0.25">
      <c r="A4868" s="4" t="str">
        <f>"Yosetsu Gakkai Ronbunshu/Quarterly Journal of the Japan Welding Society"</f>
        <v>Yosetsu Gakkai Ronbunshu/Quarterly Journal of the Japan Welding Society</v>
      </c>
      <c r="B4868" s="4" t="s">
        <v>6</v>
      </c>
      <c r="C4868" s="4" t="str">
        <f t="shared" si="178"/>
        <v>-</v>
      </c>
      <c r="D4868" s="4" t="str">
        <f>"02884771"</f>
        <v>02884771</v>
      </c>
      <c r="E4868" s="4" t="str">
        <f t="shared" si="177"/>
        <v>-</v>
      </c>
      <c r="F4868" s="4" t="s">
        <v>1177</v>
      </c>
    </row>
    <row r="4869" spans="1:6" x14ac:dyDescent="0.25">
      <c r="A4869" s="4" t="str">
        <f>"Yosetsu Gakkai Shi/Journal of the Japan Welding Society"</f>
        <v>Yosetsu Gakkai Shi/Journal of the Japan Welding Society</v>
      </c>
      <c r="B4869" s="4" t="s">
        <v>6</v>
      </c>
      <c r="C4869" s="4" t="str">
        <f t="shared" si="178"/>
        <v>-</v>
      </c>
      <c r="D4869" s="4" t="str">
        <f>"00214787"</f>
        <v>00214787</v>
      </c>
      <c r="E4869" s="4" t="str">
        <f t="shared" si="177"/>
        <v>-</v>
      </c>
      <c r="F4869" s="4" t="s">
        <v>1177</v>
      </c>
    </row>
    <row r="4870" spans="1:6" x14ac:dyDescent="0.25">
      <c r="A4870" s="4" t="str">
        <f>"Yuanzineng Kexue Jishu/Atomic Energy Science and Technology"</f>
        <v>Yuanzineng Kexue Jishu/Atomic Energy Science and Technology</v>
      </c>
      <c r="B4870" s="4" t="s">
        <v>6</v>
      </c>
      <c r="C4870" s="4" t="str">
        <f t="shared" si="178"/>
        <v>-</v>
      </c>
      <c r="D4870" s="4" t="str">
        <f>"10006931"</f>
        <v>10006931</v>
      </c>
      <c r="E4870" s="4" t="str">
        <f t="shared" si="177"/>
        <v>-</v>
      </c>
      <c r="F4870" s="4" t="s">
        <v>1178</v>
      </c>
    </row>
    <row r="4871" spans="1:6" x14ac:dyDescent="0.25">
      <c r="A4871" s="4" t="str">
        <f>"Yuhang Xuebao/Journal of Astronautics"</f>
        <v>Yuhang Xuebao/Journal of Astronautics</v>
      </c>
      <c r="B4871" s="4" t="s">
        <v>6</v>
      </c>
      <c r="C4871" s="4" t="str">
        <f t="shared" si="178"/>
        <v>-</v>
      </c>
      <c r="D4871" s="4" t="str">
        <f>"10001328"</f>
        <v>10001328</v>
      </c>
      <c r="E4871" s="4" t="str">
        <f t="shared" si="177"/>
        <v>-</v>
      </c>
      <c r="F4871" s="4" t="s">
        <v>1179</v>
      </c>
    </row>
    <row r="4872" spans="1:6" x14ac:dyDescent="0.25">
      <c r="A4872" s="4" t="str">
        <f>"Yuki Gosei Kagaku Kyokaishi/Journal of Synthetic Organic Chemistry"</f>
        <v>Yuki Gosei Kagaku Kyokaishi/Journal of Synthetic Organic Chemistry</v>
      </c>
      <c r="B4872" s="4" t="s">
        <v>6</v>
      </c>
      <c r="C4872" s="4" t="str">
        <f t="shared" si="178"/>
        <v>-</v>
      </c>
      <c r="D4872" s="4" t="str">
        <f>"00379980"</f>
        <v>00379980</v>
      </c>
      <c r="E4872" s="4" t="str">
        <f t="shared" si="177"/>
        <v>-</v>
      </c>
      <c r="F4872" s="4" t="s">
        <v>1180</v>
      </c>
    </row>
    <row r="4873" spans="1:6" x14ac:dyDescent="0.25">
      <c r="A4873" s="4" t="str">
        <f>"Zairyo to Kankyo/ Corrosion Engineering"</f>
        <v>Zairyo to Kankyo/ Corrosion Engineering</v>
      </c>
      <c r="B4873" s="4" t="s">
        <v>6</v>
      </c>
      <c r="C4873" s="4" t="str">
        <f t="shared" si="178"/>
        <v>-</v>
      </c>
      <c r="D4873" s="4" t="str">
        <f>"09170480"</f>
        <v>09170480</v>
      </c>
      <c r="E4873" s="4" t="str">
        <f>"18819664"</f>
        <v>18819664</v>
      </c>
      <c r="F4873" s="4" t="s">
        <v>1181</v>
      </c>
    </row>
    <row r="4874" spans="1:6" x14ac:dyDescent="0.25">
      <c r="A4874" s="4" t="str">
        <f>"Zairyo/Journal of the Society of Materials Science, Japan"</f>
        <v>Zairyo/Journal of the Society of Materials Science, Japan</v>
      </c>
      <c r="B4874" s="4" t="s">
        <v>6</v>
      </c>
      <c r="C4874" s="4" t="str">
        <f t="shared" si="178"/>
        <v>-</v>
      </c>
      <c r="D4874" s="4" t="str">
        <f>"05145163"</f>
        <v>05145163</v>
      </c>
      <c r="E4874" s="4" t="str">
        <f>"18807488"</f>
        <v>18807488</v>
      </c>
      <c r="F4874" s="4" t="s">
        <v>1182</v>
      </c>
    </row>
    <row r="4875" spans="1:6" x14ac:dyDescent="0.25">
      <c r="A4875" s="4" t="str">
        <f>"Zeitschrift fur Angewandte Mathematik und Physik"</f>
        <v>Zeitschrift fur Angewandte Mathematik und Physik</v>
      </c>
      <c r="B4875" s="4" t="s">
        <v>6</v>
      </c>
      <c r="C4875" s="4" t="str">
        <f t="shared" si="178"/>
        <v>-</v>
      </c>
      <c r="D4875" s="4" t="str">
        <f>"00442275"</f>
        <v>00442275</v>
      </c>
      <c r="E4875" s="4" t="str">
        <f t="shared" ref="E4875:E4895" si="179">"-"</f>
        <v>-</v>
      </c>
      <c r="F4875" s="4" t="s">
        <v>730</v>
      </c>
    </row>
    <row r="4876" spans="1:6" x14ac:dyDescent="0.25">
      <c r="A4876" s="4" t="str">
        <f>"Zeitschrift Kunststofftechnik/Journal of Plastics Technology"</f>
        <v>Zeitschrift Kunststofftechnik/Journal of Plastics Technology</v>
      </c>
      <c r="B4876" s="4" t="s">
        <v>6</v>
      </c>
      <c r="C4876" s="4" t="str">
        <f t="shared" si="178"/>
        <v>-</v>
      </c>
      <c r="D4876" s="4" t="str">
        <f>"18642217"</f>
        <v>18642217</v>
      </c>
      <c r="E4876" s="4" t="str">
        <f t="shared" si="179"/>
        <v>-</v>
      </c>
      <c r="F4876" s="4" t="s">
        <v>490</v>
      </c>
    </row>
    <row r="4877" spans="1:6" x14ac:dyDescent="0.25">
      <c r="A4877" s="4" t="str">
        <f>"ZEVrail"</f>
        <v>ZEVrail</v>
      </c>
      <c r="B4877" s="4" t="s">
        <v>22</v>
      </c>
      <c r="C4877" s="4" t="str">
        <f t="shared" si="178"/>
        <v>-</v>
      </c>
      <c r="D4877" s="4" t="str">
        <f>"16188330"</f>
        <v>16188330</v>
      </c>
      <c r="E4877" s="4" t="str">
        <f t="shared" si="179"/>
        <v>-</v>
      </c>
      <c r="F4877" s="4" t="s">
        <v>1183</v>
      </c>
    </row>
    <row r="4878" spans="1:6" x14ac:dyDescent="0.25">
      <c r="A4878" s="4" t="str">
        <f>"Zhejiang Daxue Xuebao (Gongxue Ban)/Journal of Zhejiang University (Engineering Science)"</f>
        <v>Zhejiang Daxue Xuebao (Gongxue Ban)/Journal of Zhejiang University (Engineering Science)</v>
      </c>
      <c r="B4878" s="4" t="s">
        <v>6</v>
      </c>
      <c r="C4878" s="4" t="str">
        <f t="shared" si="178"/>
        <v>-</v>
      </c>
      <c r="D4878" s="4" t="str">
        <f>"1008973X"</f>
        <v>1008973X</v>
      </c>
      <c r="E4878" s="4" t="str">
        <f t="shared" si="179"/>
        <v>-</v>
      </c>
      <c r="F4878" s="4" t="s">
        <v>441</v>
      </c>
    </row>
    <row r="4879" spans="1:6" x14ac:dyDescent="0.25">
      <c r="A4879" s="4" t="str">
        <f>"Zhendong Ceshi Yu Zhenduan/Journal of Vibration, Measurement and Diagnosis"</f>
        <v>Zhendong Ceshi Yu Zhenduan/Journal of Vibration, Measurement and Diagnosis</v>
      </c>
      <c r="B4879" s="4" t="s">
        <v>6</v>
      </c>
      <c r="C4879" s="4" t="str">
        <f t="shared" si="178"/>
        <v>-</v>
      </c>
      <c r="D4879" s="4" t="str">
        <f>"10046801"</f>
        <v>10046801</v>
      </c>
      <c r="E4879" s="4" t="str">
        <f t="shared" si="179"/>
        <v>-</v>
      </c>
      <c r="F4879" s="4" t="s">
        <v>1129</v>
      </c>
    </row>
    <row r="4880" spans="1:6" x14ac:dyDescent="0.25">
      <c r="A4880" s="4" t="str">
        <f>"Zhendong Gongcheng Xuebao/Journal of Vibration Engineering"</f>
        <v>Zhendong Gongcheng Xuebao/Journal of Vibration Engineering</v>
      </c>
      <c r="B4880" s="4" t="s">
        <v>6</v>
      </c>
      <c r="C4880" s="4" t="str">
        <f t="shared" si="178"/>
        <v>-</v>
      </c>
      <c r="D4880" s="4" t="str">
        <f>"10044523"</f>
        <v>10044523</v>
      </c>
      <c r="E4880" s="4" t="str">
        <f t="shared" si="179"/>
        <v>-</v>
      </c>
      <c r="F4880" s="4" t="s">
        <v>1129</v>
      </c>
    </row>
    <row r="4881" spans="1:6" x14ac:dyDescent="0.25">
      <c r="A4881" s="4" t="str">
        <f>"Zhendong yu Chongji/Journal of Vibration and Shock"</f>
        <v>Zhendong yu Chongji/Journal of Vibration and Shock</v>
      </c>
      <c r="B4881" s="4" t="s">
        <v>6</v>
      </c>
      <c r="C4881" s="4" t="str">
        <f t="shared" si="178"/>
        <v>-</v>
      </c>
      <c r="D4881" s="4" t="str">
        <f>"10003835"</f>
        <v>10003835</v>
      </c>
      <c r="E4881" s="4" t="str">
        <f t="shared" si="179"/>
        <v>-</v>
      </c>
      <c r="F4881" s="4" t="s">
        <v>1184</v>
      </c>
    </row>
    <row r="4882" spans="1:6" x14ac:dyDescent="0.25">
      <c r="A4882" s="4" t="str">
        <f>"Zhongguo Dianji Gongcheng Xuebao/Proceedings of the Chinese Society of Electrical Engineering"</f>
        <v>Zhongguo Dianji Gongcheng Xuebao/Proceedings of the Chinese Society of Electrical Engineering</v>
      </c>
      <c r="B4882" s="4" t="s">
        <v>6</v>
      </c>
      <c r="C4882" s="4" t="str">
        <f t="shared" si="178"/>
        <v>-</v>
      </c>
      <c r="D4882" s="4" t="str">
        <f>"02588013"</f>
        <v>02588013</v>
      </c>
      <c r="E4882" s="4" t="str">
        <f t="shared" si="179"/>
        <v>-</v>
      </c>
      <c r="F4882" s="4" t="s">
        <v>1185</v>
      </c>
    </row>
    <row r="4883" spans="1:6" x14ac:dyDescent="0.25">
      <c r="A4883" s="4" t="str">
        <f>"Zhongguo Gonglu Xuebao/China Journal of Highway and Transport"</f>
        <v>Zhongguo Gonglu Xuebao/China Journal of Highway and Transport</v>
      </c>
      <c r="B4883" s="4" t="s">
        <v>6</v>
      </c>
      <c r="C4883" s="4" t="str">
        <f t="shared" si="178"/>
        <v>-</v>
      </c>
      <c r="D4883" s="4" t="str">
        <f>"10017372"</f>
        <v>10017372</v>
      </c>
      <c r="E4883" s="4" t="str">
        <f t="shared" si="179"/>
        <v>-</v>
      </c>
      <c r="F4883" s="4" t="s">
        <v>1186</v>
      </c>
    </row>
    <row r="4884" spans="1:6" x14ac:dyDescent="0.25">
      <c r="A4884" s="4" t="str">
        <f>"Zhongguo Guanxing Jishu Xuebao/Journal of Chinese Inertial Technology"</f>
        <v>Zhongguo Guanxing Jishu Xuebao/Journal of Chinese Inertial Technology</v>
      </c>
      <c r="B4884" s="4" t="s">
        <v>6</v>
      </c>
      <c r="C4884" s="4" t="str">
        <f t="shared" si="178"/>
        <v>-</v>
      </c>
      <c r="D4884" s="4" t="str">
        <f>"10056734"</f>
        <v>10056734</v>
      </c>
      <c r="E4884" s="4" t="str">
        <f t="shared" si="179"/>
        <v>-</v>
      </c>
      <c r="F4884" s="4" t="s">
        <v>1187</v>
      </c>
    </row>
    <row r="4885" spans="1:6" x14ac:dyDescent="0.25">
      <c r="A4885" s="4" t="str">
        <f>"Zhongguo Huanjing Kexue/China Environmental Science"</f>
        <v>Zhongguo Huanjing Kexue/China Environmental Science</v>
      </c>
      <c r="B4885" s="4" t="s">
        <v>6</v>
      </c>
      <c r="C4885" s="4" t="str">
        <f t="shared" si="178"/>
        <v>-</v>
      </c>
      <c r="D4885" s="4" t="str">
        <f>"10006923"</f>
        <v>10006923</v>
      </c>
      <c r="E4885" s="4" t="str">
        <f t="shared" si="179"/>
        <v>-</v>
      </c>
      <c r="F4885" s="4" t="s">
        <v>1188</v>
      </c>
    </row>
    <row r="4886" spans="1:6" x14ac:dyDescent="0.25">
      <c r="A4886" s="4" t="str">
        <f>"Zhongguo Jiguang/Chinese Journal of Lasers"</f>
        <v>Zhongguo Jiguang/Chinese Journal of Lasers</v>
      </c>
      <c r="B4886" s="4" t="s">
        <v>6</v>
      </c>
      <c r="C4886" s="4" t="str">
        <f t="shared" si="178"/>
        <v>-</v>
      </c>
      <c r="D4886" s="4" t="str">
        <f>"02587025"</f>
        <v>02587025</v>
      </c>
      <c r="E4886" s="4" t="str">
        <f t="shared" si="179"/>
        <v>-</v>
      </c>
      <c r="F4886" s="4" t="s">
        <v>37</v>
      </c>
    </row>
    <row r="4887" spans="1:6" x14ac:dyDescent="0.25">
      <c r="A4887" s="4" t="str">
        <f>"Zhongguo Kuangye Daxue Xuebao/Journal of China University of Mining and Technology"</f>
        <v>Zhongguo Kuangye Daxue Xuebao/Journal of China University of Mining and Technology</v>
      </c>
      <c r="B4887" s="4" t="s">
        <v>6</v>
      </c>
      <c r="C4887" s="4" t="str">
        <f t="shared" si="178"/>
        <v>-</v>
      </c>
      <c r="D4887" s="4" t="str">
        <f>"10001964"</f>
        <v>10001964</v>
      </c>
      <c r="E4887" s="4" t="str">
        <f t="shared" si="179"/>
        <v>-</v>
      </c>
      <c r="F4887" s="4" t="s">
        <v>235</v>
      </c>
    </row>
    <row r="4888" spans="1:6" ht="30" x14ac:dyDescent="0.25">
      <c r="A4888" s="4" t="str">
        <f>"Zhongguo Shiyou Daxue Xuebao (Ziran Kexue Ban)/Journal of China University of Petroleum (Edition of Natural Science)"</f>
        <v>Zhongguo Shiyou Daxue Xuebao (Ziran Kexue Ban)/Journal of China University of Petroleum (Edition of Natural Science)</v>
      </c>
      <c r="B4888" s="4" t="s">
        <v>6</v>
      </c>
      <c r="C4888" s="4" t="str">
        <f t="shared" si="178"/>
        <v>-</v>
      </c>
      <c r="D4888" s="4" t="str">
        <f>"16735005"</f>
        <v>16735005</v>
      </c>
      <c r="E4888" s="4" t="str">
        <f t="shared" si="179"/>
        <v>-</v>
      </c>
      <c r="F4888" s="4" t="s">
        <v>1189</v>
      </c>
    </row>
    <row r="4889" spans="1:6" x14ac:dyDescent="0.25">
      <c r="A4889" s="4" t="str">
        <f>"Zhongguo Tiedao Kexue/China Railway Science"</f>
        <v>Zhongguo Tiedao Kexue/China Railway Science</v>
      </c>
      <c r="B4889" s="4" t="s">
        <v>6</v>
      </c>
      <c r="C4889" s="4" t="str">
        <f t="shared" si="178"/>
        <v>-</v>
      </c>
      <c r="D4889" s="4" t="str">
        <f>"10014632"</f>
        <v>10014632</v>
      </c>
      <c r="E4889" s="4" t="str">
        <f t="shared" si="179"/>
        <v>-</v>
      </c>
      <c r="F4889" s="4" t="s">
        <v>1190</v>
      </c>
    </row>
    <row r="4890" spans="1:6" x14ac:dyDescent="0.25">
      <c r="A4890" s="4" t="str">
        <f>"Zhongguo Youse Jinshu Xuebao/Chinese Journal of Nonferrous Metals"</f>
        <v>Zhongguo Youse Jinshu Xuebao/Chinese Journal of Nonferrous Metals</v>
      </c>
      <c r="B4890" s="4" t="s">
        <v>6</v>
      </c>
      <c r="C4890" s="4" t="str">
        <f t="shared" si="178"/>
        <v>-</v>
      </c>
      <c r="D4890" s="4" t="str">
        <f>"10040609"</f>
        <v>10040609</v>
      </c>
      <c r="E4890" s="4" t="str">
        <f t="shared" si="179"/>
        <v>-</v>
      </c>
      <c r="F4890" s="4" t="s">
        <v>672</v>
      </c>
    </row>
    <row r="4891" spans="1:6" x14ac:dyDescent="0.25">
      <c r="A4891" s="4" t="str">
        <f>"Zhongnan Daxue Xuebao (Ziran Kexue Ban)/Journal of Central South University (Science and Technology)"</f>
        <v>Zhongnan Daxue Xuebao (Ziran Kexue Ban)/Journal of Central South University (Science and Technology)</v>
      </c>
      <c r="B4891" s="4" t="s">
        <v>6</v>
      </c>
      <c r="C4891" s="4" t="str">
        <f t="shared" si="178"/>
        <v>-</v>
      </c>
      <c r="D4891" s="4" t="str">
        <f>"16727207"</f>
        <v>16727207</v>
      </c>
      <c r="E4891" s="4" t="str">
        <f t="shared" si="179"/>
        <v>-</v>
      </c>
      <c r="F4891" s="4" t="s">
        <v>672</v>
      </c>
    </row>
    <row r="4892" spans="1:6" x14ac:dyDescent="0.25">
      <c r="A4892" s="4" t="str">
        <f>"Zidonghua Xuebao/Acta Automatica Sinica"</f>
        <v>Zidonghua Xuebao/Acta Automatica Sinica</v>
      </c>
      <c r="B4892" s="4" t="s">
        <v>6</v>
      </c>
      <c r="C4892" s="4" t="str">
        <f t="shared" si="178"/>
        <v>-</v>
      </c>
      <c r="D4892" s="4" t="str">
        <f>"02544156"</f>
        <v>02544156</v>
      </c>
      <c r="E4892" s="4" t="str">
        <f t="shared" si="179"/>
        <v>-</v>
      </c>
      <c r="F4892" s="4" t="s">
        <v>37</v>
      </c>
    </row>
    <row r="4893" spans="1:6" x14ac:dyDescent="0.25">
      <c r="A4893" s="4" t="str">
        <f>"ZKG International"</f>
        <v>ZKG International</v>
      </c>
      <c r="B4893" s="4" t="s">
        <v>22</v>
      </c>
      <c r="C4893" s="4" t="str">
        <f t="shared" si="178"/>
        <v>-</v>
      </c>
      <c r="D4893" s="4" t="str">
        <f>"09490205"</f>
        <v>09490205</v>
      </c>
      <c r="E4893" s="4" t="str">
        <f t="shared" si="179"/>
        <v>-</v>
      </c>
      <c r="F4893" s="4" t="s">
        <v>165</v>
      </c>
    </row>
    <row r="4894" spans="1:6" x14ac:dyDescent="0.25">
      <c r="A4894" s="4" t="str">
        <f>"Zpravy Lesnickeho Vyzkumu"</f>
        <v>Zpravy Lesnickeho Vyzkumu</v>
      </c>
      <c r="B4894" s="4" t="s">
        <v>6</v>
      </c>
      <c r="C4894" s="4" t="str">
        <f t="shared" si="178"/>
        <v>-</v>
      </c>
      <c r="D4894" s="4" t="str">
        <f>"03229688"</f>
        <v>03229688</v>
      </c>
      <c r="E4894" s="4" t="str">
        <f t="shared" si="179"/>
        <v>-</v>
      </c>
      <c r="F4894" s="4" t="s">
        <v>1191</v>
      </c>
    </row>
    <row r="4895" spans="1:6" x14ac:dyDescent="0.25">
      <c r="A4895" s="4" t="str">
        <f>"ZWF Zeitschrift fuer Wirtschaftlichen Fabrikbetrieb"</f>
        <v>ZWF Zeitschrift fuer Wirtschaftlichen Fabrikbetrieb</v>
      </c>
      <c r="B4895" s="4" t="s">
        <v>6</v>
      </c>
      <c r="C4895" s="4" t="str">
        <f t="shared" si="178"/>
        <v>-</v>
      </c>
      <c r="D4895" s="4" t="str">
        <f>"09470085"</f>
        <v>09470085</v>
      </c>
      <c r="E4895" s="4" t="str">
        <f t="shared" si="179"/>
        <v>-</v>
      </c>
      <c r="F4895" s="4" t="s">
        <v>490</v>
      </c>
    </row>
  </sheetData>
  <sheetProtection password="E5F6" sheet="1" objects="1" scenarios="1" sort="0" autoFilter="0"/>
  <autoFilter ref="A2:F489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105"/>
  <sheetViews>
    <sheetView workbookViewId="0"/>
  </sheetViews>
  <sheetFormatPr defaultRowHeight="15" x14ac:dyDescent="0.25"/>
  <cols>
    <col min="1" max="1" width="126.140625" style="8" customWidth="1"/>
    <col min="2" max="2" width="20.140625" style="8" customWidth="1"/>
    <col min="3" max="3" width="80.7109375" style="8" customWidth="1"/>
    <col min="4" max="16384" width="9.140625" style="2"/>
  </cols>
  <sheetData>
    <row r="1" spans="1:3" ht="33.75" customHeight="1" x14ac:dyDescent="0.25">
      <c r="A1" s="1" t="s">
        <v>0</v>
      </c>
      <c r="B1" s="9"/>
      <c r="C1" s="9"/>
    </row>
    <row r="2" spans="1:3" s="10" customFormat="1" ht="30" customHeight="1" x14ac:dyDescent="0.25">
      <c r="A2" s="3" t="s">
        <v>1</v>
      </c>
      <c r="B2" s="3" t="s">
        <v>2</v>
      </c>
      <c r="C2" s="3" t="s">
        <v>5</v>
      </c>
    </row>
    <row r="3" spans="1:3" x14ac:dyDescent="0.25">
      <c r="A3" s="11" t="str">
        <f>"100th Annual Conference and Exhibition of the Air and Waste Management Association 2007, ACE 2007"</f>
        <v>100th Annual Conference and Exhibition of the Air and Waste Management Association 2007, ACE 2007</v>
      </c>
      <c r="B3" s="11" t="str">
        <f>"-"</f>
        <v>-</v>
      </c>
      <c r="C3" s="11" t="s">
        <v>10</v>
      </c>
    </row>
    <row r="4" spans="1:3" x14ac:dyDescent="0.25">
      <c r="A4" s="8" t="str">
        <f>"10th ACIS Conference on Software Engineering, Artificial Intelligence, Networking and Parallel/Distributed Computing, SNPD 2009, In conjunction with IWEA 2009 and WEACR 2009"</f>
        <v>10th ACIS Conference on Software Engineering, Artificial Intelligence, Networking and Parallel/Distributed Computing, SNPD 2009, In conjunction with IWEA 2009 and WEACR 2009</v>
      </c>
      <c r="B4" s="8" t="str">
        <f>"9780769536422"</f>
        <v>9780769536422</v>
      </c>
      <c r="C4" s="8" t="s">
        <v>9</v>
      </c>
    </row>
    <row r="5" spans="1:3" x14ac:dyDescent="0.25">
      <c r="A5" s="8" t="str">
        <f>"10th ACM/IEEE International Conference on Formal Methods and Models for Codesign, MEMOCODE 2012"</f>
        <v>10th ACM/IEEE International Conference on Formal Methods and Models for Codesign, MEMOCODE 2012</v>
      </c>
      <c r="B5" s="8" t="str">
        <f>"9781467313124"</f>
        <v>9781467313124</v>
      </c>
      <c r="C5" s="8" t="s">
        <v>9</v>
      </c>
    </row>
    <row r="6" spans="1:3" x14ac:dyDescent="0.25">
      <c r="A6" s="8" t="str">
        <f>"10th AIAA Aviation Technology, Integration and Operations Conference 2010, ATIO 2010"</f>
        <v>10th AIAA Aviation Technology, Integration and Operations Conference 2010, ATIO 2010</v>
      </c>
      <c r="B6" s="8" t="str">
        <f>"9781617825132"</f>
        <v>9781617825132</v>
      </c>
      <c r="C6" s="8" t="s">
        <v>104</v>
      </c>
    </row>
    <row r="7" spans="1:3" x14ac:dyDescent="0.25">
      <c r="A7" s="8" t="str">
        <f>"10th AIAA Multidisciplinary Design Optimization Specialist Conference"</f>
        <v>10th AIAA Multidisciplinary Design Optimization Specialist Conference</v>
      </c>
      <c r="B7" s="8" t="str">
        <f>"-"</f>
        <v>-</v>
      </c>
      <c r="C7" s="8" t="s">
        <v>104</v>
      </c>
    </row>
    <row r="8" spans="1:3" x14ac:dyDescent="0.25">
      <c r="A8" s="8" t="str">
        <f>"10th AIAA/ASME Joint Thermophysics and Heat Transfer Conference"</f>
        <v>10th AIAA/ASME Joint Thermophysics and Heat Transfer Conference</v>
      </c>
      <c r="B8" s="8" t="str">
        <f>"9781600867453"</f>
        <v>9781600867453</v>
      </c>
      <c r="C8" s="8" t="s">
        <v>104</v>
      </c>
    </row>
    <row r="9" spans="1:3" x14ac:dyDescent="0.25">
      <c r="A9" s="8" t="str">
        <f>"10th AIAA/NAL-NASDA-ISAS International Space Planes and Hypersonic Systems and Technologies Conference"</f>
        <v>10th AIAA/NAL-NASDA-ISAS International Space Planes and Hypersonic Systems and Technologies Conference</v>
      </c>
      <c r="B9" s="8" t="str">
        <f>"-"</f>
        <v>-</v>
      </c>
      <c r="C9" s="8" t="s">
        <v>104</v>
      </c>
    </row>
    <row r="10" spans="1:3" x14ac:dyDescent="0.25">
      <c r="A10" s="8" t="str">
        <f>"10th Americas Conference on Wind Engineering, ACWE 2005"</f>
        <v>10th Americas Conference on Wind Engineering, ACWE 2005</v>
      </c>
      <c r="B10" s="8" t="str">
        <f>"-"</f>
        <v>-</v>
      </c>
      <c r="C10" s="8" t="s">
        <v>1192</v>
      </c>
    </row>
    <row r="11" spans="1:3" x14ac:dyDescent="0.25">
      <c r="A11" s="8" t="str">
        <f>"10th Annual Applied Ergonomics Conference: Celebrating the Past - Shaping the Future"</f>
        <v>10th Annual Applied Ergonomics Conference: Celebrating the Past - Shaping the Future</v>
      </c>
      <c r="B11" s="8" t="str">
        <f>"-"</f>
        <v>-</v>
      </c>
      <c r="C11" s="8" t="s">
        <v>530</v>
      </c>
    </row>
    <row r="12" spans="1:3" x14ac:dyDescent="0.25">
      <c r="A12" s="8" t="str">
        <f>"10th Annual International Energy Conversion Engineering Conference, IECEC 2012"</f>
        <v>10th Annual International Energy Conversion Engineering Conference, IECEC 2012</v>
      </c>
      <c r="B12" s="8" t="str">
        <f>"9781624101908"</f>
        <v>9781624101908</v>
      </c>
      <c r="C12" s="8" t="s">
        <v>104</v>
      </c>
    </row>
    <row r="13" spans="1:3" x14ac:dyDescent="0.25">
      <c r="A13" s="8" t="str">
        <f>"10th Australian Conference for Knowledge Management and Intelligent Decision Support 2007: Theory Wedded to Practice, ACKMIDS'07"</f>
        <v>10th Australian Conference for Knowledge Management and Intelligent Decision Support 2007: Theory Wedded to Practice, ACKMIDS'07</v>
      </c>
      <c r="B13" s="8" t="str">
        <f>"-"</f>
        <v>-</v>
      </c>
      <c r="C13" s="8" t="s">
        <v>1193</v>
      </c>
    </row>
    <row r="14" spans="1:3" x14ac:dyDescent="0.25">
      <c r="A14" s="8" t="str">
        <f>"10th Canadian Workshop on Information Theory, CWIT 2007"</f>
        <v>10th Canadian Workshop on Information Theory, CWIT 2007</v>
      </c>
      <c r="B14" s="8" t="str">
        <f>"9781424407699"</f>
        <v>9781424407699</v>
      </c>
      <c r="C14" s="8" t="s">
        <v>9</v>
      </c>
    </row>
    <row r="15" spans="1:3" x14ac:dyDescent="0.25">
      <c r="A15" s="8" t="str">
        <f>"10th Cologne-Twente Workshop on Graphs and Combinatorial Optimization, CTW 2011 - Proceedings of the Conference"</f>
        <v>10th Cologne-Twente Workshop on Graphs and Combinatorial Optimization, CTW 2011 - Proceedings of the Conference</v>
      </c>
      <c r="B15" s="8" t="str">
        <f>"-"</f>
        <v>-</v>
      </c>
      <c r="C15" s="8" t="s">
        <v>1194</v>
      </c>
    </row>
    <row r="16" spans="1:3" x14ac:dyDescent="0.25">
      <c r="A16" s="8" t="str">
        <f>"10th Electronics Packaging Technology Conference, EPTC 2008"</f>
        <v>10th Electronics Packaging Technology Conference, EPTC 2008</v>
      </c>
      <c r="B16" s="8" t="str">
        <f>"9781424421183"</f>
        <v>9781424421183</v>
      </c>
      <c r="C16" s="8" t="s">
        <v>9</v>
      </c>
    </row>
    <row r="17" spans="1:3" x14ac:dyDescent="0.25">
      <c r="A17" s="8" t="str">
        <f>"10th European Conference on Information Warfare and Security 2011, ECIW 2011"</f>
        <v>10th European Conference on Information Warfare and Security 2011, ECIW 2011</v>
      </c>
      <c r="B17" s="8" t="str">
        <f>"9781622765362"</f>
        <v>9781622765362</v>
      </c>
      <c r="C17" s="8" t="s">
        <v>973</v>
      </c>
    </row>
    <row r="18" spans="1:3" x14ac:dyDescent="0.25">
      <c r="A18" s="8" t="str">
        <f>"10th European Conference on Pattern Languages of Programs, EuroPLoP 2005 - Preliminary Conference Proceedings"</f>
        <v>10th European Conference on Pattern Languages of Programs, EuroPLoP 2005 - Preliminary Conference Proceedings</v>
      </c>
      <c r="B18" s="8" t="str">
        <f>"9783879408054"</f>
        <v>9783879408054</v>
      </c>
      <c r="C18" s="8" t="s">
        <v>1195</v>
      </c>
    </row>
    <row r="19" spans="1:3" x14ac:dyDescent="0.25">
      <c r="A19" s="8" t="str">
        <f>"10th European Conference on Turbomachinery Fluid Dynamics and Thermodynamics, ETC 2013"</f>
        <v>10th European Conference on Turbomachinery Fluid Dynamics and Thermodynamics, ETC 2013</v>
      </c>
      <c r="B19" s="8" t="str">
        <f>"-"</f>
        <v>-</v>
      </c>
      <c r="C19" s="8" t="s">
        <v>1196</v>
      </c>
    </row>
    <row r="20" spans="1:3" x14ac:dyDescent="0.25">
      <c r="A20" s="8" t="str">
        <f>"10th FPGAworld Conference - Academic Proceedings 2013, FPGAworld 2013"</f>
        <v>10th FPGAworld Conference - Academic Proceedings 2013, FPGAworld 2013</v>
      </c>
      <c r="B20" s="8" t="str">
        <f>"9781450324960"</f>
        <v>9781450324960</v>
      </c>
      <c r="C20" s="8" t="s">
        <v>21</v>
      </c>
    </row>
    <row r="21" spans="1:3" x14ac:dyDescent="0.25">
      <c r="A21" s="8" t="str">
        <f>"10th France-Japan Congress, 8th Europe-Asia Congress on Mecatronics, MECATRONICS 2014"</f>
        <v>10th France-Japan Congress, 8th Europe-Asia Congress on Mecatronics, MECATRONICS 2014</v>
      </c>
      <c r="B21" s="8" t="str">
        <f>"9781479957170"</f>
        <v>9781479957170</v>
      </c>
      <c r="C21" s="8" t="s">
        <v>105</v>
      </c>
    </row>
    <row r="22" spans="1:3" x14ac:dyDescent="0.25">
      <c r="A22" s="8" t="str">
        <f>"10th ICETE 2013; SIGMAP 2013 - 10th Int. Conf. on Signal Processing and Multimedia Applications and WINSYS 2013 - 10th Int. Conf. on Wireless Information Networks and Systems, Proc."</f>
        <v>10th ICETE 2013; SIGMAP 2013 - 10th Int. Conf. on Signal Processing and Multimedia Applications and WINSYS 2013 - 10th Int. Conf. on Wireless Information Networks and Systems, Proc.</v>
      </c>
      <c r="B22" s="8" t="str">
        <f>"9789898565747"</f>
        <v>9789898565747</v>
      </c>
      <c r="C22" s="8" t="s">
        <v>1197</v>
      </c>
    </row>
    <row r="23" spans="1:3" x14ac:dyDescent="0.25">
      <c r="A23" s="8" t="str">
        <f>"10th IEEE International Conference on Advanced Thermal Processing of Semiconductors, RTP 2002"</f>
        <v>10th IEEE International Conference on Advanced Thermal Processing of Semiconductors, RTP 2002</v>
      </c>
      <c r="B23" s="8" t="str">
        <f>"9780780374652"</f>
        <v>9780780374652</v>
      </c>
      <c r="C23" s="8" t="s">
        <v>105</v>
      </c>
    </row>
    <row r="24" spans="1:3" x14ac:dyDescent="0.25">
      <c r="A24" s="8" t="str">
        <f>"10th IEEE International Conference on Bioinformatics and Bioengineering 2010, BIBE 2010"</f>
        <v>10th IEEE International Conference on Bioinformatics and Bioengineering 2010, BIBE 2010</v>
      </c>
      <c r="B24" s="8" t="str">
        <f>"9780769540832"</f>
        <v>9780769540832</v>
      </c>
      <c r="C24" s="8" t="s">
        <v>9</v>
      </c>
    </row>
    <row r="25" spans="1:3" x14ac:dyDescent="0.25">
      <c r="A25" s="8" t="str">
        <f>"10th IEEE International Multitopic Conference 2006, INMIC"</f>
        <v>10th IEEE International Multitopic Conference 2006, INMIC</v>
      </c>
      <c r="B25" s="8" t="str">
        <f>"9781424407941"</f>
        <v>9781424407941</v>
      </c>
      <c r="C25" s="8" t="s">
        <v>9</v>
      </c>
    </row>
    <row r="26" spans="1:3" x14ac:dyDescent="0.25">
      <c r="A26" s="8" t="str">
        <f>"10th IFIP/IEEE International Symposium on Integrated Network Management 2007, IM '07"</f>
        <v>10th IFIP/IEEE International Symposium on Integrated Network Management 2007, IM '07</v>
      </c>
      <c r="B26" s="8" t="str">
        <f>"9781424407996"</f>
        <v>9781424407996</v>
      </c>
      <c r="C26" s="8" t="s">
        <v>9</v>
      </c>
    </row>
    <row r="27" spans="1:3" x14ac:dyDescent="0.25">
      <c r="A27" s="8" t="str">
        <f>"10th IMEKO TC15 Youth Symposium on Experimental Solid Mechanics 2011"</f>
        <v>10th IMEKO TC15 Youth Symposium on Experimental Solid Mechanics 2011</v>
      </c>
      <c r="B27" s="8" t="str">
        <f>"9781634394345"</f>
        <v>9781634394345</v>
      </c>
      <c r="C27" s="8" t="s">
        <v>1198</v>
      </c>
    </row>
    <row r="28" spans="1:3" x14ac:dyDescent="0.25">
      <c r="A28" s="8" t="str">
        <f>"10th IMEKO TC7 Symposium on Advances of Measurement Science 2004"</f>
        <v>10th IMEKO TC7 Symposium on Advances of Measurement Science 2004</v>
      </c>
      <c r="B28" s="8" t="str">
        <f>"9781634391887"</f>
        <v>9781634391887</v>
      </c>
      <c r="C28" s="8" t="s">
        <v>1198</v>
      </c>
    </row>
    <row r="29" spans="1:3" x14ac:dyDescent="0.25">
      <c r="A29" s="8" t="str">
        <f>"10th Int. Conference on Bioinformatics - 1st ISCB Asia Joint Conference 2011, InCoB 2011/ISCB-Asia 2011: Computational Biology - Proceedings from Asia Pacific Bioinformatics Network (APBioNet)"</f>
        <v>10th Int. Conference on Bioinformatics - 1st ISCB Asia Joint Conference 2011, InCoB 2011/ISCB-Asia 2011: Computational Biology - Proceedings from Asia Pacific Bioinformatics Network (APBioNet)</v>
      </c>
      <c r="B29" s="8" t="str">
        <f>"-"</f>
        <v>-</v>
      </c>
      <c r="C29" s="8" t="s">
        <v>1199</v>
      </c>
    </row>
    <row r="30" spans="1:3" x14ac:dyDescent="0.25">
      <c r="A30" s="8" t="str">
        <f>"10th Int. Workshop on Harbor, Maritime and Multimodal Logistics Modeling and Simulation, HMS 2008, Held at the International Mediterranean and Latin American Modeling Multiconference, I3M 2008"</f>
        <v>10th Int. Workshop on Harbor, Maritime and Multimodal Logistics Modeling and Simulation, HMS 2008, Held at the International Mediterranean and Latin American Modeling Multiconference, I3M 2008</v>
      </c>
      <c r="B30" s="8" t="str">
        <f>"9781629934723"</f>
        <v>9781629934723</v>
      </c>
      <c r="C30" s="8" t="s">
        <v>1200</v>
      </c>
    </row>
    <row r="31" spans="1:3" x14ac:dyDescent="0.25">
      <c r="A31" s="8" t="str">
        <f>"10th International Conference - Fire and Materials 2007"</f>
        <v>10th International Conference - Fire and Materials 2007</v>
      </c>
      <c r="B31" s="8" t="str">
        <f>"-"</f>
        <v>-</v>
      </c>
      <c r="C31" s="8" t="s">
        <v>416</v>
      </c>
    </row>
    <row r="32" spans="1:3" x14ac:dyDescent="0.25">
      <c r="A32" s="8" t="str">
        <f>"10th International Conference Modern Building Materials, Structures and Techniques"</f>
        <v>10th International Conference Modern Building Materials, Structures and Techniques</v>
      </c>
      <c r="B32" s="8" t="str">
        <f>"9789955285946"</f>
        <v>9789955285946</v>
      </c>
      <c r="C32" s="8" t="s">
        <v>1201</v>
      </c>
    </row>
    <row r="33" spans="1:3" x14ac:dyDescent="0.25">
      <c r="A33" s="8" t="str">
        <f>"10th International Conference of the Learning Sciences: The Future of Learning, ICLS 2012 - Proceedings"</f>
        <v>10th International Conference of the Learning Sciences: The Future of Learning, ICLS 2012 - Proceedings</v>
      </c>
      <c r="B33" s="8" t="str">
        <f>"-"</f>
        <v>-</v>
      </c>
      <c r="C33" s="8" t="s">
        <v>298</v>
      </c>
    </row>
    <row r="34" spans="1:3" x14ac:dyDescent="0.25">
      <c r="A34" s="8" t="str">
        <f>"10th International Conference of the Slovenian Society for Non-Destructive Testing: Application of Contemporary Non-Destructive Testing in Engineering"</f>
        <v>10th International Conference of the Slovenian Society for Non-Destructive Testing: Application of Contemporary Non-Destructive Testing in Engineering</v>
      </c>
      <c r="B34" s="8" t="str">
        <f>"-"</f>
        <v>-</v>
      </c>
      <c r="C34" s="8" t="s">
        <v>1202</v>
      </c>
    </row>
    <row r="35" spans="1:3" x14ac:dyDescent="0.25">
      <c r="A35" s="8" t="str">
        <f>"10th International Conference on Autonomous Agents and Multiagent Systems 2011, AAMAS 2011"</f>
        <v>10th International Conference on Autonomous Agents and Multiagent Systems 2011, AAMAS 2011</v>
      </c>
      <c r="B35" s="8" t="str">
        <f>"9781618391018"</f>
        <v>9781618391018</v>
      </c>
      <c r="C35" s="8" t="s">
        <v>989</v>
      </c>
    </row>
    <row r="36" spans="1:3" x14ac:dyDescent="0.25">
      <c r="A36" s="8" t="str">
        <f>"10th International Conference on Bioinformatics - 1st ISCB Asia Joint Conference 2011, InCoB 2011/ISCB-Asia 2011: Bioinformatics - Proceedings from Asia Pacific Bioinformatics Network (APBioNet)"</f>
        <v>10th International Conference on Bioinformatics - 1st ISCB Asia Joint Conference 2011, InCoB 2011/ISCB-Asia 2011: Bioinformatics - Proceedings from Asia Pacific Bioinformatics Network (APBioNet)</v>
      </c>
      <c r="B36" s="8" t="str">
        <f>"-"</f>
        <v>-</v>
      </c>
      <c r="C36" s="8" t="s">
        <v>1199</v>
      </c>
    </row>
    <row r="37" spans="1:3" x14ac:dyDescent="0.25">
      <c r="A37" s="8" t="str">
        <f>"10th International Conference on Design and Decision Support Systems, DDSS 2010"</f>
        <v>10th International Conference on Design and Decision Support Systems, DDSS 2010</v>
      </c>
      <c r="B37" s="8" t="str">
        <f>"9789068141818"</f>
        <v>9789068141818</v>
      </c>
      <c r="C37" s="8" t="s">
        <v>1203</v>
      </c>
    </row>
    <row r="38" spans="1:3" x14ac:dyDescent="0.25">
      <c r="A38" s="8" t="str">
        <f>"10th International Conference on Geosynthetics, ICG 2014"</f>
        <v>10th International Conference on Geosynthetics, ICG 2014</v>
      </c>
      <c r="B38" s="8" t="str">
        <f>"9783981395396"</f>
        <v>9783981395396</v>
      </c>
      <c r="C38" s="8" t="s">
        <v>1204</v>
      </c>
    </row>
    <row r="39" spans="1:3" x14ac:dyDescent="0.25">
      <c r="A39" s="8" t="str">
        <f>"10th International Conference on Healthy Buildings 2012"</f>
        <v>10th International Conference on Healthy Buildings 2012</v>
      </c>
      <c r="B39" s="8" t="str">
        <f>"9781627480758"</f>
        <v>9781627480758</v>
      </c>
      <c r="C39" s="8" t="s">
        <v>1205</v>
      </c>
    </row>
    <row r="40" spans="1:3" x14ac:dyDescent="0.25">
      <c r="A40" s="8" t="str">
        <f>"10th International Conference on Information Sciences, Signal Processing and their Applications, ISSPA 2010"</f>
        <v>10th International Conference on Information Sciences, Signal Processing and their Applications, ISSPA 2010</v>
      </c>
      <c r="B40" s="8" t="str">
        <f>"9781424471676"</f>
        <v>9781424471676</v>
      </c>
      <c r="C40" s="8" t="s">
        <v>9</v>
      </c>
    </row>
    <row r="41" spans="1:3" x14ac:dyDescent="0.25">
      <c r="A41" s="8" t="str">
        <f>"10th International Conference on Intelligent Games and Simulation, GAME-ON 2009"</f>
        <v>10th International Conference on Intelligent Games and Simulation, GAME-ON 2009</v>
      </c>
      <c r="B41" s="8" t="str">
        <f>"9789077381533"</f>
        <v>9789077381533</v>
      </c>
      <c r="C41" s="8" t="s">
        <v>1206</v>
      </c>
    </row>
    <row r="42" spans="1:3" x14ac:dyDescent="0.25">
      <c r="A42" s="8" t="str">
        <f>"10th International Conference on Liquid Atomization and Spray Systems, ICLASS 2006"</f>
        <v>10th International Conference on Liquid Atomization and Spray Systems, ICLASS 2006</v>
      </c>
      <c r="B42" s="8" t="str">
        <f>"-"</f>
        <v>-</v>
      </c>
      <c r="C42" s="8" t="s">
        <v>1207</v>
      </c>
    </row>
    <row r="43" spans="1:3" x14ac:dyDescent="0.25">
      <c r="A43" s="8" t="str">
        <f>"10th International Conference on Modeling and Applied Simulation, MAS 2011, Held at the International Mediterranean and Latin American Modeling Multiconference, I3M 2011"</f>
        <v>10th International Conference on Modeling and Applied Simulation, MAS 2011, Held at the International Mediterranean and Latin American Modeling Multiconference, I3M 2011</v>
      </c>
      <c r="B43" s="8" t="str">
        <f>"9781629934815"</f>
        <v>9781629934815</v>
      </c>
      <c r="C43" s="8" t="s">
        <v>1200</v>
      </c>
    </row>
    <row r="44" spans="1:3" x14ac:dyDescent="0.25">
      <c r="A44" s="8" t="str">
        <f>"10th International Conference on Numerical Simulation of Optoelectronic Devices, NUSOD 2010"</f>
        <v>10th International Conference on Numerical Simulation of Optoelectronic Devices, NUSOD 2010</v>
      </c>
      <c r="B44" s="8" t="str">
        <f>"9781424470174"</f>
        <v>9781424470174</v>
      </c>
      <c r="C44" s="8" t="s">
        <v>9</v>
      </c>
    </row>
    <row r="45" spans="1:3" x14ac:dyDescent="0.25">
      <c r="A45" s="8" t="str">
        <f>"10th International Conference on Optical Internet, COIN 2012"</f>
        <v>10th International Conference on Optical Internet, COIN 2012</v>
      </c>
      <c r="B45" s="8" t="str">
        <f>"9784885522635"</f>
        <v>9784885522635</v>
      </c>
      <c r="C45" s="8" t="s">
        <v>9</v>
      </c>
    </row>
    <row r="46" spans="1:3" x14ac:dyDescent="0.25">
      <c r="A46" s="8" t="str">
        <f>"10th International Conference on Probabilistic Safety Assessment and Management 2010, PSAM 2010"</f>
        <v>10th International Conference on Probabilistic Safety Assessment and Management 2010, PSAM 2010</v>
      </c>
      <c r="B46" s="8" t="str">
        <f>"9781622765782"</f>
        <v>9781622765782</v>
      </c>
      <c r="C46" s="8" t="s">
        <v>1208</v>
      </c>
    </row>
    <row r="47" spans="1:3" x14ac:dyDescent="0.25">
      <c r="A47" s="8" t="str">
        <f>"10th International Conference on Progress of Machining Technology, ICPMT 2012"</f>
        <v>10th International Conference on Progress of Machining Technology, ICPMT 2012</v>
      </c>
      <c r="B47" s="8" t="str">
        <f>"9781629930565"</f>
        <v>9781629930565</v>
      </c>
      <c r="C47" s="8" t="s">
        <v>1209</v>
      </c>
    </row>
    <row r="48" spans="1:3" x14ac:dyDescent="0.25">
      <c r="A48" s="8" t="str">
        <f>"10th International Conference on Stability, Handling and Use of Liquid Fuels 2007"</f>
        <v>10th International Conference on Stability, Handling and Use of Liquid Fuels 2007</v>
      </c>
      <c r="B48" s="8" t="str">
        <f>"9781615670529"</f>
        <v>9781615670529</v>
      </c>
      <c r="C48" s="8" t="s">
        <v>1210</v>
      </c>
    </row>
    <row r="49" spans="1:3" x14ac:dyDescent="0.25">
      <c r="A49" s="8" t="str">
        <f>"10th International Conference on Telecommunications, ICT 2003"</f>
        <v>10th International Conference on Telecommunications, ICT 2003</v>
      </c>
      <c r="B49" s="8" t="str">
        <f>"-"</f>
        <v>-</v>
      </c>
      <c r="C49" s="8" t="s">
        <v>105</v>
      </c>
    </row>
    <row r="50" spans="1:3" x14ac:dyDescent="0.25">
      <c r="A50" s="8" t="str">
        <f>"10th International Industrial Simulation Conference 2012, ISC 2012"</f>
        <v>10th International Industrial Simulation Conference 2012, ISC 2012</v>
      </c>
      <c r="B50" s="8" t="str">
        <f>"9789077381717"</f>
        <v>9789077381717</v>
      </c>
      <c r="C50" s="8" t="s">
        <v>1206</v>
      </c>
    </row>
    <row r="51" spans="1:3" x14ac:dyDescent="0.25">
      <c r="A51" s="8" t="str">
        <f>"10th International Multidisciplinary Scientific Geoconference and EXPO - Modern Management of Mine Producing, Geology and Environmental Protection, SGEM 2010"</f>
        <v>10th International Multidisciplinary Scientific Geoconference and EXPO - Modern Management of Mine Producing, Geology and Environmental Protection, SGEM 2010</v>
      </c>
      <c r="B51" s="8" t="str">
        <f>"9789549181814"</f>
        <v>9789549181814</v>
      </c>
      <c r="C51" s="8" t="s">
        <v>1211</v>
      </c>
    </row>
    <row r="52" spans="1:3" x14ac:dyDescent="0.25">
      <c r="A52" s="8" t="str">
        <f>"10th International Power and Energy Conference, IPEC 2012"</f>
        <v>10th International Power and Energy Conference, IPEC 2012</v>
      </c>
      <c r="B52" s="8" t="str">
        <f>"9781467345842"</f>
        <v>9781467345842</v>
      </c>
      <c r="C52" s="8" t="s">
        <v>9</v>
      </c>
    </row>
    <row r="53" spans="1:3" x14ac:dyDescent="0.25">
      <c r="A53" s="8" t="str">
        <f>"10th International Scientific Conference on Electric Power Engineering 2009"</f>
        <v>10th International Scientific Conference on Electric Power Engineering 2009</v>
      </c>
      <c r="B53" s="8" t="str">
        <f>"9781629939162"</f>
        <v>9781629939162</v>
      </c>
      <c r="C53" s="8" t="s">
        <v>1212</v>
      </c>
    </row>
    <row r="54" spans="1:3" x14ac:dyDescent="0.25">
      <c r="A54" s="8" t="str">
        <f>"10th International SPICE Conference on Software Process Improvement and Capability Determination, SPICE 2010"</f>
        <v>10th International SPICE Conference on Software Process Improvement and Capability Determination, SPICE 2010</v>
      </c>
      <c r="B54" s="8" t="str">
        <f>"-"</f>
        <v>-</v>
      </c>
      <c r="C54" s="8" t="s">
        <v>1213</v>
      </c>
    </row>
    <row r="55" spans="1:3" x14ac:dyDescent="0.25">
      <c r="A55" s="8" t="str">
        <f>"10th International Symposium of Hungarian Researchers on Computational Intelligence and Informatics, CINTI 2009"</f>
        <v>10th International Symposium of Hungarian Researchers on Computational Intelligence and Informatics, CINTI 2009</v>
      </c>
      <c r="B55" s="8" t="str">
        <f>"-"</f>
        <v>-</v>
      </c>
      <c r="C55" s="8" t="s">
        <v>1214</v>
      </c>
    </row>
    <row r="56" spans="1:3" x14ac:dyDescent="0.25">
      <c r="A56" s="8" t="str">
        <f>"10th International Symposium on Artificial Intelligence and Mathematics, ISAIM 2008"</f>
        <v>10th International Symposium on Artificial Intelligence and Mathematics, ISAIM 2008</v>
      </c>
      <c r="B56" s="8" t="str">
        <f>"-"</f>
        <v>-</v>
      </c>
      <c r="C56" s="8" t="s">
        <v>1215</v>
      </c>
    </row>
    <row r="57" spans="1:3" x14ac:dyDescent="0.25">
      <c r="A57" s="8" t="str">
        <f>"10th International Symposium on Integrated Circuits, Devices and Systems, ISIC-2004: Integrated Systems on Silicon - Proceedings"</f>
        <v>10th International Symposium on Integrated Circuits, Devices and Systems, ISIC-2004: Integrated Systems on Silicon - Proceedings</v>
      </c>
      <c r="B57" s="8" t="str">
        <f>"9789810517878"</f>
        <v>9789810517878</v>
      </c>
      <c r="C57" s="8" t="s">
        <v>1216</v>
      </c>
    </row>
    <row r="58" spans="1:3" x14ac:dyDescent="0.25">
      <c r="A58" s="8" t="str">
        <f>"10th International Symposium on Measurement and Quality Control 2010, ISMQC 2010"</f>
        <v>10th International Symposium on Measurement and Quality Control 2010, ISMQC 2010</v>
      </c>
      <c r="B58" s="8" t="str">
        <f>"9781617820199"</f>
        <v>9781617820199</v>
      </c>
      <c r="C58" s="8" t="s">
        <v>1198</v>
      </c>
    </row>
    <row r="59" spans="1:3" x14ac:dyDescent="0.25">
      <c r="A59" s="8" t="str">
        <f>"10th International Symposium on Practical Design of Ships and other Floating Structures, PRADS 2007"</f>
        <v>10th International Symposium on Practical Design of Ships and other Floating Structures, PRADS 2007</v>
      </c>
      <c r="B59" s="8" t="str">
        <f>"-"</f>
        <v>-</v>
      </c>
      <c r="C59" s="8" t="s">
        <v>1217</v>
      </c>
    </row>
    <row r="60" spans="1:3" x14ac:dyDescent="0.25">
      <c r="A60" s="8" t="str">
        <f>"10th International Topical Meeting on Nuclear Applications of Accelerators 2011, AccApp 2011"</f>
        <v>10th International Topical Meeting on Nuclear Applications of Accelerators 2011, AccApp 2011</v>
      </c>
      <c r="B60" s="8" t="str">
        <f>"9781622767915"</f>
        <v>9781622767915</v>
      </c>
      <c r="C60" s="8" t="s">
        <v>453</v>
      </c>
    </row>
    <row r="61" spans="1:3" x14ac:dyDescent="0.25">
      <c r="A61" s="8" t="str">
        <f>"10th International Workshop on Aeroelasticity of Rotorcraft Systems: Abstracts and Presentation"</f>
        <v>10th International Workshop on Aeroelasticity of Rotorcraft Systems: Abstracts and Presentation</v>
      </c>
      <c r="B61" s="8" t="str">
        <f>"-"</f>
        <v>-</v>
      </c>
      <c r="C61" s="8" t="s">
        <v>1218</v>
      </c>
    </row>
    <row r="62" spans="1:3" x14ac:dyDescent="0.25">
      <c r="A62" s="8" t="str">
        <f>"10th International Workshop on Biomedical Engineering, BioEng 2011"</f>
        <v>10th International Workshop on Biomedical Engineering, BioEng 2011</v>
      </c>
      <c r="B62" s="8" t="str">
        <f>"9781457705526"</f>
        <v>9781457705526</v>
      </c>
      <c r="C62" s="8" t="s">
        <v>9</v>
      </c>
    </row>
    <row r="63" spans="1:3" x14ac:dyDescent="0.25">
      <c r="A63" s="8" t="str">
        <f>"10th International Workshop on Dynamic Analysis, WODA 2012 - Proceedings"</f>
        <v>10th International Workshop on Dynamic Analysis, WODA 2012 - Proceedings</v>
      </c>
      <c r="B63" s="8" t="str">
        <f>"9781450314558"</f>
        <v>9781450314558</v>
      </c>
      <c r="C63" s="8" t="s">
        <v>21</v>
      </c>
    </row>
    <row r="64" spans="1:3" x14ac:dyDescent="0.25">
      <c r="A64" s="8" t="str">
        <f>"10th International Workshop on Neutrino Factories, Super Beams and Beta Beams, NUFACT08"</f>
        <v>10th International Workshop on Neutrino Factories, Super Beams and Beta Beams, NUFACT08</v>
      </c>
      <c r="B64" s="8" t="str">
        <f>"-"</f>
        <v>-</v>
      </c>
      <c r="C64" s="8" t="s">
        <v>962</v>
      </c>
    </row>
    <row r="65" spans="1:3" x14ac:dyDescent="0.25">
      <c r="A65" s="8" t="str">
        <f>"10th International Workshop on Signal Processing for Space Communications, SPSC 2008"</f>
        <v>10th International Workshop on Signal Processing for Space Communications, SPSC 2008</v>
      </c>
      <c r="B65" s="8" t="str">
        <f>"9781424425730"</f>
        <v>9781424425730</v>
      </c>
      <c r="C65" s="8" t="s">
        <v>9</v>
      </c>
    </row>
    <row r="66" spans="1:3" x14ac:dyDescent="0.25">
      <c r="A66" s="8" t="str">
        <f>"10th International Workshop on Software Specification and Design, IWSSD 2000"</f>
        <v>10th International Workshop on Software Specification and Design, IWSSD 2000</v>
      </c>
      <c r="B66" s="8" t="str">
        <f>"9780769508849"</f>
        <v>9780769508849</v>
      </c>
      <c r="C66" s="8" t="s">
        <v>105</v>
      </c>
    </row>
    <row r="67" spans="1:3" x14ac:dyDescent="0.25">
      <c r="A67" s="8" t="str">
        <f>"10th Process Plant Safety Symposium, Topical Conference at the 2008 AIChE Spring National Meeting"</f>
        <v>10th Process Plant Safety Symposium, Topical Conference at the 2008 AIChE Spring National Meeting</v>
      </c>
      <c r="B67" s="8" t="str">
        <f>"9781605602097"</f>
        <v>9781605602097</v>
      </c>
      <c r="C67" s="8" t="s">
        <v>1219</v>
      </c>
    </row>
    <row r="68" spans="1:3" x14ac:dyDescent="0.25">
      <c r="A68" s="8" t="str">
        <f>"10th Symposium on Neural Network Applications in Electrical Engineering, NEUREL-2010 - Proceedings"</f>
        <v>10th Symposium on Neural Network Applications in Electrical Engineering, NEUREL-2010 - Proceedings</v>
      </c>
      <c r="B68" s="8" t="str">
        <f>"9781424488209"</f>
        <v>9781424488209</v>
      </c>
      <c r="C68" s="8" t="s">
        <v>9</v>
      </c>
    </row>
    <row r="69" spans="1:3" x14ac:dyDescent="0.25">
      <c r="A69" s="8" t="str">
        <f>"10th Symposium on Recent Advancements in the Theory and Practice of Hardness Measurement 2007, HARDMEKO 2007"</f>
        <v>10th Symposium on Recent Advancements in the Theory and Practice of Hardness Measurement 2007, HARDMEKO 2007</v>
      </c>
      <c r="B69" s="8" t="str">
        <f>"9781615676323"</f>
        <v>9781615676323</v>
      </c>
      <c r="C69" s="8" t="s">
        <v>1198</v>
      </c>
    </row>
    <row r="70" spans="1:3" x14ac:dyDescent="0.25">
      <c r="A70" s="8" t="str">
        <f>"10th Topical Conference on Refinery Processing 2007, Held at the 2007 AIChE Spring National Meeting"</f>
        <v>10th Topical Conference on Refinery Processing 2007, Held at the 2007 AIChE Spring National Meeting</v>
      </c>
      <c r="B70" s="8" t="str">
        <f>"9781604233575"</f>
        <v>9781604233575</v>
      </c>
      <c r="C70" s="8" t="s">
        <v>1219</v>
      </c>
    </row>
    <row r="71" spans="1:3" x14ac:dyDescent="0.25">
      <c r="A71" s="8" t="str">
        <f>"10th Workshop on Objects and Agents, WOA'09"</f>
        <v>10th Workshop on Objects and Agents, WOA'09</v>
      </c>
      <c r="B71" s="8" t="str">
        <f>"-"</f>
        <v>-</v>
      </c>
      <c r="C71" s="8" t="s">
        <v>1220</v>
      </c>
    </row>
    <row r="72" spans="1:3" x14ac:dyDescent="0.25">
      <c r="A72" s="8" t="str">
        <f>"10th World Conference on Timber Engineering 2008"</f>
        <v>10th World Conference on Timber Engineering 2008</v>
      </c>
      <c r="B72" s="8" t="str">
        <f>"9781615670888"</f>
        <v>9781615670888</v>
      </c>
      <c r="C72" s="8" t="s">
        <v>1221</v>
      </c>
    </row>
    <row r="73" spans="1:3" x14ac:dyDescent="0.25">
      <c r="A73" s="8" t="str">
        <f>"10th WSEAS International Conference on Applied Computer and Applied Computational Science, ACACOS'11"</f>
        <v>10th WSEAS International Conference on Applied Computer and Applied Computational Science, ACACOS'11</v>
      </c>
      <c r="B73" s="8" t="str">
        <f>"9789604742813"</f>
        <v>9789604742813</v>
      </c>
      <c r="C73" s="8" t="s">
        <v>553</v>
      </c>
    </row>
    <row r="74" spans="1:3" x14ac:dyDescent="0.25">
      <c r="A74" s="8" t="str">
        <f>"10th WSEAS International Conference on EHAC'11 and ISPRA'11, 3rd WSEAS Int. Conf. on Nanotechnology, Nanotechnology'11, 6th WSEAS Int. Conf. on ICOAA'11, 2nd WSEAS Int.Conf. on IPLAFUN'11"</f>
        <v>10th WSEAS International Conference on EHAC'11 and ISPRA'11, 3rd WSEAS Int. Conf. on Nanotechnology, Nanotechnology'11, 6th WSEAS Int. Conf. on ICOAA'11, 2nd WSEAS Int.Conf. on IPLAFUN'11</v>
      </c>
      <c r="B74" s="8" t="str">
        <f>"9789604742769"</f>
        <v>9789604742769</v>
      </c>
      <c r="C74" s="8" t="s">
        <v>1222</v>
      </c>
    </row>
    <row r="75" spans="1:3" x14ac:dyDescent="0.25">
      <c r="A75" s="8" t="str">
        <f>"10th WSEAS International Conference on Instrumentation, Measurement, Circuits and Systems, IMCAS'11"</f>
        <v>10th WSEAS International Conference on Instrumentation, Measurement, Circuits and Systems, IMCAS'11</v>
      </c>
      <c r="B75" s="8" t="str">
        <f>"9789604742820"</f>
        <v>9789604742820</v>
      </c>
      <c r="C75" s="8" t="s">
        <v>553</v>
      </c>
    </row>
    <row r="76" spans="1:3" x14ac:dyDescent="0.25">
      <c r="A76" s="8" t="str">
        <f>"10th WSEAS International Conference on Wavelet Analysis and Multirate Systems, WAMUS '10, 9th WSEAS International Conference on Non-Linear Analysis, Non-Linear Systems and Chaos, NOLASC '10"</f>
        <v>10th WSEAS International Conference on Wavelet Analysis and Multirate Systems, WAMUS '10, 9th WSEAS International Conference on Non-Linear Analysis, Non-Linear Systems and Chaos, NOLASC '10</v>
      </c>
      <c r="B76" s="8" t="str">
        <f>"9789604741892"</f>
        <v>9789604741892</v>
      </c>
      <c r="C76" s="8" t="s">
        <v>553</v>
      </c>
    </row>
    <row r="77" spans="1:3" x14ac:dyDescent="0.25">
      <c r="A77" s="8" t="str">
        <f>"11th ACM/IEEE International Conference on Formal Methods and Models for Codesign, MEMOCODE 2013"</f>
        <v>11th ACM/IEEE International Conference on Formal Methods and Models for Codesign, MEMOCODE 2013</v>
      </c>
      <c r="B77" s="8" t="str">
        <f>"9781479909032"</f>
        <v>9781479909032</v>
      </c>
      <c r="C77" s="8" t="s">
        <v>9</v>
      </c>
    </row>
    <row r="78" spans="1:3" x14ac:dyDescent="0.25">
      <c r="A78" s="8" t="str">
        <f>"11th ACUUS International Conference - Underground Space: Expanding the Frontiers"</f>
        <v>11th ACUUS International Conference - Underground Space: Expanding the Frontiers</v>
      </c>
      <c r="B78" s="8" t="str">
        <f>"9789602546666"</f>
        <v>9789602546666</v>
      </c>
      <c r="C78" s="8" t="s">
        <v>1223</v>
      </c>
    </row>
    <row r="79" spans="1:3" x14ac:dyDescent="0.25">
      <c r="A79" s="8" t="str">
        <f>"11th ADIPEC: Abu Dhabi International Petroleum Exhibition and Conference - Conference Proceedings"</f>
        <v>11th ADIPEC: Abu Dhabi International Petroleum Exhibition and Conference - Conference Proceedings</v>
      </c>
      <c r="B79" s="8" t="str">
        <f>"-"</f>
        <v>-</v>
      </c>
      <c r="C79" s="8" t="s">
        <v>915</v>
      </c>
    </row>
    <row r="80" spans="1:3" x14ac:dyDescent="0.25">
      <c r="A80" s="8" t="str">
        <f>"11th Advanced Coating Fundamentals Symposium Proceedings: The Latest Advances in Coating Research and Development"</f>
        <v>11th Advanced Coating Fundamentals Symposium Proceedings: The Latest Advances in Coating Research and Development</v>
      </c>
      <c r="B80" s="8" t="str">
        <f>"9781595102034"</f>
        <v>9781595102034</v>
      </c>
      <c r="C80" s="8" t="s">
        <v>1099</v>
      </c>
    </row>
    <row r="81" spans="1:3" x14ac:dyDescent="0.25">
      <c r="A81" s="8" t="str">
        <f>"11th AIAA Aviation Technology, Integration,and Operations (ATIO) Conference, including the AIAA Balloon Systems Conference and 19th AIAA Lighter-Than-Air Technology Conference"</f>
        <v>11th AIAA Aviation Technology, Integration,and Operations (ATIO) Conference, including the AIAA Balloon Systems Conference and 19th AIAA Lighter-Than-Air Technology Conference</v>
      </c>
      <c r="B81" s="8" t="str">
        <f>"9781600869419"</f>
        <v>9781600869419</v>
      </c>
      <c r="C81" s="8" t="s">
        <v>104</v>
      </c>
    </row>
    <row r="82" spans="1:3" x14ac:dyDescent="0.25">
      <c r="A82" s="8" t="str">
        <f>"11th Americas Conference on Wind Engineering"</f>
        <v>11th Americas Conference on Wind Engineering</v>
      </c>
      <c r="B82" s="8" t="str">
        <f>"-"</f>
        <v>-</v>
      </c>
      <c r="C82" s="8" t="s">
        <v>1224</v>
      </c>
    </row>
    <row r="83" spans="1:3" x14ac:dyDescent="0.25">
      <c r="A83" s="8" t="str">
        <f>"11th Annual Conference on Wireless On-Demand Network Systems and Services, IEEE/IFIP WONS 2014 - Proceedings"</f>
        <v>11th Annual Conference on Wireless On-Demand Network Systems and Services, IEEE/IFIP WONS 2014 - Proceedings</v>
      </c>
      <c r="B83" s="8" t="str">
        <f>"9781479949373"</f>
        <v>9781479949373</v>
      </c>
      <c r="C83" s="8" t="s">
        <v>9</v>
      </c>
    </row>
    <row r="84" spans="1:3" x14ac:dyDescent="0.25">
      <c r="A84" s="8" t="str">
        <f>"11th Applied Ergonomics Conference and Expo 2008"</f>
        <v>11th Applied Ergonomics Conference and Expo 2008</v>
      </c>
      <c r="B84" s="8" t="str">
        <f>"-"</f>
        <v>-</v>
      </c>
      <c r="C84" s="8" t="s">
        <v>530</v>
      </c>
    </row>
    <row r="85" spans="1:3" x14ac:dyDescent="0.25">
      <c r="A85" s="8" t="str">
        <f>"11th AusIMM Underground Operators' Conference 2011, Proceedings"</f>
        <v>11th AusIMM Underground Operators' Conference 2011, Proceedings</v>
      </c>
      <c r="B85" s="8" t="str">
        <f>"9781921522413"</f>
        <v>9781921522413</v>
      </c>
      <c r="C85" s="8" t="s">
        <v>167</v>
      </c>
    </row>
    <row r="86" spans="1:3" x14ac:dyDescent="0.25">
      <c r="A86" s="8" t="str">
        <f>"11th Conference on Mesoscale Processes and the 32nd Conference on Radar Meteorology"</f>
        <v>11th Conference on Mesoscale Processes and the 32nd Conference on Radar Meteorology</v>
      </c>
      <c r="B86" s="8" t="str">
        <f>"-"</f>
        <v>-</v>
      </c>
      <c r="C86" s="8" t="s">
        <v>225</v>
      </c>
    </row>
    <row r="87" spans="1:3" x14ac:dyDescent="0.25">
      <c r="A87" s="8" t="str">
        <f>"11th Conference on Natural Language Processing, KONVENS 2012: Empirical Methods in Natural Language Processing - Proceedings of the Conference on Natural Language Processing 2012"</f>
        <v>11th Conference on Natural Language Processing, KONVENS 2012: Empirical Methods in Natural Language Processing - Proceedings of the Conference on Natural Language Processing 2012</v>
      </c>
      <c r="B87" s="8" t="str">
        <f>"9783850270052"</f>
        <v>9783850270052</v>
      </c>
      <c r="C87" s="8" t="s">
        <v>1225</v>
      </c>
    </row>
    <row r="88" spans="1:3" x14ac:dyDescent="0.25">
      <c r="A88" s="8" t="str">
        <f>"11th Conference on Refinery Processing, Topical Conference at the 2008 AIChE Spring National Meeting"</f>
        <v>11th Conference on Refinery Processing, Topical Conference at the 2008 AIChE Spring National Meeting</v>
      </c>
      <c r="B88" s="8" t="str">
        <f>"9781605602134"</f>
        <v>9781605602134</v>
      </c>
      <c r="C88" s="8" t="s">
        <v>1219</v>
      </c>
    </row>
    <row r="89" spans="1:3" x14ac:dyDescent="0.25">
      <c r="A89" s="8" t="str">
        <f>"11th European Conference on Information Warfare and Security 2012, ECIW 2012"</f>
        <v>11th European Conference on Information Warfare and Security 2012, ECIW 2012</v>
      </c>
      <c r="B89" s="8" t="str">
        <f>"9781622765379"</f>
        <v>9781622765379</v>
      </c>
      <c r="C89" s="8" t="s">
        <v>973</v>
      </c>
    </row>
    <row r="90" spans="1:3" x14ac:dyDescent="0.25">
      <c r="A90" s="8" t="str">
        <f>"11th European Conference on Turbomachinery Fluid Dynamics and Thermodynamics, ETC 2015"</f>
        <v>11th European Conference on Turbomachinery Fluid Dynamics and Thermodynamics, ETC 2015</v>
      </c>
      <c r="B90" s="8" t="str">
        <f>"9780000000002"</f>
        <v>9780000000002</v>
      </c>
      <c r="C90" s="8" t="s">
        <v>1226</v>
      </c>
    </row>
    <row r="91" spans="1:3" x14ac:dyDescent="0.25">
      <c r="A91" s="8" t="str">
        <f>"11th European Conference on Underwater Acoustics 2012, ECUA 2012"</f>
        <v>11th European Conference on Underwater Acoustics 2012, ECUA 2012</v>
      </c>
      <c r="B91" s="8" t="str">
        <f>"9781622761920"</f>
        <v>9781622761920</v>
      </c>
      <c r="C91" s="8" t="s">
        <v>27</v>
      </c>
    </row>
    <row r="92" spans="1:3" x14ac:dyDescent="0.25">
      <c r="A92" s="8" t="str">
        <f>"11th IEEE India Conference: Emerging Trends and Innovation in Technology, INDICON 2014"</f>
        <v>11th IEEE India Conference: Emerging Trends and Innovation in Technology, INDICON 2014</v>
      </c>
      <c r="B92" s="8" t="str">
        <f>"9781479953646"</f>
        <v>9781479953646</v>
      </c>
      <c r="C92" s="8" t="s">
        <v>105</v>
      </c>
    </row>
    <row r="93" spans="1:3" x14ac:dyDescent="0.25">
      <c r="A93" s="8" t="str">
        <f>"11th IEEE International Conference on Advanced Video and Signal-Based Surveillance, AVSS 2014"</f>
        <v>11th IEEE International Conference on Advanced Video and Signal-Based Surveillance, AVSS 2014</v>
      </c>
      <c r="B93" s="8" t="str">
        <f>"9781479948710"</f>
        <v>9781479948710</v>
      </c>
      <c r="C93" s="8" t="s">
        <v>105</v>
      </c>
    </row>
    <row r="94" spans="1:3" x14ac:dyDescent="0.25">
      <c r="A94" s="8" t="str">
        <f>"11th IEEE International Conference on Electronics, Circuits and Systems, ICECS 2004"</f>
        <v>11th IEEE International Conference on Electronics, Circuits and Systems, ICECS 2004</v>
      </c>
      <c r="B94" s="8" t="str">
        <f>"9780780387157"</f>
        <v>9780780387157</v>
      </c>
      <c r="C94" s="8" t="s">
        <v>9</v>
      </c>
    </row>
    <row r="95" spans="1:3" x14ac:dyDescent="0.25">
      <c r="A95" s="8" t="str">
        <f>"11th IEEE International Symposium on Computational Intelligence and Informatics, CINTI 2010 - Proceedings"</f>
        <v>11th IEEE International Symposium on Computational Intelligence and Informatics, CINTI 2010 - Proceedings</v>
      </c>
      <c r="B95" s="8" t="str">
        <f>"9781424492800"</f>
        <v>9781424492800</v>
      </c>
      <c r="C95" s="8" t="s">
        <v>9</v>
      </c>
    </row>
    <row r="96" spans="1:3" x14ac:dyDescent="0.25">
      <c r="A96" s="8" t="str">
        <f>"11th IEEE International Symposium on Mixed and Augmented Reality 2012 - Arts, Media, and Humanities Papers, ISMAR-AMH 2012"</f>
        <v>11th IEEE International Symposium on Mixed and Augmented Reality 2012 - Arts, Media, and Humanities Papers, ISMAR-AMH 2012</v>
      </c>
      <c r="B96" s="8" t="str">
        <f>"9781467346634"</f>
        <v>9781467346634</v>
      </c>
      <c r="C96" s="8" t="s">
        <v>9</v>
      </c>
    </row>
    <row r="97" spans="1:3" x14ac:dyDescent="0.25">
      <c r="A97" s="8" t="str">
        <f>"11th IEEE Workshop on Control and Modeling for Power Electronics, COMPEL 2008"</f>
        <v>11th IEEE Workshop on Control and Modeling for Power Electronics, COMPEL 2008</v>
      </c>
      <c r="B97" s="8" t="str">
        <f>"9781424425518"</f>
        <v>9781424425518</v>
      </c>
      <c r="C97" s="8" t="s">
        <v>9</v>
      </c>
    </row>
    <row r="98" spans="1:3" x14ac:dyDescent="0.25">
      <c r="A98" s="8" t="str">
        <f>"11th IIR Gustav Lorentzen Conference on Natural Refrigerants: Natural Refrigerants and Environmental Protection, GL 2014"</f>
        <v>11th IIR Gustav Lorentzen Conference on Natural Refrigerants: Natural Refrigerants and Environmental Protection, GL 2014</v>
      </c>
      <c r="B98" s="8" t="str">
        <f>"9782362150043"</f>
        <v>9782362150043</v>
      </c>
      <c r="C98" s="8" t="s">
        <v>1016</v>
      </c>
    </row>
    <row r="99" spans="1:3" x14ac:dyDescent="0.25">
      <c r="A99" s="8" t="str">
        <f>"11th IMEKO TC15 Youth Symposium on Experimental Solid Mechanics 2012"</f>
        <v>11th IMEKO TC15 Youth Symposium on Experimental Solid Mechanics 2012</v>
      </c>
      <c r="B99" s="8" t="str">
        <f>"9781634394321"</f>
        <v>9781634394321</v>
      </c>
      <c r="C99" s="8" t="s">
        <v>1198</v>
      </c>
    </row>
    <row r="100" spans="1:3" x14ac:dyDescent="0.25">
      <c r="A100" s="8" t="str">
        <f>"11th IMEKO TC4 Symposium on Trends in Electrical Measurements and Instrumentation and 6th IMEKO TC4 Workshop on ADC Modelling and Testing 2001"</f>
        <v>11th IMEKO TC4 Symposium on Trends in Electrical Measurements and Instrumentation and 6th IMEKO TC4 Workshop on ADC Modelling and Testing 2001</v>
      </c>
      <c r="B100" s="8" t="str">
        <f>"9781510803978"</f>
        <v>9781510803978</v>
      </c>
      <c r="C100" s="8" t="s">
        <v>1198</v>
      </c>
    </row>
    <row r="101" spans="1:3" x14ac:dyDescent="0.25">
      <c r="A101" s="8" t="str">
        <f>"11th IMEKO TC5 Conference on Hardness Measurement 2002 - Joint International Conference on Force, Mass, Torque, Hardness and Civil Engineering Metrology in the Age of Globalization"</f>
        <v>11th IMEKO TC5 Conference on Hardness Measurement 2002 - Joint International Conference on Force, Mass, Torque, Hardness and Civil Engineering Metrology in the Age of Globalization</v>
      </c>
      <c r="B101" s="8" t="str">
        <f>"9781634391863"</f>
        <v>9781634391863</v>
      </c>
      <c r="C101" s="8" t="s">
        <v>1198</v>
      </c>
    </row>
    <row r="102" spans="1:3" x14ac:dyDescent="0.25">
      <c r="A102" s="8" t="str">
        <f>"11th International Conference and Exhibition of the European Ceramic Society 2009"</f>
        <v>11th International Conference and Exhibition of the European Ceramic Society 2009</v>
      </c>
      <c r="B102" s="8" t="str">
        <f>"9781617823848"</f>
        <v>9781617823848</v>
      </c>
      <c r="C102" s="8" t="s">
        <v>1227</v>
      </c>
    </row>
    <row r="103" spans="1:3" x14ac:dyDescent="0.25">
      <c r="A103" s="8" t="str">
        <f>"11th International Conference on Architectural Support for Programming Languages and Operating Systems, ASPLOS XI"</f>
        <v>11th International Conference on Architectural Support for Programming Languages and Operating Systems, ASPLOS XI</v>
      </c>
      <c r="B103" s="8" t="str">
        <f>"9781581138047"</f>
        <v>9781581138047</v>
      </c>
      <c r="C103" s="8" t="s">
        <v>21</v>
      </c>
    </row>
    <row r="104" spans="1:3" x14ac:dyDescent="0.25">
      <c r="A104" s="8" t="str">
        <f>"11th International Conference on Autonomous Agents and Multiagent Systems 2012, AAMAS 2012: Innovative Applications Track"</f>
        <v>11th International Conference on Autonomous Agents and Multiagent Systems 2012, AAMAS 2012: Innovative Applications Track</v>
      </c>
      <c r="B104" s="8" t="str">
        <f>"9781627481564"</f>
        <v>9781627481564</v>
      </c>
      <c r="C104" s="8" t="s">
        <v>989</v>
      </c>
    </row>
    <row r="105" spans="1:3" x14ac:dyDescent="0.25">
      <c r="A105" s="8" t="str">
        <f>"11th International Conference on Cognition and Exploratory Learning in Digital Age, CELDA 2014"</f>
        <v>11th International Conference on Cognition and Exploratory Learning in Digital Age, CELDA 2014</v>
      </c>
      <c r="B105" s="8" t="str">
        <f>"9789898533234"</f>
        <v>9789898533234</v>
      </c>
      <c r="C105" s="8" t="s">
        <v>1228</v>
      </c>
    </row>
    <row r="106" spans="1:3" x14ac:dyDescent="0.25">
      <c r="A106" s="8" t="str">
        <f>"11th International Conference on Computer Modelling and Simulation, UKSim 2009"</f>
        <v>11th International Conference on Computer Modelling and Simulation, UKSim 2009</v>
      </c>
      <c r="B106" s="8" t="str">
        <f>"9780769535937"</f>
        <v>9780769535937</v>
      </c>
      <c r="C106" s="8" t="s">
        <v>9</v>
      </c>
    </row>
    <row r="107" spans="1:3" x14ac:dyDescent="0.25">
      <c r="A107" s="8" t="str">
        <f>"11th International Conference on Condition Monitoring and Machinery Failure Prevention Technologies, CM 2014 / MFPT 2014"</f>
        <v>11th International Conference on Condition Monitoring and Machinery Failure Prevention Technologies, CM 2014 / MFPT 2014</v>
      </c>
      <c r="B107" s="8" t="str">
        <f>"-"</f>
        <v>-</v>
      </c>
      <c r="C107" s="8" t="s">
        <v>543</v>
      </c>
    </row>
    <row r="108" spans="1:3" x14ac:dyDescent="0.25">
      <c r="A108" s="8" t="str">
        <f>"11th International Conference on Control, Automation, Robotics and Vision, ICARCV 2010"</f>
        <v>11th International Conference on Control, Automation, Robotics and Vision, ICARCV 2010</v>
      </c>
      <c r="B108" s="8" t="str">
        <f>"9781424478132"</f>
        <v>9781424478132</v>
      </c>
      <c r="C108" s="8" t="s">
        <v>9</v>
      </c>
    </row>
    <row r="109" spans="1:3" x14ac:dyDescent="0.25">
      <c r="A109" s="8" t="str">
        <f>"11th International Conference on Fast Sea Transportation, FAST 2011 - Proceedings"</f>
        <v>11th International Conference on Fast Sea Transportation, FAST 2011 - Proceedings</v>
      </c>
      <c r="B109" s="8" t="str">
        <f>"9780985066000"</f>
        <v>9780985066000</v>
      </c>
      <c r="C109" s="8" t="s">
        <v>893</v>
      </c>
    </row>
    <row r="110" spans="1:3" x14ac:dyDescent="0.25">
      <c r="A110" s="8" t="str">
        <f>"11th International Conference on Fracture 2005, ICF11"</f>
        <v>11th International Conference on Fracture 2005, ICF11</v>
      </c>
      <c r="B110" s="8" t="str">
        <f>"9781617820632"</f>
        <v>9781617820632</v>
      </c>
      <c r="C110" s="8" t="s">
        <v>1229</v>
      </c>
    </row>
    <row r="111" spans="1:3" x14ac:dyDescent="0.25">
      <c r="A111" s="8" t="str">
        <f>"11th International Conference on Intelligent Games and Simulation, GAME-ON 2010"</f>
        <v>11th International Conference on Intelligent Games and Simulation, GAME-ON 2010</v>
      </c>
      <c r="B111" s="8" t="str">
        <f>"9789077381588"</f>
        <v>9789077381588</v>
      </c>
      <c r="C111" s="8" t="s">
        <v>1206</v>
      </c>
    </row>
    <row r="112" spans="1:3" x14ac:dyDescent="0.25">
      <c r="A112" s="8" t="str">
        <f>"11th International Conference on Modeling and Applied Simulation, MAS 2012, Held at the International Multidisciplinary Modeling and Simulation Multiconference, I3M 2012"</f>
        <v>11th International Conference on Modeling and Applied Simulation, MAS 2012, Held at the International Multidisciplinary Modeling and Simulation Multiconference, I3M 2012</v>
      </c>
      <c r="B112" s="8" t="str">
        <f>"9781629934853"</f>
        <v>9781629934853</v>
      </c>
      <c r="C112" s="8" t="s">
        <v>1200</v>
      </c>
    </row>
    <row r="113" spans="1:3" x14ac:dyDescent="0.25">
      <c r="A113" s="8" t="str">
        <f>"11th International Conference on Optimization of Electrical and Electronic Equipment, OPTIM 2008"</f>
        <v>11th International Conference on Optimization of Electrical and Electronic Equipment, OPTIM 2008</v>
      </c>
      <c r="B113" s="8" t="str">
        <f>"9781424415441"</f>
        <v>9781424415441</v>
      </c>
      <c r="C113" s="8" t="s">
        <v>9</v>
      </c>
    </row>
    <row r="114" spans="1:3" x14ac:dyDescent="0.25">
      <c r="A114" s="8" t="str">
        <f>"11th International Conference on Stability, Handling and Use of Liquid Fuels 2009"</f>
        <v>11th International Conference on Stability, Handling and Use of Liquid Fuels 2009</v>
      </c>
      <c r="B114" s="8" t="str">
        <f>"9781617380150"</f>
        <v>9781617380150</v>
      </c>
      <c r="C114" s="8" t="s">
        <v>1210</v>
      </c>
    </row>
    <row r="115" spans="1:3" x14ac:dyDescent="0.25">
      <c r="A115" s="8" t="str">
        <f>"11th International Conference on Terminology and Knowledge Engineering: Ontology, Terminology and Text Mining, TKE 2014"</f>
        <v>11th International Conference on Terminology and Knowledge Engineering: Ontology, Terminology and Text Mining, TKE 2014</v>
      </c>
      <c r="B115" s="8" t="str">
        <f>"-"</f>
        <v>-</v>
      </c>
      <c r="C115" s="8" t="s">
        <v>1230</v>
      </c>
    </row>
    <row r="116" spans="1:3" x14ac:dyDescent="0.25">
      <c r="A116" s="8" t="str">
        <f>"11th International Design Conference, DESIGN 2010"</f>
        <v>11th International Design Conference, DESIGN 2010</v>
      </c>
      <c r="B116" s="8" t="str">
        <f>"9789537738037"</f>
        <v>9789537738037</v>
      </c>
      <c r="C116" s="8" t="s">
        <v>1231</v>
      </c>
    </row>
    <row r="117" spans="1:3" x14ac:dyDescent="0.25">
      <c r="A117" s="8" t="str">
        <f>"11th International Docomomo Conference: Living the Urban Modernity"</f>
        <v>11th International Docomomo Conference: Living the Urban Modernity</v>
      </c>
      <c r="B117" s="8" t="str">
        <f>"9786078059034"</f>
        <v>9786078059034</v>
      </c>
      <c r="C117" s="8" t="s">
        <v>1232</v>
      </c>
    </row>
    <row r="118" spans="1:3" x14ac:dyDescent="0.25">
      <c r="A118" s="8" t="str">
        <f>"11th International Energy Conversion Engineering Conference"</f>
        <v>11th International Energy Conversion Engineering Conference</v>
      </c>
      <c r="B118" s="8" t="str">
        <f>"-"</f>
        <v>-</v>
      </c>
      <c r="C118" s="8" t="s">
        <v>104</v>
      </c>
    </row>
    <row r="119" spans="1:3" x14ac:dyDescent="0.25">
      <c r="A119" s="8" t="str">
        <f>"11th International Industrial Simulation Conference 2013, ISC 2013"</f>
        <v>11th International Industrial Simulation Conference 2013, ISC 2013</v>
      </c>
      <c r="B119" s="8" t="str">
        <f>"9789077381762"</f>
        <v>9789077381762</v>
      </c>
      <c r="C119" s="8" t="s">
        <v>1206</v>
      </c>
    </row>
    <row r="120" spans="1:3" x14ac:dyDescent="0.25">
      <c r="A120" s="8" t="str">
        <f>"11th International Middleware Conference - Industrial Track, Middleware'10"</f>
        <v>11th International Middleware Conference - Industrial Track, Middleware'10</v>
      </c>
      <c r="B120" s="8" t="str">
        <f>"9781450304566"</f>
        <v>9781450304566</v>
      </c>
      <c r="C120" s="8" t="s">
        <v>21</v>
      </c>
    </row>
    <row r="121" spans="1:3" x14ac:dyDescent="0.25">
      <c r="A121" s="8" t="str">
        <f>"11th International Multidisciplinary Scientific Geoconference and EXPO - Modern Management of Mine Producing, Geology and Environmental Protection, SGEM 2011"</f>
        <v>11th International Multidisciplinary Scientific Geoconference and EXPO - Modern Management of Mine Producing, Geology and Environmental Protection, SGEM 2011</v>
      </c>
      <c r="B121" s="8" t="str">
        <f>"-"</f>
        <v>-</v>
      </c>
      <c r="C121" s="8" t="s">
        <v>1211</v>
      </c>
    </row>
    <row r="122" spans="1:3" x14ac:dyDescent="0.25">
      <c r="A122" s="8" t="str">
        <f>"11th International Probabilistic Safety Assessment and Management Conference and the Annual European Safety and Reliability Conference 2012, PSAM11 ESREL 2012"</f>
        <v>11th International Probabilistic Safety Assessment and Management Conference and the Annual European Safety and Reliability Conference 2012, PSAM11 ESREL 2012</v>
      </c>
      <c r="B122" s="8" t="str">
        <f>"9781622764365"</f>
        <v>9781622764365</v>
      </c>
      <c r="C122" s="8" t="s">
        <v>1208</v>
      </c>
    </row>
    <row r="123" spans="1:3" x14ac:dyDescent="0.25">
      <c r="A123" s="8" t="s">
        <v>1233</v>
      </c>
      <c r="B123" s="8" t="str">
        <f>"9780780388772"</f>
        <v>9780780388772</v>
      </c>
      <c r="C123" s="8" t="s">
        <v>9</v>
      </c>
    </row>
    <row r="124" spans="1:3" x14ac:dyDescent="0.25">
      <c r="A124" s="8" t="str">
        <f>"11th International Symposium on Artificial Intelligence and Mathematics, ISAIM 2010"</f>
        <v>11th International Symposium on Artificial Intelligence and Mathematics, ISAIM 2010</v>
      </c>
      <c r="B124" s="8" t="str">
        <f>"-"</f>
        <v>-</v>
      </c>
      <c r="C124" s="8" t="s">
        <v>42</v>
      </c>
    </row>
    <row r="125" spans="1:3" x14ac:dyDescent="0.25">
      <c r="A125" s="8" t="str">
        <f>"11th International Symposium on Communications and Information Technologies, ISCIT 2011"</f>
        <v>11th International Symposium on Communications and Information Technologies, ISCIT 2011</v>
      </c>
      <c r="B125" s="8" t="str">
        <f>"9781457712944"</f>
        <v>9781457712944</v>
      </c>
      <c r="C125" s="8" t="s">
        <v>9</v>
      </c>
    </row>
    <row r="126" spans="1:3" x14ac:dyDescent="0.25">
      <c r="A126" s="8" t="str">
        <f>"11th International Symposium on Practical Design of Ships and Other Floating Structures, PRADS 2010"</f>
        <v>11th International Symposium on Practical Design of Ships and Other Floating Structures, PRADS 2010</v>
      </c>
      <c r="B126" s="8" t="str">
        <f>"-"</f>
        <v>-</v>
      </c>
      <c r="C126" s="8" t="s">
        <v>1234</v>
      </c>
    </row>
    <row r="127" spans="1:3" x14ac:dyDescent="0.25">
      <c r="A127" s="8" t="str">
        <f>"11th International Workshop on Image Analysis for Multimedia Interactive Services, WIAMIS 10"</f>
        <v>11th International Workshop on Image Analysis for Multimedia Interactive Services, WIAMIS 10</v>
      </c>
      <c r="B127" s="8" t="str">
        <f>"9781424478484"</f>
        <v>9781424478484</v>
      </c>
      <c r="C127" s="8" t="s">
        <v>9</v>
      </c>
    </row>
    <row r="128" spans="1:3" x14ac:dyDescent="0.25">
      <c r="A128" s="8" t="str">
        <f>"11th Marcel Grossmann Meeting on Recent Developments in Theoretical and Experimental General Relativity, Gravitation and Relativistic Field Theories - Proc. of the MG11 Meeting on General Relativity"</f>
        <v>11th Marcel Grossmann Meeting on Recent Developments in Theoretical and Experimental General Relativity, Gravitation and Relativistic Field Theories - Proc. of the MG11 Meeting on General Relativity</v>
      </c>
      <c r="B128" s="8" t="str">
        <f>"9789812834263"</f>
        <v>9789812834263</v>
      </c>
      <c r="C128" s="8" t="s">
        <v>157</v>
      </c>
    </row>
    <row r="129" spans="1:3" x14ac:dyDescent="0.25">
      <c r="A129" s="8" t="str">
        <f>"11th Middle Eastern Simulation Multiconference, MESM 2010 - 1st GAMEON-ARABIA Conference, GAMEON-ARABIA 2010"</f>
        <v>11th Middle Eastern Simulation Multiconference, MESM 2010 - 1st GAMEON-ARABIA Conference, GAMEON-ARABIA 2010</v>
      </c>
      <c r="B129" s="8" t="str">
        <f>"9789077381595"</f>
        <v>9789077381595</v>
      </c>
      <c r="C129" s="8" t="s">
        <v>1206</v>
      </c>
    </row>
    <row r="130" spans="1:3" x14ac:dyDescent="0.25">
      <c r="A130" s="8" t="str">
        <f>"11th Petroleum and Chemical Industry Conference Europe Electrical and Instrumentation Applications, PCIC 2014"</f>
        <v>11th Petroleum and Chemical Industry Conference Europe Electrical and Instrumentation Applications, PCIC 2014</v>
      </c>
      <c r="B130" s="8" t="str">
        <f>"9783952405932"</f>
        <v>9783952405932</v>
      </c>
      <c r="C130" s="8" t="s">
        <v>105</v>
      </c>
    </row>
    <row r="131" spans="1:3" x14ac:dyDescent="0.25">
      <c r="A131" s="8" t="str">
        <f>"11th Specialist Meeting on Microwave Radiometry and Remote Sensing of the Environment, MicroRad 2010 - Proceedings"</f>
        <v>11th Specialist Meeting on Microwave Radiometry and Remote Sensing of the Environment, MicroRad 2010 - Proceedings</v>
      </c>
      <c r="B131" s="8" t="str">
        <f>"9781424481217"</f>
        <v>9781424481217</v>
      </c>
      <c r="C131" s="8" t="s">
        <v>9</v>
      </c>
    </row>
    <row r="132" spans="1:3" x14ac:dyDescent="0.25">
      <c r="A132" s="8" t="str">
        <f>"11th Symposium on Neural Network Applications in Electrical Engineering,NEUREL 2012 - Proceedings"</f>
        <v>11th Symposium on Neural Network Applications in Electrical Engineering,NEUREL 2012 - Proceedings</v>
      </c>
      <c r="B132" s="8" t="str">
        <f>"9781467315722"</f>
        <v>9781467315722</v>
      </c>
      <c r="C132" s="8" t="s">
        <v>9</v>
      </c>
    </row>
    <row r="133" spans="1:3" x14ac:dyDescent="0.25">
      <c r="A133" s="8" t="str">
        <f>"11th Working Conference on Mining Software Repositories, MSR 2014 - Proceedings"</f>
        <v>11th Working Conference on Mining Software Repositories, MSR 2014 - Proceedings</v>
      </c>
      <c r="B133" s="8" t="str">
        <f>"9781450328630"</f>
        <v>9781450328630</v>
      </c>
      <c r="C133" s="8" t="s">
        <v>1235</v>
      </c>
    </row>
    <row r="134" spans="1:3" x14ac:dyDescent="0.25">
      <c r="A134" s="8" t="str">
        <f>"11th Workshop on Requirements Engineering, WER 2008 - Proceedings"</f>
        <v>11th Workshop on Requirements Engineering, WER 2008 - Proceedings</v>
      </c>
      <c r="B134" s="8" t="str">
        <f>"9788476531440"</f>
        <v>9788476531440</v>
      </c>
      <c r="C134" s="8" t="s">
        <v>1236</v>
      </c>
    </row>
    <row r="135" spans="1:3" x14ac:dyDescent="0.25">
      <c r="A135" s="8" t="str">
        <f>"11th World Conference on Timber Engineering 2010, WCTE 2010"</f>
        <v>11th World Conference on Timber Engineering 2010, WCTE 2010</v>
      </c>
      <c r="B135" s="8" t="str">
        <f>"9781622761753"</f>
        <v>9781622761753</v>
      </c>
      <c r="C135" s="8" t="s">
        <v>1237</v>
      </c>
    </row>
    <row r="136" spans="1:3" x14ac:dyDescent="0.25">
      <c r="A136" s="8" t="str">
        <f>"11th World Congress on Computational Mechanics, WCCM 2014, 5th European Conference on Computational Mechanics, ECCM 2014 and 6th European Conference on Computational Fluid Dynamics, ECFD 2014"</f>
        <v>11th World Congress on Computational Mechanics, WCCM 2014, 5th European Conference on Computational Mechanics, ECCM 2014 and 6th European Conference on Computational Fluid Dynamics, ECFD 2014</v>
      </c>
      <c r="B136" s="8" t="str">
        <f>"9788494284472"</f>
        <v>9788494284472</v>
      </c>
      <c r="C136" s="8" t="s">
        <v>1238</v>
      </c>
    </row>
    <row r="137" spans="1:3" x14ac:dyDescent="0.25">
      <c r="A137" s="8" t="str">
        <f>"11th WSEAS International Conference on Robotics, Control and Manufacturing Technology, ROCOM'11, 11th WSEAS International Conference on Multimedia Systems and Signal Processing, MUSP'11"</f>
        <v>11th WSEAS International Conference on Robotics, Control and Manufacturing Technology, ROCOM'11, 11th WSEAS International Conference on Multimedia Systems and Signal Processing, MUSP'11</v>
      </c>
      <c r="B137" s="8" t="str">
        <f>"9789604742837"</f>
        <v>9789604742837</v>
      </c>
      <c r="C137" s="8" t="s">
        <v>553</v>
      </c>
    </row>
    <row r="138" spans="1:3" x14ac:dyDescent="0.25">
      <c r="A138" s="8" t="str">
        <f>"11th-Annual SPE TPO Conference - World's Leading Automotive Olefins Forum"</f>
        <v>11th-Annual SPE TPO Conference - World's Leading Automotive Olefins Forum</v>
      </c>
      <c r="B138" s="8" t="str">
        <f>"-"</f>
        <v>-</v>
      </c>
      <c r="C138" s="8" t="s">
        <v>132</v>
      </c>
    </row>
    <row r="139" spans="1:3" x14ac:dyDescent="0.25">
      <c r="A139" s="8" t="str">
        <f>"126th Audio Engineering Society Convention 2009"</f>
        <v>126th Audio Engineering Society Convention 2009</v>
      </c>
      <c r="B139" s="8" t="str">
        <f>"9781615671663"</f>
        <v>9781615671663</v>
      </c>
      <c r="C139" s="8" t="s">
        <v>98</v>
      </c>
    </row>
    <row r="140" spans="1:3" x14ac:dyDescent="0.25">
      <c r="A140" s="8" t="str">
        <f>"127th Audio Engineering Society Convention 2009"</f>
        <v>127th Audio Engineering Society Convention 2009</v>
      </c>
      <c r="B140" s="8" t="str">
        <f>"9781615677122"</f>
        <v>9781615677122</v>
      </c>
      <c r="C140" s="8" t="s">
        <v>98</v>
      </c>
    </row>
    <row r="141" spans="1:3" x14ac:dyDescent="0.25">
      <c r="A141" s="8" t="str">
        <f>"128th Audio Engineering Society Convention 2010"</f>
        <v>128th Audio Engineering Society Convention 2010</v>
      </c>
      <c r="B141" s="8" t="str">
        <f>"9781617387739"</f>
        <v>9781617387739</v>
      </c>
      <c r="C141" s="8" t="s">
        <v>98</v>
      </c>
    </row>
    <row r="142" spans="1:3" x14ac:dyDescent="0.25">
      <c r="A142" s="8" t="str">
        <f>"129th Audio Engineering Society Convention 2010"</f>
        <v>129th Audio Engineering Society Convention 2010</v>
      </c>
      <c r="B142" s="8" t="str">
        <f>"9781617821943"</f>
        <v>9781617821943</v>
      </c>
      <c r="C142" s="8" t="s">
        <v>98</v>
      </c>
    </row>
    <row r="143" spans="1:3" x14ac:dyDescent="0.25">
      <c r="A143" s="8" t="str">
        <f>"12th Abu Dhabi International Petroleum Exhibition and Conference, ADIPEC 2006: Meeting the Increasing Oil and Gas Demand Through Innovation"</f>
        <v>12th Abu Dhabi International Petroleum Exhibition and Conference, ADIPEC 2006: Meeting the Increasing Oil and Gas Demand Through Innovation</v>
      </c>
      <c r="B143" s="8" t="str">
        <f>"-"</f>
        <v>-</v>
      </c>
      <c r="C143" s="8" t="s">
        <v>671</v>
      </c>
    </row>
    <row r="144" spans="1:3" x14ac:dyDescent="0.25">
      <c r="A144" s="8" t="str">
        <f>"12th ACM/IEEE International Conference on Methods and Models for System Design, MEMOCODE 2014"</f>
        <v>12th ACM/IEEE International Conference on Methods and Models for System Design, MEMOCODE 2014</v>
      </c>
      <c r="B144" s="8" t="str">
        <f>"9781479953387"</f>
        <v>9781479953387</v>
      </c>
      <c r="C144" s="8" t="s">
        <v>105</v>
      </c>
    </row>
    <row r="145" spans="1:3" x14ac:dyDescent="0.25">
      <c r="A145" s="8" t="str">
        <f>"12th AIAA Aviation Technology, Integration and Operations (ATIO) Conference and 14th AIAA/ISSMO Multidisciplinary Analysis and Optimization Conference"</f>
        <v>12th AIAA Aviation Technology, Integration and Operations (ATIO) Conference and 14th AIAA/ISSMO Multidisciplinary Analysis and Optimization Conference</v>
      </c>
      <c r="B145" s="8" t="str">
        <f>"9781600869303"</f>
        <v>9781600869303</v>
      </c>
      <c r="C145" s="8" t="s">
        <v>104</v>
      </c>
    </row>
    <row r="146" spans="1:3" x14ac:dyDescent="0.25">
      <c r="A146" s="8" t="str">
        <f>"12th AIAA International Space Planes and Hypersonic Systems and Technologies"</f>
        <v>12th AIAA International Space Planes and Hypersonic Systems and Technologies</v>
      </c>
      <c r="B146" s="8" t="str">
        <f>"9781624100857"</f>
        <v>9781624100857</v>
      </c>
      <c r="C146" s="8" t="s">
        <v>104</v>
      </c>
    </row>
    <row r="147" spans="1:3" x14ac:dyDescent="0.25">
      <c r="A147" s="8" t="str">
        <f>"12th AIAA/ISSMO Multidisciplinary Analysis and Optimization Conference, MAO"</f>
        <v>12th AIAA/ISSMO Multidisciplinary Analysis and Optimization Conference, MAO</v>
      </c>
      <c r="B147" s="8" t="str">
        <f>"9781563479472"</f>
        <v>9781563479472</v>
      </c>
      <c r="C147" s="8" t="s">
        <v>104</v>
      </c>
    </row>
    <row r="148" spans="1:3" x14ac:dyDescent="0.25">
      <c r="A148" s="8" t="str">
        <f>"12th Americas Conference on Wind Engineering 2013, ACWE 2013: Wind Effects on Structures, Communities, and Energy Generation"</f>
        <v>12th Americas Conference on Wind Engineering 2013, ACWE 2013: Wind Effects on Structures, Communities, and Energy Generation</v>
      </c>
      <c r="B148" s="8" t="str">
        <f>"9781629930657"</f>
        <v>9781629930657</v>
      </c>
      <c r="C148" s="8" t="s">
        <v>1224</v>
      </c>
    </row>
    <row r="149" spans="1:3" x14ac:dyDescent="0.25">
      <c r="A149" s="8" t="str">
        <f>"12th Annual Conference on Mechatronics and Machine Vision in Practice, M2VIP 2005"</f>
        <v>12th Annual Conference on Mechatronics and Machine Vision in Practice, M2VIP 2005</v>
      </c>
      <c r="B149" s="8" t="str">
        <f>"9781604236149"</f>
        <v>9781604236149</v>
      </c>
      <c r="C149" s="8" t="s">
        <v>1239</v>
      </c>
    </row>
    <row r="150" spans="1:3" x14ac:dyDescent="0.25">
      <c r="A150" s="8" t="str">
        <f>"12th Annual Industrial Simulation Conference, ISC 2014"</f>
        <v>12th Annual Industrial Simulation Conference, ISC 2014</v>
      </c>
      <c r="B150" s="8" t="str">
        <f>"9789077381830"</f>
        <v>9789077381830</v>
      </c>
      <c r="C150" s="8" t="s">
        <v>1206</v>
      </c>
    </row>
    <row r="151" spans="1:3" x14ac:dyDescent="0.25">
      <c r="A151" s="8" t="str">
        <f>"12th Annual Mediterranean Ad Hoc Networking Workshop, MED-HOC-NET 2013"</f>
        <v>12th Annual Mediterranean Ad Hoc Networking Workshop, MED-HOC-NET 2013</v>
      </c>
      <c r="B151" s="8" t="str">
        <f>"9781479910045"</f>
        <v>9781479910045</v>
      </c>
      <c r="C151" s="8" t="s">
        <v>9</v>
      </c>
    </row>
    <row r="152" spans="1:3" x14ac:dyDescent="0.25">
      <c r="A152" s="8" t="str">
        <f>"12th Australian Conference on Knowledge Management and Intelligent Decision Support, ACKMIDS 09 and 20th Australasian Conference on Information Systems, ACIS 2009"</f>
        <v>12th Australian Conference on Knowledge Management and Intelligent Decision Support, ACKMIDS 09 and 20th Australasian Conference on Information Systems, ACIS 2009</v>
      </c>
      <c r="B152" s="8" t="str">
        <f>"-"</f>
        <v>-</v>
      </c>
      <c r="C152" s="8" t="s">
        <v>1240</v>
      </c>
    </row>
    <row r="153" spans="1:3" x14ac:dyDescent="0.25">
      <c r="A153" s="8" t="str">
        <f>"12th Biennial IEEE Conference on Electromagnetic Field Computation, CEFC 2006"</f>
        <v>12th Biennial IEEE Conference on Electromagnetic Field Computation, CEFC 2006</v>
      </c>
      <c r="B153" s="8" t="str">
        <f>"-"</f>
        <v>-</v>
      </c>
      <c r="C153" s="8" t="s">
        <v>9</v>
      </c>
    </row>
    <row r="154" spans="1:3" x14ac:dyDescent="0.25">
      <c r="A154" s="8" t="str">
        <f>"12th Canadian Workshop on Information Theory, CWIT 2011"</f>
        <v>12th Canadian Workshop on Information Theory, CWIT 2011</v>
      </c>
      <c r="B154" s="8" t="str">
        <f>"9781457707438"</f>
        <v>9781457707438</v>
      </c>
      <c r="C154" s="8" t="s">
        <v>9</v>
      </c>
    </row>
    <row r="155" spans="1:3" x14ac:dyDescent="0.25">
      <c r="A155" s="8" t="str">
        <f>"12th Conference on Cloud Physics, and 12th Conference on Atmospheric Radiation"</f>
        <v>12th Conference on Cloud Physics, and 12th Conference on Atmospheric Radiation</v>
      </c>
      <c r="B155" s="8" t="str">
        <f>"-"</f>
        <v>-</v>
      </c>
      <c r="C155" s="8" t="s">
        <v>225</v>
      </c>
    </row>
    <row r="156" spans="1:3" x14ac:dyDescent="0.25">
      <c r="A156" s="8" t="str">
        <f>"12th Conference on Mesoscale Processes"</f>
        <v>12th Conference on Mesoscale Processes</v>
      </c>
      <c r="B156" s="8" t="str">
        <f>"-"</f>
        <v>-</v>
      </c>
      <c r="C156" s="8" t="s">
        <v>225</v>
      </c>
    </row>
    <row r="157" spans="1:3" x14ac:dyDescent="0.25">
      <c r="A157" s="8" t="str">
        <f>"12th Conference-Seminar: International School on Nonsinusoidal Currents and Compensation, ISNCC 2015 - Conference Proceedings"</f>
        <v>12th Conference-Seminar: International School on Nonsinusoidal Currents and Compensation, ISNCC 2015 - Conference Proceedings</v>
      </c>
      <c r="B157" s="8" t="str">
        <f>"9781479984169"</f>
        <v>9781479984169</v>
      </c>
      <c r="C157" s="8" t="s">
        <v>105</v>
      </c>
    </row>
    <row r="158" spans="1:3" x14ac:dyDescent="0.25">
      <c r="A158" s="8" t="str">
        <f>"12th Eurographics Symposium on Virtual Environments, EGVE 2006"</f>
        <v>12th Eurographics Symposium on Virtual Environments, EGVE 2006</v>
      </c>
      <c r="B158" s="8" t="str">
        <f>"9783905673333"</f>
        <v>9783905673333</v>
      </c>
      <c r="C158" s="8" t="s">
        <v>23</v>
      </c>
    </row>
    <row r="159" spans="1:3" x14ac:dyDescent="0.25">
      <c r="A159" s="8" t="str">
        <f>"12th Euromicro Conference on Digital System Design: Architectures, Methods and Tools, DSD 2009"</f>
        <v>12th Euromicro Conference on Digital System Design: Architectures, Methods and Tools, DSD 2009</v>
      </c>
      <c r="B159" s="8" t="str">
        <f>"9780769537825"</f>
        <v>9780769537825</v>
      </c>
      <c r="C159" s="8" t="s">
        <v>9</v>
      </c>
    </row>
    <row r="160" spans="1:3" x14ac:dyDescent="0.25">
      <c r="A160" s="8" t="str">
        <f>"12th European Concurrent Engineering Conference 2005, ECEC 2005"</f>
        <v>12th European Concurrent Engineering Conference 2005, ECEC 2005</v>
      </c>
      <c r="B160" s="8" t="str">
        <f>"9789077381168"</f>
        <v>9789077381168</v>
      </c>
      <c r="C160" s="8" t="s">
        <v>1206</v>
      </c>
    </row>
    <row r="161" spans="1:3" x14ac:dyDescent="0.25">
      <c r="A161" s="8" t="str">
        <f>"12th European Wireless Conference 2006 - Enabling Technologies for Wireless Multimedia Communications, European Wireless 2006"</f>
        <v>12th European Wireless Conference 2006 - Enabling Technologies for Wireless Multimedia Communications, European Wireless 2006</v>
      </c>
      <c r="B161" s="8" t="str">
        <f>"9783800729616"</f>
        <v>9783800729616</v>
      </c>
      <c r="C161" s="8" t="s">
        <v>105</v>
      </c>
    </row>
    <row r="162" spans="1:3" x14ac:dyDescent="0.25">
      <c r="A162" s="8" t="str">
        <f>"12th GAMM - IMACS International Symposium on Scientific Computing, Computer Arithmetic and Validated Numerics, SCAN 2006, Conference Post-Proceedings"</f>
        <v>12th GAMM - IMACS International Symposium on Scientific Computing, Computer Arithmetic and Validated Numerics, SCAN 2006, Conference Post-Proceedings</v>
      </c>
      <c r="B162" s="8" t="str">
        <f>"9780769528212"</f>
        <v>9780769528212</v>
      </c>
      <c r="C162" s="8" t="s">
        <v>9</v>
      </c>
    </row>
    <row r="163" spans="1:3" x14ac:dyDescent="0.25">
      <c r="A163" s="8" t="str">
        <f>"12th Iberoamerican Conference on Requirements Engineering and Software Environments, IDEAS 2009"</f>
        <v>12th Iberoamerican Conference on Requirements Engineering and Software Environments, IDEAS 2009</v>
      </c>
      <c r="B163" s="8" t="str">
        <f>"-"</f>
        <v>-</v>
      </c>
      <c r="C163" s="8" t="s">
        <v>1241</v>
      </c>
    </row>
    <row r="164" spans="1:3" x14ac:dyDescent="0.25">
      <c r="A164" s="8" t="str">
        <f>"12th IEEE International Conference on Advanced Thermal Processing of Semiconductors, RTP 2004"</f>
        <v>12th IEEE International Conference on Advanced Thermal Processing of Semiconductors, RTP 2004</v>
      </c>
      <c r="B164" s="8" t="str">
        <f>"9780780384774"</f>
        <v>9780780384774</v>
      </c>
      <c r="C164" s="8" t="s">
        <v>9</v>
      </c>
    </row>
    <row r="165" spans="1:3" x14ac:dyDescent="0.25">
      <c r="A165" s="8" t="str">
        <f>"12th IEEE International Conference on Communication Systems 2010, ICCS 2010"</f>
        <v>12th IEEE International Conference on Communication Systems 2010, ICCS 2010</v>
      </c>
      <c r="B165" s="8" t="str">
        <f>"9781424470068"</f>
        <v>9781424470068</v>
      </c>
      <c r="C165" s="8" t="s">
        <v>9</v>
      </c>
    </row>
    <row r="166" spans="1:3" x14ac:dyDescent="0.25">
      <c r="A166" s="8" t="str">
        <f>"12th IEEE International Conference on e-Health Networking, Application and Services, Healthcom 2010"</f>
        <v>12th IEEE International Conference on e-Health Networking, Application and Services, Healthcom 2010</v>
      </c>
      <c r="B166" s="8" t="str">
        <f>"9781424463749"</f>
        <v>9781424463749</v>
      </c>
      <c r="C166" s="8" t="s">
        <v>9</v>
      </c>
    </row>
    <row r="167" spans="1:3" x14ac:dyDescent="0.25">
      <c r="A167" s="8" t="str">
        <f>"12th IEEE International Symposium on Computational Intelligence and Informatics, CINTI 2011 - Proceedings"</f>
        <v>12th IEEE International Symposium on Computational Intelligence and Informatics, CINTI 2011 - Proceedings</v>
      </c>
      <c r="B167" s="8" t="str">
        <f>"9781457700453"</f>
        <v>9781457700453</v>
      </c>
      <c r="C167" s="8" t="s">
        <v>9</v>
      </c>
    </row>
    <row r="168" spans="1:3" x14ac:dyDescent="0.25">
      <c r="A168" s="8" t="str">
        <f>"12th IEEE International Symposium on Safety, Security and Rescue Robotics, SSRR 2014 - Symposium Proceedings"</f>
        <v>12th IEEE International Symposium on Safety, Security and Rescue Robotics, SSRR 2014 - Symposium Proceedings</v>
      </c>
      <c r="B168" s="8" t="str">
        <f>"9781479941995"</f>
        <v>9781479941995</v>
      </c>
      <c r="C168" s="8" t="s">
        <v>105</v>
      </c>
    </row>
    <row r="169" spans="1:3" x14ac:dyDescent="0.25">
      <c r="A169" s="8" t="str">
        <f>"12th IEEE Workshop on Signal Propagation on Interconnects, SPI"</f>
        <v>12th IEEE Workshop on Signal Propagation on Interconnects, SPI</v>
      </c>
      <c r="B169" s="8" t="str">
        <f>"9781424423187"</f>
        <v>9781424423187</v>
      </c>
      <c r="C169" s="8" t="s">
        <v>9</v>
      </c>
    </row>
    <row r="170" spans="1:3" x14ac:dyDescent="0.25">
      <c r="A170" s="8" t="str">
        <f>"12th IMEKO TC10 Workshop on Technical Diagnostics: New Perspective in Measurements, Tools and Techniques for Industrial Applications, Proceedings"</f>
        <v>12th IMEKO TC10 Workshop on Technical Diagnostics: New Perspective in Measurements, Tools and Techniques for Industrial Applications, Proceedings</v>
      </c>
      <c r="B170" s="8" t="str">
        <f>"9788890314988"</f>
        <v>9788890314988</v>
      </c>
      <c r="C170" s="8" t="s">
        <v>1198</v>
      </c>
    </row>
    <row r="171" spans="1:3" x14ac:dyDescent="0.25">
      <c r="A171" s="8" t="str">
        <f>"12th Int. Conference on Harbor, Maritime and Multimodal Logistics Modeling and Simulation, HMS 2010, Held at the International Mediterranean and Latin American Modeling Multiconference, I3M 2010"</f>
        <v>12th Int. Conference on Harbor, Maritime and Multimodal Logistics Modeling and Simulation, HMS 2010, Held at the International Mediterranean and Latin American Modeling Multiconference, I3M 2010</v>
      </c>
      <c r="B171" s="8" t="str">
        <f>"9781629934761"</f>
        <v>9781629934761</v>
      </c>
      <c r="C171" s="8" t="s">
        <v>1200</v>
      </c>
    </row>
    <row r="172" spans="1:3" x14ac:dyDescent="0.25">
      <c r="A172" s="8" t="str">
        <f>"12th International ACM Workshop on Data Engineering for Wireless and Mobile Acess, MobiDE 2013 - In Conjunction with the ACM SIGMOD/PODS 2013"</f>
        <v>12th International ACM Workshop on Data Engineering for Wireless and Mobile Acess, MobiDE 2013 - In Conjunction with the ACM SIGMOD/PODS 2013</v>
      </c>
      <c r="B172" s="8" t="str">
        <f>"9781450321976"</f>
        <v>9781450321976</v>
      </c>
      <c r="C172" s="8" t="s">
        <v>21</v>
      </c>
    </row>
    <row r="173" spans="1:3" x14ac:dyDescent="0.25">
      <c r="A173" s="8" t="str">
        <f>"12th International Advanced Automotive Battery Conference, AABC 2012, Proceedings of the AABTAM 2012 Symposium - Advanced Automotive Battery Technology, Application and Market"</f>
        <v>12th International Advanced Automotive Battery Conference, AABC 2012, Proceedings of the AABTAM 2012 Symposium - Advanced Automotive Battery Technology, Application and Market</v>
      </c>
      <c r="B173" s="8" t="str">
        <f>"-"</f>
        <v>-</v>
      </c>
      <c r="C173" s="8" t="s">
        <v>1242</v>
      </c>
    </row>
    <row r="174" spans="1:3" x14ac:dyDescent="0.25">
      <c r="A174" s="8" t="str">
        <f>"12th International Advanced Automotive Battery Conference, AABC 2012, Proceedings of the LLIBTA 2012 Symposium - Large Lithium Ion Battery Technology and Application"</f>
        <v>12th International Advanced Automotive Battery Conference, AABC 2012, Proceedings of the LLIBTA 2012 Symposium - Large Lithium Ion Battery Technology and Application</v>
      </c>
      <c r="B174" s="8" t="str">
        <f>"-"</f>
        <v>-</v>
      </c>
      <c r="C174" s="8" t="s">
        <v>1242</v>
      </c>
    </row>
    <row r="175" spans="1:3" x14ac:dyDescent="0.25">
      <c r="A175" s="8" t="str">
        <f>"12th International Conference and Seminar on Micro/Nanotechnologies and Electron Devices, EDM'2011 - Proceedings"</f>
        <v>12th International Conference and Seminar on Micro/Nanotechnologies and Electron Devices, EDM'2011 - Proceedings</v>
      </c>
      <c r="B175" s="8" t="str">
        <f>"9781612847955"</f>
        <v>9781612847955</v>
      </c>
      <c r="C175" s="8" t="s">
        <v>9</v>
      </c>
    </row>
    <row r="176" spans="1:3" x14ac:dyDescent="0.25">
      <c r="A176" s="8" t="str">
        <f>"12th International Conference of the Association Information and Management 2007, AIM 2007"</f>
        <v>12th International Conference of the Association Information and Management 2007, AIM 2007</v>
      </c>
      <c r="B176" s="8" t="str">
        <f>"-"</f>
        <v>-</v>
      </c>
      <c r="C176" s="8" t="s">
        <v>1243</v>
      </c>
    </row>
    <row r="177" spans="1:3" x14ac:dyDescent="0.25">
      <c r="A177" s="8" t="str">
        <f>"12th International Conference of the Slovenian Society for Non-Destructive Testing: Application of Contemporary Non-Destructive Testing in Engineering, ICNDT 2013 - Conference Proceedings"</f>
        <v>12th International Conference of the Slovenian Society for Non-Destructive Testing: Application of Contemporary Non-Destructive Testing in Engineering, ICNDT 2013 - Conference Proceedings</v>
      </c>
      <c r="B177" s="8" t="str">
        <f>"9789619353707"</f>
        <v>9789619353707</v>
      </c>
      <c r="C177" s="8" t="s">
        <v>1202</v>
      </c>
    </row>
    <row r="178" spans="1:3" x14ac:dyDescent="0.25">
      <c r="A178" s="8" t="str">
        <f>"12th International Conference on Advances in Mobile Computing and Multimedia, MoMM 2014"</f>
        <v>12th International Conference on Advances in Mobile Computing and Multimedia, MoMM 2014</v>
      </c>
      <c r="B178" s="8" t="str">
        <f>"9781450330084"</f>
        <v>9781450330084</v>
      </c>
      <c r="C178" s="8" t="s">
        <v>1235</v>
      </c>
    </row>
    <row r="179" spans="1:3" x14ac:dyDescent="0.25">
      <c r="A179" s="8" t="str">
        <f>"12th International Conference on Autonomous Agents and Multiagent Systems 2013, AAMAS 2013"</f>
        <v>12th International Conference on Autonomous Agents and Multiagent Systems 2013, AAMAS 2013</v>
      </c>
      <c r="B179" s="8" t="str">
        <f>"9781627487665"</f>
        <v>9781627487665</v>
      </c>
      <c r="C179" s="8" t="s">
        <v>989</v>
      </c>
    </row>
    <row r="180" spans="1:3" x14ac:dyDescent="0.25">
      <c r="A180" s="8" t="str">
        <f>"12th International Conference on Computer Methods and Advances in Geomechanics 2008"</f>
        <v>12th International Conference on Computer Methods and Advances in Geomechanics 2008</v>
      </c>
      <c r="B180" s="8" t="str">
        <f>"9781622761760"</f>
        <v>9781622761760</v>
      </c>
      <c r="C180" s="8" t="s">
        <v>1244</v>
      </c>
    </row>
    <row r="181" spans="1:3" x14ac:dyDescent="0.25">
      <c r="A181" s="8" t="str">
        <f>"12th International Conference on Emerging Nuclear Energy Systems 2005, ICENES 2005"</f>
        <v>12th International Conference on Emerging Nuclear Energy Systems 2005, ICENES 2005</v>
      </c>
      <c r="B181" s="8" t="str">
        <f>"9781617826443"</f>
        <v>9781617826443</v>
      </c>
      <c r="C181" s="8" t="s">
        <v>1245</v>
      </c>
    </row>
    <row r="182" spans="1:3" x14ac:dyDescent="0.25">
      <c r="A182" s="8" t="str">
        <f>"12th International Conference on Environment and Electrical Engineering, EEEIC 2013"</f>
        <v>12th International Conference on Environment and Electrical Engineering, EEEIC 2013</v>
      </c>
      <c r="B182" s="8" t="str">
        <f>"9781467330589"</f>
        <v>9781467330589</v>
      </c>
      <c r="C182" s="8" t="s">
        <v>9</v>
      </c>
    </row>
    <row r="183" spans="1:3" x14ac:dyDescent="0.25">
      <c r="A183" s="8" t="str">
        <f>"12th International Conference on Fracture 2009, ICF-12"</f>
        <v>12th International Conference on Fracture 2009, ICF-12</v>
      </c>
      <c r="B183" s="8" t="str">
        <f>"9781617382277"</f>
        <v>9781617382277</v>
      </c>
      <c r="C183" s="8" t="s">
        <v>1229</v>
      </c>
    </row>
    <row r="184" spans="1:3" x14ac:dyDescent="0.25">
      <c r="A184" s="8" t="str">
        <f>"12th International Conference on Indoor Air Quality and Climate 2011"</f>
        <v>12th International Conference on Indoor Air Quality and Climate 2011</v>
      </c>
      <c r="B184" s="8" t="str">
        <f>"9781627482721"</f>
        <v>9781627482721</v>
      </c>
      <c r="C184" s="8" t="s">
        <v>1205</v>
      </c>
    </row>
    <row r="185" spans="1:3" x14ac:dyDescent="0.25">
      <c r="A185" s="8" t="str">
        <f>"12th International Conference on Intelligent Engineering Systems - Proceedings, INES 2008"</f>
        <v>12th International Conference on Intelligent Engineering Systems - Proceedings, INES 2008</v>
      </c>
      <c r="B185" s="8" t="str">
        <f>"9781424420834"</f>
        <v>9781424420834</v>
      </c>
      <c r="C185" s="8" t="s">
        <v>9</v>
      </c>
    </row>
    <row r="186" spans="1:3" x14ac:dyDescent="0.25">
      <c r="A186" s="8" t="str">
        <f>"12th International Conference on Intelligent Games and Simulation, GAME-ON 2011"</f>
        <v>12th International Conference on Intelligent Games and Simulation, GAME-ON 2011</v>
      </c>
      <c r="B186" s="8" t="str">
        <f>"9789077381649"</f>
        <v>9789077381649</v>
      </c>
      <c r="C186" s="8" t="s">
        <v>1206</v>
      </c>
    </row>
    <row r="187" spans="1:3" x14ac:dyDescent="0.25">
      <c r="A187" s="8" t="str">
        <f>"12th International Conference on Modeling and Applied Simulation, MAS 2013, Held at the International Multidisciplinary Modeling and Simulation Multiconference, I3M 2013"</f>
        <v>12th International Conference on Modeling and Applied Simulation, MAS 2013, Held at the International Multidisciplinary Modeling and Simulation Multiconference, I3M 2013</v>
      </c>
      <c r="B187" s="8" t="str">
        <f>"9781629934907"</f>
        <v>9781629934907</v>
      </c>
      <c r="C187" s="8" t="s">
        <v>1200</v>
      </c>
    </row>
    <row r="188" spans="1:3" x14ac:dyDescent="0.25">
      <c r="A188" s="8" t="str">
        <f>"12th International Conference on Multiphase Production Technology '05"</f>
        <v>12th International Conference on Multiphase Production Technology '05</v>
      </c>
      <c r="B188" s="8" t="str">
        <f>"9781855980648"</f>
        <v>9781855980648</v>
      </c>
      <c r="C188" s="8" t="s">
        <v>1246</v>
      </c>
    </row>
    <row r="189" spans="1:3" x14ac:dyDescent="0.25">
      <c r="A189" s="8" t="str">
        <f>"12th International Conference on Stability, Handling and Use of Liquid Fuels 2011"</f>
        <v>12th International Conference on Stability, Handling and Use of Liquid Fuels 2011</v>
      </c>
      <c r="B189" s="8" t="str">
        <f>"9781618397645"</f>
        <v>9781618397645</v>
      </c>
      <c r="C189" s="8" t="s">
        <v>1210</v>
      </c>
    </row>
    <row r="190" spans="1:3" x14ac:dyDescent="0.25">
      <c r="A190" s="8" t="str">
        <f>"12th International Congress on Sound and Vibration 2005, ICSV 2005"</f>
        <v>12th International Congress on Sound and Vibration 2005, ICSV 2005</v>
      </c>
      <c r="B190" s="8" t="str">
        <f>"9781627481496"</f>
        <v>9781627481496</v>
      </c>
      <c r="C190" s="8" t="s">
        <v>559</v>
      </c>
    </row>
    <row r="191" spans="1:3" x14ac:dyDescent="0.25">
      <c r="A191" s="8" t="str">
        <f>"12th International Energy Conversion Engineering Conference, IECEC 2014"</f>
        <v>12th International Energy Conversion Engineering Conference, IECEC 2014</v>
      </c>
      <c r="B191" s="8" t="str">
        <f>"9781624103049"</f>
        <v>9781624103049</v>
      </c>
      <c r="C191" s="8" t="s">
        <v>104</v>
      </c>
    </row>
    <row r="192" spans="1:3" x14ac:dyDescent="0.25">
      <c r="A192" s="8" t="str">
        <f>"12th International Multidisciplinary Scientific GeoConference and EXPO - Modern Management of Mine Producing, Geology and Environmental Protection, SGEM 2012"</f>
        <v>12th International Multidisciplinary Scientific GeoConference and EXPO - Modern Management of Mine Producing, Geology and Environmental Protection, SGEM 2012</v>
      </c>
      <c r="B192" s="8" t="str">
        <f>"-"</f>
        <v>-</v>
      </c>
      <c r="C192" s="8" t="s">
        <v>1211</v>
      </c>
    </row>
    <row r="193" spans="1:3" x14ac:dyDescent="0.25">
      <c r="A193" s="8" t="str">
        <f>"12th International Symposium on Aerodynamics and Ventilation of Vehicle Tunnels"</f>
        <v>12th International Symposium on Aerodynamics and Ventilation of Vehicle Tunnels</v>
      </c>
      <c r="B193" s="8" t="str">
        <f>"9781855980761"</f>
        <v>9781855980761</v>
      </c>
      <c r="C193" s="8" t="s">
        <v>1246</v>
      </c>
    </row>
    <row r="194" spans="1:3" x14ac:dyDescent="0.25">
      <c r="A194" s="8" t="str">
        <f>"12th International Symposium on District Heating and Cooling"</f>
        <v>12th International Symposium on District Heating and Cooling</v>
      </c>
      <c r="B194" s="8" t="str">
        <f>"9789949230150"</f>
        <v>9789949230150</v>
      </c>
      <c r="C194" s="8" t="s">
        <v>1247</v>
      </c>
    </row>
    <row r="195" spans="1:3" x14ac:dyDescent="0.25">
      <c r="A195" s="8" t="str">
        <f>"12th Marcel Grossmann Meeting on Recent Dev. in Theoretical and Experimental General Relativity, Astrophysics and Relativistic Field Theories - Proc. of the MG 2009 Meeting on General Relativity"</f>
        <v>12th Marcel Grossmann Meeting on Recent Dev. in Theoretical and Experimental General Relativity, Astrophysics and Relativistic Field Theories - Proc. of the MG 2009 Meeting on General Relativity</v>
      </c>
      <c r="B195" s="8" t="str">
        <f>"9789814374514"</f>
        <v>9789814374514</v>
      </c>
      <c r="C195" s="8" t="s">
        <v>157</v>
      </c>
    </row>
    <row r="196" spans="1:3" x14ac:dyDescent="0.25">
      <c r="A196" s="8" t="str">
        <f>"12th Middle Eastern Simulation and Modelling Multiconference, MESM 2011 - 2nd GAMEON-ARABIA Conference, GAMEON-ARABIA 2011"</f>
        <v>12th Middle Eastern Simulation and Modelling Multiconference, MESM 2011 - 2nd GAMEON-ARABIA Conference, GAMEON-ARABIA 2011</v>
      </c>
      <c r="B196" s="8" t="str">
        <f>"9789077381670"</f>
        <v>9789077381670</v>
      </c>
      <c r="C196" s="8" t="s">
        <v>1206</v>
      </c>
    </row>
    <row r="197" spans="1:3" x14ac:dyDescent="0.25">
      <c r="A197" s="8" t="str">
        <f>"12th Saint Petersburg International Conference on Integrated Navigation Systems, ICINS 2005"</f>
        <v>12th Saint Petersburg International Conference on Integrated Navigation Systems, ICINS 2005</v>
      </c>
      <c r="B197" s="8" t="str">
        <f>"9785900780597"</f>
        <v>9785900780597</v>
      </c>
      <c r="C197" s="8" t="s">
        <v>1248</v>
      </c>
    </row>
    <row r="198" spans="1:3" x14ac:dyDescent="0.25">
      <c r="A198" s="8" t="str">
        <f>"12th Symposium on Neural Network Applications in Electrical Engineering, NEUREL 2014 - Proceedings"</f>
        <v>12th Symposium on Neural Network Applications in Electrical Engineering, NEUREL 2014 - Proceedings</v>
      </c>
      <c r="B198" s="8" t="str">
        <f>"9781479958887"</f>
        <v>9781479958887</v>
      </c>
      <c r="C198" s="8" t="s">
        <v>105</v>
      </c>
    </row>
    <row r="199" spans="1:3" x14ac:dyDescent="0.25">
      <c r="A199" s="8" t="str">
        <f>"12th TAPPI Advanced Coating Fundamentals Symposium Proceedings, Co-located with the 16th International Coating Science and Technology Symposium, ISCST 2012"</f>
        <v>12th TAPPI Advanced Coating Fundamentals Symposium Proceedings, Co-located with the 16th International Coating Science and Technology Symposium, ISCST 2012</v>
      </c>
      <c r="B199" s="8" t="str">
        <f>"9781595102201"</f>
        <v>9781595102201</v>
      </c>
      <c r="C199" s="8" t="s">
        <v>1099</v>
      </c>
    </row>
    <row r="200" spans="1:3" x14ac:dyDescent="0.25">
      <c r="A200" s="8" t="str">
        <f>"12th WSEAS International Conference on Automatic Control, Modelling and Simulation, ACMOS '10"</f>
        <v>12th WSEAS International Conference on Automatic Control, Modelling and Simulation, ACMOS '10</v>
      </c>
      <c r="B200" s="8" t="str">
        <f>"9789549260014"</f>
        <v>9789549260014</v>
      </c>
      <c r="C200" s="8" t="s">
        <v>1249</v>
      </c>
    </row>
    <row r="201" spans="1:3" x14ac:dyDescent="0.25">
      <c r="A201" s="8" t="str">
        <f>"12th WSEAS International Conference on Mathematical Methods, Computational Techniques and Intelligent Systems, MAMECTIS '10"</f>
        <v>12th WSEAS International Conference on Mathematical Methods, Computational Techniques and Intelligent Systems, MAMECTIS '10</v>
      </c>
      <c r="B201" s="8" t="str">
        <f>"9789604741885"</f>
        <v>9789604741885</v>
      </c>
      <c r="C201" s="8" t="s">
        <v>553</v>
      </c>
    </row>
    <row r="202" spans="1:3" x14ac:dyDescent="0.25">
      <c r="A202" s="8" t="str">
        <f>"130th Audio Engineering Society Convention 2011"</f>
        <v>130th Audio Engineering Society Convention 2011</v>
      </c>
      <c r="B202" s="8" t="str">
        <f>"9781617829253"</f>
        <v>9781617829253</v>
      </c>
      <c r="C202" s="8" t="s">
        <v>98</v>
      </c>
    </row>
    <row r="203" spans="1:3" x14ac:dyDescent="0.25">
      <c r="A203" s="8" t="str">
        <f>"131st Audio Engineering Society Convention 2011"</f>
        <v>131st Audio Engineering Society Convention 2011</v>
      </c>
      <c r="B203" s="8" t="str">
        <f>"9781618393968"</f>
        <v>9781618393968</v>
      </c>
      <c r="C203" s="8" t="s">
        <v>98</v>
      </c>
    </row>
    <row r="204" spans="1:3" x14ac:dyDescent="0.25">
      <c r="A204" s="8" t="str">
        <f>"132nd Audio Engineering Society Convention 2012"</f>
        <v>132nd Audio Engineering Society Convention 2012</v>
      </c>
      <c r="B204" s="8" t="str">
        <f>"9781622761180"</f>
        <v>9781622761180</v>
      </c>
      <c r="C204" s="8" t="s">
        <v>98</v>
      </c>
    </row>
    <row r="205" spans="1:3" x14ac:dyDescent="0.25">
      <c r="A205" s="8" t="str">
        <f>"133rd Audio Engineering Society Convention 2012, AES 2012"</f>
        <v>133rd Audio Engineering Society Convention 2012, AES 2012</v>
      </c>
      <c r="B205" s="8" t="str">
        <f>"9781622766031"</f>
        <v>9781622766031</v>
      </c>
      <c r="C205" s="8" t="s">
        <v>98</v>
      </c>
    </row>
    <row r="206" spans="1:3" x14ac:dyDescent="0.25">
      <c r="A206" s="8" t="str">
        <f>"134th Audio Engineering Society Convention 2013"</f>
        <v>134th Audio Engineering Society Convention 2013</v>
      </c>
      <c r="B206" s="8" t="str">
        <f>"9781627485715"</f>
        <v>9781627485715</v>
      </c>
      <c r="C206" s="8" t="s">
        <v>98</v>
      </c>
    </row>
    <row r="207" spans="1:3" x14ac:dyDescent="0.25">
      <c r="A207" s="8" t="str">
        <f>"135th Audio Engineering Society Convention 2013"</f>
        <v>135th Audio Engineering Society Convention 2013</v>
      </c>
      <c r="B207" s="8" t="str">
        <f>"9781629935270"</f>
        <v>9781629935270</v>
      </c>
      <c r="C207" s="8" t="s">
        <v>98</v>
      </c>
    </row>
    <row r="208" spans="1:3" x14ac:dyDescent="0.25">
      <c r="A208" s="8" t="str">
        <f>"137th Audio Engineering Society Convention 2014"</f>
        <v>137th Audio Engineering Society Convention 2014</v>
      </c>
      <c r="B208" s="8" t="str">
        <f>"9781634397483"</f>
        <v>9781634397483</v>
      </c>
      <c r="C208" s="8" t="s">
        <v>98</v>
      </c>
    </row>
    <row r="209" spans="1:3" x14ac:dyDescent="0.25">
      <c r="A209" s="8" t="str">
        <f>"138th Audio Engineering Society Convention 2015"</f>
        <v>138th Audio Engineering Society Convention 2015</v>
      </c>
      <c r="B209" s="8" t="str">
        <f>"-"</f>
        <v>-</v>
      </c>
      <c r="C209" s="8" t="s">
        <v>98</v>
      </c>
    </row>
    <row r="210" spans="1:3" x14ac:dyDescent="0.25">
      <c r="A210" s="8" t="str">
        <f>"13th AIAA/CEAS Aeroacoustics Conference (28th AIAA Aeroacoustics Conference)"</f>
        <v>13th AIAA/CEAS Aeroacoustics Conference (28th AIAA Aeroacoustics Conference)</v>
      </c>
      <c r="B210" s="8" t="str">
        <f>"9781624100031"</f>
        <v>9781624100031</v>
      </c>
      <c r="C210" s="8" t="s">
        <v>104</v>
      </c>
    </row>
    <row r="211" spans="1:3" x14ac:dyDescent="0.25">
      <c r="A211" s="8" t="str">
        <f>"13th AIAA/ISSMO Multidisciplinary Analysis and Optimization Conference 2010"</f>
        <v>13th AIAA/ISSMO Multidisciplinary Analysis and Optimization Conference 2010</v>
      </c>
      <c r="B211" s="8" t="str">
        <f>"9781600869549"</f>
        <v>9781600869549</v>
      </c>
      <c r="C211" s="8" t="s">
        <v>104</v>
      </c>
    </row>
    <row r="212" spans="1:3" x14ac:dyDescent="0.25">
      <c r="A212" s="8" t="str">
        <f>"13th AIAA/ISSMO Multidisciplinary Analysis Optimization Conference 2010"</f>
        <v>13th AIAA/ISSMO Multidisciplinary Analysis Optimization Conference 2010</v>
      </c>
      <c r="B212" s="8" t="str">
        <f>"9781617825149"</f>
        <v>9781617825149</v>
      </c>
      <c r="C212" s="8" t="s">
        <v>104</v>
      </c>
    </row>
    <row r="213" spans="1:3" x14ac:dyDescent="0.25">
      <c r="A213" s="8" t="str">
        <f>"13th Annual Conference of the International Speech Communication Association 2012, INTERSPEECH 2012"</f>
        <v>13th Annual Conference of the International Speech Communication Association 2012, INTERSPEECH 2012</v>
      </c>
      <c r="B213" s="8" t="str">
        <f>"9781622767595"</f>
        <v>9781622767595</v>
      </c>
      <c r="C213" s="8" t="s">
        <v>987</v>
      </c>
    </row>
    <row r="214" spans="1:3" x14ac:dyDescent="0.25">
      <c r="A214" s="8" t="str">
        <f>"13th Annual International Conference on Mechatronics and Machine Vision in Practice 2006"</f>
        <v>13th Annual International Conference on Mechatronics and Machine Vision in Practice 2006</v>
      </c>
      <c r="B214" s="8" t="str">
        <f>"9781605600871"</f>
        <v>9781605600871</v>
      </c>
      <c r="C214" s="8" t="s">
        <v>394</v>
      </c>
    </row>
    <row r="215" spans="1:3" x14ac:dyDescent="0.25">
      <c r="A215" s="8" t="str">
        <f>"13th Conference on Information Fusion, Fusion 2010"</f>
        <v>13th Conference on Information Fusion, Fusion 2010</v>
      </c>
      <c r="B215" s="8" t="str">
        <f>"9780982443811"</f>
        <v>9780982443811</v>
      </c>
      <c r="C215" s="8" t="s">
        <v>9</v>
      </c>
    </row>
    <row r="216" spans="1:3" x14ac:dyDescent="0.25">
      <c r="A216" s="8" t="str">
        <f>"13th Conference on Interactions of the Sea and Atmosphere"</f>
        <v>13th Conference on Interactions of the Sea and Atmosphere</v>
      </c>
      <c r="B216" s="8" t="str">
        <f>"-"</f>
        <v>-</v>
      </c>
      <c r="C216" s="8" t="s">
        <v>225</v>
      </c>
    </row>
    <row r="217" spans="1:3" x14ac:dyDescent="0.25">
      <c r="A217" s="8" t="str">
        <f>"13th European Concurrent Engineering Conference 2006, ECEC 2006 - 3rd Future Business Technology Conference, FUBUTEC 2006"</f>
        <v>13th European Concurrent Engineering Conference 2006, ECEC 2006 - 3rd Future Business Technology Conference, FUBUTEC 2006</v>
      </c>
      <c r="B217" s="8" t="str">
        <f>"9789077381243"</f>
        <v>9789077381243</v>
      </c>
      <c r="C217" s="8" t="s">
        <v>1206</v>
      </c>
    </row>
    <row r="218" spans="1:3" x14ac:dyDescent="0.25">
      <c r="A218" s="8" t="str">
        <f>"13th European Signal Processing Conference, EUSIPCO 2005"</f>
        <v>13th European Signal Processing Conference, EUSIPCO 2005</v>
      </c>
      <c r="B218" s="8" t="str">
        <f>"9781604238211"</f>
        <v>9781604238211</v>
      </c>
      <c r="C218" s="8" t="s">
        <v>1250</v>
      </c>
    </row>
    <row r="219" spans="1:3" x14ac:dyDescent="0.25">
      <c r="A219" s="8" t="str">
        <f>"13th European Symposium on Improved Oil Recovery 2005"</f>
        <v>13th European Symposium on Improved Oil Recovery 2005</v>
      </c>
      <c r="B219" s="8" t="str">
        <f>"9781622768905"</f>
        <v>9781622768905</v>
      </c>
      <c r="C219" s="8" t="s">
        <v>1251</v>
      </c>
    </row>
    <row r="220" spans="1:3" x14ac:dyDescent="0.25">
      <c r="A220" s="8" t="str">
        <f>"13th IEEE Asia-Pacific Computer Systems Architecture Conference, ACSAC 2008"</f>
        <v>13th IEEE Asia-Pacific Computer Systems Architecture Conference, ACSAC 2008</v>
      </c>
      <c r="B220" s="8" t="str">
        <f>"9781424426836"</f>
        <v>9781424426836</v>
      </c>
      <c r="C220" s="8" t="s">
        <v>9</v>
      </c>
    </row>
    <row r="221" spans="1:3" x14ac:dyDescent="0.25">
      <c r="A221" s="8" t="str">
        <f>"13th IEEE International Conference on Advanced Thermal Processing of Semiconductors, RTP 2005"</f>
        <v>13th IEEE International Conference on Advanced Thermal Processing of Semiconductors, RTP 2005</v>
      </c>
      <c r="B221" s="8" t="str">
        <f>"9780780392236"</f>
        <v>9780780392236</v>
      </c>
      <c r="C221" s="8" t="s">
        <v>9</v>
      </c>
    </row>
    <row r="222" spans="1:3" x14ac:dyDescent="0.25">
      <c r="A222" s="8" t="str">
        <f>"13th IEEE International Conference on BioInformatics and BioEngineering, IEEE BIBE 2013"</f>
        <v>13th IEEE International Conference on BioInformatics and BioEngineering, IEEE BIBE 2013</v>
      </c>
      <c r="B222" s="8" t="str">
        <f>"9781479931637"</f>
        <v>9781479931637</v>
      </c>
      <c r="C222" s="8" t="s">
        <v>9</v>
      </c>
    </row>
    <row r="223" spans="1:3" x14ac:dyDescent="0.25">
      <c r="A223" s="8" t="str">
        <f>"13th IEEE International Conference on Peer-to-Peer Computing, IEEE P2P 2013 - Proceedings"</f>
        <v>13th IEEE International Conference on Peer-to-Peer Computing, IEEE P2P 2013 - Proceedings</v>
      </c>
      <c r="B223" s="8" t="str">
        <f>"9781479905218"</f>
        <v>9781479905218</v>
      </c>
      <c r="C223" s="8" t="s">
        <v>9</v>
      </c>
    </row>
    <row r="224" spans="1:3" x14ac:dyDescent="0.25">
      <c r="A224" s="8" t="str">
        <f>"13th IEEE Workshop on Local and Metropolitan Area Networks (LANMAN 2004)"</f>
        <v>13th IEEE Workshop on Local and Metropolitan Area Networks (LANMAN 2004)</v>
      </c>
      <c r="B224" s="8" t="str">
        <f>"9780780385511"</f>
        <v>9780780385511</v>
      </c>
      <c r="C224" s="8" t="s">
        <v>105</v>
      </c>
    </row>
    <row r="225" spans="1:3" x14ac:dyDescent="0.25">
      <c r="A225" s="8" t="str">
        <f>"13th IMEKO TC15 Youth Symposium on Experimental Solid Mechanics 2014"</f>
        <v>13th IMEKO TC15 Youth Symposium on Experimental Solid Mechanics 2014</v>
      </c>
      <c r="B225" s="8" t="str">
        <f>"-"</f>
        <v>-</v>
      </c>
      <c r="C225" s="8" t="s">
        <v>1198</v>
      </c>
    </row>
    <row r="226" spans="1:3" x14ac:dyDescent="0.25">
      <c r="A226" s="8" t="str">
        <f>"13th IMEKO TC4 Symposium on Measurements for Research and Industrial Applications 2004, Held Together with the 9th Workshop on ADC Modeling and Testing"</f>
        <v>13th IMEKO TC4 Symposium on Measurements for Research and Industrial Applications 2004, Held Together with the 9th Workshop on ADC Modeling and Testing</v>
      </c>
      <c r="B226" s="8" t="str">
        <f>"9781634391849"</f>
        <v>9781634391849</v>
      </c>
      <c r="C226" s="8" t="s">
        <v>1198</v>
      </c>
    </row>
    <row r="227" spans="1:3" x14ac:dyDescent="0.25">
      <c r="A227" s="8" t="str">
        <f>"13th Int. Conference on Harbor, Maritime and Multimodal Logistics Modeling and Simulation, HMS 2011, Held at the International Mediterranean and Latin American Modeling Multiconference, I3M 2011"</f>
        <v>13th Int. Conference on Harbor, Maritime and Multimodal Logistics Modeling and Simulation, HMS 2011, Held at the International Mediterranean and Latin American Modeling Multiconference, I3M 2011</v>
      </c>
      <c r="B227" s="8" t="str">
        <f>"9781629933702"</f>
        <v>9781629933702</v>
      </c>
      <c r="C227" s="8" t="s">
        <v>1200</v>
      </c>
    </row>
    <row r="228" spans="1:3" x14ac:dyDescent="0.25">
      <c r="A228" s="8" t="str">
        <f>"13th International Conference in Central Europe on Computer Graphics, Visualization and Computer Vision 2005, WSCG'2005 - In Co-operation with EUROGRAPHICS, Full Papers"</f>
        <v>13th International Conference in Central Europe on Computer Graphics, Visualization and Computer Vision 2005, WSCG'2005 - In Co-operation with EUROGRAPHICS, Full Papers</v>
      </c>
      <c r="B228" s="8" t="str">
        <f>"9788090310070"</f>
        <v>9788090310070</v>
      </c>
      <c r="C228" s="8" t="s">
        <v>1252</v>
      </c>
    </row>
    <row r="229" spans="1:3" x14ac:dyDescent="0.25">
      <c r="A229" s="8" t="str">
        <f>"13th International Conference of the Association Information and Management 2008, AIM 2008"</f>
        <v>13th International Conference of the Association Information and Management 2008, AIM 2008</v>
      </c>
      <c r="B229" s="8" t="str">
        <f>"-"</f>
        <v>-</v>
      </c>
      <c r="C229" s="8" t="s">
        <v>1243</v>
      </c>
    </row>
    <row r="230" spans="1:3" x14ac:dyDescent="0.25">
      <c r="A230" s="8" t="str">
        <f>"13th International Conference on Autonomous Agents and Multiagent Systems, AAMAS 2014"</f>
        <v>13th International Conference on Autonomous Agents and Multiagent Systems, AAMAS 2014</v>
      </c>
      <c r="B230" s="8" t="str">
        <f>"-"</f>
        <v>-</v>
      </c>
      <c r="C230" s="8" t="s">
        <v>989</v>
      </c>
    </row>
    <row r="231" spans="1:3" x14ac:dyDescent="0.25">
      <c r="A231" s="8" t="str">
        <f>"13th International Conference on Digital Audio Effects, DAFx 2010 Proceedings"</f>
        <v>13th International Conference on Digital Audio Effects, DAFx 2010 Proceedings</v>
      </c>
      <c r="B231" s="8" t="str">
        <f>"9783200019409"</f>
        <v>9783200019409</v>
      </c>
      <c r="C231" s="8" t="s">
        <v>1253</v>
      </c>
    </row>
    <row r="232" spans="1:3" x14ac:dyDescent="0.25">
      <c r="A232" s="8" t="str">
        <f>"13th International Conference on Electronics, Information, and Communication, ICEIC 2014 - Proceedings"</f>
        <v>13th International Conference on Electronics, Information, and Communication, ICEIC 2014 - Proceedings</v>
      </c>
      <c r="B232" s="8" t="str">
        <f>"9781479939428"</f>
        <v>9781479939428</v>
      </c>
      <c r="C232" s="8" t="s">
        <v>105</v>
      </c>
    </row>
    <row r="233" spans="1:3" x14ac:dyDescent="0.25">
      <c r="A233" s="8" t="str">
        <f>"13th International Conference on Emerging Nuclear Energy Systems 2007, ICENES 2007"</f>
        <v>13th International Conference on Emerging Nuclear Energy Systems 2007, ICENES 2007</v>
      </c>
      <c r="B233" s="8" t="str">
        <f>"9781617824760"</f>
        <v>9781617824760</v>
      </c>
      <c r="C233" s="8" t="s">
        <v>1254</v>
      </c>
    </row>
    <row r="234" spans="1:3" x14ac:dyDescent="0.25">
      <c r="A234" s="8" t="str">
        <f>"13th International Conference on Fracture 2013, ICF 2013"</f>
        <v>13th International Conference on Fracture 2013, ICF 2013</v>
      </c>
      <c r="B234" s="8" t="str">
        <f>"9781629933696"</f>
        <v>9781629933696</v>
      </c>
      <c r="C234" s="8" t="s">
        <v>1255</v>
      </c>
    </row>
    <row r="235" spans="1:3" x14ac:dyDescent="0.25">
      <c r="A235" s="8" t="str">
        <f>"13th International Conference on Generative Programming: Concepts and Experiences, GPCE 2014 - Proceedings"</f>
        <v>13th International Conference on Generative Programming: Concepts and Experiences, GPCE 2014 - Proceedings</v>
      </c>
      <c r="B235" s="8" t="str">
        <f>"9781450331616"</f>
        <v>9781450331616</v>
      </c>
      <c r="C235" s="8" t="s">
        <v>1235</v>
      </c>
    </row>
    <row r="236" spans="1:3" x14ac:dyDescent="0.25">
      <c r="A236" s="8" t="str">
        <f>"13th International Conference on Hybrid Intelligent Systems, HIS 2013"</f>
        <v>13th International Conference on Hybrid Intelligent Systems, HIS 2013</v>
      </c>
      <c r="B236" s="8" t="str">
        <f>"9781479924394"</f>
        <v>9781479924394</v>
      </c>
      <c r="C236" s="8" t="s">
        <v>105</v>
      </c>
    </row>
    <row r="237" spans="1:3" x14ac:dyDescent="0.25">
      <c r="A237" s="8" t="str">
        <f>"13th International Conference on Intelligent Games and Simulation, GAME-ON 2012"</f>
        <v>13th International Conference on Intelligent Games and Simulation, GAME-ON 2012</v>
      </c>
      <c r="B237" s="8" t="str">
        <f>"9789077381748"</f>
        <v>9789077381748</v>
      </c>
      <c r="C237" s="8" t="s">
        <v>1206</v>
      </c>
    </row>
    <row r="238" spans="1:3" x14ac:dyDescent="0.25">
      <c r="A238" s="8" t="str">
        <f>"13th International Conference on Modeling and Applied Simulation,  MAS 2014"</f>
        <v>13th International Conference on Modeling and Applied Simulation,  MAS 2014</v>
      </c>
      <c r="B238" s="8" t="str">
        <f>"9788897999348"</f>
        <v>9788897999348</v>
      </c>
      <c r="C238" s="8" t="s">
        <v>1256</v>
      </c>
    </row>
    <row r="239" spans="1:3" x14ac:dyDescent="0.25">
      <c r="A239" s="8" t="str">
        <f>"13th International Conference on Multiphase Production Technology"</f>
        <v>13th International Conference on Multiphase Production Technology</v>
      </c>
      <c r="B239" s="8" t="str">
        <f>"-"</f>
        <v>-</v>
      </c>
      <c r="C239" s="8" t="s">
        <v>1246</v>
      </c>
    </row>
    <row r="240" spans="1:3" x14ac:dyDescent="0.25">
      <c r="A240" s="8" t="str">
        <f>"13th International Conference on Numerical Simulation of Optoelectronic Devices, NUSOD 2013"</f>
        <v>13th International Conference on Numerical Simulation of Optoelectronic Devices, NUSOD 2013</v>
      </c>
      <c r="B240" s="8" t="str">
        <f>"9781467363105"</f>
        <v>9781467363105</v>
      </c>
      <c r="C240" s="8" t="s">
        <v>9</v>
      </c>
    </row>
    <row r="241" spans="1:3" x14ac:dyDescent="0.25">
      <c r="A241" s="8" t="str">
        <f>"13th International Conference on Space Operations, SpaceOps 2014"</f>
        <v>13th International Conference on Space Operations, SpaceOps 2014</v>
      </c>
      <c r="B241" s="8" t="str">
        <f>"9781624102219"</f>
        <v>9781624102219</v>
      </c>
      <c r="C241" s="8" t="s">
        <v>104</v>
      </c>
    </row>
    <row r="242" spans="1:3" x14ac:dyDescent="0.25">
      <c r="A242" s="8" t="str">
        <f>"13th International Conference on the Principles of Knowledge Representation and Reasoning, KR 2012"</f>
        <v>13th International Conference on the Principles of Knowledge Representation and Reasoning, KR 2012</v>
      </c>
      <c r="B242" s="8" t="str">
        <f>"9781577355601"</f>
        <v>9781577355601</v>
      </c>
      <c r="C242" s="8" t="s">
        <v>1257</v>
      </c>
    </row>
    <row r="243" spans="1:3" x14ac:dyDescent="0.25">
      <c r="A243" s="8" t="str">
        <f>"13th International Congress on Sound and Vibration 2006, ICSV 2006"</f>
        <v>13th International Congress on Sound and Vibration 2006, ICSV 2006</v>
      </c>
      <c r="B243" s="8" t="str">
        <f>"9781627481502"</f>
        <v>9781627481502</v>
      </c>
      <c r="C243" s="8" t="s">
        <v>559</v>
      </c>
    </row>
    <row r="244" spans="1:3" x14ac:dyDescent="0.25">
      <c r="A244" s="8" t="str">
        <f>"13th International Energy Conversion Engineering Conference"</f>
        <v>13th International Energy Conversion Engineering Conference</v>
      </c>
      <c r="B244" s="8" t="str">
        <f>"9781624103766"</f>
        <v>9781624103766</v>
      </c>
      <c r="C244" s="8" t="s">
        <v>1258</v>
      </c>
    </row>
    <row r="245" spans="1:3" x14ac:dyDescent="0.25">
      <c r="A245" s="8" t="str">
        <f>"13th International Fall Workshop Vision, Modeling, and Visualization 2008, VMV 2008"</f>
        <v>13th International Fall Workshop Vision, Modeling, and Visualization 2008, VMV 2008</v>
      </c>
      <c r="B245" s="8" t="str">
        <f>"9781586039219"</f>
        <v>9781586039219</v>
      </c>
      <c r="C245" s="8" t="s">
        <v>103</v>
      </c>
    </row>
    <row r="246" spans="1:3" x14ac:dyDescent="0.25">
      <c r="A246" s="8" t="str">
        <f>"13th International Group for Lean Construction Conference: Proceedings"</f>
        <v>13th International Group for Lean Construction Conference: Proceedings</v>
      </c>
      <c r="B246" s="8" t="str">
        <f>"9781877040344"</f>
        <v>9781877040344</v>
      </c>
      <c r="C246" s="8" t="s">
        <v>1259</v>
      </c>
    </row>
    <row r="247" spans="1:3" x14ac:dyDescent="0.25">
      <c r="A247" s="8" t="str">
        <f>"13th International High-Level Radioactive Waste Management Conference 2011, IHLRWMC 2011"</f>
        <v>13th International High-Level Radioactive Waste Management Conference 2011, IHLRWMC 2011</v>
      </c>
      <c r="B247" s="8" t="str">
        <f>"9781617828508"</f>
        <v>9781617828508</v>
      </c>
      <c r="C247" s="8" t="s">
        <v>453</v>
      </c>
    </row>
    <row r="248" spans="1:3" x14ac:dyDescent="0.25">
      <c r="A248" s="8" t="str">
        <f>"13th International Symposium on Aerodynamics and Ventilation of Vehicle Tunnels"</f>
        <v>13th International Symposium on Aerodynamics and Ventilation of Vehicle Tunnels</v>
      </c>
      <c r="B248" s="8" t="str">
        <f>"9781855981089"</f>
        <v>9781855981089</v>
      </c>
      <c r="C248" s="8" t="s">
        <v>1246</v>
      </c>
    </row>
    <row r="249" spans="1:3" x14ac:dyDescent="0.25">
      <c r="A249" s="8" t="str">
        <f>"13th International Symposium on Communications and Information Technologies: Communication and Information Technology for New Life Style Beyond the Cloud, ISCIT 2013"</f>
        <v>13th International Symposium on Communications and Information Technologies: Communication and Information Technology for New Life Style Beyond the Cloud, ISCIT 2013</v>
      </c>
      <c r="B249" s="8" t="str">
        <f>"9781467355803"</f>
        <v>9781467355803</v>
      </c>
      <c r="C249" s="8" t="s">
        <v>9</v>
      </c>
    </row>
    <row r="250" spans="1:3" x14ac:dyDescent="0.25">
      <c r="A250" s="8" t="str">
        <f>"13th International Symposium on Transport Phenomena and Dynamics of Rotating Machinery 2010, ISROMAC-13"</f>
        <v>13th International Symposium on Transport Phenomena and Dynamics of Rotating Machinery 2010, ISROMAC-13</v>
      </c>
      <c r="B250" s="8" t="str">
        <f>"9781617388484"</f>
        <v>9781617388484</v>
      </c>
      <c r="C250" s="8" t="s">
        <v>1260</v>
      </c>
    </row>
    <row r="251" spans="1:3" x14ac:dyDescent="0.25">
      <c r="A251" s="8" t="str">
        <f>"13th Iranian Conference on Fuzzy Systems, IFSC 2013"</f>
        <v>13th Iranian Conference on Fuzzy Systems, IFSC 2013</v>
      </c>
      <c r="B251" s="8" t="str">
        <f>"9781479912285"</f>
        <v>9781479912285</v>
      </c>
      <c r="C251" s="8" t="s">
        <v>9</v>
      </c>
    </row>
    <row r="252" spans="1:3" x14ac:dyDescent="0.25">
      <c r="A252" s="8" t="str">
        <f>"13th Joint Conference on the Applications of Air Pollution Meteorology with the Air and Waste Management Association"</f>
        <v>13th Joint Conference on the Applications of Air Pollution Meteorology with the Air and Waste Management Association</v>
      </c>
      <c r="B252" s="8" t="str">
        <f>"-"</f>
        <v>-</v>
      </c>
      <c r="C252" s="8" t="s">
        <v>225</v>
      </c>
    </row>
    <row r="253" spans="1:3" x14ac:dyDescent="0.25">
      <c r="A253" s="8" t="str">
        <f>"13th Middle Eastern Simulation and Modelling Multiconference, MESM 2012 - 3rd GAMEON-ARABIA Conference, GAMEON-ARABIA 2012"</f>
        <v>13th Middle Eastern Simulation and Modelling Multiconference, MESM 2012 - 3rd GAMEON-ARABIA Conference, GAMEON-ARABIA 2012</v>
      </c>
      <c r="B253" s="8" t="str">
        <f>"9789077381755"</f>
        <v>9789077381755</v>
      </c>
      <c r="C253" s="8" t="s">
        <v>1206</v>
      </c>
    </row>
    <row r="254" spans="1:3" x14ac:dyDescent="0.25">
      <c r="A254" s="8" t="str">
        <f>"13th Saint Petersburg International Conference on Integrated Navigation Systems, ICINS 2006 - Proceedings"</f>
        <v>13th Saint Petersburg International Conference on Integrated Navigation Systems, ICINS 2006 - Proceedings</v>
      </c>
      <c r="B254" s="8" t="str">
        <f>"9785900780627"</f>
        <v>9785900780627</v>
      </c>
      <c r="C254" s="8" t="s">
        <v>1248</v>
      </c>
    </row>
    <row r="255" spans="1:3" x14ac:dyDescent="0.25">
      <c r="A255" s="8" t="str">
        <f>"13th Symposium on Programming Languages and Software Tools, SPLST 2013 - Proceedings"</f>
        <v>13th Symposium on Programming Languages and Software Tools, SPLST 2013 - Proceedings</v>
      </c>
      <c r="B255" s="8" t="str">
        <f>"9789633062289"</f>
        <v>9789633062289</v>
      </c>
      <c r="C255" s="8" t="s">
        <v>34</v>
      </c>
    </row>
    <row r="256" spans="1:3" x14ac:dyDescent="0.25">
      <c r="A256" s="8" t="str">
        <f>"13th TAPPI Advanced Coating Fundamentals Symposium 2014"</f>
        <v>13th TAPPI Advanced Coating Fundamentals Symposium 2014</v>
      </c>
      <c r="B256" s="8" t="str">
        <f>"9781510801295"</f>
        <v>9781510801295</v>
      </c>
      <c r="C256" s="8" t="s">
        <v>1099</v>
      </c>
    </row>
    <row r="257" spans="1:3" x14ac:dyDescent="0.25">
      <c r="A257" s="8" t="str">
        <f>"13th Workshop on Requirements Engineering, WER 2010"</f>
        <v>13th Workshop on Requirements Engineering, WER 2010</v>
      </c>
      <c r="B257" s="8" t="str">
        <f>"9789978325124"</f>
        <v>9789978325124</v>
      </c>
      <c r="C257" s="8" t="s">
        <v>1236</v>
      </c>
    </row>
    <row r="258" spans="1:3" x14ac:dyDescent="0.25">
      <c r="A258" s="8" t="str">
        <f>"13th World Congress on Intelligent Transport Systems and Services"</f>
        <v>13th World Congress on Intelligent Transport Systems and Services</v>
      </c>
      <c r="B258" s="8" t="str">
        <f>"-"</f>
        <v>-</v>
      </c>
      <c r="C258" s="8" t="s">
        <v>1261</v>
      </c>
    </row>
    <row r="259" spans="1:3" x14ac:dyDescent="0.25">
      <c r="A259" s="8" t="str">
        <f>"14th AIAA/CEAS Aeroacoustics Conference (29th AIAA Aeroacoustics Conference)"</f>
        <v>14th AIAA/CEAS Aeroacoustics Conference (29th AIAA Aeroacoustics Conference)</v>
      </c>
      <c r="B259" s="8" t="str">
        <f>"9781563479397"</f>
        <v>9781563479397</v>
      </c>
      <c r="C259" s="8" t="s">
        <v>104</v>
      </c>
    </row>
    <row r="260" spans="1:3" x14ac:dyDescent="0.25">
      <c r="A260" s="8" t="str">
        <f>"14th Americas Conference on Information Systems, AMCIS 2008"</f>
        <v>14th Americas Conference on Information Systems, AMCIS 2008</v>
      </c>
      <c r="B260" s="8" t="str">
        <f>"9781605609539"</f>
        <v>9781605609539</v>
      </c>
      <c r="C260" s="8" t="s">
        <v>1262</v>
      </c>
    </row>
    <row r="261" spans="1:3" x14ac:dyDescent="0.25">
      <c r="A261" s="8" t="str">
        <f>"14th Annual Wireless and Optical Communications Conference, WOCC 2005"</f>
        <v>14th Annual Wireless and Optical Communications Conference, WOCC 2005</v>
      </c>
      <c r="B261" s="8" t="str">
        <f>"-"</f>
        <v>-</v>
      </c>
      <c r="C261" s="8" t="s">
        <v>9</v>
      </c>
    </row>
    <row r="262" spans="1:3" x14ac:dyDescent="0.25">
      <c r="A262" s="8" t="str">
        <f>"14th Asia Pacific Automotive Engineering Conference"</f>
        <v>14th Asia Pacific Automotive Engineering Conference</v>
      </c>
      <c r="B262" s="8" t="str">
        <f>"-"</f>
        <v>-</v>
      </c>
      <c r="C262" s="8" t="s">
        <v>1040</v>
      </c>
    </row>
    <row r="263" spans="1:3" x14ac:dyDescent="0.25">
      <c r="A263" s="8" t="str">
        <f>"14th Asian Regional Conference on Soil Mechanics and Geotechnical Engineering"</f>
        <v>14th Asian Regional Conference on Soil Mechanics and Geotechnical Engineering</v>
      </c>
      <c r="B263" s="8" t="str">
        <f>"-"</f>
        <v>-</v>
      </c>
      <c r="C263" s="8" t="s">
        <v>1263</v>
      </c>
    </row>
    <row r="264" spans="1:3" x14ac:dyDescent="0.25">
      <c r="A264" s="8" t="s">
        <v>1264</v>
      </c>
      <c r="B264" s="8" t="str">
        <f>"9781467344944"</f>
        <v>9781467344944</v>
      </c>
      <c r="C264" s="8" t="s">
        <v>9</v>
      </c>
    </row>
    <row r="265" spans="1:3" x14ac:dyDescent="0.25">
      <c r="A265" s="8" t="str">
        <f>"14th Australasian Tunnelling Conference 2011: Development of Underground Space, Proceedings"</f>
        <v>14th Australasian Tunnelling Conference 2011: Development of Underground Space, Proceedings</v>
      </c>
      <c r="B265" s="8" t="str">
        <f>"9781921522376"</f>
        <v>9781921522376</v>
      </c>
      <c r="C265" s="8" t="s">
        <v>167</v>
      </c>
    </row>
    <row r="266" spans="1:3" x14ac:dyDescent="0.25">
      <c r="A266" s="8" t="str">
        <f>"14th Australian International Aerospace Congress, AIAC 2011"</f>
        <v>14th Australian International Aerospace Congress, AIAC 2011</v>
      </c>
      <c r="B266" s="8" t="str">
        <f>"-"</f>
        <v>-</v>
      </c>
      <c r="C266" s="8" t="s">
        <v>1265</v>
      </c>
    </row>
    <row r="267" spans="1:3" x14ac:dyDescent="0.25">
      <c r="A267" s="8" t="str">
        <f>"14th EAGE International Conference on Geoinformatics - Theoretical and Applied Aspects, Geoinformatics 2015"</f>
        <v>14th EAGE International Conference on Geoinformatics - Theoretical and Applied Aspects, Geoinformatics 2015</v>
      </c>
      <c r="B267" s="8" t="str">
        <f>"9789462821521"</f>
        <v>9789462821521</v>
      </c>
      <c r="C267" s="8" t="s">
        <v>1251</v>
      </c>
    </row>
    <row r="268" spans="1:3" x14ac:dyDescent="0.25">
      <c r="A268" s="8" t="str">
        <f>"14th Eurographics Symposium on Virtual Environments, EGVE 2008"</f>
        <v>14th Eurographics Symposium on Virtual Environments, EGVE 2008</v>
      </c>
      <c r="B268" s="8" t="str">
        <f>"9783905674064"</f>
        <v>9783905674064</v>
      </c>
      <c r="C268" s="8" t="s">
        <v>23</v>
      </c>
    </row>
    <row r="269" spans="1:3" x14ac:dyDescent="0.25">
      <c r="A269" s="8" t="str">
        <f>"14th European Concurrent Engineering Conference 2007, ECEC 2007 - 4th Future Business Technology Conference, FUBUTEC 2007"</f>
        <v>14th European Concurrent Engineering Conference 2007, ECEC 2007 - 4th Future Business Technology Conference, FUBUTEC 2007</v>
      </c>
      <c r="B269" s="8" t="str">
        <f>"9789077381335"</f>
        <v>9789077381335</v>
      </c>
      <c r="C269" s="8" t="s">
        <v>1206</v>
      </c>
    </row>
    <row r="270" spans="1:3" x14ac:dyDescent="0.25">
      <c r="A270" s="8" t="str">
        <f>"14th European Conference on the Mathematics of Oil Recovery 2014, ECMOR 2014"</f>
        <v>14th European Conference on the Mathematics of Oil Recovery 2014, ECMOR 2014</v>
      </c>
      <c r="B270" s="8" t="str">
        <f>"9781634391689"</f>
        <v>9781634391689</v>
      </c>
      <c r="C270" s="8" t="s">
        <v>1251</v>
      </c>
    </row>
    <row r="271" spans="1:3" x14ac:dyDescent="0.25">
      <c r="A271" s="8" t="str">
        <f>"14th European Symposium on Improved Oil Recovery 2007: Timing of IOR to Maximise Production Rates and Ultimate Recovery"</f>
        <v>14th European Symposium on Improved Oil Recovery 2007: Timing of IOR to Maximise Production Rates and Ultimate Recovery</v>
      </c>
      <c r="B271" s="8" t="str">
        <f>"9781615671847"</f>
        <v>9781615671847</v>
      </c>
      <c r="C271" s="8" t="s">
        <v>1251</v>
      </c>
    </row>
    <row r="272" spans="1:3" x14ac:dyDescent="0.25">
      <c r="A272" s="8" t="str">
        <f>"14th IAPRI World Conference on Packaging - Abstracts Catalogue"</f>
        <v>14th IAPRI World Conference on Packaging - Abstracts Catalogue</v>
      </c>
      <c r="B272" s="8" t="str">
        <f>"-"</f>
        <v>-</v>
      </c>
      <c r="C272" s="8" t="s">
        <v>1266</v>
      </c>
    </row>
    <row r="273" spans="1:3" x14ac:dyDescent="0.25">
      <c r="A273" s="8" t="str">
        <f>"14th Ibero-American Conference on Software Engineering and 14th Workshop on Requirements Engineering, CIbSE 2011"</f>
        <v>14th Ibero-American Conference on Software Engineering and 14th Workshop on Requirements Engineering, CIbSE 2011</v>
      </c>
      <c r="B273" s="8" t="str">
        <f>"-"</f>
        <v>-</v>
      </c>
      <c r="C273" s="8" t="s">
        <v>1267</v>
      </c>
    </row>
    <row r="274" spans="1:3" x14ac:dyDescent="0.25">
      <c r="A274" s="8" t="str">
        <f>"14th IEEE International Conference on Advanced Thermal Processing of Semiconductors, RTP 2006"</f>
        <v>14th IEEE International Conference on Advanced Thermal Processing of Semiconductors, RTP 2006</v>
      </c>
      <c r="B274" s="8" t="str">
        <f>"9781424406487"</f>
        <v>9781424406487</v>
      </c>
      <c r="C274" s="8" t="s">
        <v>9</v>
      </c>
    </row>
    <row r="275" spans="1:3" x14ac:dyDescent="0.25">
      <c r="A275" s="8" t="str">
        <f>"14th IEEE International Conference on Peer-to-Peer Computing, IEEE P2P 2014 - Proceedings"</f>
        <v>14th IEEE International Conference on Peer-to-Peer Computing, IEEE P2P 2014 - Proceedings</v>
      </c>
      <c r="B275" s="8" t="str">
        <f>"9781479962013"</f>
        <v>9781479962013</v>
      </c>
      <c r="C275" s="8" t="s">
        <v>105</v>
      </c>
    </row>
    <row r="276" spans="1:3" x14ac:dyDescent="0.25">
      <c r="A276" s="8" t="str">
        <f>"14th IEEE International Conference on Program Comprehension 2006, ICPC 2006"</f>
        <v>14th IEEE International Conference on Program Comprehension 2006, ICPC 2006</v>
      </c>
      <c r="B276" s="8" t="str">
        <f>"-"</f>
        <v>-</v>
      </c>
      <c r="C276" s="8" t="s">
        <v>9</v>
      </c>
    </row>
    <row r="277" spans="1:3" x14ac:dyDescent="0.25">
      <c r="A277" s="8" t="str">
        <f>"14th IEEE International Vacuum Electronics Conference, IVEC 2013 - Proceedings"</f>
        <v>14th IEEE International Vacuum Electronics Conference, IVEC 2013 - Proceedings</v>
      </c>
      <c r="B277" s="8" t="str">
        <f>"9781467359757"</f>
        <v>9781467359757</v>
      </c>
      <c r="C277" s="8" t="s">
        <v>9</v>
      </c>
    </row>
    <row r="278" spans="1:3" x14ac:dyDescent="0.25">
      <c r="A278" s="8" t="str">
        <f>"14th IEEE Workshop on Local and Metropolitan Area Networks, LANMAN 2005"</f>
        <v>14th IEEE Workshop on Local and Metropolitan Area Networks, LANMAN 2005</v>
      </c>
      <c r="B278" s="8" t="str">
        <f>"-"</f>
        <v>-</v>
      </c>
      <c r="C278" s="8" t="s">
        <v>9</v>
      </c>
    </row>
    <row r="279" spans="1:3" x14ac:dyDescent="0.25">
      <c r="A279" s="8" t="str">
        <f>"14th Int. Conference on Harbor, Maritime and Multimodal Logistics Modeling and Simulation, HMS 2012, Held at the International Multidisciplinary Modeling and Simulation Multiconference, I3M 2012"</f>
        <v>14th Int. Conference on Harbor, Maritime and Multimodal Logistics Modeling and Simulation, HMS 2012, Held at the International Multidisciplinary Modeling and Simulation Multiconference, I3M 2012</v>
      </c>
      <c r="B279" s="8" t="str">
        <f>"9781629933795"</f>
        <v>9781629933795</v>
      </c>
      <c r="C279" s="8" t="s">
        <v>1200</v>
      </c>
    </row>
    <row r="280" spans="1:3" x14ac:dyDescent="0.25">
      <c r="A280" s="8" t="str">
        <f>"14th International Conference and Exhibition on Liquefied Natural Gas"</f>
        <v>14th International Conference and Exhibition on Liquefied Natural Gas</v>
      </c>
      <c r="B280" s="8" t="str">
        <f>"-"</f>
        <v>-</v>
      </c>
      <c r="C280" s="8" t="s">
        <v>1268</v>
      </c>
    </row>
    <row r="281" spans="1:3" x14ac:dyDescent="0.25">
      <c r="A281" s="8" t="str">
        <f>"14th International Conference in Central Europe on Computer Graphics, Visualization and Computer Vision 2006, WSCG'2006 - In Co-operation with EUROGRAPHICS, Full Papers Proceedings"</f>
        <v>14th International Conference in Central Europe on Computer Graphics, Visualization and Computer Vision 2006, WSCG'2006 - In Co-operation with EUROGRAPHICS, Full Papers Proceedings</v>
      </c>
      <c r="B281" s="8" t="str">
        <f>"9788086943039"</f>
        <v>9788086943039</v>
      </c>
      <c r="C281" s="8" t="s">
        <v>1252</v>
      </c>
    </row>
    <row r="282" spans="1:3" x14ac:dyDescent="0.25">
      <c r="A282" s="8" t="str">
        <f>"14th International Conference of the Association Information and Management 2009, AIM 2009"</f>
        <v>14th International Conference of the Association Information and Management 2009, AIM 2009</v>
      </c>
      <c r="B282" s="8" t="str">
        <f>"-"</f>
        <v>-</v>
      </c>
      <c r="C282" s="8" t="s">
        <v>1243</v>
      </c>
    </row>
    <row r="283" spans="1:3" x14ac:dyDescent="0.25">
      <c r="A283" s="8" t="str">
        <f>"14th International Conference on Computer and Information Technology, ICCIT 2011"</f>
        <v>14th International Conference on Computer and Information Technology, ICCIT 2011</v>
      </c>
      <c r="B283" s="8" t="str">
        <f>"9781612849065"</f>
        <v>9781612849065</v>
      </c>
      <c r="C283" s="8" t="s">
        <v>21</v>
      </c>
    </row>
    <row r="284" spans="1:3" x14ac:dyDescent="0.25">
      <c r="A284" s="8" t="str">
        <f>"14th International Conference on Electronic Materials and Packaging, EMAP 2012"</f>
        <v>14th International Conference on Electronic Materials and Packaging, EMAP 2012</v>
      </c>
      <c r="B284" s="8" t="str">
        <f>"9781467349444"</f>
        <v>9781467349444</v>
      </c>
      <c r="C284" s="8" t="s">
        <v>9</v>
      </c>
    </row>
    <row r="285" spans="1:3" x14ac:dyDescent="0.25">
      <c r="A285" s="8" t="str">
        <f>"14th International Conference on Environmental Degradation of Materials in Nuclear Power Systems Water Reactors 2009"</f>
        <v>14th International Conference on Environmental Degradation of Materials in Nuclear Power Systems Water Reactors 2009</v>
      </c>
      <c r="B285" s="8" t="str">
        <f>"9781617388538"</f>
        <v>9781617388538</v>
      </c>
      <c r="C285" s="8" t="s">
        <v>453</v>
      </c>
    </row>
    <row r="286" spans="1:3" x14ac:dyDescent="0.25">
      <c r="A286" s="8" t="str">
        <f>"14th International Conference on Intelligent Games and Simulation, GAME-ON 2013"</f>
        <v>14th International Conference on Intelligent Games and Simulation, GAME-ON 2013</v>
      </c>
      <c r="B286" s="8" t="str">
        <f>"9789077381809"</f>
        <v>9789077381809</v>
      </c>
      <c r="C286" s="8" t="s">
        <v>1206</v>
      </c>
    </row>
    <row r="287" spans="1:3" x14ac:dyDescent="0.25">
      <c r="A287" s="8" t="str">
        <f>"14th International Conference on Microwaves, Radar and Wireless Communications, MIKON 2002"</f>
        <v>14th International Conference on Microwaves, Radar and Wireless Communications, MIKON 2002</v>
      </c>
      <c r="B287" s="8" t="str">
        <f>"-"</f>
        <v>-</v>
      </c>
    </row>
    <row r="288" spans="1:3" x14ac:dyDescent="0.25">
      <c r="A288" s="8" t="str">
        <f>"14th International Conference on Miniaturized Systems for Chemistry and Life Sciences 2010, MicroTAS 2010"</f>
        <v>14th International Conference on Miniaturized Systems for Chemistry and Life Sciences 2010, MicroTAS 2010</v>
      </c>
      <c r="B288" s="8" t="str">
        <f>"9781618390622"</f>
        <v>9781618390622</v>
      </c>
      <c r="C288" s="8" t="s">
        <v>1269</v>
      </c>
    </row>
    <row r="289" spans="1:3" x14ac:dyDescent="0.25">
      <c r="A289" s="8" t="str">
        <f>"14th International Conference on Multiphase Production Technology"</f>
        <v>14th International Conference on Multiphase Production Technology</v>
      </c>
      <c r="B289" s="8" t="str">
        <f>"9781855981119"</f>
        <v>9781855981119</v>
      </c>
      <c r="C289" s="8" t="s">
        <v>1246</v>
      </c>
    </row>
    <row r="290" spans="1:3" x14ac:dyDescent="0.25">
      <c r="A290" s="8" t="str">
        <f>"14th International Conference on Sciences and Techniques of Automatic Control and Computer Engineering, STA 2013"</f>
        <v>14th International Conference on Sciences and Techniques of Automatic Control and Computer Engineering, STA 2013</v>
      </c>
      <c r="B290" s="8" t="str">
        <f>"9781479929542"</f>
        <v>9781479929542</v>
      </c>
      <c r="C290" s="8" t="s">
        <v>9</v>
      </c>
    </row>
    <row r="291" spans="1:3" x14ac:dyDescent="0.25">
      <c r="A291" s="8" t="str">
        <f>"14th International Congress on Sound and Vibration 2007, ICSV 2007"</f>
        <v>14th International Congress on Sound and Vibration 2007, ICSV 2007</v>
      </c>
      <c r="B291" s="8" t="str">
        <f>"9781627480000"</f>
        <v>9781627480000</v>
      </c>
      <c r="C291" s="8" t="s">
        <v>1270</v>
      </c>
    </row>
    <row r="292" spans="1:3" x14ac:dyDescent="0.25">
      <c r="A292" s="8" t="str">
        <f>"14th International Flow Measurement Conference 2007, FLOMEKO 2007"</f>
        <v>14th International Flow Measurement Conference 2007, FLOMEKO 2007</v>
      </c>
      <c r="B292" s="8" t="str">
        <f>"9781615678020"</f>
        <v>9781615678020</v>
      </c>
      <c r="C292" s="8" t="s">
        <v>1198</v>
      </c>
    </row>
    <row r="293" spans="1:3" x14ac:dyDescent="0.25">
      <c r="A293" s="8" t="str">
        <f>"14th International High-Level Radioactive Waste Management Conference, IHLRWMC 2013: Integrating Storage, Transportation, and Disposal"</f>
        <v>14th International High-Level Radioactive Waste Management Conference, IHLRWMC 2013: Integrating Storage, Transportation, and Disposal</v>
      </c>
      <c r="B293" s="8" t="str">
        <f>"9781627486446"</f>
        <v>9781627486446</v>
      </c>
      <c r="C293" s="8" t="s">
        <v>10</v>
      </c>
    </row>
    <row r="294" spans="1:3" x14ac:dyDescent="0.25">
      <c r="A294" s="8" t="str">
        <f>"14th International Scientific Conference on Electric Power Engineering 2013, EPE 2013"</f>
        <v>14th International Scientific Conference on Electric Power Engineering 2013, EPE 2013</v>
      </c>
      <c r="B294" s="8" t="str">
        <f>"9781629939186"</f>
        <v>9781629939186</v>
      </c>
      <c r="C294" s="8" t="s">
        <v>1212</v>
      </c>
    </row>
    <row r="295" spans="1:3" x14ac:dyDescent="0.25">
      <c r="A295" s="8" t="str">
        <f>"14th International Symposium on Communications and Information Technologies, ISCIT 2014"</f>
        <v>14th International Symposium on Communications and Information Technologies, ISCIT 2014</v>
      </c>
      <c r="B295" s="8" t="str">
        <f>"9781479944163"</f>
        <v>9781479944163</v>
      </c>
      <c r="C295" s="8" t="s">
        <v>105</v>
      </c>
    </row>
    <row r="296" spans="1:3" x14ac:dyDescent="0.25">
      <c r="A296" s="8" t="str">
        <f>"14th International Symposium on Measurement and Control in Robotics 2004, ISMCR 2004"</f>
        <v>14th International Symposium on Measurement and Control in Robotics 2004, ISMCR 2004</v>
      </c>
      <c r="B296" s="8" t="str">
        <f>"9781615673940"</f>
        <v>9781615673940</v>
      </c>
      <c r="C296" s="8" t="s">
        <v>1198</v>
      </c>
    </row>
    <row r="297" spans="1:3" x14ac:dyDescent="0.25">
      <c r="A297" s="8" t="str">
        <f>"14th International Workshop on THERMal INvestigation of ICs and Systems, THERMINIC 2008"</f>
        <v>14th International Workshop on THERMal INvestigation of ICs and Systems, THERMINIC 2008</v>
      </c>
      <c r="B297" s="8" t="str">
        <f>"9782355000089"</f>
        <v>9782355000089</v>
      </c>
      <c r="C297" s="8" t="s">
        <v>9</v>
      </c>
    </row>
    <row r="298" spans="1:3" x14ac:dyDescent="0.25">
      <c r="A298" s="8" t="str">
        <f>"14th International World Wide Web Conference, WWW2005"</f>
        <v>14th International World Wide Web Conference, WWW2005</v>
      </c>
      <c r="B298" s="8" t="str">
        <f>"9781595930514"</f>
        <v>9781595930514</v>
      </c>
      <c r="C298" s="8" t="s">
        <v>21</v>
      </c>
    </row>
    <row r="299" spans="1:3" x14ac:dyDescent="0.25">
      <c r="A299" s="8" t="str">
        <f>"14th Joint International IMEKO TC1, TC7, TC13 Symposium on Intelligent Quality Measurements - Theory, Education and Training 2011, Held in Conj. with the 56th IWK Ilmenau University of Technology"</f>
        <v>14th Joint International IMEKO TC1, TC7, TC13 Symposium on Intelligent Quality Measurements - Theory, Education and Training 2011, Held in Conj. with the 56th IWK Ilmenau University of Technology</v>
      </c>
      <c r="B299" s="8" t="str">
        <f>"9781618393067"</f>
        <v>9781618393067</v>
      </c>
      <c r="C299" s="8" t="s">
        <v>1198</v>
      </c>
    </row>
    <row r="300" spans="1:3" x14ac:dyDescent="0.25">
      <c r="A300" s="8" t="str">
        <f>"14th Mediterranean Conference on Control and Automation, MED'06"</f>
        <v>14th Mediterranean Conference on Control and Automation, MED'06</v>
      </c>
      <c r="B300" s="8" t="str">
        <f>"9780978672003"</f>
        <v>9780978672003</v>
      </c>
      <c r="C300" s="8" t="s">
        <v>9</v>
      </c>
    </row>
    <row r="301" spans="1:3" x14ac:dyDescent="0.25">
      <c r="A301" s="8" t="str">
        <f>"14th Middle Eastern Simulation and Modelling Multiconference, MESM 2014 - 4th GAMEON-ARABIA Conference, GAMEON-ARABIA 2014"</f>
        <v>14th Middle Eastern Simulation and Modelling Multiconference, MESM 2014 - 4th GAMEON-ARABIA Conference, GAMEON-ARABIA 2014</v>
      </c>
      <c r="B301" s="8" t="str">
        <f>"9789077381816"</f>
        <v>9789077381816</v>
      </c>
      <c r="C301" s="8" t="s">
        <v>1206</v>
      </c>
    </row>
    <row r="302" spans="1:3" x14ac:dyDescent="0.25">
      <c r="A302" s="8" t="str">
        <f>"14th Saint Petersburg International Conference on Integrated Navigation Systems, ICINS 2007 - Proceedings"</f>
        <v>14th Saint Petersburg International Conference on Integrated Navigation Systems, ICINS 2007 - Proceedings</v>
      </c>
      <c r="B302" s="8" t="str">
        <f>"9785900780672"</f>
        <v>9785900780672</v>
      </c>
      <c r="C302" s="8" t="s">
        <v>1248</v>
      </c>
    </row>
    <row r="303" spans="1:3" x14ac:dyDescent="0.25">
      <c r="A303" s="8" t="str">
        <f>"14th Symposium on New Technologies in Measurement and Instrumentation and 10th Workshop on ADC Modelling and Testing"</f>
        <v>14th Symposium on New Technologies in Measurement and Instrumentation and 10th Workshop on ADC Modelling and Testing</v>
      </c>
      <c r="B303" s="8" t="str">
        <f>"-"</f>
        <v>-</v>
      </c>
      <c r="C303" s="8" t="s">
        <v>1198</v>
      </c>
    </row>
    <row r="304" spans="1:3" x14ac:dyDescent="0.25">
      <c r="A304" s="8" t="str">
        <f>"14th Symposium onHaptics Interfaces for Virtual Environment andTeleoperator Systems 2006 - Proceedings"</f>
        <v>14th Symposium onHaptics Interfaces for Virtual Environment andTeleoperator Systems 2006 - Proceedings</v>
      </c>
      <c r="B304" s="8" t="str">
        <f>"-"</f>
        <v>-</v>
      </c>
      <c r="C304" s="8" t="s">
        <v>9</v>
      </c>
    </row>
    <row r="305" spans="1:3" x14ac:dyDescent="0.25">
      <c r="A305" s="8" t="str">
        <f>"14th Water Distribution Systems Analysis Conference 2012, WDSA 2012"</f>
        <v>14th Water Distribution Systems Analysis Conference 2012, WDSA 2012</v>
      </c>
      <c r="B305" s="8" t="str">
        <f>"9781627481328"</f>
        <v>9781627481328</v>
      </c>
      <c r="C305" s="8" t="s">
        <v>1271</v>
      </c>
    </row>
    <row r="306" spans="1:3" x14ac:dyDescent="0.25">
      <c r="A306" s="8" t="str">
        <f>"14th Workshop on Requirements Engineering, WER 2011"</f>
        <v>14th Workshop on Requirements Engineering, WER 2011</v>
      </c>
      <c r="B306" s="8" t="str">
        <f>"9788580060324"</f>
        <v>9788580060324</v>
      </c>
      <c r="C306" s="8" t="s">
        <v>1236</v>
      </c>
    </row>
    <row r="307" spans="1:3" x14ac:dyDescent="0.25">
      <c r="A307" s="8" t="str">
        <f>"14th World Congress on Intelligent Transport Systems, ITS 2007"</f>
        <v>14th World Congress on Intelligent Transport Systems, ITS 2007</v>
      </c>
      <c r="B307" s="8" t="str">
        <f>"9781617387777"</f>
        <v>9781617387777</v>
      </c>
      <c r="C307" s="8" t="s">
        <v>394</v>
      </c>
    </row>
    <row r="308" spans="1:3" x14ac:dyDescent="0.25">
      <c r="A308" s="8" t="str">
        <f>"15th AIAA Aviation Technology, Integration, and Operations Conference"</f>
        <v>15th AIAA Aviation Technology, Integration, and Operations Conference</v>
      </c>
      <c r="B308" s="8" t="str">
        <f>"9781624103698"</f>
        <v>9781624103698</v>
      </c>
      <c r="C308" s="8" t="s">
        <v>1258</v>
      </c>
    </row>
    <row r="309" spans="1:3" x14ac:dyDescent="0.25">
      <c r="A309" s="8" t="str">
        <f>"15th AIAA Computational Fluid Dynamics Conference"</f>
        <v>15th AIAA Computational Fluid Dynamics Conference</v>
      </c>
      <c r="B309" s="8" t="str">
        <f>"-"</f>
        <v>-</v>
      </c>
      <c r="C309" s="8" t="s">
        <v>104</v>
      </c>
    </row>
    <row r="310" spans="1:3" x14ac:dyDescent="0.25">
      <c r="A310" s="8" t="str">
        <f>"15th AIAA International Space Planes and Hypersonic Systems and Technologies Conference"</f>
        <v>15th AIAA International Space Planes and Hypersonic Systems and Technologies Conference</v>
      </c>
      <c r="B310" s="8" t="str">
        <f>"9781563479601"</f>
        <v>9781563479601</v>
      </c>
      <c r="C310" s="8" t="s">
        <v>104</v>
      </c>
    </row>
    <row r="311" spans="1:3" x14ac:dyDescent="0.25">
      <c r="A311" s="8" t="str">
        <f>"15th AIAA/CEAS Aeroacoustics Conference (30th AIAA Aeroacoustics Conference)"</f>
        <v>15th AIAA/CEAS Aeroacoustics Conference (30th AIAA Aeroacoustics Conference)</v>
      </c>
      <c r="B311" s="8" t="str">
        <f>"9781563479748"</f>
        <v>9781563479748</v>
      </c>
      <c r="C311" s="8" t="s">
        <v>104</v>
      </c>
    </row>
    <row r="312" spans="1:3" x14ac:dyDescent="0.25">
      <c r="A312" s="8" t="str">
        <f>"15th Americas Conference on Information Systems 2009, AMCIS 2009"</f>
        <v>15th Americas Conference on Information Systems 2009, AMCIS 2009</v>
      </c>
      <c r="B312" s="8" t="str">
        <f>"9781615675814"</f>
        <v>9781615675814</v>
      </c>
      <c r="C312" s="8" t="s">
        <v>1262</v>
      </c>
    </row>
    <row r="313" spans="1:3" x14ac:dyDescent="0.25">
      <c r="A313" s="8" t="str">
        <f>"15th Annual Conference of the International Association for Mathematical Geosciences - Frontiers of Mathematical Geosciences: New Approaches to Understand the Natural World, IAMG 2013"</f>
        <v>15th Annual Conference of the International Association for Mathematical Geosciences - Frontiers of Mathematical Geosciences: New Approaches to Understand the Natural World, IAMG 2013</v>
      </c>
      <c r="B313" s="8" t="str">
        <f>"-"</f>
        <v>-</v>
      </c>
      <c r="C313" s="8" t="s">
        <v>1272</v>
      </c>
    </row>
    <row r="314" spans="1:3" x14ac:dyDescent="0.25">
      <c r="A314" s="8" t="str">
        <f>"15th Annual General Assembly International Association of Maritime Universities, IAMU AGA 2014 - Looking Ahead: Innovation in Maritime Education, Training and Research"</f>
        <v>15th Annual General Assembly International Association of Maritime Universities, IAMU AGA 2014 - Looking Ahead: Innovation in Maritime Education, Training and Research</v>
      </c>
      <c r="B314" s="8" t="str">
        <f>"9780980639148"</f>
        <v>9780980639148</v>
      </c>
      <c r="C314" s="8" t="s">
        <v>1273</v>
      </c>
    </row>
    <row r="315" spans="1:3" x14ac:dyDescent="0.25">
      <c r="A315" s="8" t="str">
        <f>"15th Annual International Symposium of the International Council on Systems Engineering, INCOSE 2005"</f>
        <v>15th Annual International Symposium of the International Council on Systems Engineering, INCOSE 2005</v>
      </c>
      <c r="B315" s="8" t="str">
        <f>"9781622769285"</f>
        <v>9781622769285</v>
      </c>
      <c r="C315" s="8" t="s">
        <v>1274</v>
      </c>
    </row>
    <row r="316" spans="1:3" x14ac:dyDescent="0.25">
      <c r="A316" s="8" t="s">
        <v>1275</v>
      </c>
      <c r="B316" s="8" t="str">
        <f>"9784885522796"</f>
        <v>9784885522796</v>
      </c>
      <c r="C316" s="8" t="s">
        <v>9</v>
      </c>
    </row>
    <row r="317" spans="1:3" x14ac:dyDescent="0.25">
      <c r="A317" s="8" t="str">
        <f>"15th Coherent Laser Radar Conference Proceedings"</f>
        <v>15th Coherent Laser Radar Conference Proceedings</v>
      </c>
      <c r="B317" s="8" t="str">
        <f>"9781615671564"</f>
        <v>9781615671564</v>
      </c>
      <c r="C317" s="8" t="s">
        <v>394</v>
      </c>
    </row>
    <row r="318" spans="1:3" x14ac:dyDescent="0.25">
      <c r="A318" s="8" t="str">
        <f>"15th European Concurrent Engineering Conference 2008, ECEC 2008 - 5th Future Business Technology Conference, FUBUTEC 2008"</f>
        <v>15th European Concurrent Engineering Conference 2008, ECEC 2008 - 5th Future Business Technology Conference, FUBUTEC 2008</v>
      </c>
      <c r="B318" s="8" t="str">
        <f>"9789077381397"</f>
        <v>9789077381397</v>
      </c>
      <c r="C318" s="8" t="s">
        <v>1206</v>
      </c>
    </row>
    <row r="319" spans="1:3" x14ac:dyDescent="0.25">
      <c r="A319" s="8" t="str">
        <f>"15th European Symposium on Improved Oil Recovery 2009"</f>
        <v>15th European Symposium on Improved Oil Recovery 2009</v>
      </c>
      <c r="B319" s="8" t="str">
        <f>"9781622768912"</f>
        <v>9781622768912</v>
      </c>
      <c r="C319" s="8" t="s">
        <v>1251</v>
      </c>
    </row>
    <row r="320" spans="1:3" x14ac:dyDescent="0.25">
      <c r="A320" s="8" t="str">
        <f>"15th Ibero-American Conference on Software Engineering, CIbSE 2012"</f>
        <v>15th Ibero-American Conference on Software Engineering, CIbSE 2012</v>
      </c>
      <c r="B320" s="8" t="str">
        <f>"-"</f>
        <v>-</v>
      </c>
      <c r="C320" s="8" t="s">
        <v>1267</v>
      </c>
    </row>
    <row r="321" spans="1:3" x14ac:dyDescent="0.25">
      <c r="A321" s="8" t="str">
        <f>"15th IEEE International Conference on Advanced Thermal Processing of Semiconductors, RTP 2007"</f>
        <v>15th IEEE International Conference on Advanced Thermal Processing of Semiconductors, RTP 2007</v>
      </c>
      <c r="B321" s="8" t="str">
        <f>"9781424412273"</f>
        <v>9781424412273</v>
      </c>
      <c r="C321" s="8" t="s">
        <v>9</v>
      </c>
    </row>
    <row r="322" spans="1:3" x14ac:dyDescent="0.25">
      <c r="A322" s="8" t="str">
        <f>"15th IMEKO Symposium on Novelties in Electrical Measurements and Instrumentation in Parallel with the 12th Workshop on ADC Modelling and Testing"</f>
        <v>15th IMEKO Symposium on Novelties in Electrical Measurements and Instrumentation in Parallel with the 12th Workshop on ADC Modelling and Testing</v>
      </c>
      <c r="B322" s="8" t="str">
        <f>"-"</f>
        <v>-</v>
      </c>
      <c r="C322" s="8" t="s">
        <v>1198</v>
      </c>
    </row>
    <row r="323" spans="1:3" x14ac:dyDescent="0.25">
      <c r="A323" s="8" t="str">
        <f>"15th IMEKO TC4 Symposium on Novelties in Electrical Measurements and Instrumentation"</f>
        <v>15th IMEKO TC4 Symposium on Novelties in Electrical Measurements and Instrumentation</v>
      </c>
      <c r="B323" s="8" t="str">
        <f>"-"</f>
        <v>-</v>
      </c>
      <c r="C323" s="8" t="s">
        <v>1198</v>
      </c>
    </row>
    <row r="324" spans="1:3" x14ac:dyDescent="0.25">
      <c r="A324" s="8" t="str">
        <f>"15th Int. Conference on Harbor, Maritime and Multimodal Logistics Modeling and Simulation, HMS 2013, Held at the International Multidisciplinary Modeling and Simulation Multiconference, I3M 2013"</f>
        <v>15th Int. Conference on Harbor, Maritime and Multimodal Logistics Modeling and Simulation, HMS 2013, Held at the International Multidisciplinary Modeling and Simulation Multiconference, I3M 2013</v>
      </c>
      <c r="B324" s="8" t="str">
        <f>"9781629934877"</f>
        <v>9781629934877</v>
      </c>
      <c r="C324" s="8" t="s">
        <v>1200</v>
      </c>
    </row>
    <row r="325" spans="1:3" x14ac:dyDescent="0.25">
      <c r="A325" s="8" t="str">
        <f>"15th International Conference in Central Europe on Computer Graphics, Visualization and Computer Vision 2007, WSCG'2007 - In Co-operation with EUROGRAPHICS, Full Papers ProceedingsWSCG Proceedings"</f>
        <v>15th International Conference in Central Europe on Computer Graphics, Visualization and Computer Vision 2007, WSCG'2007 - In Co-operation with EUROGRAPHICS, Full Papers ProceedingsWSCG Proceedings</v>
      </c>
      <c r="B325" s="8" t="str">
        <f>"9788086943985"</f>
        <v>9788086943985</v>
      </c>
      <c r="C325" s="8" t="s">
        <v>1276</v>
      </c>
    </row>
    <row r="326" spans="1:3" x14ac:dyDescent="0.25">
      <c r="A326" s="8" t="str">
        <f>"15th International Conference of the Association Information and Management 2010, AIM 2010"</f>
        <v>15th International Conference of the Association Information and Management 2010, AIM 2010</v>
      </c>
      <c r="B326" s="8" t="str">
        <f>"-"</f>
        <v>-</v>
      </c>
      <c r="C326" s="8" t="s">
        <v>1243</v>
      </c>
    </row>
    <row r="327" spans="1:3" x14ac:dyDescent="0.25">
      <c r="A327" s="8" t="str">
        <f>"15th International Conference of the International Society for Terrain Vehicle Systems 2005, ISTVS 2005"</f>
        <v>15th International Conference of the International Society for Terrain Vehicle Systems 2005, ISTVS 2005</v>
      </c>
      <c r="B327" s="8" t="str">
        <f>"9781627482929"</f>
        <v>9781627482929</v>
      </c>
      <c r="C327" s="8" t="s">
        <v>1277</v>
      </c>
    </row>
    <row r="328" spans="1:3" x14ac:dyDescent="0.25">
      <c r="A328" s="8" t="str">
        <f>"15th International Conference on Computers in Education: Supporting Learning Flow through Integrative Technologies, ICCE 2007"</f>
        <v>15th International Conference on Computers in Education: Supporting Learning Flow through Integrative Technologies, ICCE 2007</v>
      </c>
      <c r="B328" s="8" t="str">
        <f>"9781586037970"</f>
        <v>9781586037970</v>
      </c>
      <c r="C328" s="8" t="s">
        <v>1278</v>
      </c>
    </row>
    <row r="329" spans="1:3" x14ac:dyDescent="0.25">
      <c r="A329" s="8" t="str">
        <f>"15th International Conference on Digital Audio Effects, DAFx 2012 Proceedings"</f>
        <v>15th International Conference on Digital Audio Effects, DAFx 2012 Proceedings</v>
      </c>
      <c r="B329" s="8" t="str">
        <f>"-"</f>
        <v>-</v>
      </c>
      <c r="C329" s="8" t="s">
        <v>1253</v>
      </c>
    </row>
    <row r="330" spans="1:3" x14ac:dyDescent="0.25">
      <c r="A330" s="8" t="str">
        <f>"15th International Conference on Environmental Degradation of Materials in Nuclear Power Systems-Water Reactors 2011"</f>
        <v>15th International Conference on Environmental Degradation of Materials in Nuclear Power Systems-Water Reactors 2011</v>
      </c>
      <c r="B330" s="8" t="str">
        <f>"9781622761944"</f>
        <v>9781622761944</v>
      </c>
      <c r="C330" s="8" t="s">
        <v>87</v>
      </c>
    </row>
    <row r="331" spans="1:3" x14ac:dyDescent="0.25">
      <c r="A331" s="8" t="str">
        <f>"15th International Conference on High-Power Particle Beams - Proceedings, BEAMS-2004"</f>
        <v>15th International Conference on High-Power Particle Beams - Proceedings, BEAMS-2004</v>
      </c>
      <c r="B331" s="8" t="str">
        <f>"9785879110883"</f>
        <v>9785879110883</v>
      </c>
      <c r="C331" s="8" t="s">
        <v>9</v>
      </c>
    </row>
    <row r="332" spans="1:3" x14ac:dyDescent="0.25">
      <c r="A332" s="8" t="str">
        <f>"15th International Conference on Information Fusion, FUSION 2012"</f>
        <v>15th International Conference on Information Fusion, FUSION 2012</v>
      </c>
      <c r="B332" s="8" t="str">
        <f>"9780982443859"</f>
        <v>9780982443859</v>
      </c>
      <c r="C332" s="8" t="s">
        <v>9</v>
      </c>
    </row>
    <row r="333" spans="1:3" x14ac:dyDescent="0.25">
      <c r="A333" s="8" t="str">
        <f>"15th International Conference on Intelligent Games and Simulation, GAME-ON 2014"</f>
        <v>15th International Conference on Intelligent Games and Simulation, GAME-ON 2014</v>
      </c>
      <c r="B333" s="8" t="str">
        <f>"9789077381854"</f>
        <v>9789077381854</v>
      </c>
      <c r="C333" s="8" t="s">
        <v>1206</v>
      </c>
    </row>
    <row r="334" spans="1:3" x14ac:dyDescent="0.25">
      <c r="A334" s="8" t="str">
        <f>"15th International Conference on Mechatronics and Machine Vision in Practice, M2VIP'08"</f>
        <v>15th International Conference on Mechatronics and Machine Vision in Practice, M2VIP'08</v>
      </c>
      <c r="B334" s="8" t="str">
        <f>"9780473135324"</f>
        <v>9780473135324</v>
      </c>
      <c r="C334" s="8" t="s">
        <v>9</v>
      </c>
    </row>
    <row r="335" spans="1:3" x14ac:dyDescent="0.25">
      <c r="A335" s="8" t="str">
        <f>"15th International Conference on Microwaves, Radar and Wireless Communications, MIKON - 2004"</f>
        <v>15th International Conference on Microwaves, Radar and Wireless Communications, MIKON - 2004</v>
      </c>
      <c r="B335" s="8" t="str">
        <f>"9788390666273"</f>
        <v>9788390666273</v>
      </c>
      <c r="C335" s="8" t="s">
        <v>105</v>
      </c>
    </row>
    <row r="336" spans="1:3" x14ac:dyDescent="0.25">
      <c r="A336" s="8" t="str">
        <f>"15th International Conference on Miniaturized Systems for Chemistry and Life Sciences 2011, MicroTAS 2011"</f>
        <v>15th International Conference on Miniaturized Systems for Chemistry and Life Sciences 2011, MicroTAS 2011</v>
      </c>
      <c r="B336" s="8" t="str">
        <f>"9781618395955"</f>
        <v>9781618395955</v>
      </c>
      <c r="C336" s="8" t="s">
        <v>1269</v>
      </c>
    </row>
    <row r="337" spans="1:3" x14ac:dyDescent="0.25">
      <c r="A337" s="8" t="str">
        <f>"15th International Conference on System Theory, Control and Computing, ICSTCC 2011"</f>
        <v>15th International Conference on System Theory, Control and Computing, ICSTCC 2011</v>
      </c>
      <c r="B337" s="8" t="str">
        <f>"9781457711732"</f>
        <v>9781457711732</v>
      </c>
      <c r="C337" s="8" t="s">
        <v>9</v>
      </c>
    </row>
    <row r="338" spans="1:3" x14ac:dyDescent="0.25">
      <c r="A338" s="8" t="str">
        <f>"15th International Congress on Sound and Vibration 2008, ICSV 2008"</f>
        <v>15th International Congress on Sound and Vibration 2008, ICSV 2008</v>
      </c>
      <c r="B338" s="8" t="str">
        <f>"9781627481519"</f>
        <v>9781627481519</v>
      </c>
      <c r="C338" s="8" t="s">
        <v>559</v>
      </c>
    </row>
    <row r="339" spans="1:3" x14ac:dyDescent="0.25">
      <c r="A339" s="8" t="str">
        <f>"15th International Flow Measurement Conference 2010, FLOMEKO 2010"</f>
        <v>15th International Flow Measurement Conference 2010, FLOMEKO 2010</v>
      </c>
      <c r="B339" s="8" t="str">
        <f>"9781617824722"</f>
        <v>9781617824722</v>
      </c>
      <c r="C339" s="8" t="s">
        <v>1198</v>
      </c>
    </row>
    <row r="340" spans="1:3" x14ac:dyDescent="0.25">
      <c r="A340" s="8" t="str">
        <f>"15th International Power Electronics and Motion Control Conference and Exposition, EPE-PEMC 2012 ECCE Europe"</f>
        <v>15th International Power Electronics and Motion Control Conference and Exposition, EPE-PEMC 2012 ECCE Europe</v>
      </c>
      <c r="B340" s="8" t="str">
        <f>"9781467319713"</f>
        <v>9781467319713</v>
      </c>
      <c r="C340" s="8" t="s">
        <v>9</v>
      </c>
    </row>
    <row r="341" spans="1:3" x14ac:dyDescent="0.25">
      <c r="A341" s="8" t="str">
        <f>"15th International Symposium on Transport Phenomena and Dynamics of Rotating Machinery, ISROMAC 2014"</f>
        <v>15th International Symposium on Transport Phenomena and Dynamics of Rotating Machinery, ISROMAC 2014</v>
      </c>
      <c r="B341" s="8" t="str">
        <f>"-"</f>
        <v>-</v>
      </c>
      <c r="C341" s="8" t="s">
        <v>1260</v>
      </c>
    </row>
    <row r="342" spans="1:3" x14ac:dyDescent="0.25">
      <c r="A342" s="8" t="str">
        <f>"15th International Workshop on Deep-Inelastic Scattering and Related Subjects, DIS 2007"</f>
        <v>15th International Workshop on Deep-Inelastic Scattering and Related Subjects, DIS 2007</v>
      </c>
      <c r="B342" s="8" t="str">
        <f>"-"</f>
        <v>-</v>
      </c>
      <c r="C342" s="8" t="s">
        <v>1279</v>
      </c>
    </row>
    <row r="343" spans="1:3" x14ac:dyDescent="0.25">
      <c r="A343" s="8" t="str">
        <f>"15th International Workshop on Thermal Investigations of ICs and Systems, THERMINIC 2009"</f>
        <v>15th International Workshop on Thermal Investigations of ICs and Systems, THERMINIC 2009</v>
      </c>
      <c r="B343" s="8" t="str">
        <f>"9782355000102"</f>
        <v>9782355000102</v>
      </c>
      <c r="C343" s="8" t="s">
        <v>9</v>
      </c>
    </row>
    <row r="344" spans="1:3" x14ac:dyDescent="0.25">
      <c r="A344" s="8" t="str">
        <f>"15th Power Systems Computation Conference, PSCC 2005"</f>
        <v>15th Power Systems Computation Conference, PSCC 2005</v>
      </c>
      <c r="B344" s="8" t="str">
        <f>"9780000000002"</f>
        <v>9780000000002</v>
      </c>
      <c r="C344" s="8" t="s">
        <v>1280</v>
      </c>
    </row>
    <row r="345" spans="1:3" x14ac:dyDescent="0.25">
      <c r="A345" s="8" t="str">
        <f>"15th World Congress on Intelligent Transport Systems and ITS America Annual Meeting 2008"</f>
        <v>15th World Congress on Intelligent Transport Systems and ITS America Annual Meeting 2008</v>
      </c>
      <c r="B345" s="8" t="str">
        <f>"9781615677566"</f>
        <v>9781615677566</v>
      </c>
      <c r="C345" s="8" t="s">
        <v>1281</v>
      </c>
    </row>
    <row r="346" spans="1:3" x14ac:dyDescent="0.25">
      <c r="A346" s="8" t="str">
        <f>"16th AIAA Aerodynamic Decelerator Systems Technology Conference and Seminar"</f>
        <v>16th AIAA Aerodynamic Decelerator Systems Technology Conference and Seminar</v>
      </c>
      <c r="B346" s="8" t="str">
        <f>"-"</f>
        <v>-</v>
      </c>
      <c r="C346" s="8" t="s">
        <v>104</v>
      </c>
    </row>
    <row r="347" spans="1:3" x14ac:dyDescent="0.25">
      <c r="A347" s="8" t="str">
        <f>"16th AIAA Computational Fluid Dynamics Conference"</f>
        <v>16th AIAA Computational Fluid Dynamics Conference</v>
      </c>
      <c r="B347" s="8" t="str">
        <f>"9781624100864"</f>
        <v>9781624100864</v>
      </c>
      <c r="C347" s="8" t="s">
        <v>104</v>
      </c>
    </row>
    <row r="348" spans="1:3" x14ac:dyDescent="0.25">
      <c r="A348" s="8" t="str">
        <f>"16th AIAA Non-Deterministic Approaches Conference"</f>
        <v>16th AIAA Non-Deterministic Approaches Conference</v>
      </c>
      <c r="B348" s="8" t="str">
        <f>"-"</f>
        <v>-</v>
      </c>
      <c r="C348" s="8" t="s">
        <v>104</v>
      </c>
    </row>
    <row r="349" spans="1:3" x14ac:dyDescent="0.25">
      <c r="A349" s="8" t="str">
        <f>"16th AIAA/CEAS Aeroacoustics Conference (31st AIAA Aeroacoustics Conference)"</f>
        <v>16th AIAA/CEAS Aeroacoustics Conference (31st AIAA Aeroacoustics Conference)</v>
      </c>
      <c r="B349" s="8" t="str">
        <f>"9781600867446"</f>
        <v>9781600867446</v>
      </c>
      <c r="C349" s="8" t="s">
        <v>104</v>
      </c>
    </row>
    <row r="350" spans="1:3" x14ac:dyDescent="0.25">
      <c r="A350" s="8" t="str">
        <f>"16th AIAA/DLR/DGLR International Space Planes and Hypersonic Systems and Technologies Conference"</f>
        <v>16th AIAA/DLR/DGLR International Space Planes and Hypersonic Systems and Technologies Conference</v>
      </c>
      <c r="B350" s="8" t="str">
        <f>"9781600867408"</f>
        <v>9781600867408</v>
      </c>
      <c r="C350" s="8" t="s">
        <v>104</v>
      </c>
    </row>
    <row r="351" spans="1:3" x14ac:dyDescent="0.25">
      <c r="A351" s="8" t="str">
        <f>"16th AIAA/ISSMO Multidisciplinary Analysis and Optimization Conference"</f>
        <v>16th AIAA/ISSMO Multidisciplinary Analysis and Optimization Conference</v>
      </c>
      <c r="B351" s="8" t="str">
        <f>"9781624103681"</f>
        <v>9781624103681</v>
      </c>
      <c r="C351" s="8" t="s">
        <v>1258</v>
      </c>
    </row>
    <row r="352" spans="1:3" x14ac:dyDescent="0.25">
      <c r="A352" s="8" t="str">
        <f>"16th Americas Conference on Information Systems 2010, AMCIS 2010"</f>
        <v>16th Americas Conference on Information Systems 2010, AMCIS 2010</v>
      </c>
      <c r="B352" s="8" t="str">
        <f>"9781617389528"</f>
        <v>9781617389528</v>
      </c>
      <c r="C352" s="8" t="s">
        <v>1262</v>
      </c>
    </row>
    <row r="353" spans="1:3" x14ac:dyDescent="0.25">
      <c r="A353" s="8" t="str">
        <f>"16th Annual Conference on Mechatronics and Machine Vision in Practice 2010, M2VIP 2010"</f>
        <v>16th Annual Conference on Mechatronics and Machine Vision in Practice 2010, M2VIP 2010</v>
      </c>
      <c r="B353" s="8" t="str">
        <f>"9781617387227"</f>
        <v>9781617387227</v>
      </c>
      <c r="C353" s="8" t="s">
        <v>1282</v>
      </c>
    </row>
    <row r="354" spans="1:3" x14ac:dyDescent="0.25">
      <c r="A354" s="8" t="str">
        <f>"16th Annual International Symposium of the International Council on Systems Engineering, INCOSE 2006"</f>
        <v>16th Annual International Symposium of the International Council on Systems Engineering, INCOSE 2006</v>
      </c>
      <c r="B354" s="8" t="str">
        <f>"9781622769292"</f>
        <v>9781622769292</v>
      </c>
      <c r="C354" s="8" t="s">
        <v>1274</v>
      </c>
    </row>
    <row r="355" spans="1:3" x14ac:dyDescent="0.25">
      <c r="A355" s="8" t="str">
        <f>"16th Annual Joint ISA POWID/EPRI Controls and Instrumentation Conference and 49th Annual ISA Power Industry Division, POWID Symposium 2006"</f>
        <v>16th Annual Joint ISA POWID/EPRI Controls and Instrumentation Conference and 49th Annual ISA Power Industry Division, POWID Symposium 2006</v>
      </c>
      <c r="B355" s="8" t="str">
        <f>"-"</f>
        <v>-</v>
      </c>
      <c r="C355" s="8" t="s">
        <v>188</v>
      </c>
    </row>
    <row r="356" spans="1:3" x14ac:dyDescent="0.25">
      <c r="A356" s="8" t="str">
        <f>"16th Conference on Behavior Representation in Modeling and Simulation 2007, BRIMS"</f>
        <v>16th Conference on Behavior Representation in Modeling and Simulation 2007, BRIMS</v>
      </c>
      <c r="B356" s="8" t="str">
        <f>"9781615671748"</f>
        <v>9781615671748</v>
      </c>
      <c r="C356" s="8" t="s">
        <v>1283</v>
      </c>
    </row>
    <row r="357" spans="1:3" x14ac:dyDescent="0.25">
      <c r="A357" s="8" t="str">
        <f>"16th Conference on Biometeorology and Aerobiology"</f>
        <v>16th Conference on Biometeorology and Aerobiology</v>
      </c>
      <c r="B357" s="8" t="str">
        <f>"-"</f>
        <v>-</v>
      </c>
      <c r="C357" s="8" t="s">
        <v>225</v>
      </c>
    </row>
    <row r="358" spans="1:3" x14ac:dyDescent="0.25">
      <c r="A358" s="8" t="str">
        <f>"16th Electrical Power Distribution Conference, EPDC 2011"</f>
        <v>16th Electrical Power Distribution Conference, EPDC 2011</v>
      </c>
      <c r="B358" s="8" t="str">
        <f>"9789644631498"</f>
        <v>9789644631498</v>
      </c>
      <c r="C358" s="8" t="s">
        <v>9</v>
      </c>
    </row>
    <row r="359" spans="1:3" x14ac:dyDescent="0.25">
      <c r="A359" s="8" t="str">
        <f>"16th European Concurrent Engineering Conference 2009, ECEC 2009 - 6th Future Business Technology Conference, FUBUTEC 2009"</f>
        <v>16th European Concurrent Engineering Conference 2009, ECEC 2009 - 6th Future Business Technology Conference, FUBUTEC 2009</v>
      </c>
      <c r="B359" s="8" t="str">
        <f>"9789077381472"</f>
        <v>9789077381472</v>
      </c>
      <c r="C359" s="8" t="s">
        <v>1206</v>
      </c>
    </row>
    <row r="360" spans="1:3" x14ac:dyDescent="0.25">
      <c r="A360" s="8" t="str">
        <f>"16th European Conference on Composite Materials, ECCM 2014"</f>
        <v>16th European Conference on Composite Materials, ECCM 2014</v>
      </c>
      <c r="B360" s="8" t="str">
        <f>"-"</f>
        <v>-</v>
      </c>
      <c r="C360" s="8" t="s">
        <v>1284</v>
      </c>
    </row>
    <row r="361" spans="1:3" x14ac:dyDescent="0.25">
      <c r="A361" s="8" t="str">
        <f>"16th European Conference on Information Systems, ECIS 2008"</f>
        <v>16th European Conference on Information Systems, ECIS 2008</v>
      </c>
      <c r="B361" s="8" t="str">
        <f>"-"</f>
        <v>-</v>
      </c>
      <c r="C361" s="8" t="s">
        <v>289</v>
      </c>
    </row>
    <row r="362" spans="1:3" x14ac:dyDescent="0.25">
      <c r="A362" s="8" t="str">
        <f>"16th European Conference on Networks and Optical Communications, NOC 2011"</f>
        <v>16th European Conference on Networks and Optical Communications, NOC 2011</v>
      </c>
      <c r="B362" s="8" t="str">
        <f>"9781861353733"</f>
        <v>9781861353733</v>
      </c>
      <c r="C362" s="8" t="s">
        <v>9</v>
      </c>
    </row>
    <row r="363" spans="1:3" x14ac:dyDescent="0.25">
      <c r="A363" s="8" t="str">
        <f>"16th European Microelectronics and Packaging Conference and Exhibition 2007, EMPC 2007"</f>
        <v>16th European Microelectronics and Packaging Conference and Exhibition 2007, EMPC 2007</v>
      </c>
      <c r="B363" s="8" t="str">
        <f>"9781622764662"</f>
        <v>9781622764662</v>
      </c>
      <c r="C363" s="8" t="s">
        <v>1285</v>
      </c>
    </row>
    <row r="364" spans="1:3" x14ac:dyDescent="0.25">
      <c r="A364" s="8" t="str">
        <f>"16th European Symposium on Improved Oil Recovery 2011"</f>
        <v>16th European Symposium on Improved Oil Recovery 2011</v>
      </c>
      <c r="B364" s="8" t="str">
        <f>"9781622768929"</f>
        <v>9781622768929</v>
      </c>
      <c r="C364" s="8" t="s">
        <v>1251</v>
      </c>
    </row>
    <row r="365" spans="1:3" x14ac:dyDescent="0.25">
      <c r="A365" s="8" t="str">
        <f>"16th IEEE International Conference on Advanced Thermal Processing of Semiconductors, RTP 2008"</f>
        <v>16th IEEE International Conference on Advanced Thermal Processing of Semiconductors, RTP 2008</v>
      </c>
      <c r="B365" s="8" t="str">
        <f>"9781424419517"</f>
        <v>9781424419517</v>
      </c>
      <c r="C365" s="8" t="s">
        <v>9</v>
      </c>
    </row>
    <row r="366" spans="1:3" x14ac:dyDescent="0.25">
      <c r="A366" s="8" t="str">
        <f>"16th IEEE International Symposium on Object/Component/Service-Oriented Real-Time Distributed Computing, ISORC 2013"</f>
        <v>16th IEEE International Symposium on Object/Component/Service-Oriented Real-Time Distributed Computing, ISORC 2013</v>
      </c>
      <c r="B366" s="8" t="str">
        <f>"9781479921119"</f>
        <v>9781479921119</v>
      </c>
      <c r="C366" s="8" t="s">
        <v>105</v>
      </c>
    </row>
    <row r="367" spans="1:3" x14ac:dyDescent="0.25">
      <c r="A367" s="8" t="str">
        <f>"16th IMEKO TC4 Int. Symp.: Exploring New Frontiers of Instrum. and Methods for Electrical and Electronic Measurements; 13th TC21 Int. Workshop on ADC Modelling and Testing - Joint Session, Proc."</f>
        <v>16th IMEKO TC4 Int. Symp.: Exploring New Frontiers of Instrum. and Methods for Electrical and Electronic Measurements; 13th TC21 Int. Workshop on ADC Modelling and Testing - Joint Session, Proc.</v>
      </c>
      <c r="B367" s="8" t="str">
        <f>"9788890314933"</f>
        <v>9788890314933</v>
      </c>
      <c r="C367" s="8" t="s">
        <v>1286</v>
      </c>
    </row>
    <row r="368" spans="1:3" x14ac:dyDescent="0.25">
      <c r="A368" s="8" t="str">
        <f>"16th International Conference in Central Europe on Computer Graphics, Visualization and Computer Vision, WSCG'2008 - In Co-operation with EUROGRAPHICS, Full Papers"</f>
        <v>16th International Conference in Central Europe on Computer Graphics, Visualization and Computer Vision, WSCG'2008 - In Co-operation with EUROGRAPHICS, Full Papers</v>
      </c>
      <c r="B368" s="8" t="str">
        <f>"9788086943152"</f>
        <v>9788086943152</v>
      </c>
      <c r="C368" s="8" t="s">
        <v>1276</v>
      </c>
    </row>
    <row r="369" spans="1:3" x14ac:dyDescent="0.25">
      <c r="A369" s="8" t="str">
        <f>"16th International Conference of the Association Information and Management 2011, AIM 2011"</f>
        <v>16th International Conference of the Association Information and Management 2011, AIM 2011</v>
      </c>
      <c r="B369" s="8" t="str">
        <f>"-"</f>
        <v>-</v>
      </c>
      <c r="C369" s="8" t="s">
        <v>1243</v>
      </c>
    </row>
    <row r="370" spans="1:3" x14ac:dyDescent="0.25">
      <c r="A370" s="8" t="str">
        <f>"16th International Conference of the International Society for Terrain Vehicle Systems 2008, ISTVS 2008"</f>
        <v>16th International Conference of the International Society for Terrain Vehicle Systems 2008, ISTVS 2008</v>
      </c>
      <c r="B370" s="8" t="str">
        <f>"9781627482936"</f>
        <v>9781627482936</v>
      </c>
      <c r="C370" s="8" t="s">
        <v>1277</v>
      </c>
    </row>
    <row r="371" spans="1:3" x14ac:dyDescent="0.25">
      <c r="A371" s="8" t="str">
        <f>"16th International Conference on Adaptive Structures and Technologies"</f>
        <v>16th International Conference on Adaptive Structures and Technologies</v>
      </c>
      <c r="B371" s="8" t="str">
        <f>"9781932078572"</f>
        <v>9781932078572</v>
      </c>
      <c r="C371" s="8" t="s">
        <v>757</v>
      </c>
    </row>
    <row r="372" spans="1:3" x14ac:dyDescent="0.25">
      <c r="A372" s="8" t="str">
        <f>"16th International Conference on Harbor, Maritime and Multimodal Logistics Modelling and Simulation, HMS 2014"</f>
        <v>16th International Conference on Harbor, Maritime and Multimodal Logistics Modelling and Simulation, HMS 2014</v>
      </c>
      <c r="B372" s="8" t="str">
        <f>"9788897999331"</f>
        <v>9788897999331</v>
      </c>
      <c r="C372" s="8" t="s">
        <v>1256</v>
      </c>
    </row>
    <row r="373" spans="1:3" x14ac:dyDescent="0.25">
      <c r="A373" s="8" t="str">
        <f>"16th International Conference on High Performance Computing, HiPC 2009 - Proceedings"</f>
        <v>16th International Conference on High Performance Computing, HiPC 2009 - Proceedings</v>
      </c>
      <c r="B373" s="8" t="str">
        <f>"9781424449224"</f>
        <v>9781424449224</v>
      </c>
      <c r="C373" s="8" t="s">
        <v>9</v>
      </c>
    </row>
    <row r="374" spans="1:3" x14ac:dyDescent="0.25">
      <c r="A374" s="8" t="str">
        <f>"16th International Conference on Microwaves, Radar and Wireless Communications, MIKON 2006"</f>
        <v>16th International Conference on Microwaves, Radar and Wireless Communications, MIKON 2006</v>
      </c>
      <c r="B374" s="8" t="str">
        <f>"9788390666280"</f>
        <v>9788390666280</v>
      </c>
      <c r="C374" s="8" t="s">
        <v>9</v>
      </c>
    </row>
    <row r="375" spans="1:3" x14ac:dyDescent="0.25">
      <c r="A375" s="8" t="str">
        <f>"16th International Conference on Pipeline Protection"</f>
        <v>16th International Conference on Pipeline Protection</v>
      </c>
      <c r="B375" s="8" t="str">
        <f>"9781855980723"</f>
        <v>9781855980723</v>
      </c>
      <c r="C375" s="8" t="s">
        <v>1246</v>
      </c>
    </row>
    <row r="376" spans="1:3" x14ac:dyDescent="0.25">
      <c r="A376" s="8" t="str">
        <f>"16th International Conference on Software Engineering and Data Engineering, SEDE 2007"</f>
        <v>16th International Conference on Software Engineering and Data Engineering, SEDE 2007</v>
      </c>
      <c r="B376" s="8" t="str">
        <f>"9781604231847"</f>
        <v>9781604231847</v>
      </c>
      <c r="C376" s="8" t="s">
        <v>1287</v>
      </c>
    </row>
    <row r="377" spans="1:3" x14ac:dyDescent="0.25">
      <c r="A377" s="8" t="str">
        <f>"16th International Conference on Telecommunications, ICT 2009"</f>
        <v>16th International Conference on Telecommunications, ICT 2009</v>
      </c>
      <c r="B377" s="8" t="str">
        <f>"9781424429370"</f>
        <v>9781424429370</v>
      </c>
      <c r="C377" s="8" t="s">
        <v>9</v>
      </c>
    </row>
    <row r="378" spans="1:3" x14ac:dyDescent="0.25">
      <c r="A378" s="8" t="str">
        <f>"16th International Congress on Sound and Vibration 2009, ICSV 2009"</f>
        <v>16th International Congress on Sound and Vibration 2009, ICSV 2009</v>
      </c>
      <c r="B378" s="8" t="str">
        <f>"9781615677368"</f>
        <v>9781615677368</v>
      </c>
      <c r="C378" s="8" t="s">
        <v>559</v>
      </c>
    </row>
    <row r="379" spans="1:3" x14ac:dyDescent="0.25">
      <c r="A379" s="8" t="str">
        <f>"16th International Flow Measurement Conference 2013, FLOMEKO 2013"</f>
        <v>16th International Flow Measurement Conference 2013, FLOMEKO 2013</v>
      </c>
      <c r="B379" s="8" t="str">
        <f>"9781629938189"</f>
        <v>9781629938189</v>
      </c>
      <c r="C379" s="8" t="s">
        <v>1198</v>
      </c>
    </row>
    <row r="380" spans="1:3" x14ac:dyDescent="0.25">
      <c r="A380" s="8" t="str">
        <f>"16th International Power Electronics and Motion Control Conference and Exposition, PEMC 2014"</f>
        <v>16th International Power Electronics and Motion Control Conference and Exposition, PEMC 2014</v>
      </c>
      <c r="B380" s="8" t="str">
        <f>"9781479920600"</f>
        <v>9781479920600</v>
      </c>
      <c r="C380" s="8" t="s">
        <v>105</v>
      </c>
    </row>
    <row r="381" spans="1:3" x14ac:dyDescent="0.25">
      <c r="A381" s="8" t="str">
        <f>"16th International Symposium on Wood, Fiber and Pulping Chemistry - Proceedings, ISWFPC"</f>
        <v>16th International Symposium on Wood, Fiber and Pulping Chemistry - Proceedings, ISWFPC</v>
      </c>
      <c r="B381" s="8" t="str">
        <f>"-"</f>
        <v>-</v>
      </c>
      <c r="C381" s="8" t="s">
        <v>1288</v>
      </c>
    </row>
    <row r="382" spans="1:3" x14ac:dyDescent="0.25">
      <c r="A382" s="8" t="str">
        <f>"16th International Workshop on Thermal Investigations of ICs and Systems, THERMINIC 2010"</f>
        <v>16th International Workshop on Thermal Investigations of ICs and Systems, THERMINIC 2010</v>
      </c>
      <c r="B382" s="8" t="str">
        <f>"9782355000126"</f>
        <v>9782355000126</v>
      </c>
      <c r="C382" s="8" t="s">
        <v>9</v>
      </c>
    </row>
    <row r="383" spans="1:3" x14ac:dyDescent="0.25">
      <c r="A383" s="8" t="str">
        <f>"16th International World Wide Web Conference, WWW2007"</f>
        <v>16th International World Wide Web Conference, WWW2007</v>
      </c>
      <c r="B383" s="8" t="str">
        <f>"9781595936547"</f>
        <v>9781595936547</v>
      </c>
      <c r="C383" s="8" t="s">
        <v>21</v>
      </c>
    </row>
    <row r="384" spans="1:3" x14ac:dyDescent="0.25">
      <c r="A384" s="8" t="str">
        <f>"16th Opto-Electronics and Communications Conference, OECC 2011"</f>
        <v>16th Opto-Electronics and Communications Conference, OECC 2011</v>
      </c>
      <c r="B384" s="8" t="str">
        <f>"9781612842882"</f>
        <v>9781612842882</v>
      </c>
      <c r="C384" s="8" t="s">
        <v>9</v>
      </c>
    </row>
    <row r="385" spans="1:3" x14ac:dyDescent="0.25">
      <c r="A385" s="8" t="str">
        <f>"16th Power Systems Computation Conference, PSCC 2008"</f>
        <v>16th Power Systems Computation Conference, PSCC 2008</v>
      </c>
      <c r="B385" s="8" t="str">
        <f>"9780947649289"</f>
        <v>9780947649289</v>
      </c>
      <c r="C385" s="8" t="s">
        <v>1280</v>
      </c>
    </row>
    <row r="386" spans="1:3" x14ac:dyDescent="0.25">
      <c r="A386" s="8" t="str">
        <f>"16th Process Plant Safety Symposium 2014, PPSS 2014 - Topical Conference at the 2014 AIChE Spring Meeting and 10th Global Congress on Process Safety"</f>
        <v>16th Process Plant Safety Symposium 2014, PPSS 2014 - Topical Conference at the 2014 AIChE Spring Meeting and 10th Global Congress on Process Safety</v>
      </c>
      <c r="B386" s="8" t="str">
        <f>"9781634391580"</f>
        <v>9781634391580</v>
      </c>
      <c r="C386" s="8" t="s">
        <v>1219</v>
      </c>
    </row>
    <row r="387" spans="1:3" x14ac:dyDescent="0.25">
      <c r="A387" s="8" t="str">
        <f>"16th Saint Petersburg International Conference on Integrated Navigation Systems, ICINS 2009 - Proceedings"</f>
        <v>16th Saint Petersburg International Conference on Integrated Navigation Systems, ICINS 2009 - Proceedings</v>
      </c>
      <c r="B387" s="8" t="str">
        <f>"9785900780696"</f>
        <v>9785900780696</v>
      </c>
      <c r="C387" s="8" t="s">
        <v>1248</v>
      </c>
    </row>
    <row r="388" spans="1:3" x14ac:dyDescent="0.25">
      <c r="A388" s="8" t="str">
        <f>"16th Science and Applied Research Conference on Oil and Gas Geological Exploration and Development, GEOMODEL 2014"</f>
        <v>16th Science and Applied Research Conference on Oil and Gas Geological Exploration and Development, GEOMODEL 2014</v>
      </c>
      <c r="B388" s="8" t="str">
        <f>"9789462820326"</f>
        <v>9789462820326</v>
      </c>
      <c r="C388" s="8" t="s">
        <v>1251</v>
      </c>
    </row>
    <row r="389" spans="1:3" x14ac:dyDescent="0.25">
      <c r="A389" s="8" t="str">
        <f>"16th Solid Freeform Fabrication Symposium, SFF 2005"</f>
        <v>16th Solid Freeform Fabrication Symposium, SFF 2005</v>
      </c>
      <c r="B389" s="8" t="str">
        <f>"-"</f>
        <v>-</v>
      </c>
      <c r="C389" s="8" t="s">
        <v>1289</v>
      </c>
    </row>
    <row r="390" spans="1:3" x14ac:dyDescent="0.25">
      <c r="A390" s="8" t="str">
        <f>"16th Symposium on Boundary Layers and Turbulence"</f>
        <v>16th Symposium on Boundary Layers and Turbulence</v>
      </c>
      <c r="B390" s="8" t="str">
        <f>"-"</f>
        <v>-</v>
      </c>
      <c r="C390" s="8" t="s">
        <v>225</v>
      </c>
    </row>
    <row r="391" spans="1:3" x14ac:dyDescent="0.25">
      <c r="A391" s="8" t="str">
        <f>"16th Symposium on Physics of Switching Arc, FSO 2005"</f>
        <v>16th Symposium on Physics of Switching Arc, FSO 2005</v>
      </c>
      <c r="B391" s="8" t="str">
        <f>"9788021429314"</f>
        <v>9788021429314</v>
      </c>
      <c r="C391" s="8" t="s">
        <v>1290</v>
      </c>
    </row>
    <row r="392" spans="1:3" x14ac:dyDescent="0.25">
      <c r="A392" s="8" t="str">
        <f>"16th World Hydrogen Energy Conference 2006, WHEC 2006"</f>
        <v>16th World Hydrogen Energy Conference 2006, WHEC 2006</v>
      </c>
      <c r="B392" s="8" t="str">
        <f>"9781622765409"</f>
        <v>9781622765409</v>
      </c>
      <c r="C392" s="8" t="s">
        <v>1291</v>
      </c>
    </row>
    <row r="393" spans="1:3" x14ac:dyDescent="0.25">
      <c r="A393" s="8" t="str">
        <f>"17es Journees Francophones d'Ingenierie des Connaissances, IC 2006"</f>
        <v>17es Journees Francophones d'Ingenierie des Connaissances, IC 2006</v>
      </c>
      <c r="B393" s="8" t="str">
        <f>"-"</f>
        <v>-</v>
      </c>
      <c r="C393" s="8" t="s">
        <v>1292</v>
      </c>
    </row>
    <row r="394" spans="1:3" x14ac:dyDescent="0.25">
      <c r="A394" s="8" t="str">
        <f>"17th AIAA Aerodynamic Decelerator Systems Technology Conference and Seminar"</f>
        <v>17th AIAA Aerodynamic Decelerator Systems Technology Conference and Seminar</v>
      </c>
      <c r="B394" s="8" t="str">
        <f>"9781624100871"</f>
        <v>9781624100871</v>
      </c>
      <c r="C394" s="8" t="s">
        <v>104</v>
      </c>
    </row>
    <row r="395" spans="1:3" x14ac:dyDescent="0.25">
      <c r="A395" s="8" t="str">
        <f>"17th AIAA Computational Fluid Dynamics Conference"</f>
        <v>17th AIAA Computational Fluid Dynamics Conference</v>
      </c>
      <c r="B395" s="8" t="str">
        <f>"9781624100536"</f>
        <v>9781624100536</v>
      </c>
      <c r="C395" s="8" t="s">
        <v>104</v>
      </c>
    </row>
    <row r="396" spans="1:3" x14ac:dyDescent="0.25">
      <c r="A396" s="8" t="str">
        <f>"17th AIAA International Space Planes and Hypersonic Systems and Technologies Conference 2011"</f>
        <v>17th AIAA International Space Planes and Hypersonic Systems and Technologies Conference 2011</v>
      </c>
      <c r="B396" s="8" t="str">
        <f>"9781600869426"</f>
        <v>9781600869426</v>
      </c>
      <c r="C396" s="8" t="s">
        <v>104</v>
      </c>
    </row>
    <row r="397" spans="1:3" x14ac:dyDescent="0.25">
      <c r="A397" s="8" t="str">
        <f>"17th AIAA Non-Deterministic Approaches Conference"</f>
        <v>17th AIAA Non-Deterministic Approaches Conference</v>
      </c>
      <c r="B397" s="8" t="str">
        <f>"9781624103476"</f>
        <v>9781624103476</v>
      </c>
      <c r="C397" s="8" t="s">
        <v>104</v>
      </c>
    </row>
    <row r="398" spans="1:3" x14ac:dyDescent="0.25">
      <c r="A398" s="8" t="str">
        <f>"17th AIAA/CEAS Aeroacoustics Conference 2011 (32nd AIAA Aeroacoustics Conference)"</f>
        <v>17th AIAA/CEAS Aeroacoustics Conference 2011 (32nd AIAA Aeroacoustics Conference)</v>
      </c>
      <c r="B398" s="8" t="str">
        <f>"9781600869433"</f>
        <v>9781600869433</v>
      </c>
      <c r="C398" s="8" t="s">
        <v>104</v>
      </c>
    </row>
    <row r="399" spans="1:3" x14ac:dyDescent="0.25">
      <c r="A399" s="8" t="str">
        <f>"17th Americas Conference on Information Systems 2011, AMCIS 2011"</f>
        <v>17th Americas Conference on Information Systems 2011, AMCIS 2011</v>
      </c>
      <c r="B399" s="8" t="str">
        <f>"9781618390981"</f>
        <v>9781618390981</v>
      </c>
      <c r="C399" s="8" t="s">
        <v>1262</v>
      </c>
    </row>
    <row r="400" spans="1:3" x14ac:dyDescent="0.25">
      <c r="A400" s="8" t="str">
        <f>"17th Analysis and Computation Specialty Conference"</f>
        <v>17th Analysis and Computation Specialty Conference</v>
      </c>
      <c r="B400" s="8" t="str">
        <f>"-"</f>
        <v>-</v>
      </c>
      <c r="C400" s="8" t="s">
        <v>111</v>
      </c>
    </row>
    <row r="401" spans="1:3" x14ac:dyDescent="0.25">
      <c r="A401" s="8" t="str">
        <f>"17th Annual International Symposium of the International Council on Systems Engineering, INCOSE 2007 - Systems Engineering: Key to Intelligent Enterprises"</f>
        <v>17th Annual International Symposium of the International Council on Systems Engineering, INCOSE 2007 - Systems Engineering: Key to Intelligent Enterprises</v>
      </c>
      <c r="B401" s="8" t="str">
        <f>"9781605601199"</f>
        <v>9781605601199</v>
      </c>
      <c r="C401" s="8" t="s">
        <v>1293</v>
      </c>
    </row>
    <row r="402" spans="1:3" x14ac:dyDescent="0.25">
      <c r="A402" s="8" t="str">
        <f>"17th Annual Meeting of the North American Membrane Society, NAMS 2006 Program Book"</f>
        <v>17th Annual Meeting of the North American Membrane Society, NAMS 2006 Program Book</v>
      </c>
      <c r="B402" s="8" t="str">
        <f>"-"</f>
        <v>-</v>
      </c>
      <c r="C402" s="8" t="s">
        <v>1294</v>
      </c>
    </row>
    <row r="403" spans="1:3" x14ac:dyDescent="0.25">
      <c r="A403" s="8" t="str">
        <f>"17th Asia-Pacific Conference on Communications, APCC 2011"</f>
        <v>17th Asia-Pacific Conference on Communications, APCC 2011</v>
      </c>
      <c r="B403" s="8" t="str">
        <f>"9781457703881"</f>
        <v>9781457703881</v>
      </c>
      <c r="C403" s="8" t="s">
        <v>9</v>
      </c>
    </row>
    <row r="404" spans="1:3" x14ac:dyDescent="0.25">
      <c r="A404" s="8" t="str">
        <f>"17th Australasian Coastal and Ocean Engineering Conference 2005 and the 10th Australasian Port and Harbour Conference 2005, COASTS and PORTS 2005"</f>
        <v>17th Australasian Coastal and Ocean Engineering Conference 2005 and the 10th Australasian Port and Harbour Conference 2005, COASTS and PORTS 2005</v>
      </c>
      <c r="B404" s="8" t="str">
        <f>"9781622764273"</f>
        <v>9781622764273</v>
      </c>
      <c r="C404" s="8" t="s">
        <v>1271</v>
      </c>
    </row>
    <row r="405" spans="1:3" x14ac:dyDescent="0.25">
      <c r="A405" s="8" t="str">
        <f>"17th Australasian Fluid Mechanics Conference 2010"</f>
        <v>17th Australasian Fluid Mechanics Conference 2010</v>
      </c>
      <c r="B405" s="8" t="str">
        <f>"9781617829130"</f>
        <v>9781617829130</v>
      </c>
      <c r="C405" s="8" t="s">
        <v>1295</v>
      </c>
    </row>
    <row r="406" spans="1:3" x14ac:dyDescent="0.25">
      <c r="A406" s="8" t="str">
        <f>"17th Chesapeake Sailing Yacht Symposium, CSYS"</f>
        <v>17th Chesapeake Sailing Yacht Symposium, CSYS</v>
      </c>
      <c r="B406" s="8" t="str">
        <f>"-"</f>
        <v>-</v>
      </c>
      <c r="C406" s="8" t="s">
        <v>762</v>
      </c>
    </row>
    <row r="407" spans="1:3" x14ac:dyDescent="0.25">
      <c r="A407" s="8" t="str">
        <f>"17th Conference of Czech and Slovak Physicists, Proceedings"</f>
        <v>17th Conference of Czech and Slovak Physicists, Proceedings</v>
      </c>
      <c r="B407" s="8" t="str">
        <f>"9788097062545"</f>
        <v>9788097062545</v>
      </c>
      <c r="C407" s="8" t="s">
        <v>1296</v>
      </c>
    </row>
    <row r="408" spans="1:3" x14ac:dyDescent="0.25">
      <c r="A408" s="8" t="s">
        <v>1297</v>
      </c>
      <c r="B408" s="8" t="str">
        <f>"9781605604114"</f>
        <v>9781605604114</v>
      </c>
      <c r="C408" s="8" t="s">
        <v>1298</v>
      </c>
    </row>
    <row r="409" spans="1:3" x14ac:dyDescent="0.25">
      <c r="A409" s="8" t="str">
        <f>"17th DSP 2011 International Conference on Digital Signal Processing, Proceedings"</f>
        <v>17th DSP 2011 International Conference on Digital Signal Processing, Proceedings</v>
      </c>
      <c r="B409" s="8" t="str">
        <f>"9781457702747"</f>
        <v>9781457702747</v>
      </c>
      <c r="C409" s="8" t="s">
        <v>9</v>
      </c>
    </row>
    <row r="410" spans="1:3" x14ac:dyDescent="0.25">
      <c r="A410" s="8" t="str">
        <f>"17th European Concurrent Engineering Conference 2011, ECEC 2011 - 7th Future Business Technology Conference, FUBUTEC 2011"</f>
        <v>17th European Concurrent Engineering Conference 2011, ECEC 2011 - 7th Future Business Technology Conference, FUBUTEC 2011</v>
      </c>
      <c r="B410" s="8" t="str">
        <f>"9789077381618"</f>
        <v>9789077381618</v>
      </c>
      <c r="C410" s="8" t="s">
        <v>1206</v>
      </c>
    </row>
    <row r="411" spans="1:3" x14ac:dyDescent="0.25">
      <c r="A411" s="8" t="str">
        <f>"17th European Conference on Fracture 2008: Multilevel Approach to Fracture of Materials, Components and Structures"</f>
        <v>17th European Conference on Fracture 2008: Multilevel Approach to Fracture of Materials, Components and Structures</v>
      </c>
      <c r="B411" s="8" t="str">
        <f>"9781617823190"</f>
        <v>9781617823190</v>
      </c>
      <c r="C411" s="8" t="s">
        <v>1299</v>
      </c>
    </row>
    <row r="412" spans="1:3" x14ac:dyDescent="0.25">
      <c r="A412" s="8" t="str">
        <f>"17th European Conference on Information Systems, ECIS 2009"</f>
        <v>17th European Conference on Information Systems, ECIS 2009</v>
      </c>
      <c r="B412" s="8" t="str">
        <f>"9788861293915"</f>
        <v>9788861293915</v>
      </c>
      <c r="C412" s="8" t="s">
        <v>289</v>
      </c>
    </row>
    <row r="413" spans="1:3" x14ac:dyDescent="0.25">
      <c r="A413" s="8" t="str">
        <f>"17th European Symposium on Improved Oil Recovery, IOR: Saint Petersburg Russia - From Fundamental Science to Deployment"</f>
        <v>17th European Symposium on Improved Oil Recovery, IOR: Saint Petersburg Russia - From Fundamental Science to Deployment</v>
      </c>
      <c r="B413" s="8" t="str">
        <f>"-"</f>
        <v>-</v>
      </c>
      <c r="C413" s="8" t="s">
        <v>1251</v>
      </c>
    </row>
    <row r="414" spans="1:3" x14ac:dyDescent="0.25">
      <c r="A414" s="8" t="str">
        <f>"17th GI-Workshop on the Foundations of Databases"</f>
        <v>17th GI-Workshop on the Foundations of Databases</v>
      </c>
      <c r="B414" s="8" t="str">
        <f>"-"</f>
        <v>-</v>
      </c>
      <c r="C414" s="8" t="s">
        <v>900</v>
      </c>
    </row>
    <row r="415" spans="1:3" x14ac:dyDescent="0.25">
      <c r="A415" s="8" t="str">
        <f>"17th IAPRI World Conference on Packaging 2010"</f>
        <v>17th IAPRI World Conference on Packaging 2010</v>
      </c>
      <c r="B415" s="8" t="str">
        <f>"9781617828317"</f>
        <v>9781617828317</v>
      </c>
      <c r="C415" s="8" t="s">
        <v>1300</v>
      </c>
    </row>
    <row r="416" spans="1:3" x14ac:dyDescent="0.25">
      <c r="A416" s="8" t="str">
        <f>"17th IEEE Conference on Advanced Thermal Processing of Semiconductors, RTP 2009"</f>
        <v>17th IEEE Conference on Advanced Thermal Processing of Semiconductors, RTP 2009</v>
      </c>
      <c r="B416" s="8" t="str">
        <f>"9781424438150"</f>
        <v>9781424438150</v>
      </c>
      <c r="C416" s="8" t="s">
        <v>9</v>
      </c>
    </row>
    <row r="417" spans="1:3" x14ac:dyDescent="0.25">
      <c r="A417" s="8" t="str">
        <f>"17th IEEE International Conference and Workshops on the Engineering of Computer-Based Systems, ECBS 2010"</f>
        <v>17th IEEE International Conference and Workshops on the Engineering of Computer-Based Systems, ECBS 2010</v>
      </c>
      <c r="B417" s="8" t="str">
        <f>"9780769540054"</f>
        <v>9780769540054</v>
      </c>
      <c r="C417" s="8" t="s">
        <v>9</v>
      </c>
    </row>
    <row r="418" spans="1:3" x14ac:dyDescent="0.25">
      <c r="A418" s="8" t="str">
        <f>"17th IEEE International Multi Topic Conference: Collaborative and Sustainable Development of Technologies, IEEE INMIC 2014 - Proceedings"</f>
        <v>17th IEEE International Multi Topic Conference: Collaborative and Sustainable Development of Technologies, IEEE INMIC 2014 - Proceedings</v>
      </c>
      <c r="B418" s="8" t="str">
        <f>"9781479957545"</f>
        <v>9781479957545</v>
      </c>
      <c r="C418" s="8" t="s">
        <v>105</v>
      </c>
    </row>
    <row r="419" spans="1:3" x14ac:dyDescent="0.25">
      <c r="A419" s="8" t="str">
        <f>"17th IMEKO TC3 Conference on Force, Mass and Torque 2001"</f>
        <v>17th IMEKO TC3 Conference on Force, Mass and Torque 2001</v>
      </c>
      <c r="B419" s="8" t="str">
        <f>"9781634391818"</f>
        <v>9781634391818</v>
      </c>
      <c r="C419" s="8" t="s">
        <v>1198</v>
      </c>
    </row>
    <row r="420" spans="1:3" x14ac:dyDescent="0.25">
      <c r="A420" s="8" t="str">
        <f>"17th International Conference in Central Europe on Computer Graphics, Visualization and Computer Vision, WSCG'2009 - In Co-operation with EUROGRAPHICS, Full Papers Proceedings"</f>
        <v>17th International Conference in Central Europe on Computer Graphics, Visualization and Computer Vision, WSCG'2009 - In Co-operation with EUROGRAPHICS, Full Papers Proceedings</v>
      </c>
      <c r="B420" s="8" t="str">
        <f>"9788086943930"</f>
        <v>9788086943930</v>
      </c>
      <c r="C420" s="8" t="s">
        <v>1276</v>
      </c>
    </row>
    <row r="421" spans="1:3" x14ac:dyDescent="0.25">
      <c r="A421" s="8" t="str">
        <f>"17th International Conference of the International Society for Terrain Vehicle Systems 2011, ISTVS 2011"</f>
        <v>17th International Conference of the International Society for Terrain Vehicle Systems 2011, ISTVS 2011</v>
      </c>
      <c r="B421" s="8" t="str">
        <f>"9781618395986"</f>
        <v>9781618395986</v>
      </c>
      <c r="C421" s="8" t="s">
        <v>1277</v>
      </c>
    </row>
    <row r="422" spans="1:3" x14ac:dyDescent="0.25">
      <c r="A422" s="8" t="str">
        <f>"17th International Conference on Electronics, Communications and Computers, CONIELECOMP'07, Proceedings"</f>
        <v>17th International Conference on Electronics, Communications and Computers, CONIELECOMP'07, Proceedings</v>
      </c>
      <c r="B422" s="8" t="str">
        <f>"9780769527994"</f>
        <v>9780769527994</v>
      </c>
      <c r="C422" s="8" t="s">
        <v>9</v>
      </c>
    </row>
    <row r="423" spans="1:3" x14ac:dyDescent="0.25">
      <c r="A423" s="8" t="str">
        <f>"17th International Conference on High Performance Computing, HiPC 2010"</f>
        <v>17th International Conference on High Performance Computing, HiPC 2010</v>
      </c>
      <c r="B423" s="8" t="str">
        <f>"9781424485185"</f>
        <v>9781424485185</v>
      </c>
      <c r="C423" s="8" t="s">
        <v>9</v>
      </c>
    </row>
    <row r="424" spans="1:3" x14ac:dyDescent="0.25">
      <c r="A424" s="8" t="str">
        <f>"17th International Conference on Pipeline Protection"</f>
        <v>17th International Conference on Pipeline Protection</v>
      </c>
      <c r="B424" s="8" t="str">
        <f>"9781855980938"</f>
        <v>9781855980938</v>
      </c>
      <c r="C424" s="8" t="s">
        <v>1246</v>
      </c>
    </row>
    <row r="425" spans="1:3" x14ac:dyDescent="0.25">
      <c r="A425" s="8" t="str">
        <f>"17th International Conference on Software Engineering and Data Engineering, SEDE 2008"</f>
        <v>17th International Conference on Software Engineering and Data Engineering, SEDE 2008</v>
      </c>
      <c r="B425" s="8" t="str">
        <f>"9781605603360"</f>
        <v>9781605603360</v>
      </c>
      <c r="C425" s="8" t="s">
        <v>1287</v>
      </c>
    </row>
    <row r="426" spans="1:3" x14ac:dyDescent="0.25">
      <c r="A426" s="8" t="str">
        <f>"17th International Conference on Software Engineering and Knowledge Engineering, SEKE 2005"</f>
        <v>17th International Conference on Software Engineering and Knowledge Engineering, SEKE 2005</v>
      </c>
      <c r="B426" s="8" t="str">
        <f>"9781627486590"</f>
        <v>9781627486590</v>
      </c>
      <c r="C426" s="8" t="s">
        <v>986</v>
      </c>
    </row>
    <row r="427" spans="1:3" x14ac:dyDescent="0.25">
      <c r="A427" s="8" t="str">
        <f>"17th International Conference on Water Jetting: Advances and Future Needs"</f>
        <v>17th International Conference on Water Jetting: Advances and Future Needs</v>
      </c>
      <c r="B427" s="8" t="str">
        <f>"9781855980594"</f>
        <v>9781855980594</v>
      </c>
      <c r="C427" s="8" t="s">
        <v>1246</v>
      </c>
    </row>
    <row r="428" spans="1:3" x14ac:dyDescent="0.25">
      <c r="A428" s="8" t="str">
        <f>"17th International Congress on Sound and Vibration 2010, ICSV 2010"</f>
        <v>17th International Congress on Sound and Vibration 2010, ICSV 2010</v>
      </c>
      <c r="B428" s="8" t="str">
        <f>"9781617822551"</f>
        <v>9781617822551</v>
      </c>
      <c r="C428" s="8" t="s">
        <v>559</v>
      </c>
    </row>
    <row r="429" spans="1:3" x14ac:dyDescent="0.25">
      <c r="A429" s="8" t="str">
        <f>"17th International Corrosion Congress 2008: Corrosion Control in the Service of Society"</f>
        <v>17th International Corrosion Congress 2008: Corrosion Control in the Service of Society</v>
      </c>
      <c r="B429" s="8" t="str">
        <f>"9781615674251"</f>
        <v>9781615674251</v>
      </c>
      <c r="C429" s="8" t="s">
        <v>1301</v>
      </c>
    </row>
    <row r="430" spans="1:3" x14ac:dyDescent="0.25">
      <c r="A430" s="8" t="str">
        <f>"17th International Scientific Conference: European Union - Challenges and Perspectives for the Wood-Processing Industry, Proceedings"</f>
        <v>17th International Scientific Conference: European Union - Challenges and Perspectives for the Wood-Processing Industry, Proceedings</v>
      </c>
      <c r="B430" s="8" t="str">
        <f>"9789536307906"</f>
        <v>9789536307906</v>
      </c>
      <c r="C430" s="8" t="s">
        <v>1302</v>
      </c>
    </row>
    <row r="431" spans="1:3" x14ac:dyDescent="0.25">
      <c r="A431" s="8" t="str">
        <f>"17th International Symposium on Space Terahertz Technology 2006, ISSTT 2006"</f>
        <v>17th International Symposium on Space Terahertz Technology 2006, ISSTT 2006</v>
      </c>
      <c r="B431" s="8" t="str">
        <f>"9781604239751"</f>
        <v>9781604239751</v>
      </c>
      <c r="C431" s="8" t="s">
        <v>1303</v>
      </c>
    </row>
    <row r="432" spans="1:3" x14ac:dyDescent="0.25">
      <c r="A432" s="8" t="str">
        <f>"17th International Workshop on Thermal Investigations of ICs and Systems, THERMINIC 2011"</f>
        <v>17th International Workshop on Thermal Investigations of ICs and Systems, THERMINIC 2011</v>
      </c>
      <c r="B432" s="8" t="str">
        <f>"9782355000171"</f>
        <v>9782355000171</v>
      </c>
      <c r="C432" s="8" t="s">
        <v>9</v>
      </c>
    </row>
    <row r="433" spans="1:3" x14ac:dyDescent="0.25">
      <c r="A433" s="8" t="str">
        <f>"17th International Zurich Symposium on Electromagnetic Compatibility, 2006"</f>
        <v>17th International Zurich Symposium on Electromagnetic Compatibility, 2006</v>
      </c>
      <c r="B433" s="8" t="str">
        <f>"-"</f>
        <v>-</v>
      </c>
      <c r="C433" s="8" t="s">
        <v>9</v>
      </c>
    </row>
    <row r="434" spans="1:3" x14ac:dyDescent="0.25">
      <c r="A434" s="8" t="str">
        <f>"17th Italian Symposium on Advanced Database Systems, SEBD 2009"</f>
        <v>17th Italian Symposium on Advanced Database Systems, SEBD 2009</v>
      </c>
      <c r="B434" s="8" t="str">
        <f>"-"</f>
        <v>-</v>
      </c>
      <c r="C434" s="8" t="s">
        <v>1304</v>
      </c>
    </row>
    <row r="435" spans="1:3" x14ac:dyDescent="0.25">
      <c r="A435" s="8" t="str">
        <f>"17th Power Systems Computation Conference, PSCC 2011"</f>
        <v>17th Power Systems Computation Conference, PSCC 2011</v>
      </c>
      <c r="B435" s="8" t="str">
        <f>"9789175012575"</f>
        <v>9789175012575</v>
      </c>
      <c r="C435" s="8" t="s">
        <v>1280</v>
      </c>
    </row>
    <row r="436" spans="1:3" x14ac:dyDescent="0.25">
      <c r="A436" s="8" t="str">
        <f>"17th Saint Petersburg International Conference on Integrated Navigation Systems, ICINS 2010 - Proceedings"</f>
        <v>17th Saint Petersburg International Conference on Integrated Navigation Systems, ICINS 2010 - Proceedings</v>
      </c>
      <c r="B436" s="8" t="str">
        <f>"9785900780856"</f>
        <v>9785900780856</v>
      </c>
      <c r="C436" s="8" t="s">
        <v>1248</v>
      </c>
    </row>
    <row r="437" spans="1:3" x14ac:dyDescent="0.25">
      <c r="A437" s="8" t="str">
        <f>"17th Solid Freeform Fabrication Symposium, SFF 2006"</f>
        <v>17th Solid Freeform Fabrication Symposium, SFF 2006</v>
      </c>
      <c r="B437" s="8" t="str">
        <f>"-"</f>
        <v>-</v>
      </c>
      <c r="C437" s="8" t="s">
        <v>1289</v>
      </c>
    </row>
    <row r="438" spans="1:3" x14ac:dyDescent="0.25">
      <c r="A438" s="8" t="str">
        <f>"17th Symposium IMEKO TC4 - Measurement of Electrical Quantities, 15th International Workshop on ADC Modelling and Testing, and 3rd Symposium IMEKO TC19 - Environmental Measurements"</f>
        <v>17th Symposium IMEKO TC4 - Measurement of Electrical Quantities, 15th International Workshop on ADC Modelling and Testing, and 3rd Symposium IMEKO TC19 - Environmental Measurements</v>
      </c>
      <c r="B438" s="8" t="str">
        <f>"9781617823381"</f>
        <v>9781617823381</v>
      </c>
      <c r="C438" s="8" t="s">
        <v>1198</v>
      </c>
    </row>
    <row r="439" spans="1:3" x14ac:dyDescent="0.25">
      <c r="A439" s="8" t="str">
        <f>"17th Symposium on Boundary Layers and Turbulence, 27th Conference on Agricultural and Forest Meteorology, 17th Conference on Biometeorology and Aerobiology"</f>
        <v>17th Symposium on Boundary Layers and Turbulence, 27th Conference on Agricultural and Forest Meteorology, 17th Conference on Biometeorology and Aerobiology</v>
      </c>
      <c r="B439" s="8" t="str">
        <f>"-"</f>
        <v>-</v>
      </c>
      <c r="C439" s="8" t="s">
        <v>225</v>
      </c>
    </row>
    <row r="440" spans="1:3" x14ac:dyDescent="0.25">
      <c r="A440" s="8" t="str">
        <f>"17th Symposium on Photonic Measurements 2008, 18th IMEKO TC 2 Symposium on Photonics in Measurements 2008"</f>
        <v>17th Symposium on Photonic Measurements 2008, 18th IMEKO TC 2 Symposium on Photonics in Measurements 2008</v>
      </c>
      <c r="B440" s="8" t="str">
        <f>"9781615670413"</f>
        <v>9781615670413</v>
      </c>
      <c r="C440" s="8" t="s">
        <v>1305</v>
      </c>
    </row>
    <row r="441" spans="1:3" x14ac:dyDescent="0.25">
      <c r="A441" s="8" t="str">
        <f>"17th Symposium on Physics of Switching Arc, FSO 2007"</f>
        <v>17th Symposium on Physics of Switching Arc, FSO 2007</v>
      </c>
      <c r="B441" s="8" t="str">
        <f>"-"</f>
        <v>-</v>
      </c>
      <c r="C441" s="8" t="s">
        <v>1290</v>
      </c>
    </row>
    <row r="442" spans="1:3" x14ac:dyDescent="0.25">
      <c r="A442" s="8" t="str">
        <f>"17th Topical on Refinery Processing 2014 - Topical Conference at the 2014 AIChE Spring Meeting and 10th Global Congress on Process Safety"</f>
        <v>17th Topical on Refinery Processing 2014 - Topical Conference at the 2014 AIChE Spring Meeting and 10th Global Congress on Process Safety</v>
      </c>
      <c r="B442" s="8" t="str">
        <f>"9781634390644"</f>
        <v>9781634390644</v>
      </c>
      <c r="C442" s="8" t="s">
        <v>1219</v>
      </c>
    </row>
    <row r="443" spans="1:3" x14ac:dyDescent="0.25">
      <c r="A443" s="8" t="str">
        <f>"17th World Hydrogen Energy Conference 2008, WHEC 2008"</f>
        <v>17th World Hydrogen Energy Conference 2008, WHEC 2008</v>
      </c>
      <c r="B443" s="8" t="str">
        <f>"9781615674541"</f>
        <v>9781615674541</v>
      </c>
      <c r="C443" s="8" t="s">
        <v>1306</v>
      </c>
    </row>
    <row r="444" spans="1:3" x14ac:dyDescent="0.25">
      <c r="A444" s="8" t="str">
        <f>"18th AIAA Lighter-than-Air Systems Technology Conference"</f>
        <v>18th AIAA Lighter-than-Air Systems Technology Conference</v>
      </c>
      <c r="B444" s="8" t="str">
        <f>"9781563479724"</f>
        <v>9781563479724</v>
      </c>
      <c r="C444" s="8" t="s">
        <v>104</v>
      </c>
    </row>
    <row r="445" spans="1:3" x14ac:dyDescent="0.25">
      <c r="A445" s="8" t="str">
        <f>"18th AIAA/3AF International Space Planes and Hypersonic Systems and Technologies Conference 2012"</f>
        <v>18th AIAA/3AF International Space Planes and Hypersonic Systems and Technologies Conference 2012</v>
      </c>
      <c r="B445" s="8" t="str">
        <f>"9781600869310"</f>
        <v>9781600869310</v>
      </c>
      <c r="C445" s="8" t="s">
        <v>104</v>
      </c>
    </row>
    <row r="446" spans="1:3" x14ac:dyDescent="0.25">
      <c r="A446" s="8" t="str">
        <f>"18th AIAA/CEAS Aeroacoustics Conference (33rd AIAA Aeroacoustics Conference)"</f>
        <v>18th AIAA/CEAS Aeroacoustics Conference (33rd AIAA Aeroacoustics Conference)</v>
      </c>
      <c r="B446" s="8" t="str">
        <f>"9781600869327"</f>
        <v>9781600869327</v>
      </c>
      <c r="C446" s="8" t="s">
        <v>104</v>
      </c>
    </row>
    <row r="447" spans="1:3" x14ac:dyDescent="0.25">
      <c r="A447" s="8" t="str">
        <f>"18th Americas Conference on Information Systems 2012, AMCIS 2012"</f>
        <v>18th Americas Conference on Information Systems 2012, AMCIS 2012</v>
      </c>
      <c r="B447" s="8" t="str">
        <f>"9781622768271"</f>
        <v>9781622768271</v>
      </c>
      <c r="C447" s="8" t="s">
        <v>1262</v>
      </c>
    </row>
    <row r="448" spans="1:3" x14ac:dyDescent="0.25">
      <c r="A448" s="8" t="str">
        <f>"18th Annual Brake Colloquium and Engineering Display"</f>
        <v>18th Annual Brake Colloquium and Engineering Display</v>
      </c>
      <c r="B448" s="8" t="str">
        <f>"-"</f>
        <v>-</v>
      </c>
      <c r="C448" s="8" t="s">
        <v>1040</v>
      </c>
    </row>
    <row r="449" spans="1:3" x14ac:dyDescent="0.25">
      <c r="A449" s="8" t="str">
        <f>"18th Annual Conference on Behavior Representation in Modeling and Simulation 2009, BRiMS 2009"</f>
        <v>18th Annual Conference on Behavior Representation in Modeling and Simulation 2009, BRiMS 2009</v>
      </c>
      <c r="B449" s="8" t="str">
        <f>"9781615672769"</f>
        <v>9781615672769</v>
      </c>
      <c r="C449" s="8" t="s">
        <v>1307</v>
      </c>
    </row>
    <row r="450" spans="1:3" x14ac:dyDescent="0.25">
      <c r="A450" s="8" t="str">
        <f>"18th Annual International Conference on Mechatronics and Machine Vision in Practice 2011, M2VIP 2011"</f>
        <v>18th Annual International Conference on Mechatronics and Machine Vision in Practice 2011, M2VIP 2011</v>
      </c>
      <c r="B450" s="8" t="str">
        <f>"9781618394194"</f>
        <v>9781618394194</v>
      </c>
      <c r="C450" s="8" t="s">
        <v>1282</v>
      </c>
    </row>
    <row r="451" spans="1:3" x14ac:dyDescent="0.25">
      <c r="A451" s="8" t="str">
        <f>"18th Annual International Symposium of the International Council on Systems Engineering, INCOSE 2008"</f>
        <v>18th Annual International Symposium of the International Council on Systems Engineering, INCOSE 2008</v>
      </c>
      <c r="B451" s="8" t="str">
        <f>"9781605604473"</f>
        <v>9781605604473</v>
      </c>
      <c r="C451" s="8" t="s">
        <v>1293</v>
      </c>
    </row>
    <row r="452" spans="1:3" x14ac:dyDescent="0.25">
      <c r="A452" s="8" t="str">
        <f>"18th Annual Joint ISA POWID/EPRI Controls and Instrumentation Conference and the 51st ISA POWID Symposia 2008"</f>
        <v>18th Annual Joint ISA POWID/EPRI Controls and Instrumentation Conference and the 51st ISA POWID Symposia 2008</v>
      </c>
      <c r="B452" s="8" t="str">
        <f>"9781934394601"</f>
        <v>9781934394601</v>
      </c>
      <c r="C452" s="8" t="s">
        <v>188</v>
      </c>
    </row>
    <row r="453" spans="1:3" x14ac:dyDescent="0.25">
      <c r="A453" s="8" t="str">
        <f>"18th Annual North American Waste-to-Energy Conference, NAWTEC18"</f>
        <v>18th Annual North American Waste-to-Energy Conference, NAWTEC18</v>
      </c>
      <c r="B453" s="8" t="str">
        <f>"9780791843932"</f>
        <v>9780791843932</v>
      </c>
      <c r="C453" s="8" t="s">
        <v>1308</v>
      </c>
    </row>
    <row r="454" spans="1:3" x14ac:dyDescent="0.25">
      <c r="A454" s="8" t="str">
        <f>"18th Annual Waste Testing and Quality Assurance Symposium, WTQA 2002 - Proceedings"</f>
        <v>18th Annual Waste Testing and Quality Assurance Symposium, WTQA 2002 - Proceedings</v>
      </c>
      <c r="B454" s="8" t="str">
        <f>"-"</f>
        <v>-</v>
      </c>
      <c r="C454" s="8" t="s">
        <v>28</v>
      </c>
    </row>
    <row r="455" spans="1:3" x14ac:dyDescent="0.25">
      <c r="A455" s="8" t="str">
        <f>"18th Applied Aerodynamics Conference"</f>
        <v>18th Applied Aerodynamics Conference</v>
      </c>
      <c r="B455" s="8" t="str">
        <f>"-"</f>
        <v>-</v>
      </c>
      <c r="C455" s="8" t="s">
        <v>104</v>
      </c>
    </row>
    <row r="456" spans="1:3" x14ac:dyDescent="0.25">
      <c r="A456" s="8" t="str">
        <f>"18th Australasian Coastal and Ocean Engineering Conference 2007 and the 11th Australasian Port and Harbour Conference 2007, COASTS and PORTS 2007"</f>
        <v>18th Australasian Coastal and Ocean Engineering Conference 2007 and the 11th Australasian Port and Harbour Conference 2007, COASTS and PORTS 2007</v>
      </c>
      <c r="B456" s="8" t="str">
        <f>"9781622764280"</f>
        <v>9781622764280</v>
      </c>
      <c r="C456" s="8" t="s">
        <v>1271</v>
      </c>
    </row>
    <row r="457" spans="1:3" x14ac:dyDescent="0.25">
      <c r="A457" s="8" t="str">
        <f>"18th Bled eConference eIntegration in Action - Conference Proceedings "</f>
        <v xml:space="preserve">18th Bled eConference eIntegration in Action - Conference Proceedings </v>
      </c>
      <c r="B457" s="8" t="str">
        <f>"-"</f>
        <v>-</v>
      </c>
      <c r="C457" s="8" t="s">
        <v>1309</v>
      </c>
    </row>
    <row r="458" spans="1:3" x14ac:dyDescent="0.25">
      <c r="A458" s="8" t="str">
        <f>"18th Chesapeake Sailing Yacht Symposium, CSYS"</f>
        <v>18th Chesapeake Sailing Yacht Symposium, CSYS</v>
      </c>
      <c r="B458" s="8" t="str">
        <f>"-"</f>
        <v>-</v>
      </c>
      <c r="C458" s="8" t="s">
        <v>762</v>
      </c>
    </row>
    <row r="459" spans="1:3" x14ac:dyDescent="0.25">
      <c r="A459" s="8" t="str">
        <f>"18th European Concurrent Engineering Conference 2012, ECEC 2012 - 8th Future Business Technology Conference, FUBUTEC 2012"</f>
        <v>18th European Concurrent Engineering Conference 2012, ECEC 2012 - 8th Future Business Technology Conference, FUBUTEC 2012</v>
      </c>
      <c r="B459" s="8" t="str">
        <f>"9789077381700"</f>
        <v>9789077381700</v>
      </c>
      <c r="C459" s="8" t="s">
        <v>1206</v>
      </c>
    </row>
    <row r="460" spans="1:3" x14ac:dyDescent="0.25">
      <c r="A460" s="8" t="str">
        <f>"18th European Conference on Fracture: Fracture of Materials and Structures from Micro to Macro Scale"</f>
        <v>18th European Conference on Fracture: Fracture of Materials and Structures from Micro to Macro Scale</v>
      </c>
      <c r="B460" s="8" t="str">
        <f>"-"</f>
        <v>-</v>
      </c>
      <c r="C460" s="8" t="s">
        <v>1310</v>
      </c>
    </row>
    <row r="461" spans="1:3" x14ac:dyDescent="0.25">
      <c r="A461" s="8" t="str">
        <f>"18th European Conference on Information Systems, ECIS 2010"</f>
        <v>18th European Conference on Information Systems, ECIS 2010</v>
      </c>
      <c r="B461" s="8" t="str">
        <f>"9780620471725"</f>
        <v>9780620471725</v>
      </c>
      <c r="C461" s="8" t="s">
        <v>289</v>
      </c>
    </row>
    <row r="462" spans="1:3" x14ac:dyDescent="0.25">
      <c r="A462" s="8" t="s">
        <v>1311</v>
      </c>
      <c r="B462" s="8" t="str">
        <f>"-"</f>
        <v>-</v>
      </c>
      <c r="C462" s="8" t="s">
        <v>1312</v>
      </c>
    </row>
    <row r="463" spans="1:3" x14ac:dyDescent="0.25">
      <c r="A463" s="8" t="str">
        <f>"18th GI-Workshop on the Foundations of Databases"</f>
        <v>18th GI-Workshop on the Foundations of Databases</v>
      </c>
      <c r="B463" s="8" t="str">
        <f>"-"</f>
        <v>-</v>
      </c>
      <c r="C463" s="8" t="s">
        <v>900</v>
      </c>
    </row>
    <row r="464" spans="1:3" x14ac:dyDescent="0.25">
      <c r="A464" s="8" t="str">
        <f>"18th IAPRI World Packaging Conference"</f>
        <v>18th IAPRI World Packaging Conference</v>
      </c>
      <c r="B464" s="8" t="str">
        <f>"9781605950846"</f>
        <v>9781605950846</v>
      </c>
      <c r="C464" s="8" t="s">
        <v>1313</v>
      </c>
    </row>
    <row r="465" spans="1:3" x14ac:dyDescent="0.25">
      <c r="A465" s="8" t="str">
        <f>"18th IAPRI World Packaging Conference"</f>
        <v>18th IAPRI World Packaging Conference</v>
      </c>
      <c r="B465" s="8" t="str">
        <f>"9781605950846"</f>
        <v>9781605950846</v>
      </c>
      <c r="C465" s="8" t="s">
        <v>1313</v>
      </c>
    </row>
    <row r="466" spans="1:3" x14ac:dyDescent="0.25">
      <c r="A466" s="8" t="str">
        <f>"18th IMEKO TC3 Conference on Force, Mass and Torque 2002 - Joint International Conference on Force, Mass, Torque, Hardness and Civil Engineering Metrology in the Age of Globalization"</f>
        <v>18th IMEKO TC3 Conference on Force, Mass and Torque 2002 - Joint International Conference on Force, Mass, Torque, Hardness and Civil Engineering Metrology in the Age of Globalization</v>
      </c>
      <c r="B466" s="8" t="str">
        <f>"9781634391825"</f>
        <v>9781634391825</v>
      </c>
      <c r="C466" s="8" t="s">
        <v>1198</v>
      </c>
    </row>
    <row r="467" spans="1:3" x14ac:dyDescent="0.25">
      <c r="A467" s="8" t="str">
        <f>"18th IMEKO TC4 Symposium on Measurement of Electrical Quantities 2011, Part of Metrologia 2011"</f>
        <v>18th IMEKO TC4 Symposium on Measurement of Electrical Quantities 2011, Part of Metrologia 2011</v>
      </c>
      <c r="B467" s="8" t="str">
        <f>"9781634394338"</f>
        <v>9781634394338</v>
      </c>
      <c r="C467" s="8" t="s">
        <v>1198</v>
      </c>
    </row>
    <row r="468" spans="1:3" x14ac:dyDescent="0.25">
      <c r="A468" s="8" t="str">
        <f>"18th IMEKO World Congress 2006: Metrology for a Sustainable Development"</f>
        <v>18th IMEKO World Congress 2006: Metrology for a Sustainable Development</v>
      </c>
      <c r="B468" s="8" t="str">
        <f>"9781622766468"</f>
        <v>9781622766468</v>
      </c>
      <c r="C468" s="8" t="s">
        <v>1198</v>
      </c>
    </row>
    <row r="469" spans="1:3" x14ac:dyDescent="0.25">
      <c r="A469" s="8" t="str">
        <f>"18th International Communications Satellite Systems Conference and Exhibit"</f>
        <v>18th International Communications Satellite Systems Conference and Exhibit</v>
      </c>
      <c r="B469" s="8" t="str">
        <f>"-"</f>
        <v>-</v>
      </c>
      <c r="C469" s="8" t="s">
        <v>104</v>
      </c>
    </row>
    <row r="470" spans="1:3" x14ac:dyDescent="0.25">
      <c r="A470" s="8" t="str">
        <f>"18th International Conference in Central Europe on Computer Graphics, Visualization and Computer Vision, WSCG 2010 - In Co-operation with EUROGRAPHICS, Full Papers Proceedings"</f>
        <v>18th International Conference in Central Europe on Computer Graphics, Visualization and Computer Vision, WSCG 2010 - In Co-operation with EUROGRAPHICS, Full Papers Proceedings</v>
      </c>
      <c r="B470" s="8" t="str">
        <f>"9788086943886"</f>
        <v>9788086943886</v>
      </c>
      <c r="C470" s="8" t="s">
        <v>1276</v>
      </c>
    </row>
    <row r="471" spans="1:3" x14ac:dyDescent="0.25">
      <c r="A471" s="8" t="str">
        <f>"18th International Conference of Fluid Sealing"</f>
        <v>18th International Conference of Fluid Sealing</v>
      </c>
      <c r="B471" s="8" t="str">
        <f>"9781855980709"</f>
        <v>9781855980709</v>
      </c>
      <c r="C471" s="8" t="s">
        <v>1246</v>
      </c>
    </row>
    <row r="472" spans="1:3" x14ac:dyDescent="0.25">
      <c r="A472" s="8" t="str">
        <f>"18th International Conference of the ISTVS"</f>
        <v>18th International Conference of the ISTVS</v>
      </c>
      <c r="B472" s="8" t="str">
        <f>"-"</f>
        <v>-</v>
      </c>
      <c r="C472" s="8" t="s">
        <v>1277</v>
      </c>
    </row>
    <row r="473" spans="1:3" x14ac:dyDescent="0.25">
      <c r="A473" s="8" t="str">
        <f>"18th International Conference on Advanced Thermal Processing of Semiconductors, RTP 2010"</f>
        <v>18th International Conference on Advanced Thermal Processing of Semiconductors, RTP 2010</v>
      </c>
      <c r="B473" s="8" t="str">
        <f>"-"</f>
        <v>-</v>
      </c>
      <c r="C473" s="8" t="s">
        <v>9</v>
      </c>
    </row>
    <row r="474" spans="1:3" x14ac:dyDescent="0.25">
      <c r="A474" s="8" t="str">
        <f>"18th International Conference on Computer Applications in Industry and Engineering 2005, CAINE 2005"</f>
        <v>18th International Conference on Computer Applications in Industry and Engineering 2005, CAINE 2005</v>
      </c>
      <c r="B474" s="8" t="str">
        <f>"9781604234817"</f>
        <v>9781604234817</v>
      </c>
      <c r="C474" s="8" t="s">
        <v>1287</v>
      </c>
    </row>
    <row r="475" spans="1:3" x14ac:dyDescent="0.25">
      <c r="A475" s="8" t="str">
        <f>"18th International Conference on High Performance Computing, HiPC 2011"</f>
        <v>18th International Conference on High Performance Computing, HiPC 2011</v>
      </c>
      <c r="B475" s="8" t="str">
        <f>"9781457719516"</f>
        <v>9781457719516</v>
      </c>
      <c r="C475" s="8" t="s">
        <v>9</v>
      </c>
    </row>
    <row r="476" spans="1:3" x14ac:dyDescent="0.25">
      <c r="A476" s="8" t="str">
        <f>"18th International Conference on Miniaturized Systems for Chemistry and Life Sciences, MicroTAS 2014"</f>
        <v>18th International Conference on Miniaturized Systems for Chemistry and Life Sciences, MicroTAS 2014</v>
      </c>
      <c r="B476" s="8" t="str">
        <f>"9780979806476"</f>
        <v>9780979806476</v>
      </c>
      <c r="C476" s="8" t="s">
        <v>1269</v>
      </c>
    </row>
    <row r="477" spans="1:3" x14ac:dyDescent="0.25">
      <c r="A477" s="8" t="str">
        <f>"18th International Conference on Software Engineering and Data Engineering 2009, SEDE 2009"</f>
        <v>18th International Conference on Software Engineering and Data Engineering 2009, SEDE 2009</v>
      </c>
      <c r="B477" s="8" t="str">
        <f>"9781615672417"</f>
        <v>9781615672417</v>
      </c>
      <c r="C477" s="8" t="s">
        <v>1287</v>
      </c>
    </row>
    <row r="478" spans="1:3" x14ac:dyDescent="0.25">
      <c r="A478" s="8" t="str">
        <f>"18th International Conference on Software Engineering and Knowledge Engineering, SEKE 2006"</f>
        <v>18th International Conference on Software Engineering and Knowledge Engineering, SEKE 2006</v>
      </c>
      <c r="B478" s="8" t="str">
        <f>"9781627486606"</f>
        <v>9781627486606</v>
      </c>
      <c r="C478" s="8" t="s">
        <v>986</v>
      </c>
    </row>
    <row r="479" spans="1:3" x14ac:dyDescent="0.25">
      <c r="A479" s="8" t="str">
        <f>"18th International Conference on Water Jetting"</f>
        <v>18th International Conference on Water Jetting</v>
      </c>
      <c r="B479" s="8" t="str">
        <f>"-"</f>
        <v>-</v>
      </c>
      <c r="C479" s="8" t="s">
        <v>1246</v>
      </c>
    </row>
    <row r="480" spans="1:3" x14ac:dyDescent="0.25">
      <c r="A480" s="8" t="str">
        <f>"18th International Congress on Sound and Vibration 2011, ICSV 2011"</f>
        <v>18th International Congress on Sound and Vibration 2011, ICSV 2011</v>
      </c>
      <c r="B480" s="8" t="str">
        <f>"9781618392596"</f>
        <v>9781618392596</v>
      </c>
      <c r="C480" s="8" t="s">
        <v>559</v>
      </c>
    </row>
    <row r="481" spans="1:3" x14ac:dyDescent="0.25">
      <c r="A481" s="8" t="str">
        <f>"18th International Corrosion Congress 2011"</f>
        <v>18th International Corrosion Congress 2011</v>
      </c>
      <c r="B481" s="8" t="str">
        <f>"9781618393630"</f>
        <v>9781618393630</v>
      </c>
      <c r="C481" s="8" t="s">
        <v>310</v>
      </c>
    </row>
    <row r="482" spans="1:3" x14ac:dyDescent="0.25">
      <c r="A482" s="8" t="str">
        <f>"18th International Workshop on Thermal Investigation of ICs and Systems, THERMINIC 2012"</f>
        <v>18th International Workshop on Thermal Investigation of ICs and Systems, THERMINIC 2012</v>
      </c>
      <c r="B482" s="8" t="str">
        <f>"9782355000225"</f>
        <v>9782355000225</v>
      </c>
      <c r="C482" s="8" t="s">
        <v>9</v>
      </c>
    </row>
    <row r="483" spans="1:3" x14ac:dyDescent="0.25">
      <c r="A483" s="8" t="str">
        <f>"18th Mediterranean Conference on Control and Automation, MED'10 - Conference Proceedings"</f>
        <v>18th Mediterranean Conference on Control and Automation, MED'10 - Conference Proceedings</v>
      </c>
      <c r="B483" s="8" t="str">
        <f>"9781424480920"</f>
        <v>9781424480920</v>
      </c>
      <c r="C483" s="8" t="s">
        <v>9</v>
      </c>
    </row>
    <row r="484" spans="1:3" x14ac:dyDescent="0.25">
      <c r="A484" s="8" t="str">
        <f>"18th Offshore Symposium"</f>
        <v>18th Offshore Symposium</v>
      </c>
      <c r="B484" s="8" t="str">
        <f>"9781629935355"</f>
        <v>9781629935355</v>
      </c>
      <c r="C484" s="8" t="s">
        <v>762</v>
      </c>
    </row>
    <row r="485" spans="1:3" x14ac:dyDescent="0.25">
      <c r="A485" s="8" t="str">
        <f>"18th Saint Petersburg International Conference on Integrated Navigation Systems, ICINS 2011 - Proceedings"</f>
        <v>18th Saint Petersburg International Conference on Integrated Navigation Systems, ICINS 2011 - Proceedings</v>
      </c>
      <c r="B485" s="8" t="str">
        <f>"9785919950042"</f>
        <v>9785919950042</v>
      </c>
      <c r="C485" s="8" t="s">
        <v>1248</v>
      </c>
    </row>
    <row r="486" spans="1:3" x14ac:dyDescent="0.25">
      <c r="A486" s="8" t="str">
        <f>"18th Solid Freeform Fabrication Symposium, SFF 2007"</f>
        <v>18th Solid Freeform Fabrication Symposium, SFF 2007</v>
      </c>
      <c r="B486" s="8" t="str">
        <f>"-"</f>
        <v>-</v>
      </c>
      <c r="C486" s="8" t="s">
        <v>1289</v>
      </c>
    </row>
    <row r="487" spans="1:3" x14ac:dyDescent="0.25">
      <c r="A487" s="8" t="str">
        <f>"18th Symposium on Physics of Switching Arc, FSO 2009"</f>
        <v>18th Symposium on Physics of Switching Arc, FSO 2009</v>
      </c>
      <c r="B487" s="8" t="str">
        <f>"9788021437937"</f>
        <v>9788021437937</v>
      </c>
      <c r="C487" s="8" t="s">
        <v>1290</v>
      </c>
    </row>
    <row r="488" spans="1:3" x14ac:dyDescent="0.25">
      <c r="A488" s="8" t="str">
        <f>"18th Workshop on Logic-based methods in Programming Environments, WLPE 2008"</f>
        <v>18th Workshop on Logic-based methods in Programming Environments, WLPE 2008</v>
      </c>
      <c r="B488" s="8" t="str">
        <f>"-"</f>
        <v>-</v>
      </c>
      <c r="C488" s="8" t="s">
        <v>1314</v>
      </c>
    </row>
    <row r="489" spans="1:3" x14ac:dyDescent="0.25">
      <c r="A489" s="8" t="str">
        <f>"18th World Congress on Intelligent Transport Systems and ITS America Annual Meeting 2011"</f>
        <v>18th World Congress on Intelligent Transport Systems and ITS America Annual Meeting 2011</v>
      </c>
      <c r="B489" s="8" t="str">
        <f>"9781618394330"</f>
        <v>9781618394330</v>
      </c>
      <c r="C489" s="8" t="s">
        <v>1281</v>
      </c>
    </row>
    <row r="490" spans="1:3" x14ac:dyDescent="0.25">
      <c r="A490" s="8" t="str">
        <f>"18th World IMACS Congress and MODSIM09 International Congress on Modelling and Simulation: Interfacing Modelling and Simulation with Mathematical and Computational Sciences, Proceedings"</f>
        <v>18th World IMACS Congress and MODSIM09 International Congress on Modelling and Simulation: Interfacing Modelling and Simulation with Mathematical and Computational Sciences, Proceedings</v>
      </c>
      <c r="B490" s="8" t="str">
        <f>"9780975840078"</f>
        <v>9780975840078</v>
      </c>
      <c r="C490" s="8" t="s">
        <v>305</v>
      </c>
    </row>
    <row r="491" spans="1:3" x14ac:dyDescent="0.25">
      <c r="A491" s="8" t="str">
        <f>"1990 8th International Conference on High-Power Particle Beams, BEAMS 1990"</f>
        <v>1990 8th International Conference on High-Power Particle Beams, BEAMS 1990</v>
      </c>
      <c r="B491" s="8" t="str">
        <f>"9789810205454"</f>
        <v>9789810205454</v>
      </c>
      <c r="C491" s="8" t="s">
        <v>9</v>
      </c>
    </row>
    <row r="492" spans="1:3" x14ac:dyDescent="0.25">
      <c r="A492" s="8" t="str">
        <f>"1996 26th European Microwave Conference, EuMC 1996"</f>
        <v>1996 26th European Microwave Conference, EuMC 1996</v>
      </c>
      <c r="B492" s="8" t="str">
        <f>"-"</f>
        <v>-</v>
      </c>
      <c r="C492" s="8" t="s">
        <v>9</v>
      </c>
    </row>
    <row r="493" spans="1:3" x14ac:dyDescent="0.25">
      <c r="A493" s="8" t="str">
        <f>"1997 27th European Microwave Conference, EuMC 1997"</f>
        <v>1997 27th European Microwave Conference, EuMC 1997</v>
      </c>
      <c r="B493" s="8" t="str">
        <f>"-"</f>
        <v>-</v>
      </c>
      <c r="C493" s="8" t="s">
        <v>9</v>
      </c>
    </row>
    <row r="494" spans="1:3" x14ac:dyDescent="0.25">
      <c r="A494" s="8" t="str">
        <f>"1998 28th European Microwave Conference, EuMC 1998"</f>
        <v>1998 28th European Microwave Conference, EuMC 1998</v>
      </c>
      <c r="B494" s="8" t="str">
        <f>"-"</f>
        <v>-</v>
      </c>
      <c r="C494" s="8" t="s">
        <v>9</v>
      </c>
    </row>
    <row r="495" spans="1:3" x14ac:dyDescent="0.25">
      <c r="A495" s="8" t="str">
        <f>"1998 Information Theory Workshop, ITW 1998"</f>
        <v>1998 Information Theory Workshop, ITW 1998</v>
      </c>
      <c r="B495" s="8" t="str">
        <f>"9780780344082"</f>
        <v>9780780344082</v>
      </c>
      <c r="C495" s="8" t="s">
        <v>105</v>
      </c>
    </row>
    <row r="496" spans="1:3" x14ac:dyDescent="0.25">
      <c r="A496" s="8" t="str">
        <f>"1999 29th European Microwave Conference, EuMC 1999"</f>
        <v>1999 29th European Microwave Conference, EuMC 1999</v>
      </c>
      <c r="B496" s="8" t="str">
        <f>"-"</f>
        <v>-</v>
      </c>
      <c r="C496" s="8" t="s">
        <v>9</v>
      </c>
    </row>
    <row r="497" spans="1:3" x14ac:dyDescent="0.25">
      <c r="A497" s="8" t="str">
        <f>"19th AIAA Applied Aerodynamics Conference"</f>
        <v>19th AIAA Applied Aerodynamics Conference</v>
      </c>
      <c r="B497" s="8" t="str">
        <f>"-"</f>
        <v>-</v>
      </c>
      <c r="C497" s="8" t="s">
        <v>104</v>
      </c>
    </row>
    <row r="498" spans="1:3" x14ac:dyDescent="0.25">
      <c r="A498" s="8" t="str">
        <f>"19th AIAA Computational Fluid Dynamics Conference"</f>
        <v>19th AIAA Computational Fluid Dynamics Conference</v>
      </c>
      <c r="B498" s="8" t="str">
        <f>"9781563479755"</f>
        <v>9781563479755</v>
      </c>
      <c r="C498" s="8" t="s">
        <v>104</v>
      </c>
    </row>
    <row r="499" spans="1:3" x14ac:dyDescent="0.25">
      <c r="A499" s="8" t="str">
        <f>"19th AIAA/CEAS Aeroacoustics Conference"</f>
        <v>19th AIAA/CEAS Aeroacoustics Conference</v>
      </c>
      <c r="B499" s="8" t="str">
        <f>"9781624102134"</f>
        <v>9781624102134</v>
      </c>
      <c r="C499" s="8" t="s">
        <v>104</v>
      </c>
    </row>
    <row r="500" spans="1:3" x14ac:dyDescent="0.25">
      <c r="A500" s="8" t="str">
        <f>"19th Americas Conference on Information Systems, AMCIS 2013 - Hyperconnected World: Anything, Anywhere, Anytime"</f>
        <v>19th Americas Conference on Information Systems, AMCIS 2013 - Hyperconnected World: Anything, Anywhere, Anytime</v>
      </c>
      <c r="B500" s="8" t="str">
        <f>"9781629933948"</f>
        <v>9781629933948</v>
      </c>
      <c r="C500" s="8" t="s">
        <v>1262</v>
      </c>
    </row>
    <row r="501" spans="1:3" x14ac:dyDescent="0.25">
      <c r="A501" s="8" t="str">
        <f>"19th Annual ACM Conference on Object-Oriented Programming, Systems, Languages, and Applications, OOPSLA'04"</f>
        <v>19th Annual ACM Conference on Object-Oriented Programming, Systems, Languages, and Applications, OOPSLA'04</v>
      </c>
      <c r="B501" s="8" t="str">
        <f>"9781581138337"</f>
        <v>9781581138337</v>
      </c>
      <c r="C501" s="8" t="s">
        <v>21</v>
      </c>
    </row>
    <row r="502" spans="1:3" x14ac:dyDescent="0.25">
      <c r="A502" s="8" t="str">
        <f>"19th Annual Brake Colloquium and Exhibition"</f>
        <v>19th Annual Brake Colloquium and Exhibition</v>
      </c>
      <c r="B502" s="8" t="str">
        <f>"-"</f>
        <v>-</v>
      </c>
      <c r="C502" s="8" t="s">
        <v>1040</v>
      </c>
    </row>
    <row r="503" spans="1:3" x14ac:dyDescent="0.25">
      <c r="A503" s="8" t="str">
        <f>"19th Annual Conference of the International Group for Lean Construction 2011, IGLC 2011"</f>
        <v>19th Annual Conference of the International Group for Lean Construction 2011, IGLC 2011</v>
      </c>
      <c r="B503" s="8" t="str">
        <f>"9781622768233"</f>
        <v>9781622768233</v>
      </c>
      <c r="C503" s="8" t="s">
        <v>1259</v>
      </c>
    </row>
    <row r="504" spans="1:3" x14ac:dyDescent="0.25">
      <c r="A504" s="8" t="str">
        <f>"19th Annual Conference on Behavior Representation in Modeling and Simulation 2010, BRiMS 2010"</f>
        <v>19th Annual Conference on Behavior Representation in Modeling and Simulation 2010, BRiMS 2010</v>
      </c>
      <c r="B504" s="8" t="str">
        <f>"9781617386497"</f>
        <v>9781617386497</v>
      </c>
      <c r="C504" s="8" t="s">
        <v>1307</v>
      </c>
    </row>
    <row r="505" spans="1:3" x14ac:dyDescent="0.25">
      <c r="A505" s="8" t="str">
        <f>"19th Annual International Mixed-Signals, Sensors, and Systems Test Workshop, IMS3TW 2014 - Proceedings"</f>
        <v>19th Annual International Mixed-Signals, Sensors, and Systems Test Workshop, IMS3TW 2014 - Proceedings</v>
      </c>
      <c r="B505" s="8" t="str">
        <f>"9781479965403"</f>
        <v>9781479965403</v>
      </c>
      <c r="C505" s="8" t="s">
        <v>105</v>
      </c>
    </row>
    <row r="506" spans="1:3" x14ac:dyDescent="0.25">
      <c r="A506" s="8" t="str">
        <f>"19th Annual International Solid Freeform Fabrication Symposium, SFF 2008"</f>
        <v>19th Annual International Solid Freeform Fabrication Symposium, SFF 2008</v>
      </c>
      <c r="B506" s="8" t="str">
        <f>"-"</f>
        <v>-</v>
      </c>
      <c r="C506" s="8" t="s">
        <v>1289</v>
      </c>
    </row>
    <row r="507" spans="1:3" x14ac:dyDescent="0.25">
      <c r="A507" s="8" t="str">
        <f>"19th Annual International Symposium of the International Council on Systems Engineering, INCOSE 2009"</f>
        <v>19th Annual International Symposium of the International Council on Systems Engineering, INCOSE 2009</v>
      </c>
      <c r="B507" s="8" t="str">
        <f>"9781615674398"</f>
        <v>9781615674398</v>
      </c>
      <c r="C507" s="8" t="s">
        <v>1274</v>
      </c>
    </row>
    <row r="508" spans="1:3" x14ac:dyDescent="0.25">
      <c r="A508" s="8" t="str">
        <f>"19th Annual Joint ISA POWID/EPRI Controls and Instrumentation Conference and 52nd ISA POWID Symposium 2009"</f>
        <v>19th Annual Joint ISA POWID/EPRI Controls and Instrumentation Conference and 52nd ISA POWID Symposium 2009</v>
      </c>
      <c r="B508" s="8" t="str">
        <f>"9781615671953"</f>
        <v>9781615671953</v>
      </c>
      <c r="C508" s="8" t="s">
        <v>188</v>
      </c>
    </row>
    <row r="509" spans="1:3" x14ac:dyDescent="0.25">
      <c r="A509" s="8" t="str">
        <f>"19th Annual North American Waste-to-Energy Conference, NAWTEC19"</f>
        <v>19th Annual North American Waste-to-Energy Conference, NAWTEC19</v>
      </c>
      <c r="B509" s="8" t="str">
        <f>"9780791854570"</f>
        <v>9780791854570</v>
      </c>
      <c r="C509" s="8" t="s">
        <v>1308</v>
      </c>
    </row>
    <row r="510" spans="1:3" x14ac:dyDescent="0.25">
      <c r="A510" s="8" t="str">
        <f>"19th Australasian Coastal and Ocean Engineering Conference 2009 and the 12th Australasian Port and Harbour Conference 2009, COASTS and PORTS 2009"</f>
        <v>19th Australasian Coastal and Ocean Engineering Conference 2009 and the 12th Australasian Port and Harbour Conference 2009, COASTS and PORTS 2009</v>
      </c>
      <c r="B510" s="8" t="str">
        <f>"9781622764297"</f>
        <v>9781622764297</v>
      </c>
      <c r="C510" s="8" t="s">
        <v>1271</v>
      </c>
    </row>
    <row r="511" spans="1:3" x14ac:dyDescent="0.25">
      <c r="A511" s="8" t="s">
        <v>1315</v>
      </c>
      <c r="B511" s="8" t="str">
        <f>"-"</f>
        <v>-</v>
      </c>
      <c r="C511" s="8" t="s">
        <v>1309</v>
      </c>
    </row>
    <row r="512" spans="1:3" x14ac:dyDescent="0.25">
      <c r="A512" s="8" t="str">
        <f>"19th Chesapeake Sailing Yacht Symposium, CSYS"</f>
        <v>19th Chesapeake Sailing Yacht Symposium, CSYS</v>
      </c>
      <c r="B512" s="8" t="str">
        <f>"-"</f>
        <v>-</v>
      </c>
      <c r="C512" s="8" t="s">
        <v>762</v>
      </c>
    </row>
    <row r="513" spans="1:3" x14ac:dyDescent="0.25">
      <c r="A513" s="8" t="str">
        <f>"19th EAEEIE (European Association for Education in Electrical and Information Engineering) Annual Conference - Formal Proceedings"</f>
        <v>19th EAEEIE (European Association for Education in Electrical and Information Engineering) Annual Conference - Formal Proceedings</v>
      </c>
      <c r="B513" s="8" t="str">
        <f>"9781424420094"</f>
        <v>9781424420094</v>
      </c>
      <c r="C513" s="8" t="s">
        <v>9</v>
      </c>
    </row>
    <row r="514" spans="1:3" x14ac:dyDescent="0.25">
      <c r="A514" s="8" t="str">
        <f>"19th European Concurrent Engineering Conference 2013, ECEC 2013 - 9th Future Business Technology Conference, FUBUTEC 2013"</f>
        <v>19th European Concurrent Engineering Conference 2013, ECEC 2013 - 9th Future Business Technology Conference, FUBUTEC 2013</v>
      </c>
      <c r="B514" s="8" t="str">
        <f>"9789077381779"</f>
        <v>9789077381779</v>
      </c>
      <c r="C514" s="8" t="s">
        <v>1206</v>
      </c>
    </row>
    <row r="515" spans="1:3" x14ac:dyDescent="0.25">
      <c r="A515" s="8" t="str">
        <f>"19th European Conference on Information Systems, ECIS 2011"</f>
        <v>19th European Conference on Information Systems, ECIS 2011</v>
      </c>
      <c r="B515" s="8" t="str">
        <f>"-"</f>
        <v>-</v>
      </c>
      <c r="C515" s="8" t="s">
        <v>289</v>
      </c>
    </row>
    <row r="516" spans="1:3" x14ac:dyDescent="0.25">
      <c r="A516" s="8" t="str">
        <f>"19th European Frequency and Time Forum, EFTF 2005 - Proceedings"</f>
        <v>19th European Frequency and Time Forum, EFTF 2005 - Proceedings</v>
      </c>
      <c r="B516" s="8" t="str">
        <f>"9780000000002"</f>
        <v>9780000000002</v>
      </c>
      <c r="C516" s="8" t="s">
        <v>1316</v>
      </c>
    </row>
    <row r="517" spans="1:3" x14ac:dyDescent="0.25">
      <c r="A517" s="8" t="str">
        <f>"19th IEEE International Conference on Emerging Technologies and Factory Automation, ETFA 2014"</f>
        <v>19th IEEE International Conference on Emerging Technologies and Factory Automation, ETFA 2014</v>
      </c>
      <c r="B517" s="8" t="str">
        <f>"9781479948468"</f>
        <v>9781479948468</v>
      </c>
      <c r="C517" s="8" t="s">
        <v>105</v>
      </c>
    </row>
    <row r="518" spans="1:3" x14ac:dyDescent="0.25">
      <c r="A518" s="8" t="str">
        <f>"19th IMEKO TC4 Symposium - Measurements of Electrical Quantities 2013 and 17th International Workshop on ADC and DAC Modelling and Testing"</f>
        <v>19th IMEKO TC4 Symposium - Measurements of Electrical Quantities 2013 and 17th International Workshop on ADC and DAC Modelling and Testing</v>
      </c>
      <c r="B518" s="8" t="str">
        <f>"9781629931890"</f>
        <v>9781629931890</v>
      </c>
      <c r="C518" s="8" t="s">
        <v>1198</v>
      </c>
    </row>
    <row r="519" spans="1:3" x14ac:dyDescent="0.25">
      <c r="A519" s="8" t="str">
        <f>"19th IMEKO World Congress 2009"</f>
        <v>19th IMEKO World Congress 2009</v>
      </c>
      <c r="B519" s="8" t="str">
        <f>"9781615675937"</f>
        <v>9781615675937</v>
      </c>
      <c r="C519" s="8" t="s">
        <v>1198</v>
      </c>
    </row>
    <row r="520" spans="1:3" x14ac:dyDescent="0.25">
      <c r="A520" s="8" t="str">
        <f>"19th Intelligent Transport Systems World Congress, ITS 2012"</f>
        <v>19th Intelligent Transport Systems World Congress, ITS 2012</v>
      </c>
      <c r="B520" s="8" t="str">
        <f>"-"</f>
        <v>-</v>
      </c>
      <c r="C520" s="8" t="s">
        <v>1281</v>
      </c>
    </row>
    <row r="521" spans="1:3" x14ac:dyDescent="0.25">
      <c r="A521" s="8" t="str">
        <f>"19th International Conference in Central Europe on Computer Graphics, Visualization and Computer Vision, WSCG 2011 - In Co-operation with EUROGRAPHICS, Full Papers Proceedings"</f>
        <v>19th International Conference in Central Europe on Computer Graphics, Visualization and Computer Vision, WSCG 2011 - In Co-operation with EUROGRAPHICS, Full Papers Proceedings</v>
      </c>
      <c r="B521" s="8" t="str">
        <f>"9788086943831"</f>
        <v>9788086943831</v>
      </c>
      <c r="C521" s="8" t="s">
        <v>1276</v>
      </c>
    </row>
    <row r="522" spans="1:3" x14ac:dyDescent="0.25">
      <c r="A522" s="8" t="str">
        <f>"19th International Conference on Adaptive Structures and Technologies 2008, ICAST 2008"</f>
        <v>19th International Conference on Adaptive Structures and Technologies 2008, ICAST 2008</v>
      </c>
      <c r="B522" s="8" t="str">
        <f>"9781617389870"</f>
        <v>9781617389870</v>
      </c>
      <c r="C522" s="8" t="s">
        <v>1317</v>
      </c>
    </row>
    <row r="523" spans="1:3" x14ac:dyDescent="0.25">
      <c r="A523" s="8" t="str">
        <f>"19th International Conference on Computer Applications in Industry and Engineering, CAINE 2006"</f>
        <v>19th International Conference on Computer Applications in Industry and Engineering, CAINE 2006</v>
      </c>
      <c r="B523" s="8" t="str">
        <f>"9781604236750"</f>
        <v>9781604236750</v>
      </c>
      <c r="C523" s="8" t="s">
        <v>1287</v>
      </c>
    </row>
    <row r="524" spans="1:3" x14ac:dyDescent="0.25">
      <c r="A524" s="8" t="str">
        <f>"19th International Conference on Computer Graphics and Vision, GraphiCon'2009 - Conference Proceedings"</f>
        <v>19th International Conference on Computer Graphics and Vision, GraphiCon'2009 - Conference Proceedings</v>
      </c>
      <c r="B524" s="8" t="str">
        <f>"-"</f>
        <v>-</v>
      </c>
      <c r="C524" s="8" t="s">
        <v>1318</v>
      </c>
    </row>
    <row r="525" spans="1:3" x14ac:dyDescent="0.25">
      <c r="A525" s="8" t="str">
        <f>"19th International Conference on Electrical Machines, ICEM 2010"</f>
        <v>19th International Conference on Electrical Machines, ICEM 2010</v>
      </c>
      <c r="B525" s="8" t="str">
        <f>"9781424441754"</f>
        <v>9781424441754</v>
      </c>
      <c r="C525" s="8" t="s">
        <v>9</v>
      </c>
    </row>
    <row r="526" spans="1:3" x14ac:dyDescent="0.25">
      <c r="A526" s="8" t="str">
        <f>"19th International Conference on Industrial Engineering and Engineering Management"</f>
        <v>19th International Conference on Industrial Engineering and Engineering Management</v>
      </c>
      <c r="B526" s="8" t="str">
        <f>"9783642372698"</f>
        <v>9783642372698</v>
      </c>
      <c r="C526" s="8" t="s">
        <v>582</v>
      </c>
    </row>
    <row r="527" spans="1:3" x14ac:dyDescent="0.25">
      <c r="A527" s="8" t="str">
        <f>"19th International Conference on Industrial Engineering and Engineering Management: Assistive Technology of Industrial Engineering"</f>
        <v>19th International Conference on Industrial Engineering and Engineering Management: Assistive Technology of Industrial Engineering</v>
      </c>
      <c r="B527" s="8" t="str">
        <f>"9783642383908"</f>
        <v>9783642383908</v>
      </c>
      <c r="C527" s="8" t="s">
        <v>582</v>
      </c>
    </row>
    <row r="528" spans="1:3" x14ac:dyDescent="0.25">
      <c r="A528" s="8" t="str">
        <f>"19th International Conference on Industrial Engineering and Engineering Management: Engineering Economics Management"</f>
        <v>19th International Conference on Industrial Engineering and Engineering Management: Engineering Economics Management</v>
      </c>
      <c r="B528" s="8" t="str">
        <f>"9783642384417"</f>
        <v>9783642384417</v>
      </c>
      <c r="C528" s="8" t="s">
        <v>582</v>
      </c>
    </row>
    <row r="529" spans="1:3" x14ac:dyDescent="0.25">
      <c r="A529" s="8" t="str">
        <f>"19th International Conference on Industrial Engineering and Engineering Management: Engineering Management"</f>
        <v>19th International Conference on Industrial Engineering and Engineering Management: Engineering Management</v>
      </c>
      <c r="B529" s="8" t="str">
        <f>"9783642384325"</f>
        <v>9783642384325</v>
      </c>
      <c r="C529" s="8" t="s">
        <v>582</v>
      </c>
    </row>
    <row r="530" spans="1:3" x14ac:dyDescent="0.25">
      <c r="A530" s="8" t="str">
        <f>"19th International Conference on Industrial Engineering and Engineering Management: Management System Innovation"</f>
        <v>19th International Conference on Industrial Engineering and Engineering Management: Management System Innovation</v>
      </c>
      <c r="B530" s="8" t="str">
        <f>"9783642384264"</f>
        <v>9783642384264</v>
      </c>
      <c r="C530" s="8" t="s">
        <v>582</v>
      </c>
    </row>
    <row r="531" spans="1:3" x14ac:dyDescent="0.25">
      <c r="A531" s="8" t="str">
        <f>"19th International Conference on Software Engineering and Data Engineering 2010, SEDE 2010"</f>
        <v>19th International Conference on Software Engineering and Data Engineering 2010, SEDE 2010</v>
      </c>
      <c r="B531" s="8" t="str">
        <f>"9781617386077"</f>
        <v>9781617386077</v>
      </c>
      <c r="C531" s="8" t="s">
        <v>1287</v>
      </c>
    </row>
    <row r="532" spans="1:3" x14ac:dyDescent="0.25">
      <c r="A532" s="8" t="str">
        <f>"19th International Conference on Software Engineering and Knowledge Engineering, SEKE 2007"</f>
        <v>19th International Conference on Software Engineering and Knowledge Engineering, SEKE 2007</v>
      </c>
      <c r="B532" s="8" t="str">
        <f>"9781627486613"</f>
        <v>9781627486613</v>
      </c>
      <c r="C532" s="8" t="s">
        <v>986</v>
      </c>
    </row>
    <row r="533" spans="1:3" x14ac:dyDescent="0.25">
      <c r="A533" s="8" t="str">
        <f>"19th International Conference on Water Jetting"</f>
        <v>19th International Conference on Water Jetting</v>
      </c>
      <c r="B533" s="8" t="str">
        <f>"9781855981034"</f>
        <v>9781855981034</v>
      </c>
      <c r="C533" s="8" t="s">
        <v>1246</v>
      </c>
    </row>
    <row r="534" spans="1:3" x14ac:dyDescent="0.25">
      <c r="A534" s="8" t="str">
        <f>"19th International Congress on Sound and Vibration 2012, ICSV 2012"</f>
        <v>19th International Congress on Sound and Vibration 2012, ICSV 2012</v>
      </c>
      <c r="B534" s="8" t="str">
        <f>"9781622764655"</f>
        <v>9781622764655</v>
      </c>
      <c r="C534" s="8" t="s">
        <v>559</v>
      </c>
    </row>
    <row r="535" spans="1:3" x14ac:dyDescent="0.25">
      <c r="A535" s="8" t="str">
        <f>"19th International Metrology Symposium: IMEKO TC 11 Metrological Infrastructure Measurement in Chemistry and Clinical Chemistry - Proceedings, MS 2005"</f>
        <v>19th International Metrology Symposium: IMEKO TC 11 Metrological Infrastructure Measurement in Chemistry and Clinical Chemistry - Proceedings, MS 2005</v>
      </c>
      <c r="B535" s="8" t="str">
        <f>"9789539517906"</f>
        <v>9789539517906</v>
      </c>
      <c r="C535" s="8" t="s">
        <v>1319</v>
      </c>
    </row>
    <row r="536" spans="1:3" x14ac:dyDescent="0.25">
      <c r="A536" s="8" t="str">
        <f>"19th International Specialty Conference on Recent Research and Developments in Cold-Formed Steel Design and Construction"</f>
        <v>19th International Specialty Conference on Recent Research and Developments in Cold-Formed Steel Design and Construction</v>
      </c>
      <c r="B536" s="8" t="str">
        <f>"-"</f>
        <v>-</v>
      </c>
      <c r="C536" s="8" t="s">
        <v>1320</v>
      </c>
    </row>
    <row r="537" spans="1:3" x14ac:dyDescent="0.25">
      <c r="A537" s="8" t="str">
        <f>"19th International Workshop on Robotics in Alpe-Adria-Danube Region, RAAD 2010 - Proceedings"</f>
        <v>19th International Workshop on Robotics in Alpe-Adria-Danube Region, RAAD 2010 - Proceedings</v>
      </c>
      <c r="B537" s="8" t="str">
        <f>"9781424468867"</f>
        <v>9781424468867</v>
      </c>
      <c r="C537" s="8" t="s">
        <v>9</v>
      </c>
    </row>
    <row r="538" spans="1:3" x14ac:dyDescent="0.25">
      <c r="A538" s="8" t="str">
        <f>"19th National Conference on Noise Control Engineering 2005, Noise-Con 05"</f>
        <v>19th National Conference on Noise Control Engineering 2005, Noise-Con 05</v>
      </c>
      <c r="B538" s="8" t="str">
        <f>"9781622762712"</f>
        <v>9781622762712</v>
      </c>
      <c r="C538" s="8" t="s">
        <v>907</v>
      </c>
    </row>
    <row r="539" spans="1:3" x14ac:dyDescent="0.25">
      <c r="A539" s="8" t="str">
        <f>"19th North American Membrane Society Annual Meeting 2009, NAMS 2009"</f>
        <v>19th North American Membrane Society Annual Meeting 2009, NAMS 2009</v>
      </c>
      <c r="B539" s="8" t="str">
        <f>"9781615673957"</f>
        <v>9781615673957</v>
      </c>
      <c r="C539" s="8" t="s">
        <v>1294</v>
      </c>
    </row>
    <row r="540" spans="1:3" x14ac:dyDescent="0.25">
      <c r="A540" s="8" t="str">
        <f>"19th Offshore Symposium 2014: Emerging Technologies in Offshore Drilling and Production"</f>
        <v>19th Offshore Symposium 2014: Emerging Technologies in Offshore Drilling and Production</v>
      </c>
      <c r="B540" s="8" t="str">
        <f>"9781510806412"</f>
        <v>9781510806412</v>
      </c>
      <c r="C540" s="8" t="s">
        <v>1321</v>
      </c>
    </row>
    <row r="541" spans="1:3" x14ac:dyDescent="0.25">
      <c r="A541" s="8" t="str">
        <f>"19th Saint Petersburg International Conference on Integrated Navigation Systems, ICINS 2012 - Proceedings"</f>
        <v>19th Saint Petersburg International Conference on Integrated Navigation Systems, ICINS 2012 - Proceedings</v>
      </c>
      <c r="B541" s="8" t="str">
        <f>"9785919950141"</f>
        <v>9785919950141</v>
      </c>
      <c r="C541" s="8" t="s">
        <v>1248</v>
      </c>
    </row>
    <row r="542" spans="1:3" x14ac:dyDescent="0.25">
      <c r="A542" s="8" t="str">
        <f>"19th Symposium on the Application of Geophysics to Engineering and Environmental Problems, SAGEEP 2006: Geophysical Applications for Environmental and Engineering Hazzards - Advances and Constraints"</f>
        <v>19th Symposium on the Application of Geophysics to Engineering and Environmental Problems, SAGEEP 2006: Geophysical Applications for Environmental and Engineering Hazzards - Advances and Constraints</v>
      </c>
      <c r="B542" s="8" t="str">
        <f>"9781622760657"</f>
        <v>9781622760657</v>
      </c>
      <c r="C542" s="8" t="s">
        <v>59</v>
      </c>
    </row>
    <row r="543" spans="1:3" x14ac:dyDescent="0.25">
      <c r="A543" s="8" t="str">
        <f>"19th Workshop on (Constraint) Logic Programming, W(C)LP 2005"</f>
        <v>19th Workshop on (Constraint) Logic Programming, W(C)LP 2005</v>
      </c>
      <c r="B543" s="8" t="str">
        <f>"-"</f>
        <v>-</v>
      </c>
      <c r="C543" s="8" t="s">
        <v>1322</v>
      </c>
    </row>
    <row r="544" spans="1:3" x14ac:dyDescent="0.25">
      <c r="A544" s="8" t="str">
        <f>"19th Workshop on Logic-based methods in Programming Environments, WLPE 2009"</f>
        <v>19th Workshop on Logic-based methods in Programming Environments, WLPE 2009</v>
      </c>
      <c r="B544" s="8" t="str">
        <f>"-"</f>
        <v>-</v>
      </c>
      <c r="C544" s="8" t="s">
        <v>1314</v>
      </c>
    </row>
    <row r="545" spans="1:3" x14ac:dyDescent="0.25">
      <c r="A545" s="8" t="str">
        <f>"1st ACM International Workshop on Cyber-Physical Systems for Smart Water Networks, CySWater 2015"</f>
        <v>1st ACM International Workshop on Cyber-Physical Systems for Smart Water Networks, CySWater 2015</v>
      </c>
      <c r="B545" s="8" t="str">
        <f>"9781450334853"</f>
        <v>9781450334853</v>
      </c>
      <c r="C545" s="8" t="s">
        <v>1235</v>
      </c>
    </row>
    <row r="546" spans="1:3" x14ac:dyDescent="0.25">
      <c r="A546" s="8" t="str">
        <f>"1st ACM International Workshop on Events in Multimedia - EiMM'09, Co-located with the 2009 ACM International Conference on Multimedia, MM'09"</f>
        <v>1st ACM International Workshop on Events in Multimedia - EiMM'09, Co-located with the 2009 ACM International Conference on Multimedia, MM'09</v>
      </c>
      <c r="B546" s="8" t="str">
        <f>"9781605587547"</f>
        <v>9781605587547</v>
      </c>
      <c r="C546" s="8" t="s">
        <v>21</v>
      </c>
    </row>
    <row r="547" spans="1:3" x14ac:dyDescent="0.25">
      <c r="A547" s="8" t="str">
        <f>"1st ACM International Workshop on Interactive Multimedia for Consumer Electronics - IMCE'09, Co-located with the 2009 ACM International Conference on Multimedia, MM'09"</f>
        <v>1st ACM International Workshop on Interactive Multimedia for Consumer Electronics - IMCE'09, Co-located with the 2009 ACM International Conference on Multimedia, MM'09</v>
      </c>
      <c r="B547" s="8" t="str">
        <f>"9781605587585"</f>
        <v>9781605587585</v>
      </c>
      <c r="C547" s="8" t="s">
        <v>21</v>
      </c>
    </row>
    <row r="548" spans="1:3" x14ac:dyDescent="0.25">
      <c r="A548" s="8" t="str">
        <f>"1st ACM International Workshop on Multimedia Technologies for Distance Learning, MTDL 2009, Co-located with the 2009 ACM International Conference on Multimedia, MM'09"</f>
        <v>1st ACM International Workshop on Multimedia Technologies for Distance Learning, MTDL 2009, Co-located with the 2009 ACM International Conference on Multimedia, MM'09</v>
      </c>
      <c r="B548" s="8" t="str">
        <f>"9781605587578"</f>
        <v>9781605587578</v>
      </c>
      <c r="C548" s="8" t="s">
        <v>21</v>
      </c>
    </row>
    <row r="549" spans="1:3" x14ac:dyDescent="0.25">
      <c r="A549" s="8" t="str">
        <f>"1st ACM SIGMM International Workshop on Media Studies and Implementations that Help Improving Access to Disabled Users, MSIADU'09, Co-located with the 2009 ACM International Conf. Multimedia,MM'09"</f>
        <v>1st ACM SIGMM International Workshop on Media Studies and Implementations that Help Improving Access to Disabled Users, MSIADU'09, Co-located with the 2009 ACM International Conf. Multimedia,MM'09</v>
      </c>
      <c r="B549" s="8" t="str">
        <f>"9781605587646"</f>
        <v>9781605587646</v>
      </c>
      <c r="C549" s="8" t="s">
        <v>21</v>
      </c>
    </row>
    <row r="550" spans="1:3" x14ac:dyDescent="0.25">
      <c r="A550" s="8" t="str">
        <f>"1st ACM SIGMM International Workshop on Social Media, WSM'09, Co-located with the 2009 ACM International Conference on Multimedia, MM'09"</f>
        <v>1st ACM SIGMM International Workshop on Social Media, WSM'09, Co-located with the 2009 ACM International Conference on Multimedia, MM'09</v>
      </c>
      <c r="B550" s="8" t="str">
        <f>"9781605587592"</f>
        <v>9781605587592</v>
      </c>
      <c r="C550" s="8" t="s">
        <v>21</v>
      </c>
    </row>
    <row r="551" spans="1:3" x14ac:dyDescent="0.25">
      <c r="A551" s="8" t="str">
        <f>"1st ACM SIGSOFT/SIGPLAN International Workshop on Software Engineering for Systems-of-Systems, SESoS 2013 Proceedings"</f>
        <v>1st ACM SIGSOFT/SIGPLAN International Workshop on Software Engineering for Systems-of-Systems, SESoS 2013 Proceedings</v>
      </c>
      <c r="B551" s="8" t="str">
        <f>"9781450320481"</f>
        <v>9781450320481</v>
      </c>
      <c r="C551" s="8" t="s">
        <v>21</v>
      </c>
    </row>
    <row r="552" spans="1:3" x14ac:dyDescent="0.25">
      <c r="A552" s="8" t="str">
        <f>"1st ACM SIGSPATIAL Int. Workshop on Spatial Semantics and Ontologies, SSO 2011, Proc.- Part of the 19th ACM SIGSPATIAL Int. Conf. on Advances in Geographic Information Systems, ACM SIGSPATIAL GIS 2011"</f>
        <v>1st ACM SIGSPATIAL Int. Workshop on Spatial Semantics and Ontologies, SSO 2011, Proc.- Part of the 19th ACM SIGSPATIAL Int. Conf. on Advances in Geographic Information Systems, ACM SIGSPATIAL GIS 2011</v>
      </c>
      <c r="B552" s="8" t="str">
        <f>"9781450310390"</f>
        <v>9781450310390</v>
      </c>
      <c r="C552" s="8" t="s">
        <v>21</v>
      </c>
    </row>
    <row r="553" spans="1:3" x14ac:dyDescent="0.25">
      <c r="A553" s="8" t="str">
        <f>"1st ACM Workshop on Large-Scale Multimedia Retrieval and Mining, LS-MMRM 2009, Co-located with the 2009 ACM International Conference on Multimedia, MM'09"</f>
        <v>1st ACM Workshop on Large-Scale Multimedia Retrieval and Mining, LS-MMRM 2009, Co-located with the 2009 ACM International Conference on Multimedia, MM'09</v>
      </c>
      <c r="B553" s="8" t="str">
        <f>"9781605587561"</f>
        <v>9781605587561</v>
      </c>
      <c r="C553" s="8" t="s">
        <v>21</v>
      </c>
    </row>
    <row r="554" spans="1:3" x14ac:dyDescent="0.25">
      <c r="A554" s="8" t="str">
        <f>"1st ACM Workshop on Multimedia in Forensics - MiFor'09, Co-located with the 2009 ACM International Conference on Multimedia, MM'09"</f>
        <v>1st ACM Workshop on Multimedia in Forensics - MiFor'09, Co-located with the 2009 ACM International Conference on Multimedia, MM'09</v>
      </c>
      <c r="B554" s="8" t="str">
        <f>"9781605587554"</f>
        <v>9781605587554</v>
      </c>
      <c r="C554" s="8" t="s">
        <v>21</v>
      </c>
    </row>
    <row r="555" spans="1:3" x14ac:dyDescent="0.25">
      <c r="A555" s="8" t="str">
        <f>"1st AIAA Atmospheric and Space Environments Conference"</f>
        <v>1st AIAA Atmospheric and Space Environments Conference</v>
      </c>
      <c r="B555" s="8" t="str">
        <f>"9781563479755"</f>
        <v>9781563479755</v>
      </c>
      <c r="C555" s="8" t="s">
        <v>104</v>
      </c>
    </row>
    <row r="556" spans="1:3" x14ac:dyDescent="0.25">
      <c r="A556" s="8" t="str">
        <f>"1st AIAA, Aircraft, Technology Integration, and Operations Forum"</f>
        <v>1st AIAA, Aircraft, Technology Integration, and Operations Forum</v>
      </c>
      <c r="B556" s="8" t="str">
        <f>"-"</f>
        <v>-</v>
      </c>
      <c r="C556" s="8" t="s">
        <v>104</v>
      </c>
    </row>
    <row r="557" spans="1:3" x14ac:dyDescent="0.25">
      <c r="A557" s="8" t="str">
        <f>"1st Annual International IEEE-EMBS Special Topic Conference on Microtechnologies in Medicine and Biology - Proceedings"</f>
        <v>1st Annual International IEEE-EMBS Special Topic Conference on Microtechnologies in Medicine and Biology - Proceedings</v>
      </c>
      <c r="B557" s="8" t="str">
        <f>"9780780366039"</f>
        <v>9780780366039</v>
      </c>
      <c r="C557" s="8" t="s">
        <v>105</v>
      </c>
    </row>
    <row r="558" spans="1:3" x14ac:dyDescent="0.25">
      <c r="A558" s="8" t="str">
        <f>"1st Applied Shallow Marine Geophysics Conference, Part of Near Surface Geoscience 2014"</f>
        <v>1st Applied Shallow Marine Geophysics Conference, Part of Near Surface Geoscience 2014</v>
      </c>
      <c r="B558" s="8" t="str">
        <f>"9789462820289"</f>
        <v>9789462820289</v>
      </c>
      <c r="C558" s="8" t="s">
        <v>1251</v>
      </c>
    </row>
    <row r="559" spans="1:3" x14ac:dyDescent="0.25">
      <c r="A559" s="8" t="str">
        <f>"1st Asia Pacific Conference on Postgraduate Research in Microelectronics and Electronics, PrimeAsia 2009"</f>
        <v>1st Asia Pacific Conference on Postgraduate Research in Microelectronics and Electronics, PrimeAsia 2009</v>
      </c>
      <c r="B559" s="8" t="str">
        <f>"9781424446698"</f>
        <v>9781424446698</v>
      </c>
      <c r="C559" s="8" t="s">
        <v>9</v>
      </c>
    </row>
    <row r="560" spans="1:3" x14ac:dyDescent="0.25">
      <c r="A560" s="8" t="str">
        <f>"1st Asian Conference on Pattern Recognition, ACPR 2011"</f>
        <v>1st Asian Conference on Pattern Recognition, ACPR 2011</v>
      </c>
      <c r="B560" s="8" t="str">
        <f>"9781457701221"</f>
        <v>9781457701221</v>
      </c>
      <c r="C560" s="8" t="s">
        <v>9</v>
      </c>
    </row>
    <row r="561" spans="1:3" x14ac:dyDescent="0.25">
      <c r="A561" s="8" t="str">
        <f>"1st Australasian Acoustical Societies' Conference 2006, ACOUSTICS 2006: Noise of Progress"</f>
        <v>1st Australasian Acoustical Societies' Conference 2006, ACOUSTICS 2006: Noise of Progress</v>
      </c>
      <c r="B561" s="8" t="str">
        <f>"9781627480017"</f>
        <v>9781627480017</v>
      </c>
      <c r="C561" s="8" t="s">
        <v>1270</v>
      </c>
    </row>
    <row r="562" spans="1:3" x14ac:dyDescent="0.25">
      <c r="A562" s="8" t="str">
        <f>"1st Chesapeake Power Boat Symposium 2008"</f>
        <v>1st Chesapeake Power Boat Symposium 2008</v>
      </c>
      <c r="B562" s="8" t="str">
        <f>"9781617385933"</f>
        <v>9781617385933</v>
      </c>
      <c r="C562" s="8" t="s">
        <v>762</v>
      </c>
    </row>
    <row r="563" spans="1:3" x14ac:dyDescent="0.25">
      <c r="A563" s="8" t="str">
        <f>"1st EAGE Basin and Petroleum Systems Modeling Workshop: Advances in Basin and Petroleum Systems Modeling in Risk and Resource Assessment"</f>
        <v>1st EAGE Basin and Petroleum Systems Modeling Workshop: Advances in Basin and Petroleum Systems Modeling in Risk and Resource Assessment</v>
      </c>
      <c r="B563" s="8" t="str">
        <f>"9789462820302"</f>
        <v>9789462820302</v>
      </c>
      <c r="C563" s="8" t="s">
        <v>1323</v>
      </c>
    </row>
    <row r="564" spans="1:3" x14ac:dyDescent="0.25">
      <c r="A564" s="8" t="str">
        <f>"1st EAGE West Africa Workshop 2013: Subsurface Challenges in West Africa"</f>
        <v>1st EAGE West Africa Workshop 2013: Subsurface Challenges in West Africa</v>
      </c>
      <c r="B564" s="8" t="str">
        <f>"-"</f>
        <v>-</v>
      </c>
      <c r="C564" s="8" t="s">
        <v>1251</v>
      </c>
    </row>
    <row r="565" spans="1:3" x14ac:dyDescent="0.25">
      <c r="A565" s="8" t="str">
        <f>"1st EAGE West Africa Workshop 2013: Subsurface Challenges in West Africa"</f>
        <v>1st EAGE West Africa Workshop 2013: Subsurface Challenges in West Africa</v>
      </c>
      <c r="B565" s="8" t="str">
        <f>"9781629937779"</f>
        <v>9781629937779</v>
      </c>
      <c r="C565" s="8" t="s">
        <v>1251</v>
      </c>
    </row>
    <row r="566" spans="1:3" x14ac:dyDescent="0.25">
      <c r="A566" s="8" t="str">
        <f>"1st EAGE Workshop on Iraq: Hydrocarbon Exploration and Field Development"</f>
        <v>1st EAGE Workshop on Iraq: Hydrocarbon Exploration and Field Development</v>
      </c>
      <c r="B566" s="8" t="str">
        <f>"-"</f>
        <v>-</v>
      </c>
      <c r="C566" s="8" t="s">
        <v>1251</v>
      </c>
    </row>
    <row r="567" spans="1:3" x14ac:dyDescent="0.25">
      <c r="A567" s="8" t="str">
        <f>"1st EAGE/ACGGP Latin American Geophysics Workshop"</f>
        <v>1st EAGE/ACGGP Latin American Geophysics Workshop</v>
      </c>
      <c r="B567" s="8" t="str">
        <f>"-"</f>
        <v>-</v>
      </c>
      <c r="C567" s="8" t="s">
        <v>1251</v>
      </c>
    </row>
    <row r="568" spans="1:3" x14ac:dyDescent="0.25">
      <c r="A568" s="8" t="str">
        <f>"1st Egyptian Workshop on Advancements of Electronic Devices, EWAED 2002"</f>
        <v>1st Egyptian Workshop on Advancements of Electronic Devices, EWAED 2002</v>
      </c>
      <c r="B568" s="8" t="str">
        <f>"9789775031730"</f>
        <v>9789775031730</v>
      </c>
      <c r="C568" s="8" t="s">
        <v>105</v>
      </c>
    </row>
    <row r="569" spans="1:3" x14ac:dyDescent="0.25">
      <c r="A569" s="8" t="str">
        <f>"1st European Conference on Universal Multiservice Networks, ECUMN 2000"</f>
        <v>1st European Conference on Universal Multiservice Networks, ECUMN 2000</v>
      </c>
      <c r="B569" s="8" t="str">
        <f>"9780780364196"</f>
        <v>9780780364196</v>
      </c>
      <c r="C569" s="8" t="s">
        <v>105</v>
      </c>
    </row>
    <row r="570" spans="1:3" x14ac:dyDescent="0.25">
      <c r="A570" s="8" t="str">
        <f>"1st Flow Control Conference"</f>
        <v>1st Flow Control Conference</v>
      </c>
      <c r="B570" s="8" t="str">
        <f>"9781624101052"</f>
        <v>9781624101052</v>
      </c>
      <c r="C570" s="8" t="s">
        <v>104</v>
      </c>
    </row>
    <row r="571" spans="1:3" x14ac:dyDescent="0.25">
      <c r="A571" s="8" t="str">
        <f>"1st IEEE Conference on Network Softwarization: Software-Defined Infrastructures for Networks, Clouds, IoT and Services, NETSOFT 2015"</f>
        <v>1st IEEE Conference on Network Softwarization: Software-Defined Infrastructures for Networks, Clouds, IoT and Services, NETSOFT 2015</v>
      </c>
      <c r="B571" s="8" t="str">
        <f>"9781479978991"</f>
        <v>9781479978991</v>
      </c>
      <c r="C571" s="8" t="s">
        <v>105</v>
      </c>
    </row>
    <row r="572" spans="1:3" x14ac:dyDescent="0.25">
      <c r="A572" s="8" t="str">
        <f>"1st IEEE Global Conference on Consumer Electronics 2012, GCCE 2012"</f>
        <v>1st IEEE Global Conference on Consumer Electronics 2012, GCCE 2012</v>
      </c>
      <c r="B572" s="8" t="str">
        <f>"9781467315005"</f>
        <v>9781467315005</v>
      </c>
      <c r="C572" s="8" t="s">
        <v>9</v>
      </c>
    </row>
    <row r="573" spans="1:3" x14ac:dyDescent="0.25">
      <c r="A573" s="8" t="str">
        <f>"1st IEEE International Conference on Signal-Image Technology and Internet-Based Systems, SITIS 2005"</f>
        <v>1st IEEE International Conference on Signal-Image Technology and Internet-Based Systems, SITIS 2005</v>
      </c>
      <c r="B573" s="8" t="str">
        <f>"-"</f>
        <v>-</v>
      </c>
      <c r="C573" s="8" t="s">
        <v>9</v>
      </c>
    </row>
    <row r="574" spans="1:3" x14ac:dyDescent="0.25">
      <c r="A574" s="8" t="str">
        <f>"1st IEEE International Symposium on Inertial Sensors and Systems, ISISS 2014 - Proceedings"</f>
        <v>1st IEEE International Symposium on Inertial Sensors and Systems, ISISS 2014 - Proceedings</v>
      </c>
      <c r="B574" s="8" t="str">
        <f>"9781479909155"</f>
        <v>9781479909155</v>
      </c>
      <c r="C574" s="8" t="s">
        <v>9</v>
      </c>
    </row>
    <row r="575" spans="1:3" x14ac:dyDescent="0.25">
      <c r="A575" s="8" t="str">
        <f>"1st IEEE Symposium on Large-Scale Data Analysis and Visualization 2011, LDAV 2011 - Proceedings"</f>
        <v>1st IEEE Symposium on Large-Scale Data Analysis and Visualization 2011, LDAV 2011 - Proceedings</v>
      </c>
      <c r="B575" s="8" t="str">
        <f>"9781467301541"</f>
        <v>9781467301541</v>
      </c>
      <c r="C575" s="8" t="s">
        <v>9</v>
      </c>
    </row>
    <row r="576" spans="1:3" x14ac:dyDescent="0.25">
      <c r="A576" s="8" t="str">
        <f>"1st IEEE Workshop on VoIP Management and Security, VoIP MaSe 2006"</f>
        <v>1st IEEE Workshop on VoIP Management and Security, VoIP MaSe 2006</v>
      </c>
      <c r="B576" s="8" t="str">
        <f>"-"</f>
        <v>-</v>
      </c>
      <c r="C576" s="8" t="s">
        <v>9</v>
      </c>
    </row>
    <row r="577" spans="1:3" x14ac:dyDescent="0.25">
      <c r="A577" s="8" t="str">
        <f>"1st IEEE Workshop on Wide Bandgap Power Devices and Applications, WiPDA 2013 - Proceedings"</f>
        <v>1st IEEE Workshop on Wide Bandgap Power Devices and Applications, WiPDA 2013 - Proceedings</v>
      </c>
      <c r="B577" s="8" t="str">
        <f>"9781479911943"</f>
        <v>9781479911943</v>
      </c>
      <c r="C577" s="8" t="s">
        <v>9</v>
      </c>
    </row>
    <row r="578" spans="1:3" x14ac:dyDescent="0.25">
      <c r="A578" s="8" t="str">
        <f>"1st IEEE-PES/IAS Conference on Sustainable Alternative Energy, SAE 2009 - Proceedings"</f>
        <v>1st IEEE-PES/IAS Conference on Sustainable Alternative Energy, SAE 2009 - Proceedings</v>
      </c>
      <c r="B578" s="8" t="str">
        <f>"9781424444304"</f>
        <v>9781424444304</v>
      </c>
      <c r="C578" s="8" t="s">
        <v>9</v>
      </c>
    </row>
    <row r="579" spans="1:3" x14ac:dyDescent="0.25">
      <c r="A579" s="8" t="str">
        <f>"1st IMEKO TC20 Conference on Civil Engineering Metrology 2002 - Joint International Conference on Force, Mass, Torque, Hardness and Civil Engineering Metrology in the Age of Globalization"</f>
        <v>1st IMEKO TC20 Conference on Civil Engineering Metrology 2002 - Joint International Conference on Force, Mass, Torque, Hardness and Civil Engineering Metrology in the Age of Globalization</v>
      </c>
      <c r="B579" s="8" t="str">
        <f>"9781634391894"</f>
        <v>9781634391894</v>
      </c>
      <c r="C579" s="8" t="s">
        <v>1198</v>
      </c>
    </row>
    <row r="580" spans="1:3" x14ac:dyDescent="0.25">
      <c r="A580" s="8" t="str">
        <f>"1st IMEKO TC22 International Conference on Vibration Measurement 2007"</f>
        <v>1st IMEKO TC22 International Conference on Vibration Measurement 2007</v>
      </c>
      <c r="B580" s="8" t="str">
        <f>"9781615676330"</f>
        <v>9781615676330</v>
      </c>
      <c r="C580" s="8" t="s">
        <v>1198</v>
      </c>
    </row>
    <row r="581" spans="1:3" x14ac:dyDescent="0.25">
      <c r="A581" s="8" t="str">
        <f>"1st International Conference on 3D Materials Science 2012, 3DMS 2012"</f>
        <v>1st International Conference on 3D Materials Science 2012, 3DMS 2012</v>
      </c>
      <c r="B581" s="8" t="str">
        <f>"9781627489331"</f>
        <v>9781627489331</v>
      </c>
      <c r="C581" s="8" t="s">
        <v>1324</v>
      </c>
    </row>
    <row r="582" spans="1:3" x14ac:dyDescent="0.25">
      <c r="A582" s="8" t="str">
        <f>"1st International Conference on Advances in P2P Systems, AP2PS 2009"</f>
        <v>1st International Conference on Advances in P2P Systems, AP2PS 2009</v>
      </c>
      <c r="B582" s="8" t="str">
        <f>"9780769538310"</f>
        <v>9780769538310</v>
      </c>
      <c r="C582" s="8" t="s">
        <v>9</v>
      </c>
    </row>
    <row r="583" spans="1:3" x14ac:dyDescent="0.25">
      <c r="A583" s="8" t="str">
        <f>"1st International Conference on Advances in System Simulation, SIMUL 2009"</f>
        <v>1st International Conference on Advances in System Simulation, SIMUL 2009</v>
      </c>
      <c r="B583" s="8" t="str">
        <f>"9780769537733"</f>
        <v>9780769537733</v>
      </c>
      <c r="C583" s="8" t="s">
        <v>9</v>
      </c>
    </row>
    <row r="584" spans="1:3" x14ac:dyDescent="0.25">
      <c r="A584" s="8" t="str">
        <f>"1st International Conference on Advances in System Testing and Validation Lifecycle, VALID 2009"</f>
        <v>1st International Conference on Advances in System Testing and Validation Lifecycle, VALID 2009</v>
      </c>
      <c r="B584" s="8" t="str">
        <f>"9780769537740"</f>
        <v>9780769537740</v>
      </c>
      <c r="C584" s="8" t="s">
        <v>9</v>
      </c>
    </row>
    <row r="585" spans="1:3" x14ac:dyDescent="0.25">
      <c r="A585" s="8" t="str">
        <f>"1st International Conference on Aspect-Oriented Software Development"</f>
        <v>1st International Conference on Aspect-Oriented Software Development</v>
      </c>
      <c r="B585" s="8" t="str">
        <f>"9781581134698"</f>
        <v>9781581134698</v>
      </c>
      <c r="C585" s="8" t="s">
        <v>21</v>
      </c>
    </row>
    <row r="586" spans="1:3" x14ac:dyDescent="0.25">
      <c r="A586" s="8" t="str">
        <f>"1st International Conference on Automation, Control, Energy and Systems - 2014, ACES 2014"</f>
        <v>1st International Conference on Automation, Control, Energy and Systems - 2014, ACES 2014</v>
      </c>
      <c r="B586" s="8" t="str">
        <f>"9781479938940"</f>
        <v>9781479938940</v>
      </c>
      <c r="C586" s="8" t="s">
        <v>9</v>
      </c>
    </row>
    <row r="587" spans="1:3" x14ac:dyDescent="0.25">
      <c r="A587" s="8" t="str">
        <f>"1st International Conference on Cognitive Radio Oriented Wireless Networks and Communications 2006, CROWNCOM"</f>
        <v>1st International Conference on Cognitive Radio Oriented Wireless Networks and Communications 2006, CROWNCOM</v>
      </c>
      <c r="B587" s="8" t="str">
        <f>"9781424403813"</f>
        <v>9781424403813</v>
      </c>
      <c r="C587" s="8" t="s">
        <v>9</v>
      </c>
    </row>
    <row r="588" spans="1:3" x14ac:dyDescent="0.25">
      <c r="A588" s="8" t="str">
        <f>"1st International Conference on Communication Systems and Networks and Workshops, COMSNETS 2009"</f>
        <v>1st International Conference on Communication Systems and Networks and Workshops, COMSNETS 2009</v>
      </c>
      <c r="B588" s="8" t="str">
        <f>"9781424429127"</f>
        <v>9781424429127</v>
      </c>
      <c r="C588" s="8" t="s">
        <v>9</v>
      </c>
    </row>
    <row r="589" spans="1:3" x14ac:dyDescent="0.25">
      <c r="A589" s="8" t="str">
        <f>"1st International Conference on Electrical and Control Technologies, ECT 2006"</f>
        <v>1st International Conference on Electrical and Control Technologies, ECT 2006</v>
      </c>
      <c r="B589" s="8" t="str">
        <f>"9781634397957"</f>
        <v>9781634397957</v>
      </c>
      <c r="C589" s="8" t="s">
        <v>1140</v>
      </c>
    </row>
    <row r="590" spans="1:3" x14ac:dyDescent="0.25">
      <c r="A590" s="8" t="str">
        <f>"1st International Conference on Electrical Engineering and Information and Communication Technology, ICEEICT 2014"</f>
        <v>1st International Conference on Electrical Engineering and Information and Communication Technology, ICEEICT 2014</v>
      </c>
      <c r="B590" s="8" t="str">
        <f>"9781479948192"</f>
        <v>9781479948192</v>
      </c>
      <c r="C590" s="8" t="s">
        <v>105</v>
      </c>
    </row>
    <row r="591" spans="1:3" x14ac:dyDescent="0.25">
      <c r="A591" s="8" t="str">
        <f>"1st International Conference on Emerging Network Intelligence, EMERGING 2009, Includes The 5th European Conference on Universal Multiservice Networks, ECUMN 2009"</f>
        <v>1st International Conference on Emerging Network Intelligence, EMERGING 2009, Includes The 5th European Conference on Universal Multiservice Networks, ECUMN 2009</v>
      </c>
      <c r="B591" s="8" t="str">
        <f>"9780769538358"</f>
        <v>9780769538358</v>
      </c>
      <c r="C591" s="8" t="s">
        <v>9</v>
      </c>
    </row>
    <row r="592" spans="1:3" x14ac:dyDescent="0.25">
      <c r="A592" s="8" t="str">
        <f>"1st International Conference on Energy and Indoor Environment for Hot Climates"</f>
        <v>1st International Conference on Energy and Indoor Environment for Hot Climates</v>
      </c>
      <c r="B592" s="8" t="str">
        <f>"-"</f>
        <v>-</v>
      </c>
      <c r="C592" s="8" t="s">
        <v>1325</v>
      </c>
    </row>
    <row r="593" spans="1:3" x14ac:dyDescent="0.25">
      <c r="A593" s="8" t="str">
        <f>"1st International Conference on Evolving Internet, INTERNET 2009"</f>
        <v>1st International Conference on Evolving Internet, INTERNET 2009</v>
      </c>
      <c r="B593" s="8" t="str">
        <f>"9780769537481"</f>
        <v>9780769537481</v>
      </c>
      <c r="C593" s="8" t="s">
        <v>9</v>
      </c>
    </row>
    <row r="594" spans="1:3" x14ac:dyDescent="0.25">
      <c r="A594" s="8" t="str">
        <f>"1st International Conference on Future Generation Communication Technologies, FGCT 2012"</f>
        <v>1st International Conference on Future Generation Communication Technologies, FGCT 2012</v>
      </c>
      <c r="B594" s="8" t="str">
        <f>"9781467358590"</f>
        <v>9781467358590</v>
      </c>
      <c r="C594" s="8" t="s">
        <v>9</v>
      </c>
    </row>
    <row r="595" spans="1:3" x14ac:dyDescent="0.25">
      <c r="A595" s="8" t="str">
        <f>"1st International Conference on Green Circuits and Systems, ICGCS 2010"</f>
        <v>1st International Conference on Green Circuits and Systems, ICGCS 2010</v>
      </c>
      <c r="B595" s="8" t="str">
        <f>"9781424468775"</f>
        <v>9781424468775</v>
      </c>
      <c r="C595" s="8" t="s">
        <v>9</v>
      </c>
    </row>
    <row r="596" spans="1:3" x14ac:dyDescent="0.25">
      <c r="A596" s="8" t="str">
        <f>"1st International Conference on Industrial and Information Systems, ICIIS 2006"</f>
        <v>1st International Conference on Industrial and Information Systems, ICIIS 2006</v>
      </c>
      <c r="B596" s="8" t="str">
        <f>"9781424403219"</f>
        <v>9781424403219</v>
      </c>
      <c r="C596" s="8" t="s">
        <v>9</v>
      </c>
    </row>
    <row r="597" spans="1:3" x14ac:dyDescent="0.25">
      <c r="A597" s="8" t="str">
        <f>"1st International Conference on Internet Multimedia Computing and Service, ICIMCS 2009"</f>
        <v>1st International Conference on Internet Multimedia Computing and Service, ICIMCS 2009</v>
      </c>
      <c r="B597" s="8" t="str">
        <f>"9781605588407"</f>
        <v>9781605588407</v>
      </c>
      <c r="C597" s="8" t="s">
        <v>21</v>
      </c>
    </row>
    <row r="598" spans="1:3" x14ac:dyDescent="0.25">
      <c r="A598" s="8" t="str">
        <f>"1st International Conference on IP Multimedia Subsystems Architecture and Applications, IMSAA 2007"</f>
        <v>1st International Conference on IP Multimedia Subsystems Architecture and Applications, IMSAA 2007</v>
      </c>
      <c r="B598" s="8" t="str">
        <f>"9781424426713"</f>
        <v>9781424426713</v>
      </c>
      <c r="C598" s="8" t="s">
        <v>9</v>
      </c>
    </row>
    <row r="599" spans="1:3" x14ac:dyDescent="0.25">
      <c r="A599" s="8" t="str">
        <f>"1st International Conference on Multimedia Information Networking and Security, MINES 2009"</f>
        <v>1st International Conference on Multimedia Information Networking and Security, MINES 2009</v>
      </c>
      <c r="B599" s="8" t="str">
        <f>"9780769538433"</f>
        <v>9780769538433</v>
      </c>
      <c r="C599" s="8" t="s">
        <v>9</v>
      </c>
    </row>
    <row r="600" spans="1:3" x14ac:dyDescent="0.25">
      <c r="A600" s="8" t="str">
        <f>"1st International Conference on Networks and Communications, NetCoM 2009"</f>
        <v>1st International Conference on Networks and Communications, NetCoM 2009</v>
      </c>
      <c r="B600" s="8" t="str">
        <f>"9780769539249"</f>
        <v>9780769539249</v>
      </c>
      <c r="C600" s="8" t="s">
        <v>9</v>
      </c>
    </row>
    <row r="601" spans="1:3" x14ac:dyDescent="0.25">
      <c r="A601" s="8" t="str">
        <f>"1st International Conference on Networks and Soft Computing, ICNSC 2014 - Proceedings"</f>
        <v>1st International Conference on Networks and Soft Computing, ICNSC 2014 - Proceedings</v>
      </c>
      <c r="B601" s="8" t="str">
        <f>"9781479934850"</f>
        <v>9781479934850</v>
      </c>
      <c r="C601" s="8" t="s">
        <v>105</v>
      </c>
    </row>
    <row r="602" spans="1:3" x14ac:dyDescent="0.25">
      <c r="A602" s="8" t="str">
        <f>"1st International Conference on Pervasive Technologies Related to Assistive Environments, PETRA 2008"</f>
        <v>1st International Conference on Pervasive Technologies Related to Assistive Environments, PETRA 2008</v>
      </c>
      <c r="B602" s="8" t="str">
        <f>"9781605580678"</f>
        <v>9781605580678</v>
      </c>
      <c r="C602" s="8" t="s">
        <v>21</v>
      </c>
    </row>
    <row r="603" spans="1:3" x14ac:dyDescent="0.25">
      <c r="A603" s="8" t="str">
        <f>"1st International Conference on Pipeline Integrity"</f>
        <v>1st International Conference on Pipeline Integrity</v>
      </c>
      <c r="B603" s="8" t="str">
        <f>"9781855981058"</f>
        <v>9781855981058</v>
      </c>
      <c r="C603" s="8" t="s">
        <v>1246</v>
      </c>
    </row>
    <row r="604" spans="1:3" x14ac:dyDescent="0.25">
      <c r="A604" s="8" t="str">
        <f>"1st International Conference on Sustainable Power Generation and Supply, SUPERGEN '09"</f>
        <v>1st International Conference on Sustainable Power Generation and Supply, SUPERGEN '09</v>
      </c>
      <c r="B604" s="8" t="str">
        <f>"9781424449347"</f>
        <v>9781424449347</v>
      </c>
      <c r="C604" s="8" t="s">
        <v>9</v>
      </c>
    </row>
    <row r="605" spans="1:3" x14ac:dyDescent="0.25">
      <c r="A605" s="8" t="str">
        <f>"1st International Conference on the Applications of Digital Information and Web Technologies, ICADIWT 2008"</f>
        <v>1st International Conference on the Applications of Digital Information and Web Technologies, ICADIWT 2008</v>
      </c>
      <c r="B605" s="8" t="str">
        <f>"9781424426249"</f>
        <v>9781424426249</v>
      </c>
      <c r="C605" s="8" t="s">
        <v>9</v>
      </c>
    </row>
    <row r="606" spans="1:3" x14ac:dyDescent="0.25">
      <c r="A606" s="8" t="str">
        <f>"1st International Conference on the Digital Society, ICDS 2007"</f>
        <v>1st International Conference on the Digital Society, ICDS 2007</v>
      </c>
      <c r="B606" s="8" t="str">
        <f>"9780769527604"</f>
        <v>9780769527604</v>
      </c>
      <c r="C606" s="8" t="s">
        <v>105</v>
      </c>
    </row>
    <row r="607" spans="1:3" x14ac:dyDescent="0.25">
      <c r="A607" s="8" t="str">
        <f>"1st International Conference on Thermal Issues in Emerging Technologies, Theory and Applications; Proceedings - ThETA 1"</f>
        <v>1st International Conference on Thermal Issues in Emerging Technologies, Theory and Applications; Proceedings - ThETA 1</v>
      </c>
      <c r="B607" s="8" t="str">
        <f>"9781424408979"</f>
        <v>9781424408979</v>
      </c>
      <c r="C607" s="8" t="s">
        <v>9</v>
      </c>
    </row>
    <row r="608" spans="1:3" x14ac:dyDescent="0.25">
      <c r="A608" s="8" t="str">
        <f>"1st International Electric Drives Production Conference 2011, EDPC-2011 - Proceedings"</f>
        <v>1st International Electric Drives Production Conference 2011, EDPC-2011 - Proceedings</v>
      </c>
      <c r="B608" s="8" t="str">
        <f>"9781457713682"</f>
        <v>9781457713682</v>
      </c>
      <c r="C608" s="8" t="s">
        <v>9</v>
      </c>
    </row>
    <row r="609" spans="1:3" x14ac:dyDescent="0.25">
      <c r="A609" s="8" t="str">
        <f>"1st International Energy Conversion Engineering Conference IECEC"</f>
        <v>1st International Energy Conversion Engineering Conference IECEC</v>
      </c>
      <c r="B609" s="8" t="str">
        <f>"9781624100888"</f>
        <v>9781624100888</v>
      </c>
      <c r="C609" s="8" t="s">
        <v>104</v>
      </c>
    </row>
    <row r="610" spans="1:3" x14ac:dyDescent="0.25">
      <c r="A610" s="8" t="str">
        <f>"1st International European Learning Grid Infrastructure Conference on Advanced Technology for Enhanced Learning, ELeGI 2005"</f>
        <v>1st International European Learning Grid Infrastructure Conference on Advanced Technology for Enhanced Learning, ELeGI 2005</v>
      </c>
      <c r="B610" s="8" t="str">
        <f>"-"</f>
        <v>-</v>
      </c>
      <c r="C610" s="8" t="s">
        <v>1326</v>
      </c>
    </row>
    <row r="611" spans="1:3" x14ac:dyDescent="0.25">
      <c r="A611" s="8" t="str">
        <f>"1st International IEEE Consumer Electronic Society's Games Innovation Conference, ICE-GiC 09"</f>
        <v>1st International IEEE Consumer Electronic Society's Games Innovation Conference, ICE-GiC 09</v>
      </c>
      <c r="B611" s="8" t="str">
        <f>"9781424444601"</f>
        <v>9781424444601</v>
      </c>
      <c r="C611" s="8" t="s">
        <v>9</v>
      </c>
    </row>
    <row r="612" spans="1:3" x14ac:dyDescent="0.25">
      <c r="A612" s="8" t="str">
        <f>"1st International North American Simulation Technology Conference, NASTEC 2008"</f>
        <v>1st International North American Simulation Technology Conference, NASTEC 2008</v>
      </c>
      <c r="B612" s="8" t="str">
        <f>"9789077381007"</f>
        <v>9789077381007</v>
      </c>
      <c r="C612" s="8" t="s">
        <v>1206</v>
      </c>
    </row>
    <row r="613" spans="1:3" x14ac:dyDescent="0.25">
      <c r="A613" s="8" t="str">
        <f>"1st International North-American Conference on Intelligent Games and Simulation, Game-On 'NA 2005"</f>
        <v>1st International North-American Conference on Intelligent Games and Simulation, Game-On 'NA 2005</v>
      </c>
      <c r="B613" s="8" t="str">
        <f>"9789077381199"</f>
        <v>9789077381199</v>
      </c>
      <c r="C613" s="8" t="s">
        <v>1206</v>
      </c>
    </row>
    <row r="614" spans="1:3" x14ac:dyDescent="0.25">
      <c r="A614" s="8" t="str">
        <f>"1st International Petroleum Conference and Exhibition"</f>
        <v>1st International Petroleum Conference and Exhibition</v>
      </c>
      <c r="B614" s="8" t="str">
        <f>"-"</f>
        <v>-</v>
      </c>
      <c r="C614" s="8" t="s">
        <v>1251</v>
      </c>
    </row>
    <row r="615" spans="1:3" x14ac:dyDescent="0.25">
      <c r="A615" s="8" t="str">
        <f>"1st International Simulation Tools Conference and Expo 2013, SIMEX 2013"</f>
        <v>1st International Simulation Tools Conference and Expo 2013, SIMEX 2013</v>
      </c>
      <c r="B615" s="8" t="str">
        <f>"9789077381786"</f>
        <v>9789077381786</v>
      </c>
      <c r="C615" s="8" t="s">
        <v>1206</v>
      </c>
    </row>
    <row r="616" spans="1:3" x14ac:dyDescent="0.25">
      <c r="A616" s="8" t="str">
        <f>"1st International Symposium on Ship Operations, Management and Economics 2005"</f>
        <v>1st International Symposium on Ship Operations, Management and Economics 2005</v>
      </c>
      <c r="B616" s="8" t="str">
        <f>"9781617386442"</f>
        <v>9781617386442</v>
      </c>
      <c r="C616" s="8" t="s">
        <v>762</v>
      </c>
    </row>
    <row r="617" spans="1:3" x14ac:dyDescent="0.25">
      <c r="A617" s="8" t="str">
        <f>"1st International Symposium on Systems and Control in Aerospace and Astronautics"</f>
        <v>1st International Symposium on Systems and Control in Aerospace and Astronautics</v>
      </c>
      <c r="B617" s="8" t="str">
        <f>"-"</f>
        <v>-</v>
      </c>
      <c r="C617" s="8" t="s">
        <v>9</v>
      </c>
    </row>
    <row r="618" spans="1:3" x14ac:dyDescent="0.25">
      <c r="A618" s="8" t="str">
        <f>"1st International Symposium on Wireless Communication Systems 2004, Proceedings ISWCS '04"</f>
        <v>1st International Symposium on Wireless Communication Systems 2004, Proceedings ISWCS '04</v>
      </c>
      <c r="B618" s="8" t="str">
        <f>"9780780384729"</f>
        <v>9780780384729</v>
      </c>
      <c r="C618" s="8" t="s">
        <v>9</v>
      </c>
    </row>
    <row r="619" spans="1:3" x14ac:dyDescent="0.25">
      <c r="A619" s="8" t="str">
        <f>"1st International Workshop on Artificial Intelligence in Grid Computing, AIGC '07"</f>
        <v>1st International Workshop on Artificial Intelligence in Grid Computing, AIGC '07</v>
      </c>
      <c r="B619" s="8" t="str">
        <f>"9781595937599"</f>
        <v>9781595937599</v>
      </c>
      <c r="C619" s="8" t="s">
        <v>21</v>
      </c>
    </row>
    <row r="620" spans="1:3" x14ac:dyDescent="0.25">
      <c r="A620" s="8" t="str">
        <f>"1st International Workshop on Broadband Convergence Network, BcN2006"</f>
        <v>1st International Workshop on Broadband Convergence Network, BcN2006</v>
      </c>
      <c r="B620" s="8" t="str">
        <f>"-"</f>
        <v>-</v>
      </c>
      <c r="C620" s="8" t="s">
        <v>9</v>
      </c>
    </row>
    <row r="621" spans="1:3" x14ac:dyDescent="0.25">
      <c r="A621" s="8" t="str">
        <f>"1st International Workshop on Cognitive Radio and Advanced Spectrum Management, CogART 2008"</f>
        <v>1st International Workshop on Cognitive Radio and Advanced Spectrum Management, CogART 2008</v>
      </c>
      <c r="B621" s="8" t="str">
        <f>"9781424421398"</f>
        <v>9781424421398</v>
      </c>
      <c r="C621" s="8" t="s">
        <v>9</v>
      </c>
    </row>
    <row r="622" spans="1:3" x14ac:dyDescent="0.25">
      <c r="A622" s="8" t="str">
        <f>"1st International Workshop on Cognitive Wireless Networks, CWNETS '07"</f>
        <v>1st International Workshop on Cognitive Wireless Networks, CWNETS '07</v>
      </c>
      <c r="B622" s="8" t="str">
        <f>"9781595937605"</f>
        <v>9781595937605</v>
      </c>
      <c r="C622" s="8" t="s">
        <v>21</v>
      </c>
    </row>
    <row r="623" spans="1:3" x14ac:dyDescent="0.25">
      <c r="A623" s="8" t="str">
        <f>"1st International Workshop on Crowd-Based Software Development Methods and Technologies, CrowdSoft 2014 - Proceedings"</f>
        <v>1st International Workshop on Crowd-Based Software Development Methods and Technologies, CrowdSoft 2014 - Proceedings</v>
      </c>
      <c r="B623" s="8" t="str">
        <f>"9781450332248"</f>
        <v>9781450332248</v>
      </c>
      <c r="C623" s="8" t="s">
        <v>1235</v>
      </c>
    </row>
    <row r="624" spans="1:3" x14ac:dyDescent="0.25">
      <c r="A624" s="8" t="str">
        <f>"1st International Workshop on CrowdSourcing in Software Engineering, CSI-SE 2014 - Proceedings"</f>
        <v>1st International Workshop on CrowdSourcing in Software Engineering, CSI-SE 2014 - Proceedings</v>
      </c>
      <c r="B624" s="8" t="str">
        <f>"9781450328579"</f>
        <v>9781450328579</v>
      </c>
      <c r="C624" s="8" t="s">
        <v>1235</v>
      </c>
    </row>
    <row r="625" spans="1:3" x14ac:dyDescent="0.25">
      <c r="A625" s="8" t="str">
        <f>"1st International Workshop on Data Management on New Hardware, DaMoN 2005, Co-located with ACM SIGMOD/PODS 2005"</f>
        <v>1st International Workshop on Data Management on New Hardware, DaMoN 2005, Co-located with ACM SIGMOD/PODS 2005</v>
      </c>
      <c r="B625" s="8" t="str">
        <f>"-"</f>
        <v>-</v>
      </c>
      <c r="C625" s="8" t="s">
        <v>21</v>
      </c>
    </row>
    <row r="626" spans="1:3" x14ac:dyDescent="0.25">
      <c r="A626" s="8" t="str">
        <f>"1st International Workshop on Data Mining and Audience Intelligence for Advertising, ADKDD 2007, Held in Conjunction with SIGKDD'07"</f>
        <v>1st International Workshop on Data Mining and Audience Intelligence for Advertising, ADKDD 2007, Held in Conjunction with SIGKDD'07</v>
      </c>
      <c r="B626" s="8" t="str">
        <f>"9781595938336"</f>
        <v>9781595938336</v>
      </c>
      <c r="C626" s="8" t="s">
        <v>21</v>
      </c>
    </row>
    <row r="627" spans="1:3" x14ac:dyDescent="0.25">
      <c r="A627" s="8" t="str">
        <f>"1st International Workshop on Graph Data Management Experiences and Systems, GRADES 2013 - Co-located with SIGMOD/PODS 2013"</f>
        <v>1st International Workshop on Graph Data Management Experiences and Systems, GRADES 2013 - Co-located with SIGMOD/PODS 2013</v>
      </c>
      <c r="B627" s="8" t="str">
        <f>"9781450321884"</f>
        <v>9781450321884</v>
      </c>
      <c r="C627" s="8" t="s">
        <v>21</v>
      </c>
    </row>
    <row r="628" spans="1:3" x14ac:dyDescent="0.25">
      <c r="A628" s="8" t="str">
        <f>"1st International Workshop on Green Computing Middleware 2010, GCM 2010"</f>
        <v>1st International Workshop on Green Computing Middleware 2010, GCM 2010</v>
      </c>
      <c r="B628" s="8" t="str">
        <f>"9781450304504"</f>
        <v>9781450304504</v>
      </c>
      <c r="C628" s="8" t="s">
        <v>21</v>
      </c>
    </row>
    <row r="629" spans="1:3" x14ac:dyDescent="0.25">
      <c r="A629" s="8" t="str">
        <f>"1st International Workshop on Inclusive Web Programming - Programming on the Web with Open Data for Societal Applications, IWP 2014 - Proceedings"</f>
        <v>1st International Workshop on Inclusive Web Programming - Programming on the Web with Open Data for Societal Applications, IWP 2014 - Proceedings</v>
      </c>
      <c r="B629" s="8" t="str">
        <f>"9781450328555"</f>
        <v>9781450328555</v>
      </c>
      <c r="C629" s="8" t="s">
        <v>1235</v>
      </c>
    </row>
    <row r="630" spans="1:3" x14ac:dyDescent="0.25">
      <c r="A630" s="8" t="str">
        <f>"1st International Workshop on Innovative Simulation for Health Care, IWISH 2012, Held at the International Multidisciplinary Modeling and Simulation Multiconference, I3M 2012"</f>
        <v>1st International Workshop on Innovative Simulation for Health Care, IWISH 2012, Held at the International Multidisciplinary Modeling and Simulation Multiconference, I3M 2012</v>
      </c>
      <c r="B630" s="8" t="str">
        <f>"9781629934846"</f>
        <v>9781629934846</v>
      </c>
      <c r="C630" s="8" t="s">
        <v>1200</v>
      </c>
    </row>
    <row r="631" spans="1:3" x14ac:dyDescent="0.25">
      <c r="A631" s="8" t="str">
        <f>"1st International Workshop on Model-Driven Engineering for High Performance and CLoud Computing, MDHPCL 2012 - Satellite Event of MODELS 2012"</f>
        <v>1st International Workshop on Model-Driven Engineering for High Performance and CLoud Computing, MDHPCL 2012 - Satellite Event of MODELS 2012</v>
      </c>
      <c r="B631" s="8" t="str">
        <f>"9781450318105"</f>
        <v>9781450318105</v>
      </c>
      <c r="C631" s="8" t="s">
        <v>21</v>
      </c>
    </row>
    <row r="632" spans="1:3" x14ac:dyDescent="0.25">
      <c r="A632" s="8" t="str">
        <f>"1st International Workshop on Modern Software Engineering Methods for Industrial Automation, MoSEMInA 2014 - Proceedings"</f>
        <v>1st International Workshop on Modern Software Engineering Methods for Industrial Automation, MoSEMInA 2014 - Proceedings</v>
      </c>
      <c r="B632" s="8" t="str">
        <f>"9781450328517"</f>
        <v>9781450328517</v>
      </c>
      <c r="C632" s="8" t="s">
        <v>1235</v>
      </c>
    </row>
    <row r="633" spans="1:3" x14ac:dyDescent="0.25">
      <c r="A633" s="8" t="str">
        <f>"1st International Workshop on Pen-Based Learning Technologies, PLT 2007"</f>
        <v>1st International Workshop on Pen-Based Learning Technologies, PLT 2007</v>
      </c>
      <c r="B633" s="8" t="str">
        <f>"9780769529424"</f>
        <v>9780769529424</v>
      </c>
      <c r="C633" s="8" t="s">
        <v>9</v>
      </c>
    </row>
    <row r="634" spans="1:3" x14ac:dyDescent="0.25">
      <c r="A634" s="8" t="str">
        <f>"1st International Workshop on Rapid Continuous Software Engineering, RCoSE 2014 - Proceedings"</f>
        <v>1st International Workshop on Rapid Continuous Software Engineering, RCoSE 2014 - Proceedings</v>
      </c>
      <c r="B634" s="8" t="str">
        <f>"9781450328562"</f>
        <v>9781450328562</v>
      </c>
      <c r="C634" s="8" t="s">
        <v>1235</v>
      </c>
    </row>
    <row r="635" spans="1:3" x14ac:dyDescent="0.25">
      <c r="A635" s="8" t="str">
        <f>"1st International Workshop on Simulation for Energy, Sustainable Development and Environment, SESDE 2013, Held at the International Multidisciplinary Modeling and Simulation Multiconference, I3M 2013"</f>
        <v>1st International Workshop on Simulation for Energy, Sustainable Development and Environment, SESDE 2013, Held at the International Multidisciplinary Modeling and Simulation Multiconference, I3M 2013</v>
      </c>
      <c r="B635" s="8" t="str">
        <f>"9781629934914"</f>
        <v>9781629934914</v>
      </c>
      <c r="C635" s="8" t="s">
        <v>1200</v>
      </c>
    </row>
    <row r="636" spans="1:3" x14ac:dyDescent="0.25">
      <c r="A636" s="8" t="str">
        <f>"1st International Workshop on Software Engineering Research and Industrial Practices, SER and IPs 2014 - Proceedings"</f>
        <v>1st International Workshop on Software Engineering Research and Industrial Practices, SER and IPs 2014 - Proceedings</v>
      </c>
      <c r="B636" s="8" t="str">
        <f>"9781450328593"</f>
        <v>9781450328593</v>
      </c>
      <c r="C636" s="8" t="s">
        <v>1235</v>
      </c>
    </row>
    <row r="637" spans="1:3" x14ac:dyDescent="0.25">
      <c r="A637" s="8" t="str">
        <f>"1st International Workshop on Software Test Output Validation, STOV 2010, in Conjunction with the 2010 International Conference on Software Testing and Analysis, ISSTA 2010"</f>
        <v>1st International Workshop on Software Test Output Validation, STOV 2010, in Conjunction with the 2010 International Conference on Software Testing and Analysis, ISSTA 2010</v>
      </c>
      <c r="B637" s="8" t="str">
        <f>"9781450301381"</f>
        <v>9781450301381</v>
      </c>
      <c r="C637" s="8" t="s">
        <v>21</v>
      </c>
    </row>
    <row r="638" spans="1:3" x14ac:dyDescent="0.25">
      <c r="A638" s="8" t="str">
        <f>"1st International Workshop on Web-Scale Multimedia Corpus, WSMC'09, Co-located with the 2009 ACM International Conference on Multimedia, MM'09"</f>
        <v>1st International Workshop on Web-Scale Multimedia Corpus, WSMC'09, Co-located with the 2009 ACM International Conference on Multimedia, MM'09</v>
      </c>
      <c r="B638" s="8" t="str">
        <f>"9781605587615"</f>
        <v>9781605587615</v>
      </c>
      <c r="C638" s="8" t="s">
        <v>21</v>
      </c>
    </row>
    <row r="639" spans="1:3" x14ac:dyDescent="0.25">
      <c r="A639" s="8" t="str">
        <f>"1st International Workshop on Wireless Networking for Intelligent Transportation Systems, WINITS '07"</f>
        <v>1st International Workshop on Wireless Networking for Intelligent Transportation Systems, WINITS '07</v>
      </c>
      <c r="B639" s="8" t="str">
        <f>"9781595937582"</f>
        <v>9781595937582</v>
      </c>
      <c r="C639" s="8" t="s">
        <v>21</v>
      </c>
    </row>
    <row r="640" spans="1:3" x14ac:dyDescent="0.25">
      <c r="A640" s="8" t="str">
        <f>"1st Iranian Conference on Pattern Recognition and Image Analysis, PRIA 2013"</f>
        <v>1st Iranian Conference on Pattern Recognition and Image Analysis, PRIA 2013</v>
      </c>
      <c r="B640" s="8" t="str">
        <f>"9781467362047"</f>
        <v>9781467362047</v>
      </c>
      <c r="C640" s="8" t="s">
        <v>9</v>
      </c>
    </row>
    <row r="641" spans="1:3" x14ac:dyDescent="0.25">
      <c r="A641" s="8" t="str">
        <f>"1st Joint Emergency Preparedness and Response/Robotic and Remote Systems Topical Meeting"</f>
        <v>1st Joint Emergency Preparedness and Response/Robotic and Remote Systems Topical Meeting</v>
      </c>
      <c r="B641" s="8" t="str">
        <f>"-"</f>
        <v>-</v>
      </c>
      <c r="C641" s="8" t="s">
        <v>453</v>
      </c>
    </row>
    <row r="642" spans="1:3" x14ac:dyDescent="0.25">
      <c r="A642" s="8" t="str">
        <f>"1st Microsystems and Nanoelectronics Research Conference, MNRC 2008 - Enabling Synergy and Accelerating Excellence in Graduate Student Research"</f>
        <v>1st Microsystems and Nanoelectronics Research Conference, MNRC 2008 - Enabling Synergy and Accelerating Excellence in Graduate Student Research</v>
      </c>
      <c r="B642" s="8" t="str">
        <f>"9781424429219"</f>
        <v>9781424429219</v>
      </c>
      <c r="C642" s="8" t="s">
        <v>9</v>
      </c>
    </row>
    <row r="643" spans="1:3" x14ac:dyDescent="0.25">
      <c r="A643" s="8" t="str">
        <f>"1st Mosharaka International Conference on Communications, Computers and Applications, MIC-CCA 2007"</f>
        <v>1st Mosharaka International Conference on Communications, Computers and Applications, MIC-CCA 2007</v>
      </c>
      <c r="B643" s="8" t="str">
        <f>"-"</f>
        <v>-</v>
      </c>
      <c r="C643" s="8" t="s">
        <v>1327</v>
      </c>
    </row>
    <row r="644" spans="1:3" x14ac:dyDescent="0.25">
      <c r="A644" s="8" t="str">
        <f>"1st Portuguese Meeting in Biomedical Engineering, ENBENG 2011"</f>
        <v>1st Portuguese Meeting in Biomedical Engineering, ENBENG 2011</v>
      </c>
      <c r="B644" s="8" t="str">
        <f>"9781457705229"</f>
        <v>9781457705229</v>
      </c>
      <c r="C644" s="8" t="s">
        <v>9</v>
      </c>
    </row>
    <row r="645" spans="1:3" x14ac:dyDescent="0.25">
      <c r="A645" s="8" t="str">
        <f>"1st South Central Asian Himalayas Regional IEEE/IFIP International Conference on Internet, AH-ICI 2009"</f>
        <v>1st South Central Asian Himalayas Regional IEEE/IFIP International Conference on Internet, AH-ICI 2009</v>
      </c>
      <c r="B645" s="8" t="str">
        <f>"9781424445707"</f>
        <v>9781424445707</v>
      </c>
      <c r="C645" s="8" t="s">
        <v>9</v>
      </c>
    </row>
    <row r="646" spans="1:3" x14ac:dyDescent="0.25">
      <c r="A646" s="8" t="str">
        <f>"1st UAV Conference"</f>
        <v>1st UAV Conference</v>
      </c>
      <c r="B646" s="8" t="str">
        <f>"9781624101069"</f>
        <v>9781624101069</v>
      </c>
      <c r="C646" s="8" t="s">
        <v>104</v>
      </c>
    </row>
    <row r="647" spans="1:3" x14ac:dyDescent="0.25">
      <c r="A647" s="8" t="str">
        <f>"1st Workshop on Tight Gas Reservoirs 2009: Integrating Technology to Unlock Middle East Tight Gas Reservoirs"</f>
        <v>1st Workshop on Tight Gas Reservoirs 2009: Integrating Technology to Unlock Middle East Tight Gas Reservoirs</v>
      </c>
      <c r="B647" s="8" t="str">
        <f>"-"</f>
        <v>-</v>
      </c>
      <c r="C647" s="8" t="s">
        <v>1251</v>
      </c>
    </row>
    <row r="648" spans="1:3" x14ac:dyDescent="0.25">
      <c r="A648" s="8" t="str">
        <f>"1st World Congress on Industrial Process Tomography"</f>
        <v>1st World Congress on Industrial Process Tomography</v>
      </c>
      <c r="B648" s="8" t="str">
        <f>"9780853163176"</f>
        <v>9780853163176</v>
      </c>
      <c r="C648" s="8" t="s">
        <v>1328</v>
      </c>
    </row>
    <row r="649" spans="1:3" x14ac:dyDescent="0.25">
      <c r="A649" s="8" t="s">
        <v>1329</v>
      </c>
      <c r="B649" s="8" t="str">
        <f>"9789665720485"</f>
        <v>9789665720485</v>
      </c>
      <c r="C649" s="8" t="s">
        <v>105</v>
      </c>
    </row>
    <row r="650" spans="1:3" x14ac:dyDescent="0.25">
      <c r="A650" s="8" t="str">
        <f>"2000 13th International Conference on High-Power Particle Beams, BEAMS 2000"</f>
        <v>2000 13th International Conference on High-Power Particle Beams, BEAMS 2000</v>
      </c>
      <c r="B650" s="8" t="str">
        <f>"-"</f>
        <v>-</v>
      </c>
      <c r="C650" s="8" t="s">
        <v>9</v>
      </c>
    </row>
    <row r="651" spans="1:3" x14ac:dyDescent="0.25">
      <c r="A651" s="8" t="str">
        <f>"2000 1st Annual Workshop on Mobile and Ad Hoc Networking and Computing, MobiHOC 2000"</f>
        <v>2000 1st Annual Workshop on Mobile and Ad Hoc Networking and Computing, MobiHOC 2000</v>
      </c>
      <c r="B651" s="8" t="str">
        <f>"9780780365346"</f>
        <v>9780780365346</v>
      </c>
      <c r="C651" s="8" t="s">
        <v>105</v>
      </c>
    </row>
    <row r="652" spans="1:3" x14ac:dyDescent="0.25">
      <c r="A652" s="8" t="str">
        <f>"2000 22nd International Conference on Microelectronics, MIEL 2000 - Proceedings"</f>
        <v>2000 22nd International Conference on Microelectronics, MIEL 2000 - Proceedings</v>
      </c>
      <c r="B652" s="8" t="str">
        <f>"9780780352353"</f>
        <v>9780780352353</v>
      </c>
      <c r="C652" s="8" t="s">
        <v>9</v>
      </c>
    </row>
    <row r="653" spans="1:3" x14ac:dyDescent="0.25">
      <c r="A653" s="8" t="str">
        <f>"2000 30th European Microwave Conference, EuMC 2000"</f>
        <v>2000 30th European Microwave Conference, EuMC 2000</v>
      </c>
      <c r="B653" s="8" t="str">
        <f>"-"</f>
        <v>-</v>
      </c>
      <c r="C653" s="8" t="s">
        <v>9</v>
      </c>
    </row>
    <row r="654" spans="1:3" x14ac:dyDescent="0.25">
      <c r="A654" s="8" t="str">
        <f>"2000 5th International Conference on Actual Problems of Electronic Instrument Engineering, APEIE 2000 - Proceedings, Devoted to the 50th Anniversary of Novosibirsk State Technical University"</f>
        <v>2000 5th International Conference on Actual Problems of Electronic Instrument Engineering, APEIE 2000 - Proceedings, Devoted to the 50th Anniversary of Novosibirsk State Technical University</v>
      </c>
      <c r="B654" s="8" t="str">
        <f>"9780780359031"</f>
        <v>9780780359031</v>
      </c>
      <c r="C654" s="8" t="s">
        <v>105</v>
      </c>
    </row>
    <row r="655" spans="1:3" x14ac:dyDescent="0.25">
      <c r="A655" s="8" t="str">
        <f>"2000 Annual Conference Abstracts - Canadian Society for Civil Engineering"</f>
        <v>2000 Annual Conference Abstracts - Canadian Society for Civil Engineering</v>
      </c>
      <c r="B655" s="8" t="str">
        <f>"9780921303916"</f>
        <v>9780921303916</v>
      </c>
      <c r="C655" s="8" t="s">
        <v>999</v>
      </c>
    </row>
    <row r="656" spans="1:3" x14ac:dyDescent="0.25">
      <c r="A656" s="8" t="str">
        <f>"2000 ASAE Annual International Meeting, Technical Papers: Engineering Solutions for a New Century"</f>
        <v>2000 ASAE Annual International Meeting, Technical Papers: Engineering Solutions for a New Century</v>
      </c>
      <c r="B656" s="8" t="str">
        <f>"-"</f>
        <v>-</v>
      </c>
      <c r="C656" s="8" t="s">
        <v>140</v>
      </c>
    </row>
    <row r="657" spans="1:3" x14ac:dyDescent="0.25">
      <c r="A657" s="8" t="str">
        <f>"2000 ASME Wind Energy Symposium"</f>
        <v>2000 ASME Wind Energy Symposium</v>
      </c>
      <c r="B657" s="8" t="str">
        <f>"-"</f>
        <v>-</v>
      </c>
      <c r="C657" s="8" t="s">
        <v>104</v>
      </c>
    </row>
    <row r="658" spans="1:3" x14ac:dyDescent="0.25">
      <c r="A658" s="8" t="str">
        <f>"2000 Future Car Congress"</f>
        <v>2000 Future Car Congress</v>
      </c>
      <c r="B658" s="8" t="str">
        <f>"-"</f>
        <v>-</v>
      </c>
      <c r="C658" s="8" t="s">
        <v>1040</v>
      </c>
    </row>
    <row r="659" spans="1:3" x14ac:dyDescent="0.25">
      <c r="A659" s="8" t="str">
        <f>"2000 Future Transportation Technology Conference"</f>
        <v>2000 Future Transportation Technology Conference</v>
      </c>
      <c r="B659" s="8" t="str">
        <f>"-"</f>
        <v>-</v>
      </c>
      <c r="C659" s="8" t="s">
        <v>1040</v>
      </c>
    </row>
    <row r="660" spans="1:3" x14ac:dyDescent="0.25">
      <c r="A660" s="8" t="str">
        <f>"2000 IEEE 3rd Conference on Open Architectures and Network Programming Proceedings, OPENARCH 2000"</f>
        <v>2000 IEEE 3rd Conference on Open Architectures and Network Programming Proceedings, OPENARCH 2000</v>
      </c>
      <c r="B660" s="8" t="str">
        <f>"9780780362680"</f>
        <v>9780780362680</v>
      </c>
      <c r="C660" s="8" t="s">
        <v>105</v>
      </c>
    </row>
    <row r="661" spans="1:3" x14ac:dyDescent="0.25">
      <c r="A661" s="8" t="str">
        <f>"2000 IEEE Emerging Technologies Symposium on Broadband, Wireless Internet Access"</f>
        <v>2000 IEEE Emerging Technologies Symposium on Broadband, Wireless Internet Access</v>
      </c>
      <c r="B661" s="8" t="str">
        <f>"9780780363649"</f>
        <v>9780780363649</v>
      </c>
      <c r="C661" s="8" t="s">
        <v>105</v>
      </c>
    </row>
    <row r="662" spans="1:3" x14ac:dyDescent="0.25">
      <c r="A662" s="8" t="str">
        <f>"2000 IEEE International Symposium on Performance Analysis of Systems and Software, ISPASS 2000"</f>
        <v>2000 IEEE International Symposium on Performance Analysis of Systems and Software, ISPASS 2000</v>
      </c>
      <c r="B662" s="8" t="str">
        <f>"9780780364189"</f>
        <v>9780780364189</v>
      </c>
      <c r="C662" s="8" t="s">
        <v>105</v>
      </c>
    </row>
    <row r="663" spans="1:3" x14ac:dyDescent="0.25">
      <c r="A663" s="8" t="str">
        <f>"2000 IEEE Wireless Communications and Networking Conference"</f>
        <v>2000 IEEE Wireless Communications and Networking Conference</v>
      </c>
      <c r="B663" s="8" t="str">
        <f>"9780780365964"</f>
        <v>9780780365964</v>
      </c>
      <c r="C663" s="8" t="s">
        <v>105</v>
      </c>
    </row>
    <row r="664" spans="1:3" x14ac:dyDescent="0.25">
      <c r="A664" s="8" t="str">
        <f>"2000 IEEE Wireless Communications and Networking Conference"</f>
        <v>2000 IEEE Wireless Communications and Networking Conference</v>
      </c>
      <c r="B664" s="8" t="str">
        <f>"9780780365964"</f>
        <v>9780780365964</v>
      </c>
      <c r="C664" s="8" t="s">
        <v>105</v>
      </c>
    </row>
    <row r="665" spans="1:3" x14ac:dyDescent="0.25">
      <c r="A665" s="8" t="str">
        <f>"2000 IEEE Wireless Communications and Networking Conference"</f>
        <v>2000 IEEE Wireless Communications and Networking Conference</v>
      </c>
      <c r="B665" s="8" t="str">
        <f>"9780780365964"</f>
        <v>9780780365964</v>
      </c>
      <c r="C665" s="8" t="s">
        <v>105</v>
      </c>
    </row>
    <row r="666" spans="1:3" x14ac:dyDescent="0.25">
      <c r="A666" s="8" t="str">
        <f>"2000 IEEE Workshop on Speech Coding - Proceedings: Meeting the Challenges of the New Millennium"</f>
        <v>2000 IEEE Workshop on Speech Coding - Proceedings: Meeting the Challenges of the New Millennium</v>
      </c>
      <c r="B666" s="8" t="str">
        <f>"9780780364165"</f>
        <v>9780780364165</v>
      </c>
      <c r="C666" s="8" t="s">
        <v>105</v>
      </c>
    </row>
    <row r="667" spans="1:3" x14ac:dyDescent="0.25">
      <c r="A667" s="8" t="str">
        <f>"2000 IEEE/ACM International Workshop on Behavioral Modeling and Simulation"</f>
        <v>2000 IEEE/ACM International Workshop on Behavioral Modeling and Simulation</v>
      </c>
      <c r="B667" s="8" t="str">
        <f>"9780769508931"</f>
        <v>9780769508931</v>
      </c>
      <c r="C667" s="8" t="s">
        <v>9</v>
      </c>
    </row>
    <row r="668" spans="1:3" x14ac:dyDescent="0.25">
      <c r="A668" s="8" t="str">
        <f>"2000 IEEE-APS Conference on Antennas and Propagation for Wireless Communications"</f>
        <v>2000 IEEE-APS Conference on Antennas and Propagation for Wireless Communications</v>
      </c>
      <c r="B668" s="8" t="str">
        <f>"9780780358942"</f>
        <v>9780780358942</v>
      </c>
      <c r="C668" s="8" t="s">
        <v>105</v>
      </c>
    </row>
    <row r="669" spans="1:3" x14ac:dyDescent="0.25">
      <c r="A669" s="8" t="str">
        <f>"2000 International Conference on Modeling and Simulation of Microsystems - MSM 2000"</f>
        <v>2000 International Conference on Modeling and Simulation of Microsystems - MSM 2000</v>
      </c>
      <c r="B669" s="8" t="str">
        <f>"9780966613575"</f>
        <v>9780966613575</v>
      </c>
      <c r="C669" s="8" t="s">
        <v>1330</v>
      </c>
    </row>
    <row r="670" spans="1:3" x14ac:dyDescent="0.25">
      <c r="A670" s="8" t="str">
        <f>"2000 International Pulp Bleaching Conference: Oral Presentations"</f>
        <v>2000 International Pulp Bleaching Conference: Oral Presentations</v>
      </c>
      <c r="B670" s="8" t="str">
        <f>"9781896742601"</f>
        <v>9781896742601</v>
      </c>
      <c r="C670" s="8" t="s">
        <v>131</v>
      </c>
    </row>
    <row r="671" spans="1:3" x14ac:dyDescent="0.25">
      <c r="A671" s="8" t="str">
        <f>"2000 International Pulp Bleaching Conference: Poster Presentations"</f>
        <v>2000 International Pulp Bleaching Conference: Poster Presentations</v>
      </c>
      <c r="B671" s="8" t="str">
        <f>"9781896742625"</f>
        <v>9781896742625</v>
      </c>
      <c r="C671" s="8" t="s">
        <v>131</v>
      </c>
    </row>
    <row r="672" spans="1:3" x14ac:dyDescent="0.25">
      <c r="A672" s="8" t="str">
        <f>"2000 Mediterranean Conference for Environment and Solar, COMPLES 2000"</f>
        <v>2000 Mediterranean Conference for Environment and Solar, COMPLES 2000</v>
      </c>
      <c r="B672" s="8" t="str">
        <f>"9780780371170"</f>
        <v>9780780371170</v>
      </c>
      <c r="C672" s="8" t="s">
        <v>105</v>
      </c>
    </row>
    <row r="673" spans="1:3" x14ac:dyDescent="0.25">
      <c r="A673" s="8" t="str">
        <f>"2000 Semiconductor Manufacturing Technology Workshop"</f>
        <v>2000 Semiconductor Manufacturing Technology Workshop</v>
      </c>
      <c r="B673" s="8" t="str">
        <f>"9780780363748"</f>
        <v>9780780363748</v>
      </c>
      <c r="C673" s="8" t="s">
        <v>105</v>
      </c>
    </row>
    <row r="674" spans="1:3" x14ac:dyDescent="0.25">
      <c r="A674" s="8" t="str">
        <f>"2000 Southwest Symposium on Mixed-Signal Design, SSMSD 2000"</f>
        <v>2000 Southwest Symposium on Mixed-Signal Design, SSMSD 2000</v>
      </c>
      <c r="B674" s="8" t="str">
        <f>"9780780359758"</f>
        <v>9780780359758</v>
      </c>
      <c r="C674" s="8" t="s">
        <v>105</v>
      </c>
    </row>
    <row r="675" spans="1:3" x14ac:dyDescent="0.25">
      <c r="A675" s="8" t="str">
        <f>"2000 TAPPI Recycling Symposium"</f>
        <v>2000 TAPPI Recycling Symposium</v>
      </c>
      <c r="B675" s="8" t="str">
        <f>"9780898529609"</f>
        <v>9780898529609</v>
      </c>
      <c r="C675" s="8" t="s">
        <v>1099</v>
      </c>
    </row>
    <row r="676" spans="1:3" x14ac:dyDescent="0.25">
      <c r="A676" s="8" t="str">
        <f>"2000 TAPPI Recycling Symposium"</f>
        <v>2000 TAPPI Recycling Symposium</v>
      </c>
      <c r="B676" s="8" t="str">
        <f>"9780898529609"</f>
        <v>9780898529609</v>
      </c>
      <c r="C676" s="8" t="s">
        <v>1099</v>
      </c>
    </row>
    <row r="677" spans="1:3" x14ac:dyDescent="0.25">
      <c r="A677" s="8" t="str">
        <f>"2000 Topical Meeting on Silicon Monolithic Integrated Circuits in RF Systems"</f>
        <v>2000 Topical Meeting on Silicon Monolithic Integrated Circuits in RF Systems</v>
      </c>
      <c r="B677" s="8" t="str">
        <f>"9780780362550"</f>
        <v>9780780362550</v>
      </c>
      <c r="C677" s="8" t="s">
        <v>105</v>
      </c>
    </row>
    <row r="678" spans="1:3" x14ac:dyDescent="0.25">
      <c r="A678" s="8" t="str">
        <f>"2000 World Aviation Conference"</f>
        <v>2000 World Aviation Conference</v>
      </c>
      <c r="B678" s="8" t="str">
        <f>"-"</f>
        <v>-</v>
      </c>
      <c r="C678" s="8" t="s">
        <v>1040</v>
      </c>
    </row>
    <row r="679" spans="1:3" x14ac:dyDescent="0.25">
      <c r="A679" s="8" t="str">
        <f>"2001 31st European Microwave Conference, EuMC 2001"</f>
        <v>2001 31st European Microwave Conference, EuMC 2001</v>
      </c>
      <c r="B679" s="8" t="str">
        <f>"-"</f>
        <v>-</v>
      </c>
      <c r="C679" s="8" t="s">
        <v>9</v>
      </c>
    </row>
    <row r="680" spans="1:3" x14ac:dyDescent="0.25">
      <c r="A680" s="8" t="str">
        <f>"2001 7th IEEE/IFIP International Symposium on Integrated Network Management Proceedings: Integrated Management Strategies for the New Millennium"</f>
        <v>2001 7th IEEE/IFIP International Symposium on Integrated Network Management Proceedings: Integrated Management Strategies for the New Millennium</v>
      </c>
      <c r="B680" s="8" t="str">
        <f>"9780780367197"</f>
        <v>9780780367197</v>
      </c>
      <c r="C680" s="8" t="s">
        <v>105</v>
      </c>
    </row>
    <row r="681" spans="1:3" x14ac:dyDescent="0.25">
      <c r="A681" s="8" t="str">
        <f>"2001 Conference and Exhibit on International Space Station Utilization"</f>
        <v>2001 Conference and Exhibit on International Space Station Utilization</v>
      </c>
      <c r="B681" s="8" t="str">
        <f>"-"</f>
        <v>-</v>
      </c>
      <c r="C681" s="8" t="s">
        <v>104</v>
      </c>
    </row>
    <row r="682" spans="1:3" x14ac:dyDescent="0.25">
      <c r="A682" s="8" t="str">
        <f>"2001 Enterprise Networking, Applications and Services Conference Proceedings, EntNet@SUPERCOMM 2001"</f>
        <v>2001 Enterprise Networking, Applications and Services Conference Proceedings, EntNet@SUPERCOMM 2001</v>
      </c>
      <c r="B682" s="8" t="str">
        <f>"9780780373426"</f>
        <v>9780780373426</v>
      </c>
      <c r="C682" s="8" t="s">
        <v>105</v>
      </c>
    </row>
    <row r="683" spans="1:3" x14ac:dyDescent="0.25">
      <c r="A683" s="8" t="str">
        <f>"2001 IEEE Emerging Technologies Symposium on BroadBand Communications for the Internet Era, ETS 2001 - Symposium Digest"</f>
        <v>2001 IEEE Emerging Technologies Symposium on BroadBand Communications for the Internet Era, ETS 2001 - Symposium Digest</v>
      </c>
      <c r="B683" s="8" t="str">
        <f>"9780780371613"</f>
        <v>9780780371613</v>
      </c>
      <c r="C683" s="8" t="s">
        <v>105</v>
      </c>
    </row>
    <row r="684" spans="1:3" x14ac:dyDescent="0.25">
      <c r="A684" s="8" t="str">
        <f>"2001 IEEE Fourth Workshop on Multimedia Signal Processing"</f>
        <v>2001 IEEE Fourth Workshop on Multimedia Signal Processing</v>
      </c>
      <c r="B684" s="8" t="str">
        <f>"9780780370258"</f>
        <v>9780780370258</v>
      </c>
      <c r="C684" s="8" t="s">
        <v>105</v>
      </c>
    </row>
    <row r="685" spans="1:3" x14ac:dyDescent="0.25">
      <c r="A685" s="8" t="str">
        <f>"2001 IEEE International Symposium on Performance Analysis of Systems and Software, ISPASS 2001"</f>
        <v>2001 IEEE International Symposium on Performance Analysis of Systems and Software, ISPASS 2001</v>
      </c>
      <c r="B685" s="8" t="str">
        <f>"9780780372306"</f>
        <v>9780780372306</v>
      </c>
      <c r="C685" s="8" t="s">
        <v>105</v>
      </c>
    </row>
    <row r="686" spans="1:3" x14ac:dyDescent="0.25">
      <c r="A686" s="8" t="str">
        <f>"2001 IEEE International Workshop on Workload Characterization, WWC 2001"</f>
        <v>2001 IEEE International Workshop on Workload Characterization, WWC 2001</v>
      </c>
      <c r="B686" s="8" t="str">
        <f>"9780780373150"</f>
        <v>9780780373150</v>
      </c>
      <c r="C686" s="8" t="s">
        <v>105</v>
      </c>
    </row>
    <row r="687" spans="1:3" x14ac:dyDescent="0.25">
      <c r="A687" s="8" t="str">
        <f>"2001 IEEE Open Architectures and Network Programming Proceedings, OPENARCH 2001"</f>
        <v>2001 IEEE Open Architectures and Network Programming Proceedings, OPENARCH 2001</v>
      </c>
      <c r="B687" s="8" t="str">
        <f>"9780780370647"</f>
        <v>9780780370647</v>
      </c>
      <c r="C687" s="8" t="s">
        <v>105</v>
      </c>
    </row>
    <row r="688" spans="1:3" x14ac:dyDescent="0.25">
      <c r="A688" s="8" t="str">
        <f>"2001 IEEE Porto Power Tech Proceedings"</f>
        <v>2001 IEEE Porto Power Tech Proceedings</v>
      </c>
      <c r="B688" s="8" t="str">
        <f>"9780780371392"</f>
        <v>9780780371392</v>
      </c>
      <c r="C688" s="8" t="s">
        <v>9</v>
      </c>
    </row>
    <row r="689" spans="1:3" x14ac:dyDescent="0.25">
      <c r="A689" s="8" t="str">
        <f>"2001 IEEE Symposium on Human-Centric Computing"</f>
        <v>2001 IEEE Symposium on Human-Centric Computing</v>
      </c>
      <c r="B689" s="8" t="str">
        <f>"9780780371989"</f>
        <v>9780780371989</v>
      </c>
      <c r="C689" s="8" t="s">
        <v>105</v>
      </c>
    </row>
    <row r="690" spans="1:3" x14ac:dyDescent="0.25">
      <c r="A690" s="8" t="str">
        <f>"2001 IEEE Workshop on Automatic Speech Recognition and Understanding, ASRU 2001 - Conference Proceedings"</f>
        <v>2001 IEEE Workshop on Automatic Speech Recognition and Understanding, ASRU 2001 - Conference Proceedings</v>
      </c>
      <c r="B690" s="8" t="str">
        <f>"9780780373433"</f>
        <v>9780780373433</v>
      </c>
      <c r="C690" s="8" t="s">
        <v>105</v>
      </c>
    </row>
    <row r="691" spans="1:3" x14ac:dyDescent="0.25">
      <c r="A691" s="8" t="str">
        <f>"2001 IEEE Workshop on High Performance Switching and Routing"</f>
        <v>2001 IEEE Workshop on High Performance Switching and Routing</v>
      </c>
      <c r="B691" s="8" t="str">
        <f>"9780780367111"</f>
        <v>9780780367111</v>
      </c>
      <c r="C691" s="8" t="s">
        <v>105</v>
      </c>
    </row>
    <row r="692" spans="1:3" x14ac:dyDescent="0.25">
      <c r="A692" s="8" t="str">
        <f>"2001 International Conference on Computational Nanoscience - ICCN 2001"</f>
        <v>2001 International Conference on Computational Nanoscience - ICCN 2001</v>
      </c>
      <c r="B692" s="8" t="str">
        <f>"9780970827531"</f>
        <v>9780970827531</v>
      </c>
      <c r="C692" s="8" t="s">
        <v>1330</v>
      </c>
    </row>
    <row r="693" spans="1:3" x14ac:dyDescent="0.25">
      <c r="A693" s="8" t="str">
        <f>"2001 International Conference on Modeling and Simulation of Microsystems - MSM 2001"</f>
        <v>2001 International Conference on Modeling and Simulation of Microsystems - MSM 2001</v>
      </c>
      <c r="B693" s="8" t="str">
        <f>"9780970827500"</f>
        <v>9780970827500</v>
      </c>
      <c r="C693" s="8" t="s">
        <v>1330</v>
      </c>
    </row>
    <row r="694" spans="1:3" x14ac:dyDescent="0.25">
      <c r="A694" s="8" t="str">
        <f>"2001 International Workshop on System-Level Interconnect Prediction (SLIP 2001)"</f>
        <v>2001 International Workshop on System-Level Interconnect Prediction (SLIP 2001)</v>
      </c>
      <c r="B694" s="8" t="str">
        <f>"9781581133158"</f>
        <v>9781581133158</v>
      </c>
      <c r="C694" s="8" t="s">
        <v>21</v>
      </c>
    </row>
    <row r="695" spans="1:3" x14ac:dyDescent="0.25">
      <c r="A695" s="8" t="str">
        <f>"2001 Microelectromechanical Systems Conference, MEMS 2001"</f>
        <v>2001 Microelectromechanical Systems Conference, MEMS 2001</v>
      </c>
      <c r="B695" s="8" t="str">
        <f>"9780780372245"</f>
        <v>9780780372245</v>
      </c>
      <c r="C695" s="8" t="s">
        <v>105</v>
      </c>
    </row>
    <row r="696" spans="1:3" x14ac:dyDescent="0.25">
      <c r="A696" s="8" t="str">
        <f>"2001 Southwest Symposium on Mixed-Signal Design, SSMSD 2001"</f>
        <v>2001 Southwest Symposium on Mixed-Signal Design, SSMSD 2001</v>
      </c>
      <c r="B696" s="8" t="str">
        <f>"9780780367425"</f>
        <v>9780780367425</v>
      </c>
      <c r="C696" s="8" t="s">
        <v>105</v>
      </c>
    </row>
    <row r="697" spans="1:3" x14ac:dyDescent="0.25">
      <c r="A697" s="8" t="str">
        <f>"2001 Topical Meeting on Silicon Monolithic Integrated Circuits in RF Systems,  SiRF 2001"</f>
        <v>2001 Topical Meeting on Silicon Monolithic Integrated Circuits in RF Systems,  SiRF 2001</v>
      </c>
      <c r="B697" s="8" t="str">
        <f>"9780780371293"</f>
        <v>9780780371293</v>
      </c>
      <c r="C697" s="8" t="s">
        <v>105</v>
      </c>
    </row>
    <row r="698" spans="1:3" x14ac:dyDescent="0.25">
      <c r="A698" s="8" t="str">
        <f>"2001/2002 TAPPI Technical Information Papers"</f>
        <v>2001/2002 TAPPI Technical Information Papers</v>
      </c>
      <c r="B698" s="8" t="str">
        <f>"9781930657717"</f>
        <v>9781930657717</v>
      </c>
      <c r="C698" s="8" t="s">
        <v>1099</v>
      </c>
    </row>
    <row r="699" spans="1:3" x14ac:dyDescent="0.25">
      <c r="A699" s="8" t="str">
        <f>"2001/2002 TAPPI Technical Information Papers"</f>
        <v>2001/2002 TAPPI Technical Information Papers</v>
      </c>
      <c r="B699" s="8" t="str">
        <f>"9781930657700"</f>
        <v>9781930657700</v>
      </c>
      <c r="C699" s="8" t="s">
        <v>1099</v>
      </c>
    </row>
    <row r="700" spans="1:3" x14ac:dyDescent="0.25">
      <c r="A700" s="8" t="str">
        <f>"2002 15th Optical Fiber Sensors Conference Technical Digest, OFS 2002"</f>
        <v>2002 15th Optical Fiber Sensors Conference Technical Digest, OFS 2002</v>
      </c>
      <c r="B700" s="8" t="str">
        <f>"9780780372894"</f>
        <v>9780780372894</v>
      </c>
      <c r="C700" s="8" t="s">
        <v>105</v>
      </c>
    </row>
    <row r="701" spans="1:3" x14ac:dyDescent="0.25">
      <c r="A701" s="8" t="s">
        <v>1331</v>
      </c>
      <c r="B701" s="8" t="str">
        <f>"-"</f>
        <v>-</v>
      </c>
    </row>
    <row r="702" spans="1:3" x14ac:dyDescent="0.25">
      <c r="A702" s="8" t="str">
        <f>"2002 32nd European Microwave Conference, EuMC 2002"</f>
        <v>2002 32nd European Microwave Conference, EuMC 2002</v>
      </c>
      <c r="B702" s="8" t="str">
        <f>"-"</f>
        <v>-</v>
      </c>
      <c r="C702" s="8" t="s">
        <v>9</v>
      </c>
    </row>
    <row r="703" spans="1:3" x14ac:dyDescent="0.25">
      <c r="A703" s="8" t="str">
        <f>"2002 4th International Workshop on Mobile and Wireless Communications Network, MWCN 2002"</f>
        <v>2002 4th International Workshop on Mobile and Wireless Communications Network, MWCN 2002</v>
      </c>
      <c r="B703" s="8" t="str">
        <f>"9780780376052"</f>
        <v>9780780376052</v>
      </c>
      <c r="C703" s="8" t="s">
        <v>105</v>
      </c>
    </row>
    <row r="704" spans="1:3" x14ac:dyDescent="0.25">
      <c r="A704" s="8" t="str">
        <f>"2002 6th International Conference on Actual Problems of Electronic Instrument Engineering, APEIE 2002 - Proceedings"</f>
        <v>2002 6th International Conference on Actual Problems of Electronic Instrument Engineering, APEIE 2002 - Proceedings</v>
      </c>
      <c r="B704" s="8" t="str">
        <f>"9780780373617"</f>
        <v>9780780373617</v>
      </c>
      <c r="C704" s="8" t="s">
        <v>105</v>
      </c>
    </row>
    <row r="705" spans="1:3" x14ac:dyDescent="0.25">
      <c r="A705" s="8" t="str">
        <f>"2002 6th Seminar on Neural Network Applications in Electrical Engineering, NEUREL 2002 - Proceedings"</f>
        <v>2002 6th Seminar on Neural Network Applications in Electrical Engineering, NEUREL 2002 - Proceedings</v>
      </c>
      <c r="B705" s="8" t="str">
        <f>"9780780375932"</f>
        <v>9780780375932</v>
      </c>
      <c r="C705" s="8" t="s">
        <v>105</v>
      </c>
    </row>
    <row r="706" spans="1:3" x14ac:dyDescent="0.25">
      <c r="A706" s="8" t="str">
        <f>"2002 ASME Wind Energy Symposium"</f>
        <v>2002 ASME Wind Energy Symposium</v>
      </c>
      <c r="B706" s="8" t="str">
        <f>"-"</f>
        <v>-</v>
      </c>
      <c r="C706" s="8" t="s">
        <v>104</v>
      </c>
    </row>
    <row r="707" spans="1:3" x14ac:dyDescent="0.25">
      <c r="A707" s="8" t="str">
        <f>"2002 Biennial International Powered Lift Conference and Exhibit"</f>
        <v>2002 Biennial International Powered Lift Conference and Exhibit</v>
      </c>
      <c r="B707" s="8" t="str">
        <f>"9781624101090"</f>
        <v>9781624101090</v>
      </c>
      <c r="C707" s="8" t="s">
        <v>104</v>
      </c>
    </row>
    <row r="708" spans="1:3" x14ac:dyDescent="0.25">
      <c r="A708" s="8" t="str">
        <f>"2002 Future Car Congress"</f>
        <v>2002 Future Car Congress</v>
      </c>
      <c r="B708" s="8" t="str">
        <f>"-"</f>
        <v>-</v>
      </c>
      <c r="C708" s="8" t="s">
        <v>1040</v>
      </c>
    </row>
    <row r="709" spans="1:3" x14ac:dyDescent="0.25">
      <c r="A709" s="8" t="str">
        <f>"2002 IEEE Asia-Pacific Conference on ASIC, AP-ASIC 2002 - Proceedings"</f>
        <v>2002 IEEE Asia-Pacific Conference on ASIC, AP-ASIC 2002 - Proceedings</v>
      </c>
      <c r="B709" s="8" t="str">
        <f>"9780780373631"</f>
        <v>9780780373631</v>
      </c>
      <c r="C709" s="8" t="s">
        <v>105</v>
      </c>
    </row>
    <row r="710" spans="1:3" x14ac:dyDescent="0.25">
      <c r="A710" s="8" t="str">
        <f>"2002 IEEE Conference on Ultra Wideband Systems and Technologies, UWBST 2002 - Digest of Papers"</f>
        <v>2002 IEEE Conference on Ultra Wideband Systems and Technologies, UWBST 2002 - Digest of Papers</v>
      </c>
      <c r="B710" s="8" t="str">
        <f>"9780780374966"</f>
        <v>9780780374966</v>
      </c>
      <c r="C710" s="8" t="s">
        <v>9</v>
      </c>
    </row>
    <row r="711" spans="1:3" x14ac:dyDescent="0.25">
      <c r="A711" s="8" t="str">
        <f>"2002 IEEE International Symposium on Computer Aided Control System Design, CACSD 2002 - Proceedings"</f>
        <v>2002 IEEE International Symposium on Computer Aided Control System Design, CACSD 2002 - Proceedings</v>
      </c>
      <c r="B711" s="8" t="str">
        <f>"9780780373884"</f>
        <v>9780780373884</v>
      </c>
      <c r="C711" s="8" t="s">
        <v>105</v>
      </c>
    </row>
    <row r="712" spans="1:3" x14ac:dyDescent="0.25">
      <c r="A712" s="8" t="str">
        <f>"2002 IEEE International Workshop on Workload Characterization, WWC 2002"</f>
        <v>2002 IEEE International Workshop on Workload Characterization, WWC 2002</v>
      </c>
      <c r="B712" s="8" t="str">
        <f>"9780780376816"</f>
        <v>9780780376816</v>
      </c>
      <c r="C712" s="8" t="s">
        <v>105</v>
      </c>
    </row>
    <row r="713" spans="1:3" x14ac:dyDescent="0.25">
      <c r="A713" s="8" t="str">
        <f>"2002 IEEE Open Architectures and Network Programming Proceedings, OPENARCH 2002"</f>
        <v>2002 IEEE Open Architectures and Network Programming Proceedings, OPENARCH 2002</v>
      </c>
      <c r="B713" s="8" t="str">
        <f>"9780780374577"</f>
        <v>9780780374577</v>
      </c>
      <c r="C713" s="8" t="s">
        <v>105</v>
      </c>
    </row>
    <row r="714" spans="1:3" x14ac:dyDescent="0.25">
      <c r="A714" s="8" t="str">
        <f>"2002 IEEE Workshop on IP Operations and Management, IPOM 2002"</f>
        <v>2002 IEEE Workshop on IP Operations and Management, IPOM 2002</v>
      </c>
      <c r="B714" s="8" t="str">
        <f>"9780780376588"</f>
        <v>9780780376588</v>
      </c>
      <c r="C714" s="8" t="s">
        <v>105</v>
      </c>
    </row>
    <row r="715" spans="1:3" x14ac:dyDescent="0.25">
      <c r="A715" s="8" t="str">
        <f>"2002 IEEE/LEOS International Conference on Optical MEMs, OMEMS 2002 - Conference Digest"</f>
        <v>2002 IEEE/LEOS International Conference on Optical MEMs, OMEMS 2002 - Conference Digest</v>
      </c>
      <c r="B715" s="8" t="str">
        <f>"9780780375956"</f>
        <v>9780780375956</v>
      </c>
      <c r="C715" s="8" t="s">
        <v>105</v>
      </c>
    </row>
    <row r="716" spans="1:3" x14ac:dyDescent="0.25">
      <c r="A716" s="8" t="str">
        <f>"2002 International Conference on Computational Nanoscience and Nanotechnology - ICCN 2002"</f>
        <v>2002 International Conference on Computational Nanoscience and Nanotechnology - ICCN 2002</v>
      </c>
      <c r="B716" s="8" t="str">
        <f>"9780970827562"</f>
        <v>9780970827562</v>
      </c>
      <c r="C716" s="8" t="s">
        <v>1330</v>
      </c>
    </row>
    <row r="717" spans="1:3" x14ac:dyDescent="0.25">
      <c r="A717" s="8" t="str">
        <f>"2002 International Conference on Modeling and Simulation of Microsystems - MSM 2002"</f>
        <v>2002 International Conference on Modeling and Simulation of Microsystems - MSM 2002</v>
      </c>
      <c r="B717" s="8" t="str">
        <f>"9780970827579"</f>
        <v>9780970827579</v>
      </c>
      <c r="C717" s="8" t="s">
        <v>1330</v>
      </c>
    </row>
    <row r="718" spans="1:3" x14ac:dyDescent="0.25">
      <c r="A718" s="8" t="str">
        <f>"2002 International Symposium on Optical Memory and Optical Data Storage Topical Meeting, ISOM/ODS 2002 - Joint International Symposium on Optical Memory and Optical Data Storage 2002, Technical Digest"</f>
        <v>2002 International Symposium on Optical Memory and Optical Data Storage Topical Meeting, ISOM/ODS 2002 - Joint International Symposium on Optical Memory and Optical Data Storage 2002, Technical Digest</v>
      </c>
      <c r="B718" s="8" t="str">
        <f>"9780780373792"</f>
        <v>9780780373792</v>
      </c>
      <c r="C718" s="8" t="s">
        <v>105</v>
      </c>
    </row>
    <row r="719" spans="1:3" x14ac:dyDescent="0.25">
      <c r="A719" s="8" t="str">
        <f>"2002 International Zurich Seminar on Broadband Communications Access - Transmission - Networking: Meeting the Challenge of High-Speed Communications, IZS 2002 - Proceedings"</f>
        <v>2002 International Zurich Seminar on Broadband Communications Access - Transmission - Networking: Meeting the Challenge of High-Speed Communications, IZS 2002 - Proceedings</v>
      </c>
      <c r="B719" s="8" t="str">
        <f>"9780780372573"</f>
        <v>9780780372573</v>
      </c>
      <c r="C719" s="8" t="s">
        <v>105</v>
      </c>
    </row>
    <row r="720" spans="1:3" x14ac:dyDescent="0.25">
      <c r="A720" s="8" t="str">
        <f>"2002 Proceedings - 8th International Advanced Packaging Materials Symposium"</f>
        <v>2002 Proceedings - 8th International Advanced Packaging Materials Symposium</v>
      </c>
      <c r="B720" s="8" t="str">
        <f>"9780780374348"</f>
        <v>9780780374348</v>
      </c>
      <c r="C720" s="8" t="s">
        <v>105</v>
      </c>
    </row>
    <row r="721" spans="1:3" x14ac:dyDescent="0.25">
      <c r="A721" s="8" t="str">
        <f>"2002 Student Conference on Research and Development: Globalizing Research and Development in Electrical and Electronics Engineering, SCOReD 2002 - Proceedings"</f>
        <v>2002 Student Conference on Research and Development: Globalizing Research and Development in Electrical and Electronics Engineering, SCOReD 2002 - Proceedings</v>
      </c>
      <c r="B721" s="8" t="str">
        <f>"9780780375659"</f>
        <v>9780780375659</v>
      </c>
      <c r="C721" s="8" t="s">
        <v>105</v>
      </c>
    </row>
    <row r="722" spans="1:3" x14ac:dyDescent="0.25">
      <c r="A722" s="8" t="s">
        <v>1332</v>
      </c>
      <c r="B722" s="8" t="str">
        <f>"9789667968267"</f>
        <v>9789667968267</v>
      </c>
      <c r="C722" s="8" t="s">
        <v>105</v>
      </c>
    </row>
    <row r="723" spans="1:3" x14ac:dyDescent="0.25">
      <c r="A723" s="8" t="str">
        <f>"2003 Asian Conference on Sensors, AsiaSENSE 2003"</f>
        <v>2003 Asian Conference on Sensors, AsiaSENSE 2003</v>
      </c>
      <c r="B723" s="8" t="str">
        <f>"9780780381018"</f>
        <v>9780780381018</v>
      </c>
      <c r="C723" s="8" t="s">
        <v>105</v>
      </c>
    </row>
    <row r="724" spans="1:3" x14ac:dyDescent="0.25">
      <c r="A724" s="8" t="str">
        <f>"2003 Congress on Evolutionary Computation, CEC 2003 - Proceedings"</f>
        <v>2003 Congress on Evolutionary Computation, CEC 2003 - Proceedings</v>
      </c>
      <c r="B724" s="8" t="str">
        <f>"9780780378049"</f>
        <v>9780780378049</v>
      </c>
      <c r="C724" s="8" t="s">
        <v>9</v>
      </c>
    </row>
    <row r="725" spans="1:3" x14ac:dyDescent="0.25">
      <c r="A725" s="8" t="str">
        <f>"2003 European Quantum Electronics Conference, EQEC 2003"</f>
        <v>2003 European Quantum Electronics Conference, EQEC 2003</v>
      </c>
      <c r="B725" s="8" t="str">
        <f>"9780780377332"</f>
        <v>9780780377332</v>
      </c>
      <c r="C725" s="8" t="s">
        <v>105</v>
      </c>
    </row>
    <row r="726" spans="1:3" x14ac:dyDescent="0.25">
      <c r="A726" s="8" t="str">
        <f>"2003 IEEE Bologna PowerTech - Conference Proceedings"</f>
        <v>2003 IEEE Bologna PowerTech - Conference Proceedings</v>
      </c>
      <c r="B726" s="8" t="str">
        <f>"9780780379671"</f>
        <v>9780780379671</v>
      </c>
      <c r="C726" s="8" t="s">
        <v>9</v>
      </c>
    </row>
    <row r="727" spans="1:3" x14ac:dyDescent="0.25">
      <c r="A727" s="8" t="str">
        <f>"2003 IEEE Conference on Electron Devices and Solid-State Circuits, EDSSC 2003"</f>
        <v>2003 IEEE Conference on Electron Devices and Solid-State Circuits, EDSSC 2003</v>
      </c>
      <c r="B727" s="8" t="str">
        <f>"9780780377493"</f>
        <v>9780780377493</v>
      </c>
      <c r="C727" s="8" t="s">
        <v>105</v>
      </c>
    </row>
    <row r="728" spans="1:3" x14ac:dyDescent="0.25">
      <c r="A728" s="8" t="str">
        <f>"2003 IEEE Conference on Open Architectures and Network Programming Proceedings, OPENARCH 2003"</f>
        <v>2003 IEEE Conference on Open Architectures and Network Programming Proceedings, OPENARCH 2003</v>
      </c>
      <c r="B728" s="8" t="str">
        <f>"9780780377646"</f>
        <v>9780780377646</v>
      </c>
      <c r="C728" s="8" t="s">
        <v>105</v>
      </c>
    </row>
    <row r="729" spans="1:3" x14ac:dyDescent="0.25">
      <c r="A729" s="8" t="str">
        <f>"2003 IEEE Conference on Ultra Wideband Systems and Technologies, UWBST 2003 - Conference Proceedings"</f>
        <v>2003 IEEE Conference on Ultra Wideband Systems and Technologies, UWBST 2003 - Conference Proceedings</v>
      </c>
      <c r="B729" s="8" t="str">
        <f>"9780780381872"</f>
        <v>9780780381872</v>
      </c>
      <c r="C729" s="8" t="s">
        <v>9</v>
      </c>
    </row>
    <row r="730" spans="1:3" x14ac:dyDescent="0.25">
      <c r="A730" s="8" t="str">
        <f>"2003 IEEE International Symposium on Intelligent Signal Processing: From Classical Measurement to Computing with Perceptions, WISP 2003 - Proceedings"</f>
        <v>2003 IEEE International Symposium on Intelligent Signal Processing: From Classical Measurement to Computing with Perceptions, WISP 2003 - Proceedings</v>
      </c>
      <c r="B730" s="8" t="str">
        <f>"9780780378643"</f>
        <v>9780780378643</v>
      </c>
      <c r="C730" s="8" t="s">
        <v>105</v>
      </c>
    </row>
    <row r="731" spans="1:3" x14ac:dyDescent="0.25">
      <c r="A731" s="8" t="str">
        <f>"2003 IEEE International Symposium on Performance Analysis of Systems and Software, ISPASS 2003"</f>
        <v>2003 IEEE International Symposium on Performance Analysis of Systems and Software, ISPASS 2003</v>
      </c>
      <c r="B731" s="8" t="str">
        <f>"9780780377561"</f>
        <v>9780780377561</v>
      </c>
      <c r="C731" s="8" t="s">
        <v>105</v>
      </c>
    </row>
    <row r="732" spans="1:3" x14ac:dyDescent="0.25">
      <c r="A732" s="8" t="str">
        <f>"2003 IEEE Power Engineering Society General Meeting, Conference Proceedings"</f>
        <v>2003 IEEE Power Engineering Society General Meeting, Conference Proceedings</v>
      </c>
      <c r="B732" s="8" t="str">
        <f>"9780780379893"</f>
        <v>9780780379893</v>
      </c>
      <c r="C732" s="8" t="s">
        <v>105</v>
      </c>
    </row>
    <row r="733" spans="1:3" x14ac:dyDescent="0.25">
      <c r="A733" s="8" t="str">
        <f>"2003 IEEE Swarm Intelligence Symposium, SIS 2003 - Proceedings"</f>
        <v>2003 IEEE Swarm Intelligence Symposium, SIS 2003 - Proceedings</v>
      </c>
      <c r="B733" s="8" t="str">
        <f>"9780780379145"</f>
        <v>9780780379145</v>
      </c>
      <c r="C733" s="8" t="s">
        <v>105</v>
      </c>
    </row>
    <row r="734" spans="1:3" x14ac:dyDescent="0.25">
      <c r="A734" s="8" t="str">
        <f>"2003 IEEE Workshop on Advances in Techniques for Analysis of Remotely Sensed Data"</f>
        <v>2003 IEEE Workshop on Advances in Techniques for Analysis of Remotely Sensed Data</v>
      </c>
      <c r="B734" s="8" t="str">
        <f>"9780780383500"</f>
        <v>9780780383500</v>
      </c>
      <c r="C734" s="8" t="s">
        <v>105</v>
      </c>
    </row>
    <row r="735" spans="1:3" x14ac:dyDescent="0.25">
      <c r="A735" s="8" t="str">
        <f>"2003 IEEE/LEOS International Conference on Optical MEMS"</f>
        <v>2003 IEEE/LEOS International Conference on Optical MEMS</v>
      </c>
      <c r="B735" s="8" t="str">
        <f>"9780780378308"</f>
        <v>9780780378308</v>
      </c>
      <c r="C735" s="8" t="s">
        <v>105</v>
      </c>
    </row>
    <row r="736" spans="1:3" x14ac:dyDescent="0.25">
      <c r="A736" s="8" t="str">
        <f>"2003 International Conference Physics and Control, PhysCon 2003 - Proceedings"</f>
        <v>2003 International Conference Physics and Control, PhysCon 2003 - Proceedings</v>
      </c>
      <c r="B736" s="8" t="str">
        <f>"-"</f>
        <v>-</v>
      </c>
      <c r="C736" s="8" t="s">
        <v>105</v>
      </c>
    </row>
    <row r="737" spans="1:3" x14ac:dyDescent="0.25">
      <c r="A737" s="8" t="str">
        <f>"2003 International Congress on Advances in Nuclear Power Plants - Proceedings of ICAPP 2003"</f>
        <v>2003 International Congress on Advances in Nuclear Power Plants - Proceedings of ICAPP 2003</v>
      </c>
      <c r="B737" s="8" t="str">
        <f>"-"</f>
        <v>-</v>
      </c>
      <c r="C737" s="8" t="s">
        <v>453</v>
      </c>
    </row>
    <row r="738" spans="1:3" x14ac:dyDescent="0.25">
      <c r="A738" s="8" t="str">
        <f>"2003 International Mechanical Pulping Conference"</f>
        <v>2003 International Mechanical Pulping Conference</v>
      </c>
      <c r="B738" s="8" t="str">
        <f>"9781896742861"</f>
        <v>9781896742861</v>
      </c>
      <c r="C738" s="8" t="s">
        <v>131</v>
      </c>
    </row>
    <row r="739" spans="1:3" x14ac:dyDescent="0.25">
      <c r="A739" s="8" t="str">
        <f>"2003 International Symposium on System-on-Chip, SoC 2003 - Proceedings"</f>
        <v>2003 International Symposium on System-on-Chip, SoC 2003 - Proceedings</v>
      </c>
      <c r="B739" s="8" t="str">
        <f>"9780780381605"</f>
        <v>9780780381605</v>
      </c>
      <c r="C739" s="8" t="s">
        <v>9</v>
      </c>
    </row>
    <row r="740" spans="1:3" x14ac:dyDescent="0.25">
      <c r="A740" s="8" t="str">
        <f>"2003 International Symposium on Technology and Society: Crime Prevention, Security and Design, ISTAS/CPTED 2003 - Proceedings"</f>
        <v>2003 International Symposium on Technology and Society: Crime Prevention, Security and Design, ISTAS/CPTED 2003 - Proceedings</v>
      </c>
      <c r="B740" s="8" t="str">
        <f>"9780780383173"</f>
        <v>9780780383173</v>
      </c>
      <c r="C740" s="8" t="s">
        <v>9</v>
      </c>
    </row>
    <row r="741" spans="1:3" x14ac:dyDescent="0.25">
      <c r="A741" s="8" t="str">
        <f>"2003 Nanotechnology Conference and Trade Show - Nanotech 2003"</f>
        <v>2003 Nanotechnology Conference and Trade Show - Nanotech 2003</v>
      </c>
      <c r="B741" s="8" t="str">
        <f>"9780972842204"</f>
        <v>9780972842204</v>
      </c>
      <c r="C741" s="8" t="s">
        <v>1330</v>
      </c>
    </row>
    <row r="742" spans="1:3" x14ac:dyDescent="0.25">
      <c r="A742" s="8" t="str">
        <f>"2003 Proceedings of the International Conference on Radar, RADAR 2003"</f>
        <v>2003 Proceedings of the International Conference on Radar, RADAR 2003</v>
      </c>
      <c r="B742" s="8" t="str">
        <f>"9780780378704"</f>
        <v>9780780378704</v>
      </c>
      <c r="C742" s="8" t="s">
        <v>105</v>
      </c>
    </row>
    <row r="743" spans="1:3" x14ac:dyDescent="0.25">
      <c r="A743" s="8" t="str">
        <f>"2003 RCRA National Meeting: Putting Resource Conservation into RCRA"</f>
        <v>2003 RCRA National Meeting: Putting Resource Conservation into RCRA</v>
      </c>
      <c r="B743" s="8" t="str">
        <f>"9780923204594"</f>
        <v>9780923204594</v>
      </c>
      <c r="C743" s="8" t="s">
        <v>10</v>
      </c>
    </row>
    <row r="744" spans="1:3" x14ac:dyDescent="0.25">
      <c r="A744" s="8" t="str">
        <f>"2003 SAE International Truck and Bus Meeting and Exhibition"</f>
        <v>2003 SAE International Truck and Bus Meeting and Exhibition</v>
      </c>
      <c r="B744" s="8" t="str">
        <f>"-"</f>
        <v>-</v>
      </c>
      <c r="C744" s="8" t="s">
        <v>1040</v>
      </c>
    </row>
    <row r="745" spans="1:3" x14ac:dyDescent="0.25">
      <c r="A745" s="8" t="str">
        <f>"2003 Southwest Symposium on Mixed-Signal Design, SSMSD 2003"</f>
        <v>2003 Southwest Symposium on Mixed-Signal Design, SSMSD 2003</v>
      </c>
      <c r="B745" s="8" t="str">
        <f>"9780780377783"</f>
        <v>9780780377783</v>
      </c>
      <c r="C745" s="8" t="s">
        <v>105</v>
      </c>
    </row>
    <row r="746" spans="1:3" x14ac:dyDescent="0.25">
      <c r="A746" s="8" t="str">
        <f>"2003 Topical Meeting on Silicon Monolithic Integrated Circuits in RF Systems - Digest of Papers"</f>
        <v>2003 Topical Meeting on Silicon Monolithic Integrated Circuits in RF Systems - Digest of Papers</v>
      </c>
      <c r="B746" s="8" t="str">
        <f>"9780780377875"</f>
        <v>9780780377875</v>
      </c>
      <c r="C746" s="8" t="s">
        <v>105</v>
      </c>
    </row>
    <row r="747" spans="1:3" x14ac:dyDescent="0.25">
      <c r="A747" s="8" t="str">
        <f>"2004 10th International Workshop on Computational Electronics, IEEE IWCE-10 2004, Abstracts"</f>
        <v>2004 10th International Workshop on Computational Electronics, IEEE IWCE-10 2004, Abstracts</v>
      </c>
      <c r="B747" s="8" t="str">
        <f>"9780780386495"</f>
        <v>9780780386495</v>
      </c>
      <c r="C747" s="8" t="s">
        <v>105</v>
      </c>
    </row>
    <row r="748" spans="1:3" x14ac:dyDescent="0.25">
      <c r="A748" s="8" t="str">
        <f>"2004 11th International Conference on Harmonics and Quality of Power"</f>
        <v>2004 11th International Conference on Harmonics and Quality of Power</v>
      </c>
      <c r="B748" s="8" t="str">
        <f>"9780780387461"</f>
        <v>9780780387461</v>
      </c>
      <c r="C748" s="8" t="s">
        <v>105</v>
      </c>
    </row>
    <row r="749" spans="1:3" x14ac:dyDescent="0.25">
      <c r="A749" s="8" t="str">
        <f>"2004 12th Symposium on Electromagnetic Launch Technology"</f>
        <v>2004 12th Symposium on Electromagnetic Launch Technology</v>
      </c>
      <c r="B749" s="8" t="str">
        <f>"9780780382909"</f>
        <v>9780780382909</v>
      </c>
      <c r="C749" s="8" t="s">
        <v>9</v>
      </c>
    </row>
    <row r="750" spans="1:3" x14ac:dyDescent="0.25">
      <c r="A750" s="8" t="str">
        <f>"2004 1st IEEE International Conference on Group IV Photonics"</f>
        <v>2004 1st IEEE International Conference on Group IV Photonics</v>
      </c>
      <c r="B750" s="8" t="str">
        <f>"9780780384743"</f>
        <v>9780780384743</v>
      </c>
      <c r="C750" s="8" t="s">
        <v>105</v>
      </c>
    </row>
    <row r="751" spans="1:3" x14ac:dyDescent="0.25">
      <c r="A751" s="8" t="str">
        <f>"2004 1st IEEE Lightwave Technologies in Instrumentation and Measurement Conference"</f>
        <v>2004 1st IEEE Lightwave Technologies in Instrumentation and Measurement Conference</v>
      </c>
      <c r="B751" s="8" t="str">
        <f>"9780780387225"</f>
        <v>9780780387225</v>
      </c>
      <c r="C751" s="8" t="s">
        <v>105</v>
      </c>
    </row>
    <row r="752" spans="1:3" x14ac:dyDescent="0.25">
      <c r="A752" s="8" t="str">
        <f>"2004 1st IEEE Technical Exhibition Based Conference on Robotics and Automation, Proceedings, TExCRA 2004"</f>
        <v>2004 1st IEEE Technical Exhibition Based Conference on Robotics and Automation, Proceedings, TExCRA 2004</v>
      </c>
      <c r="B752" s="8" t="str">
        <f>"9780780385641"</f>
        <v>9780780385641</v>
      </c>
      <c r="C752" s="8" t="s">
        <v>105</v>
      </c>
    </row>
    <row r="753" spans="1:3" x14ac:dyDescent="0.25">
      <c r="A753" s="8" t="str">
        <f>"2004 1st International Conference on Electrical and Electronics Engineering, ICEEE"</f>
        <v>2004 1st International Conference on Electrical and Electronics Engineering, ICEEE</v>
      </c>
      <c r="B753" s="8" t="str">
        <f>"9780780385313"</f>
        <v>9780780385313</v>
      </c>
      <c r="C753" s="8" t="s">
        <v>105</v>
      </c>
    </row>
    <row r="754" spans="1:3" x14ac:dyDescent="0.25">
      <c r="A754" s="8" t="str">
        <f>"2004 1st International Conference on Power Electronics Systems and Applications Proceedings"</f>
        <v>2004 1st International Conference on Power Electronics Systems and Applications Proceedings</v>
      </c>
      <c r="B754" s="8" t="str">
        <f>"9789623674348"</f>
        <v>9789623674348</v>
      </c>
      <c r="C754" s="8" t="s">
        <v>1333</v>
      </c>
    </row>
    <row r="755" spans="1:3" x14ac:dyDescent="0.25">
      <c r="A755" s="8" t="str">
        <f>"2004 2nd IEEE International Symposium on Biomedical Imaging: Macro to Nano"</f>
        <v>2004 2nd IEEE International Symposium on Biomedical Imaging: Macro to Nano</v>
      </c>
      <c r="B755" s="8" t="str">
        <f>"9780780383883"</f>
        <v>9780780383883</v>
      </c>
      <c r="C755" s="8" t="s">
        <v>105</v>
      </c>
    </row>
    <row r="756" spans="1:3" x14ac:dyDescent="0.25">
      <c r="A756" s="8" t="str">
        <f>"2004 2nd IEEE/EMBS International Summer School on Medical Devices and Biosensors, ISSS-MDBS 2004"</f>
        <v>2004 2nd IEEE/EMBS International Summer School on Medical Devices and Biosensors, ISSS-MDBS 2004</v>
      </c>
      <c r="B756" s="8" t="str">
        <f>"9780780386129"</f>
        <v>9780780386129</v>
      </c>
      <c r="C756" s="8" t="s">
        <v>9</v>
      </c>
    </row>
    <row r="757" spans="1:3" x14ac:dyDescent="0.25">
      <c r="A757" s="8" t="str">
        <f>"2004 2nd International IEEE Conference 'Intelligent Systems' - Proceedings"</f>
        <v>2004 2nd International IEEE Conference 'Intelligent Systems' - Proceedings</v>
      </c>
      <c r="B757" s="8" t="str">
        <f>"9780780382787"</f>
        <v>9780780382787</v>
      </c>
      <c r="C757" s="8" t="s">
        <v>105</v>
      </c>
    </row>
    <row r="758" spans="1:3" x14ac:dyDescent="0.25">
      <c r="A758" s="8" t="str">
        <f>"2004 4th IEEE Conference on Nanotechnology"</f>
        <v>2004 4th IEEE Conference on Nanotechnology</v>
      </c>
      <c r="B758" s="8" t="str">
        <f>"9780780385368"</f>
        <v>9780780385368</v>
      </c>
      <c r="C758" s="8" t="s">
        <v>105</v>
      </c>
    </row>
    <row r="759" spans="1:3" x14ac:dyDescent="0.25">
      <c r="A759" s="8" t="str">
        <f>"2004 4th IEEE International Conference on Polymers and Adhesives in Microelectronics and Photonics"</f>
        <v>2004 4th IEEE International Conference on Polymers and Adhesives in Microelectronics and Photonics</v>
      </c>
      <c r="B759" s="8" t="str">
        <f>"9780780387447"</f>
        <v>9780780387447</v>
      </c>
      <c r="C759" s="8" t="s">
        <v>105</v>
      </c>
    </row>
    <row r="760" spans="1:3" x14ac:dyDescent="0.25">
      <c r="A760" s="8" t="str">
        <f>"2004 4th IEEE-RAS International Conference on Humanoid Robots"</f>
        <v>2004 4th IEEE-RAS International Conference on Humanoid Robots</v>
      </c>
      <c r="B760" s="8" t="str">
        <f>"9780780388635"</f>
        <v>9780780388635</v>
      </c>
      <c r="C760" s="8" t="s">
        <v>105</v>
      </c>
    </row>
    <row r="761" spans="1:3" x14ac:dyDescent="0.25">
      <c r="A761" s="8" t="str">
        <f>"2004 4th International Conference on Microwave and Millimeter Wave Technology, ICMMT 2004"</f>
        <v>2004 4th International Conference on Microwave and Millimeter Wave Technology, ICMMT 2004</v>
      </c>
      <c r="B761" s="8" t="str">
        <f>"9780780384019"</f>
        <v>9780780384019</v>
      </c>
      <c r="C761" s="8" t="s">
        <v>9</v>
      </c>
    </row>
    <row r="762" spans="1:3" x14ac:dyDescent="0.25">
      <c r="A762" s="8" t="str">
        <f>"2004 4th International Crimean Conference: Microwave and Telecommunication Technology - Conference Proceedings, CriMiCo'04"</f>
        <v>2004 4th International Crimean Conference: Microwave and Telecommunication Technology - Conference Proceedings, CriMiCo'04</v>
      </c>
      <c r="B762" s="8" t="str">
        <f>"9789667968694"</f>
        <v>9789667968694</v>
      </c>
      <c r="C762" s="8" t="s">
        <v>105</v>
      </c>
    </row>
    <row r="763" spans="1:3" x14ac:dyDescent="0.25">
      <c r="A763" s="8" t="str">
        <f>"2004 4th Workshop on Applications and Services in Wireless Networks, ASWN"</f>
        <v>2004 4th Workshop on Applications and Services in Wireless Networks, ASWN</v>
      </c>
      <c r="B763" s="8" t="str">
        <f>"9780780389601"</f>
        <v>9780780389601</v>
      </c>
      <c r="C763" s="8" t="s">
        <v>105</v>
      </c>
    </row>
    <row r="764" spans="1:3" x14ac:dyDescent="0.25">
      <c r="A764" s="8" t="str">
        <f>"2004 5th Asian Control Conference"</f>
        <v>2004 5th Asian Control Conference</v>
      </c>
      <c r="B764" s="8" t="str">
        <f>"9780780388734"</f>
        <v>9780780388734</v>
      </c>
      <c r="C764" s="8" t="s">
        <v>105</v>
      </c>
    </row>
    <row r="765" spans="1:3" x14ac:dyDescent="0.25">
      <c r="A765" s="8" t="str">
        <f>"2004 7th International Conference on Actual Problems of Electronic Instrument Engineering Proceedings, APEIE 2004"</f>
        <v>2004 7th International Conference on Actual Problems of Electronic Instrument Engineering Proceedings, APEIE 2004</v>
      </c>
      <c r="B765" s="8" t="str">
        <f>"9780780384767"</f>
        <v>9780780384767</v>
      </c>
      <c r="C765" s="8" t="s">
        <v>105</v>
      </c>
    </row>
    <row r="766" spans="1:3" x14ac:dyDescent="0.25">
      <c r="A766" s="8" t="str">
        <f>"2004 7th International Conference on Signal Processing Proceedings, ICSP"</f>
        <v>2004 7th International Conference on Signal Processing Proceedings, ICSP</v>
      </c>
      <c r="B766" s="8" t="str">
        <f>"9780780384071"</f>
        <v>9780780384071</v>
      </c>
      <c r="C766" s="8" t="s">
        <v>105</v>
      </c>
    </row>
    <row r="767" spans="1:3" x14ac:dyDescent="0.25">
      <c r="A767" s="8" t="str">
        <f>"2004 8th International Conference on Control, Automation, Robotics and Vision (ICARCV)"</f>
        <v>2004 8th International Conference on Control, Automation, Robotics and Vision (ICARCV)</v>
      </c>
      <c r="B767" s="8" t="str">
        <f>"9780780386532"</f>
        <v>9780780386532</v>
      </c>
      <c r="C767" s="8" t="s">
        <v>105</v>
      </c>
    </row>
    <row r="768" spans="1:3" x14ac:dyDescent="0.25">
      <c r="A768" s="8" t="str">
        <f>"2004 9th IEEE Singapore International Conference on Communication Systems, ICCS"</f>
        <v>2004 9th IEEE Singapore International Conference on Communication Systems, ICCS</v>
      </c>
      <c r="B768" s="8" t="str">
        <f>"9780780385498"</f>
        <v>9780780385498</v>
      </c>
      <c r="C768" s="8" t="s">
        <v>105</v>
      </c>
    </row>
    <row r="769" spans="1:3" x14ac:dyDescent="0.25">
      <c r="A769" s="8" t="str">
        <f>"2004 AIChE Spring National Meeting, Conference Proceedings"</f>
        <v>2004 AIChE Spring National Meeting, Conference Proceedings</v>
      </c>
      <c r="B769" s="8" t="str">
        <f>"9780816909421"</f>
        <v>9780816909421</v>
      </c>
      <c r="C769" s="8" t="s">
        <v>106</v>
      </c>
    </row>
    <row r="770" spans="1:3" x14ac:dyDescent="0.25">
      <c r="A770" s="8" t="str">
        <f>"2004 Annual Meeting - Technical and Symposium Papers, American Society of Heating, Refrigerating and Air-Conditioning Engineers"</f>
        <v>2004 Annual Meeting - Technical and Symposium Papers, American Society of Heating, Refrigerating and Air-Conditioning Engineers</v>
      </c>
      <c r="B770" s="8" t="str">
        <f>"-"</f>
        <v>-</v>
      </c>
      <c r="C770" s="8" t="s">
        <v>155</v>
      </c>
    </row>
    <row r="771" spans="1:3" x14ac:dyDescent="0.25">
      <c r="A771" s="8" t="str">
        <f>"2004 Asia-Pacific Radio Science Conference - Proceedings"</f>
        <v>2004 Asia-Pacific Radio Science Conference - Proceedings</v>
      </c>
      <c r="B771" s="8" t="str">
        <f>"9780780384040"</f>
        <v>9780780384040</v>
      </c>
      <c r="C771" s="8" t="s">
        <v>105</v>
      </c>
    </row>
    <row r="772" spans="1:3" x14ac:dyDescent="0.25">
      <c r="A772" s="8" t="str">
        <f>"2004 China Green High-Tech Fine Chemical Industry Forum - Theme: Promoting the Integration of Technology into Economy"</f>
        <v>2004 China Green High-Tech Fine Chemical Industry Forum - Theme: Promoting the Integration of Technology into Economy</v>
      </c>
      <c r="B772" s="8" t="str">
        <f>"-"</f>
        <v>-</v>
      </c>
    </row>
    <row r="773" spans="1:3" x14ac:dyDescent="0.25">
      <c r="A773" s="8" t="str">
        <f>"2004 China Green High-Tech Fine Chemical Industry Forum - Theme: Promoting the Integration of Technology into Economy"</f>
        <v>2004 China Green High-Tech Fine Chemical Industry Forum - Theme: Promoting the Integration of Technology into Economy</v>
      </c>
      <c r="B773" s="8" t="str">
        <f>"-"</f>
        <v>-</v>
      </c>
    </row>
    <row r="774" spans="1:3" x14ac:dyDescent="0.25">
      <c r="A774" s="8" t="str">
        <f>"2004 Computing Frontiers Conference"</f>
        <v>2004 Computing Frontiers Conference</v>
      </c>
      <c r="B774" s="8" t="str">
        <f>"9781581137415"</f>
        <v>9781581137415</v>
      </c>
      <c r="C774" s="8" t="s">
        <v>21</v>
      </c>
    </row>
    <row r="775" spans="1:3" x14ac:dyDescent="0.25">
      <c r="A775" s="8" t="str">
        <f>"2004 First Annual IEEE Communications Society Conference on Sensor and Ad Hoc Communications and Networks, IEEE SECON 2004"</f>
        <v>2004 First Annual IEEE Communications Society Conference on Sensor and Ad Hoc Communications and Networks, IEEE SECON 2004</v>
      </c>
      <c r="B775" s="8" t="str">
        <f>"9780780387966"</f>
        <v>9780780387966</v>
      </c>
      <c r="C775" s="8" t="s">
        <v>105</v>
      </c>
    </row>
    <row r="776" spans="1:3" x14ac:dyDescent="0.25">
      <c r="A776" s="8" t="str">
        <f>"2004 IEEE 11th Digital Signal Processing Workshop and 2nd IEEE Signal Processing Education Workshop"</f>
        <v>2004 IEEE 11th Digital Signal Processing Workshop and 2nd IEEE Signal Processing Education Workshop</v>
      </c>
      <c r="B776" s="8" t="str">
        <f>"9780780384347"</f>
        <v>9780780384347</v>
      </c>
      <c r="C776" s="8" t="s">
        <v>105</v>
      </c>
    </row>
    <row r="777" spans="1:3" x14ac:dyDescent="0.25">
      <c r="A777" s="8" t="str">
        <f>"2004 IEEE 1st Symposium on Multi-Agent Security and Survivability"</f>
        <v>2004 IEEE 1st Symposium on Multi-Agent Security and Survivability</v>
      </c>
      <c r="B777" s="8" t="str">
        <f>"9780780387997"</f>
        <v>9780780387997</v>
      </c>
      <c r="C777" s="8" t="s">
        <v>105</v>
      </c>
    </row>
    <row r="778" spans="1:3" x14ac:dyDescent="0.25">
      <c r="A778" s="8" t="str">
        <f>"2004 IEEE 6th Workshop on Multimedia Signal Processing"</f>
        <v>2004 IEEE 6th Workshop on Multimedia Signal Processing</v>
      </c>
      <c r="B778" s="8" t="str">
        <f>"9780780385788"</f>
        <v>9780780385788</v>
      </c>
      <c r="C778" s="8" t="s">
        <v>105</v>
      </c>
    </row>
    <row r="779" spans="1:3" x14ac:dyDescent="0.25">
      <c r="A779" s="8" t="str">
        <f>"2004 IEEE Conference on Cybernetics and Intelligent Systems"</f>
        <v>2004 IEEE Conference on Cybernetics and Intelligent Systems</v>
      </c>
      <c r="B779" s="8" t="str">
        <f>"9780780386440"</f>
        <v>9780780386440</v>
      </c>
      <c r="C779" s="8" t="s">
        <v>105</v>
      </c>
    </row>
    <row r="780" spans="1:3" x14ac:dyDescent="0.25">
      <c r="A780" s="8" t="str">
        <f>"2004 IEEE Conference on Robotics, Automation and Mechatronics"</f>
        <v>2004 IEEE Conference on Robotics, Automation and Mechatronics</v>
      </c>
      <c r="B780" s="8" t="str">
        <f>"9780780386464"</f>
        <v>9780780386464</v>
      </c>
      <c r="C780" s="8" t="s">
        <v>105</v>
      </c>
    </row>
    <row r="781" spans="1:3" x14ac:dyDescent="0.25">
      <c r="A781" s="8" t="str">
        <f>"2004 IEEE Conference on Robotics, Automation and Mechatronics"</f>
        <v>2004 IEEE Conference on Robotics, Automation and Mechatronics</v>
      </c>
      <c r="B781" s="8" t="str">
        <f>"9780780386457"</f>
        <v>9780780386457</v>
      </c>
      <c r="C781" s="8" t="s">
        <v>105</v>
      </c>
    </row>
    <row r="782" spans="1:3" x14ac:dyDescent="0.25">
      <c r="A782" s="8" t="str">
        <f>"2004 IEEE Electro/Information Technology Conference, EIT 2004"</f>
        <v>2004 IEEE Electro/Information Technology Conference, EIT 2004</v>
      </c>
      <c r="B782" s="8" t="str">
        <f>"9780780387508"</f>
        <v>9780780387508</v>
      </c>
      <c r="C782" s="8" t="s">
        <v>9</v>
      </c>
    </row>
    <row r="783" spans="1:3" x14ac:dyDescent="0.25">
      <c r="A783" s="8" t="str">
        <f>"2004 IEEE Information Theory Workshop - Proceedings, ITW"</f>
        <v>2004 IEEE Information Theory Workshop - Proceedings, ITW</v>
      </c>
      <c r="B783" s="8" t="str">
        <f>"9780780387201"</f>
        <v>9780780387201</v>
      </c>
      <c r="C783" s="8" t="s">
        <v>105</v>
      </c>
    </row>
    <row r="784" spans="1:3" x14ac:dyDescent="0.25">
      <c r="A784" s="8" t="str">
        <f>"2004 IEEE International Conference on Computational Intelligence for Measurements Systems and Applications, CIMSA"</f>
        <v>2004 IEEE International Conference on Computational Intelligence for Measurements Systems and Applications, CIMSA</v>
      </c>
      <c r="B784" s="8" t="str">
        <f>"9780780383418"</f>
        <v>9780780383418</v>
      </c>
      <c r="C784" s="8" t="s">
        <v>105</v>
      </c>
    </row>
    <row r="785" spans="1:3" x14ac:dyDescent="0.25">
      <c r="A785" s="8" t="str">
        <f>"2004 IEEE International Conference on Mobile Ad-Hoc and Sensor Systems"</f>
        <v>2004 IEEE International Conference on Mobile Ad-Hoc and Sensor Systems</v>
      </c>
      <c r="B785" s="8" t="str">
        <f>"9780780388154"</f>
        <v>9780780388154</v>
      </c>
      <c r="C785" s="8" t="s">
        <v>105</v>
      </c>
    </row>
    <row r="786" spans="1:3" x14ac:dyDescent="0.25">
      <c r="A786" s="8" t="str">
        <f>"2004 IEEE International Conference on Multimedia and Expo (ICME)"</f>
        <v>2004 IEEE International Conference on Multimedia and Expo (ICME)</v>
      </c>
      <c r="B786" s="8" t="str">
        <f>"9780780386037"</f>
        <v>9780780386037</v>
      </c>
      <c r="C786" s="8" t="s">
        <v>105</v>
      </c>
    </row>
    <row r="787" spans="1:3" x14ac:dyDescent="0.25">
      <c r="A787" s="8" t="str">
        <f>"2004 IEEE International Symposium on Cluster Computing and the Grid, CCGrid 2004"</f>
        <v>2004 IEEE International Symposium on Cluster Computing and the Grid, CCGrid 2004</v>
      </c>
      <c r="B787" s="8" t="str">
        <f>"9780780384309"</f>
        <v>9780780384309</v>
      </c>
      <c r="C787" s="8" t="s">
        <v>105</v>
      </c>
    </row>
    <row r="788" spans="1:3" x14ac:dyDescent="0.25">
      <c r="A788" s="8" t="str">
        <f>"2004 IEEE International Symposium on Consumer Electronics - Proceedings"</f>
        <v>2004 IEEE International Symposium on Consumer Electronics - Proceedings</v>
      </c>
      <c r="B788" s="8" t="str">
        <f>"9780780385276"</f>
        <v>9780780385276</v>
      </c>
      <c r="C788" s="8" t="s">
        <v>105</v>
      </c>
    </row>
    <row r="789" spans="1:3" x14ac:dyDescent="0.25">
      <c r="A789" s="8" t="str">
        <f>"2004 IEEE International Symposium on Performance Analysis of Systems and Software"</f>
        <v>2004 IEEE International Symposium on Performance Analysis of Systems and Software</v>
      </c>
      <c r="B789" s="8" t="str">
        <f>"9780780383852"</f>
        <v>9780780383852</v>
      </c>
      <c r="C789" s="8" t="s">
        <v>9</v>
      </c>
    </row>
    <row r="790" spans="1:3" x14ac:dyDescent="0.25">
      <c r="A790" s="8" t="str">
        <f>"2004 IEEE International Workshop on Biomedical Circuits and Systems"</f>
        <v>2004 IEEE International Workshop on Biomedical Circuits and Systems</v>
      </c>
      <c r="B790" s="8" t="str">
        <f>"9780780386655"</f>
        <v>9780780386655</v>
      </c>
      <c r="C790" s="8" t="s">
        <v>9</v>
      </c>
    </row>
    <row r="791" spans="1:3" x14ac:dyDescent="0.25">
      <c r="A791" s="8" t="str">
        <f>"2004 IEEE International Workshop on Imaging Systems and Techniques, IST"</f>
        <v>2004 IEEE International Workshop on Imaging Systems and Techniques, IST</v>
      </c>
      <c r="B791" s="8" t="str">
        <f>"9780780385917"</f>
        <v>9780780385917</v>
      </c>
      <c r="C791" s="8" t="s">
        <v>105</v>
      </c>
    </row>
    <row r="792" spans="1:3" x14ac:dyDescent="0.25">
      <c r="A792" s="8" t="str">
        <f>"2004 IEEE PES Power Systems Conference and Exposition"</f>
        <v>2004 IEEE PES Power Systems Conference and Exposition</v>
      </c>
      <c r="B792" s="8" t="str">
        <f>"9780780387188"</f>
        <v>9780780387188</v>
      </c>
      <c r="C792" s="8" t="s">
        <v>105</v>
      </c>
    </row>
    <row r="793" spans="1:3" x14ac:dyDescent="0.25">
      <c r="A793" s="8" t="str">
        <f>"2004 IEEE Power Engineering Society General Meeting"</f>
        <v>2004 IEEE Power Engineering Society General Meeting</v>
      </c>
      <c r="B793" s="8" t="str">
        <f>"9780780384651"</f>
        <v>9780780384651</v>
      </c>
      <c r="C793" s="8" t="s">
        <v>105</v>
      </c>
    </row>
    <row r="794" spans="1:3" x14ac:dyDescent="0.25">
      <c r="A794" s="8" t="str">
        <f>"2004 IEEE Symposium on Virtual Environments, Human-Computer Interfaces and Measurement Systems, VECIMS"</f>
        <v>2004 IEEE Symposium on Virtual Environments, Human-Computer Interfaces and Measurement Systems, VECIMS</v>
      </c>
      <c r="B794" s="8" t="str">
        <f>"9780780383395"</f>
        <v>9780780383395</v>
      </c>
      <c r="C794" s="8" t="s">
        <v>105</v>
      </c>
    </row>
    <row r="795" spans="1:3" x14ac:dyDescent="0.25">
      <c r="A795" s="8" t="str">
        <f>"2004 IEEE Systems and Information Engineering Design Symposium"</f>
        <v>2004 IEEE Systems and Information Engineering Design Symposium</v>
      </c>
      <c r="B795" s="8" t="str">
        <f>"9780974455921"</f>
        <v>9780974455921</v>
      </c>
      <c r="C795" s="8" t="s">
        <v>502</v>
      </c>
    </row>
    <row r="796" spans="1:3" x14ac:dyDescent="0.25">
      <c r="A796" s="8" t="str">
        <f>"2004 IEEE Wireless Communications and Networking Conference, WCNC 2004"</f>
        <v>2004 IEEE Wireless Communications and Networking Conference, WCNC 2004</v>
      </c>
      <c r="B796" s="8" t="str">
        <f>"9780780383449"</f>
        <v>9780780383449</v>
      </c>
      <c r="C796" s="8" t="s">
        <v>105</v>
      </c>
    </row>
    <row r="797" spans="1:3" x14ac:dyDescent="0.25">
      <c r="A797" s="8" t="str">
        <f>"2004 IEEE Workshop on IP Operations and Management Proceedings, IPOM 2004: Self-Measurement and Self-Management of IP Networks and Services"</f>
        <v>2004 IEEE Workshop on IP Operations and Management Proceedings, IPOM 2004: Self-Measurement and Self-Management of IP Networks and Services</v>
      </c>
      <c r="B797" s="8" t="str">
        <f>"9780780388369"</f>
        <v>9780780388369</v>
      </c>
      <c r="C797" s="8" t="s">
        <v>9</v>
      </c>
    </row>
    <row r="798" spans="1:3" x14ac:dyDescent="0.25">
      <c r="A798" s="8" t="str">
        <f>"2004 IEEE/LEOS - Workshop on Advanced Modulation Formats"</f>
        <v>2004 IEEE/LEOS - Workshop on Advanced Modulation Formats</v>
      </c>
      <c r="B798" s="8" t="str">
        <f>"9780780384255"</f>
        <v>9780780384255</v>
      </c>
      <c r="C798" s="8" t="s">
        <v>105</v>
      </c>
    </row>
    <row r="799" spans="1:3" x14ac:dyDescent="0.25">
      <c r="A799" s="8" t="str">
        <f>"2004 IEEE/OES Autonomous Underwater Vehicles"</f>
        <v>2004 IEEE/OES Autonomous Underwater Vehicles</v>
      </c>
      <c r="B799" s="8" t="str">
        <f>"9780780385436"</f>
        <v>9780780385436</v>
      </c>
      <c r="C799" s="8" t="s">
        <v>105</v>
      </c>
    </row>
    <row r="800" spans="1:3" x14ac:dyDescent="0.25">
      <c r="A800" s="8" t="str">
        <f>"2004 IEEE/PES Transmission and Distribution Conference and Exposition: Latin America"</f>
        <v>2004 IEEE/PES Transmission and Distribution Conference and Exposition: Latin America</v>
      </c>
      <c r="B800" s="8" t="str">
        <f>"9780780387751"</f>
        <v>9780780387751</v>
      </c>
      <c r="C800" s="8" t="s">
        <v>105</v>
      </c>
    </row>
    <row r="801" spans="1:3" x14ac:dyDescent="0.25">
      <c r="A801" s="8" t="str">
        <f>"2004 IEEE/RSJ International Conference on Intelligent Robots and Systems (IROS)"</f>
        <v>2004 IEEE/RSJ International Conference on Intelligent Robots and Systems (IROS)</v>
      </c>
      <c r="B801" s="8" t="str">
        <f>"9780780384637"</f>
        <v>9780780384637</v>
      </c>
      <c r="C801" s="8" t="s">
        <v>105</v>
      </c>
    </row>
    <row r="802" spans="1:3" x14ac:dyDescent="0.25">
      <c r="A802" s="8" t="str">
        <f>"2004 IEEE/Sarnoff Symposium on Advances in Wired and Wireless Communication"</f>
        <v>2004 IEEE/Sarnoff Symposium on Advances in Wired and Wireless Communication</v>
      </c>
      <c r="B802" s="8" t="str">
        <f>"9780780382190"</f>
        <v>9780780382190</v>
      </c>
      <c r="C802" s="8" t="s">
        <v>105</v>
      </c>
    </row>
    <row r="803" spans="1:3" x14ac:dyDescent="0.25">
      <c r="A803" s="8" t="str">
        <f>"2004 IEEE/UT EngineeringManagement Conference"</f>
        <v>2004 IEEE/UT EngineeringManagement Conference</v>
      </c>
      <c r="B803" s="8" t="str">
        <f>"9780780388499"</f>
        <v>9780780388499</v>
      </c>
      <c r="C803" s="8" t="s">
        <v>9</v>
      </c>
    </row>
    <row r="804" spans="1:3" x14ac:dyDescent="0.25">
      <c r="A804" s="8" t="str">
        <f>"2004 International Chemical Recovery Conference"</f>
        <v>2004 International Chemical Recovery Conference</v>
      </c>
      <c r="B804" s="8" t="str">
        <f>"9781595100405"</f>
        <v>9781595100405</v>
      </c>
      <c r="C804" s="8" t="s">
        <v>306</v>
      </c>
    </row>
    <row r="805" spans="1:3" x14ac:dyDescent="0.25">
      <c r="A805" s="8" t="str">
        <f>"2004 International Conference on Communications, Circuits and Systems"</f>
        <v>2004 International Conference on Communications, Circuits and Systems</v>
      </c>
      <c r="B805" s="8" t="str">
        <f>"9780780386471"</f>
        <v>9780780386471</v>
      </c>
      <c r="C805" s="8" t="s">
        <v>105</v>
      </c>
    </row>
    <row r="806" spans="1:3" x14ac:dyDescent="0.25">
      <c r="A806" s="8" t="str">
        <f>"2004 International Conference on Integrated Circuit Design and Technology, ICICDT"</f>
        <v>2004 International Conference on Integrated Circuit Design and Technology, ICICDT</v>
      </c>
      <c r="B806" s="8" t="str">
        <f>"9780780385283"</f>
        <v>9780780385283</v>
      </c>
      <c r="C806" s="8" t="s">
        <v>105</v>
      </c>
    </row>
    <row r="807" spans="1:3" x14ac:dyDescent="0.25">
      <c r="A807" s="8" t="str">
        <f>"2004 International Conference on Power System Technology, POWERCON 2004"</f>
        <v>2004 International Conference on Power System Technology, POWERCON 2004</v>
      </c>
      <c r="B807" s="8" t="str">
        <f>"9780780386105"</f>
        <v>9780780386105</v>
      </c>
      <c r="C807" s="8" t="s">
        <v>105</v>
      </c>
    </row>
    <row r="808" spans="1:3" x14ac:dyDescent="0.25">
      <c r="A808" s="8" t="str">
        <f>"2004 International Conference on Probabilistic Methods Applied to Power Systems"</f>
        <v>2004 International Conference on Probabilistic Methods Applied to Power Systems</v>
      </c>
      <c r="B808" s="8" t="str">
        <f>"9780976131915"</f>
        <v>9780976131915</v>
      </c>
      <c r="C808" s="8" t="s">
        <v>105</v>
      </c>
    </row>
    <row r="809" spans="1:3" x14ac:dyDescent="0.25">
      <c r="A809" s="8" t="str">
        <f>"2004 International Conference on Signal Processing and Communications, SPCOM"</f>
        <v>2004 International Conference on Signal Processing and Communications, SPCOM</v>
      </c>
      <c r="B809" s="8" t="str">
        <f>"9780780386747"</f>
        <v>9780780386747</v>
      </c>
      <c r="C809" s="8" t="s">
        <v>9</v>
      </c>
    </row>
    <row r="810" spans="1:3" x14ac:dyDescent="0.25">
      <c r="A810" s="8" t="str">
        <f>"2004 International Siberian Workshop on Electron Devices and Materials Proceedings 5th Annual, EDM'2004"</f>
        <v>2004 International Siberian Workshop on Electron Devices and Materials Proceedings 5th Annual, EDM'2004</v>
      </c>
      <c r="B810" s="8" t="str">
        <f>"9785778204638"</f>
        <v>9785778204638</v>
      </c>
      <c r="C810" s="8" t="s">
        <v>105</v>
      </c>
    </row>
    <row r="811" spans="1:3" x14ac:dyDescent="0.25">
      <c r="A811" s="8" t="str">
        <f>"2004 International Students and Young Scientists Workshop - Photonics and Microsystems"</f>
        <v>2004 International Students and Young Scientists Workshop - Photonics and Microsystems</v>
      </c>
      <c r="B811" s="8" t="str">
        <f>"9780780385986"</f>
        <v>9780780385986</v>
      </c>
      <c r="C811" s="8" t="s">
        <v>9</v>
      </c>
    </row>
    <row r="812" spans="1:3" x14ac:dyDescent="0.25">
      <c r="A812" s="8" t="str">
        <f>"2004 International Symposium on Chinese Spoken Language Processing - Proceedings"</f>
        <v>2004 International Symposium on Chinese Spoken Language Processing - Proceedings</v>
      </c>
      <c r="B812" s="8" t="str">
        <f>"9780780386785"</f>
        <v>9780780386785</v>
      </c>
      <c r="C812" s="8" t="s">
        <v>105</v>
      </c>
    </row>
    <row r="813" spans="1:3" x14ac:dyDescent="0.25">
      <c r="A813" s="8" t="str">
        <f>"2004 International Symposium on Intelligent Multimedia, Video and Speech Processing, ISIMP 2004"</f>
        <v>2004 International Symposium on Intelligent Multimedia, Video and Speech Processing, ISIMP 2004</v>
      </c>
      <c r="B813" s="8" t="str">
        <f>"9780780386884"</f>
        <v>9780780386884</v>
      </c>
      <c r="C813" s="8" t="s">
        <v>105</v>
      </c>
    </row>
    <row r="814" spans="1:3" x14ac:dyDescent="0.25">
      <c r="A814" s="8" t="str">
        <f>"2004 International Symposium on System-on-Chip Proceedings"</f>
        <v>2004 International Symposium on System-on-Chip Proceedings</v>
      </c>
      <c r="B814" s="8" t="str">
        <f>"9780780385580"</f>
        <v>9780780385580</v>
      </c>
      <c r="C814" s="8" t="s">
        <v>105</v>
      </c>
    </row>
    <row r="815" spans="1:3" x14ac:dyDescent="0.25">
      <c r="A815" s="8" t="str">
        <f>"2004 International Symposium on Technology and Society, ISTAS '04 Globalizing Technological Education"</f>
        <v>2004 International Symposium on Technology and Society, ISTAS '04 Globalizing Technological Education</v>
      </c>
      <c r="B815" s="8" t="str">
        <f>"9780780383906"</f>
        <v>9780780383906</v>
      </c>
      <c r="C815" s="8" t="s">
        <v>105</v>
      </c>
    </row>
    <row r="816" spans="1:3" x14ac:dyDescent="0.25">
      <c r="A816" s="8" t="str">
        <f>"2004 International Symposium on Underwater Technology, UT'04 - Proceedings"</f>
        <v>2004 International Symposium on Underwater Technology, UT'04 - Proceedings</v>
      </c>
      <c r="B816" s="8" t="str">
        <f>"9780780385412"</f>
        <v>9780780385412</v>
      </c>
      <c r="C816" s="8" t="s">
        <v>9</v>
      </c>
    </row>
    <row r="817" spans="1:3" x14ac:dyDescent="0.25">
      <c r="A817" s="8" t="str">
        <f>"2004 International Workshop on Ultra Wideband Systems; Joint with Conference on Ultra Wideband Systems and Technologies, Joint UWBST and IWUWBS 2004"</f>
        <v>2004 International Workshop on Ultra Wideband Systems; Joint with Conference on Ultra Wideband Systems and Technologies, Joint UWBST and IWUWBS 2004</v>
      </c>
      <c r="B817" s="8" t="str">
        <f>"9780780383739"</f>
        <v>9780780383739</v>
      </c>
      <c r="C817" s="8" t="s">
        <v>105</v>
      </c>
    </row>
    <row r="818" spans="1:3" x14ac:dyDescent="0.25">
      <c r="A818" s="8" t="str">
        <f>"2004 International Workshop on Wireless Ad-Hoc Networks"</f>
        <v>2004 International Workshop on Wireless Ad-Hoc Networks</v>
      </c>
      <c r="B818" s="8" t="str">
        <f>"9780780382756"</f>
        <v>9780780382756</v>
      </c>
      <c r="C818" s="8" t="s">
        <v>9</v>
      </c>
    </row>
    <row r="819" spans="1:3" x14ac:dyDescent="0.25">
      <c r="A819" s="8" t="str">
        <f>"2004 ITG Workshop on Smart Antennas - Proceedings"</f>
        <v>2004 ITG Workshop on Smart Antennas - Proceedings</v>
      </c>
      <c r="B819" s="8" t="str">
        <f>"9780780383272"</f>
        <v>9780780383272</v>
      </c>
      <c r="C819" s="8" t="s">
        <v>105</v>
      </c>
    </row>
    <row r="820" spans="1:3" x14ac:dyDescent="0.25">
      <c r="A820" s="8" t="str">
        <f>"2004 Joint Conference of the 10th Asia-Pacific Conference on Communications and the 5th International Symposium on Multi-Dimensional Mobile Communications Proceedings, APCC/MDMC'04"</f>
        <v>2004 Joint Conference of the 10th Asia-Pacific Conference on Communications and the 5th International Symposium on Multi-Dimensional Mobile Communications Proceedings, APCC/MDMC'04</v>
      </c>
      <c r="B820" s="8" t="str">
        <f>"9780780386013"</f>
        <v>9780780386013</v>
      </c>
      <c r="C820" s="8" t="s">
        <v>105</v>
      </c>
    </row>
    <row r="821" spans="1:3" x14ac:dyDescent="0.25">
      <c r="A821" s="8" t="str">
        <f>"2004 Large Engineering Systems Conference on Power Engineering - Conference Proceedings; Theme: Energy for the Day After Tomorrow"</f>
        <v>2004 Large Engineering Systems Conference on Power Engineering - Conference Proceedings; Theme: Energy for the Day After Tomorrow</v>
      </c>
      <c r="B821" s="8" t="str">
        <f>"9780780383869"</f>
        <v>9780780383869</v>
      </c>
      <c r="C821" s="8" t="s">
        <v>105</v>
      </c>
    </row>
    <row r="822" spans="1:3" x14ac:dyDescent="0.25">
      <c r="A822" s="8" t="str">
        <f>"2004 NSTI Nanotechnology Conference and Trade Show - NSTI Nanotech 2004"</f>
        <v>2004 NSTI Nanotechnology Conference and Trade Show - NSTI Nanotech 2004</v>
      </c>
      <c r="B822" s="8" t="str">
        <f>"9780972842273"</f>
        <v>9780972842273</v>
      </c>
      <c r="C822" s="8" t="s">
        <v>1334</v>
      </c>
    </row>
    <row r="823" spans="1:3" x14ac:dyDescent="0.25">
      <c r="A823" s="8" t="str">
        <f>"2004 RF and Microwave Conference, RFM 2004 - Proceedings"</f>
        <v>2004 RF and Microwave Conference, RFM 2004 - Proceedings</v>
      </c>
      <c r="B823" s="8" t="str">
        <f>"9780780386716"</f>
        <v>9780780386716</v>
      </c>
      <c r="C823" s="8" t="s">
        <v>9</v>
      </c>
    </row>
    <row r="824" spans="1:3" x14ac:dyDescent="0.25">
      <c r="A824" s="8" t="str">
        <f>"2004 ROCS Workshop - Reliability of Compound Semiconductors, Proceedings"</f>
        <v>2004 ROCS Workshop - Reliability of Compound Semiconductors, Proceedings</v>
      </c>
      <c r="B824" s="8" t="str">
        <f>"9780790801056"</f>
        <v>9780790801056</v>
      </c>
      <c r="C824" s="8" t="s">
        <v>1335</v>
      </c>
    </row>
    <row r="825" spans="1:3" x14ac:dyDescent="0.25">
      <c r="A825" s="8" t="str">
        <f>"2004 SAE Fuels and Lubricants Meeting and Exhibition"</f>
        <v>2004 SAE Fuels and Lubricants Meeting and Exhibition</v>
      </c>
      <c r="B825" s="8" t="str">
        <f>"9780768013191"</f>
        <v>9780768013191</v>
      </c>
      <c r="C825" s="8" t="s">
        <v>1040</v>
      </c>
    </row>
    <row r="826" spans="1:3" x14ac:dyDescent="0.25">
      <c r="A826" s="8" t="str">
        <f>"2004 Second International Workshop, Ultrawideband and Ultrashort Impulse Signals Proceedings, UWBUSIS 2004"</f>
        <v>2004 Second International Workshop, Ultrawideband and Ultrashort Impulse Signals Proceedings, UWBUSIS 2004</v>
      </c>
      <c r="B826" s="8" t="str">
        <f>"9780780386730"</f>
        <v>9780780386730</v>
      </c>
      <c r="C826" s="8" t="s">
        <v>105</v>
      </c>
    </row>
    <row r="827" spans="1:3" x14ac:dyDescent="0.25">
      <c r="A827" s="8" t="str">
        <f>"2004 Semiconductor Manufacturing Technology Workshop Proceedings, SMTW"</f>
        <v>2004 Semiconductor Manufacturing Technology Workshop Proceedings, SMTW</v>
      </c>
      <c r="B827" s="8" t="str">
        <f>"9780780384699"</f>
        <v>9780780384699</v>
      </c>
      <c r="C827" s="8" t="s">
        <v>105</v>
      </c>
    </row>
    <row r="828" spans="1:3" x14ac:dyDescent="0.25">
      <c r="A828" s="8" t="str">
        <f>"2004 Sensor Array and Multichannel Signal Processing Workshop"</f>
        <v>2004 Sensor Array and Multichannel Signal Processing Workshop</v>
      </c>
      <c r="B828" s="8" t="str">
        <f>"9780780385450"</f>
        <v>9780780385450</v>
      </c>
      <c r="C828" s="8" t="s">
        <v>9</v>
      </c>
    </row>
    <row r="829" spans="1:3" x14ac:dyDescent="0.25">
      <c r="A829" s="8" t="str">
        <f>"2004 Seventh Seminar on Neural Network Applications in Electrical Engineering - Proceedings, NEUREL 2004"</f>
        <v>2004 Seventh Seminar on Neural Network Applications in Electrical Engineering - Proceedings, NEUREL 2004</v>
      </c>
      <c r="B829" s="8" t="str">
        <f>"9780780385474"</f>
        <v>9780780385474</v>
      </c>
      <c r="C829" s="8" t="s">
        <v>105</v>
      </c>
    </row>
    <row r="830" spans="1:3" x14ac:dyDescent="0.25">
      <c r="A830" s="8" t="str">
        <f>"2004 SME Annual Meeting Preprints"</f>
        <v>2004 SME Annual Meeting Preprints</v>
      </c>
      <c r="B830" s="8" t="str">
        <f>"-"</f>
        <v>-</v>
      </c>
      <c r="C830" s="8" t="s">
        <v>877</v>
      </c>
    </row>
    <row r="831" spans="1:3" x14ac:dyDescent="0.25">
      <c r="A831" s="8" t="str">
        <f>"2004 TAPPI Coating and Graphic Arts Conference and Exhibit"</f>
        <v>2004 TAPPI Coating and Graphic Arts Conference and Exhibit</v>
      </c>
      <c r="B831" s="8" t="str">
        <f>"-"</f>
        <v>-</v>
      </c>
      <c r="C831" s="8" t="s">
        <v>1099</v>
      </c>
    </row>
    <row r="832" spans="1:3" x14ac:dyDescent="0.25">
      <c r="A832" s="8" t="str">
        <f>"2004 TAPPI Decorative and Industrial Laminates Symposium"</f>
        <v>2004 TAPPI Decorative and Industrial Laminates Symposium</v>
      </c>
      <c r="B832" s="8" t="str">
        <f>"9781595100634"</f>
        <v>9781595100634</v>
      </c>
      <c r="C832" s="8" t="s">
        <v>306</v>
      </c>
    </row>
    <row r="833" spans="1:3" x14ac:dyDescent="0.25">
      <c r="A833" s="8" t="str">
        <f>"2004 TAPPI Paper Summit - Spring Technical and International Environmental Conference"</f>
        <v>2004 TAPPI Paper Summit - Spring Technical and International Environmental Conference</v>
      </c>
      <c r="B833" s="8" t="str">
        <f>"9781595100351"</f>
        <v>9781595100351</v>
      </c>
      <c r="C833" s="8" t="s">
        <v>1099</v>
      </c>
    </row>
    <row r="834" spans="1:3" x14ac:dyDescent="0.25">
      <c r="A834" s="8" t="str">
        <f>"2004 Topical Meeting on Silicon Monolithic Integrated Circuits in RF Systems: Digest of Papers"</f>
        <v>2004 Topical Meeting on Silicon Monolithic Integrated Circuits in RF Systems: Digest of Papers</v>
      </c>
      <c r="B834" s="8" t="str">
        <f>"9780780387034"</f>
        <v>9780780387034</v>
      </c>
      <c r="C834" s="8" t="s">
        <v>105</v>
      </c>
    </row>
    <row r="835" spans="1:3" x14ac:dyDescent="0.25">
      <c r="A835" s="8" t="str">
        <f>"2004 Twelfth IEEE International Workshop on Quality of Service, IWQoS 2004"</f>
        <v>2004 Twelfth IEEE International Workshop on Quality of Service, IWQoS 2004</v>
      </c>
      <c r="B835" s="8" t="str">
        <f>"9780780382770"</f>
        <v>9780780382770</v>
      </c>
      <c r="C835" s="8" t="s">
        <v>105</v>
      </c>
    </row>
    <row r="836" spans="1:3" x14ac:dyDescent="0.25">
      <c r="A836" s="8" t="str">
        <f>"2004 Winter Meeting - Technical and Symposium Papers, American Society of Heating, Refrigerating and Air-Conditioning Engineers"</f>
        <v>2004 Winter Meeting - Technical and Symposium Papers, American Society of Heating, Refrigerating and Air-Conditioning Engineers</v>
      </c>
      <c r="B836" s="8" t="str">
        <f>"-"</f>
        <v>-</v>
      </c>
      <c r="C836" s="8" t="s">
        <v>155</v>
      </c>
    </row>
    <row r="837" spans="1:3" x14ac:dyDescent="0.25">
      <c r="A837" s="8" t="str">
        <f>"2004 Wireless Telecommunications Symposium - WTS 2004"</f>
        <v>2004 Wireless Telecommunications Symposium - WTS 2004</v>
      </c>
      <c r="B837" s="8" t="str">
        <f>"9780780382466"</f>
        <v>9780780382466</v>
      </c>
      <c r="C837" s="8" t="s">
        <v>105</v>
      </c>
    </row>
    <row r="838" spans="1:3" x14ac:dyDescent="0.25">
      <c r="A838" s="8" t="str">
        <f>"2004 World Aviation Congress"</f>
        <v>2004 World Aviation Congress</v>
      </c>
      <c r="B838" s="8" t="str">
        <f>"-"</f>
        <v>-</v>
      </c>
      <c r="C838" s="8" t="s">
        <v>1040</v>
      </c>
    </row>
    <row r="839" spans="1:3" x14ac:dyDescent="0.25">
      <c r="A839" s="8" t="str">
        <f>"2005 13th IEEE International Conference on Networks jointly held with the 2005 7th IEEE Malaysia International Conference on Communications, Proceedings"</f>
        <v>2005 13th IEEE International Conference on Networks jointly held with the 2005 7th IEEE Malaysia International Conference on Communications, Proceedings</v>
      </c>
      <c r="B839" s="8" t="str">
        <f>"9781424400003"</f>
        <v>9781424400003</v>
      </c>
      <c r="C839" s="8" t="s">
        <v>9</v>
      </c>
    </row>
    <row r="840" spans="1:3" x14ac:dyDescent="0.25">
      <c r="A840" s="8" t="str">
        <f>"2005 14TH IEEE-NPSS Real Time Conference"</f>
        <v>2005 14TH IEEE-NPSS Real Time Conference</v>
      </c>
      <c r="B840" s="8" t="str">
        <f>"-"</f>
        <v>-</v>
      </c>
      <c r="C840" s="8" t="s">
        <v>9</v>
      </c>
    </row>
    <row r="841" spans="1:3" x14ac:dyDescent="0.25">
      <c r="A841" s="8" t="str">
        <f>"2005 15th International Crimean Conference Microwave and Telecommunication Technology, CriMiCo'2005 - Conference Proceedings"</f>
        <v>2005 15th International Crimean Conference Microwave and Telecommunication Technology, CriMiCo'2005 - Conference Proceedings</v>
      </c>
      <c r="B841" s="8" t="str">
        <f>"-"</f>
        <v>-</v>
      </c>
      <c r="C841" s="8" t="s">
        <v>9</v>
      </c>
    </row>
    <row r="842" spans="1:3" x14ac:dyDescent="0.25">
      <c r="A842" s="8" t="str">
        <f>"2005 18th International Conference on Applied Electromagnetics and Communications, ICECom 2005"</f>
        <v>2005 18th International Conference on Applied Electromagnetics and Communications, ICECom 2005</v>
      </c>
      <c r="B842" s="8" t="str">
        <f>"9789536037445"</f>
        <v>9789536037445</v>
      </c>
      <c r="C842" s="8" t="s">
        <v>105</v>
      </c>
    </row>
    <row r="843" spans="1:3" x14ac:dyDescent="0.25">
      <c r="A843" s="8" t="str">
        <f>"2005 1st IEEE International Symposium on New Frontiers in Dynamic Spectrum Access Networks, DySPAN 2005"</f>
        <v>2005 1st IEEE International Symposium on New Frontiers in Dynamic Spectrum Access Networks, DySPAN 2005</v>
      </c>
      <c r="B843" s="8" t="str">
        <f>"-"</f>
        <v>-</v>
      </c>
      <c r="C843" s="8" t="s">
        <v>9</v>
      </c>
    </row>
    <row r="844" spans="1:3" x14ac:dyDescent="0.25">
      <c r="A844" s="8" t="str">
        <f>"2005 1st International Conference on Computers, Communications and Signal Processing with Special Track on Biomedical Engineering, CCSP 2005"</f>
        <v>2005 1st International Conference on Computers, Communications and Signal Processing with Special Track on Biomedical Engineering, CCSP 2005</v>
      </c>
      <c r="B844" s="8" t="str">
        <f>"9781424400119"</f>
        <v>9781424400119</v>
      </c>
      <c r="C844" s="8" t="s">
        <v>9</v>
      </c>
    </row>
    <row r="845" spans="1:3" x14ac:dyDescent="0.25">
      <c r="A845" s="8" t="str">
        <f>"2005 1st International Conference on Multimedia Services Access Networks, MSAN05"</f>
        <v>2005 1st International Conference on Multimedia Services Access Networks, MSAN05</v>
      </c>
      <c r="B845" s="8" t="str">
        <f t="shared" ref="B845:B851" si="0">"-"</f>
        <v>-</v>
      </c>
      <c r="C845" s="8" t="s">
        <v>9</v>
      </c>
    </row>
    <row r="846" spans="1:3" x14ac:dyDescent="0.25">
      <c r="A846" s="8" t="str">
        <f>"2005 2nd IEEE Consumer Communications and Networking Conference, CCNC2005"</f>
        <v>2005 2nd IEEE Consumer Communications and Networking Conference, CCNC2005</v>
      </c>
      <c r="B846" s="8" t="str">
        <f t="shared" si="0"/>
        <v>-</v>
      </c>
      <c r="C846" s="8" t="s">
        <v>9</v>
      </c>
    </row>
    <row r="847" spans="1:3" x14ac:dyDescent="0.25">
      <c r="A847" s="8" t="str">
        <f>"2005 2nd International Conference on Mobile Technology, Applications and Systems"</f>
        <v>2005 2nd International Conference on Mobile Technology, Applications and Systems</v>
      </c>
      <c r="B847" s="8" t="str">
        <f t="shared" si="0"/>
        <v>-</v>
      </c>
      <c r="C847" s="8" t="s">
        <v>9</v>
      </c>
    </row>
    <row r="848" spans="1:3" x14ac:dyDescent="0.25">
      <c r="A848" s="8" t="str">
        <f>"2005 3rd IEEE International Conference on Industrial Informatics, INDIN"</f>
        <v>2005 3rd IEEE International Conference on Industrial Informatics, INDIN</v>
      </c>
      <c r="B848" s="8" t="str">
        <f t="shared" si="0"/>
        <v>-</v>
      </c>
      <c r="C848" s="8" t="s">
        <v>9</v>
      </c>
    </row>
    <row r="849" spans="1:3" x14ac:dyDescent="0.25">
      <c r="A849" s="8" t="str">
        <f>"2005 3rd IEEE/EMBS Special Topic Conference on Microtechnology in Medicine and Biology"</f>
        <v>2005 3rd IEEE/EMBS Special Topic Conference on Microtechnology in Medicine and Biology</v>
      </c>
      <c r="B849" s="8" t="str">
        <f t="shared" si="0"/>
        <v>-</v>
      </c>
      <c r="C849" s="8" t="s">
        <v>9</v>
      </c>
    </row>
    <row r="850" spans="1:3" x14ac:dyDescent="0.25">
      <c r="A850" s="8" t="str">
        <f>"2005 4th International Symposium on Information Processing in Sensor Networks, IPSN 2005"</f>
        <v>2005 4th International Symposium on Information Processing in Sensor Networks, IPSN 2005</v>
      </c>
      <c r="B850" s="8" t="str">
        <f t="shared" si="0"/>
        <v>-</v>
      </c>
      <c r="C850" s="8" t="s">
        <v>9</v>
      </c>
    </row>
    <row r="851" spans="1:3" x14ac:dyDescent="0.25">
      <c r="A851" s="8" t="str">
        <f>"2005 58th Annual Conference for Protective Relay Engineers"</f>
        <v>2005 58th Annual Conference for Protective Relay Engineers</v>
      </c>
      <c r="B851" s="8" t="str">
        <f t="shared" si="0"/>
        <v>-</v>
      </c>
      <c r="C851" s="8" t="s">
        <v>9</v>
      </c>
    </row>
    <row r="852" spans="1:3" x14ac:dyDescent="0.25">
      <c r="A852" s="8" t="str">
        <f>"2005 5th IEEE Conference on Nanotechnology"</f>
        <v>2005 5th IEEE Conference on Nanotechnology</v>
      </c>
      <c r="B852" s="8" t="str">
        <f>"9780780391994"</f>
        <v>9780780391994</v>
      </c>
      <c r="C852" s="8" t="s">
        <v>9</v>
      </c>
    </row>
    <row r="853" spans="1:3" x14ac:dyDescent="0.25">
      <c r="A853" s="8" t="str">
        <f>"2005 6th International Conference on Electronics Packaging Technology"</f>
        <v>2005 6th International Conference on Electronics Packaging Technology</v>
      </c>
      <c r="B853" s="8" t="str">
        <f>"-"</f>
        <v>-</v>
      </c>
      <c r="C853" s="8" t="s">
        <v>9</v>
      </c>
    </row>
    <row r="854" spans="1:3" x14ac:dyDescent="0.25">
      <c r="A854" s="8" t="str">
        <f>"2005 8th International Conference on Information Fusion, FUSION"</f>
        <v>2005 8th International Conference on Information Fusion, FUSION</v>
      </c>
      <c r="B854" s="8" t="str">
        <f>"9780780392861"</f>
        <v>9780780392861</v>
      </c>
      <c r="C854" s="8" t="s">
        <v>9</v>
      </c>
    </row>
    <row r="855" spans="1:3" x14ac:dyDescent="0.25">
      <c r="A855" s="8" t="str">
        <f>"2005 9th IFIP/IEEE International Symposium on Integrated Network Management, IM 2005"</f>
        <v>2005 9th IFIP/IEEE International Symposium on Integrated Network Management, IM 2005</v>
      </c>
      <c r="B855" s="8" t="str">
        <f>"-"</f>
        <v>-</v>
      </c>
      <c r="C855" s="8" t="s">
        <v>9</v>
      </c>
    </row>
    <row r="856" spans="1:3" x14ac:dyDescent="0.25">
      <c r="A856" s="8" t="str">
        <f>"2005 AIChE Spring National Meeting, Conference Proceedings"</f>
        <v>2005 AIChE Spring National Meeting, Conference Proceedings</v>
      </c>
      <c r="B856" s="8" t="str">
        <f>"9780816909841"</f>
        <v>9780816909841</v>
      </c>
      <c r="C856" s="8" t="s">
        <v>106</v>
      </c>
    </row>
    <row r="857" spans="1:3" x14ac:dyDescent="0.25">
      <c r="A857" s="8" t="str">
        <f>"2005 Annual Meeting - North American Membrane Society, NAMS - Program Book and Proceedings"</f>
        <v>2005 Annual Meeting - North American Membrane Society, NAMS - Program Book and Proceedings</v>
      </c>
      <c r="B857" s="8" t="str">
        <f>"-"</f>
        <v>-</v>
      </c>
      <c r="C857" s="8" t="s">
        <v>1294</v>
      </c>
    </row>
    <row r="858" spans="1:3" x14ac:dyDescent="0.25">
      <c r="A858" s="8" t="str">
        <f>"2005 ANS Topical Meeting on Decommissioning, Decontamination, and Reutilization"</f>
        <v>2005 ANS Topical Meeting on Decommissioning, Decontamination, and Reutilization</v>
      </c>
      <c r="B858" s="8" t="str">
        <f>"9780894486890"</f>
        <v>9780894486890</v>
      </c>
      <c r="C858" s="8" t="s">
        <v>453</v>
      </c>
    </row>
    <row r="859" spans="1:3" x14ac:dyDescent="0.25">
      <c r="A859" s="8" t="str">
        <f>"2005 ASAE Annual International Meeting"</f>
        <v>2005 ASAE Annual International Meeting</v>
      </c>
      <c r="B859" s="8" t="str">
        <f>"-"</f>
        <v>-</v>
      </c>
      <c r="C859" s="8" t="s">
        <v>140</v>
      </c>
    </row>
    <row r="860" spans="1:3" x14ac:dyDescent="0.25">
      <c r="A860" s="8" t="str">
        <f>"2005 Asian Conference on Sensors and the International Conference on New Techniques in Pharmaceutical and Biomedical Research - Proceedings"</f>
        <v>2005 Asian Conference on Sensors and the International Conference on New Techniques in Pharmaceutical and Biomedical Research - Proceedings</v>
      </c>
      <c r="B860" s="8" t="str">
        <f>"-"</f>
        <v>-</v>
      </c>
      <c r="C860" s="8" t="s">
        <v>9</v>
      </c>
    </row>
    <row r="861" spans="1:3" x14ac:dyDescent="0.25">
      <c r="A861" s="8" t="str">
        <f>"2005 Asia-Pacific Conference on Applied Electromagnetics, APACE 2005 - Proceedings"</f>
        <v>2005 Asia-Pacific Conference on Applied Electromagnetics, APACE 2005 - Proceedings</v>
      </c>
      <c r="B861" s="8" t="str">
        <f>"-"</f>
        <v>-</v>
      </c>
      <c r="C861" s="8" t="s">
        <v>9</v>
      </c>
    </row>
    <row r="862" spans="1:3" x14ac:dyDescent="0.25">
      <c r="A862" s="8" t="str">
        <f>"2005 Asia-Pacific Conference on Communications"</f>
        <v>2005 Asia-Pacific Conference on Communications</v>
      </c>
      <c r="B862" s="8" t="str">
        <f>"-"</f>
        <v>-</v>
      </c>
      <c r="C862" s="8" t="s">
        <v>9</v>
      </c>
    </row>
    <row r="863" spans="1:3" x14ac:dyDescent="0.25">
      <c r="A863" s="8" t="str">
        <f>"2005 AWWA Water Security Congress"</f>
        <v>2005 AWWA Water Security Congress</v>
      </c>
      <c r="B863" s="8" t="str">
        <f>"9781583213650"</f>
        <v>9781583213650</v>
      </c>
      <c r="C863" s="8" t="s">
        <v>651</v>
      </c>
    </row>
    <row r="864" spans="1:3" x14ac:dyDescent="0.25">
      <c r="A864" s="8" t="str">
        <f>"2005 Beijing International Conference on Imaging: Technology and Applications for the 21st Century"</f>
        <v>2005 Beijing International Conference on Imaging: Technology and Applications for the 21st Century</v>
      </c>
      <c r="B864" s="8" t="str">
        <f>"-"</f>
        <v>-</v>
      </c>
      <c r="C864" s="8" t="s">
        <v>415</v>
      </c>
    </row>
    <row r="865" spans="1:3" x14ac:dyDescent="0.25">
      <c r="A865" s="8" t="str">
        <f>"2005 CERN-CLAF School of High-Energy Physics, CLASHEP 2005 - Proceedings"</f>
        <v>2005 CERN-CLAF School of High-Energy Physics, CLASHEP 2005 - Proceedings</v>
      </c>
      <c r="B865" s="8" t="str">
        <f>"9789290832874"</f>
        <v>9789290832874</v>
      </c>
      <c r="C865" s="8" t="s">
        <v>259</v>
      </c>
    </row>
    <row r="866" spans="1:3" x14ac:dyDescent="0.25">
      <c r="A866" s="8" t="str">
        <f>"2005 CIGRE/IEEE PES International Symposium"</f>
        <v>2005 CIGRE/IEEE PES International Symposium</v>
      </c>
      <c r="B866" s="8" t="str">
        <f>"-"</f>
        <v>-</v>
      </c>
      <c r="C866" s="8" t="s">
        <v>9</v>
      </c>
    </row>
    <row r="867" spans="1:3" x14ac:dyDescent="0.25">
      <c r="A867" s="8" t="str">
        <f>"2005 Computing Frontiers Conference"</f>
        <v>2005 Computing Frontiers Conference</v>
      </c>
      <c r="B867" s="8" t="str">
        <f>"9781595930187"</f>
        <v>9781595930187</v>
      </c>
      <c r="C867" s="8" t="s">
        <v>21</v>
      </c>
    </row>
    <row r="868" spans="1:3" x14ac:dyDescent="0.25">
      <c r="A868" s="8" t="str">
        <f>"2005 Conference on High Density Microsystem Design and Packaging and Component Failure Analysis, HDP'05"</f>
        <v>2005 Conference on High Density Microsystem Design and Packaging and Component Failure Analysis, HDP'05</v>
      </c>
      <c r="B868" s="8" t="str">
        <f>"9780780392939"</f>
        <v>9780780392939</v>
      </c>
      <c r="C868" s="8" t="s">
        <v>9</v>
      </c>
    </row>
    <row r="869" spans="1:3" x14ac:dyDescent="0.25">
      <c r="A869" s="8" t="str">
        <f>"2005 Conference on Lasers and Electro-Optics, CLEO"</f>
        <v>2005 Conference on Lasers and Electro-Optics, CLEO</v>
      </c>
      <c r="B869" s="8" t="str">
        <f>"9781557527950"</f>
        <v>9781557527950</v>
      </c>
      <c r="C869" s="8" t="s">
        <v>86</v>
      </c>
    </row>
    <row r="870" spans="1:3" x14ac:dyDescent="0.25">
      <c r="A870" s="8" t="str">
        <f>"2005 Conference on Optical Network Design and Modelling: Towards the broadband-for-all era, ONDM 2005"</f>
        <v>2005 Conference on Optical Network Design and Modelling: Towards the broadband-for-all era, ONDM 2005</v>
      </c>
      <c r="B870" s="8" t="str">
        <f>"-"</f>
        <v>-</v>
      </c>
      <c r="C870" s="8" t="s">
        <v>9</v>
      </c>
    </row>
    <row r="871" spans="1:3" x14ac:dyDescent="0.25">
      <c r="A871" s="8" t="str">
        <f>"2005 Conference Proceedings of the Wire Association International, Inc. - Wire and Cable Technical Symposium, 75th Annual Convention"</f>
        <v>2005 Conference Proceedings of the Wire Association International, Inc. - Wire and Cable Technical Symposium, 75th Annual Convention</v>
      </c>
      <c r="B871" s="8" t="str">
        <f>"-"</f>
        <v>-</v>
      </c>
      <c r="C871" s="8" t="s">
        <v>968</v>
      </c>
    </row>
    <row r="872" spans="1:3" x14ac:dyDescent="0.25">
      <c r="A872" s="8" t="str">
        <f>"2005 Digital Human Modeling for Design and Engineering Symposium"</f>
        <v>2005 Digital Human Modeling for Design and Engineering Symposium</v>
      </c>
      <c r="B872" s="8" t="str">
        <f>"-"</f>
        <v>-</v>
      </c>
      <c r="C872" s="8" t="s">
        <v>1040</v>
      </c>
    </row>
    <row r="873" spans="1:3" x14ac:dyDescent="0.25">
      <c r="A873" s="8" t="str">
        <f>"2005 Distribution System Symposium Proceedings, DSS 2005"</f>
        <v>2005 Distribution System Symposium Proceedings, DSS 2005</v>
      </c>
      <c r="B873" s="8" t="str">
        <f>"9781583213902"</f>
        <v>9781583213902</v>
      </c>
      <c r="C873" s="8" t="s">
        <v>651</v>
      </c>
    </row>
    <row r="874" spans="1:3" x14ac:dyDescent="0.25">
      <c r="A874" s="8" t="str">
        <f>"2005 European Conference on Power Electronics and Applications"</f>
        <v>2005 European Conference on Power Electronics and Applications</v>
      </c>
      <c r="B874" s="8" t="str">
        <f>"-"</f>
        <v>-</v>
      </c>
      <c r="C874" s="8" t="s">
        <v>9</v>
      </c>
    </row>
    <row r="875" spans="1:3" x14ac:dyDescent="0.25">
      <c r="A875" s="8" t="str">
        <f>"2005 European Quantum Electronics Conference, EQEC '05"</f>
        <v>2005 European Quantum Electronics Conference, EQEC '05</v>
      </c>
      <c r="B875" s="8" t="str">
        <f>"-"</f>
        <v>-</v>
      </c>
      <c r="C875" s="8" t="s">
        <v>9</v>
      </c>
    </row>
    <row r="876" spans="1:3" x14ac:dyDescent="0.25">
      <c r="A876" s="8" t="str">
        <f>"2005 European School of High-Energy Physics, ESHEP 2005 - Proceedings"</f>
        <v>2005 European School of High-Energy Physics, ESHEP 2005 - Proceedings</v>
      </c>
      <c r="B876" s="8" t="str">
        <f>"9789290832867"</f>
        <v>9789290832867</v>
      </c>
      <c r="C876" s="8" t="s">
        <v>259</v>
      </c>
    </row>
    <row r="877" spans="1:3" x14ac:dyDescent="0.25">
      <c r="A877" s="8" t="str">
        <f>"2005 European Simulation and Modelling Conference, ESM 2005 - Proceedings"</f>
        <v>2005 European Simulation and Modelling Conference, ESM 2005 - Proceedings</v>
      </c>
      <c r="B877" s="8" t="str">
        <f>"9789077381229"</f>
        <v>9789077381229</v>
      </c>
      <c r="C877" s="8" t="s">
        <v>1206</v>
      </c>
    </row>
    <row r="878" spans="1:3" x14ac:dyDescent="0.25">
      <c r="A878" s="8" t="str">
        <f>"2005 Fall Technical Conference of the ASME Internal Combustion Engine Division"</f>
        <v>2005 Fall Technical Conference of the ASME Internal Combustion Engine Division</v>
      </c>
      <c r="B878" s="8" t="str">
        <f>"9780791847367"</f>
        <v>9780791847367</v>
      </c>
      <c r="C878" s="8" t="s">
        <v>1308</v>
      </c>
    </row>
    <row r="879" spans="1:3" x14ac:dyDescent="0.25">
      <c r="A879" s="8" t="str">
        <f>"2005 Fifth International Conference on Information, Communications and Signal Processing"</f>
        <v>2005 Fifth International Conference on Information, Communications and Signal Processing</v>
      </c>
      <c r="B879" s="8" t="str">
        <f>"-"</f>
        <v>-</v>
      </c>
      <c r="C879" s="8" t="s">
        <v>9</v>
      </c>
    </row>
    <row r="880" spans="1:3" x14ac:dyDescent="0.25">
      <c r="A880" s="8" t="str">
        <f>"2005 First International Conference on Neural Interface and Control, Proceedings"</f>
        <v>2005 First International Conference on Neural Interface and Control, Proceedings</v>
      </c>
      <c r="B880" s="8" t="str">
        <f>"9780780389021"</f>
        <v>9780780389021</v>
      </c>
      <c r="C880" s="8" t="s">
        <v>105</v>
      </c>
    </row>
    <row r="881" spans="1:3" x14ac:dyDescent="0.25">
      <c r="A881" s="8" t="str">
        <f>"2005 First Workshop on Secure Network Protocols, NPSec, held in conjunction with ICNP 2005: 13th IEEE International Conference on Network Protocols"</f>
        <v>2005 First Workshop on Secure Network Protocols, NPSec, held in conjunction with ICNP 2005: 13th IEEE International Conference on Network Protocols</v>
      </c>
      <c r="B881" s="8" t="str">
        <f t="shared" ref="B881:B886" si="1">"-"</f>
        <v>-</v>
      </c>
      <c r="C881" s="8" t="s">
        <v>9</v>
      </c>
    </row>
    <row r="882" spans="1:3" x14ac:dyDescent="0.25">
      <c r="A882" s="8" t="str">
        <f>"2005 Heavy Minerals Conference Proceedings"</f>
        <v>2005 Heavy Minerals Conference Proceedings</v>
      </c>
      <c r="B882" s="8" t="str">
        <f t="shared" si="1"/>
        <v>-</v>
      </c>
      <c r="C882" s="8" t="s">
        <v>877</v>
      </c>
    </row>
    <row r="883" spans="1:3" x14ac:dyDescent="0.25">
      <c r="A883" s="8" t="str">
        <f>"2005 ICSC Congress on Computational Intelligence Methods and Applications"</f>
        <v>2005 ICSC Congress on Computational Intelligence Methods and Applications</v>
      </c>
      <c r="B883" s="8" t="str">
        <f t="shared" si="1"/>
        <v>-</v>
      </c>
      <c r="C883" s="8" t="s">
        <v>9</v>
      </c>
    </row>
    <row r="884" spans="1:3" x14ac:dyDescent="0.25">
      <c r="A884" s="8" t="str">
        <f>"2005 IEEE 2nd Symposium on Multi-Agent Security and Survivability"</f>
        <v>2005 IEEE 2nd Symposium on Multi-Agent Security and Survivability</v>
      </c>
      <c r="B884" s="8" t="str">
        <f t="shared" si="1"/>
        <v>-</v>
      </c>
      <c r="C884" s="8" t="s">
        <v>9</v>
      </c>
    </row>
    <row r="885" spans="1:3" x14ac:dyDescent="0.25">
      <c r="A885" s="8" t="str">
        <f>"2005 IEEE 7th Workshop on Multimedia Signal Processing"</f>
        <v>2005 IEEE 7th Workshop on Multimedia Signal Processing</v>
      </c>
      <c r="B885" s="8" t="str">
        <f t="shared" si="1"/>
        <v>-</v>
      </c>
      <c r="C885" s="8" t="s">
        <v>9</v>
      </c>
    </row>
    <row r="886" spans="1:3" x14ac:dyDescent="0.25">
      <c r="A886" s="8" t="str">
        <f>"2005 IEEE Annual Conference on Wireless and Microwave Technology, WAMICON 2005 - Conference Proceedings"</f>
        <v>2005 IEEE Annual Conference on Wireless and Microwave Technology, WAMICON 2005 - Conference Proceedings</v>
      </c>
      <c r="B886" s="8" t="str">
        <f t="shared" si="1"/>
        <v>-</v>
      </c>
      <c r="C886" s="8" t="s">
        <v>9</v>
      </c>
    </row>
    <row r="887" spans="1:3" x14ac:dyDescent="0.25">
      <c r="A887" s="8" t="str">
        <f>"2005 IEEE Asian Solid-State Circuits Conference, ASSCC 2005"</f>
        <v>2005 IEEE Asian Solid-State Circuits Conference, ASSCC 2005</v>
      </c>
      <c r="B887" s="8" t="str">
        <f>"9780780391628"</f>
        <v>9780780391628</v>
      </c>
      <c r="C887" s="8" t="s">
        <v>9</v>
      </c>
    </row>
    <row r="888" spans="1:3" x14ac:dyDescent="0.25">
      <c r="A888" s="8" t="str">
        <f>"2005 IEEE Cement Industry Technical Conference Record"</f>
        <v>2005 IEEE Cement Industry Technical Conference Record</v>
      </c>
      <c r="B888" s="8" t="str">
        <f>"-"</f>
        <v>-</v>
      </c>
      <c r="C888" s="8" t="s">
        <v>9</v>
      </c>
    </row>
    <row r="889" spans="1:3" x14ac:dyDescent="0.25">
      <c r="A889" s="8" t="str">
        <f>"2005 IEEE Computational Systems Bioinformatics Conference, Workshops and Poster Abstracts"</f>
        <v>2005 IEEE Computational Systems Bioinformatics Conference, Workshops and Poster Abstracts</v>
      </c>
      <c r="B889" s="8" t="str">
        <f>"-"</f>
        <v>-</v>
      </c>
      <c r="C889" s="8" t="s">
        <v>9</v>
      </c>
    </row>
    <row r="890" spans="1:3" x14ac:dyDescent="0.25">
      <c r="A890" s="8" t="str">
        <f>"2005 IEEE Conference - Avionics Fiber-Optics and Photonics, AVFOP 2005"</f>
        <v>2005 IEEE Conference - Avionics Fiber-Optics and Photonics, AVFOP 2005</v>
      </c>
      <c r="B890" s="8" t="str">
        <f>"-"</f>
        <v>-</v>
      </c>
      <c r="C890" s="8" t="s">
        <v>9</v>
      </c>
    </row>
    <row r="891" spans="1:3" x14ac:dyDescent="0.25">
      <c r="A891" s="8" t="str">
        <f>"2005 IEEE Conference on Electron Devices and Solid-State Circuits, EDSSC"</f>
        <v>2005 IEEE Conference on Electron Devices and Solid-State Circuits, EDSSC</v>
      </c>
      <c r="B891" s="8" t="str">
        <f>"9780780393394"</f>
        <v>9780780393394</v>
      </c>
      <c r="C891" s="8" t="s">
        <v>105</v>
      </c>
    </row>
    <row r="892" spans="1:3" x14ac:dyDescent="0.25">
      <c r="A892" s="8" t="str">
        <f>"2005 IEEE Congress on Evolutionary Computation, IEEE CEC 2005. Proceedings"</f>
        <v>2005 IEEE Congress on Evolutionary Computation, IEEE CEC 2005. Proceedings</v>
      </c>
      <c r="B892" s="8" t="str">
        <f>"9780780393639"</f>
        <v>9780780393639</v>
      </c>
      <c r="C892" s="8" t="s">
        <v>9</v>
      </c>
    </row>
    <row r="893" spans="1:3" x14ac:dyDescent="0.25">
      <c r="A893" s="8" t="str">
        <f>"2005 IEEE Electric Ship Technologies Symposium"</f>
        <v>2005 IEEE Electric Ship Technologies Symposium</v>
      </c>
      <c r="B893" s="8" t="str">
        <f>"-"</f>
        <v>-</v>
      </c>
      <c r="C893" s="8" t="s">
        <v>9</v>
      </c>
    </row>
    <row r="894" spans="1:3" x14ac:dyDescent="0.25">
      <c r="A894" s="8" t="str">
        <f>"2005 IEEE Information Theory Workshop on Theory and Practice in Information-Theoretic Security"</f>
        <v>2005 IEEE Information Theory Workshop on Theory and Practice in Information-Theoretic Security</v>
      </c>
      <c r="B894" s="8" t="str">
        <f>"-"</f>
        <v>-</v>
      </c>
      <c r="C894" s="8" t="s">
        <v>9</v>
      </c>
    </row>
    <row r="895" spans="1:3" x14ac:dyDescent="0.25">
      <c r="A895" s="8" t="str">
        <f>"2005 IEEE International Conference on Dielectric Liquids, ICDL 2005"</f>
        <v>2005 IEEE International Conference on Dielectric Liquids, ICDL 2005</v>
      </c>
      <c r="B895" s="8" t="str">
        <f>"9780780389540"</f>
        <v>9780780389540</v>
      </c>
      <c r="C895" s="8" t="s">
        <v>9</v>
      </c>
    </row>
    <row r="896" spans="1:3" x14ac:dyDescent="0.25">
      <c r="A896" s="8" t="str">
        <f>"2005 IEEE International Conference on Electric Machines and Drives"</f>
        <v>2005 IEEE International Conference on Electric Machines and Drives</v>
      </c>
      <c r="B896" s="8" t="str">
        <f t="shared" ref="B896:B905" si="2">"-"</f>
        <v>-</v>
      </c>
      <c r="C896" s="8" t="s">
        <v>9</v>
      </c>
    </row>
    <row r="897" spans="1:3" x14ac:dyDescent="0.25">
      <c r="A897" s="8" t="str">
        <f>"2005 IEEE International Conference on Electro Information Technology"</f>
        <v>2005 IEEE International Conference on Electro Information Technology</v>
      </c>
      <c r="B897" s="8" t="str">
        <f t="shared" si="2"/>
        <v>-</v>
      </c>
      <c r="C897" s="8" t="s">
        <v>9</v>
      </c>
    </row>
    <row r="898" spans="1:3" x14ac:dyDescent="0.25">
      <c r="A898" s="8" t="str">
        <f>"2005 IEEE International Conference on Granular Computing"</f>
        <v>2005 IEEE International Conference on Granular Computing</v>
      </c>
      <c r="B898" s="8" t="str">
        <f t="shared" si="2"/>
        <v>-</v>
      </c>
      <c r="C898" s="8" t="s">
        <v>9</v>
      </c>
    </row>
    <row r="899" spans="1:3" x14ac:dyDescent="0.25">
      <c r="A899" s="8" t="str">
        <f>"2005 IEEE International Conference on Group IV Photonics"</f>
        <v>2005 IEEE International Conference on Group IV Photonics</v>
      </c>
      <c r="B899" s="8" t="str">
        <f t="shared" si="2"/>
        <v>-</v>
      </c>
      <c r="C899" s="8" t="s">
        <v>9</v>
      </c>
    </row>
    <row r="900" spans="1:3" x14ac:dyDescent="0.25">
      <c r="A900" s="8" t="str">
        <f>"2005 IEEE International Conference on Robotics and Biomimetics, ROBIO"</f>
        <v>2005 IEEE International Conference on Robotics and Biomimetics, ROBIO</v>
      </c>
      <c r="B900" s="8" t="str">
        <f t="shared" si="2"/>
        <v>-</v>
      </c>
      <c r="C900" s="8" t="s">
        <v>9</v>
      </c>
    </row>
    <row r="901" spans="1:3" x14ac:dyDescent="0.25">
      <c r="A901" s="8" t="str">
        <f>"2005 IEEE International Conference on Vehicular Electronics and Safety Proceedings"</f>
        <v>2005 IEEE International Conference on Vehicular Electronics and Safety Proceedings</v>
      </c>
      <c r="B901" s="8" t="str">
        <f t="shared" si="2"/>
        <v>-</v>
      </c>
      <c r="C901" s="8" t="s">
        <v>9</v>
      </c>
    </row>
    <row r="902" spans="1:3" x14ac:dyDescent="0.25">
      <c r="A902" s="8" t="str">
        <f>"2005 IEEE International Conference on Wireless and Mobile Computing, Networking and Communications, WiMob'2005"</f>
        <v>2005 IEEE International Conference on Wireless and Mobile Computing, Networking and Communications, WiMob'2005</v>
      </c>
      <c r="B902" s="8" t="str">
        <f t="shared" si="2"/>
        <v>-</v>
      </c>
      <c r="C902" s="8" t="s">
        <v>9</v>
      </c>
    </row>
    <row r="903" spans="1:3" x14ac:dyDescent="0.25">
      <c r="A903" s="8" t="str">
        <f>"2005 IEEE International Symposium on Cluster Computing and the Grid, CCGrid 2005"</f>
        <v>2005 IEEE International Symposium on Cluster Computing and the Grid, CCGrid 2005</v>
      </c>
      <c r="B903" s="8" t="str">
        <f t="shared" si="2"/>
        <v>-</v>
      </c>
      <c r="C903" s="8" t="s">
        <v>9</v>
      </c>
    </row>
    <row r="904" spans="1:3" x14ac:dyDescent="0.25">
      <c r="A904" s="8" t="str">
        <f>"2005 IEEE International Workshop on Intelligent Signal Processing - Proceedings"</f>
        <v>2005 IEEE International Workshop on Intelligent Signal Processing - Proceedings</v>
      </c>
      <c r="B904" s="8" t="str">
        <f t="shared" si="2"/>
        <v>-</v>
      </c>
      <c r="C904" s="8" t="s">
        <v>9</v>
      </c>
    </row>
    <row r="905" spans="1:3" x14ac:dyDescent="0.25">
      <c r="A905" s="8" t="str">
        <f>"2005 IEEE Networking, Sensing and Control, ICNSC2005 - Proceedings"</f>
        <v>2005 IEEE Networking, Sensing and Control, ICNSC2005 - Proceedings</v>
      </c>
      <c r="B905" s="8" t="str">
        <f t="shared" si="2"/>
        <v>-</v>
      </c>
      <c r="C905" s="8" t="s">
        <v>9</v>
      </c>
    </row>
    <row r="906" spans="1:3" x14ac:dyDescent="0.25">
      <c r="A906" s="8" t="str">
        <f>"2005 IEEE Power Engineering Society General Meeting"</f>
        <v>2005 IEEE Power Engineering Society General Meeting</v>
      </c>
      <c r="B906" s="8" t="str">
        <f>"9780780391567"</f>
        <v>9780780391567</v>
      </c>
      <c r="C906" s="8" t="s">
        <v>105</v>
      </c>
    </row>
    <row r="907" spans="1:3" x14ac:dyDescent="0.25">
      <c r="A907" s="8" t="str">
        <f>"2005 IEEE Region 5 and IEEE Denver Section Technical, Professional and Student Development Workshop"</f>
        <v>2005 IEEE Region 5 and IEEE Denver Section Technical, Professional and Student Development Workshop</v>
      </c>
      <c r="B907" s="8" t="str">
        <f>"-"</f>
        <v>-</v>
      </c>
      <c r="C907" s="8" t="s">
        <v>9</v>
      </c>
    </row>
    <row r="908" spans="1:3" x14ac:dyDescent="0.25">
      <c r="A908" s="8" t="str">
        <f>"2005 IEEE Russia Power Tech, PowerTech"</f>
        <v>2005 IEEE Russia Power Tech, PowerTech</v>
      </c>
      <c r="B908" s="8" t="str">
        <f>"9781424418749"</f>
        <v>9781424418749</v>
      </c>
      <c r="C908" s="8" t="s">
        <v>9</v>
      </c>
    </row>
    <row r="909" spans="1:3" x14ac:dyDescent="0.25">
      <c r="A909" s="8" t="str">
        <f>"2005 IEEE Symposium on Product Safety Engineering"</f>
        <v>2005 IEEE Symposium on Product Safety Engineering</v>
      </c>
      <c r="B909" s="8" t="str">
        <f>"-"</f>
        <v>-</v>
      </c>
      <c r="C909" s="8" t="s">
        <v>9</v>
      </c>
    </row>
    <row r="910" spans="1:3" x14ac:dyDescent="0.25">
      <c r="A910" s="8" t="str">
        <f>"2005 IEEE Vehicle Power and Propulsion Conference, VPPC"</f>
        <v>2005 IEEE Vehicle Power and Propulsion Conference, VPPC</v>
      </c>
      <c r="B910" s="8" t="str">
        <f>"-"</f>
        <v>-</v>
      </c>
      <c r="C910" s="8" t="s">
        <v>9</v>
      </c>
    </row>
    <row r="911" spans="1:3" x14ac:dyDescent="0.25">
      <c r="A911" s="8" t="str">
        <f>"2005 IEEE VLSI-TSA - International Symposium on VLSI Technology - VLSI-TSA-TECH, Proceedings of Technical Papers"</f>
        <v>2005 IEEE VLSI-TSA - International Symposium on VLSI Technology - VLSI-TSA-TECH, Proceedings of Technical Papers</v>
      </c>
      <c r="B911" s="8" t="str">
        <f>"9780780390584"</f>
        <v>9780780390584</v>
      </c>
      <c r="C911" s="8" t="s">
        <v>9</v>
      </c>
    </row>
    <row r="912" spans="1:3" x14ac:dyDescent="0.25">
      <c r="A912" s="8" t="str">
        <f>"2005 IEEE VLSI-TSA International Symposium on VLSI Design, Automation and Test,(VLSI-TSA-DAT)"</f>
        <v>2005 IEEE VLSI-TSA International Symposium on VLSI Design, Automation and Test,(VLSI-TSA-DAT)</v>
      </c>
      <c r="B912" s="8" t="str">
        <f>"-"</f>
        <v>-</v>
      </c>
      <c r="C912" s="8" t="s">
        <v>9</v>
      </c>
    </row>
    <row r="913" spans="1:3" x14ac:dyDescent="0.25">
      <c r="A913" s="8" t="str">
        <f>"2005 IEEE Workshop on Advanced Robotics and its Social Impacts"</f>
        <v>2005 IEEE Workshop on Advanced Robotics and its Social Impacts</v>
      </c>
      <c r="B913" s="8" t="str">
        <f>"-"</f>
        <v>-</v>
      </c>
      <c r="C913" s="8" t="s">
        <v>9</v>
      </c>
    </row>
    <row r="914" spans="1:3" x14ac:dyDescent="0.25">
      <c r="A914" s="8" t="str">
        <f>"2005 IEEE Workshop on Machine Learning for Signal Processing"</f>
        <v>2005 IEEE Workshop on Machine Learning for Signal Processing</v>
      </c>
      <c r="B914" s="8" t="str">
        <f>"-"</f>
        <v>-</v>
      </c>
      <c r="C914" s="8" t="s">
        <v>9</v>
      </c>
    </row>
    <row r="915" spans="1:3" x14ac:dyDescent="0.25">
      <c r="A915" s="8" t="str">
        <f>"2005 IEEE Workshop on Microelectronics and Electron Devices, WMED"</f>
        <v>2005 IEEE Workshop on Microelectronics and Electron Devices, WMED</v>
      </c>
      <c r="B915" s="8" t="str">
        <f>"-"</f>
        <v>-</v>
      </c>
      <c r="C915" s="8" t="s">
        <v>9</v>
      </c>
    </row>
    <row r="916" spans="1:3" x14ac:dyDescent="0.25">
      <c r="A916" s="8" t="str">
        <f>"2005 IEEE Workshop on Remote Sensing of Atmospheric Aerosols"</f>
        <v>2005 IEEE Workshop on Remote Sensing of Atmospheric Aerosols</v>
      </c>
      <c r="B916" s="8" t="str">
        <f>"9780780391093"</f>
        <v>9780780391093</v>
      </c>
      <c r="C916" s="8" t="s">
        <v>105</v>
      </c>
    </row>
    <row r="917" spans="1:3" x14ac:dyDescent="0.25">
      <c r="A917" s="8" t="str">
        <f>"2005 IEEE/ACES International Conference on Wireless Communications and Applied Computational Electromagnetics"</f>
        <v>2005 IEEE/ACES International Conference on Wireless Communications and Applied Computational Electromagnetics</v>
      </c>
      <c r="B917" s="8" t="str">
        <f>"-"</f>
        <v>-</v>
      </c>
      <c r="C917" s="8" t="s">
        <v>9</v>
      </c>
    </row>
    <row r="918" spans="1:3" x14ac:dyDescent="0.25">
      <c r="A918" s="8" t="str">
        <f>"2005 IEEE/PES Transmission and Distribution Conference and Exhibition: Asia and Pacific"</f>
        <v>2005 IEEE/PES Transmission and Distribution Conference and Exhibition: Asia and Pacific</v>
      </c>
      <c r="B918" s="8" t="str">
        <f>"-"</f>
        <v>-</v>
      </c>
      <c r="C918" s="8" t="s">
        <v>9</v>
      </c>
    </row>
    <row r="919" spans="1:3" x14ac:dyDescent="0.25">
      <c r="A919" s="8" t="str">
        <f>"2005 IEEE/RSJ International Conference on Intelligent Robots and Systems, IROS"</f>
        <v>2005 IEEE/RSJ International Conference on Intelligent Robots and Systems, IROS</v>
      </c>
      <c r="B919" s="8" t="str">
        <f>"9780780389120"</f>
        <v>9780780389120</v>
      </c>
      <c r="C919" s="8" t="s">
        <v>9</v>
      </c>
    </row>
    <row r="920" spans="1:3" x14ac:dyDescent="0.25">
      <c r="A920" s="8" t="str">
        <f>"2005 IEEE/Sarnoff Symposium on Advances in Wired and Wireless Communication"</f>
        <v>2005 IEEE/Sarnoff Symposium on Advances in Wired and Wireless Communication</v>
      </c>
      <c r="B920" s="8" t="str">
        <f>"-"</f>
        <v>-</v>
      </c>
      <c r="C920" s="8" t="s">
        <v>9</v>
      </c>
    </row>
    <row r="921" spans="1:3" x14ac:dyDescent="0.25">
      <c r="A921" s="8" t="str">
        <f>"2005 International Conference on Advanced Robotics, ICAR '05, Proceedings"</f>
        <v>2005 International Conference on Advanced Robotics, ICAR '05, Proceedings</v>
      </c>
      <c r="B921" s="8" t="str">
        <f>"-"</f>
        <v>-</v>
      </c>
      <c r="C921" s="8" t="s">
        <v>9</v>
      </c>
    </row>
    <row r="922" spans="1:3" x14ac:dyDescent="0.25">
      <c r="A922" s="8" t="str">
        <f>"2005 International Conference on Collaborative Computing: Networking, Applications and Worksharing"</f>
        <v>2005 International Conference on Collaborative Computing: Networking, Applications and Worksharing</v>
      </c>
      <c r="B922" s="8" t="str">
        <f>"-"</f>
        <v>-</v>
      </c>
      <c r="C922" s="8" t="s">
        <v>9</v>
      </c>
    </row>
    <row r="923" spans="1:3" x14ac:dyDescent="0.25">
      <c r="A923" s="8" t="str">
        <f>"2005 International Conference on Communications, Circuits and Systems - Proceedings"</f>
        <v>2005 International Conference on Communications, Circuits and Systems - Proceedings</v>
      </c>
      <c r="B923" s="8" t="str">
        <f>"9780780390157"</f>
        <v>9780780390157</v>
      </c>
      <c r="C923" s="8" t="s">
        <v>9</v>
      </c>
    </row>
    <row r="924" spans="1:3" x14ac:dyDescent="0.25">
      <c r="A924" s="8" t="str">
        <f>"2005 International Conference on Compound Semiconductor Manufacturing Technology"</f>
        <v>2005 International Conference on Compound Semiconductor Manufacturing Technology</v>
      </c>
      <c r="B924" s="8" t="str">
        <f>"9781893580060"</f>
        <v>9781893580060</v>
      </c>
      <c r="C924" s="8" t="s">
        <v>1336</v>
      </c>
    </row>
    <row r="925" spans="1:3" x14ac:dyDescent="0.25">
      <c r="A925" s="8" t="str">
        <f>"2005 International Conference on Future Power Systems"</f>
        <v>2005 International Conference on Future Power Systems</v>
      </c>
      <c r="B925" s="8" t="str">
        <f>"-"</f>
        <v>-</v>
      </c>
      <c r="C925" s="8" t="s">
        <v>9</v>
      </c>
    </row>
    <row r="926" spans="1:3" x14ac:dyDescent="0.25">
      <c r="A926" s="8" t="str">
        <f>"2005 International Conference on Integrated Circuit Design and Technology, ICICDT"</f>
        <v>2005 International Conference on Integrated Circuit Design and Technology, ICICDT</v>
      </c>
      <c r="B926" s="8" t="str">
        <f>"9780780390812"</f>
        <v>9780780390812</v>
      </c>
      <c r="C926" s="8" t="s">
        <v>105</v>
      </c>
    </row>
    <row r="927" spans="1:3" x14ac:dyDescent="0.25">
      <c r="A927" s="8" t="str">
        <f>"2005 International Conference on Integration of Knowledge Intensive Multi-Agent Systems, KIMAS'05: Modeling, Exploration, and Engineering"</f>
        <v>2005 International Conference on Integration of Knowledge Intensive Multi-Agent Systems, KIMAS'05: Modeling, Exploration, and Engineering</v>
      </c>
      <c r="B927" s="8" t="str">
        <f>"-"</f>
        <v>-</v>
      </c>
      <c r="C927" s="8" t="s">
        <v>9</v>
      </c>
    </row>
    <row r="928" spans="1:3" x14ac:dyDescent="0.25">
      <c r="A928" s="8" t="str">
        <f>"2005 International Conference on Machine Learning and Cybernetics, ICMLC 2005"</f>
        <v>2005 International Conference on Machine Learning and Cybernetics, ICMLC 2005</v>
      </c>
      <c r="B928" s="8" t="str">
        <f>"9780780390928"</f>
        <v>9780780390928</v>
      </c>
      <c r="C928" s="8" t="s">
        <v>9</v>
      </c>
    </row>
    <row r="929" spans="1:3" x14ac:dyDescent="0.25">
      <c r="A929" s="8" t="str">
        <f>"2005 International Conference on Physics and Control, PhysCon 2005, Proceedings"</f>
        <v>2005 International Conference on Physics and Control, PhysCon 2005, Proceedings</v>
      </c>
      <c r="B929" s="8" t="str">
        <f>"-"</f>
        <v>-</v>
      </c>
      <c r="C929" s="8" t="s">
        <v>9</v>
      </c>
    </row>
    <row r="930" spans="1:3" x14ac:dyDescent="0.25">
      <c r="A930" s="8" t="str">
        <f>"2005 International Conference on Services Systems and Services Management, Proceedings of ICSSSM'05"</f>
        <v>2005 International Conference on Services Systems and Services Management, Proceedings of ICSSSM'05</v>
      </c>
      <c r="B930" s="8" t="str">
        <f>"9780780389717"</f>
        <v>9780780389717</v>
      </c>
      <c r="C930" s="8" t="s">
        <v>105</v>
      </c>
    </row>
    <row r="931" spans="1:3" x14ac:dyDescent="0.25">
      <c r="A931" s="8" t="str">
        <f>"2005 International Conference on Wireless and Optical Communications Networks"</f>
        <v>2005 International Conference on Wireless and Optical Communications Networks</v>
      </c>
      <c r="B931" s="8" t="str">
        <f>"9780780390195"</f>
        <v>9780780390195</v>
      </c>
      <c r="C931" s="8" t="s">
        <v>9</v>
      </c>
    </row>
    <row r="932" spans="1:3" x14ac:dyDescent="0.25">
      <c r="A932" s="8" t="str">
        <f>"2005 International Conference on Wireless Networks, Communications and Mobile Computing"</f>
        <v>2005 International Conference on Wireless Networks, Communications and Mobile Computing</v>
      </c>
      <c r="B932" s="8" t="str">
        <f t="shared" ref="B932:B938" si="3">"-"</f>
        <v>-</v>
      </c>
      <c r="C932" s="8" t="s">
        <v>9</v>
      </c>
    </row>
    <row r="933" spans="1:3" x14ac:dyDescent="0.25">
      <c r="A933" s="8" t="str">
        <f>"2005 International Oil Spill Conference, IOSC 2005"</f>
        <v>2005 International Oil Spill Conference, IOSC 2005</v>
      </c>
      <c r="B933" s="8" t="str">
        <f t="shared" si="3"/>
        <v>-</v>
      </c>
      <c r="C933" s="8" t="s">
        <v>1337</v>
      </c>
    </row>
    <row r="934" spans="1:3" x14ac:dyDescent="0.25">
      <c r="A934" s="8" t="str">
        <f>"2005 International Petroleum Technology Conference Proceedings"</f>
        <v>2005 International Petroleum Technology Conference Proceedings</v>
      </c>
      <c r="B934" s="8" t="str">
        <f t="shared" si="3"/>
        <v>-</v>
      </c>
      <c r="C934" s="8" t="s">
        <v>915</v>
      </c>
    </row>
    <row r="935" spans="1:3" x14ac:dyDescent="0.25">
      <c r="A935" s="8" t="str">
        <f>"2005 International Semiconductor Device Research Symposium"</f>
        <v>2005 International Semiconductor Device Research Symposium</v>
      </c>
      <c r="B935" s="8" t="str">
        <f t="shared" si="3"/>
        <v>-</v>
      </c>
      <c r="C935" s="8" t="s">
        <v>9</v>
      </c>
    </row>
    <row r="936" spans="1:3" x14ac:dyDescent="0.25">
      <c r="A936" s="8" t="str">
        <f>"2005 International Symposium on Empirical Software Engineering, ISESE 2005"</f>
        <v>2005 International Symposium on Empirical Software Engineering, ISESE 2005</v>
      </c>
      <c r="B936" s="8" t="str">
        <f t="shared" si="3"/>
        <v>-</v>
      </c>
      <c r="C936" s="8" t="s">
        <v>9</v>
      </c>
    </row>
    <row r="937" spans="1:3" x14ac:dyDescent="0.25">
      <c r="A937" s="8" t="str">
        <f>"2005 International Symposium on Power Line Communications and Its Applications, ISPLC 2005"</f>
        <v>2005 International Symposium on Power Line Communications and Its Applications, ISPLC 2005</v>
      </c>
      <c r="B937" s="8" t="str">
        <f t="shared" si="3"/>
        <v>-</v>
      </c>
      <c r="C937" s="8" t="s">
        <v>9</v>
      </c>
    </row>
    <row r="938" spans="1:3" x14ac:dyDescent="0.25">
      <c r="A938" s="8" t="str">
        <f>"2005 International Symposium on System-on-Chip, Proceedings"</f>
        <v>2005 International Symposium on System-on-Chip, Proceedings</v>
      </c>
      <c r="B938" s="8" t="str">
        <f t="shared" si="3"/>
        <v>-</v>
      </c>
      <c r="C938" s="8" t="s">
        <v>9</v>
      </c>
    </row>
    <row r="939" spans="1:3" x14ac:dyDescent="0.25">
      <c r="A939" s="8" t="str">
        <f>"2005 NCSD Topical Meeting (American Nuclear Society Nuclear Criticality Safety Division)"</f>
        <v>2005 NCSD Topical Meeting (American Nuclear Society Nuclear Criticality Safety Division)</v>
      </c>
      <c r="B939" s="8" t="str">
        <f>"9780894486944"</f>
        <v>9780894486944</v>
      </c>
      <c r="C939" s="8" t="s">
        <v>453</v>
      </c>
    </row>
    <row r="940" spans="1:3" x14ac:dyDescent="0.25">
      <c r="A940" s="8" t="str">
        <f>"2005 Non-Volatile Memory Technology Symposium, NVMTS05"</f>
        <v>2005 Non-Volatile Memory Technology Symposium, NVMTS05</v>
      </c>
      <c r="B940" s="8" t="str">
        <f>"-"</f>
        <v>-</v>
      </c>
      <c r="C940" s="8" t="s">
        <v>9</v>
      </c>
    </row>
    <row r="941" spans="1:3" x14ac:dyDescent="0.25">
      <c r="A941" s="8" t="str">
        <f>"2005 NSTI Nanotechnology Conference and Trade Show - NSTI Nanotech 2005 Technical Proceedings"</f>
        <v>2005 NSTI Nanotechnology Conference and Trade Show - NSTI Nanotech 2005 Technical Proceedings</v>
      </c>
      <c r="B941" s="8" t="str">
        <f>"9780976798507"</f>
        <v>9780976798507</v>
      </c>
      <c r="C941" s="8" t="s">
        <v>1334</v>
      </c>
    </row>
    <row r="942" spans="1:3" x14ac:dyDescent="0.25">
      <c r="A942" s="8" t="str">
        <f>"2005 NSTI Nanotechnology Conference and Trade Show - NSTI Nanotech 2005 Technical Proceedings"</f>
        <v>2005 NSTI Nanotechnology Conference and Trade Show - NSTI Nanotech 2005 Technical Proceedings</v>
      </c>
      <c r="B942" s="8" t="str">
        <f>"9780976798514"</f>
        <v>9780976798514</v>
      </c>
      <c r="C942" s="8" t="s">
        <v>1334</v>
      </c>
    </row>
    <row r="943" spans="1:3" x14ac:dyDescent="0.25">
      <c r="A943" s="8" t="str">
        <f>"2005 NSTI Nanotechnology Conference and Trade Show - NSTI Nanotech 2005 Technical Proceedings"</f>
        <v>2005 NSTI Nanotechnology Conference and Trade Show - NSTI Nanotech 2005 Technical Proceedings</v>
      </c>
      <c r="B943" s="8" t="str">
        <f>"9780976798521"</f>
        <v>9780976798521</v>
      </c>
      <c r="C943" s="8" t="s">
        <v>1334</v>
      </c>
    </row>
    <row r="944" spans="1:3" x14ac:dyDescent="0.25">
      <c r="A944" s="8" t="str">
        <f>"2005 OSA Topical Meeting on Information Photonics, IP 2005"</f>
        <v>2005 OSA Topical Meeting on Information Photonics, IP 2005</v>
      </c>
      <c r="B944" s="8" t="str">
        <f>"9781424466375"</f>
        <v>9781424466375</v>
      </c>
      <c r="C944" s="8" t="s">
        <v>9</v>
      </c>
    </row>
    <row r="945" spans="1:3" x14ac:dyDescent="0.25">
      <c r="A945" s="8" t="str">
        <f>"2005 Pakistan Section Multitopic Conference, INMIC"</f>
        <v>2005 Pakistan Section Multitopic Conference, INMIC</v>
      </c>
      <c r="B945" s="8" t="str">
        <f>"9780780394292"</f>
        <v>9780780394292</v>
      </c>
      <c r="C945" s="8" t="s">
        <v>9</v>
      </c>
    </row>
    <row r="946" spans="1:3" x14ac:dyDescent="0.25">
      <c r="A946" s="8" t="str">
        <f>"2005 Past Meets Present in Astronomy and Astrophysics - Proceedings of the 15th Portuguese National Meeting, ENAA 2005"</f>
        <v>2005 Past Meets Present in Astronomy and Astrophysics - Proceedings of the 15th Portuguese National Meeting, ENAA 2005</v>
      </c>
      <c r="B946" s="8" t="str">
        <f>"9789812568878"</f>
        <v>9789812568878</v>
      </c>
      <c r="C946" s="8" t="s">
        <v>157</v>
      </c>
    </row>
    <row r="947" spans="1:3" x14ac:dyDescent="0.25">
      <c r="A947" s="8" t="str">
        <f>"2005 PhD Research in Microelectronics and Electronics - Proceedingsof the Conference"</f>
        <v>2005 PhD Research in Microelectronics and Electronics - Proceedingsof the Conference</v>
      </c>
      <c r="B947" s="8" t="str">
        <f>"9780780393455"</f>
        <v>9780780393455</v>
      </c>
      <c r="C947" s="8" t="s">
        <v>9</v>
      </c>
    </row>
    <row r="948" spans="1:3" x14ac:dyDescent="0.25">
      <c r="A948" s="8" t="str">
        <f>"2005 Proceedings - 10th International Chemical-Mechanical Planarization for ULSI Multilevel Interconnection Conference, CMP-MIC 2005"</f>
        <v>2005 Proceedings - 10th International Chemical-Mechanical Planarization for ULSI Multilevel Interconnection Conference, CMP-MIC 2005</v>
      </c>
      <c r="B948" s="8" t="str">
        <f>"-"</f>
        <v>-</v>
      </c>
      <c r="C948" s="8" t="s">
        <v>1338</v>
      </c>
    </row>
    <row r="949" spans="1:3" x14ac:dyDescent="0.25">
      <c r="A949" s="8" t="str">
        <f>"2005 Proceedings - 11th ISSAT International Conference on Reliability and Quality in Design"</f>
        <v>2005 Proceedings - 11th ISSAT International Conference on Reliability and Quality in Design</v>
      </c>
      <c r="B949" s="8" t="str">
        <f>"9780976348603"</f>
        <v>9780976348603</v>
      </c>
      <c r="C949" s="8" t="s">
        <v>1339</v>
      </c>
    </row>
    <row r="950" spans="1:3" x14ac:dyDescent="0.25">
      <c r="A950" s="8" t="str">
        <f>"2005 Proceedings - 22nd International VLSI Multilevel Interconnection Conference, VMIC 2005"</f>
        <v>2005 Proceedings - 22nd International VLSI Multilevel Interconnection Conference, VMIC 2005</v>
      </c>
      <c r="B950" s="8" t="str">
        <f>"-"</f>
        <v>-</v>
      </c>
      <c r="C950" s="8" t="s">
        <v>1338</v>
      </c>
    </row>
    <row r="951" spans="1:3" x14ac:dyDescent="0.25">
      <c r="A951" s="8" t="str">
        <f>"2005 Proceedings of the 4th ASME Conference on Integrated Nanosystems: Design, Synthesis, and Applications"</f>
        <v>2005 Proceedings of the 4th ASME Conference on Integrated Nanosystems: Design, Synthesis, and Applications</v>
      </c>
      <c r="B951" s="8" t="str">
        <f>"9780791842089"</f>
        <v>9780791842089</v>
      </c>
      <c r="C951" s="8" t="s">
        <v>1308</v>
      </c>
    </row>
    <row r="952" spans="1:3" x14ac:dyDescent="0.25">
      <c r="A952" s="8" t="str">
        <f>"2005 ROCS Workshop - Reliability of Compound Semiconductors, Proceedings"</f>
        <v>2005 ROCS Workshop - Reliability of Compound Semiconductors, Proceedings</v>
      </c>
      <c r="B952" s="8" t="str">
        <f t="shared" ref="B952:B960" si="4">"-"</f>
        <v>-</v>
      </c>
      <c r="C952" s="8" t="s">
        <v>9</v>
      </c>
    </row>
    <row r="953" spans="1:3" x14ac:dyDescent="0.25">
      <c r="A953" s="8" t="str">
        <f>"2005 SAE Brasil Fuels and Lubricants Meeting, SFL 2005"</f>
        <v>2005 SAE Brasil Fuels and Lubricants Meeting, SFL 2005</v>
      </c>
      <c r="B953" s="8" t="str">
        <f t="shared" si="4"/>
        <v>-</v>
      </c>
      <c r="C953" s="8" t="s">
        <v>1040</v>
      </c>
    </row>
    <row r="954" spans="1:3" x14ac:dyDescent="0.25">
      <c r="A954" s="8" t="str">
        <f>"2005 Second Annual IEEE Communications Society Conference on Sensor and AdHoc Communications and Networks, SECON 2005"</f>
        <v>2005 Second Annual IEEE Communications Society Conference on Sensor and AdHoc Communications and Networks, SECON 2005</v>
      </c>
      <c r="B954" s="8" t="str">
        <f t="shared" si="4"/>
        <v>-</v>
      </c>
      <c r="C954" s="8" t="s">
        <v>9</v>
      </c>
    </row>
    <row r="955" spans="1:3" x14ac:dyDescent="0.25">
      <c r="A955" s="8" t="str">
        <f>"2005 SME Annual Meeting: Got Mining - Preprints"</f>
        <v>2005 SME Annual Meeting: Got Mining - Preprints</v>
      </c>
      <c r="B955" s="8" t="str">
        <f t="shared" si="4"/>
        <v>-</v>
      </c>
      <c r="C955" s="8" t="s">
        <v>877</v>
      </c>
    </row>
    <row r="956" spans="1:3" x14ac:dyDescent="0.25">
      <c r="A956" s="8" t="str">
        <f>"2005 SNAME Maritime Technology Conference and Expo and Ship Production Symposium"</f>
        <v>2005 SNAME Maritime Technology Conference and Expo and Ship Production Symposium</v>
      </c>
      <c r="B956" s="8" t="str">
        <f t="shared" si="4"/>
        <v>-</v>
      </c>
      <c r="C956" s="8" t="s">
        <v>762</v>
      </c>
    </row>
    <row r="957" spans="1:3" x14ac:dyDescent="0.25">
      <c r="A957" s="8" t="str">
        <f>"2005 Spanish Conference on Electron Devices, Proceedings"</f>
        <v>2005 Spanish Conference on Electron Devices, Proceedings</v>
      </c>
      <c r="B957" s="8" t="str">
        <f t="shared" si="4"/>
        <v>-</v>
      </c>
      <c r="C957" s="8" t="s">
        <v>9</v>
      </c>
    </row>
    <row r="958" spans="1:3" x14ac:dyDescent="0.25">
      <c r="A958" s="8" t="str">
        <f>"2005 SPE Asia Pacific Health, Safety and Environment Conference and Exhibition - Proceedings"</f>
        <v>2005 SPE Asia Pacific Health, Safety and Environment Conference and Exhibition - Proceedings</v>
      </c>
      <c r="B958" s="8" t="str">
        <f t="shared" si="4"/>
        <v>-</v>
      </c>
      <c r="C958" s="8" t="s">
        <v>671</v>
      </c>
    </row>
    <row r="959" spans="1:3" x14ac:dyDescent="0.25">
      <c r="A959" s="8" t="str">
        <f>"2005 SPE Asia Pacific Oil and Gas Conference and Exhibition - Proceedings"</f>
        <v>2005 SPE Asia Pacific Oil and Gas Conference and Exhibition - Proceedings</v>
      </c>
      <c r="B959" s="8" t="str">
        <f t="shared" si="4"/>
        <v>-</v>
      </c>
      <c r="C959" s="8" t="s">
        <v>915</v>
      </c>
    </row>
    <row r="960" spans="1:3" x14ac:dyDescent="0.25">
      <c r="A960" s="8" t="str">
        <f>"2005 SPE-ICoTA (International Coiled Tubing Association)Coiled Tubing Conference and Exhibition - Proceedings"</f>
        <v>2005 SPE-ICoTA (International Coiled Tubing Association)Coiled Tubing Conference and Exhibition - Proceedings</v>
      </c>
      <c r="B960" s="8" t="str">
        <f t="shared" si="4"/>
        <v>-</v>
      </c>
      <c r="C960" s="8" t="s">
        <v>915</v>
      </c>
    </row>
    <row r="961" spans="1:3" x14ac:dyDescent="0.25">
      <c r="A961" s="8" t="str">
        <f>"2005 Student Conference on Engineering Sciences and Technology, SCONEST"</f>
        <v>2005 Student Conference on Engineering Sciences and Technology, SCONEST</v>
      </c>
      <c r="B961" s="8" t="str">
        <f>"9780780394421"</f>
        <v>9780780394421</v>
      </c>
      <c r="C961" s="8" t="s">
        <v>9</v>
      </c>
    </row>
    <row r="962" spans="1:3" x14ac:dyDescent="0.25">
      <c r="A962" s="8" t="str">
        <f>"2005 Symposium on Architectures for Networking and Communications Systems, ANCS 2005"</f>
        <v>2005 Symposium on Architectures for Networking and Communications Systems, ANCS 2005</v>
      </c>
      <c r="B962" s="8" t="str">
        <f>"9781595930828"</f>
        <v>9781595930828</v>
      </c>
      <c r="C962" s="8" t="s">
        <v>9</v>
      </c>
    </row>
    <row r="963" spans="1:3" x14ac:dyDescent="0.25">
      <c r="A963" s="8" t="str">
        <f>"2005 TAPPI Coating Conference and Exhibit"</f>
        <v>2005 TAPPI Coating Conference and Exhibit</v>
      </c>
      <c r="B963" s="8" t="str">
        <f>"9781595100856"</f>
        <v>9781595100856</v>
      </c>
      <c r="C963" s="8" t="s">
        <v>1099</v>
      </c>
    </row>
    <row r="964" spans="1:3" x14ac:dyDescent="0.25">
      <c r="A964" s="8" t="str">
        <f>"2005 TAPPI Corrugated Packaging Conference"</f>
        <v>2005 TAPPI Corrugated Packaging Conference</v>
      </c>
      <c r="B964" s="8" t="str">
        <f>"-"</f>
        <v>-</v>
      </c>
      <c r="C964" s="8" t="s">
        <v>1099</v>
      </c>
    </row>
    <row r="965" spans="1:3" x14ac:dyDescent="0.25">
      <c r="A965" s="8" t="str">
        <f>"2005 TAPPI Engineering, Pulping, Environmental Conference - Conference Proceedings"</f>
        <v>2005 TAPPI Engineering, Pulping, Environmental Conference - Conference Proceedings</v>
      </c>
      <c r="B965" s="8" t="str">
        <f>"-"</f>
        <v>-</v>
      </c>
      <c r="C965" s="8" t="s">
        <v>1099</v>
      </c>
    </row>
    <row r="966" spans="1:3" x14ac:dyDescent="0.25">
      <c r="A966" s="8" t="str">
        <f>"2005 TAPPI Practical Papermaking Conference"</f>
        <v>2005 TAPPI Practical Papermaking Conference</v>
      </c>
      <c r="B966" s="8" t="str">
        <f>"9781595100948"</f>
        <v>9781595100948</v>
      </c>
      <c r="C966" s="8" t="s">
        <v>1099</v>
      </c>
    </row>
    <row r="967" spans="1:3" x14ac:dyDescent="0.25">
      <c r="A967" s="8" t="str">
        <f>"2005 Water Quality Technology Conference Proceedings, WQTC 2005"</f>
        <v>2005 Water Quality Technology Conference Proceedings, WQTC 2005</v>
      </c>
      <c r="B967" s="8" t="str">
        <f>"9781583214077"</f>
        <v>9781583214077</v>
      </c>
      <c r="C967" s="8" t="s">
        <v>651</v>
      </c>
    </row>
    <row r="968" spans="1:3" x14ac:dyDescent="0.25">
      <c r="A968" s="8" t="str">
        <f>"2005 Western New York Image Processing Workshop, WNYIPW 2005"</f>
        <v>2005 Western New York Image Processing Workshop, WNYIPW 2005</v>
      </c>
      <c r="B968" s="8" t="str">
        <f>"-"</f>
        <v>-</v>
      </c>
      <c r="C968" s="8" t="s">
        <v>1340</v>
      </c>
    </row>
    <row r="969" spans="1:3" x14ac:dyDescent="0.25">
      <c r="A969" s="8" t="str">
        <f>"2005 Wireless Telecommunications Symposium, WTS"</f>
        <v>2005 Wireless Telecommunications Symposium, WTS</v>
      </c>
      <c r="B969" s="8" t="str">
        <f>"-"</f>
        <v>-</v>
      </c>
      <c r="C969" s="8" t="s">
        <v>9</v>
      </c>
    </row>
    <row r="970" spans="1:3" x14ac:dyDescent="0.25">
      <c r="A970" s="8" t="str">
        <f>"2005 Workshop on Computational Electromagnetics in Time-Domain, CEM-TD 2005"</f>
        <v>2005 Workshop on Computational Electromagnetics in Time-Domain, CEM-TD 2005</v>
      </c>
      <c r="B970" s="8" t="str">
        <f>"-"</f>
        <v>-</v>
      </c>
      <c r="C970" s="8" t="s">
        <v>9</v>
      </c>
    </row>
    <row r="971" spans="1:3" x14ac:dyDescent="0.25">
      <c r="A971" s="8" t="str">
        <f>"2005 Workshop on High Performance Switching and Routing, HPSR 2005"</f>
        <v>2005 Workshop on High Performance Switching and Routing, HPSR 2005</v>
      </c>
      <c r="B971" s="8" t="str">
        <f>"9780780389243"</f>
        <v>9780780389243</v>
      </c>
      <c r="C971" s="8" t="s">
        <v>9</v>
      </c>
    </row>
    <row r="972" spans="1:3" x14ac:dyDescent="0.25">
      <c r="A972" s="8" t="str">
        <f>"2006 11th International Workshop on Computer-Aided Modeling, Analysis and Design of Communication Links and Networks"</f>
        <v>2006 11th International Workshop on Computer-Aided Modeling, Analysis and Design of Communication Links and Networks</v>
      </c>
      <c r="B972" s="8" t="str">
        <f>"-"</f>
        <v>-</v>
      </c>
      <c r="C972" s="8" t="s">
        <v>9</v>
      </c>
    </row>
    <row r="973" spans="1:3" x14ac:dyDescent="0.25">
      <c r="A973" s="8" t="str">
        <f>"2006 13th GI/ITG Conference on Measuring, Modelling and Evaluation of Computer and Communication Systems, MMB 2006"</f>
        <v>2006 13th GI/ITG Conference on Measuring, Modelling and Evaluation of Computer and Communication Systems, MMB 2006</v>
      </c>
      <c r="B973" s="8" t="str">
        <f>"9783800729456"</f>
        <v>9783800729456</v>
      </c>
      <c r="C973" s="8" t="s">
        <v>9</v>
      </c>
    </row>
    <row r="974" spans="1:3" x14ac:dyDescent="0.25">
      <c r="A974" s="8" t="str">
        <f>"2006 16th International Crimean Microwave and Telecommunication Technology, CriMiCo"</f>
        <v>2006 16th International Crimean Microwave and Telecommunication Technology, CriMiCo</v>
      </c>
      <c r="B974" s="8" t="str">
        <f>"9789663220062"</f>
        <v>9789663220062</v>
      </c>
      <c r="C974" s="8" t="s">
        <v>105</v>
      </c>
    </row>
    <row r="975" spans="1:3" x14ac:dyDescent="0.25">
      <c r="A975" s="8" t="str">
        <f>"2006 1st Bio-Inspired Models of Network, Information and Computing Systems, BIONETICS"</f>
        <v>2006 1st Bio-Inspired Models of Network, Information and Computing Systems, BIONETICS</v>
      </c>
      <c r="B975" s="8" t="str">
        <f>"9781424404636"</f>
        <v>9781424404636</v>
      </c>
      <c r="C975" s="8" t="s">
        <v>9</v>
      </c>
    </row>
    <row r="976" spans="1:3" x14ac:dyDescent="0.25">
      <c r="A976" s="8" t="str">
        <f>"2006 1st IEEE Conference on Industrial Electronics and Applications"</f>
        <v>2006 1st IEEE Conference on Industrial Electronics and Applications</v>
      </c>
      <c r="B976" s="8" t="str">
        <f>"-"</f>
        <v>-</v>
      </c>
      <c r="C976" s="8" t="s">
        <v>9</v>
      </c>
    </row>
    <row r="977" spans="1:3" x14ac:dyDescent="0.25">
      <c r="A977" s="8" t="str">
        <f>"2006 1st IEEE International Conference on E-Learning in Industrial Electronics, ICELIE"</f>
        <v>2006 1st IEEE International Conference on E-Learning in Industrial Electronics, ICELIE</v>
      </c>
      <c r="B977" s="8" t="str">
        <f>"9781424403240"</f>
        <v>9781424403240</v>
      </c>
      <c r="C977" s="8" t="s">
        <v>9</v>
      </c>
    </row>
    <row r="978" spans="1:3" x14ac:dyDescent="0.25">
      <c r="A978" s="8" t="str">
        <f>"2006 1st IEEE Workshop on Hot Topics in Web Systems and Technologies, HotWeb"</f>
        <v>2006 1st IEEE Workshop on Hot Topics in Web Systems and Technologies, HotWeb</v>
      </c>
      <c r="B978" s="8" t="str">
        <f>"9781424405954"</f>
        <v>9781424405954</v>
      </c>
      <c r="C978" s="8" t="s">
        <v>9</v>
      </c>
    </row>
    <row r="979" spans="1:3" x14ac:dyDescent="0.25">
      <c r="A979" s="8" t="str">
        <f>"2006 1st IEEE Workshop on Networking Technologies for Software Defined Radio Networks, SDR"</f>
        <v>2006 1st IEEE Workshop on Networking Technologies for Software Defined Radio Networks, SDR</v>
      </c>
      <c r="B979" s="8" t="str">
        <f>"9781424407330"</f>
        <v>9781424407330</v>
      </c>
      <c r="C979" s="8" t="s">
        <v>9</v>
      </c>
    </row>
    <row r="980" spans="1:3" x14ac:dyDescent="0.25">
      <c r="A980" s="8" t="str">
        <f>"2006 1st International Conference on Digital Information Management, ICDIM"</f>
        <v>2006 1st International Conference on Digital Information Management, ICDIM</v>
      </c>
      <c r="B980" s="8" t="str">
        <f>"9781424406821"</f>
        <v>9781424406821</v>
      </c>
      <c r="C980" s="8" t="s">
        <v>9</v>
      </c>
    </row>
    <row r="981" spans="1:3" x14ac:dyDescent="0.25">
      <c r="A981" s="8" t="str">
        <f>"2006 1st International Conference on Nano-Networks and Workshops, Nano-Net"</f>
        <v>2006 1st International Conference on Nano-Networks and Workshops, Nano-Net</v>
      </c>
      <c r="B981" s="8" t="str">
        <f>"9781424403912"</f>
        <v>9781424403912</v>
      </c>
      <c r="C981" s="8" t="s">
        <v>9</v>
      </c>
    </row>
    <row r="982" spans="1:3" x14ac:dyDescent="0.25">
      <c r="A982" s="8" t="str">
        <f>"2006 1st International Symposium on Environment Identities and Mediterranean Area, ISEIM"</f>
        <v>2006 1st International Symposium on Environment Identities and Mediterranean Area, ISEIM</v>
      </c>
      <c r="B982" s="8" t="str">
        <f>"9781424402328"</f>
        <v>9781424402328</v>
      </c>
      <c r="C982" s="8" t="s">
        <v>9</v>
      </c>
    </row>
    <row r="983" spans="1:3" x14ac:dyDescent="0.25">
      <c r="A983" s="8" t="str">
        <f>"2006 1st International Symposium on Wireless Pervasive Computing"</f>
        <v>2006 1st International Symposium on Wireless Pervasive Computing</v>
      </c>
      <c r="B983" s="8" t="str">
        <f>"-"</f>
        <v>-</v>
      </c>
      <c r="C983" s="8" t="s">
        <v>9</v>
      </c>
    </row>
    <row r="984" spans="1:3" x14ac:dyDescent="0.25">
      <c r="A984" s="8" t="str">
        <f>"2006 1st Workshop on Operator-Assisted (Wireless-Mesh) Community Networks, OpComm 2006"</f>
        <v>2006 1st Workshop on Operator-Assisted (Wireless-Mesh) Community Networks, OpComm 2006</v>
      </c>
      <c r="B984" s="8" t="str">
        <f>"9781424406920"</f>
        <v>9781424406920</v>
      </c>
      <c r="C984" s="8" t="s">
        <v>9</v>
      </c>
    </row>
    <row r="985" spans="1:3" x14ac:dyDescent="0.25">
      <c r="A985" s="8" t="str">
        <f>"2006 25th International Conference on Microelectronics, MIEL 2006 - Proceedings"</f>
        <v>2006 25th International Conference on Microelectronics, MIEL 2006 - Proceedings</v>
      </c>
      <c r="B985" s="8" t="str">
        <f>"9781424401178"</f>
        <v>9781424401178</v>
      </c>
      <c r="C985" s="8" t="s">
        <v>9</v>
      </c>
    </row>
    <row r="986" spans="1:3" x14ac:dyDescent="0.25">
      <c r="A986" s="8" t="str">
        <f>"2006 2nd Conference on Next Generation Internet Design and Engineering, NGI 2006"</f>
        <v>2006 2nd Conference on Next Generation Internet Design and Engineering, NGI 2006</v>
      </c>
      <c r="B986" s="8" t="str">
        <f>"-"</f>
        <v>-</v>
      </c>
      <c r="C986" s="8" t="s">
        <v>9</v>
      </c>
    </row>
    <row r="987" spans="1:3" x14ac:dyDescent="0.25">
      <c r="A987" s="8" t="str">
        <f>"2006 2nd IEEE Workshop on Wireless Mesh Networks, WiMESH 2006"</f>
        <v>2006 2nd IEEE Workshop on Wireless Mesh Networks, WiMESH 2006</v>
      </c>
      <c r="B987" s="8" t="str">
        <f>"9781424407323"</f>
        <v>9781424407323</v>
      </c>
      <c r="C987" s="8" t="s">
        <v>105</v>
      </c>
    </row>
    <row r="988" spans="1:3" x14ac:dyDescent="0.25">
      <c r="A988" s="8" t="str">
        <f>"2006 2nd International Conference on Power Electronics Systems and Applications, ICPESA"</f>
        <v>2006 2nd International Conference on Power Electronics Systems and Applications, ICPESA</v>
      </c>
      <c r="B988" s="8" t="str">
        <f>"9789623675444"</f>
        <v>9789623675444</v>
      </c>
      <c r="C988" s="8" t="s">
        <v>9</v>
      </c>
    </row>
    <row r="989" spans="1:3" x14ac:dyDescent="0.25">
      <c r="A989" s="8" t="str">
        <f>"2006 2nd International Conference on Semantics Knowledge and Grid, SKG"</f>
        <v>2006 2nd International Conference on Semantics Knowledge and Grid, SKG</v>
      </c>
      <c r="B989" s="8" t="str">
        <f>"9780769532059"</f>
        <v>9780769532059</v>
      </c>
      <c r="C989" s="8" t="s">
        <v>105</v>
      </c>
    </row>
    <row r="990" spans="1:3" x14ac:dyDescent="0.25">
      <c r="A990" s="8" t="str">
        <f>"2006 38th Annual North American Power Symposium, NAPS-2006 Proceedings"</f>
        <v>2006 38th Annual North American Power Symposium, NAPS-2006 Proceedings</v>
      </c>
      <c r="B990" s="8" t="str">
        <f>"9781424402281"</f>
        <v>9781424402281</v>
      </c>
      <c r="C990" s="8" t="s">
        <v>9</v>
      </c>
    </row>
    <row r="991" spans="1:3" x14ac:dyDescent="0.25">
      <c r="A991" s="8" t="str">
        <f>"2006 3rd Annual IEEE Communications Society on Sensor and Adhoc Communications and Networks, Secon 2006"</f>
        <v>2006 3rd Annual IEEE Communications Society on Sensor and Adhoc Communications and Networks, Secon 2006</v>
      </c>
      <c r="B991" s="8" t="str">
        <f>"9781424406265"</f>
        <v>9781424406265</v>
      </c>
      <c r="C991" s="8" t="s">
        <v>105</v>
      </c>
    </row>
    <row r="992" spans="1:3" x14ac:dyDescent="0.25">
      <c r="A992" s="8" t="str">
        <f>"2006 3rd Annual International Conference on Mobile and Ubiquitous Systems, MobiQuitous - Workshops"</f>
        <v>2006 3rd Annual International Conference on Mobile and Ubiquitous Systems, MobiQuitous - Workshops</v>
      </c>
      <c r="B992" s="8" t="str">
        <f>"9781424404995"</f>
        <v>9781424404995</v>
      </c>
      <c r="C992" s="8" t="s">
        <v>9</v>
      </c>
    </row>
    <row r="993" spans="1:3" x14ac:dyDescent="0.25">
      <c r="A993" s="8" t="str">
        <f>"2006 3rd Annual International Conference on Mobile and Ubiquitous Systems: Networking and Services, MobiQuitous"</f>
        <v>2006 3rd Annual International Conference on Mobile and Ubiquitous Systems: Networking and Services, MobiQuitous</v>
      </c>
      <c r="B993" s="8" t="str">
        <f>"9781424404995"</f>
        <v>9781424404995</v>
      </c>
      <c r="C993" s="8" t="s">
        <v>9</v>
      </c>
    </row>
    <row r="994" spans="1:3" x14ac:dyDescent="0.25">
      <c r="A994" s="8" t="str">
        <f>"2006 3rd IEEE Consumer Communications and Networking Conference, CCNC 2006"</f>
        <v>2006 3rd IEEE Consumer Communications and Networking Conference, CCNC 2006</v>
      </c>
      <c r="B994" s="8" t="str">
        <f>"9781424400850"</f>
        <v>9781424400850</v>
      </c>
      <c r="C994" s="8" t="s">
        <v>9</v>
      </c>
    </row>
    <row r="995" spans="1:3" x14ac:dyDescent="0.25">
      <c r="A995" s="8" t="str">
        <f>"2006 3rd IEEE International Symposium on Biomedical Imaging: From Nano to Macro - Proceedings"</f>
        <v>2006 3rd IEEE International Symposium on Biomedical Imaging: From Nano to Macro - Proceedings</v>
      </c>
      <c r="B995" s="8" t="str">
        <f>"-"</f>
        <v>-</v>
      </c>
      <c r="C995" s="8" t="s">
        <v>9</v>
      </c>
    </row>
    <row r="996" spans="1:3" x14ac:dyDescent="0.25">
      <c r="A996" s="8" t="str">
        <f>"2006 3rd International Conference on Broadband Communications, Networks and Systems, BROADNETS 2006"</f>
        <v>2006 3rd International Conference on Broadband Communications, Networks and Systems, BROADNETS 2006</v>
      </c>
      <c r="B996" s="8" t="str">
        <f>"9781424404254"</f>
        <v>9781424404254</v>
      </c>
      <c r="C996" s="8" t="s">
        <v>9</v>
      </c>
    </row>
    <row r="997" spans="1:3" x14ac:dyDescent="0.25">
      <c r="A997" s="8" t="str">
        <f>"2006 3rd International Conference on Electrical and Electronics Engineering"</f>
        <v>2006 3rd International Conference on Electrical and Electronics Engineering</v>
      </c>
      <c r="B997" s="8" t="str">
        <f>"9781424404032"</f>
        <v>9781424404032</v>
      </c>
      <c r="C997" s="8" t="s">
        <v>9</v>
      </c>
    </row>
    <row r="998" spans="1:3" x14ac:dyDescent="0.25">
      <c r="A998" s="8" t="str">
        <f>"2006 4th International Symposium on Modeling and Optimization in Mobile, Ad Hoc and Wireless Networks, WiOpt 2006"</f>
        <v>2006 4th International Symposium on Modeling and Optimization in Mobile, Ad Hoc and Wireless Networks, WiOpt 2006</v>
      </c>
      <c r="B998" s="8" t="str">
        <f>"9780780395497"</f>
        <v>9780780395497</v>
      </c>
      <c r="C998" s="8" t="s">
        <v>9</v>
      </c>
    </row>
    <row r="999" spans="1:3" x14ac:dyDescent="0.25">
      <c r="A999" s="8" t="str">
        <f>"2006 59th Annual Conference for Protective Relay Engineers"</f>
        <v>2006 59th Annual Conference for Protective Relay Engineers</v>
      </c>
      <c r="B999" s="8" t="str">
        <f>"-"</f>
        <v>-</v>
      </c>
      <c r="C999" s="8" t="s">
        <v>9</v>
      </c>
    </row>
    <row r="1000" spans="1:3" x14ac:dyDescent="0.25">
      <c r="A1000" s="8" t="str">
        <f>"2006 67th ARFTG Microwave Measurements Conference - Measurements and Design of High Power Devices and Systems"</f>
        <v>2006 67th ARFTG Microwave Measurements Conference - Measurements and Design of High Power Devices and Systems</v>
      </c>
      <c r="B1000" s="8" t="str">
        <f>"9780780395299"</f>
        <v>9780780395299</v>
      </c>
      <c r="C1000" s="8" t="s">
        <v>9</v>
      </c>
    </row>
    <row r="1001" spans="1:3" x14ac:dyDescent="0.25">
      <c r="A1001" s="8" t="str">
        <f>"2006 6th IEEE Conference on Nanotechnology, IEEE-NANO 2006"</f>
        <v>2006 6th IEEE Conference on Nanotechnology, IEEE-NANO 2006</v>
      </c>
      <c r="B1001" s="8" t="str">
        <f>"9781424400782"</f>
        <v>9781424400782</v>
      </c>
      <c r="C1001" s="8" t="s">
        <v>105</v>
      </c>
    </row>
    <row r="1002" spans="1:3" x14ac:dyDescent="0.25">
      <c r="A1002" s="8" t="str">
        <f>"2006 7th International Conference on Computer-Aided Industrial Design and Conceptual Design, CAIDC"</f>
        <v>2006 7th International Conference on Computer-Aided Industrial Design and Conceptual Design, CAIDC</v>
      </c>
      <c r="B1002" s="8" t="str">
        <f>"9781424406838"</f>
        <v>9781424406838</v>
      </c>
      <c r="C1002" s="8" t="s">
        <v>9</v>
      </c>
    </row>
    <row r="1003" spans="1:3" x14ac:dyDescent="0.25">
      <c r="A1003" s="8" t="str">
        <f>"2006 7th International Conference on Electronics Packaging Technology, ICEPT '06"</f>
        <v>2006 7th International Conference on Electronics Packaging Technology, ICEPT '06</v>
      </c>
      <c r="B1003" s="8" t="str">
        <f>"9781424406203"</f>
        <v>9781424406203</v>
      </c>
      <c r="C1003" s="8" t="s">
        <v>9</v>
      </c>
    </row>
    <row r="1004" spans="1:3" x14ac:dyDescent="0.25">
      <c r="A1004" s="8" t="str">
        <f>"2006 8th International Conference on Actual Problems of Electronic Instrument Engineering Proceedings, APEIE - 2006"</f>
        <v>2006 8th International Conference on Actual Problems of Electronic Instrument Engineering Proceedings, APEIE - 2006</v>
      </c>
      <c r="B1004" s="8" t="str">
        <f>"9785778206625"</f>
        <v>9785778206625</v>
      </c>
      <c r="C1004" s="8" t="s">
        <v>9</v>
      </c>
    </row>
    <row r="1005" spans="1:3" x14ac:dyDescent="0.25">
      <c r="A1005" s="8" t="str">
        <f>"2006 9th International Conference on Information Fusion, FUSION"</f>
        <v>2006 9th International Conference on Information Fusion, FUSION</v>
      </c>
      <c r="B1005" s="8" t="str">
        <f>"9781424409532"</f>
        <v>9781424409532</v>
      </c>
      <c r="C1005" s="8" t="s">
        <v>9</v>
      </c>
    </row>
    <row r="1006" spans="1:3" x14ac:dyDescent="0.25">
      <c r="A1006" s="8" t="str">
        <f>"2006 9th International Conference on Probabilistic Methods Applied to Power Systems, PMAPS"</f>
        <v>2006 9th International Conference on Probabilistic Methods Applied to Power Systems, PMAPS</v>
      </c>
      <c r="B1006" s="8" t="str">
        <f>"9789171783523"</f>
        <v>9789171783523</v>
      </c>
      <c r="C1006" s="8" t="s">
        <v>9</v>
      </c>
    </row>
    <row r="1007" spans="1:3" x14ac:dyDescent="0.25">
      <c r="A1007" s="8" t="str">
        <f>"2006 Annual India Conference, INDICON"</f>
        <v>2006 Annual India Conference, INDICON</v>
      </c>
      <c r="B1007" s="8" t="str">
        <f>"9781424403707"</f>
        <v>9781424403707</v>
      </c>
      <c r="C1007" s="8" t="s">
        <v>9</v>
      </c>
    </row>
    <row r="1008" spans="1:3" x14ac:dyDescent="0.25">
      <c r="A1008" s="8" t="str">
        <f>"2006 ASABE Annual International Meeting"</f>
        <v>2006 ASABE Annual International Meeting</v>
      </c>
      <c r="B1008" s="8" t="str">
        <f>"-"</f>
        <v>-</v>
      </c>
      <c r="C1008" s="8" t="s">
        <v>140</v>
      </c>
    </row>
    <row r="1009" spans="1:3" x14ac:dyDescent="0.25">
      <c r="A1009" s="8" t="str">
        <f>"2006 Asia-Pacific Conference on Communications, APCC"</f>
        <v>2006 Asia-Pacific Conference on Communications, APCC</v>
      </c>
      <c r="B1009" s="8" t="str">
        <f>"9781424405732"</f>
        <v>9781424405732</v>
      </c>
      <c r="C1009" s="8" t="s">
        <v>105</v>
      </c>
    </row>
    <row r="1010" spans="1:3" x14ac:dyDescent="0.25">
      <c r="A1010" s="8" t="str">
        <f>"2006 ASME International Mechanical Engineering Congress and Exposition, IMECE2006 - Energy"</f>
        <v>2006 ASME International Mechanical Engineering Congress and Exposition, IMECE2006 - Energy</v>
      </c>
      <c r="B1010" s="8" t="str">
        <f>"9780791837900"</f>
        <v>9780791837900</v>
      </c>
      <c r="C1010" s="8" t="s">
        <v>73</v>
      </c>
    </row>
    <row r="1011" spans="1:3" x14ac:dyDescent="0.25">
      <c r="A1011" s="8" t="str">
        <f>"2006 ASME Joint U.S.-European Fluids Engineering Summer Meeting, FEDSM 2006"</f>
        <v>2006 ASME Joint U.S.-European Fluids Engineering Summer Meeting, FEDSM 2006</v>
      </c>
      <c r="B1011" s="8" t="str">
        <f>"-"</f>
        <v>-</v>
      </c>
      <c r="C1011" s="8" t="s">
        <v>1308</v>
      </c>
    </row>
    <row r="1012" spans="1:3" x14ac:dyDescent="0.25">
      <c r="A1012" s="8" t="str">
        <f>"2006 Chinese Control Conference Proceedings, CCC 2006"</f>
        <v>2006 Chinese Control Conference Proceedings, CCC 2006</v>
      </c>
      <c r="B1012" s="8" t="str">
        <f>"9787810778022"</f>
        <v>9787810778022</v>
      </c>
      <c r="C1012" s="8" t="s">
        <v>9</v>
      </c>
    </row>
    <row r="1013" spans="1:3" x14ac:dyDescent="0.25">
      <c r="A1013" s="8" t="str">
        <f>"2006 Conference on Computer Vision and Pattern Recognition Workshops"</f>
        <v>2006 Conference on Computer Vision and Pattern Recognition Workshops</v>
      </c>
      <c r="B1013" s="8" t="str">
        <f>"-"</f>
        <v>-</v>
      </c>
      <c r="C1013" s="8" t="s">
        <v>9</v>
      </c>
    </row>
    <row r="1014" spans="1:3" x14ac:dyDescent="0.25">
      <c r="A1014" s="8" t="str">
        <f>"2006 Conference on High Density Microsystem Design and Packaging and Component Failure Analysis, HDP'06"</f>
        <v>2006 Conference on High Density Microsystem Design and Packaging and Component Failure Analysis, HDP'06</v>
      </c>
      <c r="B1014" s="8" t="str">
        <f>"9781424404889"</f>
        <v>9781424404889</v>
      </c>
      <c r="C1014" s="8" t="s">
        <v>9</v>
      </c>
    </row>
    <row r="1015" spans="1:3" x14ac:dyDescent="0.25">
      <c r="A1015" s="8" t="str">
        <f>"2006 Conference Proceedings of the Wire Association International, Inc.: Wire Expo"</f>
        <v>2006 Conference Proceedings of the Wire Association International, Inc.: Wire Expo</v>
      </c>
      <c r="B1015" s="8" t="str">
        <f>"-"</f>
        <v>-</v>
      </c>
      <c r="C1015" s="8" t="s">
        <v>968</v>
      </c>
    </row>
    <row r="1016" spans="1:3" x14ac:dyDescent="0.25">
      <c r="A1016" s="8" t="str">
        <f>"2006 Digital Human Modeling for Design and Engineering Conference"</f>
        <v>2006 Digital Human Modeling for Design and Engineering Conference</v>
      </c>
      <c r="B1016" s="8" t="str">
        <f>"-"</f>
        <v>-</v>
      </c>
      <c r="C1016" s="8" t="s">
        <v>1040</v>
      </c>
    </row>
    <row r="1017" spans="1:3" x14ac:dyDescent="0.25">
      <c r="A1017" s="8" t="str">
        <f>"2006 European Conference on Optical Communications Proceedings, ECOC 2006"</f>
        <v>2006 European Conference on Optical Communications Proceedings, ECOC 2006</v>
      </c>
      <c r="B1017" s="8" t="str">
        <f>"9782912328397"</f>
        <v>9782912328397</v>
      </c>
      <c r="C1017" s="8" t="s">
        <v>9</v>
      </c>
    </row>
    <row r="1018" spans="1:3" x14ac:dyDescent="0.25">
      <c r="A1018" s="8" t="str">
        <f>"2006 European School of High-Energy Physics, ESHEP 2006"</f>
        <v>2006 European School of High-Energy Physics, ESHEP 2006</v>
      </c>
      <c r="B1018" s="8" t="str">
        <f>"9789290832973"</f>
        <v>9789290832973</v>
      </c>
      <c r="C1018" s="8" t="s">
        <v>1341</v>
      </c>
    </row>
    <row r="1019" spans="1:3" x14ac:dyDescent="0.25">
      <c r="A1019" s="8" t="str">
        <f>"2006 IEEE 12th Digital Signal Processing Workshop and 4th IEEE Signal Processing Education Workshop"</f>
        <v>2006 IEEE 12th Digital Signal Processing Workshop and 4th IEEE Signal Processing Education Workshop</v>
      </c>
      <c r="B1019" s="8" t="str">
        <f>"-"</f>
        <v>-</v>
      </c>
      <c r="C1019" s="8" t="s">
        <v>9</v>
      </c>
    </row>
    <row r="1020" spans="1:3" x14ac:dyDescent="0.25">
      <c r="A1020" s="8" t="str">
        <f>"2006 IEEE 14th Signal Processing and Communications Applications Conference"</f>
        <v>2006 IEEE 14th Signal Processing and Communications Applications Conference</v>
      </c>
      <c r="B1020" s="8" t="str">
        <f>"-"</f>
        <v>-</v>
      </c>
      <c r="C1020" s="8" t="s">
        <v>9</v>
      </c>
    </row>
    <row r="1021" spans="1:3" x14ac:dyDescent="0.25">
      <c r="A1021" s="8" t="str">
        <f>"2006 IEEE 8th Workshop on Multimedia Signal Processing, MMSP 2006"</f>
        <v>2006 IEEE 8th Workshop on Multimedia Signal Processing, MMSP 2006</v>
      </c>
      <c r="B1021" s="8" t="str">
        <f>"-"</f>
        <v>-</v>
      </c>
      <c r="C1021" s="8" t="s">
        <v>9</v>
      </c>
    </row>
    <row r="1022" spans="1:3" x14ac:dyDescent="0.25">
      <c r="A1022" s="8" t="str">
        <f>"2006 IEEE ACL Spoken Language Technology Workshop, SLT 2006, Proceedings"</f>
        <v>2006 IEEE ACL Spoken Language Technology Workshop, SLT 2006, Proceedings</v>
      </c>
      <c r="B1022" s="8" t="str">
        <f>"9781424408733"</f>
        <v>9781424408733</v>
      </c>
      <c r="C1022" s="8" t="s">
        <v>9</v>
      </c>
    </row>
    <row r="1023" spans="1:3" x14ac:dyDescent="0.25">
      <c r="A1023" s="8" t="str">
        <f>"2006 IEEE Asian Solid-State Circuits Conference, ASSCC 2006"</f>
        <v>2006 IEEE Asian Solid-State Circuits Conference, ASSCC 2006</v>
      </c>
      <c r="B1023" s="8" t="str">
        <f>"-"</f>
        <v>-</v>
      </c>
      <c r="C1023" s="8" t="s">
        <v>9</v>
      </c>
    </row>
    <row r="1024" spans="1:3" x14ac:dyDescent="0.25">
      <c r="A1024" s="8" t="str">
        <f>"2006 IEEE Avionics Fiber Optics and Photonics Conference, AVFOP 2006"</f>
        <v>2006 IEEE Avionics Fiber Optics and Photonics Conference, AVFOP 2006</v>
      </c>
      <c r="B1024" s="8" t="str">
        <f>"9781424404087"</f>
        <v>9781424404087</v>
      </c>
      <c r="C1024" s="8" t="s">
        <v>9</v>
      </c>
    </row>
    <row r="1025" spans="1:3" x14ac:dyDescent="0.25">
      <c r="A1025" s="8" t="str">
        <f>"2006 IEEE Conference on Cybernetics and Intelligent Systems"</f>
        <v>2006 IEEE Conference on Cybernetics and Intelligent Systems</v>
      </c>
      <c r="B1025" s="8" t="str">
        <f>"9781424400232"</f>
        <v>9781424400232</v>
      </c>
      <c r="C1025" s="8" t="s">
        <v>9</v>
      </c>
    </row>
    <row r="1026" spans="1:3" x14ac:dyDescent="0.25">
      <c r="A1026" s="8" t="str">
        <f>"2006 IEEE Conference on Cybernetics and Intelligent Systems, CIS 2006"</f>
        <v>2006 IEEE Conference on Cybernetics and Intelligent Systems, CIS 2006</v>
      </c>
      <c r="B1026" s="8" t="str">
        <f>"9781424400232"</f>
        <v>9781424400232</v>
      </c>
      <c r="C1026" s="8" t="s">
        <v>9</v>
      </c>
    </row>
    <row r="1027" spans="1:3" x14ac:dyDescent="0.25">
      <c r="A1027" s="8" t="str">
        <f>"2006 IEEE Conference on Electric and Hybrid Vehicles, ICEHV"</f>
        <v>2006 IEEE Conference on Electric and Hybrid Vehicles, ICEHV</v>
      </c>
      <c r="B1027" s="8" t="str">
        <f>"9780780397941"</f>
        <v>9780780397941</v>
      </c>
      <c r="C1027" s="8" t="s">
        <v>9</v>
      </c>
    </row>
    <row r="1028" spans="1:3" x14ac:dyDescent="0.25">
      <c r="A1028" s="8" t="str">
        <f>"2006 IEEE Conference on Information Sciences and Systems, CISS 2006 - Proceedings"</f>
        <v>2006 IEEE Conference on Information Sciences and Systems, CISS 2006 - Proceedings</v>
      </c>
      <c r="B1028" s="8" t="str">
        <f>"9781424403509"</f>
        <v>9781424403509</v>
      </c>
      <c r="C1028" s="8" t="s">
        <v>105</v>
      </c>
    </row>
    <row r="1029" spans="1:3" x14ac:dyDescent="0.25">
      <c r="A1029" s="8" t="str">
        <f>"2006 IEEE Conference on Robotics, Automation and Mechatronics"</f>
        <v>2006 IEEE Conference on Robotics, Automation and Mechatronics</v>
      </c>
      <c r="B1029" s="8" t="str">
        <f>"9781424400249"</f>
        <v>9781424400249</v>
      </c>
      <c r="C1029" s="8" t="s">
        <v>9</v>
      </c>
    </row>
    <row r="1030" spans="1:3" x14ac:dyDescent="0.25">
      <c r="A1030" s="8" t="str">
        <f>"2006 IEEE Congress on Evolutionary Computation, CEC 2006"</f>
        <v>2006 IEEE Congress on Evolutionary Computation, CEC 2006</v>
      </c>
      <c r="B1030" s="8" t="str">
        <f>"9780780394872"</f>
        <v>9780780394872</v>
      </c>
      <c r="C1030" s="8" t="s">
        <v>9</v>
      </c>
    </row>
    <row r="1031" spans="1:3" x14ac:dyDescent="0.25">
      <c r="A1031" s="8" t="str">
        <f>"2006 IEEE Dallas/CAS Workshop onDesign, Applications, Integration and Software, DCAS-06"</f>
        <v>2006 IEEE Dallas/CAS Workshop onDesign, Applications, Integration and Software, DCAS-06</v>
      </c>
      <c r="B1031" s="8" t="str">
        <f>"9781424406692"</f>
        <v>9781424406692</v>
      </c>
      <c r="C1031" s="8" t="s">
        <v>9</v>
      </c>
    </row>
    <row r="1032" spans="1:3" x14ac:dyDescent="0.25">
      <c r="A1032" s="8" t="str">
        <f>"2006 IEEE Design and Diagnostics of Electronic Circuits and systems"</f>
        <v>2006 IEEE Design and Diagnostics of Electronic Circuits and systems</v>
      </c>
      <c r="B1032" s="8" t="str">
        <f>"-"</f>
        <v>-</v>
      </c>
      <c r="C1032" s="8" t="s">
        <v>9</v>
      </c>
    </row>
    <row r="1033" spans="1:3" x14ac:dyDescent="0.25">
      <c r="A1033" s="8" t="str">
        <f>"2006 IEEE EIC Climate Change Technology Conference, EICCCC 2006"</f>
        <v>2006 IEEE EIC Climate Change Technology Conference, EICCCC 2006</v>
      </c>
      <c r="B1033" s="8" t="str">
        <f>"9781424402182"</f>
        <v>9781424402182</v>
      </c>
      <c r="C1033" s="8" t="s">
        <v>9</v>
      </c>
    </row>
    <row r="1034" spans="1:3" x14ac:dyDescent="0.25">
      <c r="A1034" s="8" t="str">
        <f>"2006 IEEE GCC Conference, GCC 2006"</f>
        <v>2006 IEEE GCC Conference, GCC 2006</v>
      </c>
      <c r="B1034" s="8" t="str">
        <f>"9780780395909"</f>
        <v>9780780395909</v>
      </c>
      <c r="C1034" s="8" t="s">
        <v>9</v>
      </c>
    </row>
    <row r="1035" spans="1:3" x14ac:dyDescent="0.25">
      <c r="A1035" s="8" t="str">
        <f>"2006 IEEE Information Theory Workshop, ITW 2006"</f>
        <v>2006 IEEE Information Theory Workshop, ITW 2006</v>
      </c>
      <c r="B1035" s="8" t="str">
        <f>"-"</f>
        <v>-</v>
      </c>
      <c r="C1035" s="8" t="s">
        <v>9</v>
      </c>
    </row>
    <row r="1036" spans="1:3" x14ac:dyDescent="0.25">
      <c r="A1036" s="8" t="str">
        <f>"2006 IEEE International Conference on Automation Science and Engineering, CASE"</f>
        <v>2006 IEEE International Conference on Automation Science and Engineering, CASE</v>
      </c>
      <c r="B1036" s="8" t="str">
        <f>"9781424403103"</f>
        <v>9781424403103</v>
      </c>
      <c r="C1036" s="8" t="s">
        <v>105</v>
      </c>
    </row>
    <row r="1037" spans="1:3" x14ac:dyDescent="0.25">
      <c r="A1037" s="8" t="str">
        <f>"2006 IEEE International Conference on Automation, Quality and Testing, Robotics, AQTR"</f>
        <v>2006 IEEE International Conference on Automation, Quality and Testing, Robotics, AQTR</v>
      </c>
      <c r="B1037" s="8" t="str">
        <f>"9781424403608"</f>
        <v>9781424403608</v>
      </c>
      <c r="C1037" s="8" t="s">
        <v>105</v>
      </c>
    </row>
    <row r="1038" spans="1:3" x14ac:dyDescent="0.25">
      <c r="A1038" s="8" t="str">
        <f>"2006 IEEE International Conference on Computational Cybernetics, ICCC"</f>
        <v>2006 IEEE International Conference on Computational Cybernetics, ICCC</v>
      </c>
      <c r="B1038" s="8" t="str">
        <f>"9781424400713"</f>
        <v>9781424400713</v>
      </c>
      <c r="C1038" s="8" t="s">
        <v>9</v>
      </c>
    </row>
    <row r="1039" spans="1:3" x14ac:dyDescent="0.25">
      <c r="A1039" s="8" t="str">
        <f>"2006 IEEE International Conference on Electro Information Technology"</f>
        <v>2006 IEEE International Conference on Electro Information Technology</v>
      </c>
      <c r="B1039" s="8" t="str">
        <f>"9780780395930"</f>
        <v>9780780395930</v>
      </c>
      <c r="C1039" s="8" t="s">
        <v>9</v>
      </c>
    </row>
    <row r="1040" spans="1:3" x14ac:dyDescent="0.25">
      <c r="A1040" s="8" t="str">
        <f>"2006 IEEE International Conference on Granular Computing"</f>
        <v>2006 IEEE International Conference on Granular Computing</v>
      </c>
      <c r="B1040" s="8" t="str">
        <f>"-"</f>
        <v>-</v>
      </c>
      <c r="C1040" s="8" t="s">
        <v>9</v>
      </c>
    </row>
    <row r="1041" spans="1:3" x14ac:dyDescent="0.25">
      <c r="A1041" s="8" t="str">
        <f>"2006 IEEE International Conference on Industrial Informatics, INDIN'06"</f>
        <v>2006 IEEE International Conference on Industrial Informatics, INDIN'06</v>
      </c>
      <c r="B1041" s="8" t="str">
        <f>"9780780397019"</f>
        <v>9780780397019</v>
      </c>
      <c r="C1041" s="8" t="s">
        <v>9</v>
      </c>
    </row>
    <row r="1042" spans="1:3" x14ac:dyDescent="0.25">
      <c r="A1042" s="8" t="str">
        <f>"2006 IEEE International Conference on Integrated Circuit Design and Technology, ICICDT'06"</f>
        <v>2006 IEEE International Conference on Integrated Circuit Design and Technology, ICICDT'06</v>
      </c>
      <c r="B1042" s="8" t="str">
        <f>"-"</f>
        <v>-</v>
      </c>
      <c r="C1042" s="8" t="s">
        <v>9</v>
      </c>
    </row>
    <row r="1043" spans="1:3" x14ac:dyDescent="0.25">
      <c r="A1043" s="8" t="str">
        <f>"2006 IEEE International Conference on Mechatronics and Automation, ICMA 2006"</f>
        <v>2006 IEEE International Conference on Mechatronics and Automation, ICMA 2006</v>
      </c>
      <c r="B1043" s="8" t="str">
        <f>"-"</f>
        <v>-</v>
      </c>
      <c r="C1043" s="8" t="s">
        <v>9</v>
      </c>
    </row>
    <row r="1044" spans="1:3" x14ac:dyDescent="0.25">
      <c r="A1044" s="8" t="str">
        <f>"2006 IEEE International Conference on Mechatronics, ICM"</f>
        <v>2006 IEEE International Conference on Mechatronics, ICM</v>
      </c>
      <c r="B1044" s="8" t="str">
        <f>"9780780397132"</f>
        <v>9780780397132</v>
      </c>
      <c r="C1044" s="8" t="s">
        <v>9</v>
      </c>
    </row>
    <row r="1045" spans="1:3" x14ac:dyDescent="0.25">
      <c r="A1045" s="8" t="str">
        <f>"2006 IEEE International Conference on Mobile Ad Hoc and Sensor Systems, MASS"</f>
        <v>2006 IEEE International Conference on Mobile Ad Hoc and Sensor Systems, MASS</v>
      </c>
      <c r="B1045" s="8" t="str">
        <f>"9781424405077"</f>
        <v>9781424405077</v>
      </c>
      <c r="C1045" s="8" t="s">
        <v>9</v>
      </c>
    </row>
    <row r="1046" spans="1:3" x14ac:dyDescent="0.25">
      <c r="A1046" s="8" t="str">
        <f>"2006 IEEE International Conference on Multimedia and Expo, ICME 2006 - Proceedings"</f>
        <v>2006 IEEE International Conference on Multimedia and Expo, ICME 2006 - Proceedings</v>
      </c>
      <c r="B1046" s="8" t="str">
        <f>"-"</f>
        <v>-</v>
      </c>
      <c r="C1046" s="8" t="s">
        <v>9</v>
      </c>
    </row>
    <row r="1047" spans="1:3" x14ac:dyDescent="0.25">
      <c r="A1047" s="8" t="str">
        <f>"2006 IEEE International Conference on Robotics and Biomimetics, ROBIO 2006"</f>
        <v>2006 IEEE International Conference on Robotics and Biomimetics, ROBIO 2006</v>
      </c>
      <c r="B1047" s="8" t="str">
        <f>"9781424405718"</f>
        <v>9781424405718</v>
      </c>
      <c r="C1047" s="8" t="s">
        <v>9</v>
      </c>
    </row>
    <row r="1048" spans="1:3" x14ac:dyDescent="0.25">
      <c r="A1048" s="8" t="str">
        <f>"2006 IEEE International Conference on Service Operations and Logistics, and Informatics, SOLI 2006"</f>
        <v>2006 IEEE International Conference on Service Operations and Logistics, and Informatics, SOLI 2006</v>
      </c>
      <c r="B1048" s="8" t="str">
        <f>"9781424403189"</f>
        <v>9781424403189</v>
      </c>
      <c r="C1048" s="8" t="s">
        <v>9</v>
      </c>
    </row>
    <row r="1049" spans="1:3" x14ac:dyDescent="0.25">
      <c r="A1049" s="8" t="str">
        <f>"2006 IEEE International Conference on Vehicular Electronics and Safety, ICVES"</f>
        <v>2006 IEEE International Conference on Vehicular Electronics and Safety, ICVES</v>
      </c>
      <c r="B1049" s="8" t="str">
        <f>"9781424407590"</f>
        <v>9781424407590</v>
      </c>
      <c r="C1049" s="8" t="s">
        <v>9</v>
      </c>
    </row>
    <row r="1050" spans="1:3" x14ac:dyDescent="0.25">
      <c r="A1050" s="8" t="str">
        <f>"2006 IEEE International Symposium on Micro-Nano Mechanical and Human Science, MHS"</f>
        <v>2006 IEEE International Symposium on Micro-Nano Mechanical and Human Science, MHS</v>
      </c>
      <c r="B1050" s="8" t="str">
        <f>"9781424407170"</f>
        <v>9781424407170</v>
      </c>
      <c r="C1050" s="8" t="s">
        <v>9</v>
      </c>
    </row>
    <row r="1051" spans="1:3" x14ac:dyDescent="0.25">
      <c r="A1051" s="8" t="str">
        <f>"2006 IEEE International Symposium on Power Line Communications and Its Applications, ISPLC'06"</f>
        <v>2006 IEEE International Symposium on Power Line Communications and Its Applications, ISPLC'06</v>
      </c>
      <c r="B1051" s="8" t="str">
        <f>"9781424401130"</f>
        <v>9781424401130</v>
      </c>
      <c r="C1051" s="8" t="s">
        <v>9</v>
      </c>
    </row>
    <row r="1052" spans="1:3" x14ac:dyDescent="0.25">
      <c r="A1052" s="8" t="str">
        <f>"2006 IEEE International Systems-on-Chip Conference, SOC"</f>
        <v>2006 IEEE International Systems-on-Chip Conference, SOC</v>
      </c>
      <c r="B1052" s="8" t="str">
        <f>"9780780397811"</f>
        <v>9780780397811</v>
      </c>
      <c r="C1052" s="8" t="s">
        <v>105</v>
      </c>
    </row>
    <row r="1053" spans="1:3" x14ac:dyDescent="0.25">
      <c r="A1053" s="8" t="str">
        <f>"2006 IEEE International Vacuum Electronics Conference held jointly with 2006 IEEE International Vacuum Electron Sources, IVEC/IVESC 2006"</f>
        <v>2006 IEEE International Vacuum Electronics Conference held jointly with 2006 IEEE International Vacuum Electron Sources, IVEC/IVESC 2006</v>
      </c>
      <c r="B1053" s="8" t="str">
        <f>"-"</f>
        <v>-</v>
      </c>
      <c r="C1053" s="8" t="s">
        <v>9</v>
      </c>
    </row>
    <row r="1054" spans="1:3" x14ac:dyDescent="0.25">
      <c r="A1054" s="8" t="str">
        <f>"2006 IEEE International Workshop on Antenna Technology, IWAT 2006 - Small Antennas and Novel Metamaterials"</f>
        <v>2006 IEEE International Workshop on Antenna Technology, IWAT 2006 - Small Antennas and Novel Metamaterials</v>
      </c>
      <c r="B1054" s="8" t="str">
        <f>"-"</f>
        <v>-</v>
      </c>
      <c r="C1054" s="8" t="s">
        <v>9</v>
      </c>
    </row>
    <row r="1055" spans="1:3" x14ac:dyDescent="0.25">
      <c r="A1055" s="8" t="str">
        <f>"2006 IEEE International Workshop on Genomic Signal Processing and Statistics, GENSIPS 2006"</f>
        <v>2006 IEEE International Workshop on Genomic Signal Processing and Statistics, GENSIPS 2006</v>
      </c>
      <c r="B1055" s="8" t="str">
        <f>"9781424403851"</f>
        <v>9781424403851</v>
      </c>
      <c r="C1055" s="8" t="s">
        <v>9</v>
      </c>
    </row>
    <row r="1056" spans="1:3" x14ac:dyDescent="0.25">
      <c r="A1056" s="8" t="str">
        <f>"2006 IEEE Long Island Systems, Applications and Technology Conference, LISAT"</f>
        <v>2006 IEEE Long Island Systems, Applications and Technology Conference, LISAT</v>
      </c>
      <c r="B1056" s="8" t="str">
        <f>"9781424403004"</f>
        <v>9781424403004</v>
      </c>
      <c r="C1056" s="8" t="s">
        <v>9</v>
      </c>
    </row>
    <row r="1057" spans="1:3" x14ac:dyDescent="0.25">
      <c r="A1057" s="8" t="str">
        <f>"2006 IEEE MicroRad Proceedings - 9th Specialist Meeting on Microwave Radiometry and Remote Sensing Applications, MicroRad'06"</f>
        <v>2006 IEEE MicroRad Proceedings - 9th Specialist Meeting on Microwave Radiometry and Remote Sensing Applications, MicroRad'06</v>
      </c>
      <c r="B1057" s="8" t="str">
        <f>"9780780394179"</f>
        <v>9780780394179</v>
      </c>
      <c r="C1057" s="8" t="s">
        <v>9</v>
      </c>
    </row>
    <row r="1058" spans="1:3" x14ac:dyDescent="0.25">
      <c r="A1058" s="8" t="str">
        <f>"2006 IEEE Mountain Workshop on Adaptive and Learning Systems, SMCals 2006"</f>
        <v>2006 IEEE Mountain Workshop on Adaptive and Learning Systems, SMCals 2006</v>
      </c>
      <c r="B1058" s="8" t="str">
        <f>"-"</f>
        <v>-</v>
      </c>
      <c r="C1058" s="8" t="s">
        <v>9</v>
      </c>
    </row>
    <row r="1059" spans="1:3" x14ac:dyDescent="0.25">
      <c r="A1059" s="8" t="str">
        <f>"2006 IEEE Nanotechnology Materials and Devices Conference, NMDC"</f>
        <v>2006 IEEE Nanotechnology Materials and Devices Conference, NMDC</v>
      </c>
      <c r="B1059" s="8" t="str">
        <f>"9781424405404"</f>
        <v>9781424405404</v>
      </c>
      <c r="C1059" s="8" t="s">
        <v>9</v>
      </c>
    </row>
    <row r="1060" spans="1:3" x14ac:dyDescent="0.25">
      <c r="A1060" s="8" t="str">
        <f>"2006 IEEE PES Power Systems Conference and Exposition, PSCE 2006 - Proceedings"</f>
        <v>2006 IEEE PES Power Systems Conference and Exposition, PSCE 2006 - Proceedings</v>
      </c>
      <c r="B1060" s="8" t="str">
        <f>"9781424401789"</f>
        <v>9781424401789</v>
      </c>
      <c r="C1060" s="8" t="s">
        <v>21</v>
      </c>
    </row>
    <row r="1061" spans="1:3" x14ac:dyDescent="0.25">
      <c r="A1061" s="8" t="str">
        <f>"2006 IEEE PES Transmission and Distribution Conference and Exposition: Latin America, TDC'06"</f>
        <v>2006 IEEE PES Transmission and Distribution Conference and Exposition: Latin America, TDC'06</v>
      </c>
      <c r="B1061" s="8" t="str">
        <f>"9781424402885"</f>
        <v>9781424402885</v>
      </c>
      <c r="C1061" s="8" t="s">
        <v>9</v>
      </c>
    </row>
    <row r="1062" spans="1:3" x14ac:dyDescent="0.25">
      <c r="A1062" s="8" t="str">
        <f>"2006 IEEE Power Engineering Society General Meeting, PES"</f>
        <v>2006 IEEE Power Engineering Society General Meeting, PES</v>
      </c>
      <c r="B1062" s="8" t="str">
        <f>"9781424404933"</f>
        <v>9781424404933</v>
      </c>
      <c r="C1062" s="8" t="s">
        <v>9</v>
      </c>
    </row>
    <row r="1063" spans="1:3" x14ac:dyDescent="0.25">
      <c r="A1063" s="8" t="str">
        <f>"2006 IEEE Power India Conference"</f>
        <v>2006 IEEE Power India Conference</v>
      </c>
      <c r="B1063" s="8" t="str">
        <f>"-"</f>
        <v>-</v>
      </c>
      <c r="C1063" s="8" t="s">
        <v>9</v>
      </c>
    </row>
    <row r="1064" spans="1:3" x14ac:dyDescent="0.25">
      <c r="A1064" s="8" t="str">
        <f>"2006 IEEE Region 5 Conference"</f>
        <v>2006 IEEE Region 5 Conference</v>
      </c>
      <c r="B1064" s="8" t="str">
        <f>"9781424403592"</f>
        <v>9781424403592</v>
      </c>
      <c r="C1064" s="8" t="s">
        <v>9</v>
      </c>
    </row>
    <row r="1065" spans="1:3" x14ac:dyDescent="0.25">
      <c r="A1065" s="8" t="str">
        <f>"2006 IEEE Sarnoff Symposium"</f>
        <v>2006 IEEE Sarnoff Symposium</v>
      </c>
      <c r="B1065" s="8" t="str">
        <f>"9781424400027"</f>
        <v>9781424400027</v>
      </c>
      <c r="C1065" s="8" t="s">
        <v>9</v>
      </c>
    </row>
    <row r="1066" spans="1:3" x14ac:dyDescent="0.25">
      <c r="A1066" s="8" t="str">
        <f>"2006 IEEE Sensor Array and Multichannel Signal Processing Workshop Proceedings, SAM 2006"</f>
        <v>2006 IEEE Sensor Array and Multichannel Signal Processing Workshop Proceedings, SAM 2006</v>
      </c>
      <c r="B1066" s="8" t="str">
        <f>"9781424403080"</f>
        <v>9781424403080</v>
      </c>
      <c r="C1066" s="8" t="s">
        <v>9</v>
      </c>
    </row>
    <row r="1067" spans="1:3" x14ac:dyDescent="0.25">
      <c r="A1067" s="8" t="str">
        <f>"2006 IEEE Singapore International Conference on Communication Systems, ICCS 2006"</f>
        <v>2006 IEEE Singapore International Conference on Communication Systems, ICCS 2006</v>
      </c>
      <c r="B1067" s="8" t="str">
        <f>"9781424404117"</f>
        <v>9781424404117</v>
      </c>
      <c r="C1067" s="8" t="s">
        <v>9</v>
      </c>
    </row>
    <row r="1068" spans="1:3" x14ac:dyDescent="0.25">
      <c r="A1068" s="8" t="str">
        <f>"2006 IEEE Symposium on Product Safety Engineering, PSES"</f>
        <v>2006 IEEE Symposium on Product Safety Engineering, PSES</v>
      </c>
      <c r="B1068" s="8" t="str">
        <f>"9781424403479"</f>
        <v>9781424403479</v>
      </c>
      <c r="C1068" s="8" t="s">
        <v>9</v>
      </c>
    </row>
    <row r="1069" spans="1:3" x14ac:dyDescent="0.25">
      <c r="A1069" s="8" t="str">
        <f>"2006 IEEE Vehicle Power and Propulsion Conference, VPPC 2006"</f>
        <v>2006 IEEE Vehicle Power and Propulsion Conference, VPPC 2006</v>
      </c>
      <c r="B1069" s="8" t="str">
        <f>"9781424401581"</f>
        <v>9781424401581</v>
      </c>
      <c r="C1069" s="8" t="s">
        <v>9</v>
      </c>
    </row>
    <row r="1070" spans="1:3" x14ac:dyDescent="0.25">
      <c r="A1070" s="8" t="str">
        <f>"2006 IEEE Workshop on Microelectronics and Electron Devices, WMED'06"</f>
        <v>2006 IEEE Workshop on Microelectronics and Electron Devices, WMED'06</v>
      </c>
      <c r="B1070" s="8" t="str">
        <f>"-"</f>
        <v>-</v>
      </c>
      <c r="C1070" s="8" t="s">
        <v>9</v>
      </c>
    </row>
    <row r="1071" spans="1:3" x14ac:dyDescent="0.25">
      <c r="A1071" s="8" t="str">
        <f>"2006 IEEE Workshop on Signal Processing Systems Design and Implementation, SIPS"</f>
        <v>2006 IEEE Workshop on Signal Processing Systems Design and Implementation, SIPS</v>
      </c>
      <c r="B1071" s="8" t="str">
        <f>"9781424403820"</f>
        <v>9781424403820</v>
      </c>
      <c r="C1071" s="8" t="s">
        <v>9</v>
      </c>
    </row>
    <row r="1072" spans="1:3" x14ac:dyDescent="0.25">
      <c r="A1072" s="8" t="str">
        <f>"2006 IEEE/NLM Life Science Systems and Applications Workshop, LiSA 2006"</f>
        <v>2006 IEEE/NLM Life Science Systems and Applications Workshop, LiSA 2006</v>
      </c>
      <c r="B1072" s="8" t="str">
        <f>"-"</f>
        <v>-</v>
      </c>
      <c r="C1072" s="8" t="s">
        <v>9</v>
      </c>
    </row>
    <row r="1073" spans="1:3" x14ac:dyDescent="0.25">
      <c r="A1073" s="8" t="str">
        <f>"2006 IFIP International Conference on Wireless and Optical Communications Networks"</f>
        <v>2006 IFIP International Conference on Wireless and Optical Communications Networks</v>
      </c>
      <c r="B1073" s="8" t="str">
        <f>"-"</f>
        <v>-</v>
      </c>
      <c r="C1073" s="8" t="s">
        <v>9</v>
      </c>
    </row>
    <row r="1074" spans="1:3" x14ac:dyDescent="0.25">
      <c r="A1074" s="8" t="str">
        <f>"2006 IIE Annual Conference and Exhibition"</f>
        <v>2006 IIE Annual Conference and Exhibition</v>
      </c>
      <c r="B1074" s="8" t="str">
        <f>"-"</f>
        <v>-</v>
      </c>
      <c r="C1074" s="8" t="s">
        <v>530</v>
      </c>
    </row>
    <row r="1075" spans="1:3" x14ac:dyDescent="0.25">
      <c r="A1075" s="8" t="str">
        <f>"2006 Innovations in Information Technology, IIT"</f>
        <v>2006 Innovations in Information Technology, IIT</v>
      </c>
      <c r="B1075" s="8" t="str">
        <f>"9781424406746"</f>
        <v>9781424406746</v>
      </c>
      <c r="C1075" s="8" t="s">
        <v>9</v>
      </c>
    </row>
    <row r="1076" spans="1:3" x14ac:dyDescent="0.25">
      <c r="A1076" s="8" t="str">
        <f>"2006 Inorganics Contaminants Workshop Proceedings"</f>
        <v>2006 Inorganics Contaminants Workshop Proceedings</v>
      </c>
      <c r="B1076" s="8" t="str">
        <f>"9781583214176"</f>
        <v>9781583214176</v>
      </c>
      <c r="C1076" s="8" t="s">
        <v>651</v>
      </c>
    </row>
    <row r="1077" spans="1:3" x14ac:dyDescent="0.25">
      <c r="A1077" s="8" t="str">
        <f>"2006 International Automotive Requirements Engineering Workshop, AuRE'06"</f>
        <v>2006 International Automotive Requirements Engineering Workshop, AuRE'06</v>
      </c>
      <c r="B1077" s="8" t="str">
        <f>"9780769527109"</f>
        <v>9780769527109</v>
      </c>
      <c r="C1077" s="8" t="s">
        <v>9</v>
      </c>
    </row>
    <row r="1078" spans="1:3" x14ac:dyDescent="0.25">
      <c r="A1078" s="8" t="str">
        <f>"2006 International Conference on Advances in Space Technologies, ICAST"</f>
        <v>2006 International Conference on Advances in Space Technologies, ICAST</v>
      </c>
      <c r="B1078" s="8" t="str">
        <f>"9781424405145"</f>
        <v>9781424405145</v>
      </c>
      <c r="C1078" s="8" t="s">
        <v>9</v>
      </c>
    </row>
    <row r="1079" spans="1:3" x14ac:dyDescent="0.25">
      <c r="A1079" s="8" t="str">
        <f>"2006 International Conference on Autonomic and Autonomous Systems, ICAS'06"</f>
        <v>2006 International Conference on Autonomic and Autonomous Systems, ICAS'06</v>
      </c>
      <c r="B1079" s="8" t="str">
        <f>"9780769526539"</f>
        <v>9780769526539</v>
      </c>
      <c r="C1079" s="8" t="s">
        <v>9</v>
      </c>
    </row>
    <row r="1080" spans="1:3" x14ac:dyDescent="0.25">
      <c r="A1080" s="8" t="str">
        <f>"2006 International Conference on Collaborative Computing: Networking, Applications and Worksharing, CollaborateCom"</f>
        <v>2006 International Conference on Collaborative Computing: Networking, Applications and Worksharing, CollaborateCom</v>
      </c>
      <c r="B1080" s="8" t="str">
        <f>"-"</f>
        <v>-</v>
      </c>
      <c r="C1080" s="8" t="s">
        <v>9</v>
      </c>
    </row>
    <row r="1081" spans="1:3" x14ac:dyDescent="0.25">
      <c r="A1081" s="8" t="str">
        <f>"2006 International Conference on Communications, Circuits and Systems, ICCCAS, Proceedings"</f>
        <v>2006 International Conference on Communications, Circuits and Systems, ICCCAS, Proceedings</v>
      </c>
      <c r="B1081" s="8" t="str">
        <f>"9780780395848"</f>
        <v>9780780395848</v>
      </c>
      <c r="C1081" s="8" t="s">
        <v>9</v>
      </c>
    </row>
    <row r="1082" spans="1:3" x14ac:dyDescent="0.25">
      <c r="A1082" s="8" t="str">
        <f>"2006 International Conference on Compound Semiconductor Manufacturing Technology"</f>
        <v>2006 International Conference on Compound Semiconductor Manufacturing Technology</v>
      </c>
      <c r="B1082" s="8" t="str">
        <f>"9781893580077"</f>
        <v>9781893580077</v>
      </c>
      <c r="C1082" s="8" t="s">
        <v>1336</v>
      </c>
    </row>
    <row r="1083" spans="1:3" x14ac:dyDescent="0.25">
      <c r="A1083" s="8" t="str">
        <f>"2006 International Conference on Computational Intelligence and Security, ICCIAS 2006"</f>
        <v>2006 International Conference on Computational Intelligence and Security, ICCIAS 2006</v>
      </c>
      <c r="B1083" s="8" t="str">
        <f>"9781424406050"</f>
        <v>9781424406050</v>
      </c>
      <c r="C1083" s="8" t="s">
        <v>9</v>
      </c>
    </row>
    <row r="1084" spans="1:3" x14ac:dyDescent="0.25">
      <c r="A1084" s="8" t="str">
        <f>"2006 International Conference on Computer Engineering and Systems, ICCES'06"</f>
        <v>2006 International Conference on Computer Engineering and Systems, ICCES'06</v>
      </c>
      <c r="B1084" s="8" t="str">
        <f>"9781424402717"</f>
        <v>9781424402717</v>
      </c>
      <c r="C1084" s="8" t="s">
        <v>9</v>
      </c>
    </row>
    <row r="1085" spans="1:3" x14ac:dyDescent="0.25">
      <c r="A1085" s="8" t="str">
        <f>"2006 International Conference on Computing and Informatics, ICOCI '06"</f>
        <v>2006 International Conference on Computing and Informatics, ICOCI '06</v>
      </c>
      <c r="B1085" s="8" t="str">
        <f>"9781424402205"</f>
        <v>9781424402205</v>
      </c>
      <c r="C1085" s="8" t="s">
        <v>9</v>
      </c>
    </row>
    <row r="1086" spans="1:3" x14ac:dyDescent="0.25">
      <c r="A1086" s="8" t="str">
        <f>"2006 International Conference on Cyberworlds, CW'06"</f>
        <v>2006 International Conference on Cyberworlds, CW'06</v>
      </c>
      <c r="B1086" s="8" t="str">
        <f>"9780769526713"</f>
        <v>9780769526713</v>
      </c>
      <c r="C1086" s="8" t="s">
        <v>9</v>
      </c>
    </row>
    <row r="1087" spans="1:3" x14ac:dyDescent="0.25">
      <c r="A1087" s="8" t="str">
        <f>"2006 International Conference on Electronic Materials and Packaging, EMAP"</f>
        <v>2006 International Conference on Electronic Materials and Packaging, EMAP</v>
      </c>
      <c r="B1087" s="8" t="str">
        <f>"9781424408344"</f>
        <v>9781424408344</v>
      </c>
      <c r="C1087" s="8" t="s">
        <v>9</v>
      </c>
    </row>
    <row r="1088" spans="1:3" x14ac:dyDescent="0.25">
      <c r="A1088" s="8" t="str">
        <f>"2006 International Conference on Information and Communication Technology and Development, ICTD2006"</f>
        <v>2006 International Conference on Information and Communication Technology and Development, ICTD2006</v>
      </c>
      <c r="B1088" s="8" t="str">
        <f>"9781424404858"</f>
        <v>9781424404858</v>
      </c>
      <c r="C1088" s="8" t="s">
        <v>9</v>
      </c>
    </row>
    <row r="1089" spans="1:3" x14ac:dyDescent="0.25">
      <c r="A1089" s="8" t="str">
        <f>"2006 International Conference on Megagauss Magnetic Field Generation and Related Topics, including the International Workshop on High Energy Liners and High Energy Density Applications, MEGAGAUSS"</f>
        <v>2006 International Conference on Megagauss Magnetic Field Generation and Related Topics, including the International Workshop on High Energy Liners and High Energy Density Applications, MEGAGAUSS</v>
      </c>
      <c r="B1089" s="8" t="str">
        <f>"9781424420612"</f>
        <v>9781424420612</v>
      </c>
      <c r="C1089" s="8" t="s">
        <v>9</v>
      </c>
    </row>
    <row r="1090" spans="1:3" x14ac:dyDescent="0.25">
      <c r="A1090" s="8" t="str">
        <f>"2006 International Conference on Numerical Simulation of Semiconductor Optoelectronic Devices, NUSOD '06"</f>
        <v>2006 International Conference on Numerical Simulation of Semiconductor Optoelectronic Devices, NUSOD '06</v>
      </c>
      <c r="B1090" s="8" t="str">
        <f>"9780780397552"</f>
        <v>9780780397552</v>
      </c>
      <c r="C1090" s="8" t="s">
        <v>105</v>
      </c>
    </row>
    <row r="1091" spans="1:3" x14ac:dyDescent="0.25">
      <c r="A1091" s="8" t="str">
        <f>"2006 International Conference on Photonics in Switching, Proceedings, PS"</f>
        <v>2006 International Conference on Photonics in Switching, Proceedings, PS</v>
      </c>
      <c r="B1091" s="8" t="str">
        <f>"9780780397897"</f>
        <v>9780780397897</v>
      </c>
      <c r="C1091" s="8" t="s">
        <v>9</v>
      </c>
    </row>
    <row r="1092" spans="1:3" x14ac:dyDescent="0.25">
      <c r="A1092" s="8" t="str">
        <f>"2006 International Conference on Power Electronics, Drives and Energy Systems, PEDES '06"</f>
        <v>2006 International Conference on Power Electronics, Drives and Energy Systems, PEDES '06</v>
      </c>
      <c r="B1092" s="8" t="str">
        <f>"9780780397729"</f>
        <v>9780780397729</v>
      </c>
      <c r="C1092" s="8" t="s">
        <v>9</v>
      </c>
    </row>
    <row r="1093" spans="1:3" x14ac:dyDescent="0.25">
      <c r="A1093" s="8" t="str">
        <f>"2006 International Conference on Power System Technology, POWERCON2006"</f>
        <v>2006 International Conference on Power System Technology, POWERCON2006</v>
      </c>
      <c r="B1093" s="8" t="str">
        <f>"9781424401116"</f>
        <v>9781424401116</v>
      </c>
      <c r="C1093" s="8" t="s">
        <v>105</v>
      </c>
    </row>
    <row r="1094" spans="1:3" x14ac:dyDescent="0.25">
      <c r="A1094" s="8" t="str">
        <f>"2006 International Conference on Software Engineering Advances, ICSEA'06"</f>
        <v>2006 International Conference on Software Engineering Advances, ICSEA'06</v>
      </c>
      <c r="B1094" s="8" t="str">
        <f>"9780769527031"</f>
        <v>9780769527031</v>
      </c>
      <c r="C1094" s="8" t="s">
        <v>9</v>
      </c>
    </row>
    <row r="1095" spans="1:3" x14ac:dyDescent="0.25">
      <c r="A1095" s="8" t="str">
        <f>"2006 International Conference on Transparent Optical Networks"</f>
        <v>2006 International Conference on Transparent Optical Networks</v>
      </c>
      <c r="B1095" s="8" t="str">
        <f>"9781424402366"</f>
        <v>9781424402366</v>
      </c>
      <c r="C1095" s="8" t="s">
        <v>9</v>
      </c>
    </row>
    <row r="1096" spans="1:3" x14ac:dyDescent="0.25">
      <c r="A1096" s="8" t="str">
        <f>"2006 International Conference on Wireless Communications, Networking and Mobile Computing, WiCOM 2006"</f>
        <v>2006 International Conference on Wireless Communications, Networking and Mobile Computing, WiCOM 2006</v>
      </c>
      <c r="B1096" s="8" t="str">
        <f>"-"</f>
        <v>-</v>
      </c>
      <c r="C1096" s="8" t="s">
        <v>9</v>
      </c>
    </row>
    <row r="1097" spans="1:3" x14ac:dyDescent="0.25">
      <c r="A1097" s="8" t="str">
        <f>"2006 International Interconnect Technology Conference, IITC"</f>
        <v>2006 International Interconnect Technology Conference, IITC</v>
      </c>
      <c r="B1097" s="8" t="str">
        <f>"9781424401031"</f>
        <v>9781424401031</v>
      </c>
      <c r="C1097" s="8" t="s">
        <v>9</v>
      </c>
    </row>
    <row r="1098" spans="1:3" x14ac:dyDescent="0.25">
      <c r="A1098" s="8" t="str">
        <f>"2006 International Microsystems, Packaging,Assembly Conference Taiwan, IMPACT - Proceedings of Technical Papers"</f>
        <v>2006 International Microsystems, Packaging,Assembly Conference Taiwan, IMPACT - Proceedings of Technical Papers</v>
      </c>
      <c r="B1098" s="8" t="str">
        <f>"9781424407354"</f>
        <v>9781424407354</v>
      </c>
      <c r="C1098" s="8" t="s">
        <v>9</v>
      </c>
    </row>
    <row r="1099" spans="1:3" x14ac:dyDescent="0.25">
      <c r="A1099" s="8" t="str">
        <f>"2006 International RF and Microwave Conference, (RFM) Proceedings"</f>
        <v>2006 International RF and Microwave Conference, (RFM) Proceedings</v>
      </c>
      <c r="B1099" s="8" t="str">
        <f>"9780780397446"</f>
        <v>9780780397446</v>
      </c>
      <c r="C1099" s="8" t="s">
        <v>9</v>
      </c>
    </row>
    <row r="1100" spans="1:3" x14ac:dyDescent="0.25">
      <c r="A1100" s="8" t="str">
        <f>"2006 International Students and Young Scientists Workshop Photonics and Microsystems, ISYSW"</f>
        <v>2006 International Students and Young Scientists Workshop Photonics and Microsystems, ISYSW</v>
      </c>
      <c r="B1100" s="8" t="str">
        <f>"9781424403929"</f>
        <v>9781424403929</v>
      </c>
      <c r="C1100" s="8" t="s">
        <v>9</v>
      </c>
    </row>
    <row r="1101" spans="1:3" x14ac:dyDescent="0.25">
      <c r="A1101" s="8" t="str">
        <f>"2006 International Symposium on Communications and Information Technologies, ISCIT"</f>
        <v>2006 International Symposium on Communications and Information Technologies, ISCIT</v>
      </c>
      <c r="B1101" s="8" t="str">
        <f>"-"</f>
        <v>-</v>
      </c>
      <c r="C1101" s="8" t="s">
        <v>9</v>
      </c>
    </row>
    <row r="1102" spans="1:3" x14ac:dyDescent="0.25">
      <c r="A1102" s="8" t="str">
        <f>"2006 International Symposium on High Capacity Optical Networks and Enabling Technologies, HONET 2006"</f>
        <v>2006 International Symposium on High Capacity Optical Networks and Enabling Technologies, HONET 2006</v>
      </c>
      <c r="B1102" s="8" t="str">
        <f>"9781424405190"</f>
        <v>9781424405190</v>
      </c>
      <c r="C1102" s="8" t="s">
        <v>9</v>
      </c>
    </row>
    <row r="1103" spans="1:3" x14ac:dyDescent="0.25">
      <c r="A1103" s="8" t="str">
        <f>"2006 International Symposium on Intelligent Signal Processing and Communications, ISPACS'06"</f>
        <v>2006 International Symposium on Intelligent Signal Processing and Communications, ISPACS'06</v>
      </c>
      <c r="B1103" s="8" t="str">
        <f>"9780780397330"</f>
        <v>9780780397330</v>
      </c>
      <c r="C1103" s="8" t="s">
        <v>105</v>
      </c>
    </row>
    <row r="1104" spans="1:3" x14ac:dyDescent="0.25">
      <c r="A1104" s="8" t="str">
        <f>"2006 International Symposium on System-on-Chip, SOC"</f>
        <v>2006 International Symposium on System-on-Chip, SOC</v>
      </c>
      <c r="B1104" s="8" t="str">
        <f>"9781424406227"</f>
        <v>9781424406227</v>
      </c>
      <c r="C1104" s="8" t="s">
        <v>9</v>
      </c>
    </row>
    <row r="1105" spans="1:3" x14ac:dyDescent="0.25">
      <c r="A1105" s="8" t="str">
        <f>"2006 International Symposium on VLSI Design, Automation and Test, VLSI-DAT 2006 - Proceedings of Technical Papers"</f>
        <v>2006 International Symposium on VLSI Design, Automation and Test, VLSI-DAT 2006 - Proceedings of Technical Papers</v>
      </c>
      <c r="B1105" s="8" t="str">
        <f>"9781424401796"</f>
        <v>9781424401796</v>
      </c>
      <c r="C1105" s="8" t="s">
        <v>9</v>
      </c>
    </row>
    <row r="1106" spans="1:3" x14ac:dyDescent="0.25">
      <c r="A1106" s="8" t="str">
        <f>"2006 International Telecommunications Symposium, ITS"</f>
        <v>2006 International Telecommunications Symposium, ITS</v>
      </c>
      <c r="B1106" s="8" t="str">
        <f>"9788589748049"</f>
        <v>9788589748049</v>
      </c>
      <c r="C1106" s="8" t="s">
        <v>9</v>
      </c>
    </row>
    <row r="1107" spans="1:3" x14ac:dyDescent="0.25">
      <c r="A1107" s="8" t="str">
        <f>"2006 International Topical Meeting on Microwave Photonics, MWP"</f>
        <v>2006 International Topical Meeting on Microwave Photonics, MWP</v>
      </c>
      <c r="B1107" s="8" t="str">
        <f>"9781424402038"</f>
        <v>9781424402038</v>
      </c>
      <c r="C1107" s="8" t="s">
        <v>9</v>
      </c>
    </row>
    <row r="1108" spans="1:3" x14ac:dyDescent="0.25">
      <c r="A1108" s="8" t="str">
        <f>"2006 International Workshop on Integrated Nonlinear Microwave and Millimeter-Wave Circuits, INMMIC 2006 - Proceedings"</f>
        <v>2006 International Workshop on Integrated Nonlinear Microwave and Millimeter-Wave Circuits, INMMIC 2006 - Proceedings</v>
      </c>
      <c r="B1108" s="8" t="str">
        <f>"9780780397231"</f>
        <v>9780780397231</v>
      </c>
      <c r="C1108" s="8" t="s">
        <v>105</v>
      </c>
    </row>
    <row r="1109" spans="1:3" x14ac:dyDescent="0.25">
      <c r="A1109" s="8" t="str">
        <f>"2006 International Workshop on Nano CMOS - Proceedings, IWNC"</f>
        <v>2006 International Workshop on Nano CMOS - Proceedings, IWNC</v>
      </c>
      <c r="B1109" s="8" t="str">
        <f>"9781424406036"</f>
        <v>9781424406036</v>
      </c>
      <c r="C1109" s="8" t="s">
        <v>9</v>
      </c>
    </row>
    <row r="1110" spans="1:3" x14ac:dyDescent="0.25">
      <c r="A1110" s="8" t="str">
        <f>"2006 International Workshop on Satellite and Space Communications, IWSSC"</f>
        <v>2006 International Workshop on Satellite and Space Communications, IWSSC</v>
      </c>
      <c r="B1110" s="8" t="str">
        <f>"9781424401185"</f>
        <v>9781424401185</v>
      </c>
      <c r="C1110" s="8" t="s">
        <v>105</v>
      </c>
    </row>
    <row r="1111" spans="1:3" x14ac:dyDescent="0.25">
      <c r="A1111" s="8" t="str">
        <f>"2006 ITI 4th International Conference on Information and Communications Technology, ICICT"</f>
        <v>2006 ITI 4th International Conference on Information and Communications Technology, ICICT</v>
      </c>
      <c r="B1111" s="8" t="str">
        <f>"9780780397705"</f>
        <v>9780780397705</v>
      </c>
      <c r="C1111" s="8" t="s">
        <v>9</v>
      </c>
    </row>
    <row r="1112" spans="1:3" x14ac:dyDescent="0.25">
      <c r="A1112" s="8" t="str">
        <f>"2006 Northern Optics Conference Proceedings, NO"</f>
        <v>2006 Northern Optics Conference Proceedings, NO</v>
      </c>
      <c r="B1112" s="8" t="str">
        <f>"9781424404353"</f>
        <v>9781424404353</v>
      </c>
      <c r="C1112" s="8" t="s">
        <v>9</v>
      </c>
    </row>
    <row r="1113" spans="1:3" x14ac:dyDescent="0.25">
      <c r="A1113" s="8" t="str">
        <f>"2006 NSTI Nanotechnology Conference and Trade Show - NSTI Nanotech 2006 Technical Proceedings"</f>
        <v>2006 NSTI Nanotechnology Conference and Trade Show - NSTI Nanotech 2006 Technical Proceedings</v>
      </c>
      <c r="B1113" s="8" t="str">
        <f>"-"</f>
        <v>-</v>
      </c>
      <c r="C1113" s="8" t="s">
        <v>1334</v>
      </c>
    </row>
    <row r="1114" spans="1:3" x14ac:dyDescent="0.25">
      <c r="A1114" s="8" t="str">
        <f>"2006 Optical Data Storage Topical Meeting - Post Deadline Papers"</f>
        <v>2006 Optical Data Storage Topical Meeting - Post Deadline Papers</v>
      </c>
      <c r="B1114" s="8" t="str">
        <f>"-"</f>
        <v>-</v>
      </c>
      <c r="C1114" s="8" t="s">
        <v>9</v>
      </c>
    </row>
    <row r="1115" spans="1:3" x14ac:dyDescent="0.25">
      <c r="A1115" s="8" t="str">
        <f>"2006 Optical Fiber Communication Conference, and the 2006 National Fiber Optic Engineers Conference"</f>
        <v>2006 Optical Fiber Communication Conference, and the 2006 National Fiber Optic Engineers Conference</v>
      </c>
      <c r="B1115" s="8" t="str">
        <f>"-"</f>
        <v>-</v>
      </c>
      <c r="C1115" s="8" t="s">
        <v>9</v>
      </c>
    </row>
    <row r="1116" spans="1:3" x14ac:dyDescent="0.25">
      <c r="A1116" s="8" t="str">
        <f>"2006 Optics Valley of China International Symposium on Optoelectronics, OVC EXPO"</f>
        <v>2006 Optics Valley of China International Symposium on Optoelectronics, OVC EXPO</v>
      </c>
      <c r="B1116" s="8" t="str">
        <f>"9781424408160"</f>
        <v>9781424408160</v>
      </c>
      <c r="C1116" s="8" t="s">
        <v>9</v>
      </c>
    </row>
    <row r="1117" spans="1:3" x14ac:dyDescent="0.25">
      <c r="A1117" s="8" t="str">
        <f>"2006 Pervasive Health Conference and Workshops, PervasiveHealth"</f>
        <v>2006 Pervasive Health Conference and Workshops, PervasiveHealth</v>
      </c>
      <c r="B1117" s="8" t="str">
        <f>"9781424410866"</f>
        <v>9781424410866</v>
      </c>
      <c r="C1117" s="8" t="s">
        <v>9</v>
      </c>
    </row>
    <row r="1118" spans="1:3" x14ac:dyDescent="0.25">
      <c r="A1118" s="8" t="str">
        <f>"2006 Proceedings - 11th International Chemical-Mechanical Planarization for ULSI Multilevel Interconnection Conference, CMP-MIC 2006"</f>
        <v>2006 Proceedings - 11th International Chemical-Mechanical Planarization for ULSI Multilevel Interconnection Conference, CMP-MIC 2006</v>
      </c>
      <c r="B1118" s="8" t="str">
        <f>"-"</f>
        <v>-</v>
      </c>
      <c r="C1118" s="8" t="s">
        <v>1338</v>
      </c>
    </row>
    <row r="1119" spans="1:3" x14ac:dyDescent="0.25">
      <c r="A1119" s="8" t="str">
        <f>"2006 Proceedings - 12th ISSAT International Conference on Reliability and Quality in Design"</f>
        <v>2006 Proceedings - 12th ISSAT International Conference on Reliability and Quality in Design</v>
      </c>
      <c r="B1119" s="8" t="str">
        <f>"9780976348610"</f>
        <v>9780976348610</v>
      </c>
      <c r="C1119" s="8" t="s">
        <v>1339</v>
      </c>
    </row>
    <row r="1120" spans="1:3" x14ac:dyDescent="0.25">
      <c r="A1120" s="8" t="str">
        <f>"2006 Proceedings - 23rd International VLSI Multilevel Interconnection Conference, VMIC 2006"</f>
        <v>2006 Proceedings - 23rd International VLSI Multilevel Interconnection Conference, VMIC 2006</v>
      </c>
      <c r="B1120" s="8" t="str">
        <f>"-"</f>
        <v>-</v>
      </c>
      <c r="C1120" s="8" t="s">
        <v>1338</v>
      </c>
    </row>
    <row r="1121" spans="1:3" x14ac:dyDescent="0.25">
      <c r="A1121" s="8" t="str">
        <f>"2006 Proceedings of the 23rd International Symposium on Robotics and Automation in Construction, ISARC 2006"</f>
        <v>2006 Proceedings of the 23rd International Symposium on Robotics and Automation in Construction, ISARC 2006</v>
      </c>
      <c r="B1121" s="8" t="str">
        <f>"9784990271718"</f>
        <v>9784990271718</v>
      </c>
      <c r="C1121" s="8" t="s">
        <v>1342</v>
      </c>
    </row>
    <row r="1122" spans="1:3" x14ac:dyDescent="0.25">
      <c r="A1122" s="8" t="str">
        <f>"2006 ROCS Workshop - Reliability of Compound Semiconductors, Proceedings"</f>
        <v>2006 ROCS Workshop - Reliability of Compound Semiconductors, Proceedings</v>
      </c>
      <c r="B1122" s="8" t="str">
        <f>"9780790801131"</f>
        <v>9780790801131</v>
      </c>
      <c r="C1122" s="8" t="s">
        <v>9</v>
      </c>
    </row>
    <row r="1123" spans="1:3" x14ac:dyDescent="0.25">
      <c r="A1123" s="8" t="str">
        <f>"2006 Second IEEE and IFIP International Conference in Central Asia on Internet, ICI 2006"</f>
        <v>2006 Second IEEE and IFIP International Conference in Central Asia on Internet, ICI 2006</v>
      </c>
      <c r="B1123" s="8" t="str">
        <f>"9781424405435"</f>
        <v>9781424405435</v>
      </c>
      <c r="C1123" s="8" t="s">
        <v>9</v>
      </c>
    </row>
    <row r="1124" spans="1:3" x14ac:dyDescent="0.25">
      <c r="A1124" s="8" t="str">
        <f>"2006 Securecomm and Workshops"</f>
        <v>2006 Securecomm and Workshops</v>
      </c>
      <c r="B1124" s="8" t="str">
        <f>"9781424404230"</f>
        <v>9781424404230</v>
      </c>
      <c r="C1124" s="8" t="s">
        <v>9</v>
      </c>
    </row>
    <row r="1125" spans="1:3" x14ac:dyDescent="0.25">
      <c r="A1125" s="8" t="str">
        <f>"2006 Seventh International Baltic Conference on Databases and Information Systems, Proceedings"</f>
        <v>2006 Seventh International Baltic Conference on Databases and Information Systems, Proceedings</v>
      </c>
      <c r="B1125" s="8" t="str">
        <f>"9781424403455"</f>
        <v>9781424403455</v>
      </c>
      <c r="C1125" s="8" t="s">
        <v>9</v>
      </c>
    </row>
    <row r="1126" spans="1:3" x14ac:dyDescent="0.25">
      <c r="A1126" s="8" t="str">
        <f>"2006 SICE-ICASE International Joint Conference"</f>
        <v>2006 SICE-ICASE International Joint Conference</v>
      </c>
      <c r="B1126" s="8" t="str">
        <f>"9788995003855"</f>
        <v>9788995003855</v>
      </c>
      <c r="C1126" s="8" t="s">
        <v>1343</v>
      </c>
    </row>
    <row r="1127" spans="1:3" x14ac:dyDescent="0.25">
      <c r="A1127" s="8" t="str">
        <f>"2006 SME Annual Conference - Advances in Comminution"</f>
        <v>2006 SME Annual Conference - Advances in Comminution</v>
      </c>
      <c r="B1127" s="8" t="str">
        <f t="shared" ref="B1127:B1137" si="5">"-"</f>
        <v>-</v>
      </c>
      <c r="C1127" s="8" t="s">
        <v>877</v>
      </c>
    </row>
    <row r="1128" spans="1:3" x14ac:dyDescent="0.25">
      <c r="A1128" s="8" t="str">
        <f>"2006 SME Annual Conference - Functional Fillers and Nanoscale Minerals: New Markets/New Horizons"</f>
        <v>2006 SME Annual Conference - Functional Fillers and Nanoscale Minerals: New Markets/New Horizons</v>
      </c>
      <c r="B1128" s="8" t="str">
        <f t="shared" si="5"/>
        <v>-</v>
      </c>
      <c r="C1128" s="8" t="s">
        <v>877</v>
      </c>
    </row>
    <row r="1129" spans="1:3" x14ac:dyDescent="0.25">
      <c r="A1129" s="8" t="str">
        <f>"2006 SPE Intelligent Energy Conference and Exhibition"</f>
        <v>2006 SPE Intelligent Energy Conference and Exhibition</v>
      </c>
      <c r="B1129" s="8" t="str">
        <f t="shared" si="5"/>
        <v>-</v>
      </c>
      <c r="C1129" s="8" t="s">
        <v>671</v>
      </c>
    </row>
    <row r="1130" spans="1:3" x14ac:dyDescent="0.25">
      <c r="A1130" s="8" t="str">
        <f>"2006 SPE Western Regional AAPG Pacific Section/GSA Cordilleran Section Joint Meeting"</f>
        <v>2006 SPE Western Regional AAPG Pacific Section/GSA Cordilleran Section Joint Meeting</v>
      </c>
      <c r="B1130" s="8" t="str">
        <f t="shared" si="5"/>
        <v>-</v>
      </c>
      <c r="C1130" s="8" t="s">
        <v>671</v>
      </c>
    </row>
    <row r="1131" spans="1:3" x14ac:dyDescent="0.25">
      <c r="A1131" s="8" t="str">
        <f>"2006 SPEC Benchmark Workshop"</f>
        <v>2006 SPEC Benchmark Workshop</v>
      </c>
      <c r="B1131" s="8" t="str">
        <f t="shared" si="5"/>
        <v>-</v>
      </c>
      <c r="C1131" s="8" t="s">
        <v>1344</v>
      </c>
    </row>
    <row r="1132" spans="1:3" x14ac:dyDescent="0.25">
      <c r="A1132" s="8" t="str">
        <f>"2006 SPE-ICoTA Coiled Tubing and Well Intervention Conference and Exhibition, Proceedings"</f>
        <v>2006 SPE-ICoTA Coiled Tubing and Well Intervention Conference and Exhibition, Proceedings</v>
      </c>
      <c r="B1132" s="8" t="str">
        <f t="shared" si="5"/>
        <v>-</v>
      </c>
      <c r="C1132" s="8" t="s">
        <v>671</v>
      </c>
    </row>
    <row r="1133" spans="1:3" x14ac:dyDescent="0.25">
      <c r="A1133" s="8" t="str">
        <f>"2006 TAPPI Advanced Coating Fundamentals Symposium"</f>
        <v>2006 TAPPI Advanced Coating Fundamentals Symposium</v>
      </c>
      <c r="B1133" s="8" t="str">
        <f t="shared" si="5"/>
        <v>-</v>
      </c>
      <c r="C1133" s="8" t="s">
        <v>1099</v>
      </c>
    </row>
    <row r="1134" spans="1:3" x14ac:dyDescent="0.25">
      <c r="A1134" s="8" t="str">
        <f>"2006 TAPPI Decorative and Industrial Laminates Symposium"</f>
        <v>2006 TAPPI Decorative and Industrial Laminates Symposium</v>
      </c>
      <c r="B1134" s="8" t="str">
        <f t="shared" si="5"/>
        <v>-</v>
      </c>
      <c r="C1134" s="8" t="s">
        <v>306</v>
      </c>
    </row>
    <row r="1135" spans="1:3" x14ac:dyDescent="0.25">
      <c r="A1135" s="8" t="str">
        <f>"2006 TAPPI Engineering, Pulping and Environmental Conference Proceedings"</f>
        <v>2006 TAPPI Engineering, Pulping and Environmental Conference Proceedings</v>
      </c>
      <c r="B1135" s="8" t="str">
        <f t="shared" si="5"/>
        <v>-</v>
      </c>
      <c r="C1135" s="8" t="s">
        <v>1099</v>
      </c>
    </row>
    <row r="1136" spans="1:3" x14ac:dyDescent="0.25">
      <c r="A1136" s="8" t="str">
        <f>"2006 TAPPI International Conference on Nanotechnology"</f>
        <v>2006 TAPPI International Conference on Nanotechnology</v>
      </c>
      <c r="B1136" s="8" t="str">
        <f t="shared" si="5"/>
        <v>-</v>
      </c>
      <c r="C1136" s="8" t="s">
        <v>1099</v>
      </c>
    </row>
    <row r="1137" spans="1:3" x14ac:dyDescent="0.25">
      <c r="A1137" s="8" t="str">
        <f>"2006 TAPPI Papermakers Conference and 2006 TAPPI Coating and Graphic Arts Conference Proceedings"</f>
        <v>2006 TAPPI Papermakers Conference and 2006 TAPPI Coating and Graphic Arts Conference Proceedings</v>
      </c>
      <c r="B1137" s="8" t="str">
        <f t="shared" si="5"/>
        <v>-</v>
      </c>
      <c r="C1137" s="8" t="s">
        <v>1099</v>
      </c>
    </row>
    <row r="1138" spans="1:3" x14ac:dyDescent="0.25">
      <c r="A1138" s="8" t="str">
        <f>"2006 TMS Fall Extraction and Processing Division: Sohn International Symposium"</f>
        <v>2006 TMS Fall Extraction and Processing Division: Sohn International Symposium</v>
      </c>
      <c r="B1138" s="8" t="str">
        <f>"9780873396332"</f>
        <v>9780873396332</v>
      </c>
      <c r="C1138" s="8" t="s">
        <v>648</v>
      </c>
    </row>
    <row r="1139" spans="1:3" x14ac:dyDescent="0.25">
      <c r="A1139" s="8" t="str">
        <f>"2006 Topical Meeting on Silicon Monolithic Integrated Circuits in RF Systems - Digest of Papers"</f>
        <v>2006 Topical Meeting on Silicon Monolithic Integrated Circuits in RF Systems - Digest of Papers</v>
      </c>
      <c r="B1139" s="8" t="str">
        <f>"-"</f>
        <v>-</v>
      </c>
      <c r="C1139" s="8" t="s">
        <v>9</v>
      </c>
    </row>
    <row r="1140" spans="1:3" x14ac:dyDescent="0.25">
      <c r="A1140" s="8" t="str">
        <f>"2006 Wireless Telecommunications Symposium, WTS"</f>
        <v>2006 Wireless Telecommunications Symposium, WTS</v>
      </c>
      <c r="B1140" s="8" t="str">
        <f>"9781424400461"</f>
        <v>9781424400461</v>
      </c>
      <c r="C1140" s="8" t="s">
        <v>9</v>
      </c>
    </row>
    <row r="1141" spans="1:3" x14ac:dyDescent="0.25">
      <c r="A1141" s="8" t="str">
        <f>"2006 Workshop on High Performance Switching and Routing, HPSR 2006"</f>
        <v>2006 Workshop on High Performance Switching and Routing, HPSR 2006</v>
      </c>
      <c r="B1141" s="8" t="str">
        <f>"9780780395695"</f>
        <v>9780780395695</v>
      </c>
      <c r="C1141" s="8" t="s">
        <v>9</v>
      </c>
    </row>
    <row r="1142" spans="1:3" x14ac:dyDescent="0.25">
      <c r="A1142" s="8" t="str">
        <f>"2006 Workshop on Workflows in Support of Large-Scale Science, WORKS '06"</f>
        <v>2006 Workshop on Workflows in Support of Large-Scale Science, WORKS '06</v>
      </c>
      <c r="B1142" s="8" t="str">
        <f>"9781424452156"</f>
        <v>9781424452156</v>
      </c>
      <c r="C1142" s="8" t="s">
        <v>9</v>
      </c>
    </row>
    <row r="1143" spans="1:3" x14ac:dyDescent="0.25">
      <c r="A1143" s="8" t="str">
        <f>"2006 World Automation Congress, WAC'06"</f>
        <v>2006 World Automation Congress, WAC'06</v>
      </c>
      <c r="B1143" s="8" t="str">
        <f>"9781889335339"</f>
        <v>9781889335339</v>
      </c>
      <c r="C1143" s="8" t="s">
        <v>9</v>
      </c>
    </row>
    <row r="1144" spans="1:3" x14ac:dyDescent="0.25">
      <c r="A1144" s="8" t="str">
        <f>"2007 10th International Conference on Computer and Information Technology, ICCIT"</f>
        <v>2007 10th International Conference on Computer and Information Technology, ICCIT</v>
      </c>
      <c r="B1144" s="8" t="str">
        <f>"9781424415519"</f>
        <v>9781424415519</v>
      </c>
      <c r="C1144" s="8" t="s">
        <v>9</v>
      </c>
    </row>
    <row r="1145" spans="1:3" x14ac:dyDescent="0.25">
      <c r="A1145" s="8" t="str">
        <f>"2007 14th IEEE Symposium on Communications and Vehicular Technology in the Benelux, SCVT"</f>
        <v>2007 14th IEEE Symposium on Communications and Vehicular Technology in the Benelux, SCVT</v>
      </c>
      <c r="B1145" s="8" t="str">
        <f>"9781424413706"</f>
        <v>9781424413706</v>
      </c>
      <c r="C1145" s="8" t="s">
        <v>9</v>
      </c>
    </row>
    <row r="1146" spans="1:3" x14ac:dyDescent="0.25">
      <c r="A1146" s="8" t="str">
        <f>"2007 15th IEEE-NPSS Real-Time Conference, RT"</f>
        <v>2007 15th IEEE-NPSS Real-Time Conference, RT</v>
      </c>
      <c r="B1146" s="8" t="str">
        <f>"9781424408672"</f>
        <v>9781424408672</v>
      </c>
      <c r="C1146" s="8" t="s">
        <v>9</v>
      </c>
    </row>
    <row r="1147" spans="1:3" x14ac:dyDescent="0.25">
      <c r="A1147" s="8" t="str">
        <f>"2007 15th International Conference on Digital Signal Processing, DSP 2007"</f>
        <v>2007 15th International Conference on Digital Signal Processing, DSP 2007</v>
      </c>
      <c r="B1147" s="8" t="str">
        <f>"9781424408825"</f>
        <v>9781424408825</v>
      </c>
      <c r="C1147" s="8" t="s">
        <v>9</v>
      </c>
    </row>
    <row r="1148" spans="1:3" x14ac:dyDescent="0.25">
      <c r="A1148" s="8" t="str">
        <f>"2007 15th International Conference on Software, Telecommunications and Computer Networks, SoftCOM 2007"</f>
        <v>2007 15th International Conference on Software, Telecommunications and Computer Networks, SoftCOM 2007</v>
      </c>
      <c r="B1148" s="8" t="str">
        <f>"9789536114931"</f>
        <v>9789536114931</v>
      </c>
      <c r="C1148" s="8" t="s">
        <v>9</v>
      </c>
    </row>
    <row r="1149" spans="1:3" x14ac:dyDescent="0.25">
      <c r="A1149" s="8" t="str">
        <f>"2007 16th IST Mobile and Wireless Communications Summit"</f>
        <v>2007 16th IST Mobile and Wireless Communications Summit</v>
      </c>
      <c r="B1149" s="8" t="str">
        <f>"9781424416622"</f>
        <v>9781424416622</v>
      </c>
      <c r="C1149" s="8" t="s">
        <v>9</v>
      </c>
    </row>
    <row r="1150" spans="1:3" x14ac:dyDescent="0.25">
      <c r="A1150" s="8" t="str">
        <f>"2007 17th International Conference Radioelektronika"</f>
        <v>2007 17th International Conference Radioelektronika</v>
      </c>
      <c r="B1150" s="8" t="str">
        <f>"9781424408221"</f>
        <v>9781424408221</v>
      </c>
      <c r="C1150" s="8" t="s">
        <v>9</v>
      </c>
    </row>
    <row r="1151" spans="1:3" x14ac:dyDescent="0.25">
      <c r="A1151" s="8" t="str">
        <f>"2007 17th International Crimean Conference - Microwave and Telecommunication Technology, CRIMICO"</f>
        <v>2007 17th International Crimean Conference - Microwave and Telecommunication Technology, CRIMICO</v>
      </c>
      <c r="B1151" s="8" t="str">
        <f>"9789663350165"</f>
        <v>9789663350165</v>
      </c>
      <c r="C1151" s="8" t="s">
        <v>9</v>
      </c>
    </row>
    <row r="1152" spans="1:3" x14ac:dyDescent="0.25">
      <c r="A1152" s="8" t="str">
        <f>"2007 1st ACM/IEEE International Conference on Distributed Smart Cameras, ICDSC"</f>
        <v>2007 1st ACM/IEEE International Conference on Distributed Smart Cameras, ICDSC</v>
      </c>
      <c r="B1152" s="8" t="str">
        <f>"9781424413546"</f>
        <v>9781424413546</v>
      </c>
      <c r="C1152" s="8" t="s">
        <v>9</v>
      </c>
    </row>
    <row r="1153" spans="1:3" x14ac:dyDescent="0.25">
      <c r="A1153" s="8" t="str">
        <f>"2007 1st Annual RFID Eurasia"</f>
        <v>2007 1st Annual RFID Eurasia</v>
      </c>
      <c r="B1153" s="8" t="str">
        <f>"9789750156601"</f>
        <v>9789750156601</v>
      </c>
      <c r="C1153" s="8" t="s">
        <v>9</v>
      </c>
    </row>
    <row r="1154" spans="1:3" x14ac:dyDescent="0.25">
      <c r="A1154" s="8" t="str">
        <f>"2007 1st Asian and Pacific Conference on Synthetic Aperture Radar Proceedings, APSAR 2007"</f>
        <v>2007 1st Asian and Pacific Conference on Synthetic Aperture Radar Proceedings, APSAR 2007</v>
      </c>
      <c r="B1154" s="8" t="str">
        <f>"9781424411887"</f>
        <v>9781424411887</v>
      </c>
      <c r="C1154" s="8" t="s">
        <v>9</v>
      </c>
    </row>
    <row r="1155" spans="1:3" x14ac:dyDescent="0.25">
      <c r="A1155" s="8" t="str">
        <f>"2007 1st International Conference on Bioinformatics and Biomedical Engineering, ICBBE"</f>
        <v>2007 1st International Conference on Bioinformatics and Biomedical Engineering, ICBBE</v>
      </c>
      <c r="B1155" s="8" t="str">
        <f>"9781424411207"</f>
        <v>9781424411207</v>
      </c>
      <c r="C1155" s="8" t="s">
        <v>9</v>
      </c>
    </row>
    <row r="1156" spans="1:3" x14ac:dyDescent="0.25">
      <c r="A1156" s="8" t="s">
        <v>1345</v>
      </c>
      <c r="B1156" s="8" t="str">
        <f>"9781424413751"</f>
        <v>9781424413751</v>
      </c>
      <c r="C1156" s="8" t="s">
        <v>9</v>
      </c>
    </row>
    <row r="1157" spans="1:3" x14ac:dyDescent="0.25">
      <c r="A1157" s="8" t="str">
        <f>"2007 1st International Symposium on Advanced Networks and Telecommunications Systems, ANTS"</f>
        <v>2007 1st International Symposium on Advanced Networks and Telecommunications Systems, ANTS</v>
      </c>
      <c r="B1157" s="8" t="str">
        <f>"9781424418596"</f>
        <v>9781424418596</v>
      </c>
      <c r="C1157" s="8" t="s">
        <v>9</v>
      </c>
    </row>
    <row r="1158" spans="1:3" x14ac:dyDescent="0.25">
      <c r="A1158" s="8" t="str">
        <f>"2007 22nd IEEE Non-Volatile Semiconductor Memory Workshop, Proceedings, NVSMW"</f>
        <v>2007 22nd IEEE Non-Volatile Semiconductor Memory Workshop, Proceedings, NVSMW</v>
      </c>
      <c r="B1158" s="8" t="str">
        <f>"9781424407538"</f>
        <v>9781424407538</v>
      </c>
      <c r="C1158" s="8" t="s">
        <v>9</v>
      </c>
    </row>
    <row r="1159" spans="1:3" x14ac:dyDescent="0.25">
      <c r="A1159" s="8" t="str">
        <f>"2007 2nd IEEE International Symposium on New Frontiers in Dynamic Spectrum Access Networks"</f>
        <v>2007 2nd IEEE International Symposium on New Frontiers in Dynamic Spectrum Access Networks</v>
      </c>
      <c r="B1159" s="8" t="str">
        <f>"9781424406630"</f>
        <v>9781424406630</v>
      </c>
      <c r="C1159" s="8" t="s">
        <v>9</v>
      </c>
    </row>
    <row r="1160" spans="1:3" x14ac:dyDescent="0.25">
      <c r="A1160" s="8" t="str">
        <f>"2007 2nd IEEE International Workshop on Computational Advances in Multi-Sensor Adaptive Processing, CAMPSAP"</f>
        <v>2007 2nd IEEE International Workshop on Computational Advances in Multi-Sensor Adaptive Processing, CAMPSAP</v>
      </c>
      <c r="B1160" s="8" t="str">
        <f>"9781424417148"</f>
        <v>9781424417148</v>
      </c>
      <c r="C1160" s="8" t="s">
        <v>9</v>
      </c>
    </row>
    <row r="1161" spans="1:3" x14ac:dyDescent="0.25">
      <c r="A1161" s="8" t="str">
        <f>"2007 2nd IEEE Workshop on Networking Technologies for Software Defined Radio Networks, SDR"</f>
        <v>2007 2nd IEEE Workshop on Networking Technologies for Software Defined Radio Networks, SDR</v>
      </c>
      <c r="B1161" s="8" t="str">
        <f>"9781424413164"</f>
        <v>9781424413164</v>
      </c>
      <c r="C1161" s="8" t="s">
        <v>9</v>
      </c>
    </row>
    <row r="1162" spans="1:3" x14ac:dyDescent="0.25">
      <c r="A1162" s="8" t="str">
        <f>"2007 2nd IEEE/IFIP International Workshop on Broadband Convergence Networks, BcN"</f>
        <v>2007 2nd IEEE/IFIP International Workshop on Broadband Convergence Networks, BcN</v>
      </c>
      <c r="B1162" s="8" t="str">
        <f>"9781424412976"</f>
        <v>9781424412976</v>
      </c>
      <c r="C1162" s="8" t="s">
        <v>9</v>
      </c>
    </row>
    <row r="1163" spans="1:3" x14ac:dyDescent="0.25">
      <c r="A1163" s="8" t="str">
        <f>"2007 2nd International Conference on Bio-Inspired Computing: Theories and Applications, BICTA 2007"</f>
        <v>2007 2nd International Conference on Bio-Inspired Computing: Theories and Applications, BICTA 2007</v>
      </c>
      <c r="B1163" s="8" t="str">
        <f>"9781424441051"</f>
        <v>9781424441051</v>
      </c>
      <c r="C1163" s="8" t="s">
        <v>9</v>
      </c>
    </row>
    <row r="1164" spans="1:3" x14ac:dyDescent="0.25">
      <c r="A1164" s="8" t="str">
        <f>"2007 2nd International Conference on Digital Information Management, ICDIM"</f>
        <v>2007 2nd International Conference on Digital Information Management, ICDIM</v>
      </c>
      <c r="B1164" s="8" t="str">
        <f>"9781424414765"</f>
        <v>9781424414765</v>
      </c>
      <c r="C1164" s="8" t="s">
        <v>9</v>
      </c>
    </row>
    <row r="1165" spans="1:3" x14ac:dyDescent="0.25">
      <c r="A1165" s="8" t="str">
        <f>"2007 2nd International Conference on Pervasive Computing and Applications, ICPCA'07"</f>
        <v>2007 2nd International Conference on Pervasive Computing and Applications, ICPCA'07</v>
      </c>
      <c r="B1165" s="8" t="str">
        <f>"9781424409716"</f>
        <v>9781424409716</v>
      </c>
      <c r="C1165" s="8" t="s">
        <v>9</v>
      </c>
    </row>
    <row r="1166" spans="1:3" x14ac:dyDescent="0.25">
      <c r="A1166" s="8" t="str">
        <f>"2007 2nd International Symposium on Wireless Pervasive Computing"</f>
        <v>2007 2nd International Symposium on Wireless Pervasive Computing</v>
      </c>
      <c r="B1166" s="8" t="str">
        <f>"9781424405237"</f>
        <v>9781424405237</v>
      </c>
      <c r="C1166" s="8" t="s">
        <v>9</v>
      </c>
    </row>
    <row r="1167" spans="1:3" x14ac:dyDescent="0.25">
      <c r="A1167" s="8" t="str">
        <f>"2007 33rd European Conference and Exhibition of Optical Communication, ECOC 2007"</f>
        <v>2007 33rd European Conference and Exhibition of Optical Communication, ECOC 2007</v>
      </c>
      <c r="B1167" s="8" t="str">
        <f>"9783800730421"</f>
        <v>9783800730421</v>
      </c>
      <c r="C1167" s="8" t="s">
        <v>105</v>
      </c>
    </row>
    <row r="1168" spans="1:3" x14ac:dyDescent="0.25">
      <c r="A1168" s="8" t="str">
        <f>"2007 39th North American Power Symposium, NAPS"</f>
        <v>2007 39th North American Power Symposium, NAPS</v>
      </c>
      <c r="B1168" s="8" t="str">
        <f>"9781424417261"</f>
        <v>9781424417261</v>
      </c>
      <c r="C1168" s="8" t="s">
        <v>9</v>
      </c>
    </row>
    <row r="1169" spans="1:3" x14ac:dyDescent="0.25">
      <c r="A1169" s="8" t="str">
        <f>"2007 3rd IEEE Workshop on Secure Network Protocols, NPSec"</f>
        <v>2007 3rd IEEE Workshop on Secure Network Protocols, NPSec</v>
      </c>
      <c r="B1169" s="8" t="str">
        <f>"9781424416035"</f>
        <v>9781424416035</v>
      </c>
      <c r="C1169" s="8" t="s">
        <v>9</v>
      </c>
    </row>
    <row r="1170" spans="1:3" x14ac:dyDescent="0.25">
      <c r="A1170" s="8" t="str">
        <f>"2007 3rd IEEE/IFIP International Conference in Central Asia on Internet, ICI 2007"</f>
        <v>2007 3rd IEEE/IFIP International Conference in Central Asia on Internet, ICI 2007</v>
      </c>
      <c r="B1170" s="8" t="str">
        <f>"9781424410064"</f>
        <v>9781424410064</v>
      </c>
      <c r="C1170" s="8" t="s">
        <v>9</v>
      </c>
    </row>
    <row r="1171" spans="1:3" x14ac:dyDescent="0.25">
      <c r="A1171" s="8" t="str">
        <f>"2007 3rd International Conference on Wireless Communication and Sensor Networks, WCSN"</f>
        <v>2007 3rd International Conference on Wireless Communication and Sensor Networks, WCSN</v>
      </c>
      <c r="B1171" s="8" t="str">
        <f>"-"</f>
        <v>-</v>
      </c>
      <c r="C1171" s="8" t="s">
        <v>9</v>
      </c>
    </row>
    <row r="1172" spans="1:3" x14ac:dyDescent="0.25">
      <c r="A1172" s="8" t="str">
        <f>"2007 4th Annual IEEE Communications Society Conference on Sensor, Mesh and Ad Hoc Communications and Networks, SECON"</f>
        <v>2007 4th Annual IEEE Communications Society Conference on Sensor, Mesh and Ad Hoc Communications and Networks, SECON</v>
      </c>
      <c r="B1172" s="8" t="str">
        <f>"9781424412686"</f>
        <v>9781424412686</v>
      </c>
      <c r="C1172" s="8" t="s">
        <v>9</v>
      </c>
    </row>
    <row r="1173" spans="1:3" x14ac:dyDescent="0.25">
      <c r="A1173" s="8" t="str">
        <f>"2007 4th Annual IEEE Consumer Communications and Networking Conference, CCNC 2007"</f>
        <v>2007 4th Annual IEEE Consumer Communications and Networking Conference, CCNC 2007</v>
      </c>
      <c r="B1173" s="8" t="str">
        <f>"9781424406661"</f>
        <v>9781424406661</v>
      </c>
      <c r="C1173" s="8" t="s">
        <v>9</v>
      </c>
    </row>
    <row r="1174" spans="1:3" x14ac:dyDescent="0.25">
      <c r="A1174" s="8" t="str">
        <f>"2007 4th IEEE International Symposium on Biomedical Imaging: From Nano to Macro - Proceedings"</f>
        <v>2007 4th IEEE International Symposium on Biomedical Imaging: From Nano to Macro - Proceedings</v>
      </c>
      <c r="B1174" s="8" t="str">
        <f>"9781424406722"</f>
        <v>9781424406722</v>
      </c>
      <c r="C1174" s="8" t="s">
        <v>9</v>
      </c>
    </row>
    <row r="1175" spans="1:3" x14ac:dyDescent="0.25">
      <c r="A1175" s="8" t="str">
        <f>"2007 4th IEEE Workshop on Intelligent Data Acquisition and Advanced Computing Systems: Technology and Applications, IDAACS"</f>
        <v>2007 4th IEEE Workshop on Intelligent Data Acquisition and Advanced Computing Systems: Technology and Applications, IDAACS</v>
      </c>
      <c r="B1175" s="8" t="str">
        <f>"9781424413485"</f>
        <v>9781424413485</v>
      </c>
      <c r="C1175" s="8" t="s">
        <v>9</v>
      </c>
    </row>
    <row r="1176" spans="1:3" x14ac:dyDescent="0.25">
      <c r="A1176" s="8" t="str">
        <f>"2007 4th International Conference on Electrical and Electronics Engineering, ICEEE 2007"</f>
        <v>2007 4th International Conference on Electrical and Electronics Engineering, ICEEE 2007</v>
      </c>
      <c r="B1176" s="8" t="str">
        <f>"9781424411665"</f>
        <v>9781424411665</v>
      </c>
      <c r="C1176" s="8" t="s">
        <v>9</v>
      </c>
    </row>
    <row r="1177" spans="1:3" x14ac:dyDescent="0.25">
      <c r="A1177" s="8" t="str">
        <f>"2007 5th International Workshops on Comparative Evaluation in Requirements Engineering, CERE"</f>
        <v>2007 5th International Workshops on Comparative Evaluation in Requirements Engineering, CERE</v>
      </c>
      <c r="B1177" s="8" t="str">
        <f>"9780769533780"</f>
        <v>9780769533780</v>
      </c>
      <c r="C1177" s="8" t="s">
        <v>9</v>
      </c>
    </row>
    <row r="1178" spans="1:3" x14ac:dyDescent="0.25">
      <c r="A1178" s="8" t="str">
        <f>"2007 5th Student Conference on Research and Development, SCORED"</f>
        <v>2007 5th Student Conference on Research and Development, SCORED</v>
      </c>
      <c r="B1178" s="8" t="str">
        <f>"9781424414703"</f>
        <v>9781424414703</v>
      </c>
      <c r="C1178" s="8" t="s">
        <v>9</v>
      </c>
    </row>
    <row r="1179" spans="1:3" x14ac:dyDescent="0.25">
      <c r="A1179" s="8" t="str">
        <f>"2007 60th Annual Conference for Protective Relay Engineers"</f>
        <v>2007 60th Annual Conference for Protective Relay Engineers</v>
      </c>
      <c r="B1179" s="8" t="str">
        <f>"9781424409952"</f>
        <v>9781424409952</v>
      </c>
      <c r="C1179" s="8" t="s">
        <v>9</v>
      </c>
    </row>
    <row r="1180" spans="1:3" x14ac:dyDescent="0.25">
      <c r="A1180" s="8" t="str">
        <f>"2007 6th Conference on Telecommunication Techno-Economics, CTTE 2007"</f>
        <v>2007 6th Conference on Telecommunication Techno-Economics, CTTE 2007</v>
      </c>
      <c r="B1180" s="8" t="str">
        <f>"9781424412327"</f>
        <v>9781424412327</v>
      </c>
      <c r="C1180" s="8" t="s">
        <v>9</v>
      </c>
    </row>
    <row r="1181" spans="1:3" x14ac:dyDescent="0.25">
      <c r="A1181" s="8" t="str">
        <f>"2007 6th IEEE and ACM International Symposium on Mixed and Augmented Reality, ISMAR"</f>
        <v>2007 6th IEEE and ACM International Symposium on Mixed and Augmented Reality, ISMAR</v>
      </c>
      <c r="B1181" s="8" t="str">
        <f>"9781424417506"</f>
        <v>9781424417506</v>
      </c>
      <c r="C1181" s="8" t="s">
        <v>9</v>
      </c>
    </row>
    <row r="1182" spans="1:3" x14ac:dyDescent="0.25">
      <c r="A1182" s="8" t="str">
        <f>"2007 6th International Conference on Antenna Theory and Techniques, ICATT'07"</f>
        <v>2007 6th International Conference on Antenna Theory and Techniques, ICATT'07</v>
      </c>
      <c r="B1182" s="8" t="str">
        <f>"9781424415847"</f>
        <v>9781424415847</v>
      </c>
      <c r="C1182" s="8" t="s">
        <v>105</v>
      </c>
    </row>
    <row r="1183" spans="1:3" x14ac:dyDescent="0.25">
      <c r="A1183" s="8" t="str">
        <f>"2007 6th International Conference on Information, Communications and Signal Processing, ICICS"</f>
        <v>2007 6th International Conference on Information, Communications and Signal Processing, ICICS</v>
      </c>
      <c r="B1183" s="8" t="str">
        <f>"9781424409839"</f>
        <v>9781424409839</v>
      </c>
      <c r="C1183" s="8" t="s">
        <v>9</v>
      </c>
    </row>
    <row r="1184" spans="1:3" x14ac:dyDescent="0.25">
      <c r="A1184" s="8" t="str">
        <f>"2007 6th International Workshop on Design and Reliable Communication Networks, DRCN 2007"</f>
        <v>2007 6th International Workshop on Design and Reliable Communication Networks, DRCN 2007</v>
      </c>
      <c r="B1184" s="8" t="str">
        <f>"9781424438242"</f>
        <v>9781424438242</v>
      </c>
      <c r="C1184" s="8" t="s">
        <v>9</v>
      </c>
    </row>
    <row r="1185" spans="1:3" x14ac:dyDescent="0.25">
      <c r="A1185" s="8" t="str">
        <f>"2007 7th IEEE International Conference on Nanotechnology - IEEE-NANO 2007, Proceedings"</f>
        <v>2007 7th IEEE International Conference on Nanotechnology - IEEE-NANO 2007, Proceedings</v>
      </c>
      <c r="B1185" s="8" t="str">
        <f>"9781424406081"</f>
        <v>9781424406081</v>
      </c>
      <c r="C1185" s="8" t="s">
        <v>9</v>
      </c>
    </row>
    <row r="1186" spans="1:3" x14ac:dyDescent="0.25">
      <c r="A1186" s="8" t="str">
        <f>"2007 8th Annual International Workshop and Tutorials on Electron Devices and Materials, EDM'07 - Proceedings"</f>
        <v>2007 8th Annual International Workshop and Tutorials on Electron Devices and Materials, EDM'07 - Proceedings</v>
      </c>
      <c r="B1186" s="8" t="str">
        <f>"9785778207523"</f>
        <v>9785778207523</v>
      </c>
      <c r="C1186" s="8" t="s">
        <v>9</v>
      </c>
    </row>
    <row r="1187" spans="1:3" x14ac:dyDescent="0.25">
      <c r="A1187" s="8" t="str">
        <f>"2007 8th International Conference on Electronic Measurement and Instruments, ICEMI"</f>
        <v>2007 8th International Conference on Electronic Measurement and Instruments, ICEMI</v>
      </c>
      <c r="B1187" s="8" t="str">
        <f>"9781424411351"</f>
        <v>9781424411351</v>
      </c>
      <c r="C1187" s="8" t="s">
        <v>9</v>
      </c>
    </row>
    <row r="1188" spans="1:3" x14ac:dyDescent="0.25">
      <c r="A1188" s="8" t="str">
        <f>"2007 9th International Conference on Electrical Power Quality and Utilisation, EPQU"</f>
        <v>2007 9th International Conference on Electrical Power Quality and Utilisation, EPQU</v>
      </c>
      <c r="B1188" s="8" t="str">
        <f>"9788469100578"</f>
        <v>9788469100578</v>
      </c>
      <c r="C1188" s="8" t="s">
        <v>9</v>
      </c>
    </row>
    <row r="1189" spans="1:3" x14ac:dyDescent="0.25">
      <c r="A1189" s="8" t="str">
        <f>"2007 9th International Symposium on Signal Processing and its Applications, ISSPA 2007, Proceedings"</f>
        <v>2007 9th International Symposium on Signal Processing and its Applications, ISSPA 2007, Proceedings</v>
      </c>
      <c r="B1189" s="8" t="str">
        <f>"9781424407798"</f>
        <v>9781424407798</v>
      </c>
      <c r="C1189" s="8" t="s">
        <v>9</v>
      </c>
    </row>
    <row r="1190" spans="1:3" x14ac:dyDescent="0.25">
      <c r="A1190" s="8" t="str">
        <f>"2007 ACM International Symposium on Software Testing and Analysis, ISSTA'07"</f>
        <v>2007 ACM International Symposium on Software Testing and Analysis, ISSTA'07</v>
      </c>
      <c r="B1190" s="8" t="str">
        <f>"9781595937346"</f>
        <v>9781595937346</v>
      </c>
      <c r="C1190" s="8" t="s">
        <v>21</v>
      </c>
    </row>
    <row r="1191" spans="1:3" x14ac:dyDescent="0.25">
      <c r="A1191" s="8" t="str">
        <f>"2007 ASABE Annual International Meeting, Technical Papers"</f>
        <v>2007 ASABE Annual International Meeting, Technical Papers</v>
      </c>
      <c r="B1191" s="8" t="str">
        <f>"-"</f>
        <v>-</v>
      </c>
      <c r="C1191" s="8" t="s">
        <v>140</v>
      </c>
    </row>
    <row r="1192" spans="1:3" x14ac:dyDescent="0.25">
      <c r="A1192" s="8" t="str">
        <f>"2007 Asia Optical Fiber Communication and Optoelectronic Exposition and Conference, AOE"</f>
        <v>2007 Asia Optical Fiber Communication and Optoelectronic Exposition and Conference, AOE</v>
      </c>
      <c r="B1192" s="8" t="str">
        <f>"9780978921736"</f>
        <v>9780978921736</v>
      </c>
      <c r="C1192" s="8" t="s">
        <v>9</v>
      </c>
    </row>
    <row r="1193" spans="1:3" x14ac:dyDescent="0.25">
      <c r="A1193" s="8" t="str">
        <f>"2007 Asia-Pacific Conference on Applied Electromagnetics Proceedings, APACE2007"</f>
        <v>2007 Asia-Pacific Conference on Applied Electromagnetics Proceedings, APACE2007</v>
      </c>
      <c r="B1193" s="8" t="str">
        <f>"9781424414352"</f>
        <v>9781424414352</v>
      </c>
      <c r="C1193" s="8" t="s">
        <v>9</v>
      </c>
    </row>
    <row r="1194" spans="1:3" x14ac:dyDescent="0.25">
      <c r="A1194" s="8" t="str">
        <f>"2007 Asia-Pacific Conference on Communications, APCC"</f>
        <v>2007 Asia-Pacific Conference on Communications, APCC</v>
      </c>
      <c r="B1194" s="8" t="str">
        <f>"9781424413744"</f>
        <v>9781424413744</v>
      </c>
      <c r="C1194" s="8" t="s">
        <v>9</v>
      </c>
    </row>
    <row r="1195" spans="1:3" x14ac:dyDescent="0.25">
      <c r="A1195" s="8" t="str">
        <f>"2007 Atlanta Conference on Science, Technology and Innovation Policy, ACSTIP"</f>
        <v>2007 Atlanta Conference on Science, Technology and Innovation Policy, ACSTIP</v>
      </c>
      <c r="B1195" s="8" t="str">
        <f>"9781424417759"</f>
        <v>9781424417759</v>
      </c>
      <c r="C1195" s="8" t="s">
        <v>9</v>
      </c>
    </row>
    <row r="1196" spans="1:3" x14ac:dyDescent="0.25">
      <c r="A1196" s="8" t="str">
        <f>"2007 Australasian Telecommunication Networks and Applications Conference, ATNAC 2007"</f>
        <v>2007 Australasian Telecommunication Networks and Applications Conference, ATNAC 2007</v>
      </c>
      <c r="B1196" s="8" t="str">
        <f>"9781424415571"</f>
        <v>9781424415571</v>
      </c>
      <c r="C1196" s="8" t="s">
        <v>9</v>
      </c>
    </row>
    <row r="1197" spans="1:3" x14ac:dyDescent="0.25">
      <c r="A1197" s="8" t="str">
        <f>"2007 Australasian Universities Power Engineering Conference, AUPEC"</f>
        <v>2007 Australasian Universities Power Engineering Conference, AUPEC</v>
      </c>
      <c r="B1197" s="8" t="str">
        <f>"9780646494883"</f>
        <v>9780646494883</v>
      </c>
      <c r="C1197" s="8" t="s">
        <v>9</v>
      </c>
    </row>
    <row r="1198" spans="1:3" x14ac:dyDescent="0.25">
      <c r="A1198" s="8" t="str">
        <f>"2007 Biometrics Symposium, BSYM"</f>
        <v>2007 Biometrics Symposium, BSYM</v>
      </c>
      <c r="B1198" s="8" t="str">
        <f>"9781424415496"</f>
        <v>9781424415496</v>
      </c>
      <c r="C1198" s="8" t="s">
        <v>9</v>
      </c>
    </row>
    <row r="1199" spans="1:3" x14ac:dyDescent="0.25">
      <c r="A1199" s="8" t="str">
        <f>"2007 CERN-CLAF School of High-Energy Physics, CLASHEP 2007 - Proceedings"</f>
        <v>2007 CERN-CLAF School of High-Energy Physics, CLASHEP 2007 - Proceedings</v>
      </c>
      <c r="B1199" s="8" t="str">
        <f>"9789290833130"</f>
        <v>9789290833130</v>
      </c>
      <c r="C1199" s="8" t="s">
        <v>259</v>
      </c>
    </row>
    <row r="1200" spans="1:3" x14ac:dyDescent="0.25">
      <c r="A1200" s="8" t="str">
        <f>"2007 Computational Electromagnetics Workshop, CEM'07"</f>
        <v>2007 Computational Electromagnetics Workshop, CEM'07</v>
      </c>
      <c r="B1200" s="8" t="str">
        <f>"9781424416066"</f>
        <v>9781424416066</v>
      </c>
      <c r="C1200" s="8" t="s">
        <v>9</v>
      </c>
    </row>
    <row r="1201" spans="1:3" x14ac:dyDescent="0.25">
      <c r="A1201" s="8" t="str">
        <f>"2007 Computing Frontiers, Conference Proceedings"</f>
        <v>2007 Computing Frontiers, Conference Proceedings</v>
      </c>
      <c r="B1201" s="8" t="str">
        <f>"9781595936837"</f>
        <v>9781595936837</v>
      </c>
      <c r="C1201" s="8" t="s">
        <v>21</v>
      </c>
    </row>
    <row r="1202" spans="1:3" x14ac:dyDescent="0.25">
      <c r="A1202" s="8" t="str">
        <f>"2007 Conference Proceedings of the Wire Association International, Inc. - Wire and Cable Technical Symposium, 77th Annual Convention"</f>
        <v>2007 Conference Proceedings of the Wire Association International, Inc. - Wire and Cable Technical Symposium, 77th Annual Convention</v>
      </c>
      <c r="B1202" s="8" t="str">
        <f>"-"</f>
        <v>-</v>
      </c>
      <c r="C1202" s="8" t="s">
        <v>968</v>
      </c>
    </row>
    <row r="1203" spans="1:3" x14ac:dyDescent="0.25">
      <c r="A1203" s="8" t="str">
        <f>"2007 Digital Human Modeling for Design and Engineering Conference and Exhibition"</f>
        <v>2007 Digital Human Modeling for Design and Engineering Conference and Exhibition</v>
      </c>
      <c r="B1203" s="8" t="str">
        <f>"-"</f>
        <v>-</v>
      </c>
      <c r="C1203" s="8" t="s">
        <v>1040</v>
      </c>
    </row>
    <row r="1204" spans="1:3" x14ac:dyDescent="0.25">
      <c r="A1204" s="8" t="str">
        <f>"2007 Electrical Insulation Conference and Electrical Manufacturing Expo, EEIC 2007"</f>
        <v>2007 Electrical Insulation Conference and Electrical Manufacturing Expo, EEIC 2007</v>
      </c>
      <c r="B1204" s="8" t="str">
        <f>"9781424404469"</f>
        <v>9781424404469</v>
      </c>
      <c r="C1204" s="8" t="s">
        <v>9</v>
      </c>
    </row>
    <row r="1205" spans="1:3" x14ac:dyDescent="0.25">
      <c r="A1205" s="8" t="str">
        <f>"2007 European Conference on Power Electronics and Applications, EPE"</f>
        <v>2007 European Conference on Power Electronics and Applications, EPE</v>
      </c>
      <c r="B1205" s="8" t="str">
        <f>"9789075815115"</f>
        <v>9789075815115</v>
      </c>
      <c r="C1205" s="8" t="s">
        <v>9</v>
      </c>
    </row>
    <row r="1206" spans="1:3" x14ac:dyDescent="0.25">
      <c r="A1206" s="8" t="str">
        <f>"2007 European Control Conference, ECC 2007"</f>
        <v>2007 European Control Conference, ECC 2007</v>
      </c>
      <c r="B1206" s="8" t="str">
        <f>"9783952417386"</f>
        <v>9783952417386</v>
      </c>
      <c r="C1206" s="8" t="s">
        <v>105</v>
      </c>
    </row>
    <row r="1207" spans="1:3" x14ac:dyDescent="0.25">
      <c r="A1207" s="8" t="str">
        <f>"2007 European Radar Conference, EURAD"</f>
        <v>2007 European Radar Conference, EURAD</v>
      </c>
      <c r="B1207" s="8" t="str">
        <f>"9782874870040"</f>
        <v>9782874870040</v>
      </c>
      <c r="C1207" s="8" t="s">
        <v>9</v>
      </c>
    </row>
    <row r="1208" spans="1:3" x14ac:dyDescent="0.25">
      <c r="A1208" s="8" t="str">
        <f>"2007 European School of High-Energy Physics, ESHEP 2007"</f>
        <v>2007 European School of High-Energy Physics, ESHEP 2007</v>
      </c>
      <c r="B1208" s="8" t="str">
        <f>"9789290833222"</f>
        <v>9789290833222</v>
      </c>
      <c r="C1208" s="8" t="s">
        <v>259</v>
      </c>
    </row>
    <row r="1209" spans="1:3" x14ac:dyDescent="0.25">
      <c r="A1209" s="8" t="str">
        <f>"2007 Fourth Annual Conference on Wireless on Demand Network Systems and Services, WONS'07"</f>
        <v>2007 Fourth Annual Conference on Wireless on Demand Network Systems and Services, WONS'07</v>
      </c>
      <c r="B1209" s="8" t="str">
        <f>"9781424408603"</f>
        <v>9781424408603</v>
      </c>
      <c r="C1209" s="8" t="s">
        <v>9</v>
      </c>
    </row>
    <row r="1210" spans="1:3" x14ac:dyDescent="0.25">
      <c r="A1210" s="8" t="str">
        <f>"2007 Fuels and Emissions Conference"</f>
        <v>2007 Fuels and Emissions Conference</v>
      </c>
      <c r="B1210" s="8" t="str">
        <f>"-"</f>
        <v>-</v>
      </c>
      <c r="C1210" s="8" t="s">
        <v>1040</v>
      </c>
    </row>
    <row r="1211" spans="1:3" x14ac:dyDescent="0.25">
      <c r="A1211" s="8" t="str">
        <f>"2007 High-Speed Networks Workshop, HSNW"</f>
        <v>2007 High-Speed Networks Workshop, HSNW</v>
      </c>
      <c r="B1211" s="8" t="str">
        <f>"9781424415809"</f>
        <v>9781424415809</v>
      </c>
      <c r="C1211" s="8" t="s">
        <v>9</v>
      </c>
    </row>
    <row r="1212" spans="1:3" x14ac:dyDescent="0.25">
      <c r="A1212" s="8" t="str">
        <f>"2007 IEEE 10th International Conference on Rehabilitation Robotics, ICORR'07"</f>
        <v>2007 IEEE 10th International Conference on Rehabilitation Robotics, ICORR'07</v>
      </c>
      <c r="B1212" s="8" t="str">
        <f>"9781424413201"</f>
        <v>9781424413201</v>
      </c>
      <c r="C1212" s="8" t="s">
        <v>9</v>
      </c>
    </row>
    <row r="1213" spans="1:3" x14ac:dyDescent="0.25">
      <c r="A1213" s="8" t="str">
        <f>"2007 IEEE 15th Signal Processing and Communications Applications, SIU"</f>
        <v>2007 IEEE 15th Signal Processing and Communications Applications, SIU</v>
      </c>
      <c r="B1213" s="8" t="str">
        <f>"9781424407194"</f>
        <v>9781424407194</v>
      </c>
      <c r="C1213" s="8" t="s">
        <v>9</v>
      </c>
    </row>
    <row r="1214" spans="1:3" x14ac:dyDescent="0.25">
      <c r="A1214" s="8" t="str">
        <f>"2007 IEEE 6th International Conference on Development and Learning, ICDL"</f>
        <v>2007 IEEE 6th International Conference on Development and Learning, ICDL</v>
      </c>
      <c r="B1214" s="8" t="str">
        <f>"9781424411160"</f>
        <v>9781424411160</v>
      </c>
      <c r="C1214" s="8" t="s">
        <v>9</v>
      </c>
    </row>
    <row r="1215" spans="1:3" x14ac:dyDescent="0.25">
      <c r="A1215" s="8" t="str">
        <f>"2007 IEEE 9Th International Workshop on Multimedia Signal Processing, MMSP 2007 - Proceedings"</f>
        <v>2007 IEEE 9Th International Workshop on Multimedia Signal Processing, MMSP 2007 - Proceedings</v>
      </c>
      <c r="B1215" s="8" t="str">
        <f>"9781424412747"</f>
        <v>9781424412747</v>
      </c>
      <c r="C1215" s="8" t="s">
        <v>9</v>
      </c>
    </row>
    <row r="1216" spans="1:3" x14ac:dyDescent="0.25">
      <c r="A1216" s="8" t="str">
        <f>"2007 IEEE Applied Electromagnetics Conference, AEMC 2007"</f>
        <v>2007 IEEE Applied Electromagnetics Conference, AEMC 2007</v>
      </c>
      <c r="B1216" s="8" t="str">
        <f>"9781424418640"</f>
        <v>9781424418640</v>
      </c>
      <c r="C1216" s="8" t="s">
        <v>9</v>
      </c>
    </row>
    <row r="1217" spans="1:3" x14ac:dyDescent="0.25">
      <c r="A1217" s="8" t="str">
        <f>"2007 IEEE Asian Solid-State Circuits Conference, A-SSCC"</f>
        <v>2007 IEEE Asian Solid-State Circuits Conference, A-SSCC</v>
      </c>
      <c r="B1217" s="8" t="str">
        <f>"9781424413607"</f>
        <v>9781424413607</v>
      </c>
      <c r="C1217" s="8" t="s">
        <v>9</v>
      </c>
    </row>
    <row r="1218" spans="1:3" x14ac:dyDescent="0.25">
      <c r="A1218" s="8" t="str">
        <f>"2007 IEEE Canada Electrical Power Conference, EPC 2007"</f>
        <v>2007 IEEE Canada Electrical Power Conference, EPC 2007</v>
      </c>
      <c r="B1218" s="8" t="str">
        <f>"9781424414451"</f>
        <v>9781424414451</v>
      </c>
      <c r="C1218" s="8" t="s">
        <v>9</v>
      </c>
    </row>
    <row r="1219" spans="1:3" x14ac:dyDescent="0.25">
      <c r="A1219" s="8" t="str">
        <f>"2007 IEEE Cement Industry Technical Conference Record"</f>
        <v>2007 IEEE Cement Industry Technical Conference Record</v>
      </c>
      <c r="B1219" s="8" t="str">
        <f>"9781424411962"</f>
        <v>9781424411962</v>
      </c>
      <c r="C1219" s="8" t="s">
        <v>9</v>
      </c>
    </row>
    <row r="1220" spans="1:3" x14ac:dyDescent="0.25">
      <c r="A1220" s="8" t="str">
        <f>"2007 IEEE Conference on Advanced Video and Signal Based Surveillance, AVSS 2007 Proceedings"</f>
        <v>2007 IEEE Conference on Advanced Video and Signal Based Surveillance, AVSS 2007 Proceedings</v>
      </c>
      <c r="B1220" s="8" t="str">
        <f>"9781424416967"</f>
        <v>9781424416967</v>
      </c>
      <c r="C1220" s="8" t="s">
        <v>105</v>
      </c>
    </row>
    <row r="1221" spans="1:3" x14ac:dyDescent="0.25">
      <c r="A1221" s="8" t="str">
        <f>"2007 IEEE Conference on Technologies for Homeland Security: Enhancing Critical Infrastructure Dependability"</f>
        <v>2007 IEEE Conference on Technologies for Homeland Security: Enhancing Critical Infrastructure Dependability</v>
      </c>
      <c r="B1221" s="8" t="str">
        <f>"9781424410538"</f>
        <v>9781424410538</v>
      </c>
      <c r="C1221" s="8" t="s">
        <v>9</v>
      </c>
    </row>
    <row r="1222" spans="1:3" x14ac:dyDescent="0.25">
      <c r="A1222" s="8" t="str">
        <f>"2007 IEEE Conference on the History of Electric Power, HEP 2007"</f>
        <v>2007 IEEE Conference on the History of Electric Power, HEP 2007</v>
      </c>
      <c r="B1222" s="8" t="str">
        <f>"9781424413447"</f>
        <v>9781424413447</v>
      </c>
      <c r="C1222" s="8" t="s">
        <v>9</v>
      </c>
    </row>
    <row r="1223" spans="1:3" x14ac:dyDescent="0.25">
      <c r="A1223" s="8" t="str">
        <f>"2007 IEEE Congress on Evolutionary Computation, CEC 2007"</f>
        <v>2007 IEEE Congress on Evolutionary Computation, CEC 2007</v>
      </c>
      <c r="B1223" s="8" t="str">
        <f>"9781424413409"</f>
        <v>9781424413409</v>
      </c>
      <c r="C1223" s="8" t="s">
        <v>9</v>
      </c>
    </row>
    <row r="1224" spans="1:3" x14ac:dyDescent="0.25">
      <c r="A1224" s="8" t="str">
        <f>"2007 IEEE Dallas Engineering in Medicine and Biology Workshop, DEMBS"</f>
        <v>2007 IEEE Dallas Engineering in Medicine and Biology Workshop, DEMBS</v>
      </c>
      <c r="B1224" s="8" t="str">
        <f>"9781424416264"</f>
        <v>9781424416264</v>
      </c>
      <c r="C1224" s="8" t="s">
        <v>9</v>
      </c>
    </row>
    <row r="1225" spans="1:3" x14ac:dyDescent="0.25">
      <c r="A1225" s="8" t="str">
        <f>"2007 IEEE Dallas/CAS Workshop on System-on-Chip (SoC): Design, Applications, Integration, and Software, DCAS-07"</f>
        <v>2007 IEEE Dallas/CAS Workshop on System-on-Chip (SoC): Design, Applications, Integration, and Software, DCAS-07</v>
      </c>
      <c r="B1225" s="8" t="str">
        <f>"9781424416806"</f>
        <v>9781424416806</v>
      </c>
      <c r="C1225" s="8" t="s">
        <v>9</v>
      </c>
    </row>
    <row r="1226" spans="1:3" x14ac:dyDescent="0.25">
      <c r="A1226" s="8" t="str">
        <f>"2007 IEEE Global Internet Symposium, GI"</f>
        <v>2007 IEEE Global Internet Symposium, GI</v>
      </c>
      <c r="B1226" s="8" t="str">
        <f>"9781424416974"</f>
        <v>9781424416974</v>
      </c>
      <c r="C1226" s="8" t="s">
        <v>9</v>
      </c>
    </row>
    <row r="1227" spans="1:3" x14ac:dyDescent="0.25">
      <c r="A1227" s="8" t="str">
        <f>"2007 IEEE Information Theory Workshop, ITW 2007, Proceedings"</f>
        <v>2007 IEEE Information Theory Workshop, ITW 2007, Proceedings</v>
      </c>
      <c r="B1227" s="8" t="str">
        <f>"9781424415649"</f>
        <v>9781424415649</v>
      </c>
      <c r="C1227" s="8" t="s">
        <v>9</v>
      </c>
    </row>
    <row r="1228" spans="1:3" x14ac:dyDescent="0.25">
      <c r="A1228" s="8" t="str">
        <f>"2007 IEEE International Behavioral Modeling and Simulation Workshop, BMAS"</f>
        <v>2007 IEEE International Behavioral Modeling and Simulation Workshop, BMAS</v>
      </c>
      <c r="B1228" s="8" t="str">
        <f>"9781424415670"</f>
        <v>9781424415670</v>
      </c>
      <c r="C1228" s="8" t="s">
        <v>9</v>
      </c>
    </row>
    <row r="1229" spans="1:3" x14ac:dyDescent="0.25">
      <c r="A1229" s="8" t="str">
        <f>"2007 IEEE International Conference on Computer Design, ICCD 2007"</f>
        <v>2007 IEEE International Conference on Computer Design, ICCD 2007</v>
      </c>
      <c r="B1229" s="8" t="str">
        <f>"9781424412587"</f>
        <v>9781424412587</v>
      </c>
      <c r="C1229" s="8" t="s">
        <v>9</v>
      </c>
    </row>
    <row r="1230" spans="1:3" x14ac:dyDescent="0.25">
      <c r="A1230" s="8" t="str">
        <f>"2007 IEEE International Conference on Control and Automation, ICCA"</f>
        <v>2007 IEEE International Conference on Control and Automation, ICCA</v>
      </c>
      <c r="B1230" s="8" t="str">
        <f>"9781424408184"</f>
        <v>9781424408184</v>
      </c>
      <c r="C1230" s="8" t="s">
        <v>105</v>
      </c>
    </row>
    <row r="1231" spans="1:3" x14ac:dyDescent="0.25">
      <c r="A1231" s="8" t="str">
        <f>"2007 IEEE International Conference on Electro/Information Technology, EIT 2007"</f>
        <v>2007 IEEE International Conference on Electro/Information Technology, EIT 2007</v>
      </c>
      <c r="B1231" s="8" t="str">
        <f>"9781424409419"</f>
        <v>9781424409419</v>
      </c>
      <c r="C1231" s="8" t="s">
        <v>9</v>
      </c>
    </row>
    <row r="1232" spans="1:3" x14ac:dyDescent="0.25">
      <c r="A1232" s="8" t="str">
        <f>"2007 IEEE International Conference on Information Reuse and Integration, IEEE IRI-2007"</f>
        <v>2007 IEEE International Conference on Information Reuse and Integration, IEEE IRI-2007</v>
      </c>
      <c r="B1232" s="8" t="str">
        <f>"9781424414994"</f>
        <v>9781424414994</v>
      </c>
      <c r="C1232" s="8" t="s">
        <v>9</v>
      </c>
    </row>
    <row r="1233" spans="1:3" x14ac:dyDescent="0.25">
      <c r="A1233" s="8" t="str">
        <f>"2007 IEEE International Conference on Networking, Sensing and Control, ICNSC'07"</f>
        <v>2007 IEEE International Conference on Networking, Sensing and Control, ICNSC'07</v>
      </c>
      <c r="B1233" s="8" t="str">
        <f>"9781424410767"</f>
        <v>9781424410767</v>
      </c>
      <c r="C1233" s="8" t="s">
        <v>9</v>
      </c>
    </row>
    <row r="1234" spans="1:3" x14ac:dyDescent="0.25">
      <c r="A1234" s="8" t="str">
        <f>"2007 IEEE International Conference on Pervasive Services, ICPS"</f>
        <v>2007 IEEE International Conference on Pervasive Services, ICPS</v>
      </c>
      <c r="B1234" s="8" t="str">
        <f>"9781424413263"</f>
        <v>9781424413263</v>
      </c>
      <c r="C1234" s="8" t="s">
        <v>9</v>
      </c>
    </row>
    <row r="1235" spans="1:3" x14ac:dyDescent="0.25">
      <c r="A1235" s="8" t="str">
        <f>"2007 IEEE International Conference on Portable Information Devices, PIDs 2007"</f>
        <v>2007 IEEE International Conference on Portable Information Devices, PIDs 2007</v>
      </c>
      <c r="B1235" s="8" t="str">
        <f>"9781424410392"</f>
        <v>9781424410392</v>
      </c>
      <c r="C1235" s="8" t="s">
        <v>105</v>
      </c>
    </row>
    <row r="1236" spans="1:3" x14ac:dyDescent="0.25">
      <c r="A1236" s="8" t="str">
        <f>"2007 IEEE International Conference on Research, Innovation and Vision for the Future, RIVF 2007"</f>
        <v>2007 IEEE International Conference on Research, Innovation and Vision for the Future, RIVF 2007</v>
      </c>
      <c r="B1236" s="8" t="str">
        <f>"9781424406944"</f>
        <v>9781424406944</v>
      </c>
      <c r="C1236" s="8" t="s">
        <v>9</v>
      </c>
    </row>
    <row r="1237" spans="1:3" x14ac:dyDescent="0.25">
      <c r="A1237" s="8" t="str">
        <f>"2007 IEEE International Conference on RFID, IEEE RFID 2007"</f>
        <v>2007 IEEE International Conference on RFID, IEEE RFID 2007</v>
      </c>
      <c r="B1237" s="8" t="str">
        <f>"9781424410125"</f>
        <v>9781424410125</v>
      </c>
      <c r="C1237" s="8" t="s">
        <v>105</v>
      </c>
    </row>
    <row r="1238" spans="1:3" x14ac:dyDescent="0.25">
      <c r="A1238" s="8" t="str">
        <f>"2007 IEEE International Conference on Robotics and Biomimetics, ROBIO"</f>
        <v>2007 IEEE International Conference on Robotics and Biomimetics, ROBIO</v>
      </c>
      <c r="B1238" s="8" t="str">
        <f>"9781424417582"</f>
        <v>9781424417582</v>
      </c>
      <c r="C1238" s="8" t="s">
        <v>9</v>
      </c>
    </row>
    <row r="1239" spans="1:3" x14ac:dyDescent="0.25">
      <c r="A1239" s="8" t="str">
        <f>"2007 IEEE International Conference on Service Operations and Logistics, and Informatics, SOLI"</f>
        <v>2007 IEEE International Conference on Service Operations and Logistics, and Informatics, SOLI</v>
      </c>
      <c r="B1239" s="8" t="str">
        <f>"9781424411184"</f>
        <v>9781424411184</v>
      </c>
      <c r="C1239" s="8" t="s">
        <v>9</v>
      </c>
    </row>
    <row r="1240" spans="1:3" x14ac:dyDescent="0.25">
      <c r="A1240" s="8" t="str">
        <f>"2007 IEEE International Conference on System of Systems Engineering, SOSE"</f>
        <v>2007 IEEE International Conference on System of Systems Engineering, SOSE</v>
      </c>
      <c r="B1240" s="8" t="str">
        <f>"9781424411603"</f>
        <v>9781424411603</v>
      </c>
      <c r="C1240" s="8" t="s">
        <v>9</v>
      </c>
    </row>
    <row r="1241" spans="1:3" x14ac:dyDescent="0.25">
      <c r="A1241" s="8" t="str">
        <f>"2007 IEEE International Conference on Ultra-Wideband, ICUWB"</f>
        <v>2007 IEEE International Conference on Ultra-Wideband, ICUWB</v>
      </c>
      <c r="B1241" s="8" t="str">
        <f>"9781424405213"</f>
        <v>9781424405213</v>
      </c>
      <c r="C1241" s="8" t="s">
        <v>9</v>
      </c>
    </row>
    <row r="1242" spans="1:3" x14ac:dyDescent="0.25">
      <c r="A1242" s="8" t="str">
        <f>"2007 IEEE International Conference on Vehicular Electronics and Safety, ICVES"</f>
        <v>2007 IEEE International Conference on Vehicular Electronics and Safety, ICVES</v>
      </c>
      <c r="B1242" s="8" t="str">
        <f>"9781424412662"</f>
        <v>9781424412662</v>
      </c>
      <c r="C1242" s="8" t="s">
        <v>9</v>
      </c>
    </row>
    <row r="1243" spans="1:3" x14ac:dyDescent="0.25">
      <c r="A1243" s="8" t="str">
        <f>"2007 IEEE International Symposium on a World of Wireless, Mobile and Multimedia Networks, WOWMOM"</f>
        <v>2007 IEEE International Symposium on a World of Wireless, Mobile and Multimedia Networks, WOWMOM</v>
      </c>
      <c r="B1243" s="8" t="str">
        <f>"9781424409921"</f>
        <v>9781424409921</v>
      </c>
      <c r="C1243" s="8" t="s">
        <v>9</v>
      </c>
    </row>
    <row r="1244" spans="1:3" x14ac:dyDescent="0.25">
      <c r="A1244" s="8" t="str">
        <f>"2007 IEEE International Symposium on Diagnostics for Electric Machines, Power Electronics and Drives, SDEMPED"</f>
        <v>2007 IEEE International Symposium on Diagnostics for Electric Machines, Power Electronics and Drives, SDEMPED</v>
      </c>
      <c r="B1244" s="8" t="str">
        <f>"9781424410620"</f>
        <v>9781424410620</v>
      </c>
      <c r="C1244" s="8" t="s">
        <v>9</v>
      </c>
    </row>
    <row r="1245" spans="1:3" x14ac:dyDescent="0.25">
      <c r="A1245" s="8" t="str">
        <f>"2007 IEEE International Symposium on Intelligent Signal Processing, WISP"</f>
        <v>2007 IEEE International Symposium on Intelligent Signal Processing, WISP</v>
      </c>
      <c r="B1245" s="8" t="str">
        <f>"9781424408306"</f>
        <v>9781424408306</v>
      </c>
      <c r="C1245" s="8" t="s">
        <v>9</v>
      </c>
    </row>
    <row r="1246" spans="1:3" x14ac:dyDescent="0.25">
      <c r="A1246" s="8" t="str">
        <f>"2007 IEEE International Symposium on Nanoscale Architectures, NANOARCH"</f>
        <v>2007 IEEE International Symposium on Nanoscale Architectures, NANOARCH</v>
      </c>
      <c r="B1246" s="8" t="str">
        <f>"9781424417919"</f>
        <v>9781424417919</v>
      </c>
      <c r="C1246" s="8" t="s">
        <v>9</v>
      </c>
    </row>
    <row r="1247" spans="1:3" x14ac:dyDescent="0.25">
      <c r="A1247" s="8" t="str">
        <f>"2007 IEEE International Symposium on Power Line Communications and Its Applications, ISPLC'07"</f>
        <v>2007 IEEE International Symposium on Power Line Communications and Its Applications, ISPLC'07</v>
      </c>
      <c r="B1247" s="8" t="str">
        <f>"9781424410903"</f>
        <v>9781424410903</v>
      </c>
      <c r="C1247" s="8" t="s">
        <v>9</v>
      </c>
    </row>
    <row r="1248" spans="1:3" x14ac:dyDescent="0.25">
      <c r="A1248" s="8" t="str">
        <f>"2007 IEEE International Symposium on Precision Clock Synchronization for Measurement, Control and Communication, ISPCS 2007 Proceedings"</f>
        <v>2007 IEEE International Symposium on Precision Clock Synchronization for Measurement, Control and Communication, ISPCS 2007 Proceedings</v>
      </c>
      <c r="B1248" s="8" t="str">
        <f>"9781424410644"</f>
        <v>9781424410644</v>
      </c>
      <c r="C1248" s="8" t="s">
        <v>9</v>
      </c>
    </row>
    <row r="1249" spans="1:3" x14ac:dyDescent="0.25">
      <c r="A1249" s="8" t="str">
        <f>"2007 IEEE International Workshop on Anti-counterfeiting, Security, Identification, ASID"</f>
        <v>2007 IEEE International Workshop on Anti-counterfeiting, Security, Identification, ASID</v>
      </c>
      <c r="B1249" s="8" t="str">
        <f>"9781424410354"</f>
        <v>9781424410354</v>
      </c>
      <c r="C1249" s="8" t="s">
        <v>9</v>
      </c>
    </row>
    <row r="1250" spans="1:3" x14ac:dyDescent="0.25">
      <c r="A1250" s="8" t="str">
        <f>"2007 IEEE International Workshop on Databases for Next-Generation Researchers, SWOD 2007 - Held in Conjunction with ICDE 2007"</f>
        <v>2007 IEEE International Workshop on Databases for Next-Generation Researchers, SWOD 2007 - Held in Conjunction with ICDE 2007</v>
      </c>
      <c r="B1250" s="8" t="str">
        <f>"9781424409044"</f>
        <v>9781424409044</v>
      </c>
      <c r="C1250" s="8" t="s">
        <v>9</v>
      </c>
    </row>
    <row r="1251" spans="1:3" x14ac:dyDescent="0.25">
      <c r="A1251" s="8" t="str">
        <f>"2007 IEEE Internatonal Conference on Mobile Adhoc and Sensor Systems, MASS"</f>
        <v>2007 IEEE Internatonal Conference on Mobile Adhoc and Sensor Systems, MASS</v>
      </c>
      <c r="B1251" s="8" t="str">
        <f>"9781424414550"</f>
        <v>9781424414550</v>
      </c>
      <c r="C1251" s="8" t="s">
        <v>9</v>
      </c>
    </row>
    <row r="1252" spans="1:3" x14ac:dyDescent="0.25">
      <c r="A1252" s="8" t="str">
        <f>"2007 IEEE Lausanne POWERTECH, Proceedings"</f>
        <v>2007 IEEE Lausanne POWERTECH, Proceedings</v>
      </c>
      <c r="B1252" s="8" t="str">
        <f>"9781424421909"</f>
        <v>9781424421909</v>
      </c>
      <c r="C1252" s="8" t="s">
        <v>9</v>
      </c>
    </row>
    <row r="1253" spans="1:3" x14ac:dyDescent="0.25">
      <c r="A1253" s="8" t="str">
        <f>"2007 IEEE Long Island Systems, Applications and Technology Conference, LISAT"</f>
        <v>2007 IEEE Long Island Systems, Applications and Technology Conference, LISAT</v>
      </c>
      <c r="B1253" s="8" t="str">
        <f>"9781424413027"</f>
        <v>9781424413027</v>
      </c>
      <c r="C1253" s="8" t="s">
        <v>9</v>
      </c>
    </row>
    <row r="1254" spans="1:3" x14ac:dyDescent="0.25">
      <c r="A1254" s="8" t="str">
        <f>"2007 IEEE Meeting the Growing Demand for Engineers and Their Educators 2010-2020 International Summit, MGDETE 2007"</f>
        <v>2007 IEEE Meeting the Growing Demand for Engineers and Their Educators 2010-2020 International Summit, MGDETE 2007</v>
      </c>
      <c r="B1254" s="8" t="str">
        <f>"9781424419166"</f>
        <v>9781424419166</v>
      </c>
      <c r="C1254" s="8" t="s">
        <v>9</v>
      </c>
    </row>
    <row r="1255" spans="1:3" x14ac:dyDescent="0.25">
      <c r="A1255" s="8" t="str">
        <f>"2007 IEEE Mobile WiMAX Symposium"</f>
        <v>2007 IEEE Mobile WiMAX Symposium</v>
      </c>
      <c r="B1255" s="8" t="str">
        <f>"9781424409570"</f>
        <v>9781424409570</v>
      </c>
      <c r="C1255" s="8" t="s">
        <v>9</v>
      </c>
    </row>
    <row r="1256" spans="1:3" x14ac:dyDescent="0.25">
      <c r="A1256" s="8" t="str">
        <f>"2007 IEEE North-East Workshop on Circuits and Systems, NEWCAS 2007"</f>
        <v>2007 IEEE North-East Workshop on Circuits and Systems, NEWCAS 2007</v>
      </c>
      <c r="B1256" s="8" t="str">
        <f>"9781424411641"</f>
        <v>9781424411641</v>
      </c>
      <c r="C1256" s="8" t="s">
        <v>9</v>
      </c>
    </row>
    <row r="1257" spans="1:3" x14ac:dyDescent="0.25">
      <c r="A1257" s="8" t="str">
        <f>"2007 IEEE Power Engineering Society General Meeting, PES"</f>
        <v>2007 IEEE Power Engineering Society General Meeting, PES</v>
      </c>
      <c r="B1257" s="8" t="str">
        <f>"9781424412983"</f>
        <v>9781424412983</v>
      </c>
      <c r="C1257" s="8" t="s">
        <v>105</v>
      </c>
    </row>
    <row r="1258" spans="1:3" x14ac:dyDescent="0.25">
      <c r="A1258" s="8" t="str">
        <f>"2007 IEEE Region 5 Technical Conference, TPS"</f>
        <v>2007 IEEE Region 5 Technical Conference, TPS</v>
      </c>
      <c r="B1258" s="8" t="str">
        <f>"9781424412808"</f>
        <v>9781424412808</v>
      </c>
      <c r="C1258" s="8" t="s">
        <v>9</v>
      </c>
    </row>
    <row r="1259" spans="1:3" x14ac:dyDescent="0.25">
      <c r="A1259" s="8" t="str">
        <f>"2007 IEEE Sarnoff Symposium, SARNOFF"</f>
        <v>2007 IEEE Sarnoff Symposium, SARNOFF</v>
      </c>
      <c r="B1259" s="8" t="str">
        <f>"9781424424832"</f>
        <v>9781424424832</v>
      </c>
      <c r="C1259" s="8" t="s">
        <v>9</v>
      </c>
    </row>
    <row r="1260" spans="1:3" x14ac:dyDescent="0.25">
      <c r="A1260" s="8" t="str">
        <f>"2007 IEEE Symposium on Computational Intelligence and Bioinformatics and Computational Biology, CIBCB 2007"</f>
        <v>2007 IEEE Symposium on Computational Intelligence and Bioinformatics and Computational Biology, CIBCB 2007</v>
      </c>
      <c r="B1260" s="8" t="str">
        <f>"9781424407101"</f>
        <v>9781424407101</v>
      </c>
      <c r="C1260" s="8" t="s">
        <v>9</v>
      </c>
    </row>
    <row r="1261" spans="1:3" x14ac:dyDescent="0.25">
      <c r="A1261" s="8" t="str">
        <f>"2007 IEEE Symposium on Product Compliance Engineering, PSES"</f>
        <v>2007 IEEE Symposium on Product Compliance Engineering, PSES</v>
      </c>
      <c r="B1261" s="8" t="str">
        <f>"9781424410712"</f>
        <v>9781424410712</v>
      </c>
      <c r="C1261" s="8" t="s">
        <v>9</v>
      </c>
    </row>
    <row r="1262" spans="1:3" x14ac:dyDescent="0.25">
      <c r="A1262" s="8" t="str">
        <f>"2007 IEEE Systems and Information Engineering Design Symposium, SIEDS"</f>
        <v>2007 IEEE Systems and Information Engineering Design Symposium, SIEDS</v>
      </c>
      <c r="B1262" s="8" t="str">
        <f>"9781424412853"</f>
        <v>9781424412853</v>
      </c>
      <c r="C1262" s="8" t="s">
        <v>9</v>
      </c>
    </row>
    <row r="1263" spans="1:3" x14ac:dyDescent="0.25">
      <c r="A1263" s="8" t="str">
        <f>"2007 IEEE Workshop on Advanced Robotics and its Social Impacts, ARSO 2007"</f>
        <v>2007 IEEE Workshop on Advanced Robotics and its Social Impacts, ARSO 2007</v>
      </c>
      <c r="B1263" s="8" t="str">
        <f>"9781424419531"</f>
        <v>9781424419531</v>
      </c>
      <c r="C1263" s="8" t="s">
        <v>9</v>
      </c>
    </row>
    <row r="1264" spans="1:3" x14ac:dyDescent="0.25">
      <c r="A1264" s="8" t="str">
        <f>"2007 IEEE Workshop on Automatic Identification Advanced Technologies - Proceedings"</f>
        <v>2007 IEEE Workshop on Automatic Identification Advanced Technologies - Proceedings</v>
      </c>
      <c r="B1264" s="8" t="str">
        <f>"9781424412990"</f>
        <v>9781424412990</v>
      </c>
      <c r="C1264" s="8" t="s">
        <v>9</v>
      </c>
    </row>
    <row r="1265" spans="1:3" x14ac:dyDescent="0.25">
      <c r="A1265" s="8" t="str">
        <f>"2007 IEEE Workshop on Automatic Speech Recognition and Understanding, ASRU 2007, Proceedings"</f>
        <v>2007 IEEE Workshop on Automatic Speech Recognition and Understanding, ASRU 2007, Proceedings</v>
      </c>
      <c r="B1265" s="8" t="str">
        <f>"-"</f>
        <v>-</v>
      </c>
      <c r="C1265" s="8" t="s">
        <v>105</v>
      </c>
    </row>
    <row r="1266" spans="1:3" x14ac:dyDescent="0.25">
      <c r="A1266" s="8" t="str">
        <f>"2007 IEEE Workshop on High Performance Switching and Routing, HPSR"</f>
        <v>2007 IEEE Workshop on High Performance Switching and Routing, HPSR</v>
      </c>
      <c r="B1266" s="8" t="str">
        <f>"9781424412068"</f>
        <v>9781424412068</v>
      </c>
      <c r="C1266" s="8" t="s">
        <v>9</v>
      </c>
    </row>
    <row r="1267" spans="1:3" x14ac:dyDescent="0.25">
      <c r="A1267" s="8" t="str">
        <f>"2007 IEEE Workshop on Microelectronics and Electron Devices, WMED"</f>
        <v>2007 IEEE Workshop on Microelectronics and Electron Devices, WMED</v>
      </c>
      <c r="B1267" s="8" t="str">
        <f>"9781424411139"</f>
        <v>9781424411139</v>
      </c>
      <c r="C1267" s="8" t="s">
        <v>9</v>
      </c>
    </row>
    <row r="1268" spans="1:3" x14ac:dyDescent="0.25">
      <c r="A1268" s="8" t="str">
        <f>"2007 IEEE Workshop on Motion and Video Computing, WMVC 2007"</f>
        <v>2007 IEEE Workshop on Motion and Video Computing, WMVC 2007</v>
      </c>
      <c r="B1268" s="8" t="str">
        <f>"9780769527932"</f>
        <v>9780769527932</v>
      </c>
      <c r="C1268" s="8" t="s">
        <v>9</v>
      </c>
    </row>
    <row r="1269" spans="1:3" x14ac:dyDescent="0.25">
      <c r="A1269" s="8" t="str">
        <f>"2007 IEEE/ACS International Conference on Computer Systems and Applications, AICCSA 2007"</f>
        <v>2007 IEEE/ACS International Conference on Computer Systems and Applications, AICCSA 2007</v>
      </c>
      <c r="B1269" s="8" t="str">
        <f>"9781424410316"</f>
        <v>9781424410316</v>
      </c>
      <c r="C1269" s="8" t="s">
        <v>9</v>
      </c>
    </row>
    <row r="1270" spans="1:3" x14ac:dyDescent="0.25">
      <c r="A1270" s="8" t="str">
        <f>"2007 IEEE/ICME International Conference on Complex Medical Engineering, CME 2007"</f>
        <v>2007 IEEE/ICME International Conference on Complex Medical Engineering, CME 2007</v>
      </c>
      <c r="B1270" s="8" t="str">
        <f>"9781424410781"</f>
        <v>9781424410781</v>
      </c>
      <c r="C1270" s="8" t="s">
        <v>9</v>
      </c>
    </row>
    <row r="1271" spans="1:3" x14ac:dyDescent="0.25">
      <c r="A1271" s="8" t="str">
        <f>"2007 IEEE/LEOS International Conference on Optical MEMS and Nanophotonics, OMENS"</f>
        <v>2007 IEEE/LEOS International Conference on Optical MEMS and Nanophotonics, OMENS</v>
      </c>
      <c r="B1271" s="8" t="str">
        <f>"9781424406418"</f>
        <v>9781424406418</v>
      </c>
      <c r="C1271" s="8" t="s">
        <v>9</v>
      </c>
    </row>
    <row r="1272" spans="1:3" x14ac:dyDescent="0.25">
      <c r="A1272" s="8" t="str">
        <f>"2007 IEEE/NIH Life Science Systems and Applications Workshop, LISA"</f>
        <v>2007 IEEE/NIH Life Science Systems and Applications Workshop, LISA</v>
      </c>
      <c r="B1272" s="8" t="str">
        <f>"9781424418138"</f>
        <v>9781424418138</v>
      </c>
      <c r="C1272" s="8" t="s">
        <v>9</v>
      </c>
    </row>
    <row r="1273" spans="1:3" x14ac:dyDescent="0.25">
      <c r="A1273" s="8" t="str">
        <f>"2007 IFIP International Conference on Very Large Scale Integration, VLSI-SoC"</f>
        <v>2007 IFIP International Conference on Very Large Scale Integration, VLSI-SoC</v>
      </c>
      <c r="B1273" s="8" t="str">
        <f>"9781424417100"</f>
        <v>9781424417100</v>
      </c>
      <c r="C1273" s="8" t="s">
        <v>9</v>
      </c>
    </row>
    <row r="1274" spans="1:3" x14ac:dyDescent="0.25">
      <c r="A1274" s="8" t="str">
        <f>"2007 Information Theory and Applications Workshop, Conference Proceedings, ITA"</f>
        <v>2007 Information Theory and Applications Workshop, Conference Proceedings, ITA</v>
      </c>
      <c r="B1274" s="8" t="str">
        <f>"9780615153148"</f>
        <v>9780615153148</v>
      </c>
      <c r="C1274" s="8" t="s">
        <v>9</v>
      </c>
    </row>
    <row r="1275" spans="1:3" x14ac:dyDescent="0.25">
      <c r="A1275" s="8" t="str">
        <f>"2007 International Conference on Clean Electrical Power, ICCEP '07"</f>
        <v>2007 International Conference on Clean Electrical Power, ICCEP '07</v>
      </c>
      <c r="B1275" s="8" t="str">
        <f>"9781424406326"</f>
        <v>9781424406326</v>
      </c>
      <c r="C1275" s="8" t="s">
        <v>9</v>
      </c>
    </row>
    <row r="1276" spans="1:3" x14ac:dyDescent="0.25">
      <c r="A1276" s="8" t="str">
        <f>"2007 International Conference on Compound Semiconductor Manufacturing Technology, CS MANTECH 2007"</f>
        <v>2007 International Conference on Compound Semiconductor Manufacturing Technology, CS MANTECH 2007</v>
      </c>
      <c r="B1276" s="8" t="str">
        <f>"9781893580091"</f>
        <v>9781893580091</v>
      </c>
      <c r="C1276" s="8" t="s">
        <v>1336</v>
      </c>
    </row>
    <row r="1277" spans="1:3" x14ac:dyDescent="0.25">
      <c r="A1277" s="8" t="str">
        <f>"2007 International Conference on Convergence Information Technology, ICCIT 2007"</f>
        <v>2007 International Conference on Convergence Information Technology, ICCIT 2007</v>
      </c>
      <c r="B1277" s="8" t="str">
        <f>"9780769530383"</f>
        <v>9780769530383</v>
      </c>
      <c r="C1277" s="8" t="s">
        <v>9</v>
      </c>
    </row>
    <row r="1278" spans="1:3" x14ac:dyDescent="0.25">
      <c r="A1278" s="8" t="str">
        <f>"2007 International Conference on Electrical Engineering, ICEE"</f>
        <v>2007 International Conference on Electrical Engineering, ICEE</v>
      </c>
      <c r="B1278" s="8" t="str">
        <f>"9781424408924"</f>
        <v>9781424408924</v>
      </c>
      <c r="C1278" s="8" t="s">
        <v>9</v>
      </c>
    </row>
    <row r="1279" spans="1:3" x14ac:dyDescent="0.25">
      <c r="A1279" s="8" t="str">
        <f>"2007 International Conference on Electromagnetics in Advanced Applications, ICEAA'07"</f>
        <v>2007 International Conference on Electromagnetics in Advanced Applications, ICEAA'07</v>
      </c>
      <c r="B1279" s="8" t="str">
        <f>"9781424407675"</f>
        <v>9781424407675</v>
      </c>
      <c r="C1279" s="8" t="s">
        <v>9</v>
      </c>
    </row>
    <row r="1280" spans="1:3" x14ac:dyDescent="0.25">
      <c r="A1280" s="8" t="str">
        <f>"2007 International Conference on Information and Communication Technologies and Development, ICTD 2007"</f>
        <v>2007 International Conference on Information and Communication Technologies and Development, ICTD 2007</v>
      </c>
      <c r="B1280" s="8" t="str">
        <f>"9781424419906"</f>
        <v>9781424419906</v>
      </c>
      <c r="C1280" s="8" t="s">
        <v>9</v>
      </c>
    </row>
    <row r="1281" spans="1:3" x14ac:dyDescent="0.25">
      <c r="A1281" s="8" t="str">
        <f>"2007 International Conference on Information and Emerging Technologies, ICIET"</f>
        <v>2007 International Conference on Information and Emerging Technologies, ICIET</v>
      </c>
      <c r="B1281" s="8" t="str">
        <f>"9781424412464"</f>
        <v>9781424412464</v>
      </c>
      <c r="C1281" s="8" t="s">
        <v>9</v>
      </c>
    </row>
    <row r="1282" spans="1:3" x14ac:dyDescent="0.25">
      <c r="A1282" s="8" t="str">
        <f>"2007 International Conference on Integration of Knowledge Intensive Multi-Agent Systems, KIMAS 2007"</f>
        <v>2007 International Conference on Integration of Knowledge Intensive Multi-Agent Systems, KIMAS 2007</v>
      </c>
      <c r="B1282" s="8" t="str">
        <f>"9781424409457"</f>
        <v>9781424409457</v>
      </c>
      <c r="C1282" s="8" t="s">
        <v>9</v>
      </c>
    </row>
    <row r="1283" spans="1:3" x14ac:dyDescent="0.25">
      <c r="A1283" s="8" t="str">
        <f>"2007 International Conference on Intelligent and Advanced Systems, ICIAS 2007"</f>
        <v>2007 International Conference on Intelligent and Advanced Systems, ICIAS 2007</v>
      </c>
      <c r="B1283" s="8" t="str">
        <f>"9781424413553"</f>
        <v>9781424413553</v>
      </c>
      <c r="C1283" s="8" t="s">
        <v>9</v>
      </c>
    </row>
    <row r="1284" spans="1:3" x14ac:dyDescent="0.25">
      <c r="A1284" s="8" t="str">
        <f>"2007 International Conference on Intelligent Systems Applications to Power Systems, ISAP"</f>
        <v>2007 International Conference on Intelligent Systems Applications to Power Systems, ISAP</v>
      </c>
      <c r="B1284" s="8" t="str">
        <f>"9789860130867"</f>
        <v>9789860130867</v>
      </c>
      <c r="C1284" s="8" t="s">
        <v>9</v>
      </c>
    </row>
    <row r="1285" spans="1:3" x14ac:dyDescent="0.25">
      <c r="A1285" s="8" t="str">
        <f>"2007 International Conference on Microalloyed Steels: Processing, Microstructure, Properties and Performance Proceedings"</f>
        <v>2007 International Conference on Microalloyed Steels: Processing, Microstructure, Properties and Performance Proceedings</v>
      </c>
      <c r="B1285" s="8" t="str">
        <f>"-"</f>
        <v>-</v>
      </c>
      <c r="C1285" s="8" t="s">
        <v>1346</v>
      </c>
    </row>
    <row r="1286" spans="1:3" x14ac:dyDescent="0.25">
      <c r="A1286" s="8" t="str">
        <f>"2007 International Conference on Microwave and Millimeter Wave Technology, ICMMT '07"</f>
        <v>2007 International Conference on Microwave and Millimeter Wave Technology, ICMMT '07</v>
      </c>
      <c r="B1286" s="8" t="str">
        <f>"9781424410491"</f>
        <v>9781424410491</v>
      </c>
      <c r="C1286" s="8" t="s">
        <v>9</v>
      </c>
    </row>
    <row r="1287" spans="1:3" x14ac:dyDescent="0.25">
      <c r="A1287" s="8" t="str">
        <f>"2007 International Conference on Numerical Simulation of Semiconductor Optoelectronic Devices - NUSOD'07"</f>
        <v>2007 International Conference on Numerical Simulation of Semiconductor Optoelectronic Devices - NUSOD'07</v>
      </c>
      <c r="B1287" s="8" t="str">
        <f>"9781424414314"</f>
        <v>9781424414314</v>
      </c>
      <c r="C1287" s="8" t="s">
        <v>9</v>
      </c>
    </row>
    <row r="1288" spans="1:3" x14ac:dyDescent="0.25">
      <c r="A1288" s="8" t="str">
        <f>"2007 International Conference on Sensor Technologies and Applications, SENSORCOMM 2007, Proceedings"</f>
        <v>2007 International Conference on Sensor Technologies and Applications, SENSORCOMM 2007, Proceedings</v>
      </c>
      <c r="B1288" s="8" t="str">
        <f>"9780769529882"</f>
        <v>9780769529882</v>
      </c>
      <c r="C1288" s="8" t="s">
        <v>9</v>
      </c>
    </row>
    <row r="1289" spans="1:3" x14ac:dyDescent="0.25">
      <c r="A1289" s="8" t="str">
        <f>"2007 International Conference on Simulation of Semiconductor Processes and Devices, SISPAD 2007"</f>
        <v>2007 International Conference on Simulation of Semiconductor Processes and Devices, SISPAD 2007</v>
      </c>
      <c r="B1289" s="8" t="str">
        <f>"9783211728604"</f>
        <v>9783211728604</v>
      </c>
      <c r="C1289" s="8" t="s">
        <v>43</v>
      </c>
    </row>
    <row r="1290" spans="1:3" x14ac:dyDescent="0.25">
      <c r="A1290" s="8" t="str">
        <f>"2007 International Conference on Solid Dielectrics, ICSD"</f>
        <v>2007 International Conference on Solid Dielectrics, ICSD</v>
      </c>
      <c r="B1290" s="8" t="str">
        <f>"9781424407514"</f>
        <v>9781424407514</v>
      </c>
      <c r="C1290" s="8" t="s">
        <v>9</v>
      </c>
    </row>
    <row r="1291" spans="1:3" x14ac:dyDescent="0.25">
      <c r="A1291" s="8" t="str">
        <f>"2007 International Conference on Systems Engineering and Modeling, ICSEM '07"</f>
        <v>2007 International Conference on Systems Engineering and Modeling, ICSEM '07</v>
      </c>
      <c r="B1291" s="8" t="str">
        <f>"9781424407712"</f>
        <v>9781424407712</v>
      </c>
      <c r="C1291" s="8" t="s">
        <v>9</v>
      </c>
    </row>
    <row r="1292" spans="1:3" x14ac:dyDescent="0.25">
      <c r="A1292" s="8" t="str">
        <f>"2007 International Conference on Wireless Communications, Networking and Mobile Computing, WiCOM 2007"</f>
        <v>2007 International Conference on Wireless Communications, Networking and Mobile Computing, WiCOM 2007</v>
      </c>
      <c r="B1292" s="8" t="str">
        <f>"9781424413126"</f>
        <v>9781424413126</v>
      </c>
      <c r="C1292" s="8" t="s">
        <v>9</v>
      </c>
    </row>
    <row r="1293" spans="1:3" x14ac:dyDescent="0.25">
      <c r="A1293" s="8" t="str">
        <f>"2007 International Forum on Strategic Technology, IFOST"</f>
        <v>2007 International Forum on Strategic Technology, IFOST</v>
      </c>
      <c r="B1293" s="8" t="str">
        <f>"9781424435890"</f>
        <v>9781424435890</v>
      </c>
      <c r="C1293" s="8" t="s">
        <v>9</v>
      </c>
    </row>
    <row r="1294" spans="1:3" x14ac:dyDescent="0.25">
      <c r="A1294" s="8" t="str">
        <f>"2007 International Nano-Optelectronics Workshop, iNOW"</f>
        <v>2007 International Nano-Optelectronics Workshop, iNOW</v>
      </c>
      <c r="B1294" s="8" t="str">
        <f>"9781424415915"</f>
        <v>9781424415915</v>
      </c>
      <c r="C1294" s="8" t="s">
        <v>9</v>
      </c>
    </row>
    <row r="1295" spans="1:3" x14ac:dyDescent="0.25">
      <c r="A1295" s="8" t="str">
        <f>"2007 International Semiconductor Device Research Symposium, ISDRS"</f>
        <v>2007 International Semiconductor Device Research Symposium, ISDRS</v>
      </c>
      <c r="B1295" s="8" t="str">
        <f>"9781424418916"</f>
        <v>9781424418916</v>
      </c>
      <c r="C1295" s="8" t="s">
        <v>105</v>
      </c>
    </row>
    <row r="1296" spans="1:3" x14ac:dyDescent="0.25">
      <c r="A1296" s="8" t="str">
        <f>"2007 International Symposium on High Capacity Optical Networks and Enabling Technologies, HONET"</f>
        <v>2007 International Symposium on High Capacity Optical Networks and Enabling Technologies, HONET</v>
      </c>
      <c r="B1296" s="8" t="str">
        <f>"9781424418282"</f>
        <v>9781424418282</v>
      </c>
      <c r="C1296" s="8" t="s">
        <v>9</v>
      </c>
    </row>
    <row r="1297" spans="1:3" x14ac:dyDescent="0.25">
      <c r="A1297" s="8" t="str">
        <f>"2007 International Symposium on Integrated Circuits, ISIC"</f>
        <v>2007 International Symposium on Integrated Circuits, ISIC</v>
      </c>
      <c r="B1297" s="8" t="str">
        <f>"9781424407972"</f>
        <v>9781424407972</v>
      </c>
      <c r="C1297" s="8" t="s">
        <v>9</v>
      </c>
    </row>
    <row r="1298" spans="1:3" x14ac:dyDescent="0.25">
      <c r="A1298" s="8" t="str">
        <f>"2007 International Symposium on Intelligent Signal Processing and Communications Systems, ISPACS 2007 - Proceedings"</f>
        <v>2007 International Symposium on Intelligent Signal Processing and Communications Systems, ISPACS 2007 - Proceedings</v>
      </c>
      <c r="B1298" s="8" t="str">
        <f>"9781424414475"</f>
        <v>9781424414475</v>
      </c>
      <c r="C1298" s="8" t="s">
        <v>105</v>
      </c>
    </row>
    <row r="1299" spans="1:3" x14ac:dyDescent="0.25">
      <c r="A1299" s="8" t="str">
        <f>"2007 International Symposium on Micro-NanoMechatronics and Human Science, MHS"</f>
        <v>2007 International Symposium on Micro-NanoMechatronics and Human Science, MHS</v>
      </c>
      <c r="B1299" s="8" t="str">
        <f>"9781424418589"</f>
        <v>9781424418589</v>
      </c>
      <c r="C1299" s="8" t="s">
        <v>9</v>
      </c>
    </row>
    <row r="1300" spans="1:3" x14ac:dyDescent="0.25">
      <c r="A1300" s="8" t="str">
        <f>"2007 International Symposium on System-on-Chip Proceedings, SOC"</f>
        <v>2007 International Symposium on System-on-Chip Proceedings, SOC</v>
      </c>
      <c r="B1300" s="8" t="str">
        <f>"9781424413676"</f>
        <v>9781424413676</v>
      </c>
      <c r="C1300" s="8" t="s">
        <v>9</v>
      </c>
    </row>
    <row r="1301" spans="1:3" x14ac:dyDescent="0.25">
      <c r="A1301" s="8" t="str">
        <f>"2007 International Symposium on VLSI Design, Automation and Test, VLSI-DAT 2007 - Proceedings of Technical Papers"</f>
        <v>2007 International Symposium on VLSI Design, Automation and Test, VLSI-DAT 2007 - Proceedings of Technical Papers</v>
      </c>
      <c r="B1301" s="8" t="str">
        <f>"9781424405831"</f>
        <v>9781424405831</v>
      </c>
      <c r="C1301" s="8" t="s">
        <v>9</v>
      </c>
    </row>
    <row r="1302" spans="1:3" x14ac:dyDescent="0.25">
      <c r="A1302" s="8" t="str">
        <f>"2007 International Waveform Diversity and Design Conference, WDD"</f>
        <v>2007 International Waveform Diversity and Design Conference, WDD</v>
      </c>
      <c r="B1302" s="8" t="str">
        <f>"9781424412761"</f>
        <v>9781424412761</v>
      </c>
      <c r="C1302" s="8" t="s">
        <v>9</v>
      </c>
    </row>
    <row r="1303" spans="1:3" x14ac:dyDescent="0.25">
      <c r="A1303" s="8" t="str">
        <f>"2007 International Workshop on Cross Layer Design, IWCLD 2007"</f>
        <v>2007 International Workshop on Cross Layer Design, IWCLD 2007</v>
      </c>
      <c r="B1303" s="8" t="str">
        <f>"9781424412846"</f>
        <v>9781424412846</v>
      </c>
      <c r="C1303" s="8" t="s">
        <v>9</v>
      </c>
    </row>
    <row r="1304" spans="1:3" x14ac:dyDescent="0.25">
      <c r="A1304" s="8" t="str">
        <f>"2007 International Workshop on Domain Driven Data Mining, DDDM2007"</f>
        <v>2007 International Workshop on Domain Driven Data Mining, DDDM2007</v>
      </c>
      <c r="B1304" s="8" t="str">
        <f>"9781595938466"</f>
        <v>9781595938466</v>
      </c>
      <c r="C1304" s="8" t="s">
        <v>21</v>
      </c>
    </row>
    <row r="1305" spans="1:3" x14ac:dyDescent="0.25">
      <c r="A1305" s="8" t="str">
        <f>"2007 International Workshop on Multidimensional (nD) Systems, nDS 2007"</f>
        <v>2007 International Workshop on Multidimensional (nD) Systems, nDS 2007</v>
      </c>
      <c r="B1305" s="8" t="str">
        <f>"9781424411122"</f>
        <v>9781424411122</v>
      </c>
      <c r="C1305" s="8" t="s">
        <v>9</v>
      </c>
    </row>
    <row r="1306" spans="1:3" x14ac:dyDescent="0.25">
      <c r="A1306" s="8" t="str">
        <f>"2007 International Workshop on Satellite and Space Communication, IWSSC'07"</f>
        <v>2007 International Workshop on Satellite and Space Communication, IWSSC'07</v>
      </c>
      <c r="B1306" s="8" t="str">
        <f>"9781424409396"</f>
        <v>9781424409396</v>
      </c>
      <c r="C1306" s="8" t="s">
        <v>9</v>
      </c>
    </row>
    <row r="1307" spans="1:3" x14ac:dyDescent="0.25">
      <c r="A1307" s="8" t="str">
        <f>"2007 iREP Symposium- Bulk Power System Dynamics and Control - VII, Revitalizing Operational Reliability"</f>
        <v>2007 iREP Symposium- Bulk Power System Dynamics and Control - VII, Revitalizing Operational Reliability</v>
      </c>
      <c r="B1307" s="8" t="str">
        <f>"9781424415199"</f>
        <v>9781424415199</v>
      </c>
      <c r="C1307" s="8" t="s">
        <v>9</v>
      </c>
    </row>
    <row r="1308" spans="1:3" x14ac:dyDescent="0.25">
      <c r="A1308" s="8" t="str">
        <f>"2007 ITI 5th International Conference on Information and Communications Technology, ICICT 2007"</f>
        <v>2007 ITI 5th International Conference on Information and Communications Technology, ICICT 2007</v>
      </c>
      <c r="B1308" s="8" t="str">
        <f>"9781424414307"</f>
        <v>9781424414307</v>
      </c>
      <c r="C1308" s="8" t="s">
        <v>9</v>
      </c>
    </row>
    <row r="1309" spans="1:3" x14ac:dyDescent="0.25">
      <c r="A1309" s="8" t="str">
        <f>"2007 IWSSIP and EC-SIPMCS - Proc. 2007 14th Int. Workshop on Systems, Signals and Image Processing, and 6th EURASIP Conf. Focused on Speech and Image Processing, Multimedia Communications and Services"</f>
        <v>2007 IWSSIP and EC-SIPMCS - Proc. 2007 14th Int. Workshop on Systems, Signals and Image Processing, and 6th EURASIP Conf. Focused on Speech and Image Processing, Multimedia Communications and Services</v>
      </c>
      <c r="B1309" s="8" t="str">
        <f>"9789612480295"</f>
        <v>9789612480295</v>
      </c>
      <c r="C1309" s="8" t="s">
        <v>9</v>
      </c>
    </row>
    <row r="1310" spans="1:3" x14ac:dyDescent="0.25">
      <c r="A1310" s="8" t="str">
        <f>"2007 Joint International Conference on Optical Internet and Australian Conference on Optical Fibre Technology, COIN-ACOFT 2007"</f>
        <v>2007 Joint International Conference on Optical Internet and Australian Conference on Optical Fibre Technology, COIN-ACOFT 2007</v>
      </c>
      <c r="B1310" s="8" t="str">
        <f>"9780977565733"</f>
        <v>9780977565733</v>
      </c>
      <c r="C1310" s="8" t="s">
        <v>9</v>
      </c>
    </row>
    <row r="1311" spans="1:3" x14ac:dyDescent="0.25">
      <c r="A1311" s="8" t="str">
        <f>"2007 Korea-Japan Microwave Conference, KJMW2007, Technical Digest 2007"</f>
        <v>2007 Korea-Japan Microwave Conference, KJMW2007, Technical Digest 2007</v>
      </c>
      <c r="B1311" s="8" t="str">
        <f>"9781424415564"</f>
        <v>9781424415564</v>
      </c>
      <c r="C1311" s="8" t="s">
        <v>9</v>
      </c>
    </row>
    <row r="1312" spans="1:3" x14ac:dyDescent="0.25">
      <c r="A1312" s="8" t="str">
        <f>"2007 Latin American Network Operations and Management Symposium - LANOMS 2007"</f>
        <v>2007 Latin American Network Operations and Management Symposium - LANOMS 2007</v>
      </c>
      <c r="B1312" s="8" t="str">
        <f>"9781424411825"</f>
        <v>9781424411825</v>
      </c>
      <c r="C1312" s="8" t="s">
        <v>9</v>
      </c>
    </row>
    <row r="1313" spans="1:3" x14ac:dyDescent="0.25">
      <c r="A1313" s="8" t="str">
        <f>"2007 Loughborough Antennas and Propagation Conference, LAPC 2007 Conference Proceedings"</f>
        <v>2007 Loughborough Antennas and Propagation Conference, LAPC 2007 Conference Proceedings</v>
      </c>
      <c r="B1313" s="8" t="str">
        <f>"9781424407767"</f>
        <v>9781424407767</v>
      </c>
      <c r="C1313" s="8" t="s">
        <v>9</v>
      </c>
    </row>
    <row r="1314" spans="1:3" x14ac:dyDescent="0.25">
      <c r="A1314" s="8" t="str">
        <f>"2007 Mediterranean Conference on Control and Automation, MED"</f>
        <v>2007 Mediterranean Conference on Control and Automation, MED</v>
      </c>
      <c r="B1314" s="8" t="str">
        <f>"9781424412822"</f>
        <v>9781424412822</v>
      </c>
      <c r="C1314" s="8" t="s">
        <v>9</v>
      </c>
    </row>
    <row r="1315" spans="1:3" x14ac:dyDescent="0.25">
      <c r="A1315" s="8" t="str">
        <f>"2007 Membrane Technology Conference and Exposition Proceedings"</f>
        <v>2007 Membrane Technology Conference and Exposition Proceedings</v>
      </c>
      <c r="B1315" s="8" t="str">
        <f>"9781583214930"</f>
        <v>9781583214930</v>
      </c>
      <c r="C1315" s="8" t="s">
        <v>651</v>
      </c>
    </row>
    <row r="1316" spans="1:3" x14ac:dyDescent="0.25">
      <c r="A1316" s="8" t="str">
        <f>"2007 Mobile Networking for Vehicular Environments, MOVE"</f>
        <v>2007 Mobile Networking for Vehicular Environments, MOVE</v>
      </c>
      <c r="B1316" s="8" t="str">
        <f>"9781424416905"</f>
        <v>9781424416905</v>
      </c>
      <c r="C1316" s="8" t="s">
        <v>9</v>
      </c>
    </row>
    <row r="1317" spans="1:3" x14ac:dyDescent="0.25">
      <c r="A1317" s="8" t="str">
        <f>"2007 North American Membrane Society Annual Conference, NAMS 2007"</f>
        <v>2007 North American Membrane Society Annual Conference, NAMS 2007</v>
      </c>
      <c r="B1317" s="8" t="str">
        <f>"-"</f>
        <v>-</v>
      </c>
      <c r="C1317" s="8" t="s">
        <v>1294</v>
      </c>
    </row>
    <row r="1318" spans="1:3" x14ac:dyDescent="0.25">
      <c r="A1318" s="8" t="str">
        <f>"2007 NSTI Nanotechnology Conference and Trade Show - NSTI Nanotech 2007, Technical Proceedings"</f>
        <v>2007 NSTI Nanotechnology Conference and Trade Show - NSTI Nanotech 2007, Technical Proceedings</v>
      </c>
      <c r="B1318" s="8" t="str">
        <f>"9781420063424"</f>
        <v>9781420063424</v>
      </c>
      <c r="C1318" s="8" t="s">
        <v>1334</v>
      </c>
    </row>
    <row r="1319" spans="1:3" x14ac:dyDescent="0.25">
      <c r="A1319" s="8" t="str">
        <f>"2007 Photonics in Switching, PS"</f>
        <v>2007 Photonics in Switching, PS</v>
      </c>
      <c r="B1319" s="8" t="str">
        <f>"9781424411221"</f>
        <v>9781424411221</v>
      </c>
      <c r="C1319" s="8" t="s">
        <v>9</v>
      </c>
    </row>
    <row r="1320" spans="1:3" x14ac:dyDescent="0.25">
      <c r="A1320" s="8" t="str">
        <f>"2007 Power Systems Conference: Advance Metering, Protection, Control, Communication, and Distributed Resources, PSC 2007"</f>
        <v>2007 Power Systems Conference: Advance Metering, Protection, Control, Communication, and Distributed Resources, PSC 2007</v>
      </c>
      <c r="B1320" s="8" t="str">
        <f>"9781424408559"</f>
        <v>9781424408559</v>
      </c>
      <c r="C1320" s="8" t="s">
        <v>9</v>
      </c>
    </row>
    <row r="1321" spans="1:3" x14ac:dyDescent="0.25">
      <c r="A1321" s="8" t="str">
        <f>"2007 Proceedings - 12th International Chemical-Mechanical Planarization for ULSI Multilevel Interconnection Conference, CMP-MIC 2007"</f>
        <v>2007 Proceedings - 12th International Chemical-Mechanical Planarization for ULSI Multilevel Interconnection Conference, CMP-MIC 2007</v>
      </c>
      <c r="B1321" s="8" t="str">
        <f>"-"</f>
        <v>-</v>
      </c>
      <c r="C1321" s="8" t="s">
        <v>1338</v>
      </c>
    </row>
    <row r="1322" spans="1:3" x14ac:dyDescent="0.25">
      <c r="A1322" s="8" t="str">
        <f>"2007 Proceedings - 24th International VLSI Multilevel Interconnection Conference, VMIC 2007"</f>
        <v>2007 Proceedings - 24th International VLSI Multilevel Interconnection Conference, VMIC 2007</v>
      </c>
      <c r="B1322" s="8" t="str">
        <f>"-"</f>
        <v>-</v>
      </c>
      <c r="C1322" s="8" t="s">
        <v>1338</v>
      </c>
    </row>
    <row r="1323" spans="1:3" x14ac:dyDescent="0.25">
      <c r="A1323" s="8" t="str">
        <f>"2007 Proceedings of the 5th Joint ASME/JSME Fluids Engineering Summer Conference, FEDSM 2007"</f>
        <v>2007 Proceedings of the 5th Joint ASME/JSME Fluids Engineering Summer Conference, FEDSM 2007</v>
      </c>
      <c r="B1323" s="8" t="str">
        <f>"9780791842881"</f>
        <v>9780791842881</v>
      </c>
      <c r="C1323" s="8" t="s">
        <v>73</v>
      </c>
    </row>
    <row r="1324" spans="1:3" x14ac:dyDescent="0.25">
      <c r="A1324" s="8" t="str">
        <f>"2007 Proceedings of the ASME International Design Engineering Technical Conferences and Computers and Information in Engineering Conference, DETC2007"</f>
        <v>2007 Proceedings of the ASME International Design Engineering Technical Conferences and Computers and Information in Engineering Conference, DETC2007</v>
      </c>
      <c r="B1324" s="8" t="str">
        <f>"9780791848029"</f>
        <v>9780791848029</v>
      </c>
      <c r="C1324" s="8" t="s">
        <v>73</v>
      </c>
    </row>
    <row r="1325" spans="1:3" x14ac:dyDescent="0.25">
      <c r="A1325" s="8" t="str">
        <f>"2007 Proceedings of the ASME InterPack Conference, IPACK 2007"</f>
        <v>2007 Proceedings of the ASME InterPack Conference, IPACK 2007</v>
      </c>
      <c r="B1325" s="8" t="str">
        <f>"9780791842775"</f>
        <v>9780791842775</v>
      </c>
      <c r="C1325" s="8" t="s">
        <v>73</v>
      </c>
    </row>
    <row r="1326" spans="1:3" x14ac:dyDescent="0.25">
      <c r="A1326" s="8" t="str">
        <f>"2007 Proceedings of the ASME Pressure Vessels and Piping Conference - 8th International Conference on Creep and Fatigue at Elevated Temperatures - CREEP8"</f>
        <v>2007 Proceedings of the ASME Pressure Vessels and Piping Conference - 8th International Conference on Creep and Fatigue at Elevated Temperatures - CREEP8</v>
      </c>
      <c r="B1326" s="8" t="str">
        <f>"9780791842874"</f>
        <v>9780791842874</v>
      </c>
      <c r="C1326" s="8" t="s">
        <v>73</v>
      </c>
    </row>
    <row r="1327" spans="1:3" x14ac:dyDescent="0.25">
      <c r="A1327" s="8" t="str">
        <f>"2007 Proceedings of the ASME/JSME Thermal Engineering Summer Heat Transfer Conference - HT 2007"</f>
        <v>2007 Proceedings of the ASME/JSME Thermal Engineering Summer Heat Transfer Conference - HT 2007</v>
      </c>
      <c r="B1327" s="8" t="str">
        <f>"9780791842744"</f>
        <v>9780791842744</v>
      </c>
      <c r="C1327" s="8" t="s">
        <v>73</v>
      </c>
    </row>
    <row r="1328" spans="1:3" x14ac:dyDescent="0.25">
      <c r="A1328" s="8" t="str">
        <f>"2007 Proceedings of the ASME/STLE International Joint Tribology Conference, IJTC 2007"</f>
        <v>2007 Proceedings of the ASME/STLE International Joint Tribology Conference, IJTC 2007</v>
      </c>
      <c r="B1328" s="8" t="str">
        <f>"9780791848104"</f>
        <v>9780791848104</v>
      </c>
      <c r="C1328" s="8" t="s">
        <v>73</v>
      </c>
    </row>
    <row r="1329" spans="1:3" x14ac:dyDescent="0.25">
      <c r="A1329" s="8" t="str">
        <f>"2007 ROCS Workshop (formerly the GaAs REL Workshop)- Reliability of Compound Semiconductors, Proceedings"</f>
        <v>2007 ROCS Workshop (formerly the GaAs REL Workshop)- Reliability of Compound Semiconductors, Proceedings</v>
      </c>
      <c r="B1329" s="8" t="str">
        <f>"9780790801155"</f>
        <v>9780790801155</v>
      </c>
      <c r="C1329" s="8" t="s">
        <v>9</v>
      </c>
    </row>
    <row r="1330" spans="1:3" x14ac:dyDescent="0.25">
      <c r="A1330" s="8" t="str">
        <f>"2007 SAE Aircraft and Engine Icing International Conference"</f>
        <v>2007 SAE Aircraft and Engine Icing International Conference</v>
      </c>
      <c r="B1330" s="8" t="str">
        <f>"-"</f>
        <v>-</v>
      </c>
      <c r="C1330" s="8" t="s">
        <v>1040</v>
      </c>
    </row>
    <row r="1331" spans="1:3" x14ac:dyDescent="0.25">
      <c r="A1331" s="8" t="str">
        <f>"2007 Second International Conference on Digital Telecommunications, ICDT'07"</f>
        <v>2007 Second International Conference on Digital Telecommunications, ICDT'07</v>
      </c>
      <c r="B1331" s="8" t="str">
        <f>"9780769529103"</f>
        <v>9780769529103</v>
      </c>
      <c r="C1331" s="8" t="s">
        <v>9</v>
      </c>
    </row>
    <row r="1332" spans="1:3" x14ac:dyDescent="0.25">
      <c r="A1332" s="8" t="str">
        <f>"2007 Spanish Conference on Electron Devices, Proceedings"</f>
        <v>2007 Spanish Conference on Electron Devices, Proceedings</v>
      </c>
      <c r="B1332" s="8" t="str">
        <f>"9781424408689"</f>
        <v>9781424408689</v>
      </c>
      <c r="C1332" s="8" t="s">
        <v>9</v>
      </c>
    </row>
    <row r="1333" spans="1:3" x14ac:dyDescent="0.25">
      <c r="A1333" s="8" t="str">
        <f>"2007 SPEC Benchmark Workshop"</f>
        <v>2007 SPEC Benchmark Workshop</v>
      </c>
      <c r="B1333" s="8" t="str">
        <f>"-"</f>
        <v>-</v>
      </c>
      <c r="C1333" s="8" t="s">
        <v>1344</v>
      </c>
    </row>
    <row r="1334" spans="1:3" x14ac:dyDescent="0.25">
      <c r="A1334" s="8" t="str">
        <f>"2007 Symposium on Industrial Embedded Systems Proceeedings, SIES'2007"</f>
        <v>2007 Symposium on Industrial Embedded Systems Proceeedings, SIES'2007</v>
      </c>
      <c r="B1334" s="8" t="str">
        <f>"9781424408405"</f>
        <v>9781424408405</v>
      </c>
      <c r="C1334" s="8" t="s">
        <v>9</v>
      </c>
    </row>
    <row r="1335" spans="1:3" x14ac:dyDescent="0.25">
      <c r="A1335" s="8" t="str">
        <f>"2007 TAPPI Papermakers and PIMA International Leadership Conference"</f>
        <v>2007 TAPPI Papermakers and PIMA International Leadership Conference</v>
      </c>
      <c r="B1335" s="8" t="str">
        <f>"-"</f>
        <v>-</v>
      </c>
      <c r="C1335" s="8" t="s">
        <v>1099</v>
      </c>
    </row>
    <row r="1336" spans="1:3" x14ac:dyDescent="0.25">
      <c r="A1336" s="8" t="str">
        <f>"2007 Topical Meeting on Silicon Monolithic Integrated Circuits in RF Systems, SiRF07"</f>
        <v>2007 Topical Meeting on Silicon Monolithic Integrated Circuits in RF Systems, SiRF07</v>
      </c>
      <c r="B1336" s="8" t="str">
        <f>"9780780397644"</f>
        <v>9780780397644</v>
      </c>
      <c r="C1336" s="8" t="s">
        <v>9</v>
      </c>
    </row>
    <row r="1337" spans="1:3" x14ac:dyDescent="0.25">
      <c r="A1337" s="8" t="str">
        <f>"2007 Urban Remote Sensing Joint Event, URS"</f>
        <v>2007 Urban Remote Sensing Joint Event, URS</v>
      </c>
      <c r="B1337" s="8" t="str">
        <f>"9781424407125"</f>
        <v>9781424407125</v>
      </c>
      <c r="C1337" s="8" t="s">
        <v>9</v>
      </c>
    </row>
    <row r="1338" spans="1:3" x14ac:dyDescent="0.25">
      <c r="A1338" s="8" t="str">
        <f>"2007 Virtual Rehabilitation, IWVR"</f>
        <v>2007 Virtual Rehabilitation, IWVR</v>
      </c>
      <c r="B1338" s="8" t="str">
        <f>"9781424412044"</f>
        <v>9781424412044</v>
      </c>
      <c r="C1338" s="8" t="s">
        <v>9</v>
      </c>
    </row>
    <row r="1339" spans="1:3" x14ac:dyDescent="0.25">
      <c r="A1339" s="8" t="str">
        <f>"2007 Wireless Telecommunications Symposium, WTS 2007"</f>
        <v>2007 Wireless Telecommunications Symposium, WTS 2007</v>
      </c>
      <c r="B1339" s="8" t="str">
        <f>"9781424406975"</f>
        <v>9781424406975</v>
      </c>
      <c r="C1339" s="8" t="s">
        <v>9</v>
      </c>
    </row>
    <row r="1340" spans="1:3" x14ac:dyDescent="0.25">
      <c r="A1340" s="8" t="str">
        <f>"2007 Working IEEE/IFIP Conference on Software Architecture (WICSA'07)"</f>
        <v>2007 Working IEEE/IFIP Conference on Software Architecture (WICSA'07)</v>
      </c>
      <c r="B1340" s="8" t="str">
        <f>"9780769527444"</f>
        <v>9780769527444</v>
      </c>
      <c r="C1340" s="8" t="s">
        <v>9</v>
      </c>
    </row>
    <row r="1341" spans="1:3" x14ac:dyDescent="0.25">
      <c r="A1341" s="8" t="str">
        <f>"2007 Workshop on Computational Electromagnetics in Time-Domain, CEM-TD"</f>
        <v>2007 Workshop on Computational Electromagnetics in Time-Domain, CEM-TD</v>
      </c>
      <c r="B1341" s="8" t="str">
        <f>"9781424411702"</f>
        <v>9781424411702</v>
      </c>
      <c r="C1341" s="8" t="s">
        <v>9</v>
      </c>
    </row>
    <row r="1342" spans="1:3" x14ac:dyDescent="0.25">
      <c r="A1342" s="8" t="str">
        <f>"2007 Workshop on GMPLS Performance: Control Plane Resilience"</f>
        <v>2007 Workshop on GMPLS Performance: Control Plane Resilience</v>
      </c>
      <c r="B1342" s="8" t="str">
        <f>"-"</f>
        <v>-</v>
      </c>
      <c r="C1342" s="8" t="s">
        <v>9</v>
      </c>
    </row>
    <row r="1343" spans="1:3" x14ac:dyDescent="0.25">
      <c r="A1343" s="8" t="str">
        <f>"2008 10th IEEE Intl. Conf. on e-Health Networking, Applications and Service, HEALTHCOM 2008"</f>
        <v>2008 10th IEEE Intl. Conf. on e-Health Networking, Applications and Service, HEALTHCOM 2008</v>
      </c>
      <c r="B1343" s="8" t="str">
        <f>"9781424422814"</f>
        <v>9781424422814</v>
      </c>
      <c r="C1343" s="8" t="s">
        <v>9</v>
      </c>
    </row>
    <row r="1344" spans="1:3" x14ac:dyDescent="0.25">
      <c r="A1344" s="8" t="str">
        <f>"2008 10th International Conference on Control, Automation, Robotics and Vision, ICARCV 2008"</f>
        <v>2008 10th International Conference on Control, Automation, Robotics and Vision, ICARCV 2008</v>
      </c>
      <c r="B1344" s="8" t="str">
        <f>"9781424422876"</f>
        <v>9781424422876</v>
      </c>
      <c r="C1344" s="8" t="s">
        <v>9</v>
      </c>
    </row>
    <row r="1345" spans="1:3" x14ac:dyDescent="0.25">
      <c r="A1345" s="8" t="str">
        <f>"2008 10th International Conference on Electronic Materials and Packaging, EMAP 2008"</f>
        <v>2008 10th International Conference on Electronic Materials and Packaging, EMAP 2008</v>
      </c>
      <c r="B1345" s="8" t="str">
        <f>"9781424436217"</f>
        <v>9781424436217</v>
      </c>
      <c r="C1345" s="8" t="s">
        <v>9</v>
      </c>
    </row>
    <row r="1346" spans="1:3" x14ac:dyDescent="0.25">
      <c r="A1346" s="8" t="str">
        <f>"2008 11th IEEE Intersociety Conference on Thermal and Thermomechanical Phenomena in Electronic Systems, I-THERM"</f>
        <v>2008 11th IEEE Intersociety Conference on Thermal and Thermomechanical Phenomena in Electronic Systems, I-THERM</v>
      </c>
      <c r="B1346" s="8" t="str">
        <f>"9781424417018"</f>
        <v>9781424417018</v>
      </c>
      <c r="C1346" s="8" t="s">
        <v>9</v>
      </c>
    </row>
    <row r="1347" spans="1:3" x14ac:dyDescent="0.25">
      <c r="A1347" s="8" t="str">
        <f>"2008 11th IEEE Singapore International Conference on Communication Systems, ICCS 2008"</f>
        <v>2008 11th IEEE Singapore International Conference on Communication Systems, ICCS 2008</v>
      </c>
      <c r="B1347" s="8" t="str">
        <f>"-"</f>
        <v>-</v>
      </c>
      <c r="C1347" s="8" t="s">
        <v>9</v>
      </c>
    </row>
    <row r="1348" spans="1:3" x14ac:dyDescent="0.25">
      <c r="A1348" s="8" t="str">
        <f>"2008 12th International Middle East Power System Conference, MEPCON 2008"</f>
        <v>2008 12th International Middle East Power System Conference, MEPCON 2008</v>
      </c>
      <c r="B1348" s="8" t="str">
        <f>"9781424419333"</f>
        <v>9781424419333</v>
      </c>
      <c r="C1348" s="8" t="s">
        <v>9</v>
      </c>
    </row>
    <row r="1349" spans="1:3" x14ac:dyDescent="0.25">
      <c r="A1349" s="8" t="str">
        <f>"2008 13th International Power Electronics and Motion Control Conference, EPE-PEMC 2008"</f>
        <v>2008 13th International Power Electronics and Motion Control Conference, EPE-PEMC 2008</v>
      </c>
      <c r="B1349" s="8" t="str">
        <f>"9781424417421"</f>
        <v>9781424417421</v>
      </c>
      <c r="C1349" s="8" t="s">
        <v>9</v>
      </c>
    </row>
    <row r="1350" spans="1:3" x14ac:dyDescent="0.25">
      <c r="A1350" s="8" t="str">
        <f>"2008 14th Asia-Pacific Conference on Communications, APCC 2008"</f>
        <v>2008 14th Asia-Pacific Conference on Communications, APCC 2008</v>
      </c>
      <c r="B1350" s="8" t="str">
        <f>"9784885522321"</f>
        <v>9784885522321</v>
      </c>
      <c r="C1350" s="8" t="s">
        <v>9</v>
      </c>
    </row>
    <row r="1351" spans="1:3" x14ac:dyDescent="0.25">
      <c r="A1351" s="8" t="str">
        <f>"2008 14th GI/ITG Conference on Measuring, Modelling and Evaluation of Computer and Communication Systems, MMB 2008"</f>
        <v>2008 14th GI/ITG Conference on Measuring, Modelling and Evaluation of Computer and Communication Systems, MMB 2008</v>
      </c>
      <c r="B1351" s="8" t="str">
        <f>"9783800730902"</f>
        <v>9783800730902</v>
      </c>
      <c r="C1351" s="8" t="s">
        <v>9</v>
      </c>
    </row>
    <row r="1352" spans="1:3" x14ac:dyDescent="0.25">
      <c r="A1352" s="8" t="str">
        <f>"2008 14th Symposium on Electromagnetic Launch Technology, EML, Proceedings"</f>
        <v>2008 14th Symposium on Electromagnetic Launch Technology, EML, Proceedings</v>
      </c>
      <c r="B1352" s="8" t="str">
        <f>"9781424418336"</f>
        <v>9781424418336</v>
      </c>
      <c r="C1352" s="8" t="s">
        <v>9</v>
      </c>
    </row>
    <row r="1353" spans="1:3" x14ac:dyDescent="0.25">
      <c r="A1353" s="8" t="str">
        <f>"2008 17th International Conference on High Power Particle Beams, BEAMS'08"</f>
        <v>2008 17th International Conference on High Power Particle Beams, BEAMS'08</v>
      </c>
      <c r="B1353" s="8" t="str">
        <f>"-"</f>
        <v>-</v>
      </c>
      <c r="C1353" s="8" t="s">
        <v>9</v>
      </c>
    </row>
    <row r="1354" spans="1:3" x14ac:dyDescent="0.25">
      <c r="A1354" s="8" t="str">
        <f>"2008 17th International Conference on Microwaves, Radar and Wireless Communications, MIKON 2008"</f>
        <v>2008 17th International Conference on Microwaves, Radar and Wireless Communications, MIKON 2008</v>
      </c>
      <c r="B1354" s="8" t="str">
        <f>"9788390666280"</f>
        <v>9788390666280</v>
      </c>
      <c r="C1354" s="8" t="s">
        <v>9</v>
      </c>
    </row>
    <row r="1355" spans="1:3" x14ac:dyDescent="0.25">
      <c r="A1355" s="8" t="str">
        <f>"2008 19th International Conference on Pattern Recognition, ICPR 2008"</f>
        <v>2008 19th International Conference on Pattern Recognition, ICPR 2008</v>
      </c>
      <c r="B1355" s="8" t="str">
        <f>"9781424421756"</f>
        <v>9781424421756</v>
      </c>
      <c r="C1355" s="8" t="s">
        <v>9</v>
      </c>
    </row>
    <row r="1356" spans="1:3" x14ac:dyDescent="0.25">
      <c r="A1356" s="8" t="str">
        <f>"2008 1st Asia-Pacific Optical Fiber Sensors Conference, APOS 2008"</f>
        <v>2008 1st Asia-Pacific Optical Fiber Sensors Conference, APOS 2008</v>
      </c>
      <c r="B1356" s="8" t="str">
        <f>"9781424421329"</f>
        <v>9781424421329</v>
      </c>
      <c r="C1356" s="8" t="s">
        <v>9</v>
      </c>
    </row>
    <row r="1357" spans="1:3" x14ac:dyDescent="0.25">
      <c r="A1357" s="8" t="str">
        <f>"2008 1st Conference on IT Revolutions"</f>
        <v>2008 1st Conference on IT Revolutions</v>
      </c>
      <c r="B1357" s="8" t="str">
        <f>"9789639799387"</f>
        <v>9789639799387</v>
      </c>
      <c r="C1357" s="8" t="s">
        <v>9</v>
      </c>
    </row>
    <row r="1358" spans="1:3" x14ac:dyDescent="0.25">
      <c r="A1358" s="8" t="str">
        <f>"2008 1st IFIP Wireless Days, WD 2008"</f>
        <v>2008 1st IFIP Wireless Days, WD 2008</v>
      </c>
      <c r="B1358" s="8" t="str">
        <f>"9781424428298"</f>
        <v>9781424428298</v>
      </c>
      <c r="C1358" s="8" t="s">
        <v>9</v>
      </c>
    </row>
    <row r="1359" spans="1:3" x14ac:dyDescent="0.25">
      <c r="A1359" s="8" t="str">
        <f>"2008 1st International Conference on Distributed Frameworks and Application, DFmA 2008"</f>
        <v>2008 1st International Conference on Distributed Frameworks and Application, DFmA 2008</v>
      </c>
      <c r="B1359" s="8" t="str">
        <f>"9781424423132"</f>
        <v>9781424423132</v>
      </c>
      <c r="C1359" s="8" t="s">
        <v>9</v>
      </c>
    </row>
    <row r="1360" spans="1:3" x14ac:dyDescent="0.25">
      <c r="A1360" s="8" t="str">
        <f>"2008 1st International Conference on Infrastructure Systems and Services: Building Networks for a Brighter Future, INFRA 2008"</f>
        <v>2008 1st International Conference on Infrastructure Systems and Services: Building Networks for a Brighter Future, INFRA 2008</v>
      </c>
      <c r="B1360" s="8" t="str">
        <f>"9781424468874"</f>
        <v>9781424468874</v>
      </c>
      <c r="C1360" s="8" t="s">
        <v>9</v>
      </c>
    </row>
    <row r="1361" spans="1:3" x14ac:dyDescent="0.25">
      <c r="A1361" s="8" t="str">
        <f>"2008 1st International Symposium on Applied Sciences in Biomedical and Communication Technologies, ISABEL 2008"</f>
        <v>2008 1st International Symposium on Applied Sciences in Biomedical and Communication Technologies, ISABEL 2008</v>
      </c>
      <c r="B1361" s="8" t="str">
        <f>"9781424426478"</f>
        <v>9781424426478</v>
      </c>
      <c r="C1361" s="8" t="s">
        <v>9</v>
      </c>
    </row>
    <row r="1362" spans="1:3" x14ac:dyDescent="0.25">
      <c r="A1362" s="8" t="str">
        <f>"2008 1st International Workshop on Managing Requirements Knowledge, MARK'08"</f>
        <v>2008 1st International Workshop on Managing Requirements Knowledge, MARK'08</v>
      </c>
      <c r="B1362" s="8" t="str">
        <f>"9780769536279"</f>
        <v>9780769536279</v>
      </c>
      <c r="C1362" s="8" t="s">
        <v>9</v>
      </c>
    </row>
    <row r="1363" spans="1:3" x14ac:dyDescent="0.25">
      <c r="A1363" s="8" t="str">
        <f>"2008 1st International Workshops on Image Processing Theory, Tools and Applications, IPTA 2008"</f>
        <v>2008 1st International Workshops on Image Processing Theory, Tools and Applications, IPTA 2008</v>
      </c>
      <c r="B1363" s="8" t="str">
        <f>"9781424433223"</f>
        <v>9781424433223</v>
      </c>
      <c r="C1363" s="8" t="s">
        <v>9</v>
      </c>
    </row>
    <row r="1364" spans="1:3" x14ac:dyDescent="0.25">
      <c r="A1364" s="8" t="str">
        <f>"2008 21st IEEE-CS Conference on Software Engineering Education and Training Workshop, CSEETW'08"</f>
        <v>2008 21st IEEE-CS Conference on Software Engineering Education and Training Workshop, CSEETW'08</v>
      </c>
      <c r="B1364" s="8" t="str">
        <f>"9780769533872"</f>
        <v>9780769533872</v>
      </c>
      <c r="C1364" s="8" t="s">
        <v>9</v>
      </c>
    </row>
    <row r="1365" spans="1:3" x14ac:dyDescent="0.25">
      <c r="A1365" s="8" t="str">
        <f>"2008 23rd International Conference Image and Vision Computing New Zealand, IVCNZ"</f>
        <v>2008 23rd International Conference Image and Vision Computing New Zealand, IVCNZ</v>
      </c>
      <c r="B1365" s="8" t="str">
        <f>"9781424425822"</f>
        <v>9781424425822</v>
      </c>
      <c r="C1365" s="8" t="s">
        <v>9</v>
      </c>
    </row>
    <row r="1366" spans="1:3" x14ac:dyDescent="0.25">
      <c r="A1366" s="8" t="str">
        <f>"2008 23rd International Symposium on Computer and Information Sciences, ISCIS 2008"</f>
        <v>2008 23rd International Symposium on Computer and Information Sciences, ISCIS 2008</v>
      </c>
      <c r="B1366" s="8" t="str">
        <f>"9781424428816"</f>
        <v>9781424428816</v>
      </c>
      <c r="C1366" s="8" t="s">
        <v>9</v>
      </c>
    </row>
    <row r="1367" spans="1:3" x14ac:dyDescent="0.25">
      <c r="A1367" s="8" t="str">
        <f>"2008 26th International Conference on Microelectronics, Proceedings, MIEL 2008"</f>
        <v>2008 26th International Conference on Microelectronics, Proceedings, MIEL 2008</v>
      </c>
      <c r="B1367" s="8" t="str">
        <f>"9781424418824"</f>
        <v>9781424418824</v>
      </c>
      <c r="C1367" s="8" t="s">
        <v>9</v>
      </c>
    </row>
    <row r="1368" spans="1:3" x14ac:dyDescent="0.25">
      <c r="A1368" s="8" t="str">
        <f>"2008 2nd ACM/IEEE International Conference on Distributed Smart Cameras, ICDSC 2008"</f>
        <v>2008 2nd ACM/IEEE International Conference on Distributed Smart Cameras, ICDSC 2008</v>
      </c>
      <c r="B1368" s="8" t="str">
        <f>"9781424426652"</f>
        <v>9781424426652</v>
      </c>
      <c r="C1368" s="8" t="s">
        <v>9</v>
      </c>
    </row>
    <row r="1369" spans="1:3" x14ac:dyDescent="0.25">
      <c r="A1369" s="8" t="str">
        <f>"2008 2nd IEEE International Conference on Digital Ecosystems and Technologies, IEEE-DEST 2008"</f>
        <v>2008 2nd IEEE International Conference on Digital Ecosystems and Technologies, IEEE-DEST 2008</v>
      </c>
      <c r="B1369" s="8" t="str">
        <f>"9781424414901"</f>
        <v>9781424414901</v>
      </c>
      <c r="C1369" s="8" t="s">
        <v>9</v>
      </c>
    </row>
    <row r="1370" spans="1:3" x14ac:dyDescent="0.25">
      <c r="A1370" s="8" t="str">
        <f>"2008 2nd IEEE International Nanoelectronics Conference, INEC 2008"</f>
        <v>2008 2nd IEEE International Nanoelectronics Conference, INEC 2008</v>
      </c>
      <c r="B1370" s="8" t="str">
        <f>"9781424415731"</f>
        <v>9781424415731</v>
      </c>
      <c r="C1370" s="8" t="s">
        <v>9</v>
      </c>
    </row>
    <row r="1371" spans="1:3" x14ac:dyDescent="0.25">
      <c r="A1371" s="8" t="str">
        <f>"2008 2nd International Conference on Signals, Circuits and Systems, SCS 2008"</f>
        <v>2008 2nd International Conference on Signals, Circuits and Systems, SCS 2008</v>
      </c>
      <c r="B1371" s="8" t="str">
        <f>"9781424426287"</f>
        <v>9781424426287</v>
      </c>
      <c r="C1371" s="8" t="s">
        <v>9</v>
      </c>
    </row>
    <row r="1372" spans="1:3" x14ac:dyDescent="0.25">
      <c r="A1372" s="8" t="str">
        <f>"2008 2nd International Conference on Thermal Issues in Emerging Technologies, ThETA 2008"</f>
        <v>2008 2nd International Conference on Thermal Issues in Emerging Technologies, ThETA 2008</v>
      </c>
      <c r="B1372" s="8" t="str">
        <f>"9781424435777"</f>
        <v>9781424435777</v>
      </c>
      <c r="C1372" s="8" t="s">
        <v>9</v>
      </c>
    </row>
    <row r="1373" spans="1:3" x14ac:dyDescent="0.25">
      <c r="A1373" s="8" t="str">
        <f>"2008 2nd International Symposium on Advanced Networks and Telecommunication Systems, ANTS 2008"</f>
        <v>2008 2nd International Symposium on Advanced Networks and Telecommunication Systems, ANTS 2008</v>
      </c>
      <c r="B1373" s="8" t="str">
        <f>"9781424436002"</f>
        <v>9781424436002</v>
      </c>
      <c r="C1373" s="8" t="s">
        <v>9</v>
      </c>
    </row>
    <row r="1374" spans="1:3" x14ac:dyDescent="0.25">
      <c r="A1374" s="8" t="str">
        <f>"2008 2nd International Symposium on Systems and Control in Aerospace and Astronautics, ISSCAA 2008"</f>
        <v>2008 2nd International Symposium on Systems and Control in Aerospace and Astronautics, ISSCAA 2008</v>
      </c>
      <c r="B1374" s="8" t="str">
        <f>"-"</f>
        <v>-</v>
      </c>
      <c r="C1374" s="8" t="s">
        <v>9</v>
      </c>
    </row>
    <row r="1375" spans="1:3" x14ac:dyDescent="0.25">
      <c r="A1375" s="8" t="str">
        <f>"2008 2nd International Workshop on Software Product Management, ISWPM'08"</f>
        <v>2008 2nd International Workshop on Software Product Management, ISWPM'08</v>
      </c>
      <c r="B1375" s="8" t="str">
        <f>"9780769536255"</f>
        <v>9780769536255</v>
      </c>
      <c r="C1375" s="8" t="s">
        <v>9</v>
      </c>
    </row>
    <row r="1376" spans="1:3" x14ac:dyDescent="0.25">
      <c r="A1376" s="8" t="str">
        <f>"2008 2nd National Workshop on Advanced Optoelectronic Materials and Devices, AOMD 2008"</f>
        <v>2008 2nd National Workshop on Advanced Optoelectronic Materials and Devices, AOMD 2008</v>
      </c>
      <c r="B1376" s="8" t="str">
        <f>"9780230637184"</f>
        <v>9780230637184</v>
      </c>
      <c r="C1376" s="8" t="s">
        <v>9</v>
      </c>
    </row>
    <row r="1377" spans="1:3" x14ac:dyDescent="0.25">
      <c r="A1377" s="8" t="str">
        <f>"2008 31st International Spring Seminar on Electronics Technology: Reliability and Life-time Prediction, ISSE 2008"</f>
        <v>2008 31st International Spring Seminar on Electronics Technology: Reliability and Life-time Prediction, ISSE 2008</v>
      </c>
      <c r="B1377" s="8" t="str">
        <f>"9781424439744"</f>
        <v>9781424439744</v>
      </c>
      <c r="C1377" s="8" t="s">
        <v>9</v>
      </c>
    </row>
    <row r="1378" spans="1:3" x14ac:dyDescent="0.25">
      <c r="A1378" s="8" t="str">
        <f>"2008 3DTV-Conference: The True Vision - Capture, Transmission and Display of 3D Video, 3DTV-CON 2008 Proceedings"</f>
        <v>2008 3DTV-Conference: The True Vision - Capture, Transmission and Display of 3D Video, 3DTV-CON 2008 Proceedings</v>
      </c>
      <c r="B1378" s="8" t="str">
        <f>"9781424417551"</f>
        <v>9781424417551</v>
      </c>
      <c r="C1378" s="8" t="s">
        <v>9</v>
      </c>
    </row>
    <row r="1379" spans="1:3" x14ac:dyDescent="0.25">
      <c r="A1379" s="8" t="str">
        <f>"2008 3rd IEEE Conference on Industrial Electronics and Applications, ICIEA 2008"</f>
        <v>2008 3rd IEEE Conference on Industrial Electronics and Applications, ICIEA 2008</v>
      </c>
      <c r="B1379" s="8" t="str">
        <f>"9781424417186"</f>
        <v>9781424417186</v>
      </c>
      <c r="C1379" s="8" t="s">
        <v>9</v>
      </c>
    </row>
    <row r="1380" spans="1:3" x14ac:dyDescent="0.25">
      <c r="A1380" s="8" t="str">
        <f>"2008 3rd International Conference on Bio-Inspired Computing: Theories and Applications, BICTA 2008"</f>
        <v>2008 3rd International Conference on Bio-Inspired Computing: Theories and Applications, BICTA 2008</v>
      </c>
      <c r="B1380" s="8" t="str">
        <f>"9781424427246"</f>
        <v>9781424427246</v>
      </c>
      <c r="C1380" s="8" t="s">
        <v>9</v>
      </c>
    </row>
    <row r="1381" spans="1:3" x14ac:dyDescent="0.25">
      <c r="A1381" s="8" t="str">
        <f>"2008 3rd International Conference on Information and Communication Technologies: From Theory to Applications, ICTTA"</f>
        <v>2008 3rd International Conference on Information and Communication Technologies: From Theory to Applications, ICTTA</v>
      </c>
      <c r="B1381" s="8" t="str">
        <f>"9781424417513"</f>
        <v>9781424417513</v>
      </c>
      <c r="C1381" s="8" t="s">
        <v>9</v>
      </c>
    </row>
    <row r="1382" spans="1:3" x14ac:dyDescent="0.25">
      <c r="A1382" s="8" t="str">
        <f>"2008 3rd International Conference on Pervasive Computing and Applications, ICPCA08"</f>
        <v>2008 3rd International Conference on Pervasive Computing and Applications, ICPCA08</v>
      </c>
      <c r="B1382" s="8" t="str">
        <f>"9781424420209"</f>
        <v>9781424420209</v>
      </c>
      <c r="C1382" s="8" t="s">
        <v>9</v>
      </c>
    </row>
    <row r="1383" spans="1:3" x14ac:dyDescent="0.25">
      <c r="A1383" s="8" t="str">
        <f>"2008 3rd International Microsystems, Packaging, Assembly and Circuits Technology Conference, IMPACT 2008"</f>
        <v>2008 3rd International Microsystems, Packaging, Assembly and Circuits Technology Conference, IMPACT 2008</v>
      </c>
      <c r="B1383" s="8" t="str">
        <f>"9781424436248"</f>
        <v>9781424436248</v>
      </c>
      <c r="C1383" s="8" t="s">
        <v>9</v>
      </c>
    </row>
    <row r="1384" spans="1:3" x14ac:dyDescent="0.25">
      <c r="A1384" s="8" t="str">
        <f>"2008 3rd International Symposium on Communications, Control, and Signal Processing, ISCCSP 2008"</f>
        <v>2008 3rd International Symposium on Communications, Control, and Signal Processing, ISCCSP 2008</v>
      </c>
      <c r="B1384" s="8" t="str">
        <f>"9781424416882"</f>
        <v>9781424416882</v>
      </c>
      <c r="C1384" s="8" t="s">
        <v>9</v>
      </c>
    </row>
    <row r="1385" spans="1:3" x14ac:dyDescent="0.25">
      <c r="A1385" s="8" t="str">
        <f>"2008 3rd International Workshop on Genetic and Evolving Fuzzy Systems, GEFS"</f>
        <v>2008 3rd International Workshop on Genetic and Evolving Fuzzy Systems, GEFS</v>
      </c>
      <c r="B1385" s="8" t="str">
        <f>"9781424416134"</f>
        <v>9781424416134</v>
      </c>
      <c r="C1385" s="8" t="s">
        <v>9</v>
      </c>
    </row>
    <row r="1386" spans="1:3" x14ac:dyDescent="0.25">
      <c r="A1386" s="8" t="str">
        <f>"2008 3rd International Workshop on Multimedia and Enjoyable Requirements Engineering, MERE'08"</f>
        <v>2008 3rd International Workshop on Multimedia and Enjoyable Requirements Engineering, MERE'08</v>
      </c>
      <c r="B1386" s="8" t="str">
        <f>"9780769536262"</f>
        <v>9780769536262</v>
      </c>
      <c r="C1386" s="8" t="s">
        <v>9</v>
      </c>
    </row>
    <row r="1387" spans="1:3" x14ac:dyDescent="0.25">
      <c r="A1387" s="8" t="str">
        <f>"2008 3rd International Workshop on Requirements Engineering Visualization, REV'08"</f>
        <v>2008 3rd International Workshop on Requirements Engineering Visualization, REV'08</v>
      </c>
      <c r="B1387" s="8" t="str">
        <f>"9780769536293"</f>
        <v>9780769536293</v>
      </c>
      <c r="C1387" s="8" t="s">
        <v>9</v>
      </c>
    </row>
    <row r="1388" spans="1:3" x14ac:dyDescent="0.25">
      <c r="A1388" s="8" t="str">
        <f>"2008 3rd Workshop on Workflows in Support of Large-Scale Science, WORKS 2008"</f>
        <v>2008 3rd Workshop on Workflows in Support of Large-Scale Science, WORKS 2008</v>
      </c>
      <c r="B1388" s="8" t="str">
        <f>"9781424428274"</f>
        <v>9781424428274</v>
      </c>
      <c r="C1388" s="8" t="s">
        <v>9</v>
      </c>
    </row>
    <row r="1389" spans="1:3" x14ac:dyDescent="0.25">
      <c r="A1389" s="8" t="str">
        <f>"2008 4th Advanced Satellite Mobile Systems - Proceedings, ASMS 2008"</f>
        <v>2008 4th Advanced Satellite Mobile Systems - Proceedings, ASMS 2008</v>
      </c>
      <c r="B1389" s="8" t="str">
        <f>"9781424421602"</f>
        <v>9781424421602</v>
      </c>
      <c r="C1389" s="8" t="s">
        <v>9</v>
      </c>
    </row>
    <row r="1390" spans="1:3" x14ac:dyDescent="0.25">
      <c r="A1390" s="8" t="str">
        <f>"2008 4th IEEE International Conference on Circuits and Systems for Communications, ICCSC"</f>
        <v>2008 4th IEEE International Conference on Circuits and Systems for Communications, ICCSC</v>
      </c>
      <c r="B1390" s="8" t="str">
        <f>"9781424417087"</f>
        <v>9781424417087</v>
      </c>
      <c r="C1390" s="8" t="s">
        <v>9</v>
      </c>
    </row>
    <row r="1391" spans="1:3" x14ac:dyDescent="0.25">
      <c r="A1391" s="8" t="str">
        <f>"2008 4th International Conference on Ultrawideband and Ultrashot Impulse Signals, UWBUSIS 2008"</f>
        <v>2008 4th International Conference on Ultrawideband and Ultrashot Impulse Signals, UWBUSIS 2008</v>
      </c>
      <c r="B1391" s="8" t="str">
        <f>"9781424427383"</f>
        <v>9781424427383</v>
      </c>
      <c r="C1391" s="8" t="s">
        <v>9</v>
      </c>
    </row>
    <row r="1392" spans="1:3" x14ac:dyDescent="0.25">
      <c r="A1392" s="8" t="str">
        <f>"2008 4th International IEEE Conference Intelligent Systems, IS 2008"</f>
        <v>2008 4th International IEEE Conference Intelligent Systems, IS 2008</v>
      </c>
      <c r="B1392" s="8" t="str">
        <f>"9781424417391"</f>
        <v>9781424417391</v>
      </c>
      <c r="C1392" s="8" t="s">
        <v>9</v>
      </c>
    </row>
    <row r="1393" spans="1:3" x14ac:dyDescent="0.25">
      <c r="A1393" s="8" t="str">
        <f>"2008 5th Annual Conference on Wireless on Demand Network Systems and Services, WONS"</f>
        <v>2008 5th Annual Conference on Wireless on Demand Network Systems and Services, WONS</v>
      </c>
      <c r="B1393" s="8" t="str">
        <f>"9781424419593"</f>
        <v>9781424419593</v>
      </c>
      <c r="C1393" s="8" t="s">
        <v>9</v>
      </c>
    </row>
    <row r="1394" spans="1:3" x14ac:dyDescent="0.25">
      <c r="A1394" s="8" t="str">
        <f>"2008 5th Annual IEEE Communications Society Conference on Sensor, Mesh and Ad Hoc Communications and Networks Workshops, SECON"</f>
        <v>2008 5th Annual IEEE Communications Society Conference on Sensor, Mesh and Ad Hoc Communications and Networks Workshops, SECON</v>
      </c>
      <c r="B1394" s="8" t="str">
        <f>"9781424425631"</f>
        <v>9781424425631</v>
      </c>
      <c r="C1394" s="8" t="s">
        <v>9</v>
      </c>
    </row>
    <row r="1395" spans="1:3" x14ac:dyDescent="0.25">
      <c r="A1395" s="8" t="str">
        <f>"2008 5th Annual IEEE Communications Society Conference on Sensor, Mesh and Ad Hoc Communications and Networks, SECON"</f>
        <v>2008 5th Annual IEEE Communications Society Conference on Sensor, Mesh and Ad Hoc Communications and Networks, SECON</v>
      </c>
      <c r="B1395" s="8" t="str">
        <f>"9781424417773"</f>
        <v>9781424417773</v>
      </c>
      <c r="C1395" s="8" t="s">
        <v>9</v>
      </c>
    </row>
    <row r="1396" spans="1:3" x14ac:dyDescent="0.25">
      <c r="A1396" s="8" t="str">
        <f>"2008 5th European Radar Conference Proceedings, EuRAD 2008"</f>
        <v>2008 5th European Radar Conference Proceedings, EuRAD 2008</v>
      </c>
      <c r="B1396" s="8" t="str">
        <f>"9782874870095"</f>
        <v>9782874870095</v>
      </c>
      <c r="C1396" s="8" t="s">
        <v>9</v>
      </c>
    </row>
    <row r="1397" spans="1:3" x14ac:dyDescent="0.25">
      <c r="A1397" s="8" t="str">
        <f>"2008 5th IEEE Consumer Communications and Networking Conference, CCNC 2008"</f>
        <v>2008 5th IEEE Consumer Communications and Networking Conference, CCNC 2008</v>
      </c>
      <c r="B1397" s="8" t="str">
        <f>"9781424414574"</f>
        <v>9781424414574</v>
      </c>
      <c r="C1397" s="8" t="s">
        <v>9</v>
      </c>
    </row>
    <row r="1398" spans="1:3" x14ac:dyDescent="0.25">
      <c r="A1398" s="8" t="str">
        <f>"2008 5th IEEE International Conference on Mobile Ad-Hoc and Sensor Systems, MASS 2008"</f>
        <v>2008 5th IEEE International Conference on Mobile Ad-Hoc and Sensor Systems, MASS 2008</v>
      </c>
      <c r="B1398" s="8" t="str">
        <f>"9781424425754"</f>
        <v>9781424425754</v>
      </c>
      <c r="C1398" s="8" t="s">
        <v>9</v>
      </c>
    </row>
    <row r="1399" spans="1:3" x14ac:dyDescent="0.25">
      <c r="A1399" s="8" t="str">
        <f>"2008 5th IEEE International Symposium on Biomedical Imaging: From Nano to Macro, Proceedings, ISBI"</f>
        <v>2008 5th IEEE International Symposium on Biomedical Imaging: From Nano to Macro, Proceedings, ISBI</v>
      </c>
      <c r="B1399" s="8" t="str">
        <f>"9781424420032"</f>
        <v>9781424420032</v>
      </c>
      <c r="C1399" s="8" t="s">
        <v>9</v>
      </c>
    </row>
    <row r="1400" spans="1:3" x14ac:dyDescent="0.25">
      <c r="A1400" s="8" t="str">
        <f>"2008 5th International Conference on Electrical Engineering, Computing Science and Automatic Control, CCE 2008"</f>
        <v>2008 5th International Conference on Electrical Engineering, Computing Science and Automatic Control, CCE 2008</v>
      </c>
      <c r="B1400" s="8" t="str">
        <f>"9781424424993"</f>
        <v>9781424424993</v>
      </c>
      <c r="C1400" s="8" t="s">
        <v>9</v>
      </c>
    </row>
    <row r="1401" spans="1:3" x14ac:dyDescent="0.25">
      <c r="A1401" s="8" t="str">
        <f>"2008 5th International Conference on Group IV Photonics, GFP"</f>
        <v>2008 5th International Conference on Group IV Photonics, GFP</v>
      </c>
      <c r="B1401" s="8" t="str">
        <f>"9781424417681"</f>
        <v>9781424417681</v>
      </c>
      <c r="C1401" s="8" t="s">
        <v>9</v>
      </c>
    </row>
    <row r="1402" spans="1:3" x14ac:dyDescent="0.25">
      <c r="A1402" s="8" t="str">
        <f>"2008 5th International Conference on the European Electricity Market, EEM"</f>
        <v>2008 5th International Conference on the European Electricity Market, EEM</v>
      </c>
      <c r="B1402" s="8" t="str">
        <f>"9781424417445"</f>
        <v>9781424417445</v>
      </c>
      <c r="C1402" s="8" t="s">
        <v>9</v>
      </c>
    </row>
    <row r="1403" spans="1:3" x14ac:dyDescent="0.25">
      <c r="A1403" s="8" t="str">
        <f>"2008 5th International Multi-Conference on Systems, Signals and Devices, SSD'08"</f>
        <v>2008 5th International Multi-Conference on Systems, Signals and Devices, SSD'08</v>
      </c>
      <c r="B1403" s="8" t="str">
        <f>"9781424422067"</f>
        <v>9781424422067</v>
      </c>
      <c r="C1403" s="8" t="s">
        <v>9</v>
      </c>
    </row>
    <row r="1404" spans="1:3" x14ac:dyDescent="0.25">
      <c r="A1404" s="8" t="str">
        <f>"2008 5th International Symposium on Turbo Codes and Related Topics, TURBOCODING"</f>
        <v>2008 5th International Symposium on Turbo Codes and Related Topics, TURBOCODING</v>
      </c>
      <c r="B1404" s="8" t="str">
        <f>"9781424428632"</f>
        <v>9781424428632</v>
      </c>
      <c r="C1404" s="8" t="s">
        <v>9</v>
      </c>
    </row>
    <row r="1405" spans="1:3" x14ac:dyDescent="0.25">
      <c r="A1405" s="8" t="str">
        <f>"2008 61st Annual Conference for Protective Relay Engineers"</f>
        <v>2008 61st Annual Conference for Protective Relay Engineers</v>
      </c>
      <c r="B1405" s="8" t="str">
        <f>"9781424419494"</f>
        <v>9781424419494</v>
      </c>
      <c r="C1405" s="8" t="s">
        <v>9</v>
      </c>
    </row>
    <row r="1406" spans="1:3" x14ac:dyDescent="0.25">
      <c r="A1406" s="8" t="str">
        <f>"2008 72nd ARFTG Microwave Measurement Symposium, ARFTG 2008"</f>
        <v>2008 72nd ARFTG Microwave Measurement Symposium, ARFTG 2008</v>
      </c>
      <c r="B1406" s="8" t="str">
        <f>"9781424423002"</f>
        <v>9781424423002</v>
      </c>
      <c r="C1406" s="8" t="s">
        <v>9</v>
      </c>
    </row>
    <row r="1407" spans="1:3" x14ac:dyDescent="0.25">
      <c r="A1407" s="8" t="str">
        <f>"2008 7th Asia-Pacific Symposium on Information and Telecommunication Technologies, APSITT"</f>
        <v>2008 7th Asia-Pacific Symposium on Information and Telecommunication Technologies, APSITT</v>
      </c>
      <c r="B1407" s="8" t="str">
        <f>"9784885522260"</f>
        <v>9784885522260</v>
      </c>
      <c r="C1407" s="8" t="s">
        <v>9</v>
      </c>
    </row>
    <row r="1408" spans="1:3" x14ac:dyDescent="0.25">
      <c r="A1408" s="8" t="str">
        <f>"2008 7th IEEE International Conference on Cybernetic Intelligent Systems, CIS 2008"</f>
        <v>2008 7th IEEE International Conference on Cybernetic Intelligent Systems, CIS 2008</v>
      </c>
      <c r="B1408" s="8" t="str">
        <f>"9781424429141"</f>
        <v>9781424429141</v>
      </c>
      <c r="C1408" s="8" t="s">
        <v>9</v>
      </c>
    </row>
    <row r="1409" spans="1:3" x14ac:dyDescent="0.25">
      <c r="A1409" s="8" t="str">
        <f>"2008 7th International Conference on the Optical Internet, COIN 2008"</f>
        <v>2008 7th International Conference on the Optical Internet, COIN 2008</v>
      </c>
      <c r="B1409" s="8" t="str">
        <f>"9784885522307"</f>
        <v>9784885522307</v>
      </c>
      <c r="C1409" s="8" t="s">
        <v>9</v>
      </c>
    </row>
    <row r="1410" spans="1:3" x14ac:dyDescent="0.25">
      <c r="A1410" s="8" t="str">
        <f>"2008 8th IEEE Conference on Nanotechnology, IEEE-NANO"</f>
        <v>2008 8th IEEE Conference on Nanotechnology, IEEE-NANO</v>
      </c>
      <c r="B1410" s="8" t="str">
        <f>"9781424421046"</f>
        <v>9781424421046</v>
      </c>
      <c r="C1410" s="8" t="s">
        <v>9</v>
      </c>
    </row>
    <row r="1411" spans="1:3" x14ac:dyDescent="0.25">
      <c r="A1411" s="8" t="str">
        <f>"2008 8th IEEE International Conference on Automatic Face and Gesture Recognition, FG 2008"</f>
        <v>2008 8th IEEE International Conference on Automatic Face and Gesture Recognition, FG 2008</v>
      </c>
      <c r="B1411" s="8" t="str">
        <f>"9781424421541"</f>
        <v>9781424421541</v>
      </c>
      <c r="C1411" s="8" t="s">
        <v>9</v>
      </c>
    </row>
    <row r="1412" spans="1:3" x14ac:dyDescent="0.25">
      <c r="A1412" s="8" t="str">
        <f>"2008 8th IEEE-RAS International Conference on Humanoid Robots, Humanoids 2008"</f>
        <v>2008 8th IEEE-RAS International Conference on Humanoid Robots, Humanoids 2008</v>
      </c>
      <c r="B1412" s="8" t="str">
        <f>"9781424428229"</f>
        <v>9781424428229</v>
      </c>
      <c r="C1412" s="8" t="s">
        <v>9</v>
      </c>
    </row>
    <row r="1413" spans="1:3" x14ac:dyDescent="0.25">
      <c r="A1413" s="8" t="str">
        <f>"2008 9th International Conference on Actual Problems of Electronic Instrument Engineering Proceedings, APEIE 2008"</f>
        <v>2008 9th International Conference on Actual Problems of Electronic Instrument Engineering Proceedings, APEIE 2008</v>
      </c>
      <c r="B1413" s="8" t="str">
        <f>"9781424428250"</f>
        <v>9781424428250</v>
      </c>
      <c r="C1413" s="8" t="s">
        <v>9</v>
      </c>
    </row>
    <row r="1414" spans="1:3" x14ac:dyDescent="0.25">
      <c r="A1414" s="8" t="str">
        <f>"2008 9th International Conference on Mobile Data Management Workshops, MDMW 2008"</f>
        <v>2008 9th International Conference on Mobile Data Management Workshops, MDMW 2008</v>
      </c>
      <c r="B1414" s="8" t="str">
        <f>"9781424444847"</f>
        <v>9781424444847</v>
      </c>
      <c r="C1414" s="8" t="s">
        <v>9</v>
      </c>
    </row>
    <row r="1415" spans="1:3" x14ac:dyDescent="0.25">
      <c r="A1415" s="8" t="str">
        <f>"2008 Annual IEEE Student Paper Conference, AISPC"</f>
        <v>2008 Annual IEEE Student Paper Conference, AISPC</v>
      </c>
      <c r="B1415" s="8" t="str">
        <f>"9781424421565"</f>
        <v>9781424421565</v>
      </c>
      <c r="C1415" s="8" t="s">
        <v>9</v>
      </c>
    </row>
    <row r="1416" spans="1:3" x14ac:dyDescent="0.25">
      <c r="A1416" s="8" t="str">
        <f>"2008 Asia Optical Fiber Communication and Optoelectronic Exposition and Conference, AOE 2008"</f>
        <v>2008 Asia Optical Fiber Communication and Optoelectronic Exposition and Conference, AOE 2008</v>
      </c>
      <c r="B1416" s="8" t="str">
        <f>"9781557528636"</f>
        <v>9781557528636</v>
      </c>
      <c r="C1416" s="8" t="s">
        <v>9</v>
      </c>
    </row>
    <row r="1417" spans="1:3" x14ac:dyDescent="0.25">
      <c r="A1417" s="8" t="str">
        <f>"2008 Asia Simulation Conference - 7th International Conference on System Simulation and Scientific Computing, ICSC 2008"</f>
        <v>2008 Asia Simulation Conference - 7th International Conference on System Simulation and Scientific Computing, ICSC 2008</v>
      </c>
      <c r="B1417" s="8" t="str">
        <f>"9781424417872"</f>
        <v>9781424417872</v>
      </c>
      <c r="C1417" s="8" t="s">
        <v>9</v>
      </c>
    </row>
    <row r="1418" spans="1:3" x14ac:dyDescent="0.25">
      <c r="A1418" s="8" t="str">
        <f>"2008 Asia-Pacific Symposium on Electromagnetic Compatibility and 19th International Zurich Symposium on Electromagnetic Compatibility, APEMC 2008"</f>
        <v>2008 Asia-Pacific Symposium on Electromagnetic Compatibility and 19th International Zurich Symposium on Electromagnetic Compatibility, APEMC 2008</v>
      </c>
      <c r="B1418" s="8" t="str">
        <f>"9789810806286"</f>
        <v>9789810806286</v>
      </c>
      <c r="C1418" s="8" t="s">
        <v>9</v>
      </c>
    </row>
    <row r="1419" spans="1:3" x14ac:dyDescent="0.25">
      <c r="A1419" s="8" t="str">
        <f>"2008 Australasian Universities Power Engineering Conference, AUPEC 2008"</f>
        <v>2008 Australasian Universities Power Engineering Conference, AUPEC 2008</v>
      </c>
      <c r="B1419" s="8" t="str">
        <f>"9781424441624"</f>
        <v>9781424441624</v>
      </c>
      <c r="C1419" s="8" t="s">
        <v>9</v>
      </c>
    </row>
    <row r="1420" spans="1:3" x14ac:dyDescent="0.25">
      <c r="A1420" s="8" t="str">
        <f>"2008 Beam Instrumentation Workshop, BIW 2008"</f>
        <v>2008 Beam Instrumentation Workshop, BIW 2008</v>
      </c>
      <c r="B1420" s="8" t="str">
        <f>"-"</f>
        <v>-</v>
      </c>
      <c r="C1420" s="8" t="s">
        <v>1347</v>
      </c>
    </row>
    <row r="1421" spans="1:3" x14ac:dyDescent="0.25">
      <c r="A1421" s="8" t="str">
        <f>"2008 Biometrics Symposium, BSYM"</f>
        <v>2008 Biometrics Symposium, BSYM</v>
      </c>
      <c r="B1421" s="8" t="str">
        <f>"9781424425679"</f>
        <v>9781424425679</v>
      </c>
      <c r="C1421" s="8" t="s">
        <v>9</v>
      </c>
    </row>
    <row r="1422" spans="1:3" x14ac:dyDescent="0.25">
      <c r="A1422" s="8" t="str">
        <f>"2008 BRIMS Conference - Behavior Representation in Modeling and Simulation"</f>
        <v>2008 BRIMS Conference - Behavior Representation in Modeling and Simulation</v>
      </c>
      <c r="B1422" s="8" t="str">
        <f>"9781605601243"</f>
        <v>9781605601243</v>
      </c>
      <c r="C1422" s="8" t="s">
        <v>1283</v>
      </c>
    </row>
    <row r="1423" spans="1:3" x14ac:dyDescent="0.25">
      <c r="A1423" s="8" t="str">
        <f>"2008 Cairo International Biomedical Engineering Conference, CIBEC 2008"</f>
        <v>2008 Cairo International Biomedical Engineering Conference, CIBEC 2008</v>
      </c>
      <c r="B1423" s="8" t="str">
        <f>"9781424426959"</f>
        <v>9781424426959</v>
      </c>
      <c r="C1423" s="8" t="s">
        <v>9</v>
      </c>
    </row>
    <row r="1424" spans="1:3" x14ac:dyDescent="0.25">
      <c r="A1424" s="8" t="str">
        <f>"2008 China International Conference on Electricity Distribution, CICED 2008"</f>
        <v>2008 China International Conference on Electricity Distribution, CICED 2008</v>
      </c>
      <c r="B1424" s="8" t="str">
        <f>"9781424433735"</f>
        <v>9781424433735</v>
      </c>
      <c r="C1424" s="8" t="s">
        <v>9</v>
      </c>
    </row>
    <row r="1425" spans="1:3" x14ac:dyDescent="0.25">
      <c r="A1425" s="8" t="str">
        <f>"2008 Conference on Human System Interaction, HSI 2008"</f>
        <v>2008 Conference on Human System Interaction, HSI 2008</v>
      </c>
      <c r="B1425" s="8" t="str">
        <f>"9781424415434"</f>
        <v>9781424415434</v>
      </c>
      <c r="C1425" s="8" t="s">
        <v>9</v>
      </c>
    </row>
    <row r="1426" spans="1:3" x14ac:dyDescent="0.25">
      <c r="A1426" s="8" t="str">
        <f>"2008 Conference on Quantum Electronics and Laser Science Conference on Lasers and Electro-Optics, CLEO/QELS"</f>
        <v>2008 Conference on Quantum Electronics and Laser Science Conference on Lasers and Electro-Optics, CLEO/QELS</v>
      </c>
      <c r="B1426" s="8" t="str">
        <f>"9781557528599"</f>
        <v>9781557528599</v>
      </c>
      <c r="C1426" s="8" t="s">
        <v>9</v>
      </c>
    </row>
    <row r="1427" spans="1:3" x14ac:dyDescent="0.25">
      <c r="A1427" s="8" t="str">
        <f>"2008 Conference Proceedings of the Wire Association International, Inc.: Wire Expo"</f>
        <v>2008 Conference Proceedings of the Wire Association International, Inc.: Wire Expo</v>
      </c>
      <c r="B1427" s="8" t="str">
        <f>"-"</f>
        <v>-</v>
      </c>
      <c r="C1427" s="8" t="s">
        <v>968</v>
      </c>
    </row>
    <row r="1428" spans="1:3" x14ac:dyDescent="0.25">
      <c r="A1428" s="8" t="str">
        <f>"2008 Electrical Design of Advanced Packaging and Systems Symposium, IEEE EDAPS 2008 - Proceedings"</f>
        <v>2008 Electrical Design of Advanced Packaging and Systems Symposium, IEEE EDAPS 2008 - Proceedings</v>
      </c>
      <c r="B1428" s="8" t="str">
        <f>"9781424426331"</f>
        <v>9781424426331</v>
      </c>
      <c r="C1428" s="8" t="s">
        <v>9</v>
      </c>
    </row>
    <row r="1429" spans="1:3" x14ac:dyDescent="0.25">
      <c r="A1429" s="8" t="str">
        <f>"2008 European Microwave Integrated Circuit Conference, EuMIC 2008"</f>
        <v>2008 European Microwave Integrated Circuit Conference, EuMIC 2008</v>
      </c>
      <c r="B1429" s="8" t="str">
        <f>"9782874870071"</f>
        <v>9782874870071</v>
      </c>
      <c r="C1429" s="8" t="s">
        <v>9</v>
      </c>
    </row>
    <row r="1430" spans="1:3" x14ac:dyDescent="0.25">
      <c r="A1430" s="8" t="str">
        <f>"2008 Global Symposium on Millimeter Waves, Proceeding, GSMM 2008"</f>
        <v>2008 Global Symposium on Millimeter Waves, Proceeding, GSMM 2008</v>
      </c>
      <c r="B1430" s="8" t="str">
        <f>"9781424418855"</f>
        <v>9781424418855</v>
      </c>
      <c r="C1430" s="8" t="s">
        <v>9</v>
      </c>
    </row>
    <row r="1431" spans="1:3" x14ac:dyDescent="0.25">
      <c r="A1431" s="8" t="str">
        <f>"2008 Hands-free Speech Communication and Microphone Arrays, Proceedings, HSCMA 2008"</f>
        <v>2008 Hands-free Speech Communication and Microphone Arrays, Proceedings, HSCMA 2008</v>
      </c>
      <c r="B1431" s="8" t="str">
        <f>"9781424423385"</f>
        <v>9781424423385</v>
      </c>
      <c r="C1431" s="8" t="s">
        <v>9</v>
      </c>
    </row>
    <row r="1432" spans="1:3" x14ac:dyDescent="0.25">
      <c r="A1432" s="8" t="str">
        <f>"2008 IAPR Workshop on Pattern Recognition in Remote Sensing, PRRS 2008"</f>
        <v>2008 IAPR Workshop on Pattern Recognition in Remote Sensing, PRRS 2008</v>
      </c>
      <c r="B1432" s="8" t="str">
        <f>"9781424426539"</f>
        <v>9781424426539</v>
      </c>
      <c r="C1432" s="8" t="s">
        <v>9</v>
      </c>
    </row>
    <row r="1433" spans="1:3" x14ac:dyDescent="0.25">
      <c r="A1433" s="8" t="str">
        <f>"2008 IEEE 14th International Mixed-Signals, Sensors, and Systems Test Workshop, IMS3TW"</f>
        <v>2008 IEEE 14th International Mixed-Signals, Sensors, and Systems Test Workshop, IMS3TW</v>
      </c>
      <c r="B1433" s="8" t="str">
        <f>"-"</f>
        <v>-</v>
      </c>
      <c r="C1433" s="8" t="s">
        <v>9</v>
      </c>
    </row>
    <row r="1434" spans="1:3" x14ac:dyDescent="0.25">
      <c r="A1434" s="8" t="str">
        <f>"2008 IEEE 16th Signal Processing, Communication and Applications Conference, SIU"</f>
        <v>2008 IEEE 16th Signal Processing, Communication and Applications Conference, SIU</v>
      </c>
      <c r="B1434" s="8" t="str">
        <f>"9781424419999"</f>
        <v>9781424419999</v>
      </c>
      <c r="C1434" s="8" t="s">
        <v>9</v>
      </c>
    </row>
    <row r="1435" spans="1:3" x14ac:dyDescent="0.25">
      <c r="A1435" s="8" t="str">
        <f>"2008 IEEE 7th International Conference on Development and Learning, ICDL"</f>
        <v>2008 IEEE 7th International Conference on Development and Learning, ICDL</v>
      </c>
      <c r="B1435" s="8" t="str">
        <f>"9781424426621"</f>
        <v>9781424426621</v>
      </c>
      <c r="C1435" s="8" t="s">
        <v>9</v>
      </c>
    </row>
    <row r="1436" spans="1:3" x14ac:dyDescent="0.25">
      <c r="A1436" s="8" t="str">
        <f>"2008 IEEE Computer Society Conference on Computer Vision and Pattern Recognition Workshops, CVPR Workshops"</f>
        <v>2008 IEEE Computer Society Conference on Computer Vision and Pattern Recognition Workshops, CVPR Workshops</v>
      </c>
      <c r="B1436" s="8" t="str">
        <f>"9781424423408"</f>
        <v>9781424423408</v>
      </c>
      <c r="C1436" s="8" t="s">
        <v>9</v>
      </c>
    </row>
    <row r="1437" spans="1:3" x14ac:dyDescent="0.25">
      <c r="A1437" s="8" t="str">
        <f>"2008 IEEE Congress on Evolutionary Computation, CEC 2008"</f>
        <v>2008 IEEE Congress on Evolutionary Computation, CEC 2008</v>
      </c>
      <c r="B1437" s="8" t="str">
        <f>"9781424418237"</f>
        <v>9781424418237</v>
      </c>
      <c r="C1437" s="8" t="s">
        <v>9</v>
      </c>
    </row>
    <row r="1438" spans="1:3" x14ac:dyDescent="0.25">
      <c r="A1438" s="8" t="str">
        <f>"2008 IEEE CSIC Symposium: GaAs ICs Celebrate 30 Years in Monterey, Technical Digest 2008"</f>
        <v>2008 IEEE CSIC Symposium: GaAs ICs Celebrate 30 Years in Monterey, Technical Digest 2008</v>
      </c>
      <c r="B1438" s="8" t="str">
        <f>"9781424419401"</f>
        <v>9781424419401</v>
      </c>
      <c r="C1438" s="8" t="s">
        <v>9</v>
      </c>
    </row>
    <row r="1439" spans="1:3" x14ac:dyDescent="0.25">
      <c r="A1439" s="8" t="str">
        <f>"2008 IEEE Electrical Power and Energy Conference - Energy Innovation"</f>
        <v>2008 IEEE Electrical Power and Energy Conference - Energy Innovation</v>
      </c>
      <c r="B1439" s="8" t="str">
        <f>"9781424428953"</f>
        <v>9781424428953</v>
      </c>
      <c r="C1439" s="8" t="s">
        <v>9</v>
      </c>
    </row>
    <row r="1440" spans="1:3" x14ac:dyDescent="0.25">
      <c r="A1440" s="8" t="str">
        <f>"2008 IEEE Energy 2030 Conference, ENERGY 2008"</f>
        <v>2008 IEEE Energy 2030 Conference, ENERGY 2008</v>
      </c>
      <c r="B1440" s="8" t="str">
        <f>"9781424428502"</f>
        <v>9781424428502</v>
      </c>
      <c r="C1440" s="8" t="s">
        <v>9</v>
      </c>
    </row>
    <row r="1441" spans="1:3" x14ac:dyDescent="0.25">
      <c r="A1441" s="8" t="str">
        <f>"2008 IEEE Globecom Workshops, GLOBECOM 2008"</f>
        <v>2008 IEEE Globecom Workshops, GLOBECOM 2008</v>
      </c>
      <c r="B1441" s="8" t="str">
        <f>"9781424430628"</f>
        <v>9781424430628</v>
      </c>
      <c r="C1441" s="8" t="s">
        <v>9</v>
      </c>
    </row>
    <row r="1442" spans="1:3" x14ac:dyDescent="0.25">
      <c r="A1442" s="8" t="str">
        <f>"2008 IEEE Information Theory Workshop, ITW"</f>
        <v>2008 IEEE Information Theory Workshop, ITW</v>
      </c>
      <c r="B1442" s="8" t="str">
        <f>"9781424422708"</f>
        <v>9781424422708</v>
      </c>
      <c r="C1442" s="8" t="s">
        <v>9</v>
      </c>
    </row>
    <row r="1443" spans="1:3" x14ac:dyDescent="0.25">
      <c r="A1443" s="8" t="str">
        <f>"2008 IEEE International Conference Neural Networks and Signal Processing, ICNNSP"</f>
        <v>2008 IEEE International Conference Neural Networks and Signal Processing, ICNNSP</v>
      </c>
      <c r="B1443" s="8" t="str">
        <f>"9781424423118"</f>
        <v>9781424423118</v>
      </c>
      <c r="C1443" s="8" t="s">
        <v>9</v>
      </c>
    </row>
    <row r="1444" spans="1:3" x14ac:dyDescent="0.25">
      <c r="A1444" s="8" t="str">
        <f>"2008 IEEE International Conference on Automation, Quality and Testing, Robotics, AQTR 2008 - THETA 16th Edition - Proceedings"</f>
        <v>2008 IEEE International Conference on Automation, Quality and Testing, Robotics, AQTR 2008 - THETA 16th Edition - Proceedings</v>
      </c>
      <c r="B1444" s="8" t="str">
        <f>"9781424425778"</f>
        <v>9781424425778</v>
      </c>
      <c r="C1444" s="8" t="s">
        <v>9</v>
      </c>
    </row>
    <row r="1445" spans="1:3" x14ac:dyDescent="0.25">
      <c r="A1445" s="8" t="str">
        <f>"2008 IEEE International Conference on Cybernetics and Intelligent Systems, CIS 2008"</f>
        <v>2008 IEEE International Conference on Cybernetics and Intelligent Systems, CIS 2008</v>
      </c>
      <c r="B1445" s="8" t="str">
        <f>"9781424416745"</f>
        <v>9781424416745</v>
      </c>
      <c r="C1445" s="8" t="s">
        <v>9</v>
      </c>
    </row>
    <row r="1446" spans="1:3" x14ac:dyDescent="0.25">
      <c r="A1446" s="8" t="str">
        <f>"2008 IEEE International Conference on Dielectric Liquids, ICDL 2008"</f>
        <v>2008 IEEE International Conference on Dielectric Liquids, ICDL 2008</v>
      </c>
      <c r="B1446" s="8" t="str">
        <f>"9781424415854"</f>
        <v>9781424415854</v>
      </c>
      <c r="C1446" s="8" t="s">
        <v>9</v>
      </c>
    </row>
    <row r="1447" spans="1:3" x14ac:dyDescent="0.25">
      <c r="A1447" s="8" t="str">
        <f>"2008 IEEE International Conference on Electro/Information Technology, IEEE EIT 2008 Conference"</f>
        <v>2008 IEEE International Conference on Electro/Information Technology, IEEE EIT 2008 Conference</v>
      </c>
      <c r="B1447" s="8" t="str">
        <f>"9781424420308"</f>
        <v>9781424420308</v>
      </c>
      <c r="C1447" s="8" t="s">
        <v>9</v>
      </c>
    </row>
    <row r="1448" spans="1:3" x14ac:dyDescent="0.25">
      <c r="A1448" s="8" t="str">
        <f>"2008 IEEE International Conference on Electron Devices and Solid-State Circuits, EDSSC"</f>
        <v>2008 IEEE International Conference on Electron Devices and Solid-State Circuits, EDSSC</v>
      </c>
      <c r="B1448" s="8" t="str">
        <f>"9781424425402"</f>
        <v>9781424425402</v>
      </c>
      <c r="C1448" s="8" t="s">
        <v>9</v>
      </c>
    </row>
    <row r="1449" spans="1:3" x14ac:dyDescent="0.25">
      <c r="A1449" s="8" t="str">
        <f>"2008 IEEE International Conference on Granular Computing, GRC 2008"</f>
        <v>2008 IEEE International Conference on Granular Computing, GRC 2008</v>
      </c>
      <c r="B1449" s="8" t="str">
        <f>"9781424425129"</f>
        <v>9781424425129</v>
      </c>
      <c r="C1449" s="8" t="s">
        <v>9</v>
      </c>
    </row>
    <row r="1450" spans="1:3" x14ac:dyDescent="0.25">
      <c r="A1450" s="8" t="str">
        <f>"2008 IEEE International Conference on Industrial Engineering and Engineering Management, IEEM 2008"</f>
        <v>2008 IEEE International Conference on Industrial Engineering and Engineering Management, IEEM 2008</v>
      </c>
      <c r="B1450" s="8" t="str">
        <f>"9781424426300"</f>
        <v>9781424426300</v>
      </c>
      <c r="C1450" s="8" t="s">
        <v>9</v>
      </c>
    </row>
    <row r="1451" spans="1:3" x14ac:dyDescent="0.25">
      <c r="A1451" s="8" t="str">
        <f>"2008 IEEE International Conference on Information Reuse and Integration, IEEE IRI-2008"</f>
        <v>2008 IEEE International Conference on Information Reuse and Integration, IEEE IRI-2008</v>
      </c>
      <c r="B1451" s="8" t="str">
        <f>"9781424426607"</f>
        <v>9781424426607</v>
      </c>
      <c r="C1451" s="8" t="s">
        <v>9</v>
      </c>
    </row>
    <row r="1452" spans="1:3" x14ac:dyDescent="0.25">
      <c r="A1452" s="8" t="str">
        <f>"2008 IEEE International Conference on Microwaves, Communications, Antennas and Electronic Systems, COMCAS 2008"</f>
        <v>2008 IEEE International Conference on Microwaves, Communications, Antennas and Electronic Systems, COMCAS 2008</v>
      </c>
      <c r="B1452" s="8" t="str">
        <f>"9781424420971"</f>
        <v>9781424420971</v>
      </c>
      <c r="C1452" s="8" t="s">
        <v>9</v>
      </c>
    </row>
    <row r="1453" spans="1:3" x14ac:dyDescent="0.25">
      <c r="A1453" s="8" t="str">
        <f>"2008 IEEE International Conference on Multimedia and Expo, ICME 2008 - Proceedings"</f>
        <v>2008 IEEE International Conference on Multimedia and Expo, ICME 2008 - Proceedings</v>
      </c>
      <c r="B1453" s="8" t="str">
        <f>"9781424425716"</f>
        <v>9781424425716</v>
      </c>
      <c r="C1453" s="8" t="s">
        <v>9</v>
      </c>
    </row>
    <row r="1454" spans="1:3" x14ac:dyDescent="0.25">
      <c r="A1454" s="8" t="str">
        <f>"2008 IEEE International Conference on RFID (Frequency Identification), IEEE RFID 2008"</f>
        <v>2008 IEEE International Conference on RFID (Frequency Identification), IEEE RFID 2008</v>
      </c>
      <c r="B1454" s="8" t="str">
        <f>"9781424417124"</f>
        <v>9781424417124</v>
      </c>
      <c r="C1454" s="8" t="s">
        <v>9</v>
      </c>
    </row>
    <row r="1455" spans="1:3" x14ac:dyDescent="0.25">
      <c r="A1455" s="8" t="str">
        <f>"2008 IEEE International Conference on Robotics and Biomimetics, ROBIO 2008"</f>
        <v>2008 IEEE International Conference on Robotics and Biomimetics, ROBIO 2008</v>
      </c>
      <c r="B1455" s="8" t="str">
        <f>"9781424426799"</f>
        <v>9781424426799</v>
      </c>
      <c r="C1455" s="8" t="s">
        <v>9</v>
      </c>
    </row>
    <row r="1456" spans="1:3" x14ac:dyDescent="0.25">
      <c r="A1456" s="8" t="str">
        <f>"2008 IEEE International Conference on Robotics, Automation and Mechatronics, RAM 2008"</f>
        <v>2008 IEEE International Conference on Robotics, Automation and Mechatronics, RAM 2008</v>
      </c>
      <c r="B1456" s="8" t="str">
        <f>"9781424416769"</f>
        <v>9781424416769</v>
      </c>
      <c r="C1456" s="8" t="s">
        <v>9</v>
      </c>
    </row>
    <row r="1457" spans="1:3" x14ac:dyDescent="0.25">
      <c r="A1457" s="8" t="str">
        <f>"2008 IEEE International Conference on Software Reliability Engineering Workshops, ISSRE Wksp 2008"</f>
        <v>2008 IEEE International Conference on Software Reliability Engineering Workshops, ISSRE Wksp 2008</v>
      </c>
      <c r="B1457" s="8" t="str">
        <f>"9781424434169"</f>
        <v>9781424434169</v>
      </c>
      <c r="C1457" s="8" t="s">
        <v>9</v>
      </c>
    </row>
    <row r="1458" spans="1:3" x14ac:dyDescent="0.25">
      <c r="A1458" s="8" t="str">
        <f>"2008 IEEE International Conference on Software Testing Verification and Validation Workshop, ICSTW'08"</f>
        <v>2008 IEEE International Conference on Software Testing Verification and Validation Workshop, ICSTW'08</v>
      </c>
      <c r="B1458" s="8" t="str">
        <f>"9780769533889"</f>
        <v>9780769533889</v>
      </c>
      <c r="C1458" s="8" t="s">
        <v>9</v>
      </c>
    </row>
    <row r="1459" spans="1:3" x14ac:dyDescent="0.25">
      <c r="A1459" s="8" t="str">
        <f>"2008 IEEE International Conference on Sustainable Energy Technologies, ICSET 2008"</f>
        <v>2008 IEEE International Conference on Sustainable Energy Technologies, ICSET 2008</v>
      </c>
      <c r="B1459" s="8" t="str">
        <f>"9781424418886"</f>
        <v>9781424418886</v>
      </c>
      <c r="C1459" s="8" t="s">
        <v>9</v>
      </c>
    </row>
    <row r="1460" spans="1:3" x14ac:dyDescent="0.25">
      <c r="A1460" s="8" t="str">
        <f>"2008 IEEE International Conference on System of Systems Engineering, SoSE 2008"</f>
        <v>2008 IEEE International Conference on System of Systems Engineering, SoSE 2008</v>
      </c>
      <c r="B1460" s="8" t="str">
        <f>"9781424421732"</f>
        <v>9781424421732</v>
      </c>
      <c r="C1460" s="8" t="s">
        <v>9</v>
      </c>
    </row>
    <row r="1461" spans="1:3" x14ac:dyDescent="0.25">
      <c r="A1461" s="8" t="str">
        <f>"2008 IEEE International Conference on Technologies for Homeland Security, HST'08"</f>
        <v>2008 IEEE International Conference on Technologies for Homeland Security, HST'08</v>
      </c>
      <c r="B1461" s="8" t="str">
        <f>"9781424419777"</f>
        <v>9781424419777</v>
      </c>
      <c r="C1461" s="8" t="s">
        <v>9</v>
      </c>
    </row>
    <row r="1462" spans="1:3" x14ac:dyDescent="0.25">
      <c r="A1462" s="8" t="str">
        <f>"2008 IEEE International Conference on Technologies for Practical Robot Applications, TePRA"</f>
        <v>2008 IEEE International Conference on Technologies for Practical Robot Applications, TePRA</v>
      </c>
      <c r="B1462" s="8" t="str">
        <f>"9781424427925"</f>
        <v>9781424427925</v>
      </c>
      <c r="C1462" s="8" t="s">
        <v>9</v>
      </c>
    </row>
    <row r="1463" spans="1:3" x14ac:dyDescent="0.25">
      <c r="A1463" s="8" t="str">
        <f>"2008 IEEE International Frequency Control Symposium, FCS"</f>
        <v>2008 IEEE International Frequency Control Symposium, FCS</v>
      </c>
      <c r="B1463" s="8" t="str">
        <f>"9781424417957"</f>
        <v>9781424417957</v>
      </c>
      <c r="C1463" s="8" t="s">
        <v>9</v>
      </c>
    </row>
    <row r="1464" spans="1:3" x14ac:dyDescent="0.25">
      <c r="A1464" s="8" t="str">
        <f>"2008 IEEE International Interconnect Technology Conference, IITC"</f>
        <v>2008 IEEE International Interconnect Technology Conference, IITC</v>
      </c>
      <c r="B1464" s="8" t="str">
        <f>"9781424419111"</f>
        <v>9781424419111</v>
      </c>
      <c r="C1464" s="8" t="s">
        <v>9</v>
      </c>
    </row>
    <row r="1465" spans="1:3" x14ac:dyDescent="0.25">
      <c r="A1465" s="8" t="str">
        <f>"2008 IEEE International Meeting on Microwave Photonics jointly held with the 2008 Asia-Pacific Microwave Photonics Conference, MWP2008/APMP2008"</f>
        <v>2008 IEEE International Meeting on Microwave Photonics jointly held with the 2008 Asia-Pacific Microwave Photonics Conference, MWP2008/APMP2008</v>
      </c>
      <c r="B1465" s="8" t="str">
        <f>"9781424421695"</f>
        <v>9781424421695</v>
      </c>
      <c r="C1465" s="8" t="s">
        <v>9</v>
      </c>
    </row>
    <row r="1466" spans="1:3" x14ac:dyDescent="0.25">
      <c r="A1466" s="8" t="str">
        <f>"2008 IEEE International RF and Microwave Conference, RFM 2008"</f>
        <v>2008 IEEE International RF and Microwave Conference, RFM 2008</v>
      </c>
      <c r="B1466" s="8" t="str">
        <f>"9781424428663"</f>
        <v>9781424428663</v>
      </c>
      <c r="C1466" s="8" t="s">
        <v>9</v>
      </c>
    </row>
    <row r="1467" spans="1:3" x14ac:dyDescent="0.25">
      <c r="A1467" s="8" t="str">
        <f>"2008 IEEE International SOC Conference, SOCC"</f>
        <v>2008 IEEE International SOC Conference, SOCC</v>
      </c>
      <c r="B1467" s="8" t="str">
        <f>"9781424425969"</f>
        <v>9781424425969</v>
      </c>
      <c r="C1467" s="8" t="s">
        <v>9</v>
      </c>
    </row>
    <row r="1468" spans="1:3" x14ac:dyDescent="0.25">
      <c r="A1468" s="8" t="str">
        <f>"2008 IEEE International Symposium on A World of Wireless, Mobile and Multimedia Networks, WoWMoM2008"</f>
        <v>2008 IEEE International Symposium on A World of Wireless, Mobile and Multimedia Networks, WoWMoM2008</v>
      </c>
      <c r="B1468" s="8" t="str">
        <f>"9781424421008"</f>
        <v>9781424421008</v>
      </c>
      <c r="C1468" s="8" t="s">
        <v>9</v>
      </c>
    </row>
    <row r="1469" spans="1:3" x14ac:dyDescent="0.25">
      <c r="A1469" s="8" t="str">
        <f>"2008 IEEE International Symposium on Antennas and Propagation and USNC/URSI National Radio Science Meeting, APSURSI"</f>
        <v>2008 IEEE International Symposium on Antennas and Propagation and USNC/URSI National Radio Science Meeting, APSURSI</v>
      </c>
      <c r="B1469" s="8" t="str">
        <f>"9781424420421"</f>
        <v>9781424420421</v>
      </c>
      <c r="C1469" s="8" t="s">
        <v>9</v>
      </c>
    </row>
    <row r="1470" spans="1:3" x14ac:dyDescent="0.25">
      <c r="A1470" s="8" t="str">
        <f>"2008 IEEE International Symposium on Knowledge Acquisition and Modeling Workshop Proceedings, KAM 2008"</f>
        <v>2008 IEEE International Symposium on Knowledge Acquisition and Modeling Workshop Proceedings, KAM 2008</v>
      </c>
      <c r="B1470" s="8" t="str">
        <f>"9781424435296"</f>
        <v>9781424435296</v>
      </c>
      <c r="C1470" s="8" t="s">
        <v>9</v>
      </c>
    </row>
    <row r="1471" spans="1:3" x14ac:dyDescent="0.25">
      <c r="A1471" s="8" t="str">
        <f>"2008 IEEE International Symposium on Modeling, Analysis and Simulation of Computer and Telecommunication Systems, MASCOTS"</f>
        <v>2008 IEEE International Symposium on Modeling, Analysis and Simulation of Computer and Telecommunication Systems, MASCOTS</v>
      </c>
      <c r="B1471" s="8" t="str">
        <f>"9781424428182"</f>
        <v>9781424428182</v>
      </c>
      <c r="C1471" s="8" t="s">
        <v>9</v>
      </c>
    </row>
    <row r="1472" spans="1:3" x14ac:dyDescent="0.25">
      <c r="A1472" s="8" t="str">
        <f>"2008 IEEE International Symposium on Precision Clock Synchronization for Measurement, Control and Communication, ISPCS 2008, Proceedings"</f>
        <v>2008 IEEE International Symposium on Precision Clock Synchronization for Measurement, Control and Communication, ISPCS 2008, Proceedings</v>
      </c>
      <c r="B1472" s="8" t="str">
        <f>"9781424422753"</f>
        <v>9781424422753</v>
      </c>
      <c r="C1472" s="8" t="s">
        <v>9</v>
      </c>
    </row>
    <row r="1473" spans="1:3" x14ac:dyDescent="0.25">
      <c r="A1473" s="8" t="str">
        <f>"2008 IEEE International Symposium on Workload Characterization, IISWC'08"</f>
        <v>2008 IEEE International Symposium on Workload Characterization, IISWC'08</v>
      </c>
      <c r="B1473" s="8" t="str">
        <f>"9781424427789"</f>
        <v>9781424427789</v>
      </c>
      <c r="C1473" s="8" t="s">
        <v>9</v>
      </c>
    </row>
    <row r="1474" spans="1:3" x14ac:dyDescent="0.25">
      <c r="A1474" s="8" t="str">
        <f>"2008 IEEE International Systems Conference Proceedings, SysCon 2008"</f>
        <v>2008 IEEE International Systems Conference Proceedings, SysCon 2008</v>
      </c>
      <c r="B1474" s="8" t="str">
        <f>"9781424421503"</f>
        <v>9781424421503</v>
      </c>
      <c r="C1474" s="8" t="s">
        <v>9</v>
      </c>
    </row>
    <row r="1475" spans="1:3" x14ac:dyDescent="0.25">
      <c r="A1475" s="8" t="str">
        <f>"2008 IEEE International Vacuum Electronics Conference, IVEC with 9th IEEE International Vacuum Electron Sources Conference, IVESC"</f>
        <v>2008 IEEE International Vacuum Electronics Conference, IVEC with 9th IEEE International Vacuum Electron Sources Conference, IVESC</v>
      </c>
      <c r="B1475" s="8" t="str">
        <f>"9781424417155"</f>
        <v>9781424417155</v>
      </c>
      <c r="C1475" s="8" t="s">
        <v>9</v>
      </c>
    </row>
    <row r="1476" spans="1:3" x14ac:dyDescent="0.25">
      <c r="A1476" s="8" t="str">
        <f>"2008 IEEE International Workshop on Hardware-Oriented Security and Trust, HOST"</f>
        <v>2008 IEEE International Workshop on Hardware-Oriented Security and Trust, HOST</v>
      </c>
      <c r="B1476" s="8" t="str">
        <f>"9781424424016"</f>
        <v>9781424424016</v>
      </c>
      <c r="C1476" s="8" t="s">
        <v>9</v>
      </c>
    </row>
    <row r="1477" spans="1:3" x14ac:dyDescent="0.25">
      <c r="A1477" s="8" t="str">
        <f>"2008 IEEE International Workshop on Horizontal Interactive Human Computer System, TABLETOP 2008"</f>
        <v>2008 IEEE International Workshop on Horizontal Interactive Human Computer System, TABLETOP 2008</v>
      </c>
      <c r="B1477" s="8" t="str">
        <f>"9781424428984"</f>
        <v>9781424428984</v>
      </c>
      <c r="C1477" s="8" t="s">
        <v>9</v>
      </c>
    </row>
    <row r="1478" spans="1:3" x14ac:dyDescent="0.25">
      <c r="A1478" s="8" t="str">
        <f>"2008 IEEE Internet Network Management Workshop, INM 2008"</f>
        <v>2008 IEEE Internet Network Management Workshop, INM 2008</v>
      </c>
      <c r="B1478" s="8" t="str">
        <f>"9781424429646"</f>
        <v>9781424429646</v>
      </c>
      <c r="C1478" s="8" t="s">
        <v>9</v>
      </c>
    </row>
    <row r="1479" spans="1:3" x14ac:dyDescent="0.25">
      <c r="A1479" s="8" t="str">
        <f>"2008 IEEE Lebanon Communications Workshop, IEEE LCW 2008"</f>
        <v>2008 IEEE Lebanon Communications Workshop, IEEE LCW 2008</v>
      </c>
      <c r="B1479" s="8" t="str">
        <f>"9781424417544"</f>
        <v>9781424417544</v>
      </c>
      <c r="C1479" s="8" t="s">
        <v>9</v>
      </c>
    </row>
    <row r="1480" spans="1:3" x14ac:dyDescent="0.25">
      <c r="A1480" s="8" t="str">
        <f>"2008 IEEE Long Island Systems, Applications and Technology Conference, LISAT 2008"</f>
        <v>2008 IEEE Long Island Systems, Applications and Technology Conference, LISAT 2008</v>
      </c>
      <c r="B1480" s="8" t="str">
        <f>"-"</f>
        <v>-</v>
      </c>
      <c r="C1480" s="8" t="s">
        <v>9</v>
      </c>
    </row>
    <row r="1481" spans="1:3" x14ac:dyDescent="0.25">
      <c r="A1481" s="8" t="str">
        <f>"2008 IEEE MTT-S International Microwave Workshop Series IMWS on Art of Miniaturizing RF and Microwave Passive Components - Proceeding"</f>
        <v>2008 IEEE MTT-S International Microwave Workshop Series IMWS on Art of Miniaturizing RF and Microwave Passive Components - Proceeding</v>
      </c>
      <c r="B1481" s="8" t="str">
        <f>"9781424428779"</f>
        <v>9781424428779</v>
      </c>
      <c r="C1481" s="8" t="s">
        <v>9</v>
      </c>
    </row>
    <row r="1482" spans="1:3" x14ac:dyDescent="0.25">
      <c r="A1482" s="8" t="str">
        <f>"2008 IEEE Network Operations and Management Symposium Workshops - NOMS 08"</f>
        <v>2008 IEEE Network Operations and Management Symposium Workshops - NOMS 08</v>
      </c>
      <c r="B1482" s="8" t="str">
        <f>"9781424420674"</f>
        <v>9781424420674</v>
      </c>
      <c r="C1482" s="8" t="s">
        <v>9</v>
      </c>
    </row>
    <row r="1483" spans="1:3" x14ac:dyDescent="0.25">
      <c r="A1483" s="8" t="str">
        <f>"2008 IEEE PhotonicsGlobal at Singapore, IPGC 2008"</f>
        <v>2008 IEEE PhotonicsGlobal at Singapore, IPGC 2008</v>
      </c>
      <c r="B1483" s="8" t="str">
        <f>"9781424429059"</f>
        <v>9781424429059</v>
      </c>
      <c r="C1483" s="8" t="s">
        <v>9</v>
      </c>
    </row>
    <row r="1484" spans="1:3" x14ac:dyDescent="0.25">
      <c r="A1484" s="8" t="str">
        <f>"2008 IEEE Radar Conference, RADAR 2008"</f>
        <v>2008 IEEE Radar Conference, RADAR 2008</v>
      </c>
      <c r="B1484" s="8" t="str">
        <f>"9781424415397"</f>
        <v>9781424415397</v>
      </c>
      <c r="C1484" s="8" t="s">
        <v>9</v>
      </c>
    </row>
    <row r="1485" spans="1:3" x14ac:dyDescent="0.25">
      <c r="A1485" s="8" t="str">
        <f>"2008 IEEE Radio and Wireless Symposium, RWS"</f>
        <v>2008 IEEE Radio and Wireless Symposium, RWS</v>
      </c>
      <c r="B1485" s="8" t="str">
        <f>"9781424414635"</f>
        <v>9781424414635</v>
      </c>
      <c r="C1485" s="8" t="s">
        <v>9</v>
      </c>
    </row>
    <row r="1486" spans="1:3" x14ac:dyDescent="0.25">
      <c r="A1486" s="8" t="str">
        <f>"2008 IEEE Region 5 Conference"</f>
        <v>2008 IEEE Region 5 Conference</v>
      </c>
      <c r="B1486" s="8" t="str">
        <f>"9781424420773"</f>
        <v>9781424420773</v>
      </c>
      <c r="C1486" s="8" t="s">
        <v>9</v>
      </c>
    </row>
    <row r="1487" spans="1:3" x14ac:dyDescent="0.25">
      <c r="A1487" s="8" t="str">
        <f>"2008 IEEE Sensors Applications Symposium, SAS-2008 - Proceedings"</f>
        <v>2008 IEEE Sensors Applications Symposium, SAS-2008 - Proceedings</v>
      </c>
      <c r="B1487" s="8" t="str">
        <f>"9781424419630"</f>
        <v>9781424419630</v>
      </c>
      <c r="C1487" s="8" t="s">
        <v>9</v>
      </c>
    </row>
    <row r="1488" spans="1:3" x14ac:dyDescent="0.25">
      <c r="A1488" s="8" t="str">
        <f>"2008 IEEE Swarm Intelligence Symposium, SIS 2008"</f>
        <v>2008 IEEE Swarm Intelligence Symposium, SIS 2008</v>
      </c>
      <c r="B1488" s="8" t="str">
        <f>"9781424427055"</f>
        <v>9781424427055</v>
      </c>
      <c r="C1488" s="8" t="s">
        <v>9</v>
      </c>
    </row>
    <row r="1489" spans="1:3" x14ac:dyDescent="0.25">
      <c r="A1489" s="8" t="str">
        <f>"2008 IEEE Symposium on Advanced Management of Information for Globalized Enterprises, AMIGE 2008 - Proceedings"</f>
        <v>2008 IEEE Symposium on Advanced Management of Information for Globalized Enterprises, AMIGE 2008 - Proceedings</v>
      </c>
      <c r="B1489" s="8" t="str">
        <f>"9781424429721"</f>
        <v>9781424429721</v>
      </c>
      <c r="C1489" s="8" t="s">
        <v>9</v>
      </c>
    </row>
    <row r="1490" spans="1:3" x14ac:dyDescent="0.25">
      <c r="A1490" s="8" t="str">
        <f>"2008 IEEE Symposium on Computational Intelligence and Games, CIG 2008"</f>
        <v>2008 IEEE Symposium on Computational Intelligence and Games, CIG 2008</v>
      </c>
      <c r="B1490" s="8" t="str">
        <f>"9781424429745"</f>
        <v>9781424429745</v>
      </c>
      <c r="C1490" s="8" t="s">
        <v>1348</v>
      </c>
    </row>
    <row r="1491" spans="1:3" x14ac:dyDescent="0.25">
      <c r="A1491" s="8" t="str">
        <f>"2008 IEEE Symposium on Computational Intelligence in Bioinformatics and Computational Biology, CIBCB '08"</f>
        <v>2008 IEEE Symposium on Computational Intelligence in Bioinformatics and Computational Biology, CIBCB '08</v>
      </c>
      <c r="B1491" s="8" t="str">
        <f>"9781424417780"</f>
        <v>9781424417780</v>
      </c>
      <c r="C1491" s="8" t="s">
        <v>9</v>
      </c>
    </row>
    <row r="1492" spans="1:3" x14ac:dyDescent="0.25">
      <c r="A1492" s="8" t="str">
        <f>"2008 IEEE Symposium on New Frontiers in Dynamic Spectrum Access Networks, DySPAN 2008"</f>
        <v>2008 IEEE Symposium on New Frontiers in Dynamic Spectrum Access Networks, DySPAN 2008</v>
      </c>
      <c r="B1492" s="8" t="str">
        <f>"9781424420179"</f>
        <v>9781424420179</v>
      </c>
      <c r="C1492" s="8" t="s">
        <v>9</v>
      </c>
    </row>
    <row r="1493" spans="1:3" x14ac:dyDescent="0.25">
      <c r="A1493" s="8" t="str">
        <f>"2008 IEEE Symposium on Product Compliance Engineering, PSES 2008"</f>
        <v>2008 IEEE Symposium on Product Compliance Engineering, PSES 2008</v>
      </c>
      <c r="B1493" s="8" t="str">
        <f>"9781424428427"</f>
        <v>9781424428427</v>
      </c>
      <c r="C1493" s="8" t="s">
        <v>9</v>
      </c>
    </row>
    <row r="1494" spans="1:3" x14ac:dyDescent="0.25">
      <c r="A1494" s="8" t="str">
        <f>"2008 IEEE Topical Meeting on Silicon Monolithic Integrated Circuits in RF Systms - Digest of Papers, SiRF"</f>
        <v>2008 IEEE Topical Meeting on Silicon Monolithic Integrated Circuits in RF Systms - Digest of Papers, SiRF</v>
      </c>
      <c r="B1494" s="8" t="str">
        <f>"9781424418558"</f>
        <v>9781424418558</v>
      </c>
      <c r="C1494" s="8" t="s">
        <v>9</v>
      </c>
    </row>
    <row r="1495" spans="1:3" x14ac:dyDescent="0.25">
      <c r="A1495" s="8" t="str">
        <f>"2008 IEEE Vehicle Power and Propulsion Conference, VPPC 2008"</f>
        <v>2008 IEEE Vehicle Power and Propulsion Conference, VPPC 2008</v>
      </c>
      <c r="B1495" s="8" t="str">
        <f>"9781424418497"</f>
        <v>9781424418497</v>
      </c>
      <c r="C1495" s="8" t="s">
        <v>9</v>
      </c>
    </row>
    <row r="1496" spans="1:3" x14ac:dyDescent="0.25">
      <c r="A1496" s="8" t="str">
        <f>"2008 IEEE Wireless Hive Networks Conference Proceedings, WHNC"</f>
        <v>2008 IEEE Wireless Hive Networks Conference Proceedings, WHNC</v>
      </c>
      <c r="B1496" s="8" t="str">
        <f>"9781424428496"</f>
        <v>9781424428496</v>
      </c>
      <c r="C1496" s="8" t="s">
        <v>9</v>
      </c>
    </row>
    <row r="1497" spans="1:3" x14ac:dyDescent="0.25">
      <c r="A1497" s="8" t="str">
        <f>"2008 IEEE Workshop on Applications of Computer Vision, WACV"</f>
        <v>2008 IEEE Workshop on Applications of Computer Vision, WACV</v>
      </c>
      <c r="B1497" s="8" t="str">
        <f>"9781424419135"</f>
        <v>9781424419135</v>
      </c>
      <c r="C1497" s="8" t="s">
        <v>9</v>
      </c>
    </row>
    <row r="1498" spans="1:3" x14ac:dyDescent="0.25">
      <c r="A1498" s="8" t="str">
        <f>"2008 IEEE Workshop on Microelectronics and Electron Devices, WMED"</f>
        <v>2008 IEEE Workshop on Microelectronics and Electron Devices, WMED</v>
      </c>
      <c r="B1498" s="8" t="str">
        <f>"9781424423446"</f>
        <v>9781424423446</v>
      </c>
      <c r="C1498" s="8" t="s">
        <v>9</v>
      </c>
    </row>
    <row r="1499" spans="1:3" x14ac:dyDescent="0.25">
      <c r="A1499" s="8" t="str">
        <f>"2008 IEEE Workshop on Motion and Video Computing, WMVC"</f>
        <v>2008 IEEE Workshop on Motion and Video Computing, WMVC</v>
      </c>
      <c r="B1499" s="8" t="str">
        <f>"9781424420001"</f>
        <v>9781424420001</v>
      </c>
      <c r="C1499" s="8" t="s">
        <v>9</v>
      </c>
    </row>
    <row r="1500" spans="1:3" x14ac:dyDescent="0.25">
      <c r="A1500" s="8" t="str">
        <f>"2008 IEEE Workshop on Spoken Language Technology, SLT 2008 - Proceedings"</f>
        <v>2008 IEEE Workshop on Spoken Language Technology, SLT 2008 - Proceedings</v>
      </c>
      <c r="B1500" s="8" t="str">
        <f>"9781424434725"</f>
        <v>9781424434725</v>
      </c>
      <c r="C1500" s="8" t="s">
        <v>9</v>
      </c>
    </row>
    <row r="1501" spans="1:3" x14ac:dyDescent="0.25">
      <c r="A1501" s="8" t="str">
        <f>"2008 IEEE/ACM International Symposium on Nanoscale Architectures, NANOARCH 2008"</f>
        <v>2008 IEEE/ACM International Symposium on Nanoscale Architectures, NANOARCH 2008</v>
      </c>
      <c r="B1501" s="8" t="str">
        <f>"9781424425532"</f>
        <v>9781424425532</v>
      </c>
      <c r="C1501" s="8" t="s">
        <v>9</v>
      </c>
    </row>
    <row r="1502" spans="1:3" x14ac:dyDescent="0.25">
      <c r="A1502" s="8" t="str">
        <f>"2008 IEEE/ASME International Conference on Mechatronics and Embedded Systems and Applications, MESA 2008"</f>
        <v>2008 IEEE/ASME International Conference on Mechatronics and Embedded Systems and Applications, MESA 2008</v>
      </c>
      <c r="B1502" s="8" t="str">
        <f>"9781424423682"</f>
        <v>9781424423682</v>
      </c>
      <c r="C1502" s="8" t="s">
        <v>9</v>
      </c>
    </row>
    <row r="1503" spans="1:3" x14ac:dyDescent="0.25">
      <c r="A1503" s="8" t="str">
        <f>"2008 IEEE/LEOS International Conference on Optical MEMS and Nanophotonics, OPT MEMS"</f>
        <v>2008 IEEE/LEOS International Conference on Optical MEMS and Nanophotonics, OPT MEMS</v>
      </c>
      <c r="B1503" s="8" t="str">
        <f>"9781424419180"</f>
        <v>9781424419180</v>
      </c>
      <c r="C1503" s="8" t="s">
        <v>9</v>
      </c>
    </row>
    <row r="1504" spans="1:3" x14ac:dyDescent="0.25">
      <c r="A1504" s="8" t="str">
        <f>"2008 IEEE/LEOS Winter Topical Meeting Series"</f>
        <v>2008 IEEE/LEOS Winter Topical Meeting Series</v>
      </c>
      <c r="B1504" s="8" t="str">
        <f>"9781424415953"</f>
        <v>9781424415953</v>
      </c>
      <c r="C1504" s="8" t="s">
        <v>9</v>
      </c>
    </row>
    <row r="1505" spans="1:3" x14ac:dyDescent="0.25">
      <c r="A1505" s="8" t="str">
        <f>"2008 IEEE/OES Autonomous Underwater Vehicles, AUV 2008"</f>
        <v>2008 IEEE/OES Autonomous Underwater Vehicles, AUV 2008</v>
      </c>
      <c r="B1505" s="8" t="str">
        <f>"9781424429394"</f>
        <v>9781424429394</v>
      </c>
      <c r="C1505" s="8" t="s">
        <v>9</v>
      </c>
    </row>
    <row r="1506" spans="1:3" x14ac:dyDescent="0.25">
      <c r="A1506" s="8" t="str">
        <f>"2008 IEEE/PES Transmission and Distribution Conference and Exposition: Latin America, T and D-LA"</f>
        <v>2008 IEEE/PES Transmission and Distribution Conference and Exposition: Latin America, T and D-LA</v>
      </c>
      <c r="B1506" s="8" t="str">
        <f>"9781424422180"</f>
        <v>9781424422180</v>
      </c>
      <c r="C1506" s="8" t="s">
        <v>9</v>
      </c>
    </row>
    <row r="1507" spans="1:3" x14ac:dyDescent="0.25">
      <c r="A1507" s="8" t="str">
        <f>"2008 IEEE/RSJ International Conference on Intelligent Robots and Systems, IROS"</f>
        <v>2008 IEEE/RSJ International Conference on Intelligent Robots and Systems, IROS</v>
      </c>
      <c r="B1507" s="8" t="str">
        <f>"9781424420582"</f>
        <v>9781424420582</v>
      </c>
      <c r="C1507" s="8" t="s">
        <v>9</v>
      </c>
    </row>
    <row r="1508" spans="1:3" x14ac:dyDescent="0.25">
      <c r="A1508" s="8" t="str">
        <f>"2008 IEEE/SICE International Symposium on System Integration: SI International 2008 - The 1st Symposium on Systems Integration"</f>
        <v>2008 IEEE/SICE International Symposium on System Integration: SI International 2008 - The 1st Symposium on Systems Integration</v>
      </c>
      <c r="B1508" s="8" t="str">
        <f>"-"</f>
        <v>-</v>
      </c>
      <c r="C1508" s="8" t="s">
        <v>9</v>
      </c>
    </row>
    <row r="1509" spans="1:3" x14ac:dyDescent="0.25">
      <c r="A1509" s="8" t="str">
        <f>"2008 IEEE-BIOCAS Biomedical Circuits and Systems Conference, BIOCAS 2008"</f>
        <v>2008 IEEE-BIOCAS Biomedical Circuits and Systems Conference, BIOCAS 2008</v>
      </c>
      <c r="B1509" s="8" t="str">
        <f>"9781424428793"</f>
        <v>9781424428793</v>
      </c>
      <c r="C1509" s="8" t="s">
        <v>9</v>
      </c>
    </row>
    <row r="1510" spans="1:3" x14ac:dyDescent="0.25">
      <c r="A1510" s="8" t="str">
        <f>"2008 IET 4th International Conference on Intelligent Environments"</f>
        <v>2008 IET 4th International Conference on Intelligent Environments</v>
      </c>
      <c r="B1510" s="8" t="str">
        <f>"-"</f>
        <v>-</v>
      </c>
      <c r="C1510" s="8" t="s">
        <v>9</v>
      </c>
    </row>
    <row r="1511" spans="1:3" x14ac:dyDescent="0.25">
      <c r="A1511" s="8" t="str">
        <f>"2008 Information Theory and Applications Workshop - Conference Proceedings, ITA"</f>
        <v>2008 Information Theory and Applications Workshop - Conference Proceedings, ITA</v>
      </c>
      <c r="B1511" s="8" t="str">
        <f>"9781424426706"</f>
        <v>9781424426706</v>
      </c>
      <c r="C1511" s="8" t="s">
        <v>9</v>
      </c>
    </row>
    <row r="1512" spans="1:3" x14ac:dyDescent="0.25">
      <c r="A1512" s="8" t="str">
        <f>"2008 Int. Nano-Optoelectronics Workshop, iNOW 2008 in Cooperation With Int. Global-COE Summer School (Photonics Integration-Core Electronics: PICE) and 31st Int. Symposium on Optical Communications"</f>
        <v>2008 Int. Nano-Optoelectronics Workshop, iNOW 2008 in Cooperation With Int. Global-COE Summer School (Photonics Integration-Core Electronics: PICE) and 31st Int. Symposium on Optical Communications</v>
      </c>
      <c r="B1512" s="8" t="str">
        <f>"9781424426560"</f>
        <v>9781424426560</v>
      </c>
      <c r="C1512" s="8" t="s">
        <v>9</v>
      </c>
    </row>
    <row r="1513" spans="1:3" x14ac:dyDescent="0.25">
      <c r="A1513" s="8" t="str">
        <f>"2008 International Conference Modern Technique and Technologies, MTT 2008"</f>
        <v>2008 International Conference Modern Technique and Technologies, MTT 2008</v>
      </c>
      <c r="B1513" s="8" t="str">
        <f>"9781424416097"</f>
        <v>9781424416097</v>
      </c>
      <c r="C1513" s="8" t="s">
        <v>9</v>
      </c>
    </row>
    <row r="1514" spans="1:3" x14ac:dyDescent="0.25">
      <c r="A1514" s="8" t="str">
        <f>"2008 International Conference of Recent Advances in Microwave Theory and Applications, MICROWAVE 2008"</f>
        <v>2008 International Conference of Recent Advances in Microwave Theory and Applications, MICROWAVE 2008</v>
      </c>
      <c r="B1514" s="8" t="str">
        <f>"9781424426904"</f>
        <v>9781424426904</v>
      </c>
      <c r="C1514" s="8" t="s">
        <v>9</v>
      </c>
    </row>
    <row r="1515" spans="1:3" x14ac:dyDescent="0.25">
      <c r="A1515" s="8" t="str">
        <f>"2008 International Conference on Actual Problems of Electron Devices Engineering, APEDE 2008"</f>
        <v>2008 International Conference on Actual Problems of Electron Devices Engineering, APEDE 2008</v>
      </c>
      <c r="B1515" s="8" t="str">
        <f>"9781424421220"</f>
        <v>9781424421220</v>
      </c>
      <c r="C1515" s="8" t="s">
        <v>9</v>
      </c>
    </row>
    <row r="1516" spans="1:3" x14ac:dyDescent="0.25">
      <c r="A1516" s="8" t="str">
        <f>"2008 International Conference on Apperceiving Computing and Intelligence Analysis, ICACIA 2008"</f>
        <v>2008 International Conference on Apperceiving Computing and Intelligence Analysis, ICACIA 2008</v>
      </c>
      <c r="B1516" s="8" t="str">
        <f>"9781424434251"</f>
        <v>9781424434251</v>
      </c>
      <c r="C1516" s="8" t="s">
        <v>9</v>
      </c>
    </row>
    <row r="1517" spans="1:3" x14ac:dyDescent="0.25">
      <c r="A1517" s="8" t="str">
        <f>"2008 International Conference on Communications, Circuits and Systems Proceedings, ICCCAS 2008"</f>
        <v>2008 International Conference on Communications, Circuits and Systems Proceedings, ICCCAS 2008</v>
      </c>
      <c r="B1517" s="8" t="str">
        <f>"9781424420636"</f>
        <v>9781424420636</v>
      </c>
      <c r="C1517" s="8" t="s">
        <v>9</v>
      </c>
    </row>
    <row r="1518" spans="1:3" x14ac:dyDescent="0.25">
      <c r="A1518" s="8" t="str">
        <f>"2008 International Conference on Compound Semiconductor Manufacturing Technology, CS MANTECH 2008"</f>
        <v>2008 International Conference on Compound Semiconductor Manufacturing Technology, CS MANTECH 2008</v>
      </c>
      <c r="B1518" s="8" t="str">
        <f>"9781893580114"</f>
        <v>9781893580114</v>
      </c>
      <c r="C1518" s="8" t="s">
        <v>1336</v>
      </c>
    </row>
    <row r="1519" spans="1:3" x14ac:dyDescent="0.25">
      <c r="A1519" s="8" t="str">
        <f>"2008 International Conference on Computational Intelligence for Modelling Control and Automation, CIMCA 2008"</f>
        <v>2008 International Conference on Computational Intelligence for Modelling Control and Automation, CIMCA 2008</v>
      </c>
      <c r="B1519" s="8" t="str">
        <f>"9780769535142"</f>
        <v>9780769535142</v>
      </c>
      <c r="C1519" s="8" t="s">
        <v>9</v>
      </c>
    </row>
    <row r="1520" spans="1:3" x14ac:dyDescent="0.25">
      <c r="A1520" s="8" t="str">
        <f>"2008 International Conference on Computer Engineering and Systems, ICCES 2008"</f>
        <v>2008 International Conference on Computer Engineering and Systems, ICCES 2008</v>
      </c>
      <c r="B1520" s="8" t="str">
        <f>"9781424421152"</f>
        <v>9781424421152</v>
      </c>
      <c r="C1520" s="8" t="s">
        <v>9</v>
      </c>
    </row>
    <row r="1521" spans="1:3" x14ac:dyDescent="0.25">
      <c r="A1521" s="8" t="str">
        <f>"2008 International Conference on Control, Automation and Systems, ICCAS 2008"</f>
        <v>2008 International Conference on Control, Automation and Systems, ICCAS 2008</v>
      </c>
      <c r="B1521" s="8" t="str">
        <f>"9788995003893"</f>
        <v>9788995003893</v>
      </c>
      <c r="C1521" s="8" t="s">
        <v>9</v>
      </c>
    </row>
    <row r="1522" spans="1:3" x14ac:dyDescent="0.25">
      <c r="A1522" s="8" t="str">
        <f>"2008 International Conference on Electronic Design, ICED 2008"</f>
        <v>2008 International Conference on Electronic Design, ICED 2008</v>
      </c>
      <c r="B1522" s="8" t="str">
        <f>"9781424423156"</f>
        <v>9781424423156</v>
      </c>
      <c r="C1522" s="8" t="s">
        <v>9</v>
      </c>
    </row>
    <row r="1523" spans="1:3" x14ac:dyDescent="0.25">
      <c r="A1523" s="8" t="str">
        <f>"2008 International Conference on High Performance Switching and Routing, HPSR 2008"</f>
        <v>2008 International Conference on High Performance Switching and Routing, HPSR 2008</v>
      </c>
      <c r="B1523" s="8" t="str">
        <f>"9781424419821"</f>
        <v>9781424419821</v>
      </c>
      <c r="C1523" s="8" t="s">
        <v>9</v>
      </c>
    </row>
    <row r="1524" spans="1:3" x14ac:dyDescent="0.25">
      <c r="A1524" s="8" t="str">
        <f>"2008 International Conference on High Voltage Engineering and Application, ICHVE 2008"</f>
        <v>2008 International Conference on High Voltage Engineering and Application, ICHVE 2008</v>
      </c>
      <c r="B1524" s="8" t="str">
        <f>"9781424428106"</f>
        <v>9781424428106</v>
      </c>
      <c r="C1524" s="8" t="s">
        <v>9</v>
      </c>
    </row>
    <row r="1525" spans="1:3" x14ac:dyDescent="0.25">
      <c r="A1525" s="8" t="str">
        <f>"2008 International Conference on Information Networking, ICOIN"</f>
        <v>2008 International Conference on Information Networking, ICOIN</v>
      </c>
      <c r="B1525" s="8" t="str">
        <f>"9788996076117"</f>
        <v>9788996076117</v>
      </c>
      <c r="C1525" s="8" t="s">
        <v>9</v>
      </c>
    </row>
    <row r="1526" spans="1:3" x14ac:dyDescent="0.25">
      <c r="A1526" s="8" t="str">
        <f>"2008 International Conference on Innovations in Information Technology, IIT 2008"</f>
        <v>2008 International Conference on Innovations in Information Technology, IIT 2008</v>
      </c>
      <c r="B1526" s="8" t="str">
        <f>"9781424433971"</f>
        <v>9781424433971</v>
      </c>
      <c r="C1526" s="8" t="s">
        <v>9</v>
      </c>
    </row>
    <row r="1527" spans="1:3" x14ac:dyDescent="0.25">
      <c r="A1527" s="8" t="str">
        <f>"2008 International Conference on Laser and Fiber-Optical Networks Modeling, LFNM 2008"</f>
        <v>2008 International Conference on Laser and Fiber-Optical Networks Modeling, LFNM 2008</v>
      </c>
      <c r="B1527" s="8" t="str">
        <f>"9781424425273"</f>
        <v>9781424425273</v>
      </c>
      <c r="C1527" s="8" t="s">
        <v>9</v>
      </c>
    </row>
    <row r="1528" spans="1:3" x14ac:dyDescent="0.25">
      <c r="A1528" s="8" t="str">
        <f>"2008 International Conference on Management Science and Engineering 15th Annual Conference Proceedings, ICMSE"</f>
        <v>2008 International Conference on Management Science and Engineering 15th Annual Conference Proceedings, ICMSE</v>
      </c>
      <c r="B1528" s="8" t="str">
        <f>"9781424423873"</f>
        <v>9781424423873</v>
      </c>
      <c r="C1528" s="8" t="s">
        <v>9</v>
      </c>
    </row>
    <row r="1529" spans="1:3" x14ac:dyDescent="0.25">
      <c r="A1529" s="8" t="str">
        <f>"2008 International Conference on Microwave and Millimeter Wave Technology Proceedings, ICMMT"</f>
        <v>2008 International Conference on Microwave and Millimeter Wave Technology Proceedings, ICMMT</v>
      </c>
      <c r="B1529" s="8" t="str">
        <f>"9781424418794"</f>
        <v>9781424418794</v>
      </c>
      <c r="C1529" s="8" t="s">
        <v>9</v>
      </c>
    </row>
    <row r="1530" spans="1:3" x14ac:dyDescent="0.25">
      <c r="A1530" s="8" t="str">
        <f>"2008 International Conference on Natural Language Processing and Knowledge Engineering, NLP-KE 2008"</f>
        <v>2008 International Conference on Natural Language Processing and Knowledge Engineering, NLP-KE 2008</v>
      </c>
      <c r="B1530" s="8" t="str">
        <f>"9781424427802"</f>
        <v>9781424427802</v>
      </c>
      <c r="C1530" s="8" t="s">
        <v>9</v>
      </c>
    </row>
    <row r="1531" spans="1:3" x14ac:dyDescent="0.25">
      <c r="A1531" s="8" t="str">
        <f>"2008 International Conference on Numerical Simulation of Optoelectronic Devices, NUSOD'08"</f>
        <v>2008 International Conference on Numerical Simulation of Optoelectronic Devices, NUSOD'08</v>
      </c>
      <c r="B1531" s="8" t="str">
        <f>"9781424423071"</f>
        <v>9781424423071</v>
      </c>
      <c r="C1531" s="8" t="s">
        <v>9</v>
      </c>
    </row>
    <row r="1532" spans="1:3" x14ac:dyDescent="0.25">
      <c r="A1532" s="8" t="str">
        <f>"2008 International Conference on Photonics in Switching, PS 2008"</f>
        <v>2008 International Conference on Photonics in Switching, PS 2008</v>
      </c>
      <c r="B1532" s="8" t="str">
        <f>"9781424443260"</f>
        <v>9781424443260</v>
      </c>
      <c r="C1532" s="8" t="s">
        <v>9</v>
      </c>
    </row>
    <row r="1533" spans="1:3" x14ac:dyDescent="0.25">
      <c r="A1533" s="8" t="str">
        <f>"2008 International Conference on Prognostics and Health Management, PHM 2008"</f>
        <v>2008 International Conference on Prognostics and Health Management, PHM 2008</v>
      </c>
      <c r="B1533" s="8" t="str">
        <f>"9781424419357"</f>
        <v>9781424419357</v>
      </c>
      <c r="C1533" s="8" t="s">
        <v>9</v>
      </c>
    </row>
    <row r="1534" spans="1:3" x14ac:dyDescent="0.25">
      <c r="A1534" s="8" t="str">
        <f>"2008 International Conference on Telecommunications, ICT"</f>
        <v>2008 International Conference on Telecommunications, ICT</v>
      </c>
      <c r="B1534" s="8" t="str">
        <f>"9781424420360"</f>
        <v>9781424420360</v>
      </c>
      <c r="C1534" s="8" t="s">
        <v>9</v>
      </c>
    </row>
    <row r="1535" spans="1:3" x14ac:dyDescent="0.25">
      <c r="A1535" s="8" t="str">
        <f>"2008 International Conference on Wireless Communications, Networking and Mobile Computing, WiCOM 2008"</f>
        <v>2008 International Conference on Wireless Communications, Networking and Mobile Computing, WiCOM 2008</v>
      </c>
      <c r="B1535" s="8" t="str">
        <f>"9781424421084"</f>
        <v>9781424421084</v>
      </c>
      <c r="C1535" s="8" t="s">
        <v>9</v>
      </c>
    </row>
    <row r="1536" spans="1:3" x14ac:dyDescent="0.25">
      <c r="A1536" s="8" t="str">
        <f>"2008 International ITG Workshop on Smart Antennas, WSA 2008"</f>
        <v>2008 International ITG Workshop on Smart Antennas, WSA 2008</v>
      </c>
      <c r="B1536" s="8" t="str">
        <f>"9781424417575"</f>
        <v>9781424417575</v>
      </c>
      <c r="C1536" s="8" t="s">
        <v>9</v>
      </c>
    </row>
    <row r="1537" spans="1:3" x14ac:dyDescent="0.25">
      <c r="A1537" s="8" t="str">
        <f>"2008 International Seminar on Business and Information Management, ISBIM 2008"</f>
        <v>2008 International Seminar on Business and Information Management, ISBIM 2008</v>
      </c>
      <c r="B1537" s="8" t="str">
        <f>"9780769535609"</f>
        <v>9780769535609</v>
      </c>
      <c r="C1537" s="8" t="s">
        <v>9</v>
      </c>
    </row>
    <row r="1538" spans="1:3" x14ac:dyDescent="0.25">
      <c r="A1538" s="8" t="str">
        <f>"2008 International SoC Design Conference, ISOCC 2008"</f>
        <v>2008 International SoC Design Conference, ISOCC 2008</v>
      </c>
      <c r="B1538" s="8" t="str">
        <f>"9781424425990"</f>
        <v>9781424425990</v>
      </c>
      <c r="C1538" s="8" t="s">
        <v>9</v>
      </c>
    </row>
    <row r="1539" spans="1:3" x14ac:dyDescent="0.25">
      <c r="A1539" s="8" t="str">
        <f>"2008 International Students and Young Scientists Workshop - Photonics and Microsystems, STYSW 2008"</f>
        <v>2008 International Students and Young Scientists Workshop - Photonics and Microsystems, STYSW 2008</v>
      </c>
      <c r="B1539" s="8" t="str">
        <f>"9781424425549"</f>
        <v>9781424425549</v>
      </c>
      <c r="C1539" s="8" t="s">
        <v>9</v>
      </c>
    </row>
    <row r="1540" spans="1:3" x14ac:dyDescent="0.25">
      <c r="A1540" s="8" t="str">
        <f>"2008 International Symposium on Collaborative Technologies and Systems, CTS'08"</f>
        <v>2008 International Symposium on Collaborative Technologies and Systems, CTS'08</v>
      </c>
      <c r="B1540" s="8" t="str">
        <f>"9781424422494"</f>
        <v>9781424422494</v>
      </c>
      <c r="C1540" s="8" t="s">
        <v>9</v>
      </c>
    </row>
    <row r="1541" spans="1:3" x14ac:dyDescent="0.25">
      <c r="A1541" s="8" t="str">
        <f>"2008 International Symposium on Communications and Information Technologies, ISCIT 2008"</f>
        <v>2008 International Symposium on Communications and Information Technologies, ISCIT 2008</v>
      </c>
      <c r="B1541" s="8" t="str">
        <f>"9781424423361"</f>
        <v>9781424423361</v>
      </c>
      <c r="C1541" s="8" t="s">
        <v>9</v>
      </c>
    </row>
    <row r="1542" spans="1:3" x14ac:dyDescent="0.25">
      <c r="A1542" s="8" t="str">
        <f>"2008 International Symposium on High Capacity Optical Networks and Enabling Technologies, HONET 2008"</f>
        <v>2008 International Symposium on High Capacity Optical Networks and Enabling Technologies, HONET 2008</v>
      </c>
      <c r="B1542" s="8" t="str">
        <f>"9781424429615"</f>
        <v>9781424429615</v>
      </c>
      <c r="C1542" s="8" t="s">
        <v>9</v>
      </c>
    </row>
    <row r="1543" spans="1:3" x14ac:dyDescent="0.25">
      <c r="A1543" s="8" t="str">
        <f>"2008 International Symposium on Information Science and Engineering, ISISE 2008"</f>
        <v>2008 International Symposium on Information Science and Engineering, ISISE 2008</v>
      </c>
      <c r="B1543" s="8" t="str">
        <f>"9780769534947"</f>
        <v>9780769534947</v>
      </c>
      <c r="C1543" s="8" t="s">
        <v>9</v>
      </c>
    </row>
    <row r="1544" spans="1:3" x14ac:dyDescent="0.25">
      <c r="A1544" s="8" t="str">
        <f>"2008 International Symposium on Information Theory and its Applications, ISITA2008"</f>
        <v>2008 International Symposium on Information Theory and its Applications, ISITA2008</v>
      </c>
      <c r="B1544" s="8" t="str">
        <f>"9781424420698"</f>
        <v>9781424420698</v>
      </c>
      <c r="C1544" s="8" t="s">
        <v>9</v>
      </c>
    </row>
    <row r="1545" spans="1:3" x14ac:dyDescent="0.25">
      <c r="A1545" s="8" t="str">
        <f>"2008 International Symposium on Intelligent Signal Processing and Communication Systems, ISPACS 2008"</f>
        <v>2008 International Symposium on Intelligent Signal Processing and Communication Systems, ISPACS 2008</v>
      </c>
      <c r="B1545" s="8" t="str">
        <f>"9781424425655"</f>
        <v>9781424425655</v>
      </c>
      <c r="C1545" s="8" t="s">
        <v>9</v>
      </c>
    </row>
    <row r="1546" spans="1:3" x14ac:dyDescent="0.25">
      <c r="A1546" s="8" t="str">
        <f>"2008 International Symposium on Micro-NanoMechatronics and Human Science, MHS 2008"</f>
        <v>2008 International Symposium on Micro-NanoMechatronics and Human Science, MHS 2008</v>
      </c>
      <c r="B1546" s="8" t="str">
        <f>"9781424429196"</f>
        <v>9781424429196</v>
      </c>
      <c r="C1546" s="8" t="s">
        <v>9</v>
      </c>
    </row>
    <row r="1547" spans="1:3" x14ac:dyDescent="0.25">
      <c r="A1547" s="8" t="str">
        <f>"2008 International Symposium on Software Testing and Analysis - Proceedings of the 6th Workshop on Parallel and Distributed Systems: Testing, Analysis, and Debugging 2008, PADTAD'08"</f>
        <v>2008 International Symposium on Software Testing and Analysis - Proceedings of the 6th Workshop on Parallel and Distributed Systems: Testing, Analysis, and Debugging 2008, PADTAD'08</v>
      </c>
      <c r="B1547" s="8" t="str">
        <f>"9781605580524"</f>
        <v>9781605580524</v>
      </c>
      <c r="C1547" s="8" t="s">
        <v>21</v>
      </c>
    </row>
    <row r="1548" spans="1:3" x14ac:dyDescent="0.25">
      <c r="A1548" s="8" t="str">
        <f>"2008 International Symposium on System-on-Chip Proceedings, SOC 2008"</f>
        <v>2008 International Symposium on System-on-Chip Proceedings, SOC 2008</v>
      </c>
      <c r="B1548" s="8" t="str">
        <f>"9781424425419"</f>
        <v>9781424425419</v>
      </c>
      <c r="C1548" s="8" t="s">
        <v>9</v>
      </c>
    </row>
    <row r="1549" spans="1:3" x14ac:dyDescent="0.25">
      <c r="A1549" s="8" t="str">
        <f>"2008 International Symposium on Telecommunications, IST 2008"</f>
        <v>2008 International Symposium on Telecommunications, IST 2008</v>
      </c>
      <c r="B1549" s="8" t="str">
        <f>"9781424427512"</f>
        <v>9781424427512</v>
      </c>
      <c r="C1549" s="8" t="s">
        <v>9</v>
      </c>
    </row>
    <row r="1550" spans="1:3" x14ac:dyDescent="0.25">
      <c r="A1550" s="8" t="str">
        <f>"2008 International Symposium on VLSI Design, Automation, and Test, VLSI-DAT"</f>
        <v>2008 International Symposium on VLSI Design, Automation, and Test, VLSI-DAT</v>
      </c>
      <c r="B1550" s="8" t="str">
        <f>"9781424416172"</f>
        <v>9781424416172</v>
      </c>
      <c r="C1550" s="8" t="s">
        <v>9</v>
      </c>
    </row>
    <row r="1551" spans="1:3" x14ac:dyDescent="0.25">
      <c r="A1551" s="8" t="str">
        <f>"2008 International Workshop - Thz Radiation: Basic Research and Applications, TERA 2008"</f>
        <v>2008 International Workshop - Thz Radiation: Basic Research and Applications, TERA 2008</v>
      </c>
      <c r="B1551" s="8" t="str">
        <f>"9781424426874"</f>
        <v>9781424426874</v>
      </c>
      <c r="C1551" s="8" t="s">
        <v>9</v>
      </c>
    </row>
    <row r="1552" spans="1:3" x14ac:dyDescent="0.25">
      <c r="A1552" s="8" t="str">
        <f>"2008 International Workshop on Content-Based Multimedia Indexing, CBMI 2008, Conference Proceedings"</f>
        <v>2008 International Workshop on Content-Based Multimedia Indexing, CBMI 2008, Conference Proceedings</v>
      </c>
      <c r="B1552" s="8" t="str">
        <f>"9781424420445"</f>
        <v>9781424420445</v>
      </c>
      <c r="C1552" s="8" t="s">
        <v>9</v>
      </c>
    </row>
    <row r="1553" spans="1:3" x14ac:dyDescent="0.25">
      <c r="A1553" s="8" t="str">
        <f>"2008 International Workshop on Earth Observation and Remote Sensing Applications, EORSA"</f>
        <v>2008 International Workshop on Earth Observation and Remote Sensing Applications, EORSA</v>
      </c>
      <c r="B1553" s="8" t="str">
        <f>"-"</f>
        <v>-</v>
      </c>
      <c r="C1553" s="8" t="s">
        <v>9</v>
      </c>
    </row>
    <row r="1554" spans="1:3" x14ac:dyDescent="0.25">
      <c r="A1554" s="8" t="str">
        <f>"2008 International Workshop on Education Technology and Training and 2008 International Workshop on Geoscience and Remote Sensing, ETT and GRS 2008"</f>
        <v>2008 International Workshop on Education Technology and Training and 2008 International Workshop on Geoscience and Remote Sensing, ETT and GRS 2008</v>
      </c>
      <c r="B1554" s="8" t="str">
        <f>"9780769535630"</f>
        <v>9780769535630</v>
      </c>
      <c r="C1554" s="8" t="s">
        <v>9</v>
      </c>
    </row>
    <row r="1555" spans="1:3" x14ac:dyDescent="0.25">
      <c r="A1555" s="8" t="str">
        <f>"2008 International Workshop on Satellite and Space Communications, IWSSC'08, Conference Proceedings"</f>
        <v>2008 International Workshop on Satellite and Space Communications, IWSSC'08, Conference Proceedings</v>
      </c>
      <c r="B1555" s="8" t="str">
        <f>"9781424419470"</f>
        <v>9781424419470</v>
      </c>
      <c r="C1555" s="8" t="s">
        <v>9</v>
      </c>
    </row>
    <row r="1556" spans="1:3" x14ac:dyDescent="0.25">
      <c r="A1556" s="8" t="str">
        <f>"2008 International Workshop on Service-Oriented Computing: Consequences for Engineering Requirements, SOCCER'08"</f>
        <v>2008 International Workshop on Service-Oriented Computing: Consequences for Engineering Requirements, SOCCER'08</v>
      </c>
      <c r="B1556" s="8" t="str">
        <f>"9780769536316"</f>
        <v>9780769536316</v>
      </c>
      <c r="C1556" s="8" t="s">
        <v>9</v>
      </c>
    </row>
    <row r="1557" spans="1:3" x14ac:dyDescent="0.25">
      <c r="A1557" s="8" t="str">
        <f>"2008 ITI 6th International Conference on Information and Communications Technology, ICICT 2008"</f>
        <v>2008 ITI 6th International Conference on Information and Communications Technology, ICICT 2008</v>
      </c>
      <c r="B1557" s="8" t="str">
        <f>"9781424429295"</f>
        <v>9781424429295</v>
      </c>
      <c r="C1557" s="8" t="s">
        <v>9</v>
      </c>
    </row>
    <row r="1558" spans="1:3" x14ac:dyDescent="0.25">
      <c r="A1558" s="8" t="str">
        <f>"2008 Joint Conference of the Opto-Electronics and Communications Conference and the Australian Conference On Optical Fibre Technology, OECC/ACOFT 2008"</f>
        <v>2008 Joint Conference of the Opto-Electronics and Communications Conference and the Australian Conference On Optical Fibre Technology, OECC/ACOFT 2008</v>
      </c>
      <c r="B1558" s="8" t="str">
        <f>"9780858258075"</f>
        <v>9780858258075</v>
      </c>
      <c r="C1558" s="8" t="s">
        <v>9</v>
      </c>
    </row>
    <row r="1559" spans="1:3" x14ac:dyDescent="0.25">
      <c r="A1559" s="8" t="str">
        <f>"2008 Joint IEEE North-East Workshop on Circuits and Systems and TAISA Conference, NEWCAS-TAISA"</f>
        <v>2008 Joint IEEE North-East Workshop on Circuits and Systems and TAISA Conference, NEWCAS-TAISA</v>
      </c>
      <c r="B1559" s="8" t="str">
        <f>"9781424423323"</f>
        <v>9781424423323</v>
      </c>
      <c r="C1559" s="8" t="s">
        <v>9</v>
      </c>
    </row>
    <row r="1560" spans="1:3" x14ac:dyDescent="0.25">
      <c r="A1560" s="8" t="str">
        <f>"2008 Joint International Conference on Power System Technology POWERCON and IEEE Power India Conference, POWERCON 2008"</f>
        <v>2008 Joint International Conference on Power System Technology POWERCON and IEEE Power India Conference, POWERCON 2008</v>
      </c>
      <c r="B1560" s="8" t="str">
        <f>"9781424417629"</f>
        <v>9781424417629</v>
      </c>
      <c r="C1560" s="8" t="s">
        <v>9</v>
      </c>
    </row>
    <row r="1561" spans="1:3" x14ac:dyDescent="0.25">
      <c r="A1561" s="8" t="str">
        <f>"2008 Joint Non-Volatile Semiconductor Memory Workshop and International Conference on Memory Technology and Design, Proceedings, NVSMW/ICMTD"</f>
        <v>2008 Joint Non-Volatile Semiconductor Memory Workshop and International Conference on Memory Technology and Design, Proceedings, NVSMW/ICMTD</v>
      </c>
      <c r="B1561" s="8" t="str">
        <f>"9781424415465"</f>
        <v>9781424415465</v>
      </c>
      <c r="C1561" s="8" t="s">
        <v>9</v>
      </c>
    </row>
    <row r="1562" spans="1:3" x14ac:dyDescent="0.25">
      <c r="A1562" s="8" t="str">
        <f>"2008 Loughborough Antennas and Propagation Conference, LAPC"</f>
        <v>2008 Loughborough Antennas and Propagation Conference, LAPC</v>
      </c>
      <c r="B1562" s="8" t="str">
        <f>"9781424418930"</f>
        <v>9781424418930</v>
      </c>
      <c r="C1562" s="8" t="s">
        <v>9</v>
      </c>
    </row>
    <row r="1563" spans="1:3" x14ac:dyDescent="0.25">
      <c r="A1563" s="8" t="str">
        <f>"2008 Mediterranean Conference on Control and Automation - Conference Proceedings, MED'08"</f>
        <v>2008 Mediterranean Conference on Control and Automation - Conference Proceedings, MED'08</v>
      </c>
      <c r="B1563" s="8" t="str">
        <f>"9781424425051"</f>
        <v>9781424425051</v>
      </c>
      <c r="C1563" s="8" t="s">
        <v>9</v>
      </c>
    </row>
    <row r="1564" spans="1:3" x14ac:dyDescent="0.25">
      <c r="A1564" s="8" t="str">
        <f>"2008 Microwave Radiometry and Remote Sensing of the Environment - 10th Specialist Meeting, Proceedings, MICRORAD"</f>
        <v>2008 Microwave Radiometry and Remote Sensing of the Environment - 10th Specialist Meeting, Proceedings, MICRORAD</v>
      </c>
      <c r="B1564" s="8" t="str">
        <f>"9781424419876"</f>
        <v>9781424419876</v>
      </c>
      <c r="C1564" s="8" t="s">
        <v>9</v>
      </c>
    </row>
    <row r="1565" spans="1:3" x14ac:dyDescent="0.25">
      <c r="A1565" s="8" t="str">
        <f>"2008 Mosharaka International Conference on Communications, Propagation and Electronics, MIC-CPE"</f>
        <v>2008 Mosharaka International Conference on Communications, Propagation and Electronics, MIC-CPE</v>
      </c>
      <c r="B1565" s="8" t="str">
        <f>"9789957486020"</f>
        <v>9789957486020</v>
      </c>
      <c r="C1565" s="8" t="s">
        <v>9</v>
      </c>
    </row>
    <row r="1566" spans="1:3" x14ac:dyDescent="0.25">
      <c r="A1566" s="8" t="str">
        <f>"2008 Nordic Wood Biorefinery Conference, NWBC 2008 - Proceedings"</f>
        <v>2008 Nordic Wood Biorefinery Conference, NWBC 2008 - Proceedings</v>
      </c>
      <c r="B1566" s="8" t="str">
        <f>"9789186018139"</f>
        <v>9789186018139</v>
      </c>
      <c r="C1566" s="8" t="s">
        <v>1349</v>
      </c>
    </row>
    <row r="1567" spans="1:3" x14ac:dyDescent="0.25">
      <c r="A1567" s="8" t="str">
        <f>"2008 Proceedings - 13th International Chemical-Mechanical Planarization for ULSI Multilevel Interconnection Conference, CMP-MIC 2008"</f>
        <v>2008 Proceedings - 13th International Chemical-Mechanical Planarization for ULSI Multilevel Interconnection Conference, CMP-MIC 2008</v>
      </c>
      <c r="B1567" s="8" t="str">
        <f>"-"</f>
        <v>-</v>
      </c>
      <c r="C1567" s="8" t="s">
        <v>1338</v>
      </c>
    </row>
    <row r="1568" spans="1:3" x14ac:dyDescent="0.25">
      <c r="A1568" s="8" t="str">
        <f>"2008 Proceedings - 25th International VLSI Multilevel Interconnection Conference, VMIC 2008"</f>
        <v>2008 Proceedings - 25th International VLSI Multilevel Interconnection Conference, VMIC 2008</v>
      </c>
      <c r="B1568" s="8" t="str">
        <f>"-"</f>
        <v>-</v>
      </c>
      <c r="C1568" s="8" t="s">
        <v>1338</v>
      </c>
    </row>
    <row r="1569" spans="1:3" x14ac:dyDescent="0.25">
      <c r="A1569" s="8" t="str">
        <f>"2008 Proceedings International Radar Symposium, IRS"</f>
        <v>2008 Proceedings International Radar Symposium, IRS</v>
      </c>
      <c r="B1569" s="8" t="str">
        <f>"9788372076212"</f>
        <v>9788372076212</v>
      </c>
      <c r="C1569" s="8" t="s">
        <v>9</v>
      </c>
    </row>
    <row r="1570" spans="1:3" x14ac:dyDescent="0.25">
      <c r="A1570" s="8" t="str">
        <f>"2008 Proceedings of 3rd Energy Nanotechnology International Conference, ENIC 2008"</f>
        <v>2008 Proceedings of 3rd Energy Nanotechnology International Conference, ENIC 2008</v>
      </c>
      <c r="B1570" s="8" t="str">
        <f>"9780791843239"</f>
        <v>9780791843239</v>
      </c>
      <c r="C1570" s="8" t="s">
        <v>1350</v>
      </c>
    </row>
    <row r="1571" spans="1:3" x14ac:dyDescent="0.25">
      <c r="A1571" s="8" t="str">
        <f>"2008 Proceedings of Microwaves, Radar and Remote Sensing Symposium, MRRS 2008"</f>
        <v>2008 Proceedings of Microwaves, Radar and Remote Sensing Symposium, MRRS 2008</v>
      </c>
      <c r="B1571" s="8" t="str">
        <f>"9781424426881"</f>
        <v>9781424426881</v>
      </c>
      <c r="C1571" s="8" t="s">
        <v>9</v>
      </c>
    </row>
    <row r="1572" spans="1:3" x14ac:dyDescent="0.25">
      <c r="A1572" s="8" t="str">
        <f>"2008 Proceedings of the 16th Annual North American Waste to Energy Conference, NAWTEC16"</f>
        <v>2008 Proceedings of the 16th Annual North American Waste to Energy Conference, NAWTEC16</v>
      </c>
      <c r="B1572" s="8" t="str">
        <f>"9780791842935"</f>
        <v>9780791842935</v>
      </c>
      <c r="C1572" s="8" t="s">
        <v>1350</v>
      </c>
    </row>
    <row r="1573" spans="1:3" x14ac:dyDescent="0.25">
      <c r="A1573" s="8" t="str">
        <f>"2008 Proceedings of the 2nd International Conference on Energy Sustainability, ES 2008"</f>
        <v>2008 Proceedings of the 2nd International Conference on Energy Sustainability, ES 2008</v>
      </c>
      <c r="B1573" s="8" t="str">
        <f>"9780791843192"</f>
        <v>9780791843192</v>
      </c>
      <c r="C1573" s="8" t="s">
        <v>1350</v>
      </c>
    </row>
    <row r="1574" spans="1:3" x14ac:dyDescent="0.25">
      <c r="A1574" s="8" t="str">
        <f>"2008 Proceedings of the 3rd Frontiers in Biomedical Devices Conference and Exhibition"</f>
        <v>2008 Proceedings of the 3rd Frontiers in Biomedical Devices Conference and Exhibition</v>
      </c>
      <c r="B1574" s="8" t="str">
        <f>"9780791848333"</f>
        <v>9780791848333</v>
      </c>
      <c r="C1574" s="8" t="s">
        <v>1350</v>
      </c>
    </row>
    <row r="1575" spans="1:3" x14ac:dyDescent="0.25">
      <c r="A1575" s="8" t="str">
        <f>"2008 Proceedings of the 4th International Topical Meeting on High Temperature Reactor Technology, HTR 2008"</f>
        <v>2008 Proceedings of the 4th International Topical Meeting on High Temperature Reactor Technology, HTR 2008</v>
      </c>
      <c r="B1575" s="8" t="str">
        <f>"9780791848548"</f>
        <v>9780791848548</v>
      </c>
      <c r="C1575" s="8" t="s">
        <v>1350</v>
      </c>
    </row>
    <row r="1576" spans="1:3" x14ac:dyDescent="0.25">
      <c r="A1576" s="8" t="str">
        <f>"2008 Proceedings of the 9th Biennial Conference on Engineering Systems Design and Analysis, ESDA 2008"</f>
        <v>2008 Proceedings of the 9th Biennial Conference on Engineering Systems Design and Analysis, ESDA 2008</v>
      </c>
      <c r="B1576" s="8" t="str">
        <f>"-"</f>
        <v>-</v>
      </c>
      <c r="C1576" s="8" t="s">
        <v>1350</v>
      </c>
    </row>
    <row r="1577" spans="1:3" x14ac:dyDescent="0.25">
      <c r="A1577" s="8" t="str">
        <f>"2008 Proceedings of the ASME - 2nd International Conference on Integration and Commercialization of Micro and Nanosystems, MicroNano 2008"</f>
        <v>2008 Proceedings of the ASME - 2nd International Conference on Integration and Commercialization of Micro and Nanosystems, MicroNano 2008</v>
      </c>
      <c r="B1577" s="8" t="str">
        <f>"9780791842942"</f>
        <v>9780791842942</v>
      </c>
      <c r="C1577" s="8" t="s">
        <v>73</v>
      </c>
    </row>
    <row r="1578" spans="1:3" x14ac:dyDescent="0.25">
      <c r="A1578" s="8" t="str">
        <f>"2008 Proceedings of the ASME Dynamic Systems and Control Conference, DSCC 2008"</f>
        <v>2008 Proceedings of the ASME Dynamic Systems and Control Conference, DSCC 2008</v>
      </c>
      <c r="B1578" s="8" t="str">
        <f>"9780791843352"</f>
        <v>9780791843352</v>
      </c>
      <c r="C1578" s="8" t="s">
        <v>1350</v>
      </c>
    </row>
    <row r="1579" spans="1:3" x14ac:dyDescent="0.25">
      <c r="A1579" s="8" t="str">
        <f>"2008 Proceedings of the ASME Fluids Engineering Division Summer Conference, FEDSM 2008"</f>
        <v>2008 Proceedings of the ASME Fluids Engineering Division Summer Conference, FEDSM 2008</v>
      </c>
      <c r="B1579" s="8" t="str">
        <f>"9780791848418"</f>
        <v>9780791848418</v>
      </c>
      <c r="C1579" s="8" t="s">
        <v>73</v>
      </c>
    </row>
    <row r="1580" spans="1:3" x14ac:dyDescent="0.25">
      <c r="A1580" s="8" t="str">
        <f>"2008 Proceedings of the ASME International Design Engineering Technical Conferences and Computers and Information in Engineering Conference, DETC 2008"</f>
        <v>2008 Proceedings of the ASME International Design Engineering Technical Conferences and Computers and Information in Engineering Conference, DETC 2008</v>
      </c>
      <c r="B1580" s="8" t="str">
        <f>"9780791843253"</f>
        <v>9780791843253</v>
      </c>
      <c r="C1580" s="8" t="s">
        <v>1350</v>
      </c>
    </row>
    <row r="1581" spans="1:3" x14ac:dyDescent="0.25">
      <c r="A1581" s="8" t="str">
        <f>"2008 Proceedings of the ASME Micro/Nanoscale Heat Transfer International Conference, MNHT 2008"</f>
        <v>2008 Proceedings of the ASME Micro/Nanoscale Heat Transfer International Conference, MNHT 2008</v>
      </c>
      <c r="B1581" s="8" t="str">
        <f>"9780791842928"</f>
        <v>9780791842928</v>
      </c>
      <c r="C1581" s="8" t="s">
        <v>73</v>
      </c>
    </row>
    <row r="1582" spans="1:3" x14ac:dyDescent="0.25">
      <c r="A1582" s="8" t="str">
        <f>"2008 Proceedings of the ASME Summer Heat Transfer Conference, HT 2008"</f>
        <v>2008 Proceedings of the ASME Summer Heat Transfer Conference, HT 2008</v>
      </c>
      <c r="B1582" s="8" t="str">
        <f>"-"</f>
        <v>-</v>
      </c>
      <c r="C1582" s="8" t="s">
        <v>1350</v>
      </c>
    </row>
    <row r="1583" spans="1:3" x14ac:dyDescent="0.25">
      <c r="A1583" s="8" t="str">
        <f>"2008 Proceedings of the Department of Defense High Performance Computing Modernization Program: Users Group Conference - Solving the Hard Problems"</f>
        <v>2008 Proceedings of the Department of Defense High Performance Computing Modernization Program: Users Group Conference - Solving the Hard Problems</v>
      </c>
      <c r="B1583" s="8" t="str">
        <f>"9780769535159"</f>
        <v>9780769535159</v>
      </c>
      <c r="C1583" s="8" t="s">
        <v>9</v>
      </c>
    </row>
    <row r="1584" spans="1:3" x14ac:dyDescent="0.25">
      <c r="A1584" s="8" t="str">
        <f>"2008 Proceedings of the EPE Wind Energy Chapter-1st Seminar, EPE-WECS"</f>
        <v>2008 Proceedings of the EPE Wind Energy Chapter-1st Seminar, EPE-WECS</v>
      </c>
      <c r="B1584" s="8" t="str">
        <f>"9789075815122"</f>
        <v>9789075815122</v>
      </c>
      <c r="C1584" s="8" t="s">
        <v>9</v>
      </c>
    </row>
    <row r="1585" spans="1:3" x14ac:dyDescent="0.25">
      <c r="A1585" s="8" t="str">
        <f>"2008 Proceedings of the International Conference Days on Diffraction, DD 2008"</f>
        <v>2008 Proceedings of the International Conference Days on Diffraction, DD 2008</v>
      </c>
      <c r="B1585" s="8" t="str">
        <f>"9785965102778"</f>
        <v>9785965102778</v>
      </c>
      <c r="C1585" s="8" t="s">
        <v>9</v>
      </c>
    </row>
    <row r="1586" spans="1:3" x14ac:dyDescent="0.25">
      <c r="A1586" s="8" t="str">
        <f>"2008 Proceedings of the Mosharaka International Conference on Communications, Signals and Coding, MIC-CSC 2008"</f>
        <v>2008 Proceedings of the Mosharaka International Conference on Communications, Signals and Coding, MIC-CSC 2008</v>
      </c>
      <c r="B1586" s="8" t="str">
        <f>"9789957486051"</f>
        <v>9789957486051</v>
      </c>
      <c r="C1586" s="8" t="s">
        <v>9</v>
      </c>
    </row>
    <row r="1587" spans="1:3" x14ac:dyDescent="0.25">
      <c r="A1587" s="8" t="str">
        <f>"2008 Proceedings of the NoiseCon/ASME NCAD, NCAD 2008"</f>
        <v>2008 Proceedings of the NoiseCon/ASME NCAD, NCAD 2008</v>
      </c>
      <c r="B1587" s="8" t="str">
        <f>"9780791848395"</f>
        <v>9780791848395</v>
      </c>
      <c r="C1587" s="8" t="s">
        <v>1350</v>
      </c>
    </row>
    <row r="1588" spans="1:3" x14ac:dyDescent="0.25">
      <c r="A1588" s="8" t="str">
        <f>"2008 Proceedings of the STLE/ASME International Joint Tribology Conference, IJTC 2008"</f>
        <v>2008 Proceedings of the STLE/ASME International Joint Tribology Conference, IJTC 2008</v>
      </c>
      <c r="B1588" s="8" t="str">
        <f>"9780791843369"</f>
        <v>9780791843369</v>
      </c>
      <c r="C1588" s="8" t="s">
        <v>1350</v>
      </c>
    </row>
    <row r="1589" spans="1:3" x14ac:dyDescent="0.25">
      <c r="A1589" s="8" t="str">
        <f>"2008 Requirements Engineering and Law, RELAW'08"</f>
        <v>2008 Requirements Engineering and Law, RELAW'08</v>
      </c>
      <c r="B1589" s="8" t="str">
        <f>"9780769536309"</f>
        <v>9780769536309</v>
      </c>
      <c r="C1589" s="8" t="s">
        <v>9</v>
      </c>
    </row>
    <row r="1590" spans="1:3" x14ac:dyDescent="0.25">
      <c r="A1590" s="8" t="str">
        <f>"2008 Requirements Engineering Education and Training, REET'08"</f>
        <v>2008 Requirements Engineering Education and Training, REET'08</v>
      </c>
      <c r="B1590" s="8" t="str">
        <f>"9780769536286"</f>
        <v>9780769536286</v>
      </c>
      <c r="C1590" s="8" t="s">
        <v>9</v>
      </c>
    </row>
    <row r="1591" spans="1:3" x14ac:dyDescent="0.25">
      <c r="A1591" s="8" t="str">
        <f>"2008 ROCS Workshop - Reliability of Compound Semiconductors, Proceedings"</f>
        <v>2008 ROCS Workshop - Reliability of Compound Semiconductors, Proceedings</v>
      </c>
      <c r="B1591" s="8" t="str">
        <f>"9780790801209"</f>
        <v>9780790801209</v>
      </c>
      <c r="C1591" s="8" t="s">
        <v>9</v>
      </c>
    </row>
    <row r="1592" spans="1:3" x14ac:dyDescent="0.25">
      <c r="A1592" s="8" t="str">
        <f>"2008 SAE International Powertrains, Fuels and Lubricants Congress"</f>
        <v>2008 SAE International Powertrains, Fuels and Lubricants Congress</v>
      </c>
      <c r="B1592" s="8" t="str">
        <f>"-"</f>
        <v>-</v>
      </c>
      <c r="C1592" s="8" t="s">
        <v>1040</v>
      </c>
    </row>
    <row r="1593" spans="1:3" x14ac:dyDescent="0.25">
      <c r="A1593" s="8" t="str">
        <f>"2008 SC - International Conference for High Performance Computing, Networking, Storage and Analysis, SC 2008"</f>
        <v>2008 SC - International Conference for High Performance Computing, Networking, Storage and Analysis, SC 2008</v>
      </c>
      <c r="B1593" s="8" t="str">
        <f>"9781424428359"</f>
        <v>9781424428359</v>
      </c>
      <c r="C1593" s="8" t="s">
        <v>9</v>
      </c>
    </row>
    <row r="1594" spans="1:3" x14ac:dyDescent="0.25">
      <c r="A1594" s="8" t="str">
        <f>"2008 Symposium on Application Specific Processors, SASP 2008"</f>
        <v>2008 Symposium on Application Specific Processors, SASP 2008</v>
      </c>
      <c r="B1594" s="8" t="str">
        <f>"-"</f>
        <v>-</v>
      </c>
      <c r="C1594" s="8" t="s">
        <v>9</v>
      </c>
    </row>
    <row r="1595" spans="1:3" x14ac:dyDescent="0.25">
      <c r="A1595" s="8" t="str">
        <f>"2008 Symposium on Piezoelectricity, Acoustic Waves, and Device Applications, SPAWDA 2008"</f>
        <v>2008 Symposium on Piezoelectricity, Acoustic Waves, and Device Applications, SPAWDA 2008</v>
      </c>
      <c r="B1595" s="8" t="str">
        <f>"9781424428915"</f>
        <v>9781424428915</v>
      </c>
      <c r="C1595" s="8" t="s">
        <v>9</v>
      </c>
    </row>
    <row r="1596" spans="1:3" x14ac:dyDescent="0.25">
      <c r="A1596" s="8" t="str">
        <f>"2008 TAPPI International Bioenergy and Bioproducts Conference"</f>
        <v>2008 TAPPI International Bioenergy and Bioproducts Conference</v>
      </c>
      <c r="B1596" s="8" t="str">
        <f>"9781595101761"</f>
        <v>9781595101761</v>
      </c>
      <c r="C1596" s="8" t="s">
        <v>1099</v>
      </c>
    </row>
    <row r="1597" spans="1:3" x14ac:dyDescent="0.25">
      <c r="A1597" s="8" t="str">
        <f>"2008 Tyrrhenian International Workshop on Digital Communications - Proceedings of Enhanced Surveillance of Aircraft and Vehicles, TIWDC/ESAV 2008"</f>
        <v>2008 Tyrrhenian International Workshop on Digital Communications - Proceedings of Enhanced Surveillance of Aircraft and Vehicles, TIWDC/ESAV 2008</v>
      </c>
      <c r="B1597" s="8" t="str">
        <f>"9788890348204"</f>
        <v>9788890348204</v>
      </c>
      <c r="C1597" s="8" t="s">
        <v>9</v>
      </c>
    </row>
    <row r="1598" spans="1:3" x14ac:dyDescent="0.25">
      <c r="A1598" s="8" t="str">
        <f>"2008 Virtual Rehabilitation, IWVR"</f>
        <v>2008 Virtual Rehabilitation, IWVR</v>
      </c>
      <c r="B1598" s="8" t="str">
        <f>"9781424427017"</f>
        <v>9781424427017</v>
      </c>
      <c r="C1598" s="8" t="s">
        <v>9</v>
      </c>
    </row>
    <row r="1599" spans="1:3" x14ac:dyDescent="0.25">
      <c r="A1599" s="8" t="str">
        <f>"2008 Workshop on High Performance Computational Finance, WHPCF 2008"</f>
        <v>2008 Workshop on High Performance Computational Finance, WHPCF 2008</v>
      </c>
      <c r="B1599" s="8" t="str">
        <f>"9781424433117"</f>
        <v>9781424433117</v>
      </c>
      <c r="C1599" s="8" t="s">
        <v>9</v>
      </c>
    </row>
    <row r="1600" spans="1:3" x14ac:dyDescent="0.25">
      <c r="A1600" s="8" t="str">
        <f>"2008 Workshop on Many-Task Computing on Grids and Supercomputers, MTAGS 2008"</f>
        <v>2008 Workshop on Many-Task Computing on Grids and Supercomputers, MTAGS 2008</v>
      </c>
      <c r="B1600" s="8" t="str">
        <f>"9781424428724"</f>
        <v>9781424428724</v>
      </c>
      <c r="C1600" s="8" t="s">
        <v>9</v>
      </c>
    </row>
    <row r="1601" spans="1:3" x14ac:dyDescent="0.25">
      <c r="A1601" s="8" t="str">
        <f>"2008 Workshop on Ultrascale Visualization, UltraVis 2008"</f>
        <v>2008 Workshop on Ultrascale Visualization, UltraVis 2008</v>
      </c>
      <c r="B1601" s="8" t="str">
        <f>"9781424428618"</f>
        <v>9781424428618</v>
      </c>
      <c r="C1601" s="8" t="s">
        <v>9</v>
      </c>
    </row>
    <row r="1602" spans="1:3" x14ac:dyDescent="0.25">
      <c r="A1602" s="8" t="str">
        <f>"2008 World Automation Congress, WAC 2008"</f>
        <v>2008 World Automation Congress, WAC 2008</v>
      </c>
      <c r="B1602" s="8" t="str">
        <f>"9781889335384"</f>
        <v>9781889335384</v>
      </c>
      <c r="C1602" s="8" t="s">
        <v>9</v>
      </c>
    </row>
    <row r="1603" spans="1:3" x14ac:dyDescent="0.25">
      <c r="A1603" s="8" t="str">
        <f>"2008 World Congress"</f>
        <v>2008 World Congress</v>
      </c>
      <c r="B1603" s="8" t="str">
        <f>"-"</f>
        <v>-</v>
      </c>
      <c r="C1603" s="8" t="s">
        <v>1040</v>
      </c>
    </row>
    <row r="1604" spans="1:3" x14ac:dyDescent="0.25">
      <c r="A1604" s="8" t="str">
        <f>"2009 10th International Conference on Electrical Power Quality and Utilisation, EPQU'09"</f>
        <v>2009 10th International Conference on Electrical Power Quality and Utilisation, EPQU'09</v>
      </c>
      <c r="B1604" s="8" t="str">
        <f>"9781424451722"</f>
        <v>9781424451722</v>
      </c>
      <c r="C1604" s="8" t="s">
        <v>9</v>
      </c>
    </row>
    <row r="1605" spans="1:3" x14ac:dyDescent="0.25">
      <c r="A1605" s="8" t="str">
        <f>"2009 10th International Conference on Telecommunications, ConTEL 2009"</f>
        <v>2009 10th International Conference on Telecommunications, ConTEL 2009</v>
      </c>
      <c r="B1605" s="8" t="str">
        <f>"9789531841313"</f>
        <v>9789531841313</v>
      </c>
      <c r="C1605" s="8" t="s">
        <v>9</v>
      </c>
    </row>
    <row r="1606" spans="1:3" x14ac:dyDescent="0.25">
      <c r="A1606" s="8" t="str">
        <f>"2009 10th International Conference on Thermal, Mechanical and Multi-Physics Simulation and Experiments in Microelectronics and Microsystems, EuroSimE 2009"</f>
        <v>2009 10th International Conference on Thermal, Mechanical and Multi-Physics Simulation and Experiments in Microelectronics and Microsystems, EuroSimE 2009</v>
      </c>
      <c r="B1606" s="8" t="str">
        <f>"9781424441617"</f>
        <v>9781424441617</v>
      </c>
      <c r="C1606" s="8" t="s">
        <v>9</v>
      </c>
    </row>
    <row r="1607" spans="1:3" x14ac:dyDescent="0.25">
      <c r="A1607" s="8" t="str">
        <f>"2009 10th International Workshop on Image Analysis for Multimedia Interactive Services, WIAMIS 2009"</f>
        <v>2009 10th International Workshop on Image Analysis for Multimedia Interactive Services, WIAMIS 2009</v>
      </c>
      <c r="B1607" s="8" t="str">
        <f>"9781424436101"</f>
        <v>9781424436101</v>
      </c>
      <c r="C1607" s="8" t="s">
        <v>9</v>
      </c>
    </row>
    <row r="1608" spans="1:3" x14ac:dyDescent="0.25">
      <c r="A1608" s="8" t="str">
        <f>"2009 10th Latin American Test Workshop, LATW 2009"</f>
        <v>2009 10th Latin American Test Workshop, LATW 2009</v>
      </c>
      <c r="B1608" s="8" t="str">
        <f>"9781424442065"</f>
        <v>9781424442065</v>
      </c>
      <c r="C1608" s="8" t="s">
        <v>9</v>
      </c>
    </row>
    <row r="1609" spans="1:3" x14ac:dyDescent="0.25">
      <c r="A1609" s="8" t="str">
        <f>"2009 11th Canadian Workshop on Information Theory, CWIT 2009"</f>
        <v>2009 11th Canadian Workshop on Information Theory, CWIT 2009</v>
      </c>
      <c r="B1609" s="8" t="str">
        <f>"9781424434015"</f>
        <v>9781424434015</v>
      </c>
      <c r="C1609" s="8" t="s">
        <v>9</v>
      </c>
    </row>
    <row r="1610" spans="1:3" x14ac:dyDescent="0.25">
      <c r="A1610" s="8" t="str">
        <f>"2009 11th IEEE International Conference on e-Health Networking, Applications and Services, Healthcom 2009"</f>
        <v>2009 11th IEEE International Conference on e-Health Networking, Applications and Services, Healthcom 2009</v>
      </c>
      <c r="B1610" s="8" t="str">
        <f>"9781424450145"</f>
        <v>9781424450145</v>
      </c>
      <c r="C1610" s="8" t="s">
        <v>9</v>
      </c>
    </row>
    <row r="1611" spans="1:3" x14ac:dyDescent="0.25">
      <c r="A1611" s="8" t="str">
        <f>"2009 11th IEEE International Conference on High Performance Computing and Communications, HPCC 2009"</f>
        <v>2009 11th IEEE International Conference on High Performance Computing and Communications, HPCC 2009</v>
      </c>
      <c r="B1611" s="8" t="str">
        <f>"9780769537382"</f>
        <v>9780769537382</v>
      </c>
      <c r="C1611" s="8" t="s">
        <v>9</v>
      </c>
    </row>
    <row r="1612" spans="1:3" x14ac:dyDescent="0.25">
      <c r="A1612" s="8" t="str">
        <f>"2009 11th IEEE International Symposium on Web Systems Evolution, WSE 2009"</f>
        <v>2009 11th IEEE International Symposium on Web Systems Evolution, WSE 2009</v>
      </c>
      <c r="B1612" s="8" t="str">
        <f>"9781424451241"</f>
        <v>9781424451241</v>
      </c>
      <c r="C1612" s="8" t="s">
        <v>9</v>
      </c>
    </row>
    <row r="1613" spans="1:3" x14ac:dyDescent="0.25">
      <c r="A1613" s="8" t="str">
        <f>"2009 12th International Conference on Information Fusion, FUSION 2009"</f>
        <v>2009 12th International Conference on Information Fusion, FUSION 2009</v>
      </c>
      <c r="B1613" s="8" t="str">
        <f>"9780982443804"</f>
        <v>9780982443804</v>
      </c>
      <c r="C1613" s="8" t="s">
        <v>9</v>
      </c>
    </row>
    <row r="1614" spans="1:3" x14ac:dyDescent="0.25">
      <c r="A1614" s="8" t="str">
        <f>"2009 13th European Conference on Power Electronics and Applications, EPE '09"</f>
        <v>2009 13th European Conference on Power Electronics and Applications, EPE '09</v>
      </c>
      <c r="B1614" s="8" t="str">
        <f>"9781424444328"</f>
        <v>9781424444328</v>
      </c>
      <c r="C1614" s="8" t="s">
        <v>9</v>
      </c>
    </row>
    <row r="1615" spans="1:3" x14ac:dyDescent="0.25">
      <c r="A1615" s="8" t="str">
        <f>"2009 13th International Conference on Intelligence in Next Generation Networks: Beyond the Bit Pipes, ICIN 2009"</f>
        <v>2009 13th International Conference on Intelligence in Next Generation Networks: Beyond the Bit Pipes, ICIN 2009</v>
      </c>
      <c r="B1615" s="8" t="str">
        <f>"9781424446940"</f>
        <v>9781424446940</v>
      </c>
      <c r="C1615" s="8" t="s">
        <v>9</v>
      </c>
    </row>
    <row r="1616" spans="1:3" x14ac:dyDescent="0.25">
      <c r="A1616" s="8" t="str">
        <f>"2009 14th International CSI Computer Conference, CSICC 2009"</f>
        <v>2009 14th International CSI Computer Conference, CSICC 2009</v>
      </c>
      <c r="B1616" s="8" t="str">
        <f>"9781424442621"</f>
        <v>9781424442621</v>
      </c>
      <c r="C1616" s="8" t="s">
        <v>9</v>
      </c>
    </row>
    <row r="1617" spans="1:3" x14ac:dyDescent="0.25">
      <c r="A1617" s="8" t="str">
        <f>"2009 14th OptoElectronics and Communications Conference, OECC 2009"</f>
        <v>2009 14th OptoElectronics and Communications Conference, OECC 2009</v>
      </c>
      <c r="B1617" s="8" t="str">
        <f>"9781424441037"</f>
        <v>9781424441037</v>
      </c>
      <c r="C1617" s="8" t="s">
        <v>9</v>
      </c>
    </row>
    <row r="1618" spans="1:3" x14ac:dyDescent="0.25">
      <c r="A1618" s="8" t="str">
        <f>"2009 15th Asia-Pacific Conference on Communications, APCC 2009"</f>
        <v>2009 15th Asia-Pacific Conference on Communications, APCC 2009</v>
      </c>
      <c r="B1618" s="8" t="str">
        <f>"9781424447855"</f>
        <v>9781424447855</v>
      </c>
      <c r="C1618" s="8" t="s">
        <v>9</v>
      </c>
    </row>
    <row r="1619" spans="1:3" x14ac:dyDescent="0.25">
      <c r="A1619" s="8" t="str">
        <f>"2009 15th IEEE International On-Line Testing Symposium, IOLTS 2009"</f>
        <v>2009 15th IEEE International On-Line Testing Symposium, IOLTS 2009</v>
      </c>
      <c r="B1619" s="8" t="str">
        <f>"9781424445950"</f>
        <v>9781424445950</v>
      </c>
      <c r="C1619" s="8" t="s">
        <v>9</v>
      </c>
    </row>
    <row r="1620" spans="1:3" x14ac:dyDescent="0.25">
      <c r="A1620" s="8" t="str">
        <f>"2009 15th IEEE Pacific Rim International Symposium on Dependable Computing, PRDC 2009"</f>
        <v>2009 15th IEEE Pacific Rim International Symposium on Dependable Computing, PRDC 2009</v>
      </c>
      <c r="B1620" s="8" t="str">
        <f>"9780769538495"</f>
        <v>9780769538495</v>
      </c>
      <c r="C1620" s="8" t="s">
        <v>9</v>
      </c>
    </row>
    <row r="1621" spans="1:3" x14ac:dyDescent="0.25">
      <c r="A1621" s="8" t="str">
        <f>"2009 15th International Conference on Intelligent System Applications to Power Systems, ISAP '09"</f>
        <v>2009 15th International Conference on Intelligent System Applications to Power Systems, ISAP '09</v>
      </c>
      <c r="B1621" s="8" t="str">
        <f>"9781424450985"</f>
        <v>9781424450985</v>
      </c>
      <c r="C1621" s="8" t="s">
        <v>9</v>
      </c>
    </row>
    <row r="1622" spans="1:3" x14ac:dyDescent="0.25">
      <c r="A1622" s="8" t="str">
        <f>"2009 16th IEEE International Conference on Electronics, Circuits and Systems, ICECS 2009"</f>
        <v>2009 16th IEEE International Conference on Electronics, Circuits and Systems, ICECS 2009</v>
      </c>
      <c r="B1622" s="8" t="str">
        <f>"9781424450916"</f>
        <v>9781424450916</v>
      </c>
      <c r="C1622" s="8" t="s">
        <v>9</v>
      </c>
    </row>
    <row r="1623" spans="1:3" x14ac:dyDescent="0.25">
      <c r="A1623" s="8" t="str">
        <f>"2009 16th IEEE-NPSS Real Time Conference - Conference Record"</f>
        <v>2009 16th IEEE-NPSS Real Time Conference - Conference Record</v>
      </c>
      <c r="B1623" s="8" t="str">
        <f>"9781424444557"</f>
        <v>9781424444557</v>
      </c>
      <c r="C1623" s="8" t="s">
        <v>9</v>
      </c>
    </row>
    <row r="1624" spans="1:3" x14ac:dyDescent="0.25">
      <c r="A1624" s="8" t="str">
        <f>"2009 16th International Conference on Systems, Signals and Image Processing, IWSSIP 2009"</f>
        <v>2009 16th International Conference on Systems, Signals and Image Processing, IWSSIP 2009</v>
      </c>
      <c r="B1624" s="8" t="str">
        <f>"9781424445301"</f>
        <v>9781424445301</v>
      </c>
      <c r="C1624" s="8" t="s">
        <v>9</v>
      </c>
    </row>
    <row r="1625" spans="1:3" x14ac:dyDescent="0.25">
      <c r="A1625" s="8" t="str">
        <f>"2009 17th International Conference on Geoinformatics, Geoinformatics 2009"</f>
        <v>2009 17th International Conference on Geoinformatics, Geoinformatics 2009</v>
      </c>
      <c r="B1625" s="8" t="str">
        <f>"9781424445639"</f>
        <v>9781424445639</v>
      </c>
      <c r="C1625" s="8" t="s">
        <v>9</v>
      </c>
    </row>
    <row r="1626" spans="1:3" x14ac:dyDescent="0.25">
      <c r="A1626" s="8" t="str">
        <f>"2009 17th International Packet Video Workshop, PV 2009"</f>
        <v>2009 17th International Packet Video Workshop, PV 2009</v>
      </c>
      <c r="B1626" s="8" t="str">
        <f>"9781424446520"</f>
        <v>9781424446520</v>
      </c>
      <c r="C1626" s="8" t="s">
        <v>9</v>
      </c>
    </row>
    <row r="1627" spans="1:3" x14ac:dyDescent="0.25">
      <c r="A1627" s="8" t="str">
        <f>"2009 17th Mediterranean Conference on Control and Automation, MED 2009"</f>
        <v>2009 17th Mediterranean Conference on Control and Automation, MED 2009</v>
      </c>
      <c r="B1627" s="8" t="str">
        <f>"9781424446858"</f>
        <v>9781424446858</v>
      </c>
      <c r="C1627" s="8" t="s">
        <v>9</v>
      </c>
    </row>
    <row r="1628" spans="1:3" x14ac:dyDescent="0.25">
      <c r="A1628" s="8" t="str">
        <f>"2009 1st Annual ORNL Biomedical Science and Engineering Conference, BSEC 2009"</f>
        <v>2009 1st Annual ORNL Biomedical Science and Engineering Conference, BSEC 2009</v>
      </c>
      <c r="B1628" s="8" t="str">
        <f>"9781424438372"</f>
        <v>9781424438372</v>
      </c>
      <c r="C1628" s="8" t="s">
        <v>9</v>
      </c>
    </row>
    <row r="1629" spans="1:3" x14ac:dyDescent="0.25">
      <c r="A1629" s="8" t="str">
        <f>"2009 1st Asia Symposium on Quality Electronic Design, ASQED 2009"</f>
        <v>2009 1st Asia Symposium on Quality Electronic Design, ASQED 2009</v>
      </c>
      <c r="B1629" s="8" t="str">
        <f>"9781424449521"</f>
        <v>9781424449521</v>
      </c>
      <c r="C1629" s="8" t="s">
        <v>9</v>
      </c>
    </row>
    <row r="1630" spans="1:3" x14ac:dyDescent="0.25">
      <c r="A1630" s="8" t="str">
        <f>"2009 1st IEEE International Conference on Biometrics, Identity and Security, BIdS 2009"</f>
        <v>2009 1st IEEE International Conference on Biometrics, Identity and Security, BIdS 2009</v>
      </c>
      <c r="B1630" s="8" t="str">
        <f>"9781424452767"</f>
        <v>9781424452767</v>
      </c>
      <c r="C1630" s="8" t="s">
        <v>9</v>
      </c>
    </row>
    <row r="1631" spans="1:3" x14ac:dyDescent="0.25">
      <c r="A1631" s="8" t="str">
        <f>"2009 1st International Conference on Advanced Computing, ICAC 2009"</f>
        <v>2009 1st International Conference on Advanced Computing, ICAC 2009</v>
      </c>
      <c r="B1631" s="8" t="str">
        <f>"9781424447862"</f>
        <v>9781424447862</v>
      </c>
      <c r="C1631" s="8" t="s">
        <v>9</v>
      </c>
    </row>
    <row r="1632" spans="1:3" x14ac:dyDescent="0.25">
      <c r="A1632" s="8" t="str">
        <f>"2009 1st International Conference on Communications and Networking, ComNet 2009"</f>
        <v>2009 1st International Conference on Communications and Networking, ComNet 2009</v>
      </c>
      <c r="B1632" s="8" t="str">
        <f>"9781424451340"</f>
        <v>9781424451340</v>
      </c>
      <c r="C1632" s="8" t="s">
        <v>9</v>
      </c>
    </row>
    <row r="1633" spans="1:3" x14ac:dyDescent="0.25">
      <c r="A1633" s="8" t="str">
        <f>"2009 1st International Conference on Computational Intelligence, Communication Systems and Networks, CICSYN 2009"</f>
        <v>2009 1st International Conference on Computational Intelligence, Communication Systems and Networks, CICSYN 2009</v>
      </c>
      <c r="B1633" s="8" t="str">
        <f>"9780769537436"</f>
        <v>9780769537436</v>
      </c>
      <c r="C1633" s="8" t="s">
        <v>9</v>
      </c>
    </row>
    <row r="1634" spans="1:3" x14ac:dyDescent="0.25">
      <c r="A1634" s="8" t="str">
        <f>"2009 1st International Conference on Future Information Networks, ICFIN 2009"</f>
        <v>2009 1st International Conference on Future Information Networks, ICFIN 2009</v>
      </c>
      <c r="B1634" s="8" t="str">
        <f>"9781424451593"</f>
        <v>9781424451593</v>
      </c>
      <c r="C1634" s="8" t="s">
        <v>9</v>
      </c>
    </row>
    <row r="1635" spans="1:3" x14ac:dyDescent="0.25">
      <c r="A1635" s="8" t="str">
        <f>"2009 1st International Conference on Information Science and Engineering, ICISE 2009"</f>
        <v>2009 1st International Conference on Information Science and Engineering, ICISE 2009</v>
      </c>
      <c r="B1635" s="8" t="str">
        <f>"9780769538877"</f>
        <v>9780769538877</v>
      </c>
      <c r="C1635" s="8" t="s">
        <v>9</v>
      </c>
    </row>
    <row r="1636" spans="1:3" x14ac:dyDescent="0.25">
      <c r="A1636" s="8" t="str">
        <f>"2009 1st International Conference on Networked Digital Technologies, NDT 2009"</f>
        <v>2009 1st International Conference on Networked Digital Technologies, NDT 2009</v>
      </c>
      <c r="B1636" s="8" t="str">
        <f>"9781424446155"</f>
        <v>9781424446155</v>
      </c>
      <c r="C1636" s="8" t="s">
        <v>9</v>
      </c>
    </row>
    <row r="1637" spans="1:3" x14ac:dyDescent="0.25">
      <c r="A1637" s="8" t="str">
        <f>"2009 1st International Conference on Ubiquitous and Future Networks, ICUFN 2009"</f>
        <v>2009 1st International Conference on Ubiquitous and Future Networks, ICUFN 2009</v>
      </c>
      <c r="B1637" s="8" t="str">
        <f>"9781424442164"</f>
        <v>9781424442164</v>
      </c>
      <c r="C1637" s="8" t="s">
        <v>9</v>
      </c>
    </row>
    <row r="1638" spans="1:3" x14ac:dyDescent="0.25">
      <c r="A1638" s="8" t="str">
        <f>"2009 1st International Workshop on Requirements Engineering for e-Voting Systems, RE-VOTE 2009"</f>
        <v>2009 1st International Workshop on Requirements Engineering for e-Voting Systems, RE-VOTE 2009</v>
      </c>
      <c r="B1638" s="8" t="str">
        <f>"9781424476985"</f>
        <v>9781424476985</v>
      </c>
      <c r="C1638" s="8" t="s">
        <v>9</v>
      </c>
    </row>
    <row r="1639" spans="1:3" x14ac:dyDescent="0.25">
      <c r="A1639" s="8" t="str">
        <f>"2009 24th International Conference Image and Vision Computing New Zealand, IVCNZ 2009 - Conference Proceedings"</f>
        <v>2009 24th International Conference Image and Vision Computing New Zealand, IVCNZ 2009 - Conference Proceedings</v>
      </c>
      <c r="B1639" s="8" t="str">
        <f>"9781424446988"</f>
        <v>9781424446988</v>
      </c>
      <c r="C1639" s="8" t="s">
        <v>9</v>
      </c>
    </row>
    <row r="1640" spans="1:3" x14ac:dyDescent="0.25">
      <c r="A1640" s="8" t="str">
        <f>"2009 24th International Symposium on Computer and Information Sciences, ISCIS 2009"</f>
        <v>2009 24th International Symposium on Computer and Information Sciences, ISCIS 2009</v>
      </c>
      <c r="B1640" s="8" t="str">
        <f>"9781424450237"</f>
        <v>9781424450237</v>
      </c>
      <c r="C1640" s="8" t="s">
        <v>9</v>
      </c>
    </row>
    <row r="1641" spans="1:3" x14ac:dyDescent="0.25">
      <c r="A1641" s="8" t="str">
        <f>"2009 26th International Symposium on Automation and Robotics in Construction, ISARC 2009"</f>
        <v>2009 26th International Symposium on Automation and Robotics in Construction, ISARC 2009</v>
      </c>
      <c r="B1641" s="8" t="str">
        <f>"-"</f>
        <v>-</v>
      </c>
      <c r="C1641" s="8" t="s">
        <v>1351</v>
      </c>
    </row>
    <row r="1642" spans="1:3" x14ac:dyDescent="0.25">
      <c r="A1642" s="8" t="str">
        <f>"2009 2nd Conference on Data Mining and Optimization, DMO 2009"</f>
        <v>2009 2nd Conference on Data Mining and Optimization, DMO 2009</v>
      </c>
      <c r="B1642" s="8" t="str">
        <f>"9781424449446"</f>
        <v>9781424449446</v>
      </c>
      <c r="C1642" s="8" t="s">
        <v>9</v>
      </c>
    </row>
    <row r="1643" spans="1:3" x14ac:dyDescent="0.25">
      <c r="A1643" s="8" t="str">
        <f>"2009 2nd IFIP Wireless Days, WD 2009"</f>
        <v>2009 2nd IFIP Wireless Days, WD 2009</v>
      </c>
      <c r="B1643" s="8" t="str">
        <f>"9781424456604"</f>
        <v>9781424456604</v>
      </c>
      <c r="C1643" s="8" t="s">
        <v>9</v>
      </c>
    </row>
    <row r="1644" spans="1:3" x14ac:dyDescent="0.25">
      <c r="A1644" s="8" t="str">
        <f>"2009 2nd International Conference on Communication Theory, Reliability, and Quality of Service, CTRQ 2009"</f>
        <v>2009 2nd International Conference on Communication Theory, Reliability, and Quality of Service, CTRQ 2009</v>
      </c>
      <c r="B1644" s="8" t="str">
        <f>"9780769536965"</f>
        <v>9780769536965</v>
      </c>
      <c r="C1644" s="8" t="s">
        <v>9</v>
      </c>
    </row>
    <row r="1645" spans="1:3" x14ac:dyDescent="0.25">
      <c r="A1645" s="8" t="str">
        <f>"2009 2nd International Conference on Computer, Control and Communication, IC4 2009"</f>
        <v>2009 2nd International Conference on Computer, Control and Communication, IC4 2009</v>
      </c>
      <c r="B1645" s="8" t="str">
        <f>"9781424433148"</f>
        <v>9781424433148</v>
      </c>
      <c r="C1645" s="8" t="s">
        <v>9</v>
      </c>
    </row>
    <row r="1646" spans="1:3" x14ac:dyDescent="0.25">
      <c r="A1646" s="8" t="str">
        <f>"2009 2nd International Conference on Emerging Trends in Engineering and Technology, ICETET 2009"</f>
        <v>2009 2nd International Conference on Emerging Trends in Engineering and Technology, ICETET 2009</v>
      </c>
      <c r="B1646" s="8" t="str">
        <f>"9780769538846"</f>
        <v>9780769538846</v>
      </c>
      <c r="C1646" s="8" t="s">
        <v>9</v>
      </c>
    </row>
    <row r="1647" spans="1:3" x14ac:dyDescent="0.25">
      <c r="A1647" s="8" t="str">
        <f>"2009 2nd International Conference on Future Information Technology and Management Engineering, FITME 2009"</f>
        <v>2009 2nd International Conference on Future Information Technology and Management Engineering, FITME 2009</v>
      </c>
      <c r="B1647" s="8" t="str">
        <f>"9780769538808"</f>
        <v>9780769538808</v>
      </c>
      <c r="C1647" s="8" t="s">
        <v>9</v>
      </c>
    </row>
    <row r="1648" spans="1:3" x14ac:dyDescent="0.25">
      <c r="A1648" s="8" t="str">
        <f>"2009 2nd International Conference on Information and Computing Science, ICIC 2009"</f>
        <v>2009 2nd International Conference on Information and Computing Science, ICIC 2009</v>
      </c>
      <c r="B1648" s="8" t="str">
        <f>"9780769536347"</f>
        <v>9780769536347</v>
      </c>
      <c r="C1648" s="8" t="s">
        <v>9</v>
      </c>
    </row>
    <row r="1649" spans="1:3" x14ac:dyDescent="0.25">
      <c r="A1649" s="8" t="str">
        <f>"2009 2nd International Conference on Infrastructure Systems and Services: Developing 21st Century Infrastructure Networks, INFRA 2009"</f>
        <v>2009 2nd International Conference on Infrastructure Systems and Services: Developing 21st Century Infrastructure Networks, INFRA 2009</v>
      </c>
      <c r="B1649" s="8" t="str">
        <f>"9781424457915"</f>
        <v>9781424457915</v>
      </c>
      <c r="C1649" s="8" t="s">
        <v>9</v>
      </c>
    </row>
    <row r="1650" spans="1:3" x14ac:dyDescent="0.25">
      <c r="A1650" s="8" t="str">
        <f>"2009 2nd International Conference on Intelligent Computing Technology and Automation, ICICTA 2009"</f>
        <v>2009 2nd International Conference on Intelligent Computing Technology and Automation, ICICTA 2009</v>
      </c>
      <c r="B1650" s="8" t="str">
        <f>"9780769538044"</f>
        <v>9780769538044</v>
      </c>
      <c r="C1650" s="8" t="s">
        <v>9</v>
      </c>
    </row>
    <row r="1651" spans="1:3" x14ac:dyDescent="0.25">
      <c r="A1651" s="8" t="str">
        <f>"2009 2nd International Conference on Machine Vision, ICMV 2009"</f>
        <v>2009 2nd International Conference on Machine Vision, ICMV 2009</v>
      </c>
      <c r="B1651" s="8" t="str">
        <f>"9780769539447"</f>
        <v>9780769539447</v>
      </c>
      <c r="C1651" s="8" t="s">
        <v>9</v>
      </c>
    </row>
    <row r="1652" spans="1:3" x14ac:dyDescent="0.25">
      <c r="A1652" s="8" t="str">
        <f>"2009 2nd International Conference on Robot Communication and Coordination, RoboComm 2009"</f>
        <v>2009 2nd International Conference on Robot Communication and Coordination, RoboComm 2009</v>
      </c>
      <c r="B1652" s="8" t="str">
        <f>"9789639799516"</f>
        <v>9789639799516</v>
      </c>
      <c r="C1652" s="8" t="s">
        <v>9</v>
      </c>
    </row>
    <row r="1653" spans="1:3" x14ac:dyDescent="0.25">
      <c r="A1653" s="8" t="str">
        <f>"2009 2nd International Symposium on Knowledge Acquisition and Modeling, KAM 2009"</f>
        <v>2009 2nd International Symposium on Knowledge Acquisition and Modeling, KAM 2009</v>
      </c>
      <c r="B1653" s="8" t="str">
        <f>"9780769538884"</f>
        <v>9780769538884</v>
      </c>
      <c r="C1653" s="8" t="s">
        <v>9</v>
      </c>
    </row>
    <row r="1654" spans="1:3" x14ac:dyDescent="0.25">
      <c r="A1654" s="8" t="str">
        <f>"2009 2nd International Symposium on Logistics and Industrial Informatics, LINDI 2009"</f>
        <v>2009 2nd International Symposium on Logistics and Industrial Informatics, LINDI 2009</v>
      </c>
      <c r="B1654" s="8" t="str">
        <f>"9781424439584"</f>
        <v>9781424439584</v>
      </c>
      <c r="C1654" s="8" t="s">
        <v>9</v>
      </c>
    </row>
    <row r="1655" spans="1:3" x14ac:dyDescent="0.25">
      <c r="A1655" s="8" t="str">
        <f>"2009 2nd International Workshop on Cognitive Radio and Advanced Spectrum Management, CogART 2009"</f>
        <v>2009 2nd International Workshop on Cognitive Radio and Advanced Spectrum Management, CogART 2009</v>
      </c>
      <c r="B1655" s="8" t="str">
        <f>"9781424445820"</f>
        <v>9781424445820</v>
      </c>
      <c r="C1655" s="8" t="s">
        <v>9</v>
      </c>
    </row>
    <row r="1656" spans="1:3" x14ac:dyDescent="0.25">
      <c r="A1656" s="8" t="str">
        <f>"2009 2nd International Workshop on Cross Layer Design, IWCLD '09"</f>
        <v>2009 2nd International Workshop on Cross Layer Design, IWCLD '09</v>
      </c>
      <c r="B1656" s="8" t="str">
        <f>"9781424433018"</f>
        <v>9781424433018</v>
      </c>
      <c r="C1656" s="8" t="s">
        <v>9</v>
      </c>
    </row>
    <row r="1657" spans="1:3" x14ac:dyDescent="0.25">
      <c r="A1657" s="8" t="str">
        <f>"2009 2nd International Workshop on Electron Devices and Semiconductor Technology, IEDST '09"</f>
        <v>2009 2nd International Workshop on Electron Devices and Semiconductor Technology, IEDST '09</v>
      </c>
      <c r="B1657" s="8" t="str">
        <f>"9781424438310"</f>
        <v>9781424438310</v>
      </c>
      <c r="C1657" s="8" t="s">
        <v>9</v>
      </c>
    </row>
    <row r="1658" spans="1:3" x14ac:dyDescent="0.25">
      <c r="A1658" s="8" t="str">
        <f>"2009 2nd International Workshop on Managing Requirements Knowledge, MARK 2009"</f>
        <v>2009 2nd International Workshop on Managing Requirements Knowledge, MARK 2009</v>
      </c>
      <c r="B1658" s="8" t="str">
        <f>"9781424476947"</f>
        <v>9781424476947</v>
      </c>
      <c r="C1658" s="8" t="s">
        <v>9</v>
      </c>
    </row>
    <row r="1659" spans="1:3" x14ac:dyDescent="0.25">
      <c r="A1659" s="8" t="str">
        <f>"2009 2nd International Workshop on Requirements Engineering and Law, RELAW 2009"</f>
        <v>2009 2nd International Workshop on Requirements Engineering and Law, RELAW 2009</v>
      </c>
      <c r="B1659" s="8" t="str">
        <f>"9781424476961"</f>
        <v>9781424476961</v>
      </c>
      <c r="C1659" s="8" t="s">
        <v>9</v>
      </c>
    </row>
    <row r="1660" spans="1:3" x14ac:dyDescent="0.25">
      <c r="A1660" s="8" t="str">
        <f>"2009 2nd International Workshop on Similarity Search and Applications, SISAP 2009"</f>
        <v>2009 2nd International Workshop on Similarity Search and Applications, SISAP 2009</v>
      </c>
      <c r="B1660" s="8" t="str">
        <f>"9780769537658"</f>
        <v>9780769537658</v>
      </c>
      <c r="C1660" s="8" t="s">
        <v>9</v>
      </c>
    </row>
    <row r="1661" spans="1:3" x14ac:dyDescent="0.25">
      <c r="A1661" s="8" t="str">
        <f>"2009 31st International Conference on Software Engineering - Companion Volume, ICSE 2009"</f>
        <v>2009 31st International Conference on Software Engineering - Companion Volume, ICSE 2009</v>
      </c>
      <c r="B1661" s="8" t="str">
        <f>"9781424434947"</f>
        <v>9781424434947</v>
      </c>
      <c r="C1661" s="8" t="s">
        <v>9</v>
      </c>
    </row>
    <row r="1662" spans="1:3" x14ac:dyDescent="0.25">
      <c r="A1662" s="8" t="str">
        <f>"2009 3rd ACM/IEEE International Conference on Distributed Smart Cameras, ICDSC 2009"</f>
        <v>2009 3rd ACM/IEEE International Conference on Distributed Smart Cameras, ICDSC 2009</v>
      </c>
      <c r="B1662" s="8" t="str">
        <f>"9781424446209"</f>
        <v>9781424446209</v>
      </c>
      <c r="C1662" s="8" t="s">
        <v>9</v>
      </c>
    </row>
    <row r="1663" spans="1:3" x14ac:dyDescent="0.25">
      <c r="A1663" s="8" t="str">
        <f>"2009 3rd ICTON Mediterranean Winter Conference, ICTON-MW 2009"</f>
        <v>2009 3rd ICTON Mediterranean Winter Conference, ICTON-MW 2009</v>
      </c>
      <c r="B1663" s="8" t="str">
        <f>"9781424457465"</f>
        <v>9781424457465</v>
      </c>
      <c r="C1663" s="8" t="s">
        <v>9</v>
      </c>
    </row>
    <row r="1664" spans="1:3" x14ac:dyDescent="0.25">
      <c r="A1664" s="8" t="str">
        <f>"2009 3rd IEEE International Conference on Digital Ecosystems and Technologies, DEST '09"</f>
        <v>2009 3rd IEEE International Conference on Digital Ecosystems and Technologies, DEST '09</v>
      </c>
      <c r="B1664" s="8" t="str">
        <f>"9781424423460"</f>
        <v>9781424423460</v>
      </c>
      <c r="C1664" s="8" t="s">
        <v>9</v>
      </c>
    </row>
    <row r="1665" spans="1:3" x14ac:dyDescent="0.25">
      <c r="A1665" s="8" t="str">
        <f>"2009 3rd International Conference on Anti-counterfeiting, Security, and Identification in Communication, ASID 2009"</f>
        <v>2009 3rd International Conference on Anti-counterfeiting, Security, and Identification in Communication, ASID 2009</v>
      </c>
      <c r="B1665" s="8" t="str">
        <f>"9781424438839"</f>
        <v>9781424438839</v>
      </c>
      <c r="C1665" s="8" t="s">
        <v>9</v>
      </c>
    </row>
    <row r="1666" spans="1:3" x14ac:dyDescent="0.25">
      <c r="A1666" s="8" t="str">
        <f>"2009 3rd International Conference on Electrical Engineering, ICEE 2009"</f>
        <v>2009 3rd International Conference on Electrical Engineering, ICEE 2009</v>
      </c>
      <c r="B1666" s="8" t="str">
        <f>"9781424443611"</f>
        <v>9781424443611</v>
      </c>
      <c r="C1666" s="8" t="s">
        <v>9</v>
      </c>
    </row>
    <row r="1667" spans="1:3" x14ac:dyDescent="0.25">
      <c r="A1667" s="8" t="str">
        <f>"2009 3rd International Conference on Pervasive Computing Technologies for Healthcare - Pervasive Health 2009, PCTHealth 2009"</f>
        <v>2009 3rd International Conference on Pervasive Computing Technologies for Healthcare - Pervasive Health 2009, PCTHealth 2009</v>
      </c>
      <c r="B1667" s="8" t="str">
        <f>"9789639799424"</f>
        <v>9789639799424</v>
      </c>
      <c r="C1667" s="8" t="s">
        <v>9</v>
      </c>
    </row>
    <row r="1668" spans="1:3" x14ac:dyDescent="0.25">
      <c r="A1668" s="8" t="str">
        <f>"2009 3rd International Conference on Power Electronics Systems and Applications, PESA 2009"</f>
        <v>2009 3rd International Conference on Power Electronics Systems and Applications, PESA 2009</v>
      </c>
      <c r="B1668" s="8" t="str">
        <f>"9781424438457"</f>
        <v>9781424438457</v>
      </c>
      <c r="C1668" s="8" t="s">
        <v>9</v>
      </c>
    </row>
    <row r="1669" spans="1:3" x14ac:dyDescent="0.25">
      <c r="A1669" s="8" t="str">
        <f>"2009 3rd International Symposium on Empirical Software Engineering and Measurement, ESEM 2009"</f>
        <v>2009 3rd International Symposium on Empirical Software Engineering and Measurement, ESEM 2009</v>
      </c>
      <c r="B1669" s="8" t="str">
        <f>"9781424448418"</f>
        <v>9781424448418</v>
      </c>
      <c r="C1669" s="8" t="s">
        <v>9</v>
      </c>
    </row>
    <row r="1670" spans="1:3" x14ac:dyDescent="0.25">
      <c r="A1670" s="8" t="str">
        <f>"2009 3rd International Workshop on Software Product Management, IWSPM 2009"</f>
        <v>2009 3rd International Workshop on Software Product Management, IWSPM 2009</v>
      </c>
      <c r="B1670" s="8" t="str">
        <f>"9781424476930"</f>
        <v>9781424476930</v>
      </c>
      <c r="C1670" s="8" t="s">
        <v>9</v>
      </c>
    </row>
    <row r="1671" spans="1:3" x14ac:dyDescent="0.25">
      <c r="A1671" s="8" t="str">
        <f>"2009 47th Annual Allerton Conference on Communication, Control, and Computing, Allerton 2009"</f>
        <v>2009 47th Annual Allerton Conference on Communication, Control, and Computing, Allerton 2009</v>
      </c>
      <c r="B1671" s="8" t="str">
        <f>"9781424458714"</f>
        <v>9781424458714</v>
      </c>
      <c r="C1671" s="8" t="s">
        <v>9</v>
      </c>
    </row>
    <row r="1672" spans="1:3" x14ac:dyDescent="0.25">
      <c r="A1672" s="8" t="str">
        <f>"2009 4th Balkan Conference in Informatics, BCI 2009"</f>
        <v>2009 4th Balkan Conference in Informatics, BCI 2009</v>
      </c>
      <c r="B1672" s="8" t="str">
        <f>"9780769537832"</f>
        <v>9780769537832</v>
      </c>
      <c r="C1672" s="8" t="s">
        <v>9</v>
      </c>
    </row>
    <row r="1673" spans="1:3" x14ac:dyDescent="0.25">
      <c r="A1673" s="8" t="str">
        <f>"2009 4th IEEE Conference on Industrial Electronics and Applications, ICIEA 2009"</f>
        <v>2009 4th IEEE Conference on Industrial Electronics and Applications, ICIEA 2009</v>
      </c>
      <c r="B1673" s="8" t="str">
        <f>"9781424428007"</f>
        <v>9781424428007</v>
      </c>
      <c r="C1673" s="8" t="s">
        <v>9</v>
      </c>
    </row>
    <row r="1674" spans="1:3" x14ac:dyDescent="0.25">
      <c r="A1674" s="8" t="str">
        <f>"2009 4th International Conference on Communications and Networking in China, CHINACOM 2009"</f>
        <v>2009 4th International Conference on Communications and Networking in China, CHINACOM 2009</v>
      </c>
      <c r="B1674" s="8" t="str">
        <f>"9781424443376"</f>
        <v>9781424443376</v>
      </c>
      <c r="C1674" s="8" t="s">
        <v>9</v>
      </c>
    </row>
    <row r="1675" spans="1:3" x14ac:dyDescent="0.25">
      <c r="A1675" s="8" t="str">
        <f>"2009 4th International Conference on Critical Infrastructures, CRIS 2009"</f>
        <v>2009 4th International Conference on Critical Infrastructures, CRIS 2009</v>
      </c>
      <c r="B1675" s="8" t="str">
        <f>"9781424446360"</f>
        <v>9781424446360</v>
      </c>
      <c r="C1675" s="8" t="s">
        <v>9</v>
      </c>
    </row>
    <row r="1676" spans="1:3" x14ac:dyDescent="0.25">
      <c r="A1676" s="8" t="str">
        <f>"2009 4th International Conference on Innovative Computing, Information and Control, ICICIC 2009"</f>
        <v>2009 4th International Conference on Innovative Computing, Information and Control, ICICIC 2009</v>
      </c>
      <c r="B1676" s="8" t="str">
        <f>"9780769538730"</f>
        <v>9780769538730</v>
      </c>
      <c r="C1676" s="8" t="s">
        <v>9</v>
      </c>
    </row>
    <row r="1677" spans="1:3" x14ac:dyDescent="0.25">
      <c r="A1677" s="8" t="str">
        <f>"2009 4th International Conference on Malicious and Unwanted Software, MALWARE 2009"</f>
        <v>2009 4th International Conference on Malicious and Unwanted Software, MALWARE 2009</v>
      </c>
      <c r="B1677" s="8" t="str">
        <f>"9781424457878"</f>
        <v>9781424457878</v>
      </c>
      <c r="C1677" s="8" t="s">
        <v>9</v>
      </c>
    </row>
    <row r="1678" spans="1:3" x14ac:dyDescent="0.25">
      <c r="A1678" s="8" t="str">
        <f>"2009 4th International Design and Test Workshop, IDT 2009"</f>
        <v>2009 4th International Design and Test Workshop, IDT 2009</v>
      </c>
      <c r="B1678" s="8" t="str">
        <f>"9781424457489"</f>
        <v>9781424457489</v>
      </c>
      <c r="C1678" s="8" t="s">
        <v>9</v>
      </c>
    </row>
    <row r="1679" spans="1:3" x14ac:dyDescent="0.25">
      <c r="A1679" s="8" t="str">
        <f>"2009 4th International IEEE/EMBS Conference on Neural Engineering, NER '09"</f>
        <v>2009 4th International IEEE/EMBS Conference on Neural Engineering, NER '09</v>
      </c>
      <c r="B1679" s="8" t="str">
        <f>"9781424420735"</f>
        <v>9781424420735</v>
      </c>
      <c r="C1679" s="8" t="s">
        <v>9</v>
      </c>
    </row>
    <row r="1680" spans="1:3" x14ac:dyDescent="0.25">
      <c r="A1680" s="8" t="str">
        <f>"2009 4th International Symposium on Wireless and Pervasive Computing, ISWPC 2009"</f>
        <v>2009 4th International Symposium on Wireless and Pervasive Computing, ISWPC 2009</v>
      </c>
      <c r="B1680" s="8" t="str">
        <f>"9781424429660"</f>
        <v>9781424429660</v>
      </c>
      <c r="C1680" s="8" t="s">
        <v>9</v>
      </c>
    </row>
    <row r="1681" spans="1:3" x14ac:dyDescent="0.25">
      <c r="A1681" s="8" t="str">
        <f>"2009 4th International Workshop on Requirements Engineering Education and Training, REET 2009"</f>
        <v>2009 4th International Workshop on Requirements Engineering Education and Training, REET 2009</v>
      </c>
      <c r="B1681" s="8" t="str">
        <f>"9781424476954"</f>
        <v>9781424476954</v>
      </c>
      <c r="C1681" s="8" t="s">
        <v>9</v>
      </c>
    </row>
    <row r="1682" spans="1:3" x14ac:dyDescent="0.25">
      <c r="A1682" s="8" t="str">
        <f>"2009 4th International Workshop on Requirements Engineering Visualization, REV 2009"</f>
        <v>2009 4th International Workshop on Requirements Engineering Visualization, REV 2009</v>
      </c>
      <c r="B1682" s="8" t="str">
        <f>"9781424476978"</f>
        <v>9781424476978</v>
      </c>
      <c r="C1682" s="8" t="s">
        <v>9</v>
      </c>
    </row>
    <row r="1683" spans="1:3" x14ac:dyDescent="0.25">
      <c r="A1683" s="8" t="str">
        <f>"2009 4th South-East European Workshop on Formal Methods: Formal Methods for Web Services; Formal Methods for Agent-Based Systems, SEEFM 2009"</f>
        <v>2009 4th South-East European Workshop on Formal Methods: Formal Methods for Web Services; Formal Methods for Agent-Based Systems, SEEFM 2009</v>
      </c>
      <c r="B1683" s="8" t="str">
        <f>"9780769539430"</f>
        <v>9780769539430</v>
      </c>
      <c r="C1683" s="8" t="s">
        <v>9</v>
      </c>
    </row>
    <row r="1684" spans="1:3" x14ac:dyDescent="0.25">
      <c r="A1684" s="8" t="str">
        <f>"2009 5th Central and Eastern European Software Engineering Conference in Russia, CEE-SECR 2009"</f>
        <v>2009 5th Central and Eastern European Software Engineering Conference in Russia, CEE-SECR 2009</v>
      </c>
      <c r="B1684" s="8" t="str">
        <f>"9781424456659"</f>
        <v>9781424456659</v>
      </c>
      <c r="C1684" s="8" t="s">
        <v>9</v>
      </c>
    </row>
    <row r="1685" spans="1:3" x14ac:dyDescent="0.25">
      <c r="A1685" s="8" t="str">
        <f>"2009 5th IEEE GCC Conference and Exhibition, GCC 2009"</f>
        <v>2009 5th IEEE GCC Conference and Exhibition, GCC 2009</v>
      </c>
      <c r="B1685" s="8" t="str">
        <f>"9781424438853"</f>
        <v>9781424438853</v>
      </c>
      <c r="C1685" s="8" t="s">
        <v>9</v>
      </c>
    </row>
    <row r="1686" spans="1:3" x14ac:dyDescent="0.25">
      <c r="A1686" s="8" t="str">
        <f>"2009 5th International Conference on Collaborative Computing: Networking, Applications and Worksharing, CollaborateCom 2009"</f>
        <v>2009 5th International Conference on Collaborative Computing: Networking, Applications and Worksharing, CollaborateCom 2009</v>
      </c>
      <c r="B1686" s="8" t="str">
        <f>"9789639799769"</f>
        <v>9789639799769</v>
      </c>
      <c r="C1686" s="8" t="s">
        <v>9</v>
      </c>
    </row>
    <row r="1687" spans="1:3" x14ac:dyDescent="0.25">
      <c r="A1687" s="8" t="str">
        <f>"2009 5th International Conference on Next Generation Web Services Practices, NWeSP 2009"</f>
        <v>2009 5th International Conference on Next Generation Web Services Practices, NWeSP 2009</v>
      </c>
      <c r="B1687" s="8" t="str">
        <f>"9780769538211"</f>
        <v>9780769538211</v>
      </c>
      <c r="C1687" s="8" t="s">
        <v>9</v>
      </c>
    </row>
    <row r="1688" spans="1:3" x14ac:dyDescent="0.25">
      <c r="A1688" s="8" t="str">
        <f>"2009 5th International Conference on Testbeds and Research Infrastructures for the Development of Networks and Communities and Workshops, TridentCom 2009"</f>
        <v>2009 5th International Conference on Testbeds and Research Infrastructures for the Development of Networks and Communities and Workshops, TridentCom 2009</v>
      </c>
      <c r="B1688" s="8" t="str">
        <f>"9781424428472"</f>
        <v>9781424428472</v>
      </c>
      <c r="C1688" s="8" t="s">
        <v>9</v>
      </c>
    </row>
    <row r="1689" spans="1:3" x14ac:dyDescent="0.25">
      <c r="A1689" s="8" t="str">
        <f>"2009 62nd Annual Conference for Protective Relay Engineers"</f>
        <v>2009 62nd Annual Conference for Protective Relay Engineers</v>
      </c>
      <c r="B1689" s="8" t="str">
        <f>"9781424441839"</f>
        <v>9781424441839</v>
      </c>
      <c r="C1689" s="8" t="s">
        <v>9</v>
      </c>
    </row>
    <row r="1690" spans="1:3" x14ac:dyDescent="0.25">
      <c r="A1690" s="8" t="str">
        <f>"2009 6th Annual IEEE Communications Society Conference on Sensor, Mesh and Ad Hoc Communications and Networks, SECON 2009"</f>
        <v>2009 6th Annual IEEE Communications Society Conference on Sensor, Mesh and Ad Hoc Communications and Networks, SECON 2009</v>
      </c>
      <c r="B1690" s="8" t="str">
        <f>"9781424429080"</f>
        <v>9781424429080</v>
      </c>
      <c r="C1690" s="8" t="s">
        <v>9</v>
      </c>
    </row>
    <row r="1691" spans="1:3" x14ac:dyDescent="0.25">
      <c r="A1691" s="8" t="str">
        <f>"2009 6th Annual International Conference on Mobile and Ubiquitous Systems: Networking and Services, MobiQuitous 2009"</f>
        <v>2009 6th Annual International Conference on Mobile and Ubiquitous Systems: Networking and Services, MobiQuitous 2009</v>
      </c>
      <c r="B1691" s="8" t="str">
        <f>"9789639799592"</f>
        <v>9789639799592</v>
      </c>
      <c r="C1691" s="8" t="s">
        <v>9</v>
      </c>
    </row>
    <row r="1692" spans="1:3" x14ac:dyDescent="0.25">
      <c r="A1692" s="8" t="str">
        <f>"2009 6th IEEE Annual Communications Society Conference on Sensor, Mesh and Ad Hoc Communications and Networks Workshops, SECON Workshops 2009"</f>
        <v>2009 6th IEEE Annual Communications Society Conference on Sensor, Mesh and Ad Hoc Communications and Networks Workshops, SECON Workshops 2009</v>
      </c>
      <c r="B1692" s="8" t="str">
        <f>"9781424439386"</f>
        <v>9781424439386</v>
      </c>
      <c r="C1692" s="8" t="s">
        <v>9</v>
      </c>
    </row>
    <row r="1693" spans="1:3" x14ac:dyDescent="0.25">
      <c r="A1693" s="8" t="str">
        <f>"2009 6th IEEE Consumer Communications and Networking Conference, CCNC 2009"</f>
        <v>2009 6th IEEE Consumer Communications and Networking Conference, CCNC 2009</v>
      </c>
      <c r="B1693" s="8" t="str">
        <f>"9781424423095"</f>
        <v>9781424423095</v>
      </c>
      <c r="C1693" s="8" t="s">
        <v>9</v>
      </c>
    </row>
    <row r="1694" spans="1:3" x14ac:dyDescent="0.25">
      <c r="A1694" s="8" t="str">
        <f>"2009 6th International Conference on Electrical Engineering, Computing Science and Automatic Control, CCE 2009"</f>
        <v>2009 6th International Conference on Electrical Engineering, Computing Science and Automatic Control, CCE 2009</v>
      </c>
      <c r="B1694" s="8" t="str">
        <f>"9781424446896"</f>
        <v>9781424446896</v>
      </c>
      <c r="C1694" s="8" t="s">
        <v>9</v>
      </c>
    </row>
    <row r="1695" spans="1:3" x14ac:dyDescent="0.25">
      <c r="A1695" s="8" t="str">
        <f>"2009 6th International Conference on Electrical Engineering/Electronics, Computer, Telecommunications and Information Technology, ECTI-CON 2009"</f>
        <v>2009 6th International Conference on Electrical Engineering/Electronics, Computer, Telecommunications and Information Technology, ECTI-CON 2009</v>
      </c>
      <c r="B1695" s="8" t="str">
        <f>"9781424433889"</f>
        <v>9781424433889</v>
      </c>
      <c r="C1695" s="8" t="s">
        <v>9</v>
      </c>
    </row>
    <row r="1696" spans="1:3" x14ac:dyDescent="0.25">
      <c r="A1696" s="8" t="str">
        <f>"2009 6th International Conference on the European Energy Market, EEM 2009"</f>
        <v>2009 6th International Conference on the European Energy Market, EEM 2009</v>
      </c>
      <c r="B1696" s="8" t="str">
        <f>"9781424444557"</f>
        <v>9781424444557</v>
      </c>
      <c r="C1696" s="8" t="s">
        <v>9</v>
      </c>
    </row>
    <row r="1697" spans="1:3" x14ac:dyDescent="0.25">
      <c r="A1697" s="8" t="str">
        <f>"2009 6th International Multi-Conference on Systems, Signals and Devices, SSD 2009"</f>
        <v>2009 6th International Multi-Conference on Systems, Signals and Devices, SSD 2009</v>
      </c>
      <c r="B1697" s="8" t="str">
        <f>"9781424443468"</f>
        <v>9781424443468</v>
      </c>
      <c r="C1697" s="8" t="s">
        <v>9</v>
      </c>
    </row>
    <row r="1698" spans="1:3" x14ac:dyDescent="0.25">
      <c r="A1698" s="8" t="str">
        <f>"2009 6th International Symposium on Mechatronics and its Applications, ISMA 2009"</f>
        <v>2009 6th International Symposium on Mechatronics and its Applications, ISMA 2009</v>
      </c>
      <c r="B1698" s="8" t="str">
        <f>"9781424434817"</f>
        <v>9781424434817</v>
      </c>
      <c r="C1698" s="8" t="s">
        <v>9</v>
      </c>
    </row>
    <row r="1699" spans="1:3" x14ac:dyDescent="0.25">
      <c r="A1699" s="8" t="str">
        <f>"2009 6th Latin American Robotics Symposium, LARS 2009"</f>
        <v>2009 6th Latin American Robotics Symposium, LARS 2009</v>
      </c>
      <c r="B1699" s="8" t="str">
        <f>"9781424462568"</f>
        <v>9781424462568</v>
      </c>
      <c r="C1699" s="8" t="s">
        <v>9</v>
      </c>
    </row>
    <row r="1700" spans="1:3" x14ac:dyDescent="0.25">
      <c r="A1700" s="8" t="str">
        <f>"2009 6th Web Information Systems and Applications Conference, WISA 2009"</f>
        <v>2009 6th Web Information Systems and Applications Conference, WISA 2009</v>
      </c>
      <c r="B1700" s="8" t="str">
        <f>"9780769538747"</f>
        <v>9780769538747</v>
      </c>
      <c r="C1700" s="8" t="s">
        <v>9</v>
      </c>
    </row>
    <row r="1701" spans="1:3" x14ac:dyDescent="0.25">
      <c r="A1701" s="8" t="str">
        <f>"2009 7th IEEE-ACM International Conference on Formal Methods and Models for Co-Design, MEMOCODE '09"</f>
        <v>2009 7th IEEE-ACM International Conference on Formal Methods and Models for Co-Design, MEMOCODE '09</v>
      </c>
      <c r="B1701" s="8" t="str">
        <f>"9781424448067"</f>
        <v>9781424448067</v>
      </c>
      <c r="C1701" s="8" t="s">
        <v>9</v>
      </c>
    </row>
    <row r="1702" spans="1:3" x14ac:dyDescent="0.25">
      <c r="A1702" s="8" t="str">
        <f>"2009 8th Annual Workshop on Network and Systems Support for Games, NetGames 2009"</f>
        <v>2009 8th Annual Workshop on Network and Systems Support for Games, NetGames 2009</v>
      </c>
      <c r="B1702" s="8" t="str">
        <f>"9781424456055"</f>
        <v>9781424456055</v>
      </c>
      <c r="C1702" s="8" t="s">
        <v>9</v>
      </c>
    </row>
    <row r="1703" spans="1:3" x14ac:dyDescent="0.25">
      <c r="A1703" s="8" t="str">
        <f>"2009 8th International Conference on Mobile Business"</f>
        <v>2009 8th International Conference on Mobile Business</v>
      </c>
      <c r="B1703" s="8" t="str">
        <f>"9780769536910"</f>
        <v>9780769536910</v>
      </c>
      <c r="C1703" s="8" t="s">
        <v>9</v>
      </c>
    </row>
    <row r="1704" spans="1:3" x14ac:dyDescent="0.25">
      <c r="A1704" s="8" t="str">
        <f>"2009 8th International Symposium on Advanced Electromechanical Motion Systems and Electric Drives Joint Symposium, ELECTROMOTION 2009"</f>
        <v>2009 8th International Symposium on Advanced Electromechanical Motion Systems and Electric Drives Joint Symposium, ELECTROMOTION 2009</v>
      </c>
      <c r="B1704" s="8" t="str">
        <f>"9781424451524"</f>
        <v>9781424451524</v>
      </c>
      <c r="C1704" s="8" t="s">
        <v>9</v>
      </c>
    </row>
    <row r="1705" spans="1:3" x14ac:dyDescent="0.25">
      <c r="A1705" s="8" t="str">
        <f>"2009 8th International Symposium on Natural Language Processing, SNLP '09"</f>
        <v>2009 8th International Symposium on Natural Language Processing, SNLP '09</v>
      </c>
      <c r="B1705" s="8" t="str">
        <f>"9781424441389"</f>
        <v>9781424441389</v>
      </c>
      <c r="C1705" s="8" t="s">
        <v>9</v>
      </c>
    </row>
    <row r="1706" spans="1:3" x14ac:dyDescent="0.25">
      <c r="A1706" s="8" t="str">
        <f>"2009 9th IEEE Conference on Nanotechnology, IEEE NANO 2009"</f>
        <v>2009 9th IEEE Conference on Nanotechnology, IEEE NANO 2009</v>
      </c>
      <c r="B1706" s="8" t="str">
        <f>"9789810836948"</f>
        <v>9789810836948</v>
      </c>
      <c r="C1706" s="8" t="s">
        <v>9</v>
      </c>
    </row>
    <row r="1707" spans="1:3" x14ac:dyDescent="0.25">
      <c r="A1707" s="8" t="str">
        <f>"2009 9th IEEE/ACM International Symposium on Cluster Computing and the Grid, CCGRID 2009"</f>
        <v>2009 9th IEEE/ACM International Symposium on Cluster Computing and the Grid, CCGRID 2009</v>
      </c>
      <c r="B1707" s="8" t="str">
        <f>"9780769536224"</f>
        <v>9780769536224</v>
      </c>
      <c r="C1707" s="8" t="s">
        <v>9</v>
      </c>
    </row>
    <row r="1708" spans="1:3" x14ac:dyDescent="0.25">
      <c r="A1708" s="8" t="str">
        <f>"2009 9th International Conference on Intelligent Transport Systems Telecommunications, ITST 2009"</f>
        <v>2009 9th International Conference on Intelligent Transport Systems Telecommunications, ITST 2009</v>
      </c>
      <c r="B1708" s="8" t="str">
        <f>"9781424453467"</f>
        <v>9781424453467</v>
      </c>
      <c r="C1708" s="8" t="s">
        <v>9</v>
      </c>
    </row>
    <row r="1709" spans="1:3" x14ac:dyDescent="0.25">
      <c r="A1709" s="8" t="str">
        <f>"2009 9th International Symposium on Communications and Information Technology, ISCIT 2009"</f>
        <v>2009 9th International Symposium on Communications and Information Technology, ISCIT 2009</v>
      </c>
      <c r="B1709" s="8" t="str">
        <f>"9781424445219"</f>
        <v>9781424445219</v>
      </c>
      <c r="C1709" s="8" t="s">
        <v>9</v>
      </c>
    </row>
    <row r="1710" spans="1:3" x14ac:dyDescent="0.25">
      <c r="A1710" s="8" t="str">
        <f>"2009 9th Topical Meeting on Silicon Monolithic Integrated Circuits in RF System, SiRF'09 - Digest of Papers"</f>
        <v>2009 9th Topical Meeting on Silicon Monolithic Integrated Circuits in RF System, SiRF'09 - Digest of Papers</v>
      </c>
      <c r="B1710" s="8" t="str">
        <f>"9781424428311"</f>
        <v>9781424428311</v>
      </c>
      <c r="C1710" s="8" t="s">
        <v>9</v>
      </c>
    </row>
    <row r="1711" spans="1:3" x14ac:dyDescent="0.25">
      <c r="A1711" s="8" t="str">
        <f>"2009 Applied Electronics International Conference, AE 2009"</f>
        <v>2009 Applied Electronics International Conference, AE 2009</v>
      </c>
      <c r="B1711" s="8" t="str">
        <f>"9788070437810"</f>
        <v>9788070437810</v>
      </c>
      <c r="C1711" s="8" t="s">
        <v>9</v>
      </c>
    </row>
    <row r="1712" spans="1:3" x14ac:dyDescent="0.25">
      <c r="A1712" s="8" t="str">
        <f>"2009 Asia Communications and Photonics Conference and Exhibition, ACP 2009"</f>
        <v>2009 Asia Communications and Photonics Conference and Exhibition, ACP 2009</v>
      </c>
      <c r="B1712" s="8" t="str">
        <f>"9781557528773"</f>
        <v>9781557528773</v>
      </c>
      <c r="C1712" s="8" t="s">
        <v>9</v>
      </c>
    </row>
    <row r="1713" spans="1:3" x14ac:dyDescent="0.25">
      <c r="A1713" s="8" t="str">
        <f>"2009 Asia-Pacific Power and Energy Engineering Conference, APPEEC 2009 - Proceedings"</f>
        <v>2009 Asia-Pacific Power and Energy Engineering Conference, APPEEC 2009 - Proceedings</v>
      </c>
      <c r="B1713" s="8" t="str">
        <f>"9781424424870"</f>
        <v>9781424424870</v>
      </c>
      <c r="C1713" s="8" t="s">
        <v>9</v>
      </c>
    </row>
    <row r="1714" spans="1:3" x14ac:dyDescent="0.25">
      <c r="A1714" s="8" t="str">
        <f>"2009 Atlanta Conference on Science and Innovation Policy, ACSIP 2009"</f>
        <v>2009 Atlanta Conference on Science and Innovation Policy, ACSIP 2009</v>
      </c>
      <c r="B1714" s="8" t="str">
        <f>"9781424450411"</f>
        <v>9781424450411</v>
      </c>
      <c r="C1714" s="8" t="s">
        <v>9</v>
      </c>
    </row>
    <row r="1715" spans="1:3" x14ac:dyDescent="0.25">
      <c r="A1715" s="8" t="str">
        <f>"2009 Australasian Telecommunication Networks and Applications Conference, ATNAC 2009 - Proceedings"</f>
        <v>2009 Australasian Telecommunication Networks and Applications Conference, ATNAC 2009 - Proceedings</v>
      </c>
      <c r="B1715" s="8" t="str">
        <f>"9781424473229"</f>
        <v>9781424473229</v>
      </c>
      <c r="C1715" s="8" t="s">
        <v>9</v>
      </c>
    </row>
    <row r="1716" spans="1:3" x14ac:dyDescent="0.25">
      <c r="A1716" s="8" t="str">
        <f>"2009 AWWA Membrane Technology Conference and Exposition"</f>
        <v>2009 AWWA Membrane Technology Conference and Exposition</v>
      </c>
      <c r="B1716" s="8" t="str">
        <f>"-"</f>
        <v>-</v>
      </c>
      <c r="C1716" s="8" t="s">
        <v>651</v>
      </c>
    </row>
    <row r="1717" spans="1:3" x14ac:dyDescent="0.25">
      <c r="A1717" s="8" t="str">
        <f>"2009 Brazilian Power Electronics Conference, COBEP2009"</f>
        <v>2009 Brazilian Power Electronics Conference, COBEP2009</v>
      </c>
      <c r="B1717" s="8" t="str">
        <f>"9781424433704"</f>
        <v>9781424433704</v>
      </c>
      <c r="C1717" s="8" t="s">
        <v>9</v>
      </c>
    </row>
    <row r="1718" spans="1:3" x14ac:dyDescent="0.25">
      <c r="A1718" s="8" t="str">
        <f>"2009 CERN-Latin-American School of High-Energy Physics, CLASHEP 2009 - Proceedings"</f>
        <v>2009 CERN-Latin-American School of High-Energy Physics, CLASHEP 2009 - Proceedings</v>
      </c>
      <c r="B1718" s="8" t="str">
        <f>"9789290833437"</f>
        <v>9789290833437</v>
      </c>
      <c r="C1718" s="8" t="s">
        <v>259</v>
      </c>
    </row>
    <row r="1719" spans="1:3" x14ac:dyDescent="0.25">
      <c r="A1719" s="8" t="str">
        <f>"2009 Chinese Control and Decision Conference, CCDC 2009"</f>
        <v>2009 Chinese Control and Decision Conference, CCDC 2009</v>
      </c>
      <c r="B1719" s="8" t="str">
        <f>"9781424427239"</f>
        <v>9781424427239</v>
      </c>
      <c r="C1719" s="8" t="s">
        <v>9</v>
      </c>
    </row>
    <row r="1720" spans="1:3" x14ac:dyDescent="0.25">
      <c r="A1720" s="8" t="str">
        <f>"2009 CIGRE / EEE PES Joint Symposium: Integration of Wide-Scale Renewable Resources into the Power Delivery System"</f>
        <v>2009 CIGRE / EEE PES Joint Symposium: Integration of Wide-Scale Renewable Resources into the Power Delivery System</v>
      </c>
      <c r="B1720" s="8" t="str">
        <f>"-"</f>
        <v>-</v>
      </c>
      <c r="C1720" s="8" t="s">
        <v>1352</v>
      </c>
    </row>
    <row r="1721" spans="1:3" x14ac:dyDescent="0.25">
      <c r="A1721" s="8" t="str">
        <f>"2009 CIGRE/IEEE PES Joint Symposium Integration of Wide-Scale Renewable Resources into the Power Delivery System, CIGRE/PES 2009"</f>
        <v>2009 CIGRE/IEEE PES Joint Symposium Integration of Wide-Scale Renewable Resources into the Power Delivery System, CIGRE/PES 2009</v>
      </c>
      <c r="B1721" s="8" t="str">
        <f>"9782858730803"</f>
        <v>9782858730803</v>
      </c>
      <c r="C1721" s="8" t="s">
        <v>9</v>
      </c>
    </row>
    <row r="1722" spans="1:3" x14ac:dyDescent="0.25">
      <c r="A1722" s="8" t="str">
        <f>"2009 Collaboration and Intercultural Issues on Requirements: Communication, Understanding and Softskills, CIRCUS 2009"</f>
        <v>2009 Collaboration and Intercultural Issues on Requirements: Communication, Understanding and Softskills, CIRCUS 2009</v>
      </c>
      <c r="B1722" s="8" t="str">
        <f>"9781424476923"</f>
        <v>9781424476923</v>
      </c>
      <c r="C1722" s="8" t="s">
        <v>9</v>
      </c>
    </row>
    <row r="1723" spans="1:3" x14ac:dyDescent="0.25">
      <c r="A1723" s="8" t="str">
        <f>"2009 Compact Thin-Film Transistor Modeling for Circuit Simulation, TFT/CTFT '09"</f>
        <v>2009 Compact Thin-Film Transistor Modeling for Circuit Simulation, TFT/CTFT '09</v>
      </c>
      <c r="B1723" s="8" t="str">
        <f>"9781424443734"</f>
        <v>9781424443734</v>
      </c>
      <c r="C1723" s="8" t="s">
        <v>9</v>
      </c>
    </row>
    <row r="1724" spans="1:3" x14ac:dyDescent="0.25">
      <c r="A1724" s="8" t="str">
        <f>"2009 Computational Electromagnetics International Workshop, CEM 2009"</f>
        <v>2009 Computational Electromagnetics International Workshop, CEM 2009</v>
      </c>
      <c r="B1724" s="8" t="str">
        <f>"9781424442508"</f>
        <v>9781424442508</v>
      </c>
      <c r="C1724" s="8" t="s">
        <v>9</v>
      </c>
    </row>
    <row r="1725" spans="1:3" x14ac:dyDescent="0.25">
      <c r="A1725" s="8" t="str">
        <f>"2009 Conference on Lasers and Electro-Optics and 2009 Conference on Quantum Electronics and Laser Science Conference, CLEO/QELS 2009"</f>
        <v>2009 Conference on Lasers and Electro-Optics and 2009 Conference on Quantum Electronics and Laser Science Conference, CLEO/QELS 2009</v>
      </c>
      <c r="B1725" s="8" t="str">
        <f>"9781557528698"</f>
        <v>9781557528698</v>
      </c>
      <c r="C1725" s="8" t="s">
        <v>9</v>
      </c>
    </row>
    <row r="1726" spans="1:3" x14ac:dyDescent="0.25">
      <c r="A1726" s="8" t="str">
        <f>"2009 Conference Proceedings of the Wire Association International, Inc. - Wire and Cable Technical Symposium, 79th Annual Convention"</f>
        <v>2009 Conference Proceedings of the Wire Association International, Inc. - Wire and Cable Technical Symposium, 79th Annual Convention</v>
      </c>
      <c r="B1726" s="8" t="str">
        <f>"-"</f>
        <v>-</v>
      </c>
      <c r="C1726" s="8" t="s">
        <v>968</v>
      </c>
    </row>
    <row r="1727" spans="1:3" x14ac:dyDescent="0.25">
      <c r="A1727" s="8" t="str">
        <f>"2009 eCrime Researchers Summit, eCRIME '09"</f>
        <v>2009 eCrime Researchers Summit, eCRIME '09</v>
      </c>
      <c r="B1727" s="8" t="str">
        <f>"9781424446261"</f>
        <v>9781424446261</v>
      </c>
      <c r="C1727" s="8" t="s">
        <v>9</v>
      </c>
    </row>
    <row r="1728" spans="1:3" x14ac:dyDescent="0.25">
      <c r="A1728" s="8" t="str">
        <f>"2009 ETP/IITA World Congress in Applied Computing, Computer Science, and Computer Engineering, ACC 2009"</f>
        <v>2009 ETP/IITA World Congress in Applied Computing, Computer Science, and Computer Engineering, ACC 2009</v>
      </c>
      <c r="B1728" s="8" t="str">
        <f>"9789881824219"</f>
        <v>9789881824219</v>
      </c>
      <c r="C1728" s="8" t="s">
        <v>1353</v>
      </c>
    </row>
    <row r="1729" spans="1:3" x14ac:dyDescent="0.25">
      <c r="A1729" s="8" t="str">
        <f>"2009 European Control Conference, ECC 2009"</f>
        <v>2009 European Control Conference, ECC 2009</v>
      </c>
      <c r="B1729" s="8" t="str">
        <f>"9783952417393"</f>
        <v>9783952417393</v>
      </c>
      <c r="C1729" s="8" t="s">
        <v>105</v>
      </c>
    </row>
    <row r="1730" spans="1:3" x14ac:dyDescent="0.25">
      <c r="A1730" s="8" t="str">
        <f>"2009 European Microelectronics and Packaging Conference, EMPC 2009"</f>
        <v>2009 European Microelectronics and Packaging Conference, EMPC 2009</v>
      </c>
      <c r="B1730" s="8" t="str">
        <f>"9781424447220"</f>
        <v>9781424447220</v>
      </c>
      <c r="C1730" s="8" t="s">
        <v>9</v>
      </c>
    </row>
    <row r="1731" spans="1:3" x14ac:dyDescent="0.25">
      <c r="A1731" s="8" t="str">
        <f>"2009 European School of High-Energy Physics, ESHEP 2009"</f>
        <v>2009 European School of High-Energy Physics, ESHEP 2009</v>
      </c>
      <c r="B1731" s="8" t="str">
        <f>"9789290833536"</f>
        <v>9789290833536</v>
      </c>
      <c r="C1731" s="8" t="s">
        <v>1341</v>
      </c>
    </row>
    <row r="1732" spans="1:3" x14ac:dyDescent="0.25">
      <c r="A1732" s="8" t="str">
        <f>"2009 European Wireless Conference, EW 2009"</f>
        <v>2009 European Wireless Conference, EW 2009</v>
      </c>
      <c r="B1732" s="8" t="str">
        <f>"9781424459353"</f>
        <v>9781424459353</v>
      </c>
      <c r="C1732" s="8" t="s">
        <v>9</v>
      </c>
    </row>
    <row r="1733" spans="1:3" x14ac:dyDescent="0.25">
      <c r="A1733" s="8" t="str">
        <f>"2009 Flexible Electronics and Displays Conference and Exhibition, FLEX 2009"</f>
        <v>2009 Flexible Electronics and Displays Conference and Exhibition, FLEX 2009</v>
      </c>
      <c r="B1733" s="8" t="str">
        <f>"-"</f>
        <v>-</v>
      </c>
      <c r="C1733" s="8" t="s">
        <v>9</v>
      </c>
    </row>
    <row r="1734" spans="1:3" x14ac:dyDescent="0.25">
      <c r="A1734" s="8" t="str">
        <f>"2009 Forum on Specification and Design Languages, FDL 2009"</f>
        <v>2009 Forum on Specification and Design Languages, FDL 2009</v>
      </c>
      <c r="B1734" s="8" t="str">
        <f>"9782953050417"</f>
        <v>9782953050417</v>
      </c>
      <c r="C1734" s="8" t="s">
        <v>9</v>
      </c>
    </row>
    <row r="1735" spans="1:3" x14ac:dyDescent="0.25">
      <c r="A1735" s="8" t="str">
        <f>"2009 Global Information Infrastructure Symposium, GIIS '09"</f>
        <v>2009 Global Information Infrastructure Symposium, GIIS '09</v>
      </c>
      <c r="B1735" s="8" t="str">
        <f>"9781424446247"</f>
        <v>9781424446247</v>
      </c>
      <c r="C1735" s="8" t="s">
        <v>9</v>
      </c>
    </row>
    <row r="1736" spans="1:3" x14ac:dyDescent="0.25">
      <c r="A1736" s="8" t="str">
        <f>"2009 Global Mobile Congress, GMC 2009"</f>
        <v>2009 Global Mobile Congress, GMC 2009</v>
      </c>
      <c r="B1736" s="8" t="str">
        <f>"9781424453023"</f>
        <v>9781424453023</v>
      </c>
      <c r="C1736" s="8" t="s">
        <v>9</v>
      </c>
    </row>
    <row r="1737" spans="1:3" x14ac:dyDescent="0.25">
      <c r="A1737" s="8" t="str">
        <f>"2009 ICME International Conference on Complex Medical Engineering, CME 2009"</f>
        <v>2009 ICME International Conference on Complex Medical Engineering, CME 2009</v>
      </c>
      <c r="B1737" s="8" t="str">
        <f>"9781424433162"</f>
        <v>9781424433162</v>
      </c>
      <c r="C1737" s="8" t="s">
        <v>9</v>
      </c>
    </row>
    <row r="1738" spans="1:3" x14ac:dyDescent="0.25">
      <c r="A1738" s="8" t="str">
        <f>"2009 IEEE 10th Annual Wireless and Microwave Technology Conference, WAMICON 2009"</f>
        <v>2009 IEEE 10th Annual Wireless and Microwave Technology Conference, WAMICON 2009</v>
      </c>
      <c r="B1738" s="8" t="str">
        <f>"9781424445653"</f>
        <v>9781424445653</v>
      </c>
      <c r="C1738" s="8" t="s">
        <v>9</v>
      </c>
    </row>
    <row r="1739" spans="1:3" x14ac:dyDescent="0.25">
      <c r="A1739" s="8" t="str">
        <f>"2009 IEEE 12th International Conference on Computer Vision Workshops, ICCV Workshops 2009"</f>
        <v>2009 IEEE 12th International Conference on Computer Vision Workshops, ICCV Workshops 2009</v>
      </c>
      <c r="B1739" s="8" t="str">
        <f>"9781424444427"</f>
        <v>9781424444427</v>
      </c>
      <c r="C1739" s="8" t="s">
        <v>9</v>
      </c>
    </row>
    <row r="1740" spans="1:3" x14ac:dyDescent="0.25">
      <c r="A1740" s="8" t="str">
        <f>"2009 IEEE 13th Digital Signal Processing Workshop and 5th IEEE Signal Processing Education Workshop, DSP/SPE 2009, Proceedings"</f>
        <v>2009 IEEE 13th Digital Signal Processing Workshop and 5th IEEE Signal Processing Education Workshop, DSP/SPE 2009, Proceedings</v>
      </c>
      <c r="B1740" s="8" t="str">
        <f>"9781424436774"</f>
        <v>9781424436774</v>
      </c>
      <c r="C1740" s="8" t="s">
        <v>9</v>
      </c>
    </row>
    <row r="1741" spans="1:3" x14ac:dyDescent="0.25">
      <c r="A1741" s="8" t="str">
        <f>"2009 IEEE 14th International Workshop on Computer Aided Modeling and Design of Communication Links and Networks, CAMAD 2009"</f>
        <v>2009 IEEE 14th International Workshop on Computer Aided Modeling and Design of Communication Links and Networks, CAMAD 2009</v>
      </c>
      <c r="B1741" s="8" t="str">
        <f>"9781424435333"</f>
        <v>9781424435333</v>
      </c>
      <c r="C1741" s="8" t="s">
        <v>9</v>
      </c>
    </row>
    <row r="1742" spans="1:3" x14ac:dyDescent="0.25">
      <c r="A1742" s="8" t="str">
        <f>"2009 IEEE 15th International Mixed-Signals, Sensors, and Systems Test Workshop, IMS3TW '09"</f>
        <v>2009 IEEE 15th International Mixed-Signals, Sensors, and Systems Test Workshop, IMS3TW '09</v>
      </c>
      <c r="B1742" s="8" t="str">
        <f>"9781424446179"</f>
        <v>9781424446179</v>
      </c>
      <c r="C1742" s="8" t="s">
        <v>9</v>
      </c>
    </row>
    <row r="1743" spans="1:3" x14ac:dyDescent="0.25">
      <c r="A1743" s="8" t="str">
        <f>"2009 IEEE 17th Signal Processing and Communications Applications Conference, SIU 2009"</f>
        <v>2009 IEEE 17th Signal Processing and Communications Applications Conference, SIU 2009</v>
      </c>
      <c r="B1743" s="8" t="str">
        <f>"9781424444366"</f>
        <v>9781424444366</v>
      </c>
      <c r="C1743" s="8" t="s">
        <v>9</v>
      </c>
    </row>
    <row r="1744" spans="1:3" x14ac:dyDescent="0.25">
      <c r="A1744" s="8" t="str">
        <f>"2009 IEEE 18th Conference on Electrical Performance of Electronic Packaging and Systems, EPEPS '09"</f>
        <v>2009 IEEE 18th Conference on Electrical Performance of Electronic Packaging and Systems, EPEPS '09</v>
      </c>
      <c r="B1744" s="8" t="str">
        <f>"9781424444472"</f>
        <v>9781424444472</v>
      </c>
      <c r="C1744" s="8" t="s">
        <v>9</v>
      </c>
    </row>
    <row r="1745" spans="1:3" x14ac:dyDescent="0.25">
      <c r="A1745" s="8" t="str">
        <f>"2009 IEEE 28th International Performance Computing and Communications Conference, IPCCC 2009"</f>
        <v>2009 IEEE 28th International Performance Computing and Communications Conference, IPCCC 2009</v>
      </c>
      <c r="B1745" s="8" t="str">
        <f>"9781424457373"</f>
        <v>9781424457373</v>
      </c>
      <c r="C1745" s="8" t="s">
        <v>9</v>
      </c>
    </row>
    <row r="1746" spans="1:3" x14ac:dyDescent="0.25">
      <c r="A1746" s="8" t="str">
        <f>"2009 IEEE 3rd International Conference on Nano/Molecular Medicine and Engineering, NANOMED 2009"</f>
        <v>2009 IEEE 3rd International Conference on Nano/Molecular Medicine and Engineering, NANOMED 2009</v>
      </c>
      <c r="B1746" s="8" t="str">
        <f>"9781424455287"</f>
        <v>9781424455287</v>
      </c>
      <c r="C1746" s="8" t="s">
        <v>9</v>
      </c>
    </row>
    <row r="1747" spans="1:3" x14ac:dyDescent="0.25">
      <c r="A1747" s="8" t="str">
        <f>"2009 IEEE 3rd International Symposium on Advanced Networks and Telecommunication Systems, ANTS 2009"</f>
        <v>2009 IEEE 3rd International Symposium on Advanced Networks and Telecommunication Systems, ANTS 2009</v>
      </c>
      <c r="B1747" s="8" t="str">
        <f>"9781424459896"</f>
        <v>9781424459896</v>
      </c>
      <c r="C1747" s="8" t="s">
        <v>9</v>
      </c>
    </row>
    <row r="1748" spans="1:3" x14ac:dyDescent="0.25">
      <c r="A1748" s="8" t="str">
        <f>"2009 IEEE 6th International Conference on Mobile Adhoc and Sensor Systems, MASS '09"</f>
        <v>2009 IEEE 6th International Conference on Mobile Adhoc and Sensor Systems, MASS '09</v>
      </c>
      <c r="B1748" s="8" t="str">
        <f>"9781424451135"</f>
        <v>9781424451135</v>
      </c>
      <c r="C1748" s="8" t="s">
        <v>9</v>
      </c>
    </row>
    <row r="1749" spans="1:3" x14ac:dyDescent="0.25">
      <c r="A1749" s="8" t="str">
        <f>"2009 IEEE 6th International Power Electronics and Motion Control Conference, IPEMC '09"</f>
        <v>2009 IEEE 6th International Power Electronics and Motion Control Conference, IPEMC '09</v>
      </c>
      <c r="B1749" s="8" t="str">
        <f>"9781424435562"</f>
        <v>9781424435562</v>
      </c>
      <c r="C1749" s="8" t="s">
        <v>9</v>
      </c>
    </row>
    <row r="1750" spans="1:3" x14ac:dyDescent="0.25">
      <c r="A1750" s="8" t="str">
        <f>"2009 IEEE 7th Symposium on Application Specific Processors, SASP 2009"</f>
        <v>2009 IEEE 7th Symposium on Application Specific Processors, SASP 2009</v>
      </c>
      <c r="B1750" s="8" t="str">
        <f>"9781424449385"</f>
        <v>9781424449385</v>
      </c>
      <c r="C1750" s="8" t="s">
        <v>9</v>
      </c>
    </row>
    <row r="1751" spans="1:3" x14ac:dyDescent="0.25">
      <c r="A1751" s="8" t="str">
        <f>"2009 IEEE 8th International Conference on Development and Learning, ICDL 2009"</f>
        <v>2009 IEEE 8th International Conference on Development and Learning, ICDL 2009</v>
      </c>
      <c r="B1751" s="8" t="str">
        <f>"9781424441181"</f>
        <v>9781424441181</v>
      </c>
      <c r="C1751" s="8" t="s">
        <v>9</v>
      </c>
    </row>
    <row r="1752" spans="1:3" x14ac:dyDescent="0.25">
      <c r="A1752" s="8" t="str">
        <f>"2009 IEEE Asia-Pacific Services Computing Conference, APSCC 2009"</f>
        <v>2009 IEEE Asia-Pacific Services Computing Conference, APSCC 2009</v>
      </c>
      <c r="B1752" s="8" t="str">
        <f>"9781424453368"</f>
        <v>9781424453368</v>
      </c>
      <c r="C1752" s="8" t="s">
        <v>9</v>
      </c>
    </row>
    <row r="1753" spans="1:3" x14ac:dyDescent="0.25">
      <c r="A1753" s="8" t="str">
        <f>"2009 IEEE Avionics, Fiber-Optics and Photonics Technology Conference, AVFOP'09"</f>
        <v>2009 IEEE Avionics, Fiber-Optics and Photonics Technology Conference, AVFOP'09</v>
      </c>
      <c r="B1753" s="8" t="str">
        <f>"9781424433582"</f>
        <v>9781424433582</v>
      </c>
      <c r="C1753" s="8" t="s">
        <v>9</v>
      </c>
    </row>
    <row r="1754" spans="1:3" x14ac:dyDescent="0.25">
      <c r="A1754" s="8" t="str">
        <f>"2009 IEEE Biomedical Circuits and Systems Conference, BioCAS 2009"</f>
        <v>2009 IEEE Biomedical Circuits and Systems Conference, BioCAS 2009</v>
      </c>
      <c r="B1754" s="8" t="str">
        <f>"9781424449187"</f>
        <v>9781424449187</v>
      </c>
      <c r="C1754" s="8" t="s">
        <v>9</v>
      </c>
    </row>
    <row r="1755" spans="1:3" x14ac:dyDescent="0.25">
      <c r="A1755" s="8" t="str">
        <f>"2009 IEEE Bucharest PowerTech: Innovative Ideas Toward the Electrical Grid of the Future"</f>
        <v>2009 IEEE Bucharest PowerTech: Innovative Ideas Toward the Electrical Grid of the Future</v>
      </c>
      <c r="B1755" s="8" t="str">
        <f>"9781424422357"</f>
        <v>9781424422357</v>
      </c>
      <c r="C1755" s="8" t="s">
        <v>9</v>
      </c>
    </row>
    <row r="1756" spans="1:3" x14ac:dyDescent="0.25">
      <c r="A1756" s="8" t="str">
        <f>"2009 IEEE Circuits and Systems International Conference on Testing and Diagnosis, ICTD'09"</f>
        <v>2009 IEEE Circuits and Systems International Conference on Testing and Diagnosis, ICTD'09</v>
      </c>
      <c r="B1756" s="8" t="str">
        <f>"9781424425877"</f>
        <v>9781424425877</v>
      </c>
      <c r="C1756" s="8" t="s">
        <v>9</v>
      </c>
    </row>
    <row r="1757" spans="1:3" x14ac:dyDescent="0.25">
      <c r="A1757" s="8" t="str">
        <f>"2009 IEEE Computer Society Conference on Computer Vision and Pattern Recognition Workshops, CVPR Workshops 2009"</f>
        <v>2009 IEEE Computer Society Conference on Computer Vision and Pattern Recognition Workshops, CVPR Workshops 2009</v>
      </c>
      <c r="B1757" s="8" t="str">
        <f>"9781424439935"</f>
        <v>9781424439935</v>
      </c>
      <c r="C1757" s="8" t="s">
        <v>9</v>
      </c>
    </row>
    <row r="1758" spans="1:3" x14ac:dyDescent="0.25">
      <c r="A1758" s="8" t="str">
        <f>"2009 IEEE Computer Society Conference on Computer Vision and Pattern Recognition, CVPR Workshops 2009"</f>
        <v>2009 IEEE Computer Society Conference on Computer Vision and Pattern Recognition, CVPR Workshops 2009</v>
      </c>
      <c r="B1758" s="8" t="str">
        <f>"9781424439935"</f>
        <v>9781424439935</v>
      </c>
      <c r="C1758" s="8" t="s">
        <v>9</v>
      </c>
    </row>
    <row r="1759" spans="1:3" x14ac:dyDescent="0.25">
      <c r="A1759" s="8" t="str">
        <f>"2009 IEEE Conference on Commerce and Enterprise Computing, CEC 2009"</f>
        <v>2009 IEEE Conference on Commerce and Enterprise Computing, CEC 2009</v>
      </c>
      <c r="B1759" s="8" t="str">
        <f>"9780769537559"</f>
        <v>9780769537559</v>
      </c>
      <c r="C1759" s="8" t="s">
        <v>9</v>
      </c>
    </row>
    <row r="1760" spans="1:3" x14ac:dyDescent="0.25">
      <c r="A1760" s="8" t="str">
        <f>"2009 IEEE Conference on Computer Vision and Pattern Recognition, CVPR 2009"</f>
        <v>2009 IEEE Conference on Computer Vision and Pattern Recognition, CVPR 2009</v>
      </c>
      <c r="B1760" s="8" t="str">
        <f>"9781424439911"</f>
        <v>9781424439911</v>
      </c>
      <c r="C1760" s="8" t="s">
        <v>9</v>
      </c>
    </row>
    <row r="1761" spans="1:3" x14ac:dyDescent="0.25">
      <c r="A1761" s="8" t="str">
        <f>"2009 IEEE Conference on Technologies for Homeland Security, HST 2009"</f>
        <v>2009 IEEE Conference on Technologies for Homeland Security, HST 2009</v>
      </c>
      <c r="B1761" s="8" t="str">
        <f>"9781424441785"</f>
        <v>9781424441785</v>
      </c>
      <c r="C1761" s="8" t="s">
        <v>9</v>
      </c>
    </row>
    <row r="1762" spans="1:3" x14ac:dyDescent="0.25">
      <c r="A1762" s="8" t="str">
        <f>"2009 IEEE Congress on Evolutionary Computation, CEC 2009"</f>
        <v>2009 IEEE Congress on Evolutionary Computation, CEC 2009</v>
      </c>
      <c r="B1762" s="8" t="str">
        <f>"9781424429592"</f>
        <v>9781424429592</v>
      </c>
      <c r="C1762" s="8" t="s">
        <v>9</v>
      </c>
    </row>
    <row r="1763" spans="1:3" x14ac:dyDescent="0.25">
      <c r="A1763" s="8" t="str">
        <f>"2009 IEEE Electrical Design of Advanced Packaging and Systems Symposium, EDAPS 2009"</f>
        <v>2009 IEEE Electrical Design of Advanced Packaging and Systems Symposium, EDAPS 2009</v>
      </c>
      <c r="B1763" s="8" t="str">
        <f>"9781424453504"</f>
        <v>9781424453504</v>
      </c>
      <c r="C1763" s="8" t="s">
        <v>9</v>
      </c>
    </row>
    <row r="1764" spans="1:3" x14ac:dyDescent="0.25">
      <c r="A1764" s="8" t="str">
        <f>"2009 IEEE Electrical Insulation Conference, EIC 2009"</f>
        <v>2009 IEEE Electrical Insulation Conference, EIC 2009</v>
      </c>
      <c r="B1764" s="8" t="str">
        <f>"9781424439171"</f>
        <v>9781424439171</v>
      </c>
      <c r="C1764" s="8" t="s">
        <v>9</v>
      </c>
    </row>
    <row r="1765" spans="1:3" x14ac:dyDescent="0.25">
      <c r="A1765" s="8" t="str">
        <f>"2009 IEEE Electrical Power and Energy Conference, EPEC 2009"</f>
        <v>2009 IEEE Electrical Power and Energy Conference, EPEC 2009</v>
      </c>
      <c r="B1765" s="8" t="str">
        <f>"9781424445080"</f>
        <v>9781424445080</v>
      </c>
      <c r="C1765" s="8" t="s">
        <v>9</v>
      </c>
    </row>
    <row r="1766" spans="1:3" x14ac:dyDescent="0.25">
      <c r="A1766" s="8" t="str">
        <f>"2009 IEEE Energy Conversion Congress and Exposition, ECCE 2009"</f>
        <v>2009 IEEE Energy Conversion Congress and Exposition, ECCE 2009</v>
      </c>
      <c r="B1766" s="8" t="str">
        <f>"9781424428939"</f>
        <v>9781424428939</v>
      </c>
      <c r="C1766" s="8" t="s">
        <v>9</v>
      </c>
    </row>
    <row r="1767" spans="1:3" x14ac:dyDescent="0.25">
      <c r="A1767" s="8" t="str">
        <f>"2009 IEEE Globecom Workshops, Gc Workshops 2009"</f>
        <v>2009 IEEE Globecom Workshops, Gc Workshops 2009</v>
      </c>
      <c r="B1767" s="8" t="str">
        <f>"9781424456260"</f>
        <v>9781424456260</v>
      </c>
      <c r="C1767" s="8" t="s">
        <v>9</v>
      </c>
    </row>
    <row r="1768" spans="1:3" x14ac:dyDescent="0.25">
      <c r="A1768" s="8" t="str">
        <f>"2009 IEEE Industry Applications Society Annual Meeting"</f>
        <v>2009 IEEE Industry Applications Society Annual Meeting</v>
      </c>
      <c r="B1768" s="8" t="str">
        <f>"9781424434763"</f>
        <v>9781424434763</v>
      </c>
      <c r="C1768" s="8" t="s">
        <v>9</v>
      </c>
    </row>
    <row r="1769" spans="1:3" x14ac:dyDescent="0.25">
      <c r="A1769" s="8" t="str">
        <f>"2009 IEEE Information Theory Workshop, ITW 2009"</f>
        <v>2009 IEEE Information Theory Workshop, ITW 2009</v>
      </c>
      <c r="B1769" s="8" t="str">
        <f>"9781424449835"</f>
        <v>9781424449835</v>
      </c>
      <c r="C1769" s="8" t="s">
        <v>9</v>
      </c>
    </row>
    <row r="1770" spans="1:3" x14ac:dyDescent="0.25">
      <c r="A1770" s="8" t="str">
        <f>"2009 IEEE International Advance Computing Conference, IACC 2009"</f>
        <v>2009 IEEE International Advance Computing Conference, IACC 2009</v>
      </c>
      <c r="B1770" s="8" t="str">
        <f>"9781424429288"</f>
        <v>9781424429288</v>
      </c>
      <c r="C1770" s="8" t="s">
        <v>9</v>
      </c>
    </row>
    <row r="1771" spans="1:3" x14ac:dyDescent="0.25">
      <c r="A1771" s="8" t="str">
        <f>"2009 IEEE International Conference on 3D System Integration, 3DIC 2009"</f>
        <v>2009 IEEE International Conference on 3D System Integration, 3DIC 2009</v>
      </c>
      <c r="B1771" s="8" t="str">
        <f>"9781424445127"</f>
        <v>9781424445127</v>
      </c>
      <c r="C1771" s="8" t="s">
        <v>9</v>
      </c>
    </row>
    <row r="1772" spans="1:3" x14ac:dyDescent="0.25">
      <c r="A1772" s="8" t="str">
        <f>"2009 IEEE International Conference on Automation Science and Engineering, CASE 2009"</f>
        <v>2009 IEEE International Conference on Automation Science and Engineering, CASE 2009</v>
      </c>
      <c r="B1772" s="8" t="str">
        <f>"9781424445783"</f>
        <v>9781424445783</v>
      </c>
      <c r="C1772" s="8" t="s">
        <v>9</v>
      </c>
    </row>
    <row r="1773" spans="1:3" x14ac:dyDescent="0.25">
      <c r="A1773" s="8" t="str">
        <f>"2009 IEEE International Conference on Bioinformatics and Biomedicine, BIBM 2009"</f>
        <v>2009 IEEE International Conference on Bioinformatics and Biomedicine, BIBM 2009</v>
      </c>
      <c r="B1773" s="8" t="str">
        <f>"9780769538853"</f>
        <v>9780769538853</v>
      </c>
      <c r="C1773" s="8" t="s">
        <v>9</v>
      </c>
    </row>
    <row r="1774" spans="1:3" x14ac:dyDescent="0.25">
      <c r="A1774" s="8" t="str">
        <f>"2009 IEEE International Conference on Computational Intelligence for Measurement Systems and Applications, CIMSA 2009"</f>
        <v>2009 IEEE International Conference on Computational Intelligence for Measurement Systems and Applications, CIMSA 2009</v>
      </c>
      <c r="B1774" s="8" t="str">
        <f>"9781424438204"</f>
        <v>9781424438204</v>
      </c>
      <c r="C1774" s="8" t="s">
        <v>9</v>
      </c>
    </row>
    <row r="1775" spans="1:3" x14ac:dyDescent="0.25">
      <c r="A1775" s="8" t="str">
        <f>"2009 IEEE International Conference on Computational Photography, ICCP 09"</f>
        <v>2009 IEEE International Conference on Computational Photography, ICCP 09</v>
      </c>
      <c r="B1775" s="8" t="str">
        <f>"9781424445332"</f>
        <v>9781424445332</v>
      </c>
      <c r="C1775" s="8" t="s">
        <v>21</v>
      </c>
    </row>
    <row r="1776" spans="1:3" x14ac:dyDescent="0.25">
      <c r="A1776" s="8" t="str">
        <f>"2009 IEEE International Conference on Control and Automation, ICCA 2009"</f>
        <v>2009 IEEE International Conference on Control and Automation, ICCA 2009</v>
      </c>
      <c r="B1776" s="8" t="str">
        <f>"9781424447060"</f>
        <v>9781424447060</v>
      </c>
      <c r="C1776" s="8" t="s">
        <v>9</v>
      </c>
    </row>
    <row r="1777" spans="1:3" x14ac:dyDescent="0.25">
      <c r="A1777" s="8" t="str">
        <f>"2009 IEEE International Conference on Electron Devices and Solid-State Circuits, EDSSC 2009"</f>
        <v>2009 IEEE International Conference on Electron Devices and Solid-State Circuits, EDSSC 2009</v>
      </c>
      <c r="B1777" s="8" t="str">
        <f>"9781424442980"</f>
        <v>9781424442980</v>
      </c>
      <c r="C1777" s="8" t="s">
        <v>9</v>
      </c>
    </row>
    <row r="1778" spans="1:3" x14ac:dyDescent="0.25">
      <c r="A1778" s="8" t="str">
        <f>"2009 IEEE International Conference on Granular Computing, GRC 2009"</f>
        <v>2009 IEEE International Conference on Granular Computing, GRC 2009</v>
      </c>
      <c r="B1778" s="8" t="str">
        <f>"9781424448319"</f>
        <v>9781424448319</v>
      </c>
      <c r="C1778" s="8" t="s">
        <v>9</v>
      </c>
    </row>
    <row r="1779" spans="1:3" x14ac:dyDescent="0.25">
      <c r="A1779" s="8" t="str">
        <f>"2009 IEEE International Conference on Grey Systems and Intelligent Services, GSIS 2009"</f>
        <v>2009 IEEE International Conference on Grey Systems and Intelligent Services, GSIS 2009</v>
      </c>
      <c r="B1779" s="8" t="str">
        <f>"9781424449149"</f>
        <v>9781424449149</v>
      </c>
      <c r="C1779" s="8" t="s">
        <v>9</v>
      </c>
    </row>
    <row r="1780" spans="1:3" x14ac:dyDescent="0.25">
      <c r="A1780" s="8" t="str">
        <f>"2009 IEEE International Conference on Information and Automation, ICIA 2009"</f>
        <v>2009 IEEE International Conference on Information and Automation, ICIA 2009</v>
      </c>
      <c r="B1780" s="8" t="str">
        <f>"9781424436088"</f>
        <v>9781424436088</v>
      </c>
      <c r="C1780" s="8" t="s">
        <v>9</v>
      </c>
    </row>
    <row r="1781" spans="1:3" x14ac:dyDescent="0.25">
      <c r="A1781" s="8" t="str">
        <f>"2009 IEEE International Conference on Information Reuse and Integration, IRI 2009"</f>
        <v>2009 IEEE International Conference on Information Reuse and Integration, IRI 2009</v>
      </c>
      <c r="B1781" s="8" t="str">
        <f>"9781424441167"</f>
        <v>9781424441167</v>
      </c>
      <c r="C1781" s="8" t="s">
        <v>9</v>
      </c>
    </row>
    <row r="1782" spans="1:3" x14ac:dyDescent="0.25">
      <c r="A1782" s="8" t="str">
        <f>"2009 IEEE International Conference on Integrated Circuit Design and Technology, ICICDT 2009"</f>
        <v>2009 IEEE International Conference on Integrated Circuit Design and Technology, ICICDT 2009</v>
      </c>
      <c r="B1782" s="8" t="str">
        <f>"9781424429332"</f>
        <v>9781424429332</v>
      </c>
      <c r="C1782" s="8" t="s">
        <v>9</v>
      </c>
    </row>
    <row r="1783" spans="1:3" x14ac:dyDescent="0.25">
      <c r="A1783" s="8" t="str">
        <f>"2009 IEEE International Conference on Intelligence and Security Informatics, ISI 2009"</f>
        <v>2009 IEEE International Conference on Intelligence and Security Informatics, ISI 2009</v>
      </c>
      <c r="B1783" s="8" t="str">
        <f>"9781424441730"</f>
        <v>9781424441730</v>
      </c>
      <c r="C1783" s="8" t="s">
        <v>9</v>
      </c>
    </row>
    <row r="1784" spans="1:3" x14ac:dyDescent="0.25">
      <c r="A1784" s="8" t="str">
        <f>"2009 IEEE International Conference on Internet Multimedia Services Architecture and Applications, IMSAA 2009"</f>
        <v>2009 IEEE International Conference on Internet Multimedia Services Architecture and Applications, IMSAA 2009</v>
      </c>
      <c r="B1784" s="8" t="str">
        <f>"9781424447923"</f>
        <v>9781424447923</v>
      </c>
      <c r="C1784" s="8" t="s">
        <v>9</v>
      </c>
    </row>
    <row r="1785" spans="1:3" x14ac:dyDescent="0.25">
      <c r="A1785" s="8" t="str">
        <f>"2009 IEEE International Conference on Mechatronics and Automation, ICMA 2009"</f>
        <v>2009 IEEE International Conference on Mechatronics and Automation, ICMA 2009</v>
      </c>
      <c r="B1785" s="8" t="str">
        <f>"9781424426935"</f>
        <v>9781424426935</v>
      </c>
      <c r="C1785" s="8" t="s">
        <v>9</v>
      </c>
    </row>
    <row r="1786" spans="1:3" x14ac:dyDescent="0.25">
      <c r="A1786" s="8" t="str">
        <f>"2009 IEEE International Conference on Microelectronic Systems Education, MSE 2009"</f>
        <v>2009 IEEE International Conference on Microelectronic Systems Education, MSE 2009</v>
      </c>
      <c r="B1786" s="8" t="str">
        <f>"9781424444069"</f>
        <v>9781424444069</v>
      </c>
      <c r="C1786" s="8" t="s">
        <v>9</v>
      </c>
    </row>
    <row r="1787" spans="1:3" x14ac:dyDescent="0.25">
      <c r="A1787" s="8" t="str">
        <f>"2009 IEEE International Conference on Microwaves, Communications, Antennas and Electronics Systems, COMCAS 2009"</f>
        <v>2009 IEEE International Conference on Microwaves, Communications, Antennas and Electronics Systems, COMCAS 2009</v>
      </c>
      <c r="B1787" s="8" t="str">
        <f>"9781424439850"</f>
        <v>9781424439850</v>
      </c>
      <c r="C1787" s="8" t="s">
        <v>9</v>
      </c>
    </row>
    <row r="1788" spans="1:3" x14ac:dyDescent="0.25">
      <c r="A1788" s="8" t="str">
        <f>"2009 IEEE International Conference on Rehabilitation Robotics, ICORR 2009"</f>
        <v>2009 IEEE International Conference on Rehabilitation Robotics, ICORR 2009</v>
      </c>
      <c r="B1788" s="8" t="str">
        <f>"9781424437894"</f>
        <v>9781424437894</v>
      </c>
      <c r="C1788" s="8" t="s">
        <v>9</v>
      </c>
    </row>
    <row r="1789" spans="1:3" x14ac:dyDescent="0.25">
      <c r="A1789" s="8" t="str">
        <f>"2009 IEEE International Conference on RFID, RFID 2009"</f>
        <v>2009 IEEE International Conference on RFID, RFID 2009</v>
      </c>
      <c r="B1789" s="8" t="str">
        <f>"9781424433384"</f>
        <v>9781424433384</v>
      </c>
      <c r="C1789" s="8" t="s">
        <v>9</v>
      </c>
    </row>
    <row r="1790" spans="1:3" x14ac:dyDescent="0.25">
      <c r="A1790" s="8" t="str">
        <f>"2009 IEEE International Conference on Robotics and Biomimetics, ROBIO 2009"</f>
        <v>2009 IEEE International Conference on Robotics and Biomimetics, ROBIO 2009</v>
      </c>
      <c r="B1790" s="8" t="str">
        <f>"9781424447756"</f>
        <v>9781424447756</v>
      </c>
      <c r="C1790" s="8" t="s">
        <v>9</v>
      </c>
    </row>
    <row r="1791" spans="1:3" x14ac:dyDescent="0.25">
      <c r="A1791" s="8" t="str">
        <f>"2009 IEEE International Conference on Shape Modeling and Applications, SMI 2009"</f>
        <v>2009 IEEE International Conference on Shape Modeling and Applications, SMI 2009</v>
      </c>
      <c r="B1791" s="8" t="str">
        <f>"9781424440702"</f>
        <v>9781424440702</v>
      </c>
      <c r="C1791" s="8" t="s">
        <v>9</v>
      </c>
    </row>
    <row r="1792" spans="1:3" x14ac:dyDescent="0.25">
      <c r="A1792" s="8" t="str">
        <f>"2009 IEEE International Conference on System of Systems Engineering, SoSE 2009"</f>
        <v>2009 IEEE International Conference on System of Systems Engineering, SoSE 2009</v>
      </c>
      <c r="B1792" s="8" t="str">
        <f>"9781424421732"</f>
        <v>9781424421732</v>
      </c>
      <c r="C1792" s="8" t="s">
        <v>9</v>
      </c>
    </row>
    <row r="1793" spans="1:3" x14ac:dyDescent="0.25">
      <c r="A1793" s="8" t="str">
        <f>"2009 IEEE International Conference on Technologies for Practical Robot Applications, TePRA 2009"</f>
        <v>2009 IEEE International Conference on Technologies for Practical Robot Applications, TePRA 2009</v>
      </c>
      <c r="B1793" s="8" t="str">
        <f>"9781424449927"</f>
        <v>9781424449927</v>
      </c>
      <c r="C1793" s="8" t="s">
        <v>9</v>
      </c>
    </row>
    <row r="1794" spans="1:3" x14ac:dyDescent="0.25">
      <c r="A1794" s="8" t="str">
        <f>"2009 IEEE International Conference on Virtual Environments, Human-Computer Interfaces, and Measurements Systems, VECIMS 2009 - Proceedings"</f>
        <v>2009 IEEE International Conference on Virtual Environments, Human-Computer Interfaces, and Measurements Systems, VECIMS 2009 - Proceedings</v>
      </c>
      <c r="B1794" s="8" t="str">
        <f>"9781424438099"</f>
        <v>9781424438099</v>
      </c>
      <c r="C1794" s="8" t="s">
        <v>9</v>
      </c>
    </row>
    <row r="1795" spans="1:3" x14ac:dyDescent="0.25">
      <c r="A1795" s="8" t="str">
        <f>"2009 IEEE International Conference on Web Services, ICWS 2009"</f>
        <v>2009 IEEE International Conference on Web Services, ICWS 2009</v>
      </c>
      <c r="B1795" s="8" t="str">
        <f>"9780769537092"</f>
        <v>9780769537092</v>
      </c>
      <c r="C1795" s="8" t="s">
        <v>9</v>
      </c>
    </row>
    <row r="1796" spans="1:3" x14ac:dyDescent="0.25">
      <c r="A1796" s="8" t="str">
        <f>"2009 IEEE International Electric Machines and Drives Conference, IEMDC '09"</f>
        <v>2009 IEEE International Electric Machines and Drives Conference, IEMDC '09</v>
      </c>
      <c r="B1796" s="8" t="str">
        <f>"9781424442522"</f>
        <v>9781424442522</v>
      </c>
      <c r="C1796" s="8" t="s">
        <v>9</v>
      </c>
    </row>
    <row r="1797" spans="1:3" x14ac:dyDescent="0.25">
      <c r="A1797" s="8" t="str">
        <f>"2009 IEEE International Frequency Control Symposium Joint with the 22nd European Frequency and Time Forum"</f>
        <v>2009 IEEE International Frequency Control Symposium Joint with the 22nd European Frequency and Time Forum</v>
      </c>
      <c r="B1797" s="8" t="str">
        <f>"9781424435104"</f>
        <v>9781424435104</v>
      </c>
      <c r="C1797" s="8" t="s">
        <v>9</v>
      </c>
    </row>
    <row r="1798" spans="1:3" x14ac:dyDescent="0.25">
      <c r="A1798" s="8" t="str">
        <f>"2009 IEEE International Interconnect Technology Conference, IITC 2009"</f>
        <v>2009 IEEE International Interconnect Technology Conference, IITC 2009</v>
      </c>
      <c r="B1798" s="8" t="str">
        <f>"9781424444939"</f>
        <v>9781424444939</v>
      </c>
      <c r="C1798" s="8" t="s">
        <v>9</v>
      </c>
    </row>
    <row r="1799" spans="1:3" x14ac:dyDescent="0.25">
      <c r="A1799" s="8" t="str">
        <f>"2009 IEEE International Memory Workshop, IMW '09"</f>
        <v>2009 IEEE International Memory Workshop, IMW '09</v>
      </c>
      <c r="B1799" s="8" t="str">
        <f>"9781424437610"</f>
        <v>9781424437610</v>
      </c>
      <c r="C1799" s="8" t="s">
        <v>9</v>
      </c>
    </row>
    <row r="1800" spans="1:3" x14ac:dyDescent="0.25">
      <c r="A1800" s="8" t="str">
        <f>"2009 IEEE International Symposium on a World of Wireless, Mobile and Multimedia Networks and Workshops, WOWMOM 2009"</f>
        <v>2009 IEEE International Symposium on a World of Wireless, Mobile and Multimedia Networks and Workshops, WOWMOM 2009</v>
      </c>
      <c r="B1800" s="8" t="str">
        <f>"9781424444397"</f>
        <v>9781424444397</v>
      </c>
      <c r="C1800" s="8" t="s">
        <v>9</v>
      </c>
    </row>
    <row r="1801" spans="1:3" x14ac:dyDescent="0.25">
      <c r="A1801" s="8" t="str">
        <f>"2009 IEEE International Symposium on Assembly and Manufacturing, ISAM 2009"</f>
        <v>2009 IEEE International Symposium on Assembly and Manufacturing, ISAM 2009</v>
      </c>
      <c r="B1801" s="8" t="str">
        <f>"9781424446278"</f>
        <v>9781424446278</v>
      </c>
      <c r="C1801" s="8" t="s">
        <v>9</v>
      </c>
    </row>
    <row r="1802" spans="1:3" x14ac:dyDescent="0.25">
      <c r="A1802" s="8" t="str">
        <f>"2009 IEEE International Symposium on Broadband Multimedia Systems and Broadcasting, BMSB 2009"</f>
        <v>2009 IEEE International Symposium on Broadband Multimedia Systems and Broadcasting, BMSB 2009</v>
      </c>
      <c r="B1802" s="8" t="str">
        <f>"9781424425914"</f>
        <v>9781424425914</v>
      </c>
      <c r="C1802" s="8" t="s">
        <v>9</v>
      </c>
    </row>
    <row r="1803" spans="1:3" x14ac:dyDescent="0.25">
      <c r="A1803" s="8" t="str">
        <f>"2009 IEEE International Symposium on Diagnostics for Electric Machines, Power Electronics and Drives, SDEMPED 2009"</f>
        <v>2009 IEEE International Symposium on Diagnostics for Electric Machines, Power Electronics and Drives, SDEMPED 2009</v>
      </c>
      <c r="B1803" s="8" t="str">
        <f>"9781424434411"</f>
        <v>9781424434411</v>
      </c>
      <c r="C1803" s="8" t="s">
        <v>9</v>
      </c>
    </row>
    <row r="1804" spans="1:3" x14ac:dyDescent="0.25">
      <c r="A1804" s="8" t="str">
        <f>"2009 IEEE International Symposium on Power Line Communications and its Applications, ISPLC 2009"</f>
        <v>2009 IEEE International Symposium on Power Line Communications and its Applications, ISPLC 2009</v>
      </c>
      <c r="B1804" s="8" t="str">
        <f>"9781424437924"</f>
        <v>9781424437924</v>
      </c>
      <c r="C1804" s="8" t="s">
        <v>9</v>
      </c>
    </row>
    <row r="1805" spans="1:3" x14ac:dyDescent="0.25">
      <c r="A1805" s="8" t="str">
        <f>"2009 IEEE International Symposium on Radio-Frequency Integration Technology, RFIT 2009"</f>
        <v>2009 IEEE International Symposium on Radio-Frequency Integration Technology, RFIT 2009</v>
      </c>
      <c r="B1805" s="8" t="str">
        <f>"9781424450312"</f>
        <v>9781424450312</v>
      </c>
      <c r="C1805" s="8" t="s">
        <v>9</v>
      </c>
    </row>
    <row r="1806" spans="1:3" x14ac:dyDescent="0.25">
      <c r="A1806" s="8" t="str">
        <f>"2009 IEEE International Symposium on Sustainable Systems and Technology, ISSST '09 in Cooperation with 2009 IEEE International Symposium on Technology and Society, ISTAS"</f>
        <v>2009 IEEE International Symposium on Sustainable Systems and Technology, ISSST '09 in Cooperation with 2009 IEEE International Symposium on Technology and Society, ISTAS</v>
      </c>
      <c r="B1806" s="8" t="str">
        <f>"9781424434565"</f>
        <v>9781424434565</v>
      </c>
      <c r="C1806" s="8" t="s">
        <v>9</v>
      </c>
    </row>
    <row r="1807" spans="1:3" x14ac:dyDescent="0.25">
      <c r="A1807" s="8" t="str">
        <f>"2009 IEEE International Symposium on Sustainable Systems and Technology, ISSST 2009"</f>
        <v>2009 IEEE International Symposium on Sustainable Systems and Technology, ISSST 2009</v>
      </c>
      <c r="B1807" s="8" t="str">
        <f>"9781424433254"</f>
        <v>9781424433254</v>
      </c>
      <c r="C1807" s="8" t="s">
        <v>9</v>
      </c>
    </row>
    <row r="1808" spans="1:3" x14ac:dyDescent="0.25">
      <c r="A1808" s="8" t="str">
        <f>"2009 IEEE International Systems Conference Proceedings"</f>
        <v>2009 IEEE International Systems Conference Proceedings</v>
      </c>
      <c r="B1808" s="8" t="str">
        <f>"9781424434633"</f>
        <v>9781424434633</v>
      </c>
      <c r="C1808" s="8" t="s">
        <v>9</v>
      </c>
    </row>
    <row r="1809" spans="1:3" x14ac:dyDescent="0.25">
      <c r="A1809" s="8" t="str">
        <f>"2009 IEEE International Vacuum Electronics Conference, IVEC 2009"</f>
        <v>2009 IEEE International Vacuum Electronics Conference, IVEC 2009</v>
      </c>
      <c r="B1809" s="8" t="str">
        <f>"9781424434992"</f>
        <v>9781424434992</v>
      </c>
      <c r="C1809" s="8" t="s">
        <v>9</v>
      </c>
    </row>
    <row r="1810" spans="1:3" x14ac:dyDescent="0.25">
      <c r="A1810" s="8" t="str">
        <f>"2009 IEEE International Workshop on Advanced Methods for Uncertainty Estimation in Measurement, AMUEM 2009"</f>
        <v>2009 IEEE International Workshop on Advanced Methods for Uncertainty Estimation in Measurement, AMUEM 2009</v>
      </c>
      <c r="B1810" s="8" t="str">
        <f>"9781424435937"</f>
        <v>9781424435937</v>
      </c>
      <c r="C1810" s="8" t="s">
        <v>9</v>
      </c>
    </row>
    <row r="1811" spans="1:3" x14ac:dyDescent="0.25">
      <c r="A1811" s="8" t="str">
        <f>"2009 IEEE International Workshop on Antenna Technology, iWAT 2009"</f>
        <v>2009 IEEE International Workshop on Antenna Technology, iWAT 2009</v>
      </c>
      <c r="B1811" s="8" t="str">
        <f>"9781424443963"</f>
        <v>9781424443963</v>
      </c>
      <c r="C1811" s="8" t="s">
        <v>9</v>
      </c>
    </row>
    <row r="1812" spans="1:3" x14ac:dyDescent="0.25">
      <c r="A1812" s="8" t="str">
        <f>"2009 IEEE International Workshop on Genomic Signal Processing and Statistics, GENSIPS 2009"</f>
        <v>2009 IEEE International Workshop on Genomic Signal Processing and Statistics, GENSIPS 2009</v>
      </c>
      <c r="B1812" s="8" t="str">
        <f>"9781424447619"</f>
        <v>9781424447619</v>
      </c>
      <c r="C1812" s="8" t="s">
        <v>9</v>
      </c>
    </row>
    <row r="1813" spans="1:3" x14ac:dyDescent="0.25">
      <c r="A1813" s="8" t="str">
        <f>"2009 IEEE International Workshop on Haptic Audio Visual Environments and Games, HAVE 2009 - Proceedings"</f>
        <v>2009 IEEE International Workshop on Haptic Audio Visual Environments and Games, HAVE 2009 - Proceedings</v>
      </c>
      <c r="B1813" s="8" t="str">
        <f>"9781424442188"</f>
        <v>9781424442188</v>
      </c>
      <c r="C1813" s="8" t="s">
        <v>9</v>
      </c>
    </row>
    <row r="1814" spans="1:3" x14ac:dyDescent="0.25">
      <c r="A1814" s="8" t="str">
        <f>"2009 IEEE International Workshop on Hardware-Oriented Security and Trust, HOST 2009"</f>
        <v>2009 IEEE International Workshop on Hardware-Oriented Security and Trust, HOST 2009</v>
      </c>
      <c r="B1814" s="8" t="str">
        <f>"9781424448043"</f>
        <v>9781424448043</v>
      </c>
      <c r="C1814" s="8" t="s">
        <v>9</v>
      </c>
    </row>
    <row r="1815" spans="1:3" x14ac:dyDescent="0.25">
      <c r="A1815" s="8" t="str">
        <f>"2009 IEEE International Workshop on Imaging Systems and Techniques, IST 2009 - Proceedings"</f>
        <v>2009 IEEE International Workshop on Imaging Systems and Techniques, IST 2009 - Proceedings</v>
      </c>
      <c r="B1815" s="8" t="str">
        <f>"9781424434831"</f>
        <v>9781424434831</v>
      </c>
      <c r="C1815" s="8" t="s">
        <v>9</v>
      </c>
    </row>
    <row r="1816" spans="1:3" x14ac:dyDescent="0.25">
      <c r="A1816" s="8" t="str">
        <f>"2009 IEEE International Workshop on Medical Measurements and Applications, MeMeA 2009"</f>
        <v>2009 IEEE International Workshop on Medical Measurements and Applications, MeMeA 2009</v>
      </c>
      <c r="B1816" s="8" t="str">
        <f>"9781424435999"</f>
        <v>9781424435999</v>
      </c>
      <c r="C1816" s="8" t="s">
        <v>9</v>
      </c>
    </row>
    <row r="1817" spans="1:3" x14ac:dyDescent="0.25">
      <c r="A1817" s="8" t="str">
        <f>"2009 IEEE International Workshop on Multimedia Signal Processing, MMSP '09"</f>
        <v>2009 IEEE International Workshop on Multimedia Signal Processing, MMSP '09</v>
      </c>
      <c r="B1817" s="8" t="str">
        <f>"9781424444649"</f>
        <v>9781424444649</v>
      </c>
      <c r="C1817" s="8" t="s">
        <v>9</v>
      </c>
    </row>
    <row r="1818" spans="1:3" x14ac:dyDescent="0.25">
      <c r="A1818" s="8" t="str">
        <f>"2009 IEEE International Workshop on Robotic and Sensors Environments, ROSE 2009 - Proceedings"</f>
        <v>2009 IEEE International Workshop on Robotic and Sensors Environments, ROSE 2009 - Proceedings</v>
      </c>
      <c r="B1818" s="8" t="str">
        <f>"9781424447787"</f>
        <v>9781424447787</v>
      </c>
      <c r="C1818" s="8" t="s">
        <v>9</v>
      </c>
    </row>
    <row r="1819" spans="1:3" x14ac:dyDescent="0.25">
      <c r="A1819" s="8" t="str">
        <f>"2009 IEEE International Workshop on Safety, Security and Rescue Robotics, SSRR 2009"</f>
        <v>2009 IEEE International Workshop on Safety, Security and Rescue Robotics, SSRR 2009</v>
      </c>
      <c r="B1819" s="8" t="str">
        <f>"9781424456291"</f>
        <v>9781424456291</v>
      </c>
      <c r="C1819" s="8" t="s">
        <v>9</v>
      </c>
    </row>
    <row r="1820" spans="1:3" x14ac:dyDescent="0.25">
      <c r="A1820" s="8" t="str">
        <f>"2009 IEEE International Workshop Technical Committee on Communications Quality and Reliability, CQR 2009"</f>
        <v>2009 IEEE International Workshop Technical Committee on Communications Quality and Reliability, CQR 2009</v>
      </c>
      <c r="B1820" s="8" t="str">
        <f>"9781424442898"</f>
        <v>9781424442898</v>
      </c>
      <c r="C1820" s="8" t="s">
        <v>9</v>
      </c>
    </row>
    <row r="1821" spans="1:3" x14ac:dyDescent="0.25">
      <c r="A1821" s="8" t="str">
        <f>"2009 IEEE Intrumentation and Measurement Technology Conference, I2MTC 2009"</f>
        <v>2009 IEEE Intrumentation and Measurement Technology Conference, I2MTC 2009</v>
      </c>
      <c r="B1821" s="8" t="str">
        <f>"9781424433537"</f>
        <v>9781424433537</v>
      </c>
      <c r="C1821" s="8" t="s">
        <v>9</v>
      </c>
    </row>
    <row r="1822" spans="1:3" x14ac:dyDescent="0.25">
      <c r="A1822" s="8" t="str">
        <f>"2009 IEEE Latin-American Conference on Communications, LATINCOM '09 - Conference Proceedings"</f>
        <v>2009 IEEE Latin-American Conference on Communications, LATINCOM '09 - Conference Proceedings</v>
      </c>
      <c r="B1822" s="8" t="str">
        <f>"9781424443888"</f>
        <v>9781424443888</v>
      </c>
      <c r="C1822" s="8" t="s">
        <v>9</v>
      </c>
    </row>
    <row r="1823" spans="1:3" x14ac:dyDescent="0.25">
      <c r="A1823" s="8" t="str">
        <f>"2009 IEEE Long Island Systems, Applications and Technology Conference, LISAT 2009"</f>
        <v>2009 IEEE Long Island Systems, Applications and Technology Conference, LISAT 2009</v>
      </c>
      <c r="B1823" s="8" t="str">
        <f>"9781424423484"</f>
        <v>9781424423484</v>
      </c>
      <c r="C1823" s="8" t="s">
        <v>9</v>
      </c>
    </row>
    <row r="1824" spans="1:3" x14ac:dyDescent="0.25">
      <c r="A1824" s="8" t="str">
        <f>"2009 IEEE MTT-S International Microwave Workshop Series on Signal Integrity and High-Speed Interconnects, IMWS 2009"</f>
        <v>2009 IEEE MTT-S International Microwave Workshop Series on Signal Integrity and High-Speed Interconnects, IMWS 2009</v>
      </c>
      <c r="B1824" s="8" t="str">
        <f>"9781424427437"</f>
        <v>9781424427437</v>
      </c>
      <c r="C1824" s="8" t="s">
        <v>9</v>
      </c>
    </row>
    <row r="1825" spans="1:3" x14ac:dyDescent="0.25">
      <c r="A1825" s="8" t="str">
        <f>"2009 IEEE Nanotechnology Materials and Devices Conference, NMDC 2009"</f>
        <v>2009 IEEE Nanotechnology Materials and Devices Conference, NMDC 2009</v>
      </c>
      <c r="B1825" s="8" t="str">
        <f>"9781424446964"</f>
        <v>9781424446964</v>
      </c>
      <c r="C1825" s="8" t="s">
        <v>9</v>
      </c>
    </row>
    <row r="1826" spans="1:3" x14ac:dyDescent="0.25">
      <c r="A1826" s="8" t="str">
        <f>"2009 IEEE Power and Energy Society General Meeting, PES '09"</f>
        <v>2009 IEEE Power and Energy Society General Meeting, PES '09</v>
      </c>
      <c r="B1826" s="8" t="str">
        <f>"9781424442416"</f>
        <v>9781424442416</v>
      </c>
      <c r="C1826" s="8" t="s">
        <v>9</v>
      </c>
    </row>
    <row r="1827" spans="1:3" x14ac:dyDescent="0.25">
      <c r="A1827" s="8" t="str">
        <f>"2009 IEEE Power Electronics and Machines in Wind Applications, PEMWA 2009"</f>
        <v>2009 IEEE Power Electronics and Machines in Wind Applications, PEMWA 2009</v>
      </c>
      <c r="B1827" s="8" t="str">
        <f>"9781424449354"</f>
        <v>9781424449354</v>
      </c>
      <c r="C1827" s="8" t="s">
        <v>9</v>
      </c>
    </row>
    <row r="1828" spans="1:3" x14ac:dyDescent="0.25">
      <c r="A1828" s="8" t="str">
        <f>"2009 IEEE Sarnoff Symposium, SARNOFF 2009 - Conference Proceedings"</f>
        <v>2009 IEEE Sarnoff Symposium, SARNOFF 2009 - Conference Proceedings</v>
      </c>
      <c r="B1828" s="8" t="str">
        <f>"9781424433827"</f>
        <v>9781424433827</v>
      </c>
      <c r="C1828" s="8" t="s">
        <v>9</v>
      </c>
    </row>
    <row r="1829" spans="1:3" x14ac:dyDescent="0.25">
      <c r="A1829" s="8" t="str">
        <f>"2009 IEEE Swarm Intelligence Symposium, SIS 2009 - Proceedings"</f>
        <v>2009 IEEE Swarm Intelligence Symposium, SIS 2009 - Proceedings</v>
      </c>
      <c r="B1829" s="8" t="str">
        <f>"9781424427628"</f>
        <v>9781424427628</v>
      </c>
      <c r="C1829" s="8" t="s">
        <v>9</v>
      </c>
    </row>
    <row r="1830" spans="1:3" x14ac:dyDescent="0.25">
      <c r="A1830" s="8" t="str">
        <f>"2009 IEEE Symposium Computational Intelligence for Multimedia Signal and Vision Processing, CIMSVP 2009 - Proceedings"</f>
        <v>2009 IEEE Symposium Computational Intelligence for Multimedia Signal and Vision Processing, CIMSVP 2009 - Proceedings</v>
      </c>
      <c r="B1830" s="8" t="str">
        <f>"9781424427710"</f>
        <v>9781424427710</v>
      </c>
      <c r="C1830" s="8" t="s">
        <v>9</v>
      </c>
    </row>
    <row r="1831" spans="1:3" x14ac:dyDescent="0.25">
      <c r="A1831" s="8" t="str">
        <f>"2009 IEEE Symposium on Adaptive Dynamic Programming and Reinforcement Learning, ADPRL 2009 - Proceedings"</f>
        <v>2009 IEEE Symposium on Adaptive Dynamic Programming and Reinforcement Learning, ADPRL 2009 - Proceedings</v>
      </c>
      <c r="B1831" s="8" t="str">
        <f>"9781424427611"</f>
        <v>9781424427611</v>
      </c>
      <c r="C1831" s="8" t="s">
        <v>9</v>
      </c>
    </row>
    <row r="1832" spans="1:3" x14ac:dyDescent="0.25">
      <c r="A1832" s="8" t="str">
        <f>"2009 IEEE Symposium on Artificial Life, ALIFE 2009 - Proceedings"</f>
        <v>2009 IEEE Symposium on Artificial Life, ALIFE 2009 - Proceedings</v>
      </c>
      <c r="B1832" s="8" t="str">
        <f>"9781424427635"</f>
        <v>9781424427635</v>
      </c>
      <c r="C1832" s="8" t="s">
        <v>9</v>
      </c>
    </row>
    <row r="1833" spans="1:3" x14ac:dyDescent="0.25">
      <c r="A1833" s="8" t="str">
        <f>"2009 IEEE Symposium on Computational Intelligence and Data Mining, CIDM 2009 - Proceedings"</f>
        <v>2009 IEEE Symposium on Computational Intelligence and Data Mining, CIDM 2009 - Proceedings</v>
      </c>
      <c r="B1833" s="8" t="str">
        <f>"9781424427659"</f>
        <v>9781424427659</v>
      </c>
      <c r="C1833" s="8" t="s">
        <v>9</v>
      </c>
    </row>
    <row r="1834" spans="1:3" x14ac:dyDescent="0.25">
      <c r="A1834" s="8" t="str">
        <f>"2009 IEEE Symposium on Computational Intelligence in Bioinformatics and Computational Biology, CIBCB 2009 - Proceedings"</f>
        <v>2009 IEEE Symposium on Computational Intelligence in Bioinformatics and Computational Biology, CIBCB 2009 - Proceedings</v>
      </c>
      <c r="B1834" s="8" t="str">
        <f>"9781424427567"</f>
        <v>9781424427567</v>
      </c>
      <c r="C1834" s="8" t="s">
        <v>9</v>
      </c>
    </row>
    <row r="1835" spans="1:3" x14ac:dyDescent="0.25">
      <c r="A1835" s="8" t="str">
        <f>"2009 IEEE Symposium on Computational Intelligence in Control and Automation, CICA 2009 - Proceedings"</f>
        <v>2009 IEEE Symposium on Computational Intelligence in Control and Automation, CICA 2009 - Proceedings</v>
      </c>
      <c r="B1835" s="8" t="str">
        <f>"9781424427529"</f>
        <v>9781424427529</v>
      </c>
      <c r="C1835" s="8" t="s">
        <v>9</v>
      </c>
    </row>
    <row r="1836" spans="1:3" x14ac:dyDescent="0.25">
      <c r="A1836" s="8" t="str">
        <f>"2009 IEEE Symposium on Computational Intelligence in Cyber Security, CICS 2009 - Proceedings"</f>
        <v>2009 IEEE Symposium on Computational Intelligence in Cyber Security, CICS 2009 - Proceedings</v>
      </c>
      <c r="B1836" s="8" t="str">
        <f>"9781424427697"</f>
        <v>9781424427697</v>
      </c>
      <c r="C1836" s="8" t="s">
        <v>9</v>
      </c>
    </row>
    <row r="1837" spans="1:3" x14ac:dyDescent="0.25">
      <c r="A1837" s="8" t="str">
        <f>"2009 IEEE Symposium on Computational Intelligence in Image Processing, CIIP 2009 - Proceedings"</f>
        <v>2009 IEEE Symposium on Computational Intelligence in Image Processing, CIIP 2009 - Proceedings</v>
      </c>
      <c r="B1837" s="8" t="str">
        <f>"9781424427604"</f>
        <v>9781424427604</v>
      </c>
      <c r="C1837" s="8" t="s">
        <v>9</v>
      </c>
    </row>
    <row r="1838" spans="1:3" x14ac:dyDescent="0.25">
      <c r="A1838" s="8" t="str">
        <f>"2009 IEEE Symposium on Computational Intelligence in Multi-Criteria Decision-Making, MCDM 2009 - Proceedings"</f>
        <v>2009 IEEE Symposium on Computational Intelligence in Multi-Criteria Decision-Making, MCDM 2009 - Proceedings</v>
      </c>
      <c r="B1838" s="8" t="str">
        <f>"9781424427642"</f>
        <v>9781424427642</v>
      </c>
      <c r="C1838" s="8" t="s">
        <v>9</v>
      </c>
    </row>
    <row r="1839" spans="1:3" x14ac:dyDescent="0.25">
      <c r="A1839" s="8" t="str">
        <f>"2009 IEEE Symposium on Computational Intelligence in Scheduling, CI-Sched 2009 - Proceedings"</f>
        <v>2009 IEEE Symposium on Computational Intelligence in Scheduling, CI-Sched 2009 - Proceedings</v>
      </c>
      <c r="B1839" s="8" t="str">
        <f>"9781424427574"</f>
        <v>9781424427574</v>
      </c>
      <c r="C1839" s="8" t="s">
        <v>9</v>
      </c>
    </row>
    <row r="1840" spans="1:3" x14ac:dyDescent="0.25">
      <c r="A1840" s="8" t="str">
        <f>"2009 IEEE Symposium on Industrial Electronics and Applications, ISIEA 2009 - Proceedings"</f>
        <v>2009 IEEE Symposium on Industrial Electronics and Applications, ISIEA 2009 - Proceedings</v>
      </c>
      <c r="B1840" s="8" t="str">
        <f>"9781424446827"</f>
        <v>9781424446827</v>
      </c>
      <c r="C1840" s="8" t="s">
        <v>9</v>
      </c>
    </row>
    <row r="1841" spans="1:3" x14ac:dyDescent="0.25">
      <c r="A1841" s="8" t="str">
        <f>"2009 IEEE Symposium on Intelligent Agents, IA 2009 - Proceedings"</f>
        <v>2009 IEEE Symposium on Intelligent Agents, IA 2009 - Proceedings</v>
      </c>
      <c r="B1841" s="8" t="str">
        <f>"9781424427673"</f>
        <v>9781424427673</v>
      </c>
      <c r="C1841" s="8" t="s">
        <v>9</v>
      </c>
    </row>
    <row r="1842" spans="1:3" x14ac:dyDescent="0.25">
      <c r="A1842" s="8" t="str">
        <f>"2009 IEEE Symposium on Product Compliance Engineering, PSES 2009 - Proceedings"</f>
        <v>2009 IEEE Symposium on Product Compliance Engineering, PSES 2009 - Proceedings</v>
      </c>
      <c r="B1842" s="8" t="str">
        <f>"9781424433063"</f>
        <v>9781424433063</v>
      </c>
      <c r="C1842" s="8" t="s">
        <v>9</v>
      </c>
    </row>
    <row r="1843" spans="1:3" x14ac:dyDescent="0.25">
      <c r="A1843" s="8" t="str">
        <f>"2009 IEEE Symposium on Visual Languages and Human-Centric Computing, VL/HCC 2009"</f>
        <v>2009 IEEE Symposium on Visual Languages and Human-Centric Computing, VL/HCC 2009</v>
      </c>
      <c r="B1843" s="8" t="str">
        <f>"9781424448760"</f>
        <v>9781424448760</v>
      </c>
      <c r="C1843" s="8" t="s">
        <v>9</v>
      </c>
    </row>
    <row r="1844" spans="1:3" x14ac:dyDescent="0.25">
      <c r="A1844" s="8" t="str">
        <f>"2009 IEEE Systems and Information Engineering Design Symposium, SIEDS '09"</f>
        <v>2009 IEEE Systems and Information Engineering Design Symposium, SIEDS '09</v>
      </c>
      <c r="B1844" s="8" t="str">
        <f>"9781424445325"</f>
        <v>9781424445325</v>
      </c>
      <c r="C1844" s="8" t="s">
        <v>9</v>
      </c>
    </row>
    <row r="1845" spans="1:3" x14ac:dyDescent="0.25">
      <c r="A1845" s="8" t="str">
        <f>"2009 IEEE Vehicular Networking Conference, VNC 2009"</f>
        <v>2009 IEEE Vehicular Networking Conference, VNC 2009</v>
      </c>
      <c r="B1845" s="8" t="str">
        <f>"9781424456857"</f>
        <v>9781424456857</v>
      </c>
      <c r="C1845" s="8" t="s">
        <v>9</v>
      </c>
    </row>
    <row r="1846" spans="1:3" x14ac:dyDescent="0.25">
      <c r="A1846" s="8" t="str">
        <f>"2009 IEEE Workshop on Advanced Robotics and Its Social Impacts, ARSO2009 - Workshop Proceedings"</f>
        <v>2009 IEEE Workshop on Advanced Robotics and Its Social Impacts, ARSO2009 - Workshop Proceedings</v>
      </c>
      <c r="B1846" s="8" t="str">
        <f>"9781424443949"</f>
        <v>9781424443949</v>
      </c>
      <c r="C1846" s="8" t="s">
        <v>9</v>
      </c>
    </row>
    <row r="1847" spans="1:3" x14ac:dyDescent="0.25">
      <c r="A1847" s="8" t="str">
        <f>"2009 IEEE Workshop on Computational Intelligence for Visual Intelligence, CIVI 2009 - Proceedings"</f>
        <v>2009 IEEE Workshop on Computational Intelligence for Visual Intelligence, CIVI 2009 - Proceedings</v>
      </c>
      <c r="B1847" s="8" t="str">
        <f>"9781424427758"</f>
        <v>9781424427758</v>
      </c>
      <c r="C1847" s="8" t="s">
        <v>9</v>
      </c>
    </row>
    <row r="1848" spans="1:3" x14ac:dyDescent="0.25">
      <c r="A1848" s="8" t="str">
        <f>"2009 IEEE Workshop on Computational Intelligence in Biometrics: Theory, Algorithms, and Applications, CIB 2009 - Proceedings"</f>
        <v>2009 IEEE Workshop on Computational Intelligence in Biometrics: Theory, Algorithms, and Applications, CIB 2009 - Proceedings</v>
      </c>
      <c r="B1848" s="8" t="str">
        <f>"9781424427734"</f>
        <v>9781424427734</v>
      </c>
      <c r="C1848" s="8" t="s">
        <v>9</v>
      </c>
    </row>
    <row r="1849" spans="1:3" x14ac:dyDescent="0.25">
      <c r="A1849" s="8" t="str">
        <f>"2009 IEEE Workshop on Computational Intelligence in Vehicles and Vehicular Systems, CIVVS 2009 - Proceedings"</f>
        <v>2009 IEEE Workshop on Computational Intelligence in Vehicles and Vehicular Systems, CIVVS 2009 - Proceedings</v>
      </c>
      <c r="B1849" s="8" t="str">
        <f>"9781424427703"</f>
        <v>9781424427703</v>
      </c>
      <c r="C1849" s="8" t="s">
        <v>9</v>
      </c>
    </row>
    <row r="1850" spans="1:3" x14ac:dyDescent="0.25">
      <c r="A1850" s="8" t="str">
        <f>"2009 IEEE Workshop on Computational Intelligence in Virtual Environments, CIVE 2009 - Proceedings"</f>
        <v>2009 IEEE Workshop on Computational Intelligence in Virtual Environments, CIVE 2009 - Proceedings</v>
      </c>
      <c r="B1850" s="8" t="str">
        <f>"9781424427727"</f>
        <v>9781424427727</v>
      </c>
      <c r="C1850" s="8" t="s">
        <v>9</v>
      </c>
    </row>
    <row r="1851" spans="1:3" x14ac:dyDescent="0.25">
      <c r="A1851" s="8" t="str">
        <f>"2009 IEEE Workshop on Environmental, Energy, and Structural Monitoring Systems, EESMS 2009 - Proceedings"</f>
        <v>2009 IEEE Workshop on Environmental, Energy, and Structural Monitoring Systems, EESMS 2009 - Proceedings</v>
      </c>
      <c r="B1851" s="8" t="str">
        <f>"9781424448487"</f>
        <v>9781424448487</v>
      </c>
      <c r="C1851" s="8" t="s">
        <v>9</v>
      </c>
    </row>
    <row r="1852" spans="1:3" x14ac:dyDescent="0.25">
      <c r="A1852" s="8" t="str">
        <f>"2009 IEEE Workshop on Evolvable and Adaptive Hardware, WEAH 2009 - Proceedings"</f>
        <v>2009 IEEE Workshop on Evolvable and Adaptive Hardware, WEAH 2009 - Proceedings</v>
      </c>
      <c r="B1852" s="8" t="str">
        <f>"9781424427550"</f>
        <v>9781424427550</v>
      </c>
      <c r="C1852" s="8" t="s">
        <v>9</v>
      </c>
    </row>
    <row r="1853" spans="1:3" x14ac:dyDescent="0.25">
      <c r="A1853" s="8" t="str">
        <f>"2009 IEEE Workshop on Evolving and Self-Developing Intelligent Systems, ESDIS 2009 - Proceedings"</f>
        <v>2009 IEEE Workshop on Evolving and Self-Developing Intelligent Systems, ESDIS 2009 - Proceedings</v>
      </c>
      <c r="B1853" s="8" t="str">
        <f>"9781424427543"</f>
        <v>9781424427543</v>
      </c>
      <c r="C1853" s="8" t="s">
        <v>9</v>
      </c>
    </row>
    <row r="1854" spans="1:3" x14ac:dyDescent="0.25">
      <c r="A1854" s="8" t="str">
        <f>"2009 IEEE Workshop on Hybrid Intelligent Models and Applications, HIMA 2009 - Proceedings"</f>
        <v>2009 IEEE Workshop on Hybrid Intelligent Models and Applications, HIMA 2009 - Proceedings</v>
      </c>
      <c r="B1854" s="8" t="str">
        <f>"9781424427581"</f>
        <v>9781424427581</v>
      </c>
      <c r="C1854" s="8" t="s">
        <v>9</v>
      </c>
    </row>
    <row r="1855" spans="1:3" x14ac:dyDescent="0.25">
      <c r="A1855" s="8" t="str">
        <f>"2009 IEEE Workshop on Microelectronics and Electron Devices, WMED 2009"</f>
        <v>2009 IEEE Workshop on Microelectronics and Electron Devices, WMED 2009</v>
      </c>
      <c r="B1855" s="8" t="str">
        <f>"9781424435524"</f>
        <v>9781424435524</v>
      </c>
      <c r="C1855" s="8" t="s">
        <v>9</v>
      </c>
    </row>
    <row r="1856" spans="1:3" x14ac:dyDescent="0.25">
      <c r="A1856" s="8" t="str">
        <f>"2009 IEEE Workshop on Robotic Intelligence in Informationally Structured Space, RiiSS 2009 - Proceedings"</f>
        <v>2009 IEEE Workshop on Robotic Intelligence in Informationally Structured Space, RiiSS 2009 - Proceedings</v>
      </c>
      <c r="B1856" s="8" t="str">
        <f>"9781424427536"</f>
        <v>9781424427536</v>
      </c>
      <c r="C1856" s="8" t="s">
        <v>9</v>
      </c>
    </row>
    <row r="1857" spans="1:3" x14ac:dyDescent="0.25">
      <c r="A1857" s="8" t="str">
        <f>"2009 IEEE Workshop on Signal Propagation on Interconnects, SPI '09"</f>
        <v>2009 IEEE Workshop on Signal Propagation on Interconnects, SPI '09</v>
      </c>
      <c r="B1857" s="8" t="str">
        <f>"9781424444892"</f>
        <v>9781424444892</v>
      </c>
      <c r="C1857" s="8" t="s">
        <v>9</v>
      </c>
    </row>
    <row r="1858" spans="1:3" x14ac:dyDescent="0.25">
      <c r="A1858" s="8" t="str">
        <f>"2009 IEEE/ACM International Symposium on Nanoscale Architectures, NANOARCH 2009"</f>
        <v>2009 IEEE/ACM International Symposium on Nanoscale Architectures, NANOARCH 2009</v>
      </c>
      <c r="B1858" s="8" t="str">
        <f>"9781424449576"</f>
        <v>9781424449576</v>
      </c>
      <c r="C1858" s="8" t="s">
        <v>9</v>
      </c>
    </row>
    <row r="1859" spans="1:3" x14ac:dyDescent="0.25">
      <c r="A1859" s="8" t="str">
        <f>"2009 IEEE/ACM/IFIP 7th Workshop on Embedded Systems for Real-Time Multimedia, ESTIMedia 2009"</f>
        <v>2009 IEEE/ACM/IFIP 7th Workshop on Embedded Systems for Real-Time Multimedia, ESTIMedia 2009</v>
      </c>
      <c r="B1859" s="8" t="str">
        <f>"9781424451708"</f>
        <v>9781424451708</v>
      </c>
      <c r="C1859" s="8" t="s">
        <v>9</v>
      </c>
    </row>
    <row r="1860" spans="1:3" x14ac:dyDescent="0.25">
      <c r="A1860" s="8" t="str">
        <f>"2009 IEEE/ACS International Conference on Computer Systems and Applications, AICCSA 2009"</f>
        <v>2009 IEEE/ACS International Conference on Computer Systems and Applications, AICCSA 2009</v>
      </c>
      <c r="B1860" s="8" t="str">
        <f>"9781424438068"</f>
        <v>9781424438068</v>
      </c>
      <c r="C1860" s="8" t="s">
        <v>9</v>
      </c>
    </row>
    <row r="1861" spans="1:3" x14ac:dyDescent="0.25">
      <c r="A1861" s="8" t="str">
        <f>"2009 IEEE/INFORMS International Conference on Service Operations, Logistics and Informatics, SOLI 2009"</f>
        <v>2009 IEEE/INFORMS International Conference on Service Operations, Logistics and Informatics, SOLI 2009</v>
      </c>
      <c r="B1861" s="8" t="str">
        <f>"9781424435418"</f>
        <v>9781424435418</v>
      </c>
      <c r="C1861" s="8" t="s">
        <v>9</v>
      </c>
    </row>
    <row r="1862" spans="1:3" x14ac:dyDescent="0.25">
      <c r="A1862" s="8" t="str">
        <f>"2009 IEEE/LEOS International Conference on Optical MEMS and Nanophotonics, OPTMEMS 2009"</f>
        <v>2009 IEEE/LEOS International Conference on Optical MEMS and Nanophotonics, OPTMEMS 2009</v>
      </c>
      <c r="B1862" s="8" t="str">
        <f>"9781424423828"</f>
        <v>9781424423828</v>
      </c>
      <c r="C1862" s="8" t="s">
        <v>9</v>
      </c>
    </row>
    <row r="1863" spans="1:3" x14ac:dyDescent="0.25">
      <c r="A1863" s="8" t="str">
        <f>"2009 IEEE/NIH Life Science Systems and Applications Workshop, LiSSA 2009"</f>
        <v>2009 IEEE/NIH Life Science Systems and Applications Workshop, LiSSA 2009</v>
      </c>
      <c r="B1863" s="8" t="str">
        <f>"9781424442935"</f>
        <v>9781424442935</v>
      </c>
      <c r="C1863" s="8" t="s">
        <v>9</v>
      </c>
    </row>
    <row r="1864" spans="1:3" x14ac:dyDescent="0.25">
      <c r="A1864" s="8" t="str">
        <f>"2009 IEEE/PES Power Systems Conference and Exposition, PSCE 2009"</f>
        <v>2009 IEEE/PES Power Systems Conference and Exposition, PSCE 2009</v>
      </c>
      <c r="B1864" s="8" t="str">
        <f>"9781424438112"</f>
        <v>9781424438112</v>
      </c>
      <c r="C1864" s="8" t="s">
        <v>9</v>
      </c>
    </row>
    <row r="1865" spans="1:3" x14ac:dyDescent="0.25">
      <c r="A1865" s="8" t="str">
        <f>"2009 IEEE/RSJ International Conference on Intelligent Robots and Systems, IROS 2009"</f>
        <v>2009 IEEE/RSJ International Conference on Intelligent Robots and Systems, IROS 2009</v>
      </c>
      <c r="B1865" s="8" t="str">
        <f>"9781424438044"</f>
        <v>9781424438044</v>
      </c>
      <c r="C1865" s="8" t="s">
        <v>9</v>
      </c>
    </row>
    <row r="1866" spans="1:3" x14ac:dyDescent="0.25">
      <c r="A1866" s="8" t="str">
        <f>"2009 IEEE/SICE International Symposium on System Integration: SI International 2008 - The 2nd Symposium on System Integration"</f>
        <v>2009 IEEE/SICE International Symposium on System Integration: SI International 2008 - The 2nd Symposium on System Integration</v>
      </c>
      <c r="B1866" s="8" t="str">
        <f>"9781424459070"</f>
        <v>9781424459070</v>
      </c>
      <c r="C1866" s="8" t="s">
        <v>9</v>
      </c>
    </row>
    <row r="1867" spans="1:3" x14ac:dyDescent="0.25">
      <c r="A1867" s="8" t="str">
        <f>"2009 IEEE-RIVF International Conference on Computing and Communication Technologies: Research, Innovation and Vision for the Future, RIVF 2009"</f>
        <v>2009 IEEE-RIVF International Conference on Computing and Communication Technologies: Research, Innovation and Vision for the Future, RIVF 2009</v>
      </c>
      <c r="B1867" s="8" t="str">
        <f>"9781424445684"</f>
        <v>9781424445684</v>
      </c>
      <c r="C1867" s="8" t="s">
        <v>9</v>
      </c>
    </row>
    <row r="1868" spans="1:3" x14ac:dyDescent="0.25">
      <c r="A1868" s="8" t="str">
        <f>"2009 IFIP International Conference on Wireless and Optical Communications Networks, WOCN 2009"</f>
        <v>2009 IFIP International Conference on Wireless and Optical Communications Networks, WOCN 2009</v>
      </c>
      <c r="B1868" s="8" t="str">
        <f>"9781424434749"</f>
        <v>9781424434749</v>
      </c>
      <c r="C1868" s="8" t="s">
        <v>9</v>
      </c>
    </row>
    <row r="1869" spans="1:3" x14ac:dyDescent="0.25">
      <c r="A1869" s="8" t="str">
        <f>"2009 IFIP/IEEE International Symposium on Integrated Network Management, IM 2009"</f>
        <v>2009 IFIP/IEEE International Symposium on Integrated Network Management, IM 2009</v>
      </c>
      <c r="B1869" s="8" t="str">
        <f>"9781424434879"</f>
        <v>9781424434879</v>
      </c>
      <c r="C1869" s="8" t="s">
        <v>9</v>
      </c>
    </row>
    <row r="1870" spans="1:3" x14ac:dyDescent="0.25">
      <c r="A1870" s="8" t="str">
        <f>"2009 IFIP/IEEE International Symposium on Integrated Network Management-Workshops, IM 2009"</f>
        <v>2009 IFIP/IEEE International Symposium on Integrated Network Management-Workshops, IM 2009</v>
      </c>
      <c r="B1870" s="8" t="str">
        <f>"9781424439249"</f>
        <v>9781424439249</v>
      </c>
      <c r="C1870" s="8" t="s">
        <v>9</v>
      </c>
    </row>
    <row r="1871" spans="1:3" x14ac:dyDescent="0.25">
      <c r="A1871" s="8" t="str">
        <f>"2009 Innovative Technologies in Intelligent Systems and Industrial Applications, CITISIA 2009"</f>
        <v>2009 Innovative Technologies in Intelligent Systems and Industrial Applications, CITISIA 2009</v>
      </c>
      <c r="B1871" s="8" t="str">
        <f>"9781424428878"</f>
        <v>9781424428878</v>
      </c>
      <c r="C1871" s="8" t="s">
        <v>9</v>
      </c>
    </row>
    <row r="1872" spans="1:3" x14ac:dyDescent="0.25">
      <c r="A1872" s="8" t="str">
        <f>"2009 International Association of Computer Science and Information Technology - Spring Conference, IACSIT-SC 2009"</f>
        <v>2009 International Association of Computer Science and Information Technology - Spring Conference, IACSIT-SC 2009</v>
      </c>
      <c r="B1872" s="8" t="str">
        <f>"9780769536538"</f>
        <v>9780769536538</v>
      </c>
      <c r="C1872" s="8" t="s">
        <v>9</v>
      </c>
    </row>
    <row r="1873" spans="1:3" x14ac:dyDescent="0.25">
      <c r="A1873" s="8" t="str">
        <f>"2009 International Conference on Advanced Robotics, ICAR 2009"</f>
        <v>2009 International Conference on Advanced Robotics, ICAR 2009</v>
      </c>
      <c r="B1873" s="8" t="str">
        <f>"9781424448555"</f>
        <v>9781424448555</v>
      </c>
      <c r="C1873" s="8" t="s">
        <v>9</v>
      </c>
    </row>
    <row r="1874" spans="1:3" x14ac:dyDescent="0.25">
      <c r="A1874" s="8" t="str">
        <f>"2009 International Conference on Advances in Computational Tools for Engineering Applications, ACTEA 2009"</f>
        <v>2009 International Conference on Advances in Computational Tools for Engineering Applications, ACTEA 2009</v>
      </c>
      <c r="B1874" s="8" t="str">
        <f>"9781424438341"</f>
        <v>9781424438341</v>
      </c>
      <c r="C1874" s="8" t="s">
        <v>9</v>
      </c>
    </row>
    <row r="1875" spans="1:3" x14ac:dyDescent="0.25">
      <c r="A1875" s="8" t="str">
        <f>"2009 International Conference on Apperceiving Computing and Intelligence Analysis, ICACIA 2009"</f>
        <v>2009 International Conference on Apperceiving Computing and Intelligence Analysis, ICACIA 2009</v>
      </c>
      <c r="B1875" s="8" t="str">
        <f>"9781424452040"</f>
        <v>9781424452040</v>
      </c>
      <c r="C1875" s="8" t="s">
        <v>9</v>
      </c>
    </row>
    <row r="1876" spans="1:3" x14ac:dyDescent="0.25">
      <c r="A1876" s="8" t="str">
        <f>"2009 International Conference on Application of Information and Communication Technologies, AICT 2009"</f>
        <v>2009 International Conference on Application of Information and Communication Technologies, AICT 2009</v>
      </c>
      <c r="B1876" s="8" t="str">
        <f>"9781424447404"</f>
        <v>9781424447404</v>
      </c>
      <c r="C1876" s="8" t="s">
        <v>9</v>
      </c>
    </row>
    <row r="1877" spans="1:3" x14ac:dyDescent="0.25">
      <c r="A1877" s="8" t="str">
        <f>"2009 International Conference on Applied Superconductivity and Electromagnetic Devices, ASEMD 2009"</f>
        <v>2009 International Conference on Applied Superconductivity and Electromagnetic Devices, ASEMD 2009</v>
      </c>
      <c r="B1877" s="8" t="str">
        <f>"9781424436873"</f>
        <v>9781424436873</v>
      </c>
      <c r="C1877" s="8" t="s">
        <v>9</v>
      </c>
    </row>
    <row r="1878" spans="1:3" x14ac:dyDescent="0.25">
      <c r="A1878" s="8" t="str">
        <f>"2009 International Conference on Artificial Intelligence and Computational Intelligence, AICI 2009"</f>
        <v>2009 International Conference on Artificial Intelligence and Computational Intelligence, AICI 2009</v>
      </c>
      <c r="B1878" s="8" t="str">
        <f>"9780769538167"</f>
        <v>9780769538167</v>
      </c>
      <c r="C1878" s="8" t="s">
        <v>9</v>
      </c>
    </row>
    <row r="1879" spans="1:3" x14ac:dyDescent="0.25">
      <c r="A1879" s="8" t="str">
        <f>"2009 International Conference on Asian Language Processing: Recent Advances in Asian Language Processing, IALP 2009"</f>
        <v>2009 International Conference on Asian Language Processing: Recent Advances in Asian Language Processing, IALP 2009</v>
      </c>
      <c r="B1879" s="8" t="str">
        <f>"9780769539041"</f>
        <v>9780769539041</v>
      </c>
      <c r="C1879" s="8" t="s">
        <v>17</v>
      </c>
    </row>
    <row r="1880" spans="1:3" x14ac:dyDescent="0.25">
      <c r="A1880" s="8" t="str">
        <f>"2009 International Conference on Business Intelligence and Financial Engineering, BIFE 2009"</f>
        <v>2009 International Conference on Business Intelligence and Financial Engineering, BIFE 2009</v>
      </c>
      <c r="B1880" s="8" t="str">
        <f>"9780769537054"</f>
        <v>9780769537054</v>
      </c>
      <c r="C1880" s="8" t="s">
        <v>9</v>
      </c>
    </row>
    <row r="1881" spans="1:3" x14ac:dyDescent="0.25">
      <c r="A1881" s="8" t="str">
        <f>"2009 International Conference on Clean Electrical Power, ICCEP 2009"</f>
        <v>2009 International Conference on Clean Electrical Power, ICCEP 2009</v>
      </c>
      <c r="B1881" s="8" t="str">
        <f>"9781424425440"</f>
        <v>9781424425440</v>
      </c>
      <c r="C1881" s="8" t="s">
        <v>9</v>
      </c>
    </row>
    <row r="1882" spans="1:3" x14ac:dyDescent="0.25">
      <c r="A1882" s="8" t="str">
        <f>"2009 International Conference on Communications, Circuits and Systems, ICCCAS 2009"</f>
        <v>2009 International Conference on Communications, Circuits and Systems, ICCCAS 2009</v>
      </c>
      <c r="B1882" s="8" t="str">
        <f>"9781424448883"</f>
        <v>9781424448883</v>
      </c>
      <c r="C1882" s="8" t="s">
        <v>9</v>
      </c>
    </row>
    <row r="1883" spans="1:3" x14ac:dyDescent="0.25">
      <c r="A1883" s="8" t="str">
        <f>"2009 International Conference on Compound Semiconductor Manufacturing Technology, CS MANTECH 2009"</f>
        <v>2009 International Conference on Compound Semiconductor Manufacturing Technology, CS MANTECH 2009</v>
      </c>
      <c r="B1883" s="8" t="str">
        <f>"9781893580138"</f>
        <v>9781893580138</v>
      </c>
      <c r="C1883" s="8" t="s">
        <v>1336</v>
      </c>
    </row>
    <row r="1884" spans="1:3" x14ac:dyDescent="0.25">
      <c r="A1884" s="8" t="str">
        <f>"2009 International Conference on Computer and Electrical Engineering, ICCEE 2009"</f>
        <v>2009 International Conference on Computer and Electrical Engineering, ICCEE 2009</v>
      </c>
      <c r="B1884" s="8" t="str">
        <f>"9780769539256"</f>
        <v>9780769539256</v>
      </c>
      <c r="C1884" s="8" t="s">
        <v>9</v>
      </c>
    </row>
    <row r="1885" spans="1:3" x14ac:dyDescent="0.25">
      <c r="A1885" s="8" t="str">
        <f>"2009 International Conference on Computers and Industrial Engineering, CIE 2009"</f>
        <v>2009 International Conference on Computers and Industrial Engineering, CIE 2009</v>
      </c>
      <c r="B1885" s="8" t="str">
        <f>"9781424441365"</f>
        <v>9781424441365</v>
      </c>
      <c r="C1885" s="8" t="s">
        <v>9</v>
      </c>
    </row>
    <row r="1886" spans="1:3" x14ac:dyDescent="0.25">
      <c r="A1886" s="8" t="str">
        <f>"2009 International Conference on Computers and Industrial Engineering, CIE 2009"</f>
        <v>2009 International Conference on Computers and Industrial Engineering, CIE 2009</v>
      </c>
      <c r="B1886" s="8" t="str">
        <f>"9781424441365"</f>
        <v>9781424441365</v>
      </c>
      <c r="C1886" s="8" t="s">
        <v>9</v>
      </c>
    </row>
    <row r="1887" spans="1:3" x14ac:dyDescent="0.25">
      <c r="A1887" s="8" t="str">
        <f>"2009 International Conference on Control Automation, Communication and Energy Conservation, INCACEC 2009"</f>
        <v>2009 International Conference on Control Automation, Communication and Energy Conservation, INCACEC 2009</v>
      </c>
      <c r="B1887" s="8" t="str">
        <f>"9781424447893"</f>
        <v>9781424447893</v>
      </c>
      <c r="C1887" s="8" t="s">
        <v>9</v>
      </c>
    </row>
    <row r="1888" spans="1:3" x14ac:dyDescent="0.25">
      <c r="A1888" s="8" t="str">
        <f>"2009 International Conference on CyberWorlds, CW '09"</f>
        <v>2009 International Conference on CyberWorlds, CW '09</v>
      </c>
      <c r="B1888" s="8" t="str">
        <f>"9780769537917"</f>
        <v>9780769537917</v>
      </c>
      <c r="C1888" s="8" t="s">
        <v>9</v>
      </c>
    </row>
    <row r="1889" spans="1:3" x14ac:dyDescent="0.25">
      <c r="A1889" s="8" t="str">
        <f>"2009 International Conference on E-Business and Information System Security, EBISS 2009"</f>
        <v>2009 International Conference on E-Business and Information System Security, EBISS 2009</v>
      </c>
      <c r="B1889" s="8" t="str">
        <f>"9781424445899"</f>
        <v>9781424445899</v>
      </c>
      <c r="C1889" s="8" t="s">
        <v>9</v>
      </c>
    </row>
    <row r="1890" spans="1:3" x14ac:dyDescent="0.25">
      <c r="A1890" s="8" t="str">
        <f>"2009 International Conference on Education Technology and Computer, ICETC 2009"</f>
        <v>2009 International Conference on Education Technology and Computer, ICETC 2009</v>
      </c>
      <c r="B1890" s="8" t="str">
        <f>"9780769536095"</f>
        <v>9780769536095</v>
      </c>
      <c r="C1890" s="8" t="s">
        <v>9</v>
      </c>
    </row>
    <row r="1891" spans="1:3" x14ac:dyDescent="0.25">
      <c r="A1891" s="8" t="str">
        <f>"2009 International Conference on E-learning, E-Business, Enterprise Information Systems, and E-Government, EEEE 2009"</f>
        <v>2009 International Conference on E-learning, E-Business, Enterprise Information Systems, and E-Government, EEEE 2009</v>
      </c>
      <c r="B1891" s="8" t="str">
        <f>"9780769539072"</f>
        <v>9780769539072</v>
      </c>
      <c r="C1891" s="8" t="s">
        <v>9</v>
      </c>
    </row>
    <row r="1892" spans="1:3" x14ac:dyDescent="0.25">
      <c r="A1892" s="8" t="str">
        <f>"2009 International Conference on Electric Power and Energy Conversion Systems, EPECS 2009"</f>
        <v>2009 International Conference on Electric Power and Energy Conversion Systems, EPECS 2009</v>
      </c>
      <c r="B1892" s="8" t="str">
        <f>"9789948427155"</f>
        <v>9789948427155</v>
      </c>
      <c r="C1892" s="8" t="s">
        <v>9</v>
      </c>
    </row>
    <row r="1893" spans="1:3" x14ac:dyDescent="0.25">
      <c r="A1893" s="8" t="str">
        <f>"2009 International Conference on Electronic Packaging Technology and High Density Packaging, ICEPT-HDP 2009"</f>
        <v>2009 International Conference on Electronic Packaging Technology and High Density Packaging, ICEPT-HDP 2009</v>
      </c>
      <c r="B1893" s="8" t="str">
        <f>"9781424446599"</f>
        <v>9781424446599</v>
      </c>
      <c r="C1893" s="8" t="s">
        <v>9</v>
      </c>
    </row>
    <row r="1894" spans="1:3" x14ac:dyDescent="0.25">
      <c r="A1894" s="8" t="str">
        <f>"2009 International Conference on Emerging Technologies, ICET 2009"</f>
        <v>2009 International Conference on Emerging Technologies, ICET 2009</v>
      </c>
      <c r="B1894" s="8" t="str">
        <f>"9781424456338"</f>
        <v>9781424456338</v>
      </c>
      <c r="C1894" s="8" t="s">
        <v>9</v>
      </c>
    </row>
    <row r="1895" spans="1:3" x14ac:dyDescent="0.25">
      <c r="A1895" s="8" t="str">
        <f>"2009 International Conference on Emerging Trends in Electronic and Photonic Devices and Systems, ELECTRO '09"</f>
        <v>2009 International Conference on Emerging Trends in Electronic and Photonic Devices and Systems, ELECTRO '09</v>
      </c>
      <c r="B1895" s="8" t="str">
        <f>"9781424448463"</f>
        <v>9781424448463</v>
      </c>
      <c r="C1895" s="8" t="s">
        <v>9</v>
      </c>
    </row>
    <row r="1896" spans="1:3" x14ac:dyDescent="0.25">
      <c r="A1896" s="8" t="str">
        <f>"2009 International Conference on Energy and Environment Technology, ICEET 2009"</f>
        <v>2009 International Conference on Energy and Environment Technology, ICEET 2009</v>
      </c>
      <c r="B1896" s="8" t="str">
        <f>"9780769538198"</f>
        <v>9780769538198</v>
      </c>
      <c r="C1896" s="8" t="s">
        <v>9</v>
      </c>
    </row>
    <row r="1897" spans="1:3" x14ac:dyDescent="0.25">
      <c r="A1897" s="8" t="str">
        <f>"2009 International Conference on Engineering Computation, ICEC 2009"</f>
        <v>2009 International Conference on Engineering Computation, ICEC 2009</v>
      </c>
      <c r="B1897" s="8" t="str">
        <f>"9780769536552"</f>
        <v>9780769536552</v>
      </c>
      <c r="C1897" s="8" t="s">
        <v>9</v>
      </c>
    </row>
    <row r="1898" spans="1:3" x14ac:dyDescent="0.25">
      <c r="A1898" s="8" t="str">
        <f>"2009 International Conference on Engineering Education, ICEED2009 - Embracing New Challenges in Engineering Education"</f>
        <v>2009 International Conference on Engineering Education, ICEED2009 - Embracing New Challenges in Engineering Education</v>
      </c>
      <c r="B1898" s="8" t="str">
        <f>"9781424448449"</f>
        <v>9781424448449</v>
      </c>
      <c r="C1898" s="8" t="s">
        <v>9</v>
      </c>
    </row>
    <row r="1899" spans="1:3" x14ac:dyDescent="0.25">
      <c r="A1899" s="8" t="str">
        <f>"2009 International Conference on Future Computer and Communication, FCC 2009"</f>
        <v>2009 International Conference on Future Computer and Communication, FCC 2009</v>
      </c>
      <c r="B1899" s="8" t="str">
        <f>"9780769536767"</f>
        <v>9780769536767</v>
      </c>
      <c r="C1899" s="8" t="s">
        <v>9</v>
      </c>
    </row>
    <row r="1900" spans="1:3" x14ac:dyDescent="0.25">
      <c r="A1900" s="8" t="str">
        <f>"2009 International Conference on High Performance Switching and Routing, HPSR 2009"</f>
        <v>2009 International Conference on High Performance Switching and Routing, HPSR 2009</v>
      </c>
      <c r="B1900" s="8" t="str">
        <f>"9781424451746"</f>
        <v>9781424451746</v>
      </c>
      <c r="C1900" s="8" t="s">
        <v>9</v>
      </c>
    </row>
    <row r="1901" spans="1:3" x14ac:dyDescent="0.25">
      <c r="A1901" s="8" t="str">
        <f>"2009 International Conference on Industrial Mechatronics and Automation, ICIMA 2009"</f>
        <v>2009 International Conference on Industrial Mechatronics and Automation, ICIMA 2009</v>
      </c>
      <c r="B1901" s="8" t="str">
        <f>"9781424438181"</f>
        <v>9781424438181</v>
      </c>
      <c r="C1901" s="8" t="s">
        <v>9</v>
      </c>
    </row>
    <row r="1902" spans="1:3" x14ac:dyDescent="0.25">
      <c r="A1902" s="8" t="str">
        <f>"2009 International Conference on Information and Communication Technologies and Development, ICTD 2009 - Proceedings"</f>
        <v>2009 International Conference on Information and Communication Technologies and Development, ICTD 2009 - Proceedings</v>
      </c>
      <c r="B1902" s="8" t="str">
        <f>"9781424446636"</f>
        <v>9781424446636</v>
      </c>
      <c r="C1902" s="8" t="s">
        <v>9</v>
      </c>
    </row>
    <row r="1903" spans="1:3" x14ac:dyDescent="0.25">
      <c r="A1903" s="8" t="str">
        <f>"2009 International Conference on Information and Communication Technologies, ICICT 2009"</f>
        <v>2009 International Conference on Information and Communication Technologies, ICICT 2009</v>
      </c>
      <c r="B1903" s="8" t="str">
        <f>"9781424446094"</f>
        <v>9781424446094</v>
      </c>
      <c r="C1903" s="8" t="s">
        <v>9</v>
      </c>
    </row>
    <row r="1904" spans="1:3" x14ac:dyDescent="0.25">
      <c r="A1904" s="8" t="str">
        <f>"2009 International Conference on Information and Multimedia Technology, ICIMT 2009"</f>
        <v>2009 International Conference on Information and Multimedia Technology, ICIMT 2009</v>
      </c>
      <c r="B1904" s="8" t="str">
        <f>"9780769539225"</f>
        <v>9780769539225</v>
      </c>
      <c r="C1904" s="8" t="s">
        <v>9</v>
      </c>
    </row>
    <row r="1905" spans="1:3" x14ac:dyDescent="0.25">
      <c r="A1905" s="8" t="str">
        <f>"2009 International Conference on Information Management, Innovation Management and Industrial Engineering, ICIII 2009"</f>
        <v>2009 International Conference on Information Management, Innovation Management and Industrial Engineering, ICIII 2009</v>
      </c>
      <c r="B1905" s="8" t="str">
        <f>"9780769538761"</f>
        <v>9780769538761</v>
      </c>
      <c r="C1905" s="8" t="s">
        <v>9</v>
      </c>
    </row>
    <row r="1906" spans="1:3" x14ac:dyDescent="0.25">
      <c r="A1906" s="8" t="str">
        <f>"2009 International Conference on Information Networking, ICOIN 2009"</f>
        <v>2009 International Conference on Information Networking, ICOIN 2009</v>
      </c>
      <c r="B1906" s="8" t="str">
        <f>"9788996076131"</f>
        <v>9788996076131</v>
      </c>
      <c r="C1906" s="8" t="s">
        <v>9</v>
      </c>
    </row>
    <row r="1907" spans="1:3" x14ac:dyDescent="0.25">
      <c r="A1907" s="8" t="str">
        <f>"2009 International Conference on Information Processing in Sensor Networks, IPSN 2009"</f>
        <v>2009 International Conference on Information Processing in Sensor Networks, IPSN 2009</v>
      </c>
      <c r="B1907" s="8" t="str">
        <f>"9781424451081"</f>
        <v>9781424451081</v>
      </c>
      <c r="C1907" s="8" t="s">
        <v>9</v>
      </c>
    </row>
    <row r="1908" spans="1:3" x14ac:dyDescent="0.25">
      <c r="A1908" s="8" t="str">
        <f>"2009 International Conference on Innovations in Information Technology, IIT '09"</f>
        <v>2009 International Conference on Innovations in Information Technology, IIT '09</v>
      </c>
      <c r="B1908" s="8" t="str">
        <f>"9781424456987"</f>
        <v>9781424456987</v>
      </c>
      <c r="C1908" s="8" t="s">
        <v>9</v>
      </c>
    </row>
    <row r="1909" spans="1:3" x14ac:dyDescent="0.25">
      <c r="A1909" s="8" t="str">
        <f>"2009 International Conference on Intelligent Agent and Multi-Agent Systems, IAMA 2009"</f>
        <v>2009 International Conference on Intelligent Agent and Multi-Agent Systems, IAMA 2009</v>
      </c>
      <c r="B1909" s="8" t="str">
        <f>"9781424447114"</f>
        <v>9781424447114</v>
      </c>
      <c r="C1909" s="8" t="s">
        <v>9</v>
      </c>
    </row>
    <row r="1910" spans="1:3" x14ac:dyDescent="0.25">
      <c r="A1910" s="8" t="str">
        <f>"2009 International Conference on Intelligent Human-Machine Systems and Cybernetics, IHMSC 2009"</f>
        <v>2009 International Conference on Intelligent Human-Machine Systems and Cybernetics, IHMSC 2009</v>
      </c>
      <c r="B1910" s="8" t="str">
        <f>"9780769537528"</f>
        <v>9780769537528</v>
      </c>
      <c r="C1910" s="8" t="s">
        <v>9</v>
      </c>
    </row>
    <row r="1911" spans="1:3" x14ac:dyDescent="0.25">
      <c r="A1911" s="8" t="str">
        <f>"2009 International Conference on Management of e-Commerce and e-Government, ICMeCG 2009"</f>
        <v>2009 International Conference on Management of e-Commerce and e-Government, ICMeCG 2009</v>
      </c>
      <c r="B1911" s="8" t="str">
        <f>"9780769537788"</f>
        <v>9780769537788</v>
      </c>
      <c r="C1911" s="8" t="s">
        <v>9</v>
      </c>
    </row>
    <row r="1912" spans="1:3" x14ac:dyDescent="0.25">
      <c r="A1912" s="8" t="str">
        <f>"2009 International Conference on Management Science and Engineering - 16th Annual Conference Proceedings, ICMSE 2009"</f>
        <v>2009 International Conference on Management Science and Engineering - 16th Annual Conference Proceedings, ICMSE 2009</v>
      </c>
      <c r="B1912" s="8" t="str">
        <f>"9781424439706"</f>
        <v>9781424439706</v>
      </c>
      <c r="C1912" s="8" t="s">
        <v>9</v>
      </c>
    </row>
    <row r="1913" spans="1:3" x14ac:dyDescent="0.25">
      <c r="A1913" s="8" t="str">
        <f>"2009 International Conference on Measuring Technology and Mechatronics Automation, ICMTMA 2009"</f>
        <v>2009 International Conference on Measuring Technology and Mechatronics Automation, ICMTMA 2009</v>
      </c>
      <c r="B1913" s="8" t="str">
        <f>"9780769535838"</f>
        <v>9780769535838</v>
      </c>
      <c r="C1913" s="8" t="s">
        <v>9</v>
      </c>
    </row>
    <row r="1914" spans="1:3" x14ac:dyDescent="0.25">
      <c r="A1914" s="8" t="str">
        <f>"2009 International Conference on Natural Language Processing and Knowledge Engineering, NLP-KE 2009"</f>
        <v>2009 International Conference on Natural Language Processing and Knowledge Engineering, NLP-KE 2009</v>
      </c>
      <c r="B1914" s="8" t="str">
        <f>"9781424445387"</f>
        <v>9781424445387</v>
      </c>
      <c r="C1914" s="8" t="s">
        <v>9</v>
      </c>
    </row>
    <row r="1915" spans="1:3" x14ac:dyDescent="0.25">
      <c r="A1915" s="8" t="str">
        <f>"2009 International Conference on Network and Service Security, N2S 2009"</f>
        <v>2009 International Conference on Network and Service Security, N2S 2009</v>
      </c>
      <c r="B1915" s="8" t="str">
        <f>"9782953244311"</f>
        <v>9782953244311</v>
      </c>
      <c r="C1915" s="8" t="s">
        <v>9</v>
      </c>
    </row>
    <row r="1916" spans="1:3" x14ac:dyDescent="0.25">
      <c r="A1916" s="8" t="str">
        <f>"2009 International Conference on Networking and Media Convergence, ICNM 2009"</f>
        <v>2009 International Conference on Networking and Media Convergence, ICNM 2009</v>
      </c>
      <c r="B1916" s="8" t="str">
        <f>"9781424437764"</f>
        <v>9781424437764</v>
      </c>
      <c r="C1916" s="8" t="s">
        <v>9</v>
      </c>
    </row>
    <row r="1917" spans="1:3" x14ac:dyDescent="0.25">
      <c r="A1917" s="8" t="str">
        <f>"2009 International Conference on Optical Network Design and Modeling, ONDM 2009"</f>
        <v>2009 International Conference on Optical Network Design and Modeling, ONDM 2009</v>
      </c>
      <c r="B1917" s="8" t="str">
        <f>"9781424441877"</f>
        <v>9781424441877</v>
      </c>
      <c r="C1917" s="8" t="s">
        <v>9</v>
      </c>
    </row>
    <row r="1918" spans="1:3" x14ac:dyDescent="0.25">
      <c r="A1918" s="8" t="str">
        <f>"2009 International Conference on Photonics in Switching, PS '09"</f>
        <v>2009 International Conference on Photonics in Switching, PS '09</v>
      </c>
      <c r="B1918" s="8" t="str">
        <f>"9781424438563"</f>
        <v>9781424438563</v>
      </c>
      <c r="C1918" s="8" t="s">
        <v>9</v>
      </c>
    </row>
    <row r="1919" spans="1:3" x14ac:dyDescent="0.25">
      <c r="A1919" s="8" t="str">
        <f>"2009 International Conference on Power Systems, ICPS '09"</f>
        <v>2009 International Conference on Power Systems, ICPS '09</v>
      </c>
      <c r="B1919" s="8" t="str">
        <f>"9781424443307"</f>
        <v>9781424443307</v>
      </c>
      <c r="C1919" s="8" t="s">
        <v>9</v>
      </c>
    </row>
    <row r="1920" spans="1:3" x14ac:dyDescent="0.25">
      <c r="A1920" s="8" t="str">
        <f>"2009 International Conference on Signal Acquisition and Processing, ICSAP 2009"</f>
        <v>2009 International Conference on Signal Acquisition and Processing, ICSAP 2009</v>
      </c>
      <c r="B1920" s="8" t="str">
        <f>"9780769535944"</f>
        <v>9780769535944</v>
      </c>
      <c r="C1920" s="8" t="s">
        <v>9</v>
      </c>
    </row>
    <row r="1921" spans="1:3" x14ac:dyDescent="0.25">
      <c r="A1921" s="8" t="str">
        <f>"2009 International Conference on Signal Processing Systems, ICSPS 2009"</f>
        <v>2009 International Conference on Signal Processing Systems, ICSPS 2009</v>
      </c>
      <c r="B1921" s="8" t="str">
        <f>"9780769536545"</f>
        <v>9780769536545</v>
      </c>
      <c r="C1921" s="8" t="s">
        <v>9</v>
      </c>
    </row>
    <row r="1922" spans="1:3" x14ac:dyDescent="0.25">
      <c r="A1922" s="8" t="str">
        <f>"2009 International Conference on Space Science and Communication, IconSpace - Proceedings"</f>
        <v>2009 International Conference on Space Science and Communication, IconSpace - Proceedings</v>
      </c>
      <c r="B1922" s="8" t="str">
        <f>"9781424449569"</f>
        <v>9781424449569</v>
      </c>
      <c r="C1922" s="8" t="s">
        <v>9</v>
      </c>
    </row>
    <row r="1923" spans="1:3" x14ac:dyDescent="0.25">
      <c r="A1923" s="8" t="str">
        <f>"2009 International Conference on Ultra Modern Telecommunications and Workshops"</f>
        <v>2009 International Conference on Ultra Modern Telecommunications and Workshops</v>
      </c>
      <c r="B1923" s="8" t="str">
        <f>"9781424439416"</f>
        <v>9781424439416</v>
      </c>
      <c r="C1923" s="8" t="s">
        <v>9</v>
      </c>
    </row>
    <row r="1924" spans="1:3" x14ac:dyDescent="0.25">
      <c r="A1924" s="8" t="str">
        <f>"2009 International Conference on Wavelet Analysis and Pattern Recognition, ICWAPR 2009"</f>
        <v>2009 International Conference on Wavelet Analysis and Pattern Recognition, ICWAPR 2009</v>
      </c>
      <c r="B1924" s="8" t="str">
        <f>"9781424437290"</f>
        <v>9781424437290</v>
      </c>
      <c r="C1924" s="8" t="s">
        <v>9</v>
      </c>
    </row>
    <row r="1925" spans="1:3" x14ac:dyDescent="0.25">
      <c r="A1925" s="8" t="str">
        <f>"2009 International Conference on Web Information Systems and Mining, WISM 2009"</f>
        <v>2009 International Conference on Web Information Systems and Mining, WISM 2009</v>
      </c>
      <c r="B1925" s="8" t="str">
        <f>"9780769538174"</f>
        <v>9780769538174</v>
      </c>
      <c r="C1925" s="8" t="s">
        <v>9</v>
      </c>
    </row>
    <row r="1926" spans="1:3" x14ac:dyDescent="0.25">
      <c r="A1926" s="8" t="str">
        <f>"2009 International Conference on Wireless Communications and Signal Processing, WCSP 2009"</f>
        <v>2009 International Conference on Wireless Communications and Signal Processing, WCSP 2009</v>
      </c>
      <c r="B1926" s="8" t="str">
        <f>"9781424456680"</f>
        <v>9781424456680</v>
      </c>
      <c r="C1926" s="8" t="s">
        <v>9</v>
      </c>
    </row>
    <row r="1927" spans="1:3" x14ac:dyDescent="0.25">
      <c r="A1927" s="8" t="str">
        <f>"2009 International Display Manufacturing Conference, 3D Systems and Applications, and Asia Display, IDMC/3DSA/Asia Display 2009"</f>
        <v>2009 International Display Manufacturing Conference, 3D Systems and Applications, and Asia Display, IDMC/3DSA/Asia Display 2009</v>
      </c>
      <c r="B1927" s="8" t="str">
        <f>"-"</f>
        <v>-</v>
      </c>
      <c r="C1927" s="8" t="s">
        <v>535</v>
      </c>
    </row>
    <row r="1928" spans="1:3" x14ac:dyDescent="0.25">
      <c r="A1928" s="8" t="str">
        <f>"2009 International Fuzzy Systems Association World Congress and 2009 European Society for Fuzzy Logic and Technology Conference, IFSA-EUSFLAT 2009 - Proceedings"</f>
        <v>2009 International Fuzzy Systems Association World Congress and 2009 European Society for Fuzzy Logic and Technology Conference, IFSA-EUSFLAT 2009 - Proceedings</v>
      </c>
      <c r="B1928" s="8" t="str">
        <f>"9789899507968"</f>
        <v>9789899507968</v>
      </c>
      <c r="C1928" s="8" t="s">
        <v>1354</v>
      </c>
    </row>
    <row r="1929" spans="1:3" x14ac:dyDescent="0.25">
      <c r="A1929" s="8" t="str">
        <f>"2009 International Multimedia, Signal Processing and Communication Technologies, IMPACT 2009"</f>
        <v>2009 International Multimedia, Signal Processing and Communication Technologies, IMPACT 2009</v>
      </c>
      <c r="B1929" s="8" t="str">
        <f>"9781424436040"</f>
        <v>9781424436040</v>
      </c>
      <c r="C1929" s="8" t="s">
        <v>9</v>
      </c>
    </row>
    <row r="1930" spans="1:3" x14ac:dyDescent="0.25">
      <c r="A1930" s="8" t="s">
        <v>1355</v>
      </c>
      <c r="B1930" s="8" t="str">
        <f>"9782912328557"</f>
        <v>9782912328557</v>
      </c>
      <c r="C1930" s="8" t="s">
        <v>9</v>
      </c>
    </row>
    <row r="1931" spans="1:3" x14ac:dyDescent="0.25">
      <c r="A1931" s="8" t="str">
        <f>"2009 International School and Seminar on Modern Problems of Nanoelectronics, Micro- and Nanosystem Technologies - Proceedings, INTERNANO-2009"</f>
        <v>2009 International School and Seminar on Modern Problems of Nanoelectronics, Micro- and Nanosystem Technologies - Proceedings, INTERNANO-2009</v>
      </c>
      <c r="B1931" s="8" t="str">
        <f>"9785778212428"</f>
        <v>9785778212428</v>
      </c>
      <c r="C1931" s="8" t="s">
        <v>9</v>
      </c>
    </row>
    <row r="1932" spans="1:3" x14ac:dyDescent="0.25">
      <c r="A1932" s="8" t="str">
        <f>"2009 International Semiconductor Device Research Symposium, ISDRS '09"</f>
        <v>2009 International Semiconductor Device Research Symposium, ISDRS '09</v>
      </c>
      <c r="B1932" s="8" t="str">
        <f>"9781424460304"</f>
        <v>9781424460304</v>
      </c>
      <c r="C1932" s="8" t="s">
        <v>9</v>
      </c>
    </row>
    <row r="1933" spans="1:3" x14ac:dyDescent="0.25">
      <c r="A1933" s="8" t="str">
        <f>"2009 International SoC Design Conference, ISOCC 2009"</f>
        <v>2009 International SoC Design Conference, ISOCC 2009</v>
      </c>
      <c r="B1933" s="8" t="str">
        <f>"9781424450343"</f>
        <v>9781424450343</v>
      </c>
      <c r="C1933" s="8" t="s">
        <v>9</v>
      </c>
    </row>
    <row r="1934" spans="1:3" x14ac:dyDescent="0.25">
      <c r="A1934" s="8" t="s">
        <v>1356</v>
      </c>
      <c r="B1934" s="8" t="str">
        <f>"9781424443031"</f>
        <v>9781424443031</v>
      </c>
      <c r="C1934" s="8" t="s">
        <v>9</v>
      </c>
    </row>
    <row r="1935" spans="1:3" x14ac:dyDescent="0.25">
      <c r="A1935" s="8" t="str">
        <f>"2009 International Symposium on Bio-inspired, Learning, and Intelligent Systems for Security, BLISS 2009"</f>
        <v>2009 International Symposium on Bio-inspired, Learning, and Intelligent Systems for Security, BLISS 2009</v>
      </c>
      <c r="B1935" s="8" t="str">
        <f>"-"</f>
        <v>-</v>
      </c>
      <c r="C1935" s="8" t="s">
        <v>9</v>
      </c>
    </row>
    <row r="1936" spans="1:3" x14ac:dyDescent="0.25">
      <c r="A1936" s="8" t="str">
        <f>"2009 International Symposium on Collaborative Technologies and Systems, CTS 2009"</f>
        <v>2009 International Symposium on Collaborative Technologies and Systems, CTS 2009</v>
      </c>
      <c r="B1936" s="8" t="str">
        <f>"9781424445844"</f>
        <v>9781424445844</v>
      </c>
      <c r="C1936" s="8" t="s">
        <v>9</v>
      </c>
    </row>
    <row r="1937" spans="1:3" x14ac:dyDescent="0.25">
      <c r="A1937" s="8" t="str">
        <f>"2009 International Symposium on Electromagnetic Compatibility - EMC Europe"</f>
        <v>2009 International Symposium on Electromagnetic Compatibility - EMC Europe</v>
      </c>
      <c r="B1937" s="8" t="str">
        <f>"9781424441082"</f>
        <v>9781424441082</v>
      </c>
      <c r="C1937" s="8" t="s">
        <v>9</v>
      </c>
    </row>
    <row r="1938" spans="1:3" x14ac:dyDescent="0.25">
      <c r="A1938" s="8" t="str">
        <f>"2009 International Symposium on Intelligent Ubiquitous Computing and Education, IUCE 2009"</f>
        <v>2009 International Symposium on Intelligent Ubiquitous Computing and Education, IUCE 2009</v>
      </c>
      <c r="B1938" s="8" t="str">
        <f>"9780769536194"</f>
        <v>9780769536194</v>
      </c>
      <c r="C1938" s="8" t="s">
        <v>9</v>
      </c>
    </row>
    <row r="1939" spans="1:3" x14ac:dyDescent="0.25">
      <c r="A1939" s="8" t="str">
        <f>"2009 International Symposium on Ocean Electronics, SYMPOL 2009"</f>
        <v>2009 International Symposium on Ocean Electronics, SYMPOL 2009</v>
      </c>
      <c r="B1939" s="8" t="str">
        <f>"9781424491186"</f>
        <v>9781424491186</v>
      </c>
      <c r="C1939" s="8" t="s">
        <v>9</v>
      </c>
    </row>
    <row r="1940" spans="1:3" x14ac:dyDescent="0.25">
      <c r="A1940" s="8" t="str">
        <f>"2009 International Symposium on Signals, Circuits and Systems, ISSCS 2009"</f>
        <v>2009 International Symposium on Signals, Circuits and Systems, ISSCS 2009</v>
      </c>
      <c r="B1940" s="8" t="str">
        <f>"9781424437863"</f>
        <v>9781424437863</v>
      </c>
      <c r="C1940" s="8" t="s">
        <v>9</v>
      </c>
    </row>
    <row r="1941" spans="1:3" x14ac:dyDescent="0.25">
      <c r="A1941" s="8" t="str">
        <f>"2009 International Symposium on System-on-Chip - Proceedings, SoC 2009"</f>
        <v>2009 International Symposium on System-on-Chip - Proceedings, SoC 2009</v>
      </c>
      <c r="B1941" s="8" t="str">
        <f>"9781424444670"</f>
        <v>9781424444670</v>
      </c>
      <c r="C1941" s="8" t="s">
        <v>9</v>
      </c>
    </row>
    <row r="1942" spans="1:3" x14ac:dyDescent="0.25">
      <c r="A1942" s="8" t="str">
        <f>"2009 International Symposium on VLSI Design, Automation and Test, VLSI-DAT '09"</f>
        <v>2009 International Symposium on VLSI Design, Automation and Test, VLSI-DAT '09</v>
      </c>
      <c r="B1942" s="8" t="str">
        <f>"9781424427826"</f>
        <v>9781424427826</v>
      </c>
      <c r="C1942" s="8" t="s">
        <v>9</v>
      </c>
    </row>
    <row r="1943" spans="1:3" x14ac:dyDescent="0.25">
      <c r="A1943" s="8" t="str">
        <f>"2009 International Waveform Diversity and Design Conference Proceedings, WDD 2009"</f>
        <v>2009 International Waveform Diversity and Design Conference Proceedings, WDD 2009</v>
      </c>
      <c r="B1943" s="8" t="str">
        <f>"9781424429714"</f>
        <v>9781424429714</v>
      </c>
      <c r="C1943" s="8" t="s">
        <v>9</v>
      </c>
    </row>
    <row r="1944" spans="1:3" x14ac:dyDescent="0.25">
      <c r="A1944" s="8" t="str">
        <f>"2009 International Workshop on Chaos-Fractals Theories and Applications, IWCFTA 2009"</f>
        <v>2009 International Workshop on Chaos-Fractals Theories and Applications, IWCFTA 2009</v>
      </c>
      <c r="B1944" s="8" t="str">
        <f>"9780769538532"</f>
        <v>9780769538532</v>
      </c>
      <c r="C1944" s="8" t="s">
        <v>9</v>
      </c>
    </row>
    <row r="1945" spans="1:3" x14ac:dyDescent="0.25">
      <c r="A1945" s="8" t="str">
        <f>"2009 International Workshop on Intelligent Systems and Applications, ISA 2009"</f>
        <v>2009 International Workshop on Intelligent Systems and Applications, ISA 2009</v>
      </c>
      <c r="B1945" s="8" t="str">
        <f>"9781424438945"</f>
        <v>9781424438945</v>
      </c>
      <c r="C1945" s="8" t="s">
        <v>9</v>
      </c>
    </row>
    <row r="1946" spans="1:3" x14ac:dyDescent="0.25">
      <c r="A1946" s="8" t="str">
        <f>"2009 International Workshop on Local and Non-Local Approximation in Image Processing, LNLA 2009"</f>
        <v>2009 International Workshop on Local and Non-Local Approximation in Image Processing, LNLA 2009</v>
      </c>
      <c r="B1946" s="8" t="str">
        <f>"9781424451678"</f>
        <v>9781424451678</v>
      </c>
      <c r="C1946" s="8" t="s">
        <v>9</v>
      </c>
    </row>
    <row r="1947" spans="1:3" x14ac:dyDescent="0.25">
      <c r="A1947" s="8" t="str">
        <f>"2009 International Workshop on Multidimensional (nD) Systems, nDS 2009"</f>
        <v>2009 International Workshop on Multidimensional (nD) Systems, nDS 2009</v>
      </c>
      <c r="B1947" s="8" t="str">
        <f>"9781424427987"</f>
        <v>9781424427987</v>
      </c>
      <c r="C1947" s="8" t="s">
        <v>9</v>
      </c>
    </row>
    <row r="1948" spans="1:3" x14ac:dyDescent="0.25">
      <c r="A1948" s="8" t="str">
        <f>"2009 International Workshop on Quality of Multimedia Experience, QoMEx 2009"</f>
        <v>2009 International Workshop on Quality of Multimedia Experience, QoMEx 2009</v>
      </c>
      <c r="B1948" s="8" t="str">
        <f>"9781424443703"</f>
        <v>9781424443703</v>
      </c>
      <c r="C1948" s="8" t="s">
        <v>9</v>
      </c>
    </row>
    <row r="1949" spans="1:3" x14ac:dyDescent="0.25">
      <c r="A1949" s="8" t="str">
        <f>"2009 Joint Conferences on Pervasive Computing, JCPC 2009"</f>
        <v>2009 Joint Conferences on Pervasive Computing, JCPC 2009</v>
      </c>
      <c r="B1949" s="8" t="str">
        <f>"9781424452279"</f>
        <v>9781424452279</v>
      </c>
      <c r="C1949" s="8" t="s">
        <v>9</v>
      </c>
    </row>
    <row r="1950" spans="1:3" x14ac:dyDescent="0.25">
      <c r="A1950" s="8" t="str">
        <f>"2009 Joint IEEE North-East Workshop on Circuits and Systems and TAISA Conference, NEWCAS-TAISA '09"</f>
        <v>2009 Joint IEEE North-East Workshop on Circuits and Systems and TAISA Conference, NEWCAS-TAISA '09</v>
      </c>
      <c r="B1950" s="8" t="str">
        <f>"9781424445738"</f>
        <v>9781424445738</v>
      </c>
      <c r="C1950" s="8" t="s">
        <v>9</v>
      </c>
    </row>
    <row r="1951" spans="1:3" x14ac:dyDescent="0.25">
      <c r="A1951" s="8" t="str">
        <f>"2009 Joint Urban Remote Sensing Event"</f>
        <v>2009 Joint Urban Remote Sensing Event</v>
      </c>
      <c r="B1951" s="8" t="str">
        <f>"9781424434619"</f>
        <v>9781424434619</v>
      </c>
      <c r="C1951" s="8" t="s">
        <v>9</v>
      </c>
    </row>
    <row r="1952" spans="1:3" x14ac:dyDescent="0.25">
      <c r="A1952" s="8" t="str">
        <f>"2009 Joint Working IEEE/IFIP Conference on Software Architecture and European Conference on Software Architecture, WICSA/ECSA 2009"</f>
        <v>2009 Joint Working IEEE/IFIP Conference on Software Architecture and European Conference on Software Architecture, WICSA/ECSA 2009</v>
      </c>
      <c r="B1952" s="8" t="str">
        <f>"9781424449859"</f>
        <v>9781424449859</v>
      </c>
      <c r="C1952" s="8" t="s">
        <v>9</v>
      </c>
    </row>
    <row r="1953" spans="1:3" x14ac:dyDescent="0.25">
      <c r="A1953" s="8" t="str">
        <f>"2009 Latin American Network Operations and Management Symposium, LANOMS 2009"</f>
        <v>2009 Latin American Network Operations and Management Symposium, LANOMS 2009</v>
      </c>
      <c r="B1953" s="8" t="str">
        <f>"9781424445509"</f>
        <v>9781424445509</v>
      </c>
      <c r="C1953" s="8" t="s">
        <v>9</v>
      </c>
    </row>
    <row r="1954" spans="1:3" x14ac:dyDescent="0.25">
      <c r="A1954" s="8" t="str">
        <f>"2009 Latin American Web Congress - Joint LA-WEB/CLIHC Conference"</f>
        <v>2009 Latin American Web Congress - Joint LA-WEB/CLIHC Conference</v>
      </c>
      <c r="B1954" s="8" t="str">
        <f>"9780769538563"</f>
        <v>9780769538563</v>
      </c>
      <c r="C1954" s="8" t="s">
        <v>9</v>
      </c>
    </row>
    <row r="1955" spans="1:3" x14ac:dyDescent="0.25">
      <c r="A1955" s="8" t="str">
        <f>"2009 Mediterrannean Microwave Symposium, MMS 2009"</f>
        <v>2009 Mediterrannean Microwave Symposium, MMS 2009</v>
      </c>
      <c r="B1955" s="8" t="str">
        <f>"9781424446643"</f>
        <v>9781424446643</v>
      </c>
      <c r="C1955" s="8" t="s">
        <v>9</v>
      </c>
    </row>
    <row r="1956" spans="1:3" x14ac:dyDescent="0.25">
      <c r="A1956" s="8" t="str">
        <f>"2009 Next Generation Internet Networks, NGI 2009"</f>
        <v>2009 Next Generation Internet Networks, NGI 2009</v>
      </c>
      <c r="B1956" s="8" t="str">
        <f>"9781424442454"</f>
        <v>9781424442454</v>
      </c>
      <c r="C1956" s="8" t="s">
        <v>9</v>
      </c>
    </row>
    <row r="1957" spans="1:3" x14ac:dyDescent="0.25">
      <c r="A1957" s="8" t="str">
        <f>"2009 NORCHIP"</f>
        <v>2009 NORCHIP</v>
      </c>
      <c r="B1957" s="8" t="str">
        <f>"9781424443109"</f>
        <v>9781424443109</v>
      </c>
      <c r="C1957" s="8" t="s">
        <v>9</v>
      </c>
    </row>
    <row r="1958" spans="1:3" x14ac:dyDescent="0.25">
      <c r="A1958" s="8" t="str">
        <f>"2009 Optical Data Storage Topical Meeting, ODS 2009"</f>
        <v>2009 Optical Data Storage Topical Meeting, ODS 2009</v>
      </c>
      <c r="B1958" s="8" t="str">
        <f>"9781424433438"</f>
        <v>9781424433438</v>
      </c>
      <c r="C1958" s="8" t="s">
        <v>9</v>
      </c>
    </row>
    <row r="1959" spans="1:3" x14ac:dyDescent="0.25">
      <c r="A1959" s="8" t="str">
        <f>"2009 Oriental COCOSDA International Conference on Speech Database and Assessments, ICSDA 2009"</f>
        <v>2009 Oriental COCOSDA International Conference on Speech Database and Assessments, ICSDA 2009</v>
      </c>
      <c r="B1959" s="8" t="str">
        <f>"9781424444007"</f>
        <v>9781424444007</v>
      </c>
      <c r="C1959" s="8" t="s">
        <v>9</v>
      </c>
    </row>
    <row r="1960" spans="1:3" x14ac:dyDescent="0.25">
      <c r="A1960" s="8" t="str">
        <f>"2009 Pan American Health Care Exchanges - PAHCE 2009"</f>
        <v>2009 Pan American Health Care Exchanges - PAHCE 2009</v>
      </c>
      <c r="B1960" s="8" t="str">
        <f>"9781424436699"</f>
        <v>9781424436699</v>
      </c>
      <c r="C1960" s="8" t="s">
        <v>9</v>
      </c>
    </row>
    <row r="1961" spans="1:3" x14ac:dyDescent="0.25">
      <c r="A1961" s="8" t="str">
        <f>"2009 Ph.D. Research in Microelectronics and Electronics, PRIME 2009"</f>
        <v>2009 Ph.D. Research in Microelectronics and Electronics, PRIME 2009</v>
      </c>
      <c r="B1961" s="8" t="str">
        <f>"9781424437344"</f>
        <v>9781424437344</v>
      </c>
      <c r="C1961" s="8" t="s">
        <v>9</v>
      </c>
    </row>
    <row r="1962" spans="1:3" x14ac:dyDescent="0.25">
      <c r="A1962" s="8" t="str">
        <f>"2009 Picture Coding Symposium, PCS 2009"</f>
        <v>2009 Picture Coding Symposium, PCS 2009</v>
      </c>
      <c r="B1962" s="8" t="str">
        <f>"9781424445943"</f>
        <v>9781424445943</v>
      </c>
      <c r="C1962" s="8" t="s">
        <v>9</v>
      </c>
    </row>
    <row r="1963" spans="1:3" x14ac:dyDescent="0.25">
      <c r="A1963" s="8" t="str">
        <f>"2009 Power Systems Conference: Advance Metering, Protection, Control, Communication, and Distributed Resources, PSC 2009"</f>
        <v>2009 Power Systems Conference: Advance Metering, Protection, Control, Communication, and Distributed Resources, PSC 2009</v>
      </c>
      <c r="B1963" s="8" t="str">
        <f>"9781424452484"</f>
        <v>9781424452484</v>
      </c>
      <c r="C1963" s="8" t="s">
        <v>9</v>
      </c>
    </row>
    <row r="1964" spans="1:3" x14ac:dyDescent="0.25">
      <c r="A1964" s="8" t="str">
        <f>"2009 Proceedings of the 11th Workshop on Algorithm Engineering and Experiments, ALENEX 2009"</f>
        <v>2009 Proceedings of the 11th Workshop on Algorithm Engineering and Experiments, ALENEX 2009</v>
      </c>
      <c r="B1964" s="8" t="str">
        <f>"9780898719307"</f>
        <v>9780898719307</v>
      </c>
      <c r="C1964" s="8" t="s">
        <v>249</v>
      </c>
    </row>
    <row r="1965" spans="1:3" x14ac:dyDescent="0.25">
      <c r="A1965" s="8" t="str">
        <f>"2009 Proceedings of the 1st International Workshop on Security and Communication Networks, IWSCN 2009"</f>
        <v>2009 Proceedings of the 1st International Workshop on Security and Communication Networks, IWSCN 2009</v>
      </c>
      <c r="B1965" s="8" t="str">
        <f>"9788299710510"</f>
        <v>9788299710510</v>
      </c>
      <c r="C1965" s="8" t="s">
        <v>9</v>
      </c>
    </row>
    <row r="1966" spans="1:3" x14ac:dyDescent="0.25">
      <c r="A1966" s="8" t="str">
        <f>"2009 Proceedings of the 5th Conference on Speech Technology and Human-Computer Dialogue, SpeD 2009"</f>
        <v>2009 Proceedings of the 5th Conference on Speech Technology and Human-Computer Dialogue, SpeD 2009</v>
      </c>
      <c r="B1966" s="8" t="str">
        <f>"9781424447275"</f>
        <v>9781424447275</v>
      </c>
      <c r="C1966" s="8" t="s">
        <v>9</v>
      </c>
    </row>
    <row r="1967" spans="1:3" x14ac:dyDescent="0.25">
      <c r="A1967" s="8" t="str">
        <f>"2009 Proceedings of the 5th International Conference on Perspective Technologies and Methods in MEMS Design, MEMSTECH 2009"</f>
        <v>2009 Proceedings of the 5th International Conference on Perspective Technologies and Methods in MEMS Design, MEMSTECH 2009</v>
      </c>
      <c r="B1967" s="8" t="str">
        <f>"9789662191066"</f>
        <v>9789662191066</v>
      </c>
      <c r="C1967" s="8" t="s">
        <v>9</v>
      </c>
    </row>
    <row r="1968" spans="1:3" x14ac:dyDescent="0.25">
      <c r="A1968" s="8" t="str">
        <f>"2009 Record of Conference Papers - Industry Applications Society 56th Annual Petroleum and Chemical Industry Conference, PCIC 2009"</f>
        <v>2009 Record of Conference Papers - Industry Applications Society 56th Annual Petroleum and Chemical Industry Conference, PCIC 2009</v>
      </c>
      <c r="B1968" s="8" t="str">
        <f>"9781424437993"</f>
        <v>9781424437993</v>
      </c>
      <c r="C1968" s="8" t="s">
        <v>9</v>
      </c>
    </row>
    <row r="1969" spans="1:3" x14ac:dyDescent="0.25">
      <c r="A1969" s="8" t="str">
        <f>"2009 Reliability of Compound Semiconductors Digest - ROCS Workshop"</f>
        <v>2009 Reliability of Compound Semiconductors Digest - ROCS Workshop</v>
      </c>
      <c r="B1969" s="8" t="str">
        <f>"9780790801247"</f>
        <v>9780790801247</v>
      </c>
      <c r="C1969" s="8" t="s">
        <v>9</v>
      </c>
    </row>
    <row r="1970" spans="1:3" x14ac:dyDescent="0.25">
      <c r="A1970" s="8" t="str">
        <f>"2009 Research in Engineering Education Symposium, REES 2009"</f>
        <v>2009 Research in Engineering Education Symposium, REES 2009</v>
      </c>
      <c r="B1970" s="8" t="str">
        <f>"-"</f>
        <v>-</v>
      </c>
    </row>
    <row r="1971" spans="1:3" x14ac:dyDescent="0.25">
      <c r="A1971" s="8" t="str">
        <f>"2009 Second ISECS International Colloquium on Computing, Communication, Control, and Management, CCCM 2009"</f>
        <v>2009 Second ISECS International Colloquium on Computing, Communication, Control, and Management, CCCM 2009</v>
      </c>
      <c r="B1971" s="8" t="str">
        <f>"9781424442461"</f>
        <v>9781424442461</v>
      </c>
      <c r="C1971" s="8" t="s">
        <v>9</v>
      </c>
    </row>
    <row r="1972" spans="1:3" x14ac:dyDescent="0.25">
      <c r="A1972" s="8" t="str">
        <f>"2009 Symposium on Photonics and Optoelectronics, SOPO 2009"</f>
        <v>2009 Symposium on Photonics and Optoelectronics, SOPO 2009</v>
      </c>
      <c r="B1972" s="8" t="str">
        <f>"9781424444113"</f>
        <v>9781424444113</v>
      </c>
      <c r="C1972" s="8" t="s">
        <v>9</v>
      </c>
    </row>
    <row r="1973" spans="1:3" x14ac:dyDescent="0.25">
      <c r="A1973" s="8" t="str">
        <f>"2009 TAIWAN CAADRIA: Between Man and Machine - Integration, Intuition, Intelligence - Proceedings of the 14th Conference on Computer-Aided Architectural Design Research in Asia"</f>
        <v>2009 TAIWAN CAADRIA: Between Man and Machine - Integration, Intuition, Intelligence - Proceedings of the 14th Conference on Computer-Aided Architectural Design Research in Asia</v>
      </c>
      <c r="B1973" s="8" t="str">
        <f>"9789860180800"</f>
        <v>9789860180800</v>
      </c>
      <c r="C1973" s="8" t="s">
        <v>1357</v>
      </c>
    </row>
    <row r="1974" spans="1:3" x14ac:dyDescent="0.25">
      <c r="A1974" s="8" t="str">
        <f>"2009 Virtual Rehabilitation International Conference, VR 2009"</f>
        <v>2009 Virtual Rehabilitation International Conference, VR 2009</v>
      </c>
      <c r="B1974" s="8" t="str">
        <f>"9781424441891"</f>
        <v>9781424441891</v>
      </c>
      <c r="C1974" s="8" t="s">
        <v>9</v>
      </c>
    </row>
    <row r="1975" spans="1:3" x14ac:dyDescent="0.25">
      <c r="A1975" s="8" t="str">
        <f>"2009 WASE International Conference on Information Engineering, ICIE 2009"</f>
        <v>2009 WASE International Conference on Information Engineering, ICIE 2009</v>
      </c>
      <c r="B1975" s="8" t="str">
        <f>"9780769536798"</f>
        <v>9780769536798</v>
      </c>
      <c r="C1975" s="8" t="s">
        <v>9</v>
      </c>
    </row>
    <row r="1976" spans="1:3" x14ac:dyDescent="0.25">
      <c r="A1976" s="8" t="str">
        <f>"2009 Wireless Telecommunications Symposium, WTS 2009"</f>
        <v>2009 Wireless Telecommunications Symposium, WTS 2009</v>
      </c>
      <c r="B1976" s="8" t="str">
        <f>"9781424425884"</f>
        <v>9781424425884</v>
      </c>
      <c r="C1976" s="8" t="s">
        <v>9</v>
      </c>
    </row>
    <row r="1977" spans="1:3" x14ac:dyDescent="0.25">
      <c r="A1977" s="8" t="str">
        <f>"2009 Workshop on Applications of Computer Vision, WACV 2009"</f>
        <v>2009 Workshop on Applications of Computer Vision, WACV 2009</v>
      </c>
      <c r="B1977" s="8" t="str">
        <f>"9781424454976"</f>
        <v>9781424454976</v>
      </c>
      <c r="C1977" s="8" t="s">
        <v>9</v>
      </c>
    </row>
    <row r="1978" spans="1:3" x14ac:dyDescent="0.25">
      <c r="A1978" s="8" t="str">
        <f>"2009 Workshop on Motion and Video Computing, WMVC '09"</f>
        <v>2009 Workshop on Motion and Video Computing, WMVC '09</v>
      </c>
      <c r="B1978" s="8" t="str">
        <f>"9781424455003"</f>
        <v>9781424455003</v>
      </c>
      <c r="C1978" s="8" t="s">
        <v>9</v>
      </c>
    </row>
    <row r="1979" spans="1:3" x14ac:dyDescent="0.25">
      <c r="A1979" s="8" t="str">
        <f>"2009 Workshop on Network Coding, Theory and Applications, NetCod '09"</f>
        <v>2009 Workshop on Network Coding, Theory and Applications, NetCod '09</v>
      </c>
      <c r="B1979" s="8" t="str">
        <f>"9781424447244"</f>
        <v>9781424447244</v>
      </c>
      <c r="C1979" s="8" t="s">
        <v>9</v>
      </c>
    </row>
    <row r="1980" spans="1:3" x14ac:dyDescent="0.25">
      <c r="A1980" s="8" t="str">
        <f>"2009 World Congress on Nature and Biologically Inspired Computing, NABIC 2009 - Proceedings"</f>
        <v>2009 World Congress on Nature and Biologically Inspired Computing, NABIC 2009 - Proceedings</v>
      </c>
      <c r="B1980" s="8" t="str">
        <f>"9781424456123"</f>
        <v>9781424456123</v>
      </c>
      <c r="C1980" s="8" t="s">
        <v>9</v>
      </c>
    </row>
    <row r="1981" spans="1:3" x14ac:dyDescent="0.25">
      <c r="A1981" s="8" t="str">
        <f>"2009 World Summit on Genetic and Evolutionary Computation, 2009 GEC Summit - Proceedings of the 1st ACM/SIGEVO Summit on Genetic and Evolutionary Computation, GEC'09"</f>
        <v>2009 World Summit on Genetic and Evolutionary Computation, 2009 GEC Summit - Proceedings of the 1st ACM/SIGEVO Summit on Genetic and Evolutionary Computation, GEC'09</v>
      </c>
      <c r="B1981" s="8" t="str">
        <f>"9781605583266"</f>
        <v>9781605583266</v>
      </c>
      <c r="C1981" s="8" t="s">
        <v>21</v>
      </c>
    </row>
    <row r="1982" spans="1:3" x14ac:dyDescent="0.25">
      <c r="A1982" s="8" t="str">
        <f>"2009 WRI World Congress on Computer Science and Information Engineering, CSIE 2009"</f>
        <v>2009 WRI World Congress on Computer Science and Information Engineering, CSIE 2009</v>
      </c>
      <c r="B1982" s="8" t="str">
        <f>"9780769535074"</f>
        <v>9780769535074</v>
      </c>
      <c r="C1982" s="8" t="s">
        <v>9</v>
      </c>
    </row>
    <row r="1983" spans="1:3" x14ac:dyDescent="0.25">
      <c r="A1983" s="8" t="str">
        <f>"2009 WRI World Congress on Software Engineering, WCSE 2009"</f>
        <v>2009 WRI World Congress on Software Engineering, WCSE 2009</v>
      </c>
      <c r="B1983" s="8" t="str">
        <f>"9780769535708"</f>
        <v>9780769535708</v>
      </c>
      <c r="C1983" s="8" t="s">
        <v>9</v>
      </c>
    </row>
    <row r="1984" spans="1:3" x14ac:dyDescent="0.25">
      <c r="A1984" s="8" t="str">
        <f>"2010 - 27th International Symposium on Automation and Robotics in Construction, ISARC 2010"</f>
        <v>2010 - 27th International Symposium on Automation and Robotics in Construction, ISARC 2010</v>
      </c>
      <c r="B1984" s="8" t="str">
        <f>"-"</f>
        <v>-</v>
      </c>
      <c r="C1984" s="8" t="s">
        <v>1351</v>
      </c>
    </row>
    <row r="1985" spans="1:3" x14ac:dyDescent="0.25">
      <c r="A1985" s="8" t="str">
        <f>"2010 10th IEEE Conference on Nanotechnology, NANO 2010"</f>
        <v>2010 10th IEEE Conference on Nanotechnology, NANO 2010</v>
      </c>
      <c r="B1985" s="8" t="str">
        <f>"9781424470334"</f>
        <v>9781424470334</v>
      </c>
      <c r="C1985" s="8" t="s">
        <v>9</v>
      </c>
    </row>
    <row r="1986" spans="1:3" x14ac:dyDescent="0.25">
      <c r="A1986" s="8" t="str">
        <f>"2010 10th IEEE-RAS International Conference on Humanoid Robots, Humanoids 2010"</f>
        <v>2010 10th IEEE-RAS International Conference on Humanoid Robots, Humanoids 2010</v>
      </c>
      <c r="B1986" s="8" t="str">
        <f>"9781424486885"</f>
        <v>9781424486885</v>
      </c>
      <c r="C1986" s="8" t="s">
        <v>9</v>
      </c>
    </row>
    <row r="1987" spans="1:3" x14ac:dyDescent="0.25">
      <c r="A1987" s="8" t="str">
        <f>"2010 10th International Conference on Actual Problems of Electronic Instrument Engineering Proceedings, APEIE - 2010"</f>
        <v>2010 10th International Conference on Actual Problems of Electronic Instrument Engineering Proceedings, APEIE - 2010</v>
      </c>
      <c r="B1987" s="8" t="str">
        <f>"9781424482085"</f>
        <v>9781424482085</v>
      </c>
      <c r="C1987" s="8" t="s">
        <v>9</v>
      </c>
    </row>
    <row r="1988" spans="1:3" x14ac:dyDescent="0.25">
      <c r="A1988" s="8" t="str">
        <f>"2010 10th International Conference on Hybrid Intelligent Systems, HIS 2010"</f>
        <v>2010 10th International Conference on Hybrid Intelligent Systems, HIS 2010</v>
      </c>
      <c r="B1988" s="8" t="str">
        <f>"9781424473656"</f>
        <v>9781424473656</v>
      </c>
      <c r="C1988" s="8" t="s">
        <v>9</v>
      </c>
    </row>
    <row r="1989" spans="1:3" x14ac:dyDescent="0.25">
      <c r="A1989" s="8" t="str">
        <f>"2010 10th Mediterranean Microwave Symposium, MMS 2010"</f>
        <v>2010 10th Mediterranean Microwave Symposium, MMS 2010</v>
      </c>
      <c r="B1989" s="8" t="str">
        <f>"9781424472437"</f>
        <v>9781424472437</v>
      </c>
      <c r="C1989" s="8" t="s">
        <v>9</v>
      </c>
    </row>
    <row r="1990" spans="1:3" x14ac:dyDescent="0.25">
      <c r="A1990" s="8" t="str">
        <f>"2010 10th Topical Meeting on Silicon Monolithic Integrated Circuits in RF Systems, SiRF 2010 - Digest of Papers"</f>
        <v>2010 10th Topical Meeting on Silicon Monolithic Integrated Circuits in RF Systems, SiRF 2010 - Digest of Papers</v>
      </c>
      <c r="B1990" s="8" t="str">
        <f>"9781424454587"</f>
        <v>9781424454587</v>
      </c>
      <c r="C1990" s="8" t="s">
        <v>9</v>
      </c>
    </row>
    <row r="1991" spans="1:3" x14ac:dyDescent="0.25">
      <c r="A1991" s="8" t="str">
        <f>"2010 11th Annual International Conference and Seminar on Micro/Nanotechnologies and Electron Devices, EDM'2010 - Proceedings"</f>
        <v>2010 11th Annual International Conference and Seminar on Micro/Nanotechnologies and Electron Devices, EDM'2010 - Proceedings</v>
      </c>
      <c r="B1991" s="8" t="str">
        <f>"9781424466283"</f>
        <v>9781424466283</v>
      </c>
      <c r="C1991" s="8" t="s">
        <v>9</v>
      </c>
    </row>
    <row r="1992" spans="1:3" x14ac:dyDescent="0.25">
      <c r="A1992" s="8" t="str">
        <f>"2010 11th International Conference on Thermal, Mechanical and Multi-Physics Simulation, and Experiments in Microelectronics and Microsystems, EuroSimE 2010"</f>
        <v>2010 11th International Conference on Thermal, Mechanical and Multi-Physics Simulation, and Experiments in Microelectronics and Microsystems, EuroSimE 2010</v>
      </c>
      <c r="B1992" s="8" t="str">
        <f>"9781424470266"</f>
        <v>9781424470266</v>
      </c>
      <c r="C1992" s="8" t="s">
        <v>9</v>
      </c>
    </row>
    <row r="1993" spans="1:3" x14ac:dyDescent="0.25">
      <c r="A1993" s="8" t="str">
        <f>"2010 11th International Workshop on Symbolic and Numerical Methods, Modeling and Applications to Circuit Design, SM2ACD 2010"</f>
        <v>2010 11th International Workshop on Symbolic and Numerical Methods, Modeling and Applications to Circuit Design, SM2ACD 2010</v>
      </c>
      <c r="B1993" s="8" t="str">
        <f>"9781424468164"</f>
        <v>9781424468164</v>
      </c>
      <c r="C1993" s="8" t="s">
        <v>9</v>
      </c>
    </row>
    <row r="1994" spans="1:3" x14ac:dyDescent="0.25">
      <c r="A1994" s="8" t="str">
        <f>"2010 12th Electronics Packaging Technology Conference, EPTC 2010"</f>
        <v>2010 12th Electronics Packaging Technology Conference, EPTC 2010</v>
      </c>
      <c r="B1994" s="8" t="str">
        <f>"9781424485604"</f>
        <v>9781424485604</v>
      </c>
      <c r="C1994" s="8" t="s">
        <v>9</v>
      </c>
    </row>
    <row r="1995" spans="1:3" x14ac:dyDescent="0.25">
      <c r="A1995" s="8" t="str">
        <f>"2010 12th IEEE Intersociety Conference on Thermal and Thermomechanical Phenomena in Electronic Systems, ITherm 2010"</f>
        <v>2010 12th IEEE Intersociety Conference on Thermal and Thermomechanical Phenomena in Electronic Systems, ITherm 2010</v>
      </c>
      <c r="B1995" s="8" t="str">
        <f>"9781424453429"</f>
        <v>9781424453429</v>
      </c>
      <c r="C1995" s="8" t="s">
        <v>9</v>
      </c>
    </row>
    <row r="1996" spans="1:3" x14ac:dyDescent="0.25">
      <c r="A1996" s="8" t="str">
        <f>"2010 12th International Conference on Transparent Optical Networks, ICTON 2010"</f>
        <v>2010 12th International Conference on Transparent Optical Networks, ICTON 2010</v>
      </c>
      <c r="B1996" s="8" t="str">
        <f>"9781424477975"</f>
        <v>9781424477975</v>
      </c>
      <c r="C1996" s="8" t="s">
        <v>9</v>
      </c>
    </row>
    <row r="1997" spans="1:3" x14ac:dyDescent="0.25">
      <c r="A1997" s="8" t="str">
        <f>"2010 12th International Workshop on Cellular Nanoscale Networks and their Applications, CNNA 2010"</f>
        <v>2010 12th International Workshop on Cellular Nanoscale Networks and their Applications, CNNA 2010</v>
      </c>
      <c r="B1997" s="8" t="str">
        <f>"9781424466795"</f>
        <v>9781424466795</v>
      </c>
      <c r="C1997" s="8" t="s">
        <v>9</v>
      </c>
    </row>
    <row r="1998" spans="1:3" x14ac:dyDescent="0.25">
      <c r="A1998" s="8" t="str">
        <f>"2010 14th Conference on Optical Network Design and Modeling, ONDM 2010"</f>
        <v>2010 14th Conference on Optical Network Design and Modeling, ONDM 2010</v>
      </c>
      <c r="B1998" s="8" t="str">
        <f>"9783901882418"</f>
        <v>9783901882418</v>
      </c>
      <c r="C1998" s="8" t="s">
        <v>9</v>
      </c>
    </row>
    <row r="1999" spans="1:3" x14ac:dyDescent="0.25">
      <c r="A1999" s="8" t="s">
        <v>1358</v>
      </c>
      <c r="B1999" s="8" t="str">
        <f>"9781424474455"</f>
        <v>9781424474455</v>
      </c>
      <c r="C1999" s="8" t="s">
        <v>9</v>
      </c>
    </row>
    <row r="2000" spans="1:3" x14ac:dyDescent="0.25">
      <c r="A2000" s="8" t="str">
        <f>"2010 14th International Heat Transfer Conference, IHTC 14"</f>
        <v>2010 14th International Heat Transfer Conference, IHTC 14</v>
      </c>
      <c r="B2000" s="8" t="str">
        <f>"-"</f>
        <v>-</v>
      </c>
      <c r="C2000" s="8" t="s">
        <v>73</v>
      </c>
    </row>
    <row r="2001" spans="1:3" x14ac:dyDescent="0.25">
      <c r="A2001" s="8" t="str">
        <f>"2010 14th International Symposium on Antenna Technology and Applied Electromagnetics and the American Electromagnetics Conference, ANTEM/AMEREM 2010"</f>
        <v>2010 14th International Symposium on Antenna Technology and Applied Electromagnetics and the American Electromagnetics Conference, ANTEM/AMEREM 2010</v>
      </c>
      <c r="B2001" s="8" t="str">
        <f>"9781424450503"</f>
        <v>9781424450503</v>
      </c>
      <c r="C2001" s="8" t="s">
        <v>9</v>
      </c>
    </row>
    <row r="2002" spans="1:3" x14ac:dyDescent="0.25">
      <c r="A2002" s="8" t="str">
        <f>"2010 14th International Workshop on Computational Electronics, IWCE 2010"</f>
        <v>2010 14th International Workshop on Computational Electronics, IWCE 2010</v>
      </c>
      <c r="B2002" s="8" t="str">
        <f>"9781424493845"</f>
        <v>9781424493845</v>
      </c>
      <c r="C2002" s="8" t="s">
        <v>9</v>
      </c>
    </row>
    <row r="2003" spans="1:3" x14ac:dyDescent="0.25">
      <c r="A2003" s="8" t="str">
        <f>"2010 15th IEEE European Test Symposium, ETS'10"</f>
        <v>2010 15th IEEE European Test Symposium, ETS'10</v>
      </c>
      <c r="B2003" s="8" t="str">
        <f>"9781424458356"</f>
        <v>9781424458356</v>
      </c>
      <c r="C2003" s="8" t="s">
        <v>9</v>
      </c>
    </row>
    <row r="2004" spans="1:3" x14ac:dyDescent="0.25">
      <c r="A2004" s="8" t="str">
        <f>"2010 15th IEEE International Workshop on Computer Aided Modeling, Analysis and Design of Communication Links and Networks, CAMAD 2010"</f>
        <v>2010 15th IEEE International Workshop on Computer Aided Modeling, Analysis and Design of Communication Links and Networks, CAMAD 2010</v>
      </c>
      <c r="B2004" s="8" t="str">
        <f>"9781424476350"</f>
        <v>9781424476350</v>
      </c>
      <c r="C2004" s="8" t="s">
        <v>9</v>
      </c>
    </row>
    <row r="2005" spans="1:3" x14ac:dyDescent="0.25">
      <c r="A2005" s="8" t="str">
        <f>"2010 15th International Conference on Methods and Models in Automation and Robotics, MMAR 2010"</f>
        <v>2010 15th International Conference on Methods and Models in Automation and Robotics, MMAR 2010</v>
      </c>
      <c r="B2005" s="8" t="str">
        <f>"9781424478279"</f>
        <v>9781424478279</v>
      </c>
      <c r="C2005" s="8" t="s">
        <v>9</v>
      </c>
    </row>
    <row r="2006" spans="1:3" x14ac:dyDescent="0.25">
      <c r="A2006" s="8" t="str">
        <f>"2010 15th National Biomedical Engineering Meeting, BIYOMUT2010"</f>
        <v>2010 15th National Biomedical Engineering Meeting, BIYOMUT2010</v>
      </c>
      <c r="B2006" s="8" t="str">
        <f>"9781424463824"</f>
        <v>9781424463824</v>
      </c>
      <c r="C2006" s="8" t="s">
        <v>9</v>
      </c>
    </row>
    <row r="2007" spans="1:3" x14ac:dyDescent="0.25">
      <c r="A2007" s="8" t="str">
        <f>"2010 16th Asia-Pacific Conference on Communications, APCC 2010"</f>
        <v>2010 16th Asia-Pacific Conference on Communications, APCC 2010</v>
      </c>
      <c r="B2007" s="8" t="str">
        <f>"9781424481293"</f>
        <v>9781424481293</v>
      </c>
      <c r="C2007" s="8" t="s">
        <v>9</v>
      </c>
    </row>
    <row r="2008" spans="1:3" x14ac:dyDescent="0.25">
      <c r="A2008" s="8" t="str">
        <f>"2010 16th International Conference on Virtual Systems and Multimedia, VSMM 2010"</f>
        <v>2010 16th International Conference on Virtual Systems and Multimedia, VSMM 2010</v>
      </c>
      <c r="B2008" s="8" t="str">
        <f>"9781424490264"</f>
        <v>9781424490264</v>
      </c>
      <c r="C2008" s="8" t="s">
        <v>9</v>
      </c>
    </row>
    <row r="2009" spans="1:3" x14ac:dyDescent="0.25">
      <c r="A2009" s="8" t="str">
        <f>"2010 17th IEEE Symposium on Communications and Vehicular Technology in the Benelux, SCVT2010"</f>
        <v>2010 17th IEEE Symposium on Communications and Vehicular Technology in the Benelux, SCVT2010</v>
      </c>
      <c r="B2009" s="8" t="str">
        <f>"9781424484898"</f>
        <v>9781424484898</v>
      </c>
      <c r="C2009" s="8" t="s">
        <v>9</v>
      </c>
    </row>
    <row r="2010" spans="1:3" x14ac:dyDescent="0.25">
      <c r="A2010" s="8" t="str">
        <f>"2010 17th Iranian Conference of Biomedical Engineering, ICBME 2010 - Proceedings"</f>
        <v>2010 17th Iranian Conference of Biomedical Engineering, ICBME 2010 - Proceedings</v>
      </c>
      <c r="B2010" s="8" t="str">
        <f>"9781424474844"</f>
        <v>9781424474844</v>
      </c>
      <c r="C2010" s="8" t="s">
        <v>9</v>
      </c>
    </row>
    <row r="2011" spans="1:3" x14ac:dyDescent="0.25">
      <c r="A2011" s="8" t="str">
        <f>"2010 18th International Conference on Geoinformatics, Geoinformatics 2010"</f>
        <v>2010 18th International Conference on Geoinformatics, Geoinformatics 2010</v>
      </c>
      <c r="B2011" s="8" t="str">
        <f>"9781424473021"</f>
        <v>9781424473021</v>
      </c>
      <c r="C2011" s="8" t="s">
        <v>9</v>
      </c>
    </row>
    <row r="2012" spans="1:3" x14ac:dyDescent="0.25">
      <c r="A2012" s="8" t="str">
        <f>"2010 1st IEEE International Conference on Smart Grid Communications, SmartGridComm 2010"</f>
        <v>2010 1st IEEE International Conference on Smart Grid Communications, SmartGridComm 2010</v>
      </c>
      <c r="B2012" s="8" t="str">
        <f>"9781424465125"</f>
        <v>9781424465125</v>
      </c>
      <c r="C2012" s="8" t="s">
        <v>9</v>
      </c>
    </row>
    <row r="2013" spans="1:3" x14ac:dyDescent="0.25">
      <c r="A2013" s="8" t="str">
        <f>"2010 1st International Conference on Applied Robotics for the Power Industry, CARPI 2010"</f>
        <v>2010 1st International Conference on Applied Robotics for the Power Industry, CARPI 2010</v>
      </c>
      <c r="B2013" s="8" t="str">
        <f>"9781424466337"</f>
        <v>9781424466337</v>
      </c>
      <c r="C2013" s="8" t="s">
        <v>9</v>
      </c>
    </row>
    <row r="2014" spans="1:3" x14ac:dyDescent="0.25">
      <c r="A2014" s="8" t="str">
        <f>"2010 1st International Conference on Parallel, Distributed and Grid Computing, PDGC - 2010"</f>
        <v>2010 1st International Conference on Parallel, Distributed and Grid Computing, PDGC - 2010</v>
      </c>
      <c r="B2014" s="8" t="str">
        <f>"9781424476725"</f>
        <v>9781424476725</v>
      </c>
      <c r="C2014" s="8" t="s">
        <v>9</v>
      </c>
    </row>
    <row r="2015" spans="1:3" x14ac:dyDescent="0.25">
      <c r="A2015" s="8" t="str">
        <f>"2010 1st International Nuclear and Renewable Energy Conference, INREC'10"</f>
        <v>2010 1st International Nuclear and Renewable Energy Conference, INREC'10</v>
      </c>
      <c r="B2015" s="8" t="str">
        <f>"9781424452149"</f>
        <v>9781424452149</v>
      </c>
      <c r="C2015" s="8" t="s">
        <v>9</v>
      </c>
    </row>
    <row r="2016" spans="1:3" x14ac:dyDescent="0.25">
      <c r="A2016" s="8" t="str">
        <f>"2010 1st International Workshop on Requirements@Run.Time, RE@RunTime 2010"</f>
        <v>2010 1st International Workshop on Requirements@Run.Time, RE@RunTime 2010</v>
      </c>
      <c r="B2016" s="8" t="str">
        <f>"9781424488001"</f>
        <v>9781424488001</v>
      </c>
      <c r="C2016" s="8" t="s">
        <v>9</v>
      </c>
    </row>
    <row r="2017" spans="1:3" x14ac:dyDescent="0.25">
      <c r="A2017" s="8" t="str">
        <f>"2010 1st International Workshop on the Web and Requirements Engineering, WeRE 2010"</f>
        <v>2010 1st International Workshop on the Web and Requirements Engineering, WeRE 2010</v>
      </c>
      <c r="B2017" s="8" t="str">
        <f>"9781424487981"</f>
        <v>9781424487981</v>
      </c>
      <c r="C2017" s="8" t="s">
        <v>9</v>
      </c>
    </row>
    <row r="2018" spans="1:3" x14ac:dyDescent="0.25">
      <c r="A2018" s="8" t="str">
        <f>"2010 1st Power Quality Conferance, PQC 2010"</f>
        <v>2010 1st Power Quality Conferance, PQC 2010</v>
      </c>
      <c r="B2018" s="8" t="str">
        <f>"9789644630637"</f>
        <v>9789644630637</v>
      </c>
      <c r="C2018" s="8" t="s">
        <v>9</v>
      </c>
    </row>
    <row r="2019" spans="1:3" x14ac:dyDescent="0.25">
      <c r="A2019" s="8" t="str">
        <f>"2010 1st Symposium on Sensorless Control for Electrical Drives, SLED 2010"</f>
        <v>2010 1st Symposium on Sensorless Control for Electrical Drives, SLED 2010</v>
      </c>
      <c r="B2019" s="8" t="str">
        <f>"9781424470365"</f>
        <v>9781424470365</v>
      </c>
      <c r="C2019" s="8" t="s">
        <v>9</v>
      </c>
    </row>
    <row r="2020" spans="1:3" x14ac:dyDescent="0.25">
      <c r="A2020" s="8" t="str">
        <f>"2010 22nd International Teletraffic Congress - Proceedings, ITC 22"</f>
        <v>2010 22nd International Teletraffic Congress - Proceedings, ITC 22</v>
      </c>
      <c r="B2020" s="8" t="str">
        <f>"9781424488360"</f>
        <v>9781424488360</v>
      </c>
      <c r="C2020" s="8" t="s">
        <v>9</v>
      </c>
    </row>
    <row r="2021" spans="1:3" x14ac:dyDescent="0.25">
      <c r="A2021" s="8" t="str">
        <f>"2010 23rd Annual Meeting of the IEEE Photonics Society, PHOTINICS 2010"</f>
        <v>2010 23rd Annual Meeting of the IEEE Photonics Society, PHOTINICS 2010</v>
      </c>
      <c r="B2021" s="8" t="str">
        <f>"9781424453689"</f>
        <v>9781424453689</v>
      </c>
      <c r="C2021" s="8" t="s">
        <v>9</v>
      </c>
    </row>
    <row r="2022" spans="1:3" x14ac:dyDescent="0.25">
      <c r="A2022" s="8" t="str">
        <f>"2010 25th Biennial Symposium on Communications, QBSC 2010"</f>
        <v>2010 25th Biennial Symposium on Communications, QBSC 2010</v>
      </c>
      <c r="B2022" s="8" t="str">
        <f>"9781424457090"</f>
        <v>9781424457090</v>
      </c>
      <c r="C2022" s="8" t="s">
        <v>9</v>
      </c>
    </row>
    <row r="2023" spans="1:3" x14ac:dyDescent="0.25">
      <c r="A2023" s="8" t="str">
        <f>"2010 27th International Conference on Microelectronics, MIEL 2010 - Proceedings"</f>
        <v>2010 27th International Conference on Microelectronics, MIEL 2010 - Proceedings</v>
      </c>
      <c r="B2023" s="8" t="str">
        <f>"9781424472017"</f>
        <v>9781424472017</v>
      </c>
      <c r="C2023" s="8" t="s">
        <v>9</v>
      </c>
    </row>
    <row r="2024" spans="1:3" x14ac:dyDescent="0.25">
      <c r="A2024" s="8" t="str">
        <f>"2010 2nd Circuits and Systems for Medical and Environmental Applications Workshop, CASME 2010"</f>
        <v>2010 2nd Circuits and Systems for Medical and Environmental Applications Workshop, CASME 2010</v>
      </c>
      <c r="B2024" s="8" t="str">
        <f>"9781424499953"</f>
        <v>9781424499953</v>
      </c>
      <c r="C2024" s="8" t="s">
        <v>9</v>
      </c>
    </row>
    <row r="2025" spans="1:3" x14ac:dyDescent="0.25">
      <c r="A2025" s="8" t="str">
        <f>"2010 2nd Computer Science and Electronic Engineering Conference, CEEC 2010"</f>
        <v>2010 2nd Computer Science and Electronic Engineering Conference, CEEC 2010</v>
      </c>
      <c r="B2025" s="8" t="str">
        <f>"9781424490301"</f>
        <v>9781424490301</v>
      </c>
      <c r="C2025" s="8" t="s">
        <v>9</v>
      </c>
    </row>
    <row r="2026" spans="1:3" x14ac:dyDescent="0.25">
      <c r="A2026" s="8" t="str">
        <f>"2010 2nd Conference on Environmental Science and Information Application Technology, ESIAT 2010"</f>
        <v>2010 2nd Conference on Environmental Science and Information Application Technology, ESIAT 2010</v>
      </c>
      <c r="B2026" s="8" t="str">
        <f>"9781424473885"</f>
        <v>9781424473885</v>
      </c>
      <c r="C2026" s="8" t="s">
        <v>9</v>
      </c>
    </row>
    <row r="2027" spans="1:3" x14ac:dyDescent="0.25">
      <c r="A2027" s="8" t="str">
        <f>"2010 2nd European Workshop on Visual Information Processing, EUVIP2010"</f>
        <v>2010 2nd European Workshop on Visual Information Processing, EUVIP2010</v>
      </c>
      <c r="B2027" s="8" t="str">
        <f>"9781424472871"</f>
        <v>9781424472871</v>
      </c>
      <c r="C2027" s="8" t="s">
        <v>9</v>
      </c>
    </row>
    <row r="2028" spans="1:3" x14ac:dyDescent="0.25">
      <c r="A2028" s="8" t="str">
        <f>"2010 2nd IITA International Conference on Geoscience and Remote Sensing, IITA-GRS 2010"</f>
        <v>2010 2nd IITA International Conference on Geoscience and Remote Sensing, IITA-GRS 2010</v>
      </c>
      <c r="B2028" s="8" t="str">
        <f>"9781424485154"</f>
        <v>9781424485154</v>
      </c>
      <c r="C2028" s="8" t="s">
        <v>9</v>
      </c>
    </row>
    <row r="2029" spans="1:3" x14ac:dyDescent="0.25">
      <c r="A2029" s="8" t="str">
        <f>"2010 2nd International Conference on Advanced Computing, ICoAC 2010"</f>
        <v>2010 2nd International Conference on Advanced Computing, ICoAC 2010</v>
      </c>
      <c r="B2029" s="8" t="str">
        <f>"9781612842615"</f>
        <v>9781612842615</v>
      </c>
      <c r="C2029" s="8" t="s">
        <v>9</v>
      </c>
    </row>
    <row r="2030" spans="1:3" x14ac:dyDescent="0.25">
      <c r="A2030" s="8" t="str">
        <f>"2010 2nd International Conference on COMmunication Systems and NETworks, COMSNETS 2010"</f>
        <v>2010 2nd International Conference on COMmunication Systems and NETworks, COMSNETS 2010</v>
      </c>
      <c r="B2030" s="8" t="str">
        <f>"9781424454877"</f>
        <v>9781424454877</v>
      </c>
      <c r="C2030" s="8" t="s">
        <v>9</v>
      </c>
    </row>
    <row r="2031" spans="1:3" x14ac:dyDescent="0.25">
      <c r="A2031" s="8" t="str">
        <f>"2010 2nd International Conference on Communication Systems, Networks and Applications, ICCSNA 2010"</f>
        <v>2010 2nd International Conference on Communication Systems, Networks and Applications, ICCSNA 2010</v>
      </c>
      <c r="B2031" s="8" t="str">
        <f>"9781424474769"</f>
        <v>9781424474769</v>
      </c>
      <c r="C2031" s="8" t="s">
        <v>9</v>
      </c>
    </row>
    <row r="2032" spans="1:3" x14ac:dyDescent="0.25">
      <c r="A2032" s="8" t="str">
        <f>"2010 2nd International Conference on Communications and Networking, ComNet 2010"</f>
        <v>2010 2nd International Conference on Communications and Networking, ComNet 2010</v>
      </c>
      <c r="B2032" s="8" t="str">
        <f>"9781424488391"</f>
        <v>9781424488391</v>
      </c>
      <c r="C2032" s="8" t="s">
        <v>9</v>
      </c>
    </row>
    <row r="2033" spans="1:3" x14ac:dyDescent="0.25">
      <c r="A2033" s="8" t="str">
        <f>"2010 2nd International Conference on Computational Intelligence and Natural Computing, CINC 2010"</f>
        <v>2010 2nd International Conference on Computational Intelligence and Natural Computing, CINC 2010</v>
      </c>
      <c r="B2033" s="8" t="str">
        <f>"9781424477036"</f>
        <v>9781424477036</v>
      </c>
      <c r="C2033" s="8" t="s">
        <v>9</v>
      </c>
    </row>
    <row r="2034" spans="1:3" x14ac:dyDescent="0.25">
      <c r="A2034" s="8" t="str">
        <f>"2010 2nd International Conference on Computer Engineering and Applications, ICCEA 2010"</f>
        <v>2010 2nd International Conference on Computer Engineering and Applications, ICCEA 2010</v>
      </c>
      <c r="B2034" s="8" t="str">
        <f>"9780769539829"</f>
        <v>9780769539829</v>
      </c>
      <c r="C2034" s="8" t="s">
        <v>9</v>
      </c>
    </row>
    <row r="2035" spans="1:3" x14ac:dyDescent="0.25">
      <c r="A2035" s="8" t="str">
        <f>"2010 2nd International Conference on Computing, Communication and Networking Technologies, ICCCNT 2010"</f>
        <v>2010 2nd International Conference on Computing, Communication and Networking Technologies, ICCCNT 2010</v>
      </c>
      <c r="B2035" s="8" t="str">
        <f>"9781424465910"</f>
        <v>9781424465910</v>
      </c>
      <c r="C2035" s="8" t="s">
        <v>9</v>
      </c>
    </row>
    <row r="2036" spans="1:3" x14ac:dyDescent="0.25">
      <c r="A2036" s="8" t="str">
        <f>"2010 2nd International Conference on E-Business and Information System Security, EBISS2010"</f>
        <v>2010 2nd International Conference on E-Business and Information System Security, EBISS2010</v>
      </c>
      <c r="B2036" s="8" t="str">
        <f>"9781424458950"</f>
        <v>9781424458950</v>
      </c>
      <c r="C2036" s="8" t="s">
        <v>9</v>
      </c>
    </row>
    <row r="2037" spans="1:3" x14ac:dyDescent="0.25">
      <c r="A2037" s="8" t="str">
        <f>"2010 2nd International Conference on E-Learning and E-Teaching, ICELET 2010"</f>
        <v>2010 2nd International Conference on E-Learning and E-Teaching, ICELET 2010</v>
      </c>
      <c r="B2037" s="8" t="str">
        <f>"9781424490110"</f>
        <v>9781424490110</v>
      </c>
      <c r="C2037" s="8" t="s">
        <v>9</v>
      </c>
    </row>
    <row r="2038" spans="1:3" x14ac:dyDescent="0.25">
      <c r="A2038" s="8" t="str">
        <f>"2010 2nd International Conference on Engineering System Management and Applications, ICESMA 2010"</f>
        <v>2010 2nd International Conference on Engineering System Management and Applications, ICESMA 2010</v>
      </c>
      <c r="B2038" s="8" t="str">
        <f>"9781424465200"</f>
        <v>9781424465200</v>
      </c>
      <c r="C2038" s="8" t="s">
        <v>9</v>
      </c>
    </row>
    <row r="2039" spans="1:3" x14ac:dyDescent="0.25">
      <c r="A2039" s="8" t="str">
        <f>"2010 2nd International Conference on Image Processing Theory, Tools and Applications, IPTA 2010"</f>
        <v>2010 2nd International Conference on Image Processing Theory, Tools and Applications, IPTA 2010</v>
      </c>
      <c r="B2039" s="8" t="str">
        <f>"9781424472482"</f>
        <v>9781424472482</v>
      </c>
      <c r="C2039" s="8" t="s">
        <v>9</v>
      </c>
    </row>
    <row r="2040" spans="1:3" x14ac:dyDescent="0.25">
      <c r="A2040" s="8" t="str">
        <f>"2010 2nd International Conference on Industrial and Information Systems, IIS 2010"</f>
        <v>2010 2nd International Conference on Industrial and Information Systems, IIS 2010</v>
      </c>
      <c r="B2040" s="8" t="str">
        <f>"9781424482177"</f>
        <v>9781424482177</v>
      </c>
      <c r="C2040" s="8" t="s">
        <v>9</v>
      </c>
    </row>
    <row r="2041" spans="1:3" x14ac:dyDescent="0.25">
      <c r="A2041" s="8" t="str">
        <f>"2010 2nd International Conference on Information Technology Convergence and Services, ITCS 2010"</f>
        <v>2010 2nd International Conference on Information Technology Convergence and Services, ITCS 2010</v>
      </c>
      <c r="B2041" s="8" t="str">
        <f>"9781424475858"</f>
        <v>9781424475858</v>
      </c>
      <c r="C2041" s="8" t="s">
        <v>9</v>
      </c>
    </row>
    <row r="2042" spans="1:3" x14ac:dyDescent="0.25">
      <c r="A2042" s="8" t="str">
        <f>"2010 2nd International Conference on Reliability, Safety and Hazard, ICRESH-2010: Risk-Based Technology and Physics-of-Failure Methods"</f>
        <v>2010 2nd International Conference on Reliability, Safety and Hazard, ICRESH-2010: Risk-Based Technology and Physics-of-Failure Methods</v>
      </c>
      <c r="B2042" s="8" t="str">
        <f>"9781424483433"</f>
        <v>9781424483433</v>
      </c>
      <c r="C2042" s="8" t="s">
        <v>9</v>
      </c>
    </row>
    <row r="2043" spans="1:3" x14ac:dyDescent="0.25">
      <c r="A2043" s="8" t="str">
        <f>"2010 2nd International Congress on Engineering Education: Transforming Engineering Education to Produce Quality Engineers, ICEED2010"</f>
        <v>2010 2nd International Congress on Engineering Education: Transforming Engineering Education to Produce Quality Engineers, ICEED2010</v>
      </c>
      <c r="B2043" s="8" t="str">
        <f>"9781424473113"</f>
        <v>9781424473113</v>
      </c>
      <c r="C2043" s="8" t="s">
        <v>9</v>
      </c>
    </row>
    <row r="2044" spans="1:3" x14ac:dyDescent="0.25">
      <c r="A2044" s="8" t="str">
        <f>"2010 2nd International Symposium on Aware Computing, ISAC 2010 - Symposium Guide"</f>
        <v>2010 2nd International Symposium on Aware Computing, ISAC 2010 - Symposium Guide</v>
      </c>
      <c r="B2044" s="8" t="str">
        <f>"9781424483143"</f>
        <v>9781424483143</v>
      </c>
      <c r="C2044" s="8" t="s">
        <v>9</v>
      </c>
    </row>
    <row r="2045" spans="1:3" x14ac:dyDescent="0.25">
      <c r="A2045" s="8" t="str">
        <f>"2010 2nd International Symposium on Information Engineering and Electronic Commerce, IEEC 2010"</f>
        <v>2010 2nd International Symposium on Information Engineering and Electronic Commerce, IEEC 2010</v>
      </c>
      <c r="B2045" s="8" t="str">
        <f>"9781424469741"</f>
        <v>9781424469741</v>
      </c>
      <c r="C2045" s="8" t="s">
        <v>9</v>
      </c>
    </row>
    <row r="2046" spans="1:3" x14ac:dyDescent="0.25">
      <c r="A2046" s="8" t="str">
        <f>"2010 2nd International Workshop on Cognitive Information Processing, CIP2010"</f>
        <v>2010 2nd International Workshop on Cognitive Information Processing, CIP2010</v>
      </c>
      <c r="B2046" s="8" t="str">
        <f>"9781424464593"</f>
        <v>9781424464593</v>
      </c>
      <c r="C2046" s="8" t="s">
        <v>9</v>
      </c>
    </row>
    <row r="2047" spans="1:3" x14ac:dyDescent="0.25">
      <c r="A2047" s="8" t="str">
        <f>"2010 2nd International Workshop on Database Technology and Applications, DBTA2010 - Proceedings"</f>
        <v>2010 2nd International Workshop on Database Technology and Applications, DBTA2010 - Proceedings</v>
      </c>
      <c r="B2047" s="8" t="str">
        <f>"9781424469772"</f>
        <v>9781424469772</v>
      </c>
      <c r="C2047" s="8" t="s">
        <v>9</v>
      </c>
    </row>
    <row r="2048" spans="1:3" x14ac:dyDescent="0.25">
      <c r="A2048" s="8" t="str">
        <f>"2010 2nd International Workshop on Quality of Multimedia Experience, QoMEX 2010 - Proceedings"</f>
        <v>2010 2nd International Workshop on Quality of Multimedia Experience, QoMEX 2010 - Proceedings</v>
      </c>
      <c r="B2048" s="8" t="str">
        <f>"9781424469604"</f>
        <v>9781424469604</v>
      </c>
      <c r="C2048" s="8" t="s">
        <v>9</v>
      </c>
    </row>
    <row r="2049" spans="1:3" x14ac:dyDescent="0.25">
      <c r="A2049" s="8" t="str">
        <f>"2010 2nd International Workshop on Security and Communication Networks, IWSCN 2010"</f>
        <v>2010 2nd International Workshop on Security and Communication Networks, IWSCN 2010</v>
      </c>
      <c r="B2049" s="8" t="str">
        <f>"9781424469390"</f>
        <v>9781424469390</v>
      </c>
      <c r="C2049" s="8" t="s">
        <v>9</v>
      </c>
    </row>
    <row r="2050" spans="1:3" x14ac:dyDescent="0.25">
      <c r="A2050" s="8" t="str">
        <f>"2010 2nd Pacific-Asia Conference on Circuits, Communications and System, PACCS 2010"</f>
        <v>2010 2nd Pacific-Asia Conference on Circuits, Communications and System, PACCS 2010</v>
      </c>
      <c r="B2050" s="8" t="str">
        <f>"9781424479689"</f>
        <v>9781424479689</v>
      </c>
      <c r="C2050" s="8" t="s">
        <v>9</v>
      </c>
    </row>
    <row r="2051" spans="1:3" x14ac:dyDescent="0.25">
      <c r="A2051" s="8" t="str">
        <f>"2010 3rd IEEE International Conference on Ubi-Media Computing, U-Media 2010"</f>
        <v>2010 3rd IEEE International Conference on Ubi-Media Computing, U-Media 2010</v>
      </c>
      <c r="B2051" s="8" t="str">
        <f>"9781424467068"</f>
        <v>9781424467068</v>
      </c>
      <c r="C2051" s="8" t="s">
        <v>9</v>
      </c>
    </row>
    <row r="2052" spans="1:3" x14ac:dyDescent="0.25">
      <c r="A2052" s="8" t="str">
        <f>"2010 3rd IEEE International Workshop on Wireless Network Coding, WiNC 2010"</f>
        <v>2010 3rd IEEE International Workshop on Wireless Network Coding, WiNC 2010</v>
      </c>
      <c r="B2052" s="8" t="str">
        <f>"9781424479801"</f>
        <v>9781424479801</v>
      </c>
      <c r="C2052" s="8" t="s">
        <v>9</v>
      </c>
    </row>
    <row r="2053" spans="1:3" x14ac:dyDescent="0.25">
      <c r="A2053" s="8" t="str">
        <f>"2010 3rd IEEE RAS and EMBS International Conference on Biomedical Robotics and Biomechatronics, BioRob 2010"</f>
        <v>2010 3rd IEEE RAS and EMBS International Conference on Biomedical Robotics and Biomechatronics, BioRob 2010</v>
      </c>
      <c r="B2053" s="8" t="str">
        <f>"9781424477081"</f>
        <v>9781424477081</v>
      </c>
      <c r="C2053" s="8" t="s">
        <v>9</v>
      </c>
    </row>
    <row r="2054" spans="1:3" x14ac:dyDescent="0.25">
      <c r="A2054" s="8" t="str">
        <f>"2010 3rd International Conference on Human-Centric Computing, HumanCom 2010"</f>
        <v>2010 3rd International Conference on Human-Centric Computing, HumanCom 2010</v>
      </c>
      <c r="B2054" s="8" t="str">
        <f>"9781424475704"</f>
        <v>9781424475704</v>
      </c>
      <c r="C2054" s="8" t="s">
        <v>9</v>
      </c>
    </row>
    <row r="2055" spans="1:3" x14ac:dyDescent="0.25">
      <c r="A2055" s="8" t="str">
        <f>"2010 3rd International Conference on Thermal Issues in Emerging Technologies, Theory and Applications - Proceedings, ThETA 3 2010"</f>
        <v>2010 3rd International Conference on Thermal Issues in Emerging Technologies, Theory and Applications - Proceedings, ThETA 3 2010</v>
      </c>
      <c r="B2055" s="8" t="str">
        <f>"9781612842660"</f>
        <v>9781612842660</v>
      </c>
      <c r="C2055" s="8" t="s">
        <v>9</v>
      </c>
    </row>
    <row r="2056" spans="1:3" x14ac:dyDescent="0.25">
      <c r="A2056" s="8" t="str">
        <f>"2010 3rd International Symposium on Applied Sciences in Biomedical and Communication Technologies, ISABEL 2010"</f>
        <v>2010 3rd International Symposium on Applied Sciences in Biomedical and Communication Technologies, ISABEL 2010</v>
      </c>
      <c r="B2056" s="8" t="str">
        <f>"9781424481323"</f>
        <v>9781424481323</v>
      </c>
      <c r="C2056" s="8" t="s">
        <v>9</v>
      </c>
    </row>
    <row r="2057" spans="1:3" x14ac:dyDescent="0.25">
      <c r="A2057" s="8" t="str">
        <f>"2010 3rd International Symposium on Knowledge Acquisition and Modeling, KAM 2010"</f>
        <v>2010 3rd International Symposium on Knowledge Acquisition and Modeling, KAM 2010</v>
      </c>
      <c r="B2057" s="8" t="str">
        <f>"9781424480050"</f>
        <v>9781424480050</v>
      </c>
      <c r="C2057" s="8" t="s">
        <v>9</v>
      </c>
    </row>
    <row r="2058" spans="1:3" x14ac:dyDescent="0.25">
      <c r="A2058" s="8" t="str">
        <f>"2010 3rd International Workshop on Managing Requirements Knowledge, MaRK'10"</f>
        <v>2010 3rd International Workshop on Managing Requirements Knowledge, MaRK'10</v>
      </c>
      <c r="B2058" s="8" t="str">
        <f>"9781424487837"</f>
        <v>9781424487837</v>
      </c>
      <c r="C2058" s="8" t="s">
        <v>9</v>
      </c>
    </row>
    <row r="2059" spans="1:3" x14ac:dyDescent="0.25">
      <c r="A2059" s="8" t="str">
        <f>"2010 3rd International Workshop on Requirements Engineering and Law, RELAW 2010"</f>
        <v>2010 3rd International Workshop on Requirements Engineering and Law, RELAW 2010</v>
      </c>
      <c r="B2059" s="8" t="str">
        <f>"9781424487615"</f>
        <v>9781424487615</v>
      </c>
      <c r="C2059" s="8" t="s">
        <v>9</v>
      </c>
    </row>
    <row r="2060" spans="1:3" x14ac:dyDescent="0.25">
      <c r="A2060" s="8" t="str">
        <f>"2010 3rd Joint IFIP Wireless and Mobile Networking Conference, WMNC 2010"</f>
        <v>2010 3rd Joint IFIP Wireless and Mobile Networking Conference, WMNC 2010</v>
      </c>
      <c r="B2060" s="8" t="str">
        <f>"9781424484317"</f>
        <v>9781424484317</v>
      </c>
      <c r="C2060" s="8" t="s">
        <v>9</v>
      </c>
    </row>
    <row r="2061" spans="1:3" x14ac:dyDescent="0.25">
      <c r="A2061" s="8" t="str">
        <f>"2010 3rd Workshop on Many-Task Computing on Grids and Supercomputers, MTAGS10"</f>
        <v>2010 3rd Workshop on Many-Task Computing on Grids and Supercomputers, MTAGS10</v>
      </c>
      <c r="B2061" s="8" t="str">
        <f>"9781424497041"</f>
        <v>9781424497041</v>
      </c>
      <c r="C2061" s="8" t="s">
        <v>9</v>
      </c>
    </row>
    <row r="2062" spans="1:3" x14ac:dyDescent="0.25">
      <c r="A2062" s="8" t="str">
        <f>"2010 44th Annual Conference on Information Sciences and Systems, CISS 2010"</f>
        <v>2010 44th Annual Conference on Information Sciences and Systems, CISS 2010</v>
      </c>
      <c r="B2062" s="8" t="str">
        <f>"9781424474172"</f>
        <v>9781424474172</v>
      </c>
      <c r="C2062" s="8" t="s">
        <v>9</v>
      </c>
    </row>
    <row r="2063" spans="1:3" x14ac:dyDescent="0.25">
      <c r="A2063" s="8" t="str">
        <f>"2010 48th Annual Allerton Conference on Communication, Control, and Computing, Allerton 2010"</f>
        <v>2010 48th Annual Allerton Conference on Communication, Control, and Computing, Allerton 2010</v>
      </c>
      <c r="B2063" s="8" t="str">
        <f>"9781424482146"</f>
        <v>9781424482146</v>
      </c>
      <c r="C2063" s="8" t="s">
        <v>9</v>
      </c>
    </row>
    <row r="2064" spans="1:3" x14ac:dyDescent="0.25">
      <c r="A2064" s="8" t="str">
        <f>"2010 4th International Conference on Bioinformatics and Biomedical Engineering, iCBBE 2010"</f>
        <v>2010 4th International Conference on Bioinformatics and Biomedical Engineering, iCBBE 2010</v>
      </c>
      <c r="B2064" s="8" t="str">
        <f>"9781424447138"</f>
        <v>9781424447138</v>
      </c>
      <c r="C2064" s="8" t="s">
        <v>9</v>
      </c>
    </row>
    <row r="2065" spans="1:3" x14ac:dyDescent="0.25">
      <c r="A2065" s="8" t="str">
        <f>"2010 4th International Conference on Multimedia and Ubiquitous Engineering, MUE 2010"</f>
        <v>2010 4th International Conference on Multimedia and Ubiquitous Engineering, MUE 2010</v>
      </c>
      <c r="B2065" s="8" t="str">
        <f>"9781424475667"</f>
        <v>9781424475667</v>
      </c>
      <c r="C2065" s="8" t="s">
        <v>9</v>
      </c>
    </row>
    <row r="2066" spans="1:3" x14ac:dyDescent="0.25">
      <c r="A2066" s="8" t="str">
        <f>"2010 4th International Conference on Pervasive Computing Technologies for Healthcare, Pervasive Health 2010"</f>
        <v>2010 4th International Conference on Pervasive Computing Technologies for Healthcare, Pervasive Health 2010</v>
      </c>
      <c r="B2066" s="8" t="str">
        <f>"9789639799899"</f>
        <v>9789639799899</v>
      </c>
      <c r="C2066" s="8" t="s">
        <v>9</v>
      </c>
    </row>
    <row r="2067" spans="1:3" x14ac:dyDescent="0.25">
      <c r="A2067" s="8" t="str">
        <f>"2010 4th International Conference on Research Challenges in Information Science - Proceedings, RCIS 2010"</f>
        <v>2010 4th International Conference on Research Challenges in Information Science - Proceedings, RCIS 2010</v>
      </c>
      <c r="B2067" s="8" t="str">
        <f>"9781424448401"</f>
        <v>9781424448401</v>
      </c>
      <c r="C2067" s="8" t="s">
        <v>9</v>
      </c>
    </row>
    <row r="2068" spans="1:3" x14ac:dyDescent="0.25">
      <c r="A2068" s="8" t="str">
        <f>"2010 4th International Universal Communication Symposium, IUCS 2010 - Proceedings"</f>
        <v>2010 4th International Universal Communication Symposium, IUCS 2010 - Proceedings</v>
      </c>
      <c r="B2068" s="8" t="str">
        <f>"9781424478200"</f>
        <v>9781424478200</v>
      </c>
      <c r="C2068" s="8" t="s">
        <v>9</v>
      </c>
    </row>
    <row r="2069" spans="1:3" x14ac:dyDescent="0.25">
      <c r="A2069" s="8" t="str">
        <f>"2010 4th International Workshop on Genetic and Evolutionary Fuzzy Systems, GEFS 2010"</f>
        <v>2010 4th International Workshop on Genetic and Evolutionary Fuzzy Systems, GEFS 2010</v>
      </c>
      <c r="B2069" s="8" t="str">
        <f>"9781424446223"</f>
        <v>9781424446223</v>
      </c>
      <c r="C2069" s="8" t="s">
        <v>9</v>
      </c>
    </row>
    <row r="2070" spans="1:3" x14ac:dyDescent="0.25">
      <c r="A2070" s="8" t="str">
        <f>"2010 4th International Workshop on Software Product Management, IWSPM 2010"</f>
        <v>2010 4th International Workshop on Software Product Management, IWSPM 2010</v>
      </c>
      <c r="B2070" s="8" t="str">
        <f>"9781424487646"</f>
        <v>9781424487646</v>
      </c>
      <c r="C2070" s="8" t="s">
        <v>9</v>
      </c>
    </row>
    <row r="2071" spans="1:3" x14ac:dyDescent="0.25">
      <c r="A2071" s="8" t="str">
        <f>"2010 5th Cairo International Biomedical Engineering Conference, CIBEC 2010"</f>
        <v>2010 5th Cairo International Biomedical Engineering Conference, CIBEC 2010</v>
      </c>
      <c r="B2071" s="8" t="str">
        <f>"9781424471706"</f>
        <v>9781424471706</v>
      </c>
      <c r="C2071" s="8" t="s">
        <v>9</v>
      </c>
    </row>
    <row r="2072" spans="1:3" x14ac:dyDescent="0.25">
      <c r="A2072" s="8" t="str">
        <f>"2010 5th IEEE Workshop on Networking Technologies for Software Defined Radio Networks, SDR 2010"</f>
        <v>2010 5th IEEE Workshop on Networking Technologies for Software Defined Radio Networks, SDR 2010</v>
      </c>
      <c r="B2072" s="8" t="str">
        <f>"9781424472130"</f>
        <v>9781424472130</v>
      </c>
      <c r="C2072" s="8" t="s">
        <v>9</v>
      </c>
    </row>
    <row r="2073" spans="1:3" x14ac:dyDescent="0.25">
      <c r="A2073" s="8" t="str">
        <f>"2010 5th IEEE Workshop on Wireless Mesh Networks, WiMesh 2010"</f>
        <v>2010 5th IEEE Workshop on Wireless Mesh Networks, WiMesh 2010</v>
      </c>
      <c r="B2073" s="8" t="str">
        <f>"9781424479771"</f>
        <v>9781424479771</v>
      </c>
      <c r="C2073" s="8" t="s">
        <v>9</v>
      </c>
    </row>
    <row r="2074" spans="1:3" x14ac:dyDescent="0.25">
      <c r="A2074" s="8" t="str">
        <f>"2010 5th International Conference on Broadband and Biomedical Communications, IB2Com 2010"</f>
        <v>2010 5th International Conference on Broadband and Biomedical Communications, IB2Com 2010</v>
      </c>
      <c r="B2074" s="8" t="str">
        <f>"9781424469512"</f>
        <v>9781424469512</v>
      </c>
      <c r="C2074" s="8" t="s">
        <v>9</v>
      </c>
    </row>
    <row r="2075" spans="1:3" x14ac:dyDescent="0.25">
      <c r="A2075" s="8" t="str">
        <f>"2010 5th International Conference on Critical Infrastructure, CRIS 2010 - Proceedings"</f>
        <v>2010 5th International Conference on Critical Infrastructure, CRIS 2010 - Proceedings</v>
      </c>
      <c r="B2075" s="8" t="str">
        <f>"9781424480814"</f>
        <v>9781424480814</v>
      </c>
      <c r="C2075" s="8" t="s">
        <v>9</v>
      </c>
    </row>
    <row r="2076" spans="1:3" x14ac:dyDescent="0.25">
      <c r="A2076" s="8" t="str">
        <f>"2010 5th International Conference on Digital Information Management, ICDIM 2010"</f>
        <v>2010 5th International Conference on Digital Information Management, ICDIM 2010</v>
      </c>
      <c r="B2076" s="8" t="str">
        <f>"9781424475728"</f>
        <v>9781424475728</v>
      </c>
      <c r="C2076" s="8" t="s">
        <v>9</v>
      </c>
    </row>
    <row r="2077" spans="1:3" x14ac:dyDescent="0.25">
      <c r="A2077" s="8" t="str">
        <f>"2010 5th International Conference on Embedded and Multimedia Computing, EMC-10 - Proceedings"</f>
        <v>2010 5th International Conference on Embedded and Multimedia Computing, EMC-10 - Proceedings</v>
      </c>
      <c r="B2077" s="8" t="str">
        <f>"9781424477104"</f>
        <v>9781424477104</v>
      </c>
      <c r="C2077" s="8" t="s">
        <v>9</v>
      </c>
    </row>
    <row r="2078" spans="1:3" x14ac:dyDescent="0.25">
      <c r="A2078" s="8" t="str">
        <f>"2010 5th International Conference on Future Information Technology, FutureTech 2010 - Proceedings"</f>
        <v>2010 5th International Conference on Future Information Technology, FutureTech 2010 - Proceedings</v>
      </c>
      <c r="B2078" s="8" t="str">
        <f>"9781424469505"</f>
        <v>9781424469505</v>
      </c>
      <c r="C2078" s="8" t="s">
        <v>9</v>
      </c>
    </row>
    <row r="2079" spans="1:3" x14ac:dyDescent="0.25">
      <c r="A2079" s="8" t="str">
        <f>"2010 5th International Conference on Industrial and Information Systems, ICIIS 2010"</f>
        <v>2010 5th International Conference on Industrial and Information Systems, ICIIS 2010</v>
      </c>
      <c r="B2079" s="8" t="str">
        <f>"9781424466535"</f>
        <v>9781424466535</v>
      </c>
      <c r="C2079" s="8" t="s">
        <v>9</v>
      </c>
    </row>
    <row r="2080" spans="1:3" x14ac:dyDescent="0.25">
      <c r="A2080" s="8" t="str">
        <f>"2010 5th International Conference on Risks and Security of Internet and Systems, CRiSIS 2010"</f>
        <v>2010 5th International Conference on Risks and Security of Internet and Systems, CRiSIS 2010</v>
      </c>
      <c r="B2080" s="8" t="str">
        <f>"9781424486427"</f>
        <v>9781424486427</v>
      </c>
      <c r="C2080" s="8" t="s">
        <v>9</v>
      </c>
    </row>
    <row r="2081" spans="1:3" x14ac:dyDescent="0.25">
      <c r="A2081" s="8" t="str">
        <f>"2010 5th International Conference on System of Systems Engineering, SoSE 2010"</f>
        <v>2010 5th International Conference on System of Systems Engineering, SoSE 2010</v>
      </c>
      <c r="B2081" s="8" t="str">
        <f>"9781424481972"</f>
        <v>9781424481972</v>
      </c>
      <c r="C2081" s="8" t="s">
        <v>9</v>
      </c>
    </row>
    <row r="2082" spans="1:3" x14ac:dyDescent="0.25">
      <c r="A2082" s="8" t="str">
        <f>"2010 5th International Confernce on Ultrawideband and Ultrashort Impulse Signals, UWBUSIS'2010"</f>
        <v>2010 5th International Confernce on Ultrawideband and Ultrashort Impulse Signals, UWBUSIS'2010</v>
      </c>
      <c r="B2082" s="8" t="str">
        <f>"9781424474684"</f>
        <v>9781424474684</v>
      </c>
      <c r="C2082" s="8" t="s">
        <v>9</v>
      </c>
    </row>
    <row r="2083" spans="1:3" x14ac:dyDescent="0.25">
      <c r="A2083" s="8" t="str">
        <f>"2010 5th International ICST Conference on Communications and Networking in China, ChinaCom 2010"</f>
        <v>2010 5th International ICST Conference on Communications and Networking in China, ChinaCom 2010</v>
      </c>
      <c r="B2083" s="8" t="str">
        <f>"9780984589333"</f>
        <v>9780984589333</v>
      </c>
      <c r="C2083" s="8" t="s">
        <v>9</v>
      </c>
    </row>
    <row r="2084" spans="1:3" x14ac:dyDescent="0.25">
      <c r="A2084" s="8" t="str">
        <f>"2010 5th International Symposium on Health Informatics and Bioinformatics, HIBIT 2010"</f>
        <v>2010 5th International Symposium on Health Informatics and Bioinformatics, HIBIT 2010</v>
      </c>
      <c r="B2084" s="8" t="str">
        <f>"9781424459704"</f>
        <v>9781424459704</v>
      </c>
      <c r="C2084" s="8" t="s">
        <v>9</v>
      </c>
    </row>
    <row r="2085" spans="1:3" x14ac:dyDescent="0.25">
      <c r="A2085" s="8" t="str">
        <f>"2010 5th International Symposium on I/V Communications and Mobile Networks, ISIVC 2010"</f>
        <v>2010 5th International Symposium on I/V Communications and Mobile Networks, ISIVC 2010</v>
      </c>
      <c r="B2085" s="8" t="str">
        <f>"9781424459988"</f>
        <v>9781424459988</v>
      </c>
      <c r="C2085" s="8" t="s">
        <v>9</v>
      </c>
    </row>
    <row r="2086" spans="1:3" x14ac:dyDescent="0.25">
      <c r="A2086" s="8" t="str">
        <f>"2010 5th International Symposium on Telecommunications, IST 2010"</f>
        <v>2010 5th International Symposium on Telecommunications, IST 2010</v>
      </c>
      <c r="B2086" s="8" t="str">
        <f>"9781424481835"</f>
        <v>9781424481835</v>
      </c>
      <c r="C2086" s="8" t="s">
        <v>9</v>
      </c>
    </row>
    <row r="2087" spans="1:3" x14ac:dyDescent="0.25">
      <c r="A2087" s="8" t="str">
        <f>"2010 5th International Workshop on Requirements Engineering Education and Training, REET 2010"</f>
        <v>2010 5th International Workshop on Requirements Engineering Education and Training, REET 2010</v>
      </c>
      <c r="B2087" s="8" t="str">
        <f>"9781424487875"</f>
        <v>9781424487875</v>
      </c>
      <c r="C2087" s="8" t="s">
        <v>9</v>
      </c>
    </row>
    <row r="2088" spans="1:3" x14ac:dyDescent="0.25">
      <c r="A2088" s="8" t="str">
        <f>"2010 5th International Workshop on Requirements Engineering Visualization, REV 2010"</f>
        <v>2010 5th International Workshop on Requirements Engineering Visualization, REV 2010</v>
      </c>
      <c r="B2088" s="8" t="str">
        <f>"9781424487653"</f>
        <v>9781424487653</v>
      </c>
      <c r="C2088" s="8" t="s">
        <v>9</v>
      </c>
    </row>
    <row r="2089" spans="1:3" x14ac:dyDescent="0.25">
      <c r="A2089" s="8" t="str">
        <f>"2010 5th Workshop on Workflows in Support of Large-Scale Science, WORKS 2010"</f>
        <v>2010 5th Workshop on Workflows in Support of Large-Scale Science, WORKS 2010</v>
      </c>
      <c r="B2089" s="8" t="str">
        <f>"9781424489893"</f>
        <v>9781424489893</v>
      </c>
      <c r="C2089" s="8" t="s">
        <v>9</v>
      </c>
    </row>
    <row r="2090" spans="1:3" x14ac:dyDescent="0.25">
      <c r="A2090" s="8" t="str">
        <f>"2010 63rd Annual Conference for Protective Relay Engineers"</f>
        <v>2010 63rd Annual Conference for Protective Relay Engineers</v>
      </c>
      <c r="B2090" s="8" t="str">
        <f>"9781424460731"</f>
        <v>9781424460731</v>
      </c>
      <c r="C2090" s="8" t="s">
        <v>9</v>
      </c>
    </row>
    <row r="2091" spans="1:3" x14ac:dyDescent="0.25">
      <c r="A2091" s="8" t="str">
        <f>"2010 6th Central and Eastern European Software Engineering Conference, CEE-SECR 2010"</f>
        <v>2010 6th Central and Eastern European Software Engineering Conference, CEE-SECR 2010</v>
      </c>
      <c r="B2091" s="8" t="str">
        <f>"9781457706066"</f>
        <v>9781457706066</v>
      </c>
      <c r="C2091" s="8" t="s">
        <v>9</v>
      </c>
    </row>
    <row r="2092" spans="1:3" x14ac:dyDescent="0.25">
      <c r="A2092" s="8" t="str">
        <f>"2010 6th Conference on Wireless Advanced, WiAD 2010"</f>
        <v>2010 6th Conference on Wireless Advanced, WiAD 2010</v>
      </c>
      <c r="B2092" s="8" t="str">
        <f>"9781424470716"</f>
        <v>9781424470716</v>
      </c>
      <c r="C2092" s="8" t="s">
        <v>21</v>
      </c>
    </row>
    <row r="2093" spans="1:3" x14ac:dyDescent="0.25">
      <c r="A2093" s="8" t="str">
        <f>"2010 6th IEEE Workshop on Secure Network Protocols, NPSec 2010"</f>
        <v>2010 6th IEEE Workshop on Secure Network Protocols, NPSec 2010</v>
      </c>
      <c r="B2093" s="8" t="str">
        <f>"9781424489152"</f>
        <v>9781424489152</v>
      </c>
      <c r="C2093" s="8" t="s">
        <v>9</v>
      </c>
    </row>
    <row r="2094" spans="1:3" x14ac:dyDescent="0.25">
      <c r="A2094" s="8" t="str">
        <f>"2010 6th International Conference on Information Assurance and Security, IAS 2010"</f>
        <v>2010 6th International Conference on Information Assurance and Security, IAS 2010</v>
      </c>
      <c r="B2094" s="8" t="str">
        <f>"9781424474080"</f>
        <v>9781424474080</v>
      </c>
      <c r="C2094" s="8" t="s">
        <v>9</v>
      </c>
    </row>
    <row r="2095" spans="1:3" x14ac:dyDescent="0.25">
      <c r="A2095" s="8" t="str">
        <f>"2010 6th International Conference on Integrated Power Electronics Systems, CIPS 2010"</f>
        <v>2010 6th International Conference on Integrated Power Electronics Systems, CIPS 2010</v>
      </c>
      <c r="B2095" s="8" t="str">
        <f>"9781612848143"</f>
        <v>9781612848143</v>
      </c>
      <c r="C2095" s="8" t="s">
        <v>9</v>
      </c>
    </row>
    <row r="2096" spans="1:3" x14ac:dyDescent="0.25">
      <c r="A2096" s="8" t="str">
        <f>"2010 6th International Conference on Wireless Communications, Networking and Mobile Computing, WiCOM 2010"</f>
        <v>2010 6th International Conference on Wireless Communications, Networking and Mobile Computing, WiCOM 2010</v>
      </c>
      <c r="B2096" s="8" t="str">
        <f>"9781424437092"</f>
        <v>9781424437092</v>
      </c>
      <c r="C2096" s="8" t="s">
        <v>9</v>
      </c>
    </row>
    <row r="2097" spans="1:3" x14ac:dyDescent="0.25">
      <c r="A2097" s="8" t="str">
        <f>"2010 6th Iranian Conference on Machine Vision and Image Processing, MVIP 2010"</f>
        <v>2010 6th Iranian Conference on Machine Vision and Image Processing, MVIP 2010</v>
      </c>
      <c r="B2097" s="8" t="str">
        <f>"9781424497065"</f>
        <v>9781424497065</v>
      </c>
      <c r="C2097" s="8" t="s">
        <v>9</v>
      </c>
    </row>
    <row r="2098" spans="1:3" x14ac:dyDescent="0.25">
      <c r="A2098" s="8" t="str">
        <f>"2010 7th IEEE Consumer Communications and Networking Conference, CCNC 2010"</f>
        <v>2010 7th IEEE Consumer Communications and Networking Conference, CCNC 2010</v>
      </c>
      <c r="B2098" s="8" t="str">
        <f>"9781424451760"</f>
        <v>9781424451760</v>
      </c>
      <c r="C2098" s="8" t="s">
        <v>9</v>
      </c>
    </row>
    <row r="2099" spans="1:3" x14ac:dyDescent="0.25">
      <c r="A2099" s="8" t="str">
        <f>"2010 7th IEEE International Symposium on Biomedical Imaging: From Nano to Macro, ISBI 2010 - Proceedings"</f>
        <v>2010 7th IEEE International Symposium on Biomedical Imaging: From Nano to Macro, ISBI 2010 - Proceedings</v>
      </c>
      <c r="B2099" s="8" t="str">
        <f>"9781424441266"</f>
        <v>9781424441266</v>
      </c>
      <c r="C2099" s="8" t="s">
        <v>9</v>
      </c>
    </row>
    <row r="2100" spans="1:3" x14ac:dyDescent="0.25">
      <c r="A2100" s="8" t="str">
        <f>"2010 7th International Conference on Service Systems and Service Management, Proceedings of ICSSSM' 10"</f>
        <v>2010 7th International Conference on Service Systems and Service Management, Proceedings of ICSSSM' 10</v>
      </c>
      <c r="B2100" s="8" t="str">
        <f>"9781424464876"</f>
        <v>9781424464876</v>
      </c>
      <c r="C2100" s="8" t="s">
        <v>9</v>
      </c>
    </row>
    <row r="2101" spans="1:3" x14ac:dyDescent="0.25">
      <c r="A2101" s="8" t="str">
        <f>"2010 7th International Conference on the European Energy Market, EEM 2010"</f>
        <v>2010 7th International Conference on the European Energy Market, EEM 2010</v>
      </c>
      <c r="B2101" s="8" t="str">
        <f>"9781424468386"</f>
        <v>9781424468386</v>
      </c>
      <c r="C2101" s="8" t="s">
        <v>9</v>
      </c>
    </row>
    <row r="2102" spans="1:3" x14ac:dyDescent="0.25">
      <c r="A2102" s="8" t="str">
        <f>"2010 7th International Conference on Wireless and Optical Communications Networks, WOCN2010"</f>
        <v>2010 7th International Conference on Wireless and Optical Communications Networks, WOCN2010</v>
      </c>
      <c r="B2102" s="8" t="str">
        <f>"9781424472031"</f>
        <v>9781424472031</v>
      </c>
      <c r="C2102" s="8" t="s">
        <v>21</v>
      </c>
    </row>
    <row r="2103" spans="1:3" x14ac:dyDescent="0.25">
      <c r="A2103" s="8" t="str">
        <f>"2010 7th International Multi-Conference on Systems, Signals and Devices, SSD-10"</f>
        <v>2010 7th International Multi-Conference on Systems, Signals and Devices, SSD-10</v>
      </c>
      <c r="B2103" s="8" t="str">
        <f>"9781424475346"</f>
        <v>9781424475346</v>
      </c>
      <c r="C2103" s="8" t="s">
        <v>9</v>
      </c>
    </row>
    <row r="2104" spans="1:3" x14ac:dyDescent="0.25">
      <c r="A2104" s="8" t="str">
        <f>"2010 7th International Symposium on Chinese Spoken Language Processing, ISCSLP 2010 - Proceedings"</f>
        <v>2010 7th International Symposium on Chinese Spoken Language Processing, ISCSLP 2010 - Proceedings</v>
      </c>
      <c r="B2104" s="8" t="str">
        <f>"9781424462469"</f>
        <v>9781424462469</v>
      </c>
      <c r="C2104" s="8" t="s">
        <v>9</v>
      </c>
    </row>
    <row r="2105" spans="1:3" x14ac:dyDescent="0.25">
      <c r="A2105" s="8" t="str">
        <f>"2010 7th International Symposium on Communication Systems, Networks and Digital Signal Processing, CSNDSP 2010"</f>
        <v>2010 7th International Symposium on Communication Systems, Networks and Digital Signal Processing, CSNDSP 2010</v>
      </c>
      <c r="B2105" s="8" t="str">
        <f>"9781861353696"</f>
        <v>9781861353696</v>
      </c>
      <c r="C2105" s="8" t="s">
        <v>9</v>
      </c>
    </row>
    <row r="2106" spans="1:3" x14ac:dyDescent="0.25">
      <c r="A2106" s="8" t="str">
        <f>"2010 8th IEEE International Conference on Control and Automation, ICCA 2010"</f>
        <v>2010 8th IEEE International Conference on Control and Automation, ICCA 2010</v>
      </c>
      <c r="B2106" s="8" t="str">
        <f>"9781424451951"</f>
        <v>9781424451951</v>
      </c>
      <c r="C2106" s="8" t="s">
        <v>9</v>
      </c>
    </row>
    <row r="2107" spans="1:3" x14ac:dyDescent="0.25">
      <c r="A2107" s="8" t="str">
        <f>"2010 8th IEEE International Conference on Pervasive Computing and Communications Workshops, PERCOM Workshops 2010"</f>
        <v>2010 8th IEEE International Conference on Pervasive Computing and Communications Workshops, PERCOM Workshops 2010</v>
      </c>
      <c r="B2107" s="8" t="str">
        <f>"9781424466054"</f>
        <v>9781424466054</v>
      </c>
      <c r="C2107" s="8" t="s">
        <v>9</v>
      </c>
    </row>
    <row r="2108" spans="1:3" x14ac:dyDescent="0.25">
      <c r="A2108" s="8" t="str">
        <f>"2010 8th IEEE Workshop on Embedded Systems for Real-Time Multimedia, ESTIMedia'10"</f>
        <v>2010 8th IEEE Workshop on Embedded Systems for Real-Time Multimedia, ESTIMedia'10</v>
      </c>
      <c r="B2108" s="8" t="str">
        <f>"9781424490868"</f>
        <v>9781424490868</v>
      </c>
      <c r="C2108" s="8" t="s">
        <v>9</v>
      </c>
    </row>
    <row r="2109" spans="1:3" x14ac:dyDescent="0.25">
      <c r="A2109" s="8" t="str">
        <f>"2010 8th International Conference on Communications, COMM 2010"</f>
        <v>2010 8th International Conference on Communications, COMM 2010</v>
      </c>
      <c r="B2109" s="8" t="str">
        <f>"-"</f>
        <v>-</v>
      </c>
      <c r="C2109" s="8" t="s">
        <v>9</v>
      </c>
    </row>
    <row r="2110" spans="1:3" x14ac:dyDescent="0.25">
      <c r="A2110" s="8" t="str">
        <f>"2010 9th Annual Workshop on Network and Systems Support for Games, NetGames 2010"</f>
        <v>2010 9th Annual Workshop on Network and Systems Support for Games, NetGames 2010</v>
      </c>
      <c r="B2110" s="8" t="str">
        <f>"9781424483556"</f>
        <v>9781424483556</v>
      </c>
      <c r="C2110" s="8" t="s">
        <v>9</v>
      </c>
    </row>
    <row r="2111" spans="1:3" x14ac:dyDescent="0.25">
      <c r="A2111" s="8" t="str">
        <f>"2010 9th Conference of Telecommunication, Media and Internet, CTTE 2010"</f>
        <v>2010 9th Conference of Telecommunication, Media and Internet, CTTE 2010</v>
      </c>
      <c r="B2111" s="8" t="str">
        <f>"9781424479887"</f>
        <v>9781424479887</v>
      </c>
      <c r="C2111" s="8" t="s">
        <v>9</v>
      </c>
    </row>
    <row r="2112" spans="1:3" x14ac:dyDescent="0.25">
      <c r="A2112" s="8" t="str">
        <f>"2010 9th Conference on Environment and Electrical Engineering, EEEIC 2010"</f>
        <v>2010 9th Conference on Environment and Electrical Engineering, EEEIC 2010</v>
      </c>
      <c r="B2112" s="8" t="str">
        <f>"9781424453719"</f>
        <v>9781424453719</v>
      </c>
      <c r="C2112" s="8" t="s">
        <v>9</v>
      </c>
    </row>
    <row r="2113" spans="1:3" x14ac:dyDescent="0.25">
      <c r="A2113" s="8" t="str">
        <f>"2010 9th Euro-American Workshop on Information Optics, WIO 2010"</f>
        <v>2010 9th Euro-American Workshop on Information Optics, WIO 2010</v>
      </c>
      <c r="B2113" s="8" t="str">
        <f>"9781424482276"</f>
        <v>9781424482276</v>
      </c>
      <c r="C2113" s="8" t="s">
        <v>9</v>
      </c>
    </row>
    <row r="2114" spans="1:3" x14ac:dyDescent="0.25">
      <c r="A2114" s="8" t="str">
        <f>"2010 9th IEEE/IAS International Conference on Industry Applications, INDUSCON 2010"</f>
        <v>2010 9th IEEE/IAS International Conference on Industry Applications, INDUSCON 2010</v>
      </c>
      <c r="B2114" s="8" t="str">
        <f>"9781424480104"</f>
        <v>9781424480104</v>
      </c>
      <c r="C2114" s="8" t="s">
        <v>9</v>
      </c>
    </row>
    <row r="2115" spans="1:3" x14ac:dyDescent="0.25">
      <c r="A2115" s="8" t="str">
        <f>"2010 9th International Conference on Information Technology Based Higher Education and Training, ITHET 2010"</f>
        <v>2010 9th International Conference on Information Technology Based Higher Education and Training, ITHET 2010</v>
      </c>
      <c r="B2115" s="8" t="str">
        <f>"9781424457922"</f>
        <v>9781424457922</v>
      </c>
      <c r="C2115" s="8" t="s">
        <v>9</v>
      </c>
    </row>
    <row r="2116" spans="1:3" x14ac:dyDescent="0.25">
      <c r="A2116" s="8" t="str">
        <f>"2010 9th International Power and Energy Conference, IPEC 2010"</f>
        <v>2010 9th International Power and Energy Conference, IPEC 2010</v>
      </c>
      <c r="B2116" s="8" t="str">
        <f>"9781424473991"</f>
        <v>9781424473991</v>
      </c>
      <c r="C2116" s="8" t="s">
        <v>9</v>
      </c>
    </row>
    <row r="2117" spans="1:3" x14ac:dyDescent="0.25">
      <c r="A2117" s="8" t="str">
        <f>"2010 9th International Symposium on Antennas Propagation and EM Theory, ISAPE 2010"</f>
        <v>2010 9th International Symposium on Antennas Propagation and EM Theory, ISAPE 2010</v>
      </c>
      <c r="B2117" s="8" t="str">
        <f>"9781424469062"</f>
        <v>9781424469062</v>
      </c>
      <c r="C2117" s="8" t="s">
        <v>9</v>
      </c>
    </row>
    <row r="2118" spans="1:3" x14ac:dyDescent="0.25">
      <c r="A2118" s="8" t="str">
        <f>"2010 9th International Symposium on Electronics and Telecommunications, ISETC'10 - Conference Proceedings"</f>
        <v>2010 9th International Symposium on Electronics and Telecommunications, ISETC'10 - Conference Proceedings</v>
      </c>
      <c r="B2118" s="8" t="str">
        <f>"9781424484607"</f>
        <v>9781424484607</v>
      </c>
      <c r="C2118" s="8" t="s">
        <v>9</v>
      </c>
    </row>
    <row r="2119" spans="1:3" x14ac:dyDescent="0.25">
      <c r="A2119" s="8" t="str">
        <f>"2010 Academic Symposium on Optoelectronics and Microelectronics Technology and 10th Chinese-Russian Symposium on Laser Physics and Laser Technology, RCSLPLT/ASOT 2010"</f>
        <v>2010 Academic Symposium on Optoelectronics and Microelectronics Technology and 10th Chinese-Russian Symposium on Laser Physics and Laser Technology, RCSLPLT/ASOT 2010</v>
      </c>
      <c r="B2119" s="8" t="str">
        <f>"9781424455133"</f>
        <v>9781424455133</v>
      </c>
      <c r="C2119" s="8" t="s">
        <v>9</v>
      </c>
    </row>
    <row r="2120" spans="1:3" x14ac:dyDescent="0.25">
      <c r="A2120" s="8" t="str">
        <f>"2010 ACM International Conference on Bioinformatics and Computational Biology, ACM-BCB 2010"</f>
        <v>2010 ACM International Conference on Bioinformatics and Computational Biology, ACM-BCB 2010</v>
      </c>
      <c r="B2120" s="8" t="str">
        <f>"9781450304382"</f>
        <v>9781450304382</v>
      </c>
      <c r="C2120" s="8" t="s">
        <v>21</v>
      </c>
    </row>
    <row r="2121" spans="1:3" x14ac:dyDescent="0.25">
      <c r="A2121" s="8" t="str">
        <f>"2010 ACM/IEEE International Conference for High Performance Computing, Networking, Storage and Analysis, SC 2010"</f>
        <v>2010 ACM/IEEE International Conference for High Performance Computing, Networking, Storage and Analysis, SC 2010</v>
      </c>
      <c r="B2121" s="8" t="str">
        <f>"9781424475575"</f>
        <v>9781424475575</v>
      </c>
      <c r="C2121" s="8" t="s">
        <v>9</v>
      </c>
    </row>
    <row r="2122" spans="1:3" x14ac:dyDescent="0.25">
      <c r="A2122" s="8" t="str">
        <f>"2010 ACS/IEEE International Conference on Computer Systems and Applications, AICCSA 2010"</f>
        <v>2010 ACS/IEEE International Conference on Computer Systems and Applications, AICCSA 2010</v>
      </c>
      <c r="B2122" s="8" t="str">
        <f>"9781424477159"</f>
        <v>9781424477159</v>
      </c>
      <c r="C2122" s="8" t="s">
        <v>9</v>
      </c>
    </row>
    <row r="2123" spans="1:3" x14ac:dyDescent="0.25">
      <c r="A2123" s="8" t="str">
        <f>"2010 Annual International Conference of the IEEE Engineering in Medicine and Biology Society, EMBC'10"</f>
        <v>2010 Annual International Conference of the IEEE Engineering in Medicine and Biology Society, EMBC'10</v>
      </c>
      <c r="B2123" s="8" t="str">
        <f>"9781424441235"</f>
        <v>9781424441235</v>
      </c>
      <c r="C2123" s="8" t="s">
        <v>9</v>
      </c>
    </row>
    <row r="2124" spans="1:3" x14ac:dyDescent="0.25">
      <c r="A2124" s="8" t="str">
        <f>"2010 Asia Communications and Photonics Conference and Exhibition, ACP 2010"</f>
        <v>2010 Asia Communications and Photonics Conference and Exhibition, ACP 2010</v>
      </c>
      <c r="B2124" s="8" t="str">
        <f>"9781424471119"</f>
        <v>9781424471119</v>
      </c>
      <c r="C2124" s="8" t="s">
        <v>9</v>
      </c>
    </row>
    <row r="2125" spans="1:3" x14ac:dyDescent="0.25">
      <c r="A2125" s="8" t="str">
        <f>"2010 Asia-Pacific Power and Energy Engineering Conference, APPEEC 2010 - Proceedings"</f>
        <v>2010 Asia-Pacific Power and Energy Engineering Conference, APPEEC 2010 - Proceedings</v>
      </c>
      <c r="B2125" s="8" t="str">
        <f>"9781424448135"</f>
        <v>9781424448135</v>
      </c>
      <c r="C2125" s="8" t="s">
        <v>9</v>
      </c>
    </row>
    <row r="2126" spans="1:3" x14ac:dyDescent="0.25">
      <c r="A2126" s="8" t="str">
        <f>"2010 Asia-Pacific Symposium on Electromagnetic Compatibility, APEMC 2010"</f>
        <v>2010 Asia-Pacific Symposium on Electromagnetic Compatibility, APEMC 2010</v>
      </c>
      <c r="B2126" s="8" t="str">
        <f>"9781424456215"</f>
        <v>9781424456215</v>
      </c>
      <c r="C2126" s="8" t="s">
        <v>9</v>
      </c>
    </row>
    <row r="2127" spans="1:3" x14ac:dyDescent="0.25">
      <c r="A2127" s="8" t="str">
        <f>"2010 Australasian Telecommunication Networks and Applications Conference, ATNAC 2010"</f>
        <v>2010 Australasian Telecommunication Networks and Applications Conference, ATNAC 2010</v>
      </c>
      <c r="B2127" s="8" t="str">
        <f>"9781424481729"</f>
        <v>9781424481729</v>
      </c>
      <c r="C2127" s="8" t="s">
        <v>9</v>
      </c>
    </row>
    <row r="2128" spans="1:3" x14ac:dyDescent="0.25">
      <c r="A2128" s="8" t="str">
        <f>"2010 Australian Communications Theory Workshop, AusCTW 2010"</f>
        <v>2010 Australian Communications Theory Workshop, AusCTW 2010</v>
      </c>
      <c r="B2128" s="8" t="str">
        <f>"9781424454334"</f>
        <v>9781424454334</v>
      </c>
      <c r="C2128" s="8" t="s">
        <v>9</v>
      </c>
    </row>
    <row r="2129" spans="1:3" x14ac:dyDescent="0.25">
      <c r="A2129" s="8" t="str">
        <f>"2010 Beam Instrumentation Workshop, BIW 2010 - Proceedings"</f>
        <v>2010 Beam Instrumentation Workshop, BIW 2010 - Proceedings</v>
      </c>
      <c r="B2129" s="8" t="str">
        <f>"-"</f>
        <v>-</v>
      </c>
      <c r="C2129" s="8" t="s">
        <v>1359</v>
      </c>
    </row>
    <row r="2130" spans="1:3" x14ac:dyDescent="0.25">
      <c r="A2130" s="8" t="str">
        <f>"2010 China International Conference on Electricity Distribution, CICED 2010"</f>
        <v>2010 China International Conference on Electricity Distribution, CICED 2010</v>
      </c>
      <c r="B2130" s="8" t="str">
        <f>"9781457700668"</f>
        <v>9781457700668</v>
      </c>
      <c r="C2130" s="8" t="s">
        <v>9</v>
      </c>
    </row>
    <row r="2131" spans="1:3" x14ac:dyDescent="0.25">
      <c r="A2131" s="8" t="str">
        <f>"2010 Chinese Conference on Pattern Recognition, CCPR 2010 - Proceedings"</f>
        <v>2010 Chinese Conference on Pattern Recognition, CCPR 2010 - Proceedings</v>
      </c>
      <c r="B2131" s="8" t="str">
        <f>"9781424472109"</f>
        <v>9781424472109</v>
      </c>
      <c r="C2131" s="8" t="s">
        <v>9</v>
      </c>
    </row>
    <row r="2132" spans="1:3" x14ac:dyDescent="0.25">
      <c r="A2132" s="8" t="str">
        <f>"2010 Chinese Control and Decision Conference, CCDC 2010"</f>
        <v>2010 Chinese Control and Decision Conference, CCDC 2010</v>
      </c>
      <c r="B2132" s="8" t="str">
        <f>"9781424451821"</f>
        <v>9781424451821</v>
      </c>
      <c r="C2132" s="8" t="s">
        <v>9</v>
      </c>
    </row>
    <row r="2133" spans="1:3" x14ac:dyDescent="0.25">
      <c r="A2133" s="8" t="str">
        <f>"2010 Cloud-Mobile Convergence for Virtual Reality Workshop, CMCVR 2010 - Proceedings"</f>
        <v>2010 Cloud-Mobile Convergence for Virtual Reality Workshop, CMCVR 2010 - Proceedings</v>
      </c>
      <c r="B2133" s="8" t="str">
        <f>"9781424458615"</f>
        <v>9781424458615</v>
      </c>
      <c r="C2133" s="8" t="s">
        <v>9</v>
      </c>
    </row>
    <row r="2134" spans="1:3" x14ac:dyDescent="0.25">
      <c r="A2134" s="8" t="str">
        <f>"2010 Conference on Design and Architectures for Signal and Image Processing, DASIP2010"</f>
        <v>2010 Conference on Design and Architectures for Signal and Image Processing, DASIP2010</v>
      </c>
      <c r="B2134" s="8" t="str">
        <f>"9781424487356"</f>
        <v>9781424487356</v>
      </c>
      <c r="C2134" s="8" t="s">
        <v>9</v>
      </c>
    </row>
    <row r="2135" spans="1:3" x14ac:dyDescent="0.25">
      <c r="A2135" s="8" t="str">
        <f>"2010 Conference on Optical Fiber Communication, Collocated National Fiber Optic Engineers Conference, OFC/NFOEC 2010"</f>
        <v>2010 Conference on Optical Fiber Communication, Collocated National Fiber Optic Engineers Conference, OFC/NFOEC 2010</v>
      </c>
      <c r="B2135" s="8" t="str">
        <f>"9781557528841"</f>
        <v>9781557528841</v>
      </c>
      <c r="C2135" s="8" t="s">
        <v>9</v>
      </c>
    </row>
    <row r="2136" spans="1:3" x14ac:dyDescent="0.25">
      <c r="A2136" s="8" t="str">
        <f>"2010 Conference Proceedings - ICECom: 20th International Conference on Applied Electromagnetics and Communications"</f>
        <v>2010 Conference Proceedings - ICECom: 20th International Conference on Applied Electromagnetics and Communications</v>
      </c>
      <c r="B2136" s="8" t="str">
        <f>"9789536037582"</f>
        <v>9789536037582</v>
      </c>
      <c r="C2136" s="8" t="s">
        <v>9</v>
      </c>
    </row>
    <row r="2137" spans="1:3" x14ac:dyDescent="0.25">
      <c r="A2137" s="8" t="str">
        <f>"2010 Conference Proceedings of the Wire Association International, Inc. - Wire and Cable Technical Symposium, 80th Annual Convention"</f>
        <v>2010 Conference Proceedings of the Wire Association International, Inc. - Wire and Cable Technical Symposium, 80th Annual Convention</v>
      </c>
      <c r="B2137" s="8" t="str">
        <f>"-"</f>
        <v>-</v>
      </c>
      <c r="C2137" s="8" t="s">
        <v>968</v>
      </c>
    </row>
    <row r="2138" spans="1:3" x14ac:dyDescent="0.25">
      <c r="A2138" s="8" t="str">
        <f>"2010 Electromagnetic Compatibility Symposium - Melbourne, EMC Melbourne 2010"</f>
        <v>2010 Electromagnetic Compatibility Symposium - Melbourne, EMC Melbourne 2010</v>
      </c>
      <c r="B2138" s="8" t="str">
        <f>"9781424486953"</f>
        <v>9781424486953</v>
      </c>
      <c r="C2138" s="8" t="s">
        <v>9</v>
      </c>
    </row>
    <row r="2139" spans="1:3" x14ac:dyDescent="0.25">
      <c r="A2139" s="8" t="str">
        <f>"2010 Emobility - Electrical Power Train, EEPT 2010"</f>
        <v>2010 Emobility - Electrical Power Train, EEPT 2010</v>
      </c>
      <c r="B2139" s="8" t="str">
        <f>"9781424484126"</f>
        <v>9781424484126</v>
      </c>
      <c r="C2139" s="8" t="s">
        <v>9</v>
      </c>
    </row>
    <row r="2140" spans="1:3" x14ac:dyDescent="0.25">
      <c r="A2140" s="8" t="str">
        <f>"2010 European School of High-Energy Physics, ESHEP 2010"</f>
        <v>2010 European School of High-Energy Physics, ESHEP 2010</v>
      </c>
      <c r="B2140" s="8" t="str">
        <f>"9789290833703"</f>
        <v>9789290833703</v>
      </c>
      <c r="C2140" s="8" t="s">
        <v>1341</v>
      </c>
    </row>
    <row r="2141" spans="1:3" x14ac:dyDescent="0.25">
      <c r="A2141" s="8" t="str">
        <f>"2010 European Wireless Conference, EW 2010"</f>
        <v>2010 European Wireless Conference, EW 2010</v>
      </c>
      <c r="B2141" s="8" t="str">
        <f>"9781424459995"</f>
        <v>9781424459995</v>
      </c>
      <c r="C2141" s="8" t="s">
        <v>9</v>
      </c>
    </row>
    <row r="2142" spans="1:3" x14ac:dyDescent="0.25">
      <c r="A2142" s="8" t="str">
        <f>"2010 Future Network and Mobile Summit"</f>
        <v>2010 Future Network and Mobile Summit</v>
      </c>
      <c r="B2142" s="8" t="str">
        <f>"9781905824182"</f>
        <v>9781905824182</v>
      </c>
      <c r="C2142" s="8" t="s">
        <v>9</v>
      </c>
    </row>
    <row r="2143" spans="1:3" x14ac:dyDescent="0.25">
      <c r="A2143" s="8" t="str">
        <f>"2010 Gateway Computing Environments Workshop, GCE 2010"</f>
        <v>2010 Gateway Computing Environments Workshop, GCE 2010</v>
      </c>
      <c r="B2143" s="8" t="str">
        <f>"9781424497515"</f>
        <v>9781424497515</v>
      </c>
      <c r="C2143" s="8" t="s">
        <v>9</v>
      </c>
    </row>
    <row r="2144" spans="1:3" x14ac:dyDescent="0.25">
      <c r="A2144" s="8" t="str">
        <f>"2010 Global Mobile Congress, GMC'2010"</f>
        <v>2010 Global Mobile Congress, GMC'2010</v>
      </c>
      <c r="B2144" s="8" t="str">
        <f>"9781424490035"</f>
        <v>9781424490035</v>
      </c>
      <c r="C2144" s="8" t="s">
        <v>9</v>
      </c>
    </row>
    <row r="2145" spans="1:3" x14ac:dyDescent="0.25">
      <c r="A2145" s="8" t="str">
        <f>"2010 IAPR Workshop on Pattern Recognition in Remote Sensing, PRRS 2010"</f>
        <v>2010 IAPR Workshop on Pattern Recognition in Remote Sensing, PRRS 2010</v>
      </c>
      <c r="B2145" s="8" t="str">
        <f>"9781424472574"</f>
        <v>9781424472574</v>
      </c>
      <c r="C2145" s="8" t="s">
        <v>9</v>
      </c>
    </row>
    <row r="2146" spans="1:3" x14ac:dyDescent="0.25">
      <c r="A2146" s="8" t="str">
        <f>"2010 IEEE 10th International Conference on Peer-to-Peer Computing, P2P 2010 - Proceedings"</f>
        <v>2010 IEEE 10th International Conference on Peer-to-Peer Computing, P2P 2010 - Proceedings</v>
      </c>
      <c r="B2146" s="8" t="str">
        <f>"9781424471416"</f>
        <v>9781424471416</v>
      </c>
      <c r="C2146" s="8" t="s">
        <v>9</v>
      </c>
    </row>
    <row r="2147" spans="1:3" x14ac:dyDescent="0.25">
      <c r="A2147" s="8" t="str">
        <f>"2010 IEEE 11th Annual Wireless and Microwave Technology Conference, WAMICON 2010"</f>
        <v>2010 IEEE 11th Annual Wireless and Microwave Technology Conference, WAMICON 2010</v>
      </c>
      <c r="B2147" s="8" t="str">
        <f>"9781424466887"</f>
        <v>9781424466887</v>
      </c>
      <c r="C2147" s="8" t="s">
        <v>9</v>
      </c>
    </row>
    <row r="2148" spans="1:3" x14ac:dyDescent="0.25">
      <c r="A2148" s="8" t="str">
        <f>"2010 IEEE 11th International Conference on Computer-Aided Industrial Design and Conceptual Design, CAID and CD'2010"</f>
        <v>2010 IEEE 11th International Conference on Computer-Aided Industrial Design and Conceptual Design, CAID and CD'2010</v>
      </c>
      <c r="B2148" s="8" t="str">
        <f>"9781424479719"</f>
        <v>9781424479719</v>
      </c>
      <c r="C2148" s="8" t="s">
        <v>9</v>
      </c>
    </row>
    <row r="2149" spans="1:3" x14ac:dyDescent="0.25">
      <c r="A2149" s="8" t="str">
        <f>"2010 IEEE 11th International Conference on Probabilistic Methods Applied to Power Systems, PMAPS 2010"</f>
        <v>2010 IEEE 11th International Conference on Probabilistic Methods Applied to Power Systems, PMAPS 2010</v>
      </c>
      <c r="B2149" s="8" t="str">
        <f>"9781424457236"</f>
        <v>9781424457236</v>
      </c>
      <c r="C2149" s="8" t="s">
        <v>9</v>
      </c>
    </row>
    <row r="2150" spans="1:3" x14ac:dyDescent="0.25">
      <c r="A2150" s="8" t="str">
        <f>"2010 IEEE 12th Workshop on Control and Modeling for Power Electronics, COMPEL 2010"</f>
        <v>2010 IEEE 12th Workshop on Control and Modeling for Power Electronics, COMPEL 2010</v>
      </c>
      <c r="B2150" s="8" t="str">
        <f>"9781424474639"</f>
        <v>9781424474639</v>
      </c>
      <c r="C2150" s="8" t="s">
        <v>9</v>
      </c>
    </row>
    <row r="2151" spans="1:3" x14ac:dyDescent="0.25">
      <c r="A2151" s="8" t="str">
        <f>"2010 IEEE 14th Workshop on Signal Propagation on Interconnects, SPI 2010 - Proceedings"</f>
        <v>2010 IEEE 14th Workshop on Signal Propagation on Interconnects, SPI 2010 - Proceedings</v>
      </c>
      <c r="B2151" s="8" t="str">
        <f>"9781424476107"</f>
        <v>9781424476107</v>
      </c>
      <c r="C2151" s="8" t="s">
        <v>9</v>
      </c>
    </row>
    <row r="2152" spans="1:3" x14ac:dyDescent="0.25">
      <c r="A2152" s="8" t="str">
        <f>"2010 IEEE 16th International Symposium for Design and Technology of Electronics Packages, SIITME 2010"</f>
        <v>2010 IEEE 16th International Symposium for Design and Technology of Electronics Packages, SIITME 2010</v>
      </c>
      <c r="B2152" s="8" t="str">
        <f>"9781424481248"</f>
        <v>9781424481248</v>
      </c>
      <c r="C2152" s="8" t="s">
        <v>9</v>
      </c>
    </row>
    <row r="2153" spans="1:3" x14ac:dyDescent="0.25">
      <c r="A2153" s="8" t="str">
        <f>"2010 IEEE 19th Conference on Electrical Performance of Electronic Packaging and Systems, EPEPS 2010"</f>
        <v>2010 IEEE 19th Conference on Electrical Performance of Electronic Packaging and Systems, EPEPS 2010</v>
      </c>
      <c r="B2153" s="8" t="str">
        <f>"9781424468652"</f>
        <v>9781424468652</v>
      </c>
      <c r="C2153" s="8" t="s">
        <v>9</v>
      </c>
    </row>
    <row r="2154" spans="1:3" x14ac:dyDescent="0.25">
      <c r="A2154" s="8" t="str">
        <f>"2010 IEEE 26th Convention of Electrical and Electronics Engineers in Israel, IEEEI 2010"</f>
        <v>2010 IEEE 26th Convention of Electrical and Electronics Engineers in Israel, IEEEI 2010</v>
      </c>
      <c r="B2154" s="8" t="str">
        <f>"9781424486809"</f>
        <v>9781424486809</v>
      </c>
      <c r="C2154" s="8" t="s">
        <v>9</v>
      </c>
    </row>
    <row r="2155" spans="1:3" x14ac:dyDescent="0.25">
      <c r="A2155" s="8" t="str">
        <f>"2010 IEEE 26th Symposium on Mass Storage Systems and Technologies, MSST2010"</f>
        <v>2010 IEEE 26th Symposium on Mass Storage Systems and Technologies, MSST2010</v>
      </c>
      <c r="B2155" s="8" t="str">
        <f>"9781424471539"</f>
        <v>9781424471539</v>
      </c>
      <c r="C2155" s="8" t="s">
        <v>9</v>
      </c>
    </row>
    <row r="2156" spans="1:3" x14ac:dyDescent="0.25">
      <c r="A2156" s="8" t="str">
        <f>"2010 IEEE 2nd International Advance Computing Conference, IACC 2010"</f>
        <v>2010 IEEE 2nd International Advance Computing Conference, IACC 2010</v>
      </c>
      <c r="B2156" s="8" t="str">
        <f>"9781424447916"</f>
        <v>9781424447916</v>
      </c>
      <c r="C2156" s="8" t="s">
        <v>9</v>
      </c>
    </row>
    <row r="2157" spans="1:3" x14ac:dyDescent="0.25">
      <c r="A2157" s="8" t="str">
        <f>"2010 IEEE 2nd Russia School and Seminar on Fundamental Problems of Micro/Nanosystems Technologies, MNST'2010"</f>
        <v>2010 IEEE 2nd Russia School and Seminar on Fundamental Problems of Micro/Nanosystems Technologies, MNST'2010</v>
      </c>
      <c r="B2157" s="8" t="str">
        <f>"9785778212428"</f>
        <v>9785778212428</v>
      </c>
      <c r="C2157" s="8" t="s">
        <v>9</v>
      </c>
    </row>
    <row r="2158" spans="1:3" x14ac:dyDescent="0.25">
      <c r="A2158" s="8" t="str">
        <f>"2010 IEEE 2nd Workshop on Collaborative Security Technologies, CoSec 2010"</f>
        <v>2010 IEEE 2nd Workshop on Collaborative Security Technologies, CoSec 2010</v>
      </c>
      <c r="B2158" s="8" t="str">
        <f>"9781424490516"</f>
        <v>9781424490516</v>
      </c>
      <c r="C2158" s="8" t="s">
        <v>9</v>
      </c>
    </row>
    <row r="2159" spans="1:3" x14ac:dyDescent="0.25">
      <c r="A2159" s="8" t="str">
        <f>"2010 IEEE 4th International Conference on Internet Multimedia Services Architecture and Application, IMSAA 2010"</f>
        <v>2010 IEEE 4th International Conference on Internet Multimedia Services Architecture and Application, IMSAA 2010</v>
      </c>
      <c r="B2159" s="8" t="str">
        <f>"9781424479306"</f>
        <v>9781424479306</v>
      </c>
      <c r="C2159" s="8" t="s">
        <v>9</v>
      </c>
    </row>
    <row r="2160" spans="1:3" x14ac:dyDescent="0.25">
      <c r="A2160" s="8" t="str">
        <f>"2010 IEEE 5th International Conference on Nano/Micro Engineered and Molecular Systems, NEMS 2010"</f>
        <v>2010 IEEE 5th International Conference on Nano/Micro Engineered and Molecular Systems, NEMS 2010</v>
      </c>
      <c r="B2160" s="8" t="str">
        <f>"9781424465439"</f>
        <v>9781424465439</v>
      </c>
      <c r="C2160" s="8" t="s">
        <v>9</v>
      </c>
    </row>
    <row r="2161" spans="1:3" x14ac:dyDescent="0.25">
      <c r="A2161" s="8" t="str">
        <f>"2010 IEEE 6th International Conference on Wireless and Mobile Computing, Networking and Communications, WiMob'2010"</f>
        <v>2010 IEEE 6th International Conference on Wireless and Mobile Computing, Networking and Communications, WiMob'2010</v>
      </c>
      <c r="B2161" s="8" t="str">
        <f>"9781424477425"</f>
        <v>9781424477425</v>
      </c>
      <c r="C2161" s="8" t="s">
        <v>9</v>
      </c>
    </row>
    <row r="2162" spans="1:3" x14ac:dyDescent="0.25">
      <c r="A2162" s="8" t="str">
        <f>"2010 IEEE 7th International Conference on Mobile Adhoc and Sensor Systems, MASS 2010"</f>
        <v>2010 IEEE 7th International Conference on Mobile Adhoc and Sensor Systems, MASS 2010</v>
      </c>
      <c r="B2162" s="8" t="str">
        <f>"9781424474882"</f>
        <v>9781424474882</v>
      </c>
      <c r="C2162" s="8" t="s">
        <v>9</v>
      </c>
    </row>
    <row r="2163" spans="1:3" x14ac:dyDescent="0.25">
      <c r="A2163" s="8" t="str">
        <f>"2010 IEEE 9th International Conference on Cybernetic Intelligent Systems, CIS 2010"</f>
        <v>2010 IEEE 9th International Conference on Cybernetic Intelligent Systems, CIS 2010</v>
      </c>
      <c r="B2163" s="8" t="str">
        <f>"9781424490233"</f>
        <v>9781424490233</v>
      </c>
      <c r="C2163" s="8" t="s">
        <v>9</v>
      </c>
    </row>
    <row r="2164" spans="1:3" x14ac:dyDescent="0.25">
      <c r="A2164" s="8" t="str">
        <f>"2010 IEEE 9th International Conference on Development and Learning, ICDL-2010 - Conference Program"</f>
        <v>2010 IEEE 9th International Conference on Development and Learning, ICDL-2010 - Conference Program</v>
      </c>
      <c r="B2164" s="8" t="str">
        <f>"9781424469024"</f>
        <v>9781424469024</v>
      </c>
      <c r="C2164" s="8" t="s">
        <v>9</v>
      </c>
    </row>
    <row r="2165" spans="1:3" x14ac:dyDescent="0.25">
      <c r="A2165" s="8" t="str">
        <f>"2010 IEEE ANDESCON Conference Proceedings, ANDESCON 2010"</f>
        <v>2010 IEEE ANDESCON Conference Proceedings, ANDESCON 2010</v>
      </c>
      <c r="B2165" s="8" t="str">
        <f>"9781424467419"</f>
        <v>9781424467419</v>
      </c>
      <c r="C2165" s="8" t="s">
        <v>9</v>
      </c>
    </row>
    <row r="2166" spans="1:3" x14ac:dyDescent="0.25">
      <c r="A2166" s="8" t="str">
        <f>"2010 IEEE Asian Solid-State Circuits Conference, A-SSCC 2010"</f>
        <v>2010 IEEE Asian Solid-State Circuits Conference, A-SSCC 2010</v>
      </c>
      <c r="B2166" s="8" t="str">
        <f>"9781424482979"</f>
        <v>9781424482979</v>
      </c>
      <c r="C2166" s="8" t="s">
        <v>9</v>
      </c>
    </row>
    <row r="2167" spans="1:3" x14ac:dyDescent="0.25">
      <c r="A2167" s="8" t="str">
        <f>"2010 IEEE Asia-Pacific Conference on Applied Electromagnetics, APACE 2010 - Proceedings"</f>
        <v>2010 IEEE Asia-Pacific Conference on Applied Electromagnetics, APACE 2010 - Proceedings</v>
      </c>
      <c r="B2167" s="8" t="str">
        <f>"9781424485666"</f>
        <v>9781424485666</v>
      </c>
      <c r="C2167" s="8" t="s">
        <v>9</v>
      </c>
    </row>
    <row r="2168" spans="1:3" x14ac:dyDescent="0.25">
      <c r="A2168" s="8" t="str">
        <f>"2010 IEEE Avionics, Fiber-Optics and Photonics Technology Conference, AVFOP 2010"</f>
        <v>2010 IEEE Avionics, Fiber-Optics and Photonics Technology Conference, AVFOP 2010</v>
      </c>
      <c r="B2168" s="8" t="str">
        <f>"9781424453122"</f>
        <v>9781424453122</v>
      </c>
      <c r="C2168" s="8" t="s">
        <v>9</v>
      </c>
    </row>
    <row r="2169" spans="1:3" x14ac:dyDescent="0.25">
      <c r="A2169" s="8" t="str">
        <f>"2010 IEEE Biomedical Circuits and Systems Conference, BioCAS 2010"</f>
        <v>2010 IEEE Biomedical Circuits and Systems Conference, BioCAS 2010</v>
      </c>
      <c r="B2169" s="8" t="str">
        <f>"9781424472703"</f>
        <v>9781424472703</v>
      </c>
      <c r="C2169" s="8" t="s">
        <v>9</v>
      </c>
    </row>
    <row r="2170" spans="1:3" x14ac:dyDescent="0.25">
      <c r="A2170" s="8" t="str">
        <f>"2010 IEEE Computer Society Conference on Computer Vision and Pattern Recognition - Workshops, CVPRW 2010"</f>
        <v>2010 IEEE Computer Society Conference on Computer Vision and Pattern Recognition - Workshops, CVPRW 2010</v>
      </c>
      <c r="B2170" s="8" t="str">
        <f>"9781424470297"</f>
        <v>9781424470297</v>
      </c>
      <c r="C2170" s="8" t="s">
        <v>9</v>
      </c>
    </row>
    <row r="2171" spans="1:3" x14ac:dyDescent="0.25">
      <c r="A2171" s="8" t="str">
        <f>"2010 IEEE Conference on Cybernetics and Intelligent Systems, CIS 2010"</f>
        <v>2010 IEEE Conference on Cybernetics and Intelligent Systems, CIS 2010</v>
      </c>
      <c r="B2171" s="8" t="str">
        <f>"9781424464999"</f>
        <v>9781424464999</v>
      </c>
      <c r="C2171" s="8" t="s">
        <v>9</v>
      </c>
    </row>
    <row r="2172" spans="1:3" x14ac:dyDescent="0.25">
      <c r="A2172" s="8" t="str">
        <f>"2010 IEEE Conference on Innovative Technologies for an Efficient and Reliable Electricity Supply, CITRES 2010"</f>
        <v>2010 IEEE Conference on Innovative Technologies for an Efficient and Reliable Electricity Supply, CITRES 2010</v>
      </c>
      <c r="B2172" s="8" t="str">
        <f>"9781424460762"</f>
        <v>9781424460762</v>
      </c>
      <c r="C2172" s="8" t="s">
        <v>9</v>
      </c>
    </row>
    <row r="2173" spans="1:3" x14ac:dyDescent="0.25">
      <c r="A2173" s="8" t="str">
        <f>"2010 IEEE Conference on Robotics, Automation and Mechatronics, RAM 2010"</f>
        <v>2010 IEEE Conference on Robotics, Automation and Mechatronics, RAM 2010</v>
      </c>
      <c r="B2173" s="8" t="str">
        <f>"9781424465033"</f>
        <v>9781424465033</v>
      </c>
      <c r="C2173" s="8" t="s">
        <v>9</v>
      </c>
    </row>
    <row r="2174" spans="1:3" x14ac:dyDescent="0.25">
      <c r="A2174" s="8" t="str">
        <f>"2010 IEEE CPMT Symposium Japan, ICSJ10"</f>
        <v>2010 IEEE CPMT Symposium Japan, ICSJ10</v>
      </c>
      <c r="B2174" s="8" t="str">
        <f>"9781424475940"</f>
        <v>9781424475940</v>
      </c>
      <c r="C2174" s="8" t="s">
        <v>9</v>
      </c>
    </row>
    <row r="2175" spans="1:3" x14ac:dyDescent="0.25">
      <c r="A2175" s="8" t="str">
        <f>"2010 IEEE Education Engineering Conference, EDUCON 2010"</f>
        <v>2010 IEEE Education Engineering Conference, EDUCON 2010</v>
      </c>
      <c r="B2175" s="8" t="str">
        <f>"9781424465682"</f>
        <v>9781424465682</v>
      </c>
      <c r="C2175" s="8" t="s">
        <v>9</v>
      </c>
    </row>
    <row r="2176" spans="1:3" x14ac:dyDescent="0.25">
      <c r="A2176" s="8" t="str">
        <f>"2010 IEEE Electrical Design of Advanced Packaging and Systems Symposium, EDAPS 2010"</f>
        <v>2010 IEEE Electrical Design of Advanced Packaging and Systems Symposium, EDAPS 2010</v>
      </c>
      <c r="B2176" s="8" t="str">
        <f>"9781424490684"</f>
        <v>9781424490684</v>
      </c>
      <c r="C2176" s="8" t="s">
        <v>9</v>
      </c>
    </row>
    <row r="2177" spans="1:3" x14ac:dyDescent="0.25">
      <c r="A2177" s="8" t="str">
        <f>"2010 IEEE Energy Conversion Congress and Exposition, ECCE 2010 - Proceedings"</f>
        <v>2010 IEEE Energy Conversion Congress and Exposition, ECCE 2010 - Proceedings</v>
      </c>
      <c r="B2177" s="8" t="str">
        <f>"9781424452866"</f>
        <v>9781424452866</v>
      </c>
      <c r="C2177" s="8" t="s">
        <v>9</v>
      </c>
    </row>
    <row r="2178" spans="1:3" x14ac:dyDescent="0.25">
      <c r="A2178" s="8" t="str">
        <f>"2010 IEEE Globecom Workshops, GC'10"</f>
        <v>2010 IEEE Globecom Workshops, GC'10</v>
      </c>
      <c r="B2178" s="8" t="str">
        <f>"9781424488650"</f>
        <v>9781424488650</v>
      </c>
      <c r="C2178" s="8" t="s">
        <v>9</v>
      </c>
    </row>
    <row r="2179" spans="1:3" x14ac:dyDescent="0.25">
      <c r="A2179" s="8" t="str">
        <f>"2010 IEEE Green Technologies"</f>
        <v>2010 IEEE Green Technologies</v>
      </c>
      <c r="B2179" s="8" t="str">
        <f>"9781424452750"</f>
        <v>9781424452750</v>
      </c>
      <c r="C2179" s="8" t="s">
        <v>9</v>
      </c>
    </row>
    <row r="2180" spans="1:3" x14ac:dyDescent="0.25">
      <c r="A2180" s="8" t="str">
        <f>"2010 IEEE Haptics Symposium, HAPTICS 2010"</f>
        <v>2010 IEEE Haptics Symposium, HAPTICS 2010</v>
      </c>
      <c r="B2180" s="8" t="str">
        <f>"9781424468218"</f>
        <v>9781424468218</v>
      </c>
      <c r="C2180" s="8" t="s">
        <v>9</v>
      </c>
    </row>
    <row r="2181" spans="1:3" x14ac:dyDescent="0.25">
      <c r="A2181" s="8" t="str">
        <f>"2010 IEEE Information Theory Workshop, ITW 2010 - Proceedings"</f>
        <v>2010 IEEE Information Theory Workshop, ITW 2010 - Proceedings</v>
      </c>
      <c r="B2181" s="8" t="str">
        <f>"9781424482641"</f>
        <v>9781424482641</v>
      </c>
      <c r="C2181" s="8" t="s">
        <v>9</v>
      </c>
    </row>
    <row r="2182" spans="1:3" x14ac:dyDescent="0.25">
      <c r="A2182" s="8" t="str">
        <f>"2010 IEEE International Conference of Electron Devices and Solid-State Circuits, EDSSC 2010"</f>
        <v>2010 IEEE International Conference of Electron Devices and Solid-State Circuits, EDSSC 2010</v>
      </c>
      <c r="B2182" s="8" t="str">
        <f>"9781424499977"</f>
        <v>9781424499977</v>
      </c>
      <c r="C2182" s="8" t="s">
        <v>9</v>
      </c>
    </row>
    <row r="2183" spans="1:3" x14ac:dyDescent="0.25">
      <c r="A2183" s="8" t="str">
        <f>"2010 IEEE International Conference on Automation and Logistics, ICAL 2010"</f>
        <v>2010 IEEE International Conference on Automation and Logistics, ICAL 2010</v>
      </c>
      <c r="B2183" s="8" t="str">
        <f>"9781424483754"</f>
        <v>9781424483754</v>
      </c>
      <c r="C2183" s="8" t="s">
        <v>9</v>
      </c>
    </row>
    <row r="2184" spans="1:3" x14ac:dyDescent="0.25">
      <c r="A2184" s="8" t="str">
        <f>"2010 IEEE International Conference on Automation Science and Engineering, CASE 2010"</f>
        <v>2010 IEEE International Conference on Automation Science and Engineering, CASE 2010</v>
      </c>
      <c r="B2184" s="8" t="str">
        <f>"9781424454471"</f>
        <v>9781424454471</v>
      </c>
      <c r="C2184" s="8" t="s">
        <v>9</v>
      </c>
    </row>
    <row r="2185" spans="1:3" x14ac:dyDescent="0.25">
      <c r="A2185" s="8" t="str">
        <f>"2010 IEEE International Conference on Automation, Quality and Testing, Robotics, AQTR 2010 - Proceedings"</f>
        <v>2010 IEEE International Conference on Automation, Quality and Testing, Robotics, AQTR 2010 - Proceedings</v>
      </c>
      <c r="B2185" s="8" t="str">
        <f>"9781424467259"</f>
        <v>9781424467259</v>
      </c>
      <c r="C2185" s="8" t="s">
        <v>9</v>
      </c>
    </row>
    <row r="2186" spans="1:3" x14ac:dyDescent="0.25">
      <c r="A2186" s="8" t="str">
        <f>"2010 IEEE International Conference on Bioinformatics and Biomedicine Workshops, BIBMW 2010"</f>
        <v>2010 IEEE International Conference on Bioinformatics and Biomedicine Workshops, BIBMW 2010</v>
      </c>
      <c r="B2186" s="8" t="str">
        <f>"9781424483044"</f>
        <v>9781424483044</v>
      </c>
      <c r="C2186" s="8" t="s">
        <v>9</v>
      </c>
    </row>
    <row r="2187" spans="1:3" x14ac:dyDescent="0.25">
      <c r="A2187" s="8" t="str">
        <f>"2010 IEEE International Conference on Cluster Computing Workshops and Posters, Cluster Workshops 2010"</f>
        <v>2010 IEEE International Conference on Cluster Computing Workshops and Posters, Cluster Workshops 2010</v>
      </c>
      <c r="B2187" s="8" t="str">
        <f>"9781424483969"</f>
        <v>9781424483969</v>
      </c>
      <c r="C2187" s="8" t="s">
        <v>9</v>
      </c>
    </row>
    <row r="2188" spans="1:3" x14ac:dyDescent="0.25">
      <c r="A2188" s="8" t="str">
        <f>"2010 IEEE International Conference on Communication Control and Computing Technologies, ICCCCT 2010"</f>
        <v>2010 IEEE International Conference on Communication Control and Computing Technologies, ICCCCT 2010</v>
      </c>
      <c r="B2188" s="8" t="str">
        <f>"9781424477692"</f>
        <v>9781424477692</v>
      </c>
      <c r="C2188" s="8" t="s">
        <v>9</v>
      </c>
    </row>
    <row r="2189" spans="1:3" x14ac:dyDescent="0.25">
      <c r="A2189" s="8" t="str">
        <f>"2010 IEEE International Conference on Communications Workshops, ICC 2010"</f>
        <v>2010 IEEE International Conference on Communications Workshops, ICC 2010</v>
      </c>
      <c r="B2189" s="8" t="str">
        <f>"9781424468263"</f>
        <v>9781424468263</v>
      </c>
      <c r="C2189" s="8" t="s">
        <v>9</v>
      </c>
    </row>
    <row r="2190" spans="1:3" x14ac:dyDescent="0.25">
      <c r="A2190" s="8" t="str">
        <f>"2010 IEEE International Conference on Computational Intelligence and Computing Research, ICCIC 2010"</f>
        <v>2010 IEEE International Conference on Computational Intelligence and Computing Research, ICCIC 2010</v>
      </c>
      <c r="B2190" s="8" t="str">
        <f>"9781424459674"</f>
        <v>9781424459674</v>
      </c>
      <c r="C2190" s="8" t="s">
        <v>9</v>
      </c>
    </row>
    <row r="2191" spans="1:3" x14ac:dyDescent="0.25">
      <c r="A2191" s="8" t="str">
        <f>"2010 IEEE International Conference on Computational Photography, ICCP 2010"</f>
        <v>2010 IEEE International Conference on Computational Photography, ICCP 2010</v>
      </c>
      <c r="B2191" s="8" t="str">
        <f>"9781424470235"</f>
        <v>9781424470235</v>
      </c>
      <c r="C2191" s="8" t="s">
        <v>9</v>
      </c>
    </row>
    <row r="2192" spans="1:3" x14ac:dyDescent="0.25">
      <c r="A2192" s="8" t="str">
        <f>"2010 IEEE International Conference on Electro/Information Technology, EIT2010"</f>
        <v>2010 IEEE International Conference on Electro/Information Technology, EIT2010</v>
      </c>
      <c r="B2192" s="8" t="str">
        <f>"9781424468751"</f>
        <v>9781424468751</v>
      </c>
      <c r="C2192" s="8" t="s">
        <v>9</v>
      </c>
    </row>
    <row r="2193" spans="1:3" x14ac:dyDescent="0.25">
      <c r="A2193" s="8" t="str">
        <f>"2010 IEEE International Conference on Electronics, Circuits, and Systems, ICECS 2010 - Proceedings"</f>
        <v>2010 IEEE International Conference on Electronics, Circuits, and Systems, ICECS 2010 - Proceedings</v>
      </c>
      <c r="B2193" s="8" t="str">
        <f>"9781424481576"</f>
        <v>9781424481576</v>
      </c>
      <c r="C2193" s="8" t="s">
        <v>9</v>
      </c>
    </row>
    <row r="2194" spans="1:3" x14ac:dyDescent="0.25">
      <c r="A2194" s="8" t="str">
        <f>"2010 IEEE International Conference on Imaging Systems and Techniques, IST 2010 - Proceedings"</f>
        <v>2010 IEEE International Conference on Imaging Systems and Techniques, IST 2010 - Proceedings</v>
      </c>
      <c r="B2194" s="8" t="str">
        <f>"9781424464944"</f>
        <v>9781424464944</v>
      </c>
      <c r="C2194" s="8" t="s">
        <v>9</v>
      </c>
    </row>
    <row r="2195" spans="1:3" x14ac:dyDescent="0.25">
      <c r="A2195" s="8" t="str">
        <f>"2010 IEEE International Conference on Information and Automation, ICIA 2010"</f>
        <v>2010 IEEE International Conference on Information and Automation, ICIA 2010</v>
      </c>
      <c r="B2195" s="8" t="str">
        <f>"9781424457021"</f>
        <v>9781424457021</v>
      </c>
      <c r="C2195" s="8" t="s">
        <v>9</v>
      </c>
    </row>
    <row r="2196" spans="1:3" x14ac:dyDescent="0.25">
      <c r="A2196" s="8" t="str">
        <f>"2010 IEEE International Conference on Information Reuse and Integration, IRI 2010"</f>
        <v>2010 IEEE International Conference on Information Reuse and Integration, IRI 2010</v>
      </c>
      <c r="B2196" s="8" t="str">
        <f>"9781424480975"</f>
        <v>9781424480975</v>
      </c>
      <c r="C2196" s="8" t="s">
        <v>9</v>
      </c>
    </row>
    <row r="2197" spans="1:3" x14ac:dyDescent="0.25">
      <c r="A2197" s="8" t="str">
        <f>"2010 IEEE International Conference on Integrated Circuit Design and Technology, ICICDT 2010"</f>
        <v>2010 IEEE International Conference on Integrated Circuit Design and Technology, ICICDT 2010</v>
      </c>
      <c r="B2197" s="8" t="str">
        <f>"9781424457748"</f>
        <v>9781424457748</v>
      </c>
      <c r="C2197" s="8" t="s">
        <v>9</v>
      </c>
    </row>
    <row r="2198" spans="1:3" x14ac:dyDescent="0.25">
      <c r="A2198" s="8" t="str">
        <f>"2010 IEEE International Conference on Intelligent Systems, IS 2010 - Proceedings"</f>
        <v>2010 IEEE International Conference on Intelligent Systems, IS 2010 - Proceedings</v>
      </c>
      <c r="B2198" s="8" t="str">
        <f>"9781424451647"</f>
        <v>9781424451647</v>
      </c>
      <c r="C2198" s="8" t="s">
        <v>9</v>
      </c>
    </row>
    <row r="2199" spans="1:3" x14ac:dyDescent="0.25">
      <c r="A2199" s="8" t="str">
        <f>"2010 IEEE International Conference on Mechatronics and Automation, ICMA 2010"</f>
        <v>2010 IEEE International Conference on Mechatronics and Automation, ICMA 2010</v>
      </c>
      <c r="B2199" s="8" t="str">
        <f>"9781424451418"</f>
        <v>9781424451418</v>
      </c>
      <c r="C2199" s="8" t="s">
        <v>9</v>
      </c>
    </row>
    <row r="2200" spans="1:3" x14ac:dyDescent="0.25">
      <c r="A2200" s="8" t="str">
        <f>"2010 IEEE International Conference on Multimedia and Expo, ICME 2010"</f>
        <v>2010 IEEE International Conference on Multimedia and Expo, ICME 2010</v>
      </c>
      <c r="B2200" s="8" t="str">
        <f>"9781424474912"</f>
        <v>9781424474912</v>
      </c>
      <c r="C2200" s="8" t="s">
        <v>9</v>
      </c>
    </row>
    <row r="2201" spans="1:3" x14ac:dyDescent="0.25">
      <c r="A2201" s="8" t="str">
        <f>"2010 IEEE International Conference on Nano/Molecular Medicine and Engineering, IEEE NANOMED 2010"</f>
        <v>2010 IEEE International Conference on Nano/Molecular Medicine and Engineering, IEEE NANOMED 2010</v>
      </c>
      <c r="B2201" s="8" t="str">
        <f>"9781612841533"</f>
        <v>9781612841533</v>
      </c>
      <c r="C2201" s="8" t="s">
        <v>9</v>
      </c>
    </row>
    <row r="2202" spans="1:3" x14ac:dyDescent="0.25">
      <c r="A2202" s="8" t="str">
        <f>"2010 IEEE International Conference on Networked Embedded Systems for Enterprise Applications, NESEA 2010"</f>
        <v>2010 IEEE International Conference on Networked Embedded Systems for Enterprise Applications, NESEA 2010</v>
      </c>
      <c r="B2202" s="8" t="str">
        <f>"9781424491773"</f>
        <v>9781424491773</v>
      </c>
      <c r="C2202" s="8" t="s">
        <v>9</v>
      </c>
    </row>
    <row r="2203" spans="1:3" x14ac:dyDescent="0.25">
      <c r="A2203" s="8" t="str">
        <f>"2010 IEEE International Conference on Pervasive Computing and Communications, PerCom 2010"</f>
        <v>2010 IEEE International Conference on Pervasive Computing and Communications, PerCom 2010</v>
      </c>
      <c r="B2203" s="8" t="str">
        <f>"9781424453290"</f>
        <v>9781424453290</v>
      </c>
      <c r="C2203" s="8" t="s">
        <v>9</v>
      </c>
    </row>
    <row r="2204" spans="1:3" x14ac:dyDescent="0.25">
      <c r="A2204" s="8" t="str">
        <f>"2010 IEEE International Conference on Robotics and Biomimetics, ROBIO 2010"</f>
        <v>2010 IEEE International Conference on Robotics and Biomimetics, ROBIO 2010</v>
      </c>
      <c r="B2204" s="8" t="str">
        <f>"9781424493173"</f>
        <v>9781424493173</v>
      </c>
      <c r="C2204" s="8" t="s">
        <v>9</v>
      </c>
    </row>
    <row r="2205" spans="1:3" x14ac:dyDescent="0.25">
      <c r="A2205" s="8" t="str">
        <f>"2010 IEEE International Conference on Sustainable Energy Technologies, ICSET 2010"</f>
        <v>2010 IEEE International Conference on Sustainable Energy Technologies, ICSET 2010</v>
      </c>
      <c r="B2205" s="8" t="str">
        <f>"9781424471935"</f>
        <v>9781424471935</v>
      </c>
      <c r="C2205" s="8" t="s">
        <v>9</v>
      </c>
    </row>
    <row r="2206" spans="1:3" x14ac:dyDescent="0.25">
      <c r="A2206" s="8" t="str">
        <f>"2010 IEEE International Conference on Technologies for Homeland Security, HST 2010"</f>
        <v>2010 IEEE International Conference on Technologies for Homeland Security, HST 2010</v>
      </c>
      <c r="B2206" s="8" t="str">
        <f>"9781424460472"</f>
        <v>9781424460472</v>
      </c>
      <c r="C2206" s="8" t="s">
        <v>9</v>
      </c>
    </row>
    <row r="2207" spans="1:3" x14ac:dyDescent="0.25">
      <c r="A2207" s="8" t="str">
        <f>"2010 IEEE International Conference on Ultra-Wideband, ICUWB2010 - Proceedings"</f>
        <v>2010 IEEE International Conference on Ultra-Wideband, ICUWB2010 - Proceedings</v>
      </c>
      <c r="B2207" s="8" t="str">
        <f>"9781424453061"</f>
        <v>9781424453061</v>
      </c>
      <c r="C2207" s="8" t="s">
        <v>9</v>
      </c>
    </row>
    <row r="2208" spans="1:3" x14ac:dyDescent="0.25">
      <c r="A2208" s="8" t="str">
        <f>"2010 IEEE International Conference on Wireless Information Technology and Systems, ICWITS 2010"</f>
        <v>2010 IEEE International Conference on Wireless Information Technology and Systems, ICWITS 2010</v>
      </c>
      <c r="B2208" s="8" t="str">
        <f>"9781424470914"</f>
        <v>9781424470914</v>
      </c>
      <c r="C2208" s="8" t="s">
        <v>9</v>
      </c>
    </row>
    <row r="2209" spans="1:3" x14ac:dyDescent="0.25">
      <c r="A2209" s="8" t="str">
        <f>"2010 IEEE International Energy Conference and Exhibition, EnergyCon 2010"</f>
        <v>2010 IEEE International Energy Conference and Exhibition, EnergyCon 2010</v>
      </c>
      <c r="B2209" s="8" t="str">
        <f>"9781424493807"</f>
        <v>9781424493807</v>
      </c>
      <c r="C2209" s="8" t="s">
        <v>9</v>
      </c>
    </row>
    <row r="2210" spans="1:3" x14ac:dyDescent="0.25">
      <c r="A2210" s="8" t="str">
        <f>"2010 IEEE International Frequency Control Symposium, FCS 2010"</f>
        <v>2010 IEEE International Frequency Control Symposium, FCS 2010</v>
      </c>
      <c r="B2210" s="8" t="str">
        <f>"9781424463992"</f>
        <v>9781424463992</v>
      </c>
      <c r="C2210" s="8" t="s">
        <v>9</v>
      </c>
    </row>
    <row r="2211" spans="1:3" x14ac:dyDescent="0.25">
      <c r="A2211" s="8" t="str">
        <f>"2010 IEEE International Instrumentation and Measurement Technology Conference, I2MTC 2010 - Proceedings"</f>
        <v>2010 IEEE International Instrumentation and Measurement Technology Conference, I2MTC 2010 - Proceedings</v>
      </c>
      <c r="B2211" s="8" t="str">
        <f>"9781424428335"</f>
        <v>9781424428335</v>
      </c>
      <c r="C2211" s="8" t="s">
        <v>9</v>
      </c>
    </row>
    <row r="2212" spans="1:3" x14ac:dyDescent="0.25">
      <c r="A2212" s="8" t="str">
        <f>"2010 IEEE International Interconnect Technology Conference, IITC 2010"</f>
        <v>2010 IEEE International Interconnect Technology Conference, IITC 2010</v>
      </c>
      <c r="B2212" s="8" t="str">
        <f>"9781424476763"</f>
        <v>9781424476763</v>
      </c>
      <c r="C2212" s="8" t="s">
        <v>9</v>
      </c>
    </row>
    <row r="2213" spans="1:3" x14ac:dyDescent="0.25">
      <c r="A2213" s="8" t="str">
        <f>"2010 IEEE International Memory Workshop, IMW 2010"</f>
        <v>2010 IEEE International Memory Workshop, IMW 2010</v>
      </c>
      <c r="B2213" s="8" t="str">
        <f>"9781424467211"</f>
        <v>9781424467211</v>
      </c>
      <c r="C2213" s="8" t="s">
        <v>9</v>
      </c>
    </row>
    <row r="2214" spans="1:3" x14ac:dyDescent="0.25">
      <c r="A2214" s="8" t="s">
        <v>1360</v>
      </c>
      <c r="B2214" s="8" t="str">
        <f>"9781424457533"</f>
        <v>9781424457533</v>
      </c>
      <c r="C2214" s="8" t="s">
        <v>9</v>
      </c>
    </row>
    <row r="2215" spans="1:3" x14ac:dyDescent="0.25">
      <c r="A2215" s="8" t="s">
        <v>1361</v>
      </c>
      <c r="B2215" s="8" t="str">
        <f>"9781424472659"</f>
        <v>9781424472659</v>
      </c>
      <c r="C2215" s="8" t="s">
        <v>9</v>
      </c>
    </row>
    <row r="2216" spans="1:3" x14ac:dyDescent="0.25">
      <c r="A2216" s="8" t="str">
        <f>"2010 IEEE International Symposium on Antennas and Propagation and CNC-USNC/URSI Radio Science Meeting - Leading the Wave, AP-S/URSI 2010"</f>
        <v>2010 IEEE International Symposium on Antennas and Propagation and CNC-USNC/URSI Radio Science Meeting - Leading the Wave, AP-S/URSI 2010</v>
      </c>
      <c r="B2216" s="8" t="str">
        <f>"9781424449682"</f>
        <v>9781424449682</v>
      </c>
      <c r="C2216" s="8" t="s">
        <v>9</v>
      </c>
    </row>
    <row r="2217" spans="1:3" x14ac:dyDescent="0.25">
      <c r="A2217" s="8" t="str">
        <f>"2010 IEEE International Symposium on Network Coding, NetCod 2010"</f>
        <v>2010 IEEE International Symposium on Network Coding, NetCod 2010</v>
      </c>
      <c r="B2217" s="8" t="str">
        <f>"9781424471904"</f>
        <v>9781424471904</v>
      </c>
      <c r="C2217" s="8" t="s">
        <v>9</v>
      </c>
    </row>
    <row r="2218" spans="1:3" x14ac:dyDescent="0.25">
      <c r="A2218" s="8" t="str">
        <f>"2010 IEEE International Symposium on Signal Processing and Information Technology, ISSPIT 2010"</f>
        <v>2010 IEEE International Symposium on Signal Processing and Information Technology, ISSPIT 2010</v>
      </c>
      <c r="B2218" s="8" t="str">
        <f>"9781424499908"</f>
        <v>9781424499908</v>
      </c>
      <c r="C2218" s="8" t="s">
        <v>9</v>
      </c>
    </row>
    <row r="2219" spans="1:3" x14ac:dyDescent="0.25">
      <c r="A2219" s="8" t="str">
        <f>"2010 IEEE International Systems Conference Proceedings, SysCon 2010"</f>
        <v>2010 IEEE International Systems Conference Proceedings, SysCon 2010</v>
      </c>
      <c r="B2219" s="8" t="str">
        <f>"9781424458837"</f>
        <v>9781424458837</v>
      </c>
      <c r="C2219" s="8" t="s">
        <v>9</v>
      </c>
    </row>
    <row r="2220" spans="1:3" x14ac:dyDescent="0.25">
      <c r="A2220" s="8" t="str">
        <f>"2010 IEEE International Vacuum Electronics Conference, IVEC 2010"</f>
        <v>2010 IEEE International Vacuum Electronics Conference, IVEC 2010</v>
      </c>
      <c r="B2220" s="8" t="str">
        <f>"9781424470976"</f>
        <v>9781424470976</v>
      </c>
      <c r="C2220" s="8" t="s">
        <v>9</v>
      </c>
    </row>
    <row r="2221" spans="1:3" x14ac:dyDescent="0.25">
      <c r="A2221" s="8" t="str">
        <f>"2010 IEEE International Workshop on Business Applications of Social Network Analysis, BASNA 2010"</f>
        <v>2010 IEEE International Workshop on Business Applications of Social Network Analysis, BASNA 2010</v>
      </c>
      <c r="B2221" s="8" t="str">
        <f>"9781424489992"</f>
        <v>9781424489992</v>
      </c>
      <c r="C2221" s="8" t="s">
        <v>9</v>
      </c>
    </row>
    <row r="2222" spans="1:3" x14ac:dyDescent="0.25">
      <c r="A2222" s="8" t="str">
        <f>"2010 IEEE International Workshop on Genomic Signal Processing and Statistics, GENSIPS 2010"</f>
        <v>2010 IEEE International Workshop on Genomic Signal Processing and Statistics, GENSIPS 2010</v>
      </c>
      <c r="B2222" s="8" t="str">
        <f>"9781612847924"</f>
        <v>9781612847924</v>
      </c>
      <c r="C2222" s="8" t="s">
        <v>9</v>
      </c>
    </row>
    <row r="2223" spans="1:3" x14ac:dyDescent="0.25">
      <c r="A2223" s="8" t="str">
        <f>"2010 IEEE International Workshop on Information Forensics and Security, WIFS 2010"</f>
        <v>2010 IEEE International Workshop on Information Forensics and Security, WIFS 2010</v>
      </c>
      <c r="B2223" s="8" t="str">
        <f>"9781424490783"</f>
        <v>9781424490783</v>
      </c>
      <c r="C2223" s="8" t="s">
        <v>9</v>
      </c>
    </row>
    <row r="2224" spans="1:3" x14ac:dyDescent="0.25">
      <c r="A2224" s="8" t="str">
        <f>"2010 IEEE International Workshop on Medical Measurements and Applications, MeMeA 2010 - Proceedings"</f>
        <v>2010 IEEE International Workshop on Medical Measurements and Applications, MeMeA 2010 - Proceedings</v>
      </c>
      <c r="B2224" s="8" t="str">
        <f>"9781424462896"</f>
        <v>9781424462896</v>
      </c>
      <c r="C2224" s="8" t="s">
        <v>9</v>
      </c>
    </row>
    <row r="2225" spans="1:3" x14ac:dyDescent="0.25">
      <c r="A2225" s="8" t="str">
        <f>"2010 IEEE International Workshop on Multimedia Signal Processing, MMSP2010"</f>
        <v>2010 IEEE International Workshop on Multimedia Signal Processing, MMSP2010</v>
      </c>
      <c r="B2225" s="8" t="str">
        <f>"9781424481125"</f>
        <v>9781424481125</v>
      </c>
      <c r="C2225" s="8" t="s">
        <v>9</v>
      </c>
    </row>
    <row r="2226" spans="1:3" x14ac:dyDescent="0.25">
      <c r="A2226" s="8" t="str">
        <f>"2010 IEEE International Workshop Technical Committee on Communications Quality and Reliability, CQR 2010"</f>
        <v>2010 IEEE International Workshop Technical Committee on Communications Quality and Reliability, CQR 2010</v>
      </c>
      <c r="B2226" s="8" t="str">
        <f>"9781424477951"</f>
        <v>9781424477951</v>
      </c>
      <c r="C2226" s="8" t="s">
        <v>9</v>
      </c>
    </row>
    <row r="2227" spans="1:3" x14ac:dyDescent="0.25">
      <c r="A2227" s="8" t="str">
        <f>"2010 IEEE Latin-American Conference on Communications, LATINCOM 2010 - Conference Proceedings"</f>
        <v>2010 IEEE Latin-American Conference on Communications, LATINCOM 2010 - Conference Proceedings</v>
      </c>
      <c r="B2227" s="8" t="str">
        <f>"9781424471720"</f>
        <v>9781424471720</v>
      </c>
      <c r="C2227" s="8" t="s">
        <v>9</v>
      </c>
    </row>
    <row r="2228" spans="1:3" x14ac:dyDescent="0.25">
      <c r="A2228" s="8" t="str">
        <f>"2010 IEEE Nanotechnology Materials and Devices Conference, NMDC2010"</f>
        <v>2010 IEEE Nanotechnology Materials and Devices Conference, NMDC2010</v>
      </c>
      <c r="B2228" s="8" t="str">
        <f>"9781424488964"</f>
        <v>9781424488964</v>
      </c>
      <c r="C2228" s="8" t="s">
        <v>9</v>
      </c>
    </row>
    <row r="2229" spans="1:3" x14ac:dyDescent="0.25">
      <c r="A2229" s="8" t="str">
        <f>"2010 IEEE PES Transmission and Distribution Conference and Exposition: Smart Solutions for a Changing World"</f>
        <v>2010 IEEE PES Transmission and Distribution Conference and Exposition: Smart Solutions for a Changing World</v>
      </c>
      <c r="B2229" s="8" t="str">
        <f>"9781424465477"</f>
        <v>9781424465477</v>
      </c>
      <c r="C2229" s="8" t="s">
        <v>9</v>
      </c>
    </row>
    <row r="2230" spans="1:3" x14ac:dyDescent="0.25">
      <c r="A2230" s="8" t="str">
        <f>"2010 IEEE Photonics Society Summer Topical Meeting Series, PHOSST 2010"</f>
        <v>2010 IEEE Photonics Society Summer Topical Meeting Series, PHOSST 2010</v>
      </c>
      <c r="B2230" s="8" t="str">
        <f>"9781424437306"</f>
        <v>9781424437306</v>
      </c>
      <c r="C2230" s="8" t="s">
        <v>9</v>
      </c>
    </row>
    <row r="2231" spans="1:3" x14ac:dyDescent="0.25">
      <c r="A2231" s="8" t="str">
        <f>"2010 IEEE Photonics Society Winter Topicals Meeting Series, WTM 2010"</f>
        <v>2010 IEEE Photonics Society Winter Topicals Meeting Series, WTM 2010</v>
      </c>
      <c r="B2231" s="8" t="str">
        <f>"9781424452408"</f>
        <v>9781424452408</v>
      </c>
      <c r="C2231" s="8" t="s">
        <v>9</v>
      </c>
    </row>
    <row r="2232" spans="1:3" x14ac:dyDescent="0.25">
      <c r="A2232" s="8" t="str">
        <f>"2010 IEEE Radio and Wireless Symposium, RWW 2010 - Paper Digest"</f>
        <v>2010 IEEE Radio and Wireless Symposium, RWW 2010 - Paper Digest</v>
      </c>
      <c r="B2232" s="8" t="str">
        <f>"9781424447268"</f>
        <v>9781424447268</v>
      </c>
      <c r="C2232" s="8" t="s">
        <v>9</v>
      </c>
    </row>
    <row r="2233" spans="1:3" x14ac:dyDescent="0.25">
      <c r="A2233" s="8" t="str">
        <f>"2010 IEEE Sensor Array and Multichannel Signal Processing Workshop, SAM 2010"</f>
        <v>2010 IEEE Sensor Array and Multichannel Signal Processing Workshop, SAM 2010</v>
      </c>
      <c r="B2233" s="8" t="str">
        <f>"9781424489770"</f>
        <v>9781424489770</v>
      </c>
      <c r="C2233" s="8" t="s">
        <v>9</v>
      </c>
    </row>
    <row r="2234" spans="1:3" x14ac:dyDescent="0.25">
      <c r="A2234" s="8" t="str">
        <f>"2010 IEEE Sensors Applications Symposium, SAS 2010 - Proceedings"</f>
        <v>2010 IEEE Sensors Applications Symposium, SAS 2010 - Proceedings</v>
      </c>
      <c r="B2234" s="8" t="str">
        <f>"9781424449897"</f>
        <v>9781424449897</v>
      </c>
      <c r="C2234" s="8" t="s">
        <v>9</v>
      </c>
    </row>
    <row r="2235" spans="1:3" x14ac:dyDescent="0.25">
      <c r="A2235" s="8" t="str">
        <f>"2010 IEEE Symposium on Computational Intelligence in Bioinformatics and Computational Biology, CIBCB 2010"</f>
        <v>2010 IEEE Symposium on Computational Intelligence in Bioinformatics and Computational Biology, CIBCB 2010</v>
      </c>
      <c r="B2235" s="8" t="str">
        <f>"9781424467662"</f>
        <v>9781424467662</v>
      </c>
      <c r="C2235" s="8" t="s">
        <v>9</v>
      </c>
    </row>
    <row r="2236" spans="1:3" x14ac:dyDescent="0.25">
      <c r="A2236" s="8" t="str">
        <f>"2010 IEEE Symposium on New Frontiers in Dynamic Spectrum, DySPAN 2010"</f>
        <v>2010 IEEE Symposium on New Frontiers in Dynamic Spectrum, DySPAN 2010</v>
      </c>
      <c r="B2236" s="8" t="str">
        <f>"9781424451883"</f>
        <v>9781424451883</v>
      </c>
      <c r="C2236" s="8" t="s">
        <v>9</v>
      </c>
    </row>
    <row r="2237" spans="1:3" x14ac:dyDescent="0.25">
      <c r="A2237" s="8" t="str">
        <f>"2010 IEEE Systems and Information Engineering Design Symposium, SIEDS10"</f>
        <v>2010 IEEE Systems and Information Engineering Design Symposium, SIEDS10</v>
      </c>
      <c r="B2237" s="8" t="str">
        <f>"9781424475209"</f>
        <v>9781424475209</v>
      </c>
      <c r="C2237" s="8" t="s">
        <v>9</v>
      </c>
    </row>
    <row r="2238" spans="1:3" x14ac:dyDescent="0.25">
      <c r="A2238" s="8" t="str">
        <f>"2010 IEEE Transforming Engineering Education: Creating Interdisciplinary Skills for Complex Global Environments"</f>
        <v>2010 IEEE Transforming Engineering Education: Creating Interdisciplinary Skills for Complex Global Environments</v>
      </c>
      <c r="B2238" s="8" t="str">
        <f>"9781424460427"</f>
        <v>9781424460427</v>
      </c>
      <c r="C2238" s="8" t="s">
        <v>9</v>
      </c>
    </row>
    <row r="2239" spans="1:3" x14ac:dyDescent="0.25">
      <c r="A2239" s="8" t="str">
        <f>"2010 IEEE Vehicle Power and Propulsion Conference, VPPC 2010"</f>
        <v>2010 IEEE Vehicle Power and Propulsion Conference, VPPC 2010</v>
      </c>
      <c r="B2239" s="8" t="str">
        <f>"9781424482191"</f>
        <v>9781424482191</v>
      </c>
      <c r="C2239" s="8" t="s">
        <v>9</v>
      </c>
    </row>
    <row r="2240" spans="1:3" x14ac:dyDescent="0.25">
      <c r="A2240" s="8" t="str">
        <f>"2010 IEEE Vehicular Networking Conference, VNC 2010"</f>
        <v>2010 IEEE Vehicular Networking Conference, VNC 2010</v>
      </c>
      <c r="B2240" s="8" t="str">
        <f>"9781424495252"</f>
        <v>9781424495252</v>
      </c>
      <c r="C2240" s="8" t="s">
        <v>9</v>
      </c>
    </row>
    <row r="2241" spans="1:3" x14ac:dyDescent="0.25">
      <c r="A2241" s="8" t="str">
        <f>"2010 IEEE Wireless Communications and Networking Conference Workshops, WCNCW 2010 - Proceedings"</f>
        <v>2010 IEEE Wireless Communications and Networking Conference Workshops, WCNCW 2010 - Proceedings</v>
      </c>
      <c r="B2241" s="8" t="str">
        <f>"9781424464067"</f>
        <v>9781424464067</v>
      </c>
      <c r="C2241" s="8" t="s">
        <v>9</v>
      </c>
    </row>
    <row r="2242" spans="1:3" x14ac:dyDescent="0.25">
      <c r="A2242" s="8" t="str">
        <f>"2010 IEEE Workshop on Advanced Robotics and Its Social Impacts, ARSO 2010 - Conference Proceedings"</f>
        <v>2010 IEEE Workshop on Advanced Robotics and Its Social Impacts, ARSO 2010 - Conference Proceedings</v>
      </c>
      <c r="B2242" s="8" t="str">
        <f>"9781424491230"</f>
        <v>9781424491230</v>
      </c>
      <c r="C2242" s="8" t="s">
        <v>9</v>
      </c>
    </row>
    <row r="2243" spans="1:3" x14ac:dyDescent="0.25">
      <c r="A2243" s="8" t="str">
        <f>"2010 IEEE Workshop on Health Care Management, WHCM 2010"</f>
        <v>2010 IEEE Workshop on Health Care Management, WHCM 2010</v>
      </c>
      <c r="B2243" s="8" t="str">
        <f>"9781424449972"</f>
        <v>9781424449972</v>
      </c>
      <c r="C2243" s="8" t="s">
        <v>9</v>
      </c>
    </row>
    <row r="2244" spans="1:3" x14ac:dyDescent="0.25">
      <c r="A2244" s="8" t="str">
        <f>"2010 IEEE Workshop on Spoken Language Technology, SLT 2010 - Proceedings"</f>
        <v>2010 IEEE Workshop on Spoken Language Technology, SLT 2010 - Proceedings</v>
      </c>
      <c r="B2244" s="8" t="str">
        <f>"9781424479030"</f>
        <v>9781424479030</v>
      </c>
      <c r="C2244" s="8" t="s">
        <v>9</v>
      </c>
    </row>
    <row r="2245" spans="1:3" x14ac:dyDescent="0.25">
      <c r="A2245" s="8" t="str">
        <f>"2010 IEEE World Congress on Computational Intelligence, WCCI 2010"</f>
        <v>2010 IEEE World Congress on Computational Intelligence, WCCI 2010</v>
      </c>
      <c r="B2245" s="8" t="str">
        <f>"9781424469208"</f>
        <v>9781424469208</v>
      </c>
      <c r="C2245" s="8" t="s">
        <v>9</v>
      </c>
    </row>
    <row r="2246" spans="1:3" x14ac:dyDescent="0.25">
      <c r="A2246" s="8" t="str">
        <f>"2010 IEEE World Congress on Computational Intelligence, WCCI 2010 - 2010 IEEE Congress on Evolutionary Computation, CEC 2010"</f>
        <v>2010 IEEE World Congress on Computational Intelligence, WCCI 2010 - 2010 IEEE Congress on Evolutionary Computation, CEC 2010</v>
      </c>
      <c r="B2246" s="8" t="str">
        <f>"9781424469109"</f>
        <v>9781424469109</v>
      </c>
      <c r="C2246" s="8" t="s">
        <v>9</v>
      </c>
    </row>
    <row r="2247" spans="1:3" x14ac:dyDescent="0.25">
      <c r="A2247" s="8" t="str">
        <f>"2010 IEEE/ACM/IFIP International Conference on Hardware/Software Codesign and System Synthesis, CODES+ISSS 2010"</f>
        <v>2010 IEEE/ACM/IFIP International Conference on Hardware/Software Codesign and System Synthesis, CODES+ISSS 2010</v>
      </c>
      <c r="B2247" s="8" t="str">
        <f>"9781605589053"</f>
        <v>9781605589053</v>
      </c>
      <c r="C2247" s="8" t="s">
        <v>9</v>
      </c>
    </row>
    <row r="2248" spans="1:3" x14ac:dyDescent="0.25">
      <c r="A2248" s="8" t="str">
        <f>"2010 IEEE/ICME International Conference on Complex Medical Engineering, CME2010"</f>
        <v>2010 IEEE/ICME International Conference on Complex Medical Engineering, CME2010</v>
      </c>
      <c r="B2248" s="8" t="str">
        <f>"9781424468430"</f>
        <v>9781424468430</v>
      </c>
      <c r="C2248" s="8" t="s">
        <v>9</v>
      </c>
    </row>
    <row r="2249" spans="1:3" x14ac:dyDescent="0.25">
      <c r="A2249" s="8" t="str">
        <f>"2010 IEEE/IFIP Network Operations and Management Symposium Workshops, NOMS 2010"</f>
        <v>2010 IEEE/IFIP Network Operations and Management Symposium Workshops, NOMS 2010</v>
      </c>
      <c r="B2249" s="8" t="str">
        <f>"9781424460380"</f>
        <v>9781424460380</v>
      </c>
      <c r="C2249" s="8" t="s">
        <v>9</v>
      </c>
    </row>
    <row r="2250" spans="1:3" x14ac:dyDescent="0.25">
      <c r="A2250" s="8" t="str">
        <f>"2010 IEEE/OES Autonomous Underwater Vehicles, AUV 2010"</f>
        <v>2010 IEEE/OES Autonomous Underwater Vehicles, AUV 2010</v>
      </c>
      <c r="B2250" s="8" t="str">
        <f>"9781612849812"</f>
        <v>9781612849812</v>
      </c>
      <c r="C2250" s="8" t="s">
        <v>9</v>
      </c>
    </row>
    <row r="2251" spans="1:3" x14ac:dyDescent="0.25">
      <c r="A2251" s="8" t="str">
        <f>"2010 IEEE/OES US/EU Baltic International Symposium, Baltic 2010"</f>
        <v>2010 IEEE/OES US/EU Baltic International Symposium, Baltic 2010</v>
      </c>
      <c r="B2251" s="8" t="str">
        <f>"9781424492275"</f>
        <v>9781424492275</v>
      </c>
      <c r="C2251" s="8" t="s">
        <v>9</v>
      </c>
    </row>
    <row r="2252" spans="1:3" x14ac:dyDescent="0.25">
      <c r="A2252" s="8" t="str">
        <f>"2010 IEEE/PES Transmission and Distribution Conference and Exposition: Latin America, T and D-LA 2010"</f>
        <v>2010 IEEE/PES Transmission and Distribution Conference and Exposition: Latin America, T and D-LA 2010</v>
      </c>
      <c r="B2252" s="8" t="str">
        <f>"9781457704871"</f>
        <v>9781457704871</v>
      </c>
      <c r="C2252" s="8" t="s">
        <v>9</v>
      </c>
    </row>
    <row r="2253" spans="1:3" x14ac:dyDescent="0.25">
      <c r="A2253" s="8" t="str">
        <f>"2010 IEEE/SICE International Symposium on System Integration: SI International 2010 - The 3rd Symposium on System Integration, SII 2010, Proceedings"</f>
        <v>2010 IEEE/SICE International Symposium on System Integration: SI International 2010 - The 3rd Symposium on System Integration, SII 2010, Proceedings</v>
      </c>
      <c r="B2253" s="8" t="str">
        <f>"9781424493159"</f>
        <v>9781424493159</v>
      </c>
      <c r="C2253" s="8" t="s">
        <v>9</v>
      </c>
    </row>
    <row r="2254" spans="1:3" x14ac:dyDescent="0.25">
      <c r="A2254" s="8" t="str">
        <f>"2010 IEEE-RIVF International Conference on Computing and Communication Technologies: Research, Innovation and Vision for the Future, RIVF 2010"</f>
        <v>2010 IEEE-RIVF International Conference on Computing and Communication Technologies: Research, Innovation and Vision for the Future, RIVF 2010</v>
      </c>
      <c r="B2254" s="8" t="str">
        <f>"9781424480753"</f>
        <v>9781424480753</v>
      </c>
      <c r="C2254" s="8" t="s">
        <v>9</v>
      </c>
    </row>
    <row r="2255" spans="1:3" x14ac:dyDescent="0.25">
      <c r="A2255" s="8" t="str">
        <f>"2010 IFIP Wireless Days, WD 2010"</f>
        <v>2010 IFIP Wireless Days, WD 2010</v>
      </c>
      <c r="B2255" s="8" t="str">
        <f>"9781424492299"</f>
        <v>9781424492299</v>
      </c>
      <c r="C2255" s="8" t="s">
        <v>9</v>
      </c>
    </row>
    <row r="2256" spans="1:3" x14ac:dyDescent="0.25">
      <c r="A2256" s="8" t="str">
        <f>"2010 Indian Antenna Week: A Workshop on Advanced Antenna Technology, AAT 2010"</f>
        <v>2010 Indian Antenna Week: A Workshop on Advanced Antenna Technology, AAT 2010</v>
      </c>
      <c r="B2256" s="8" t="str">
        <f>"9781424479146"</f>
        <v>9781424479146</v>
      </c>
      <c r="C2256" s="8" t="s">
        <v>9</v>
      </c>
    </row>
    <row r="2257" spans="1:3" x14ac:dyDescent="0.25">
      <c r="A2257" s="8" t="str">
        <f>"2010 Information Theory and Applications Workshop, ITA 2010 - Conference Proceedings"</f>
        <v>2010 Information Theory and Applications Workshop, ITA 2010 - Conference Proceedings</v>
      </c>
      <c r="B2257" s="8" t="str">
        <f>"9781424470143"</f>
        <v>9781424470143</v>
      </c>
      <c r="C2257" s="8" t="s">
        <v>9</v>
      </c>
    </row>
    <row r="2258" spans="1:3" x14ac:dyDescent="0.25">
      <c r="A2258" s="8" t="str">
        <f>"2010 Integrated Communications, Navigation, and Surveillance Conference Proceedings, ICNS 2010"</f>
        <v>2010 Integrated Communications, Navigation, and Surveillance Conference Proceedings, ICNS 2010</v>
      </c>
      <c r="B2258" s="8" t="str">
        <f>"9781424474585"</f>
        <v>9781424474585</v>
      </c>
      <c r="C2258" s="8" t="s">
        <v>9</v>
      </c>
    </row>
    <row r="2259" spans="1:3" x14ac:dyDescent="0.25">
      <c r="A2259" s="8" t="str">
        <f>"2010 International Conference for Internet Technology and Secured Transactions, ICITST 2010"</f>
        <v>2010 International Conference for Internet Technology and Secured Transactions, ICITST 2010</v>
      </c>
      <c r="B2259" s="8" t="str">
        <f>"9781424488629"</f>
        <v>9781424488629</v>
      </c>
      <c r="C2259" s="8" t="s">
        <v>9</v>
      </c>
    </row>
    <row r="2260" spans="1:3" x14ac:dyDescent="0.25">
      <c r="A2260" s="8" t="str">
        <f>"2010 International Conference on Advances in Energy Engineering, ICAEE 2010"</f>
        <v>2010 International Conference on Advances in Energy Engineering, ICAEE 2010</v>
      </c>
      <c r="B2260" s="8" t="str">
        <f>"9781424478309"</f>
        <v>9781424478309</v>
      </c>
      <c r="C2260" s="8" t="s">
        <v>9</v>
      </c>
    </row>
    <row r="2261" spans="1:3" x14ac:dyDescent="0.25">
      <c r="A2261" s="8" t="str">
        <f>"2010 International Conference on Advances in ICT for Emerging Regions, ICTer 2010"</f>
        <v>2010 International Conference on Advances in ICT for Emerging Regions, ICTer 2010</v>
      </c>
      <c r="B2261" s="8" t="str">
        <f>"9781424490417"</f>
        <v>9781424490417</v>
      </c>
      <c r="C2261" s="8" t="s">
        <v>9</v>
      </c>
    </row>
    <row r="2262" spans="1:3" x14ac:dyDescent="0.25">
      <c r="A2262" s="8" t="str">
        <f>"2010 International Conference on Apperceiving Computing and Intelligence Analysis, ICACIA 2010 - Proceeding"</f>
        <v>2010 International Conference on Apperceiving Computing and Intelligence Analysis, ICACIA 2010 - Proceeding</v>
      </c>
      <c r="B2262" s="8" t="str">
        <f>"9781424480265"</f>
        <v>9781424480265</v>
      </c>
      <c r="C2262" s="8" t="s">
        <v>9</v>
      </c>
    </row>
    <row r="2263" spans="1:3" x14ac:dyDescent="0.25">
      <c r="A2263" s="8" t="str">
        <f>"2010 International Conference on Applied Electronics, AE 2010"</f>
        <v>2010 International Conference on Applied Electronics, AE 2010</v>
      </c>
      <c r="B2263" s="8" t="str">
        <f>"9788070438657"</f>
        <v>9788070438657</v>
      </c>
      <c r="C2263" s="8" t="s">
        <v>9</v>
      </c>
    </row>
    <row r="2264" spans="1:3" x14ac:dyDescent="0.25">
      <c r="A2264" s="8" t="str">
        <f>"2010 International Conference on Biomedical Engineering and Computer Science, ICBECS 2010"</f>
        <v>2010 International Conference on Biomedical Engineering and Computer Science, ICBECS 2010</v>
      </c>
      <c r="B2264" s="8" t="str">
        <f>"9781424453153"</f>
        <v>9781424453153</v>
      </c>
      <c r="C2264" s="8" t="s">
        <v>9</v>
      </c>
    </row>
    <row r="2265" spans="1:3" x14ac:dyDescent="0.25">
      <c r="A2265" s="8" t="str">
        <f>"2010 International Conference on Biosciences, BioSciencesWorld 2010"</f>
        <v>2010 International Conference on Biosciences, BioSciencesWorld 2010</v>
      </c>
      <c r="B2265" s="8" t="str">
        <f>"9780769539683"</f>
        <v>9780769539683</v>
      </c>
      <c r="C2265" s="8" t="s">
        <v>9</v>
      </c>
    </row>
    <row r="2266" spans="1:3" x14ac:dyDescent="0.25">
      <c r="A2266" s="8" t="str">
        <f>"2010 International Conference on Body Sensor Networks, BSN 2010"</f>
        <v>2010 International Conference on Body Sensor Networks, BSN 2010</v>
      </c>
      <c r="B2266" s="8" t="str">
        <f>"9780769540658"</f>
        <v>9780769540658</v>
      </c>
      <c r="C2266" s="8" t="s">
        <v>9</v>
      </c>
    </row>
    <row r="2267" spans="1:3" x14ac:dyDescent="0.25">
      <c r="A2267" s="8" t="str">
        <f>"2010 International Conference on Communications, Circuits and Systems, ICCCAS 2010 - Proceedings"</f>
        <v>2010 International Conference on Communications, Circuits and Systems, ICCCAS 2010 - Proceedings</v>
      </c>
      <c r="B2267" s="8" t="str">
        <f>"9781424482238"</f>
        <v>9781424482238</v>
      </c>
      <c r="C2267" s="8" t="s">
        <v>9</v>
      </c>
    </row>
    <row r="2268" spans="1:3" x14ac:dyDescent="0.25">
      <c r="A2268" s="8" t="str">
        <f>"2010 International Conference on Compound Semiconductor Manufacturing Technology, CS MANTECH 2010"</f>
        <v>2010 International Conference on Compound Semiconductor Manufacturing Technology, CS MANTECH 2010</v>
      </c>
      <c r="B2268" s="8" t="str">
        <f>"9781893580152"</f>
        <v>9781893580152</v>
      </c>
      <c r="C2268" s="8" t="s">
        <v>1336</v>
      </c>
    </row>
    <row r="2269" spans="1:3" x14ac:dyDescent="0.25">
      <c r="A2269" s="8" t="str">
        <f>"2010 International Conference on Computational Intelligence and Software Engineering, CiSE 2010"</f>
        <v>2010 International Conference on Computational Intelligence and Software Engineering, CiSE 2010</v>
      </c>
      <c r="B2269" s="8" t="str">
        <f>"9781424453924"</f>
        <v>9781424453924</v>
      </c>
      <c r="C2269" s="8" t="s">
        <v>9</v>
      </c>
    </row>
    <row r="2270" spans="1:3" x14ac:dyDescent="0.25">
      <c r="A2270" s="8" t="str">
        <f>"2010 International Conference on Computational Problem-Solving, ICCP 2010"</f>
        <v>2010 International Conference on Computational Problem-Solving, ICCP 2010</v>
      </c>
      <c r="B2270" s="8" t="str">
        <f>"9789810863227"</f>
        <v>9789810863227</v>
      </c>
      <c r="C2270" s="8" t="s">
        <v>9</v>
      </c>
    </row>
    <row r="2271" spans="1:3" x14ac:dyDescent="0.25">
      <c r="A2271" s="8" t="str">
        <f>"2010 International Conference on Computer and Communication Technology, ICCCT-2010"</f>
        <v>2010 International Conference on Computer and Communication Technology, ICCCT-2010</v>
      </c>
      <c r="B2271" s="8" t="str">
        <f>"9781424490349"</f>
        <v>9781424490349</v>
      </c>
      <c r="C2271" s="8" t="s">
        <v>9</v>
      </c>
    </row>
    <row r="2272" spans="1:3" x14ac:dyDescent="0.25">
      <c r="A2272" s="8" t="str">
        <f>"2010 International Conference on Computer Design and Applications, ICCDA 2010"</f>
        <v>2010 International Conference on Computer Design and Applications, ICCDA 2010</v>
      </c>
      <c r="B2272" s="8" t="str">
        <f>"9781424471638"</f>
        <v>9781424471638</v>
      </c>
      <c r="C2272" s="8" t="s">
        <v>9</v>
      </c>
    </row>
    <row r="2273" spans="1:3" x14ac:dyDescent="0.25">
      <c r="A2273" s="8" t="str">
        <f>"2010 International Conference on Computer Information Systems and Industrial Management Applications, CISIM 2010"</f>
        <v>2010 International Conference on Computer Information Systems and Industrial Management Applications, CISIM 2010</v>
      </c>
      <c r="B2273" s="8" t="str">
        <f>"9781424478170"</f>
        <v>9781424478170</v>
      </c>
      <c r="C2273" s="8" t="s">
        <v>9</v>
      </c>
    </row>
    <row r="2274" spans="1:3" x14ac:dyDescent="0.25">
      <c r="A2274" s="8" t="str">
        <f>"2010 International Conference on Computer, Mechatronics, Control and Electronic Engineering, CMCE 2010"</f>
        <v>2010 International Conference on Computer, Mechatronics, Control and Electronic Engineering, CMCE 2010</v>
      </c>
      <c r="B2274" s="8" t="str">
        <f>"9781424479566"</f>
        <v>9781424479566</v>
      </c>
      <c r="C2274" s="8" t="s">
        <v>9</v>
      </c>
    </row>
    <row r="2275" spans="1:3" x14ac:dyDescent="0.25">
      <c r="A2275" s="8" t="str">
        <f>"2010 International Conference on Computing, Control and Industrial Engineering, CCIE 2010"</f>
        <v>2010 International Conference on Computing, Control and Industrial Engineering, CCIE 2010</v>
      </c>
      <c r="B2275" s="8" t="str">
        <f>"9780769540269"</f>
        <v>9780769540269</v>
      </c>
      <c r="C2275" s="8" t="s">
        <v>9</v>
      </c>
    </row>
    <row r="2276" spans="1:3" x14ac:dyDescent="0.25">
      <c r="A2276" s="8" t="str">
        <f>"2010 International Conference on Distributed Frameworks for Multimedia Applications, DFmA 2010"</f>
        <v>2010 International Conference on Distributed Frameworks for Multimedia Applications, DFmA 2010</v>
      </c>
      <c r="B2276" s="8" t="str">
        <f>"9786029747911"</f>
        <v>9786029747911</v>
      </c>
      <c r="C2276" s="8" t="s">
        <v>9</v>
      </c>
    </row>
    <row r="2277" spans="1:3" x14ac:dyDescent="0.25">
      <c r="A2277" s="8" t="str">
        <f>"2010 International Conference on E-Health Networking, Digital Ecosystems and Technologies, EDT 2010"</f>
        <v>2010 International Conference on E-Health Networking, Digital Ecosystems and Technologies, EDT 2010</v>
      </c>
      <c r="B2277" s="8" t="str">
        <f>"9781424455157"</f>
        <v>9781424455157</v>
      </c>
      <c r="C2277" s="8" t="s">
        <v>9</v>
      </c>
    </row>
    <row r="2278" spans="1:3" x14ac:dyDescent="0.25">
      <c r="A2278" s="8" t="str">
        <f>"2010 International Conference on Electrical Machines and Systems, ICEMS2010"</f>
        <v>2010 International Conference on Electrical Machines and Systems, ICEMS2010</v>
      </c>
      <c r="B2278" s="8" t="str">
        <f>"9788986510119"</f>
        <v>9788986510119</v>
      </c>
      <c r="C2278" s="8" t="s">
        <v>9</v>
      </c>
    </row>
    <row r="2279" spans="1:3" x14ac:dyDescent="0.25">
      <c r="A2279" s="8" t="str">
        <f>"2010 International Conference on Electronic Devices, Systems and Applications, ICEDSA 2010 - Proceedings"</f>
        <v>2010 International Conference on Electronic Devices, Systems and Applications, ICEDSA 2010 - Proceedings</v>
      </c>
      <c r="B2279" s="8" t="str">
        <f>"9781424466320"</f>
        <v>9781424466320</v>
      </c>
      <c r="C2279" s="8" t="s">
        <v>9</v>
      </c>
    </row>
    <row r="2280" spans="1:3" x14ac:dyDescent="0.25">
      <c r="A2280" s="8" t="str">
        <f>"2010 International Conference on Enabling Science and Nanotechnology, ESciNano 2010 - Proceedings"</f>
        <v>2010 International Conference on Enabling Science and Nanotechnology, ESciNano 2010 - Proceedings</v>
      </c>
      <c r="B2280" s="8" t="str">
        <f>"9781424488544"</f>
        <v>9781424488544</v>
      </c>
      <c r="C2280" s="8" t="s">
        <v>9</v>
      </c>
    </row>
    <row r="2281" spans="1:3" x14ac:dyDescent="0.25">
      <c r="A2281" s="8" t="str">
        <f>"2010 International Conference on Energy Aware Computing, ICEAC 2010"</f>
        <v>2010 International Conference on Energy Aware Computing, ICEAC 2010</v>
      </c>
      <c r="B2281" s="8" t="str">
        <f>"9781424482757"</f>
        <v>9781424482757</v>
      </c>
      <c r="C2281" s="8" t="s">
        <v>9</v>
      </c>
    </row>
    <row r="2282" spans="1:3" x14ac:dyDescent="0.25">
      <c r="A2282" s="8" t="str">
        <f>"2010 International Conference on E-Product E-Service and E-Entertainment, ICEEE2010"</f>
        <v>2010 International Conference on E-Product E-Service and E-Entertainment, ICEEE2010</v>
      </c>
      <c r="B2282" s="8" t="str">
        <f>"9781424471614"</f>
        <v>9781424471614</v>
      </c>
      <c r="C2282" s="8" t="s">
        <v>9</v>
      </c>
    </row>
    <row r="2283" spans="1:3" x14ac:dyDescent="0.25">
      <c r="A2283" s="8" t="str">
        <f>"2010 International Conference on Financial Theory and Engineering, ICFTE 2010"</f>
        <v>2010 International Conference on Financial Theory and Engineering, ICFTE 2010</v>
      </c>
      <c r="B2283" s="8" t="str">
        <f>"9781424477586"</f>
        <v>9781424477586</v>
      </c>
      <c r="C2283" s="8" t="s">
        <v>9</v>
      </c>
    </row>
    <row r="2284" spans="1:3" x14ac:dyDescent="0.25">
      <c r="A2284" s="8" t="str">
        <f>"2010 International Conference on Future Information Technology and Management Engineering, FITME 2010"</f>
        <v>2010 International Conference on Future Information Technology and Management Engineering, FITME 2010</v>
      </c>
      <c r="B2284" s="8" t="str">
        <f>"9781424490882"</f>
        <v>9781424490882</v>
      </c>
      <c r="C2284" s="8" t="s">
        <v>9</v>
      </c>
    </row>
    <row r="2285" spans="1:3" x14ac:dyDescent="0.25">
      <c r="A2285" s="8" t="str">
        <f>"2010 International Conference on Green Computing, Green Comp 2010"</f>
        <v>2010 International Conference on Green Computing, Green Comp 2010</v>
      </c>
      <c r="B2285" s="8" t="str">
        <f>"9781424476138"</f>
        <v>9781424476138</v>
      </c>
      <c r="C2285" s="8" t="s">
        <v>9</v>
      </c>
    </row>
    <row r="2286" spans="1:3" x14ac:dyDescent="0.25">
      <c r="A2286" s="8" t="str">
        <f>"2010 International Conference on High Performance Switching and Routing, HPSR 2010"</f>
        <v>2010 International Conference on High Performance Switching and Routing, HPSR 2010</v>
      </c>
      <c r="B2286" s="8" t="str">
        <f>"9781424469710"</f>
        <v>9781424469710</v>
      </c>
      <c r="C2286" s="8" t="s">
        <v>9</v>
      </c>
    </row>
    <row r="2287" spans="1:3" x14ac:dyDescent="0.25">
      <c r="A2287" s="8" t="str">
        <f>"2010 International Conference on High Voltage Engineering and Application, ICHVE 2010"</f>
        <v>2010 International Conference on High Voltage Engineering and Application, ICHVE 2010</v>
      </c>
      <c r="B2287" s="8" t="str">
        <f>"9781424482863"</f>
        <v>9781424482863</v>
      </c>
      <c r="C2287" s="8" t="s">
        <v>9</v>
      </c>
    </row>
    <row r="2288" spans="1:3" x14ac:dyDescent="0.25">
      <c r="A2288" s="8" t="str">
        <f>"2010 International Conference on Indoor Positioning and Indoor Navigation, IPIN 2010 - Conference Proceedings"</f>
        <v>2010 International Conference on Indoor Positioning and Indoor Navigation, IPIN 2010 - Conference Proceedings</v>
      </c>
      <c r="B2288" s="8" t="str">
        <f>"9781424458646"</f>
        <v>9781424458646</v>
      </c>
      <c r="C2288" s="8" t="s">
        <v>9</v>
      </c>
    </row>
    <row r="2289" spans="1:3" x14ac:dyDescent="0.25">
      <c r="A2289" s="8" t="str">
        <f>"2010 International Conference on Industrial Electronics, Control and Robotics, IECR 2010"</f>
        <v>2010 International Conference on Industrial Electronics, Control and Robotics, IECR 2010</v>
      </c>
      <c r="B2289" s="8" t="str">
        <f>"9781424485468"</f>
        <v>9781424485468</v>
      </c>
      <c r="C2289" s="8" t="s">
        <v>9</v>
      </c>
    </row>
    <row r="2290" spans="1:3" x14ac:dyDescent="0.25">
      <c r="A2290" s="8" t="str">
        <f>"2010 International Conference on Information and Communication Technology Convergence, ICTC 2010"</f>
        <v>2010 International Conference on Information and Communication Technology Convergence, ICTC 2010</v>
      </c>
      <c r="B2290" s="8" t="str">
        <f>"9781424498062"</f>
        <v>9781424498062</v>
      </c>
      <c r="C2290" s="8" t="s">
        <v>9</v>
      </c>
    </row>
    <row r="2291" spans="1:3" x14ac:dyDescent="0.25">
      <c r="A2291" s="8" t="str">
        <f>"2010 International Conference on Information and Emerging Technologies, ICIET 2010"</f>
        <v>2010 International Conference on Information and Emerging Technologies, ICIET 2010</v>
      </c>
      <c r="B2291" s="8" t="str">
        <f>"9781424480012"</f>
        <v>9781424480012</v>
      </c>
      <c r="C2291" s="8" t="s">
        <v>9</v>
      </c>
    </row>
    <row r="2292" spans="1:3" x14ac:dyDescent="0.25">
      <c r="A2292" s="8" t="str">
        <f>"2010 International Conference on Information Science and Applications, ICISA 2010"</f>
        <v>2010 International Conference on Information Science and Applications, ICISA 2010</v>
      </c>
      <c r="B2292" s="8" t="str">
        <f>"9781424459438"</f>
        <v>9781424459438</v>
      </c>
      <c r="C2292" s="8" t="s">
        <v>9</v>
      </c>
    </row>
    <row r="2293" spans="1:3" x14ac:dyDescent="0.25">
      <c r="A2293" s="8" t="str">
        <f>"2010 International Conference on Information Society, i-Society 2010"</f>
        <v>2010 International Conference on Information Society, i-Society 2010</v>
      </c>
      <c r="B2293" s="8" t="str">
        <f>"9780956426338"</f>
        <v>9780956426338</v>
      </c>
      <c r="C2293" s="8" t="s">
        <v>9</v>
      </c>
    </row>
    <row r="2294" spans="1:3" x14ac:dyDescent="0.25">
      <c r="A2294" s="8" t="str">
        <f>"2010 International Conference on Intelligent and Advanced Systems, ICIAS 2010"</f>
        <v>2010 International Conference on Intelligent and Advanced Systems, ICIAS 2010</v>
      </c>
      <c r="B2294" s="8" t="str">
        <f>"9781424466238"</f>
        <v>9781424466238</v>
      </c>
      <c r="C2294" s="8" t="s">
        <v>9</v>
      </c>
    </row>
    <row r="2295" spans="1:3" x14ac:dyDescent="0.25">
      <c r="A2295" s="8" t="str">
        <f>"2010 International Conference on Intelligent Computation Technology and Automation, ICICTA 2010"</f>
        <v>2010 International Conference on Intelligent Computation Technology and Automation, ICICTA 2010</v>
      </c>
      <c r="B2295" s="8" t="str">
        <f>"9780769540771"</f>
        <v>9780769540771</v>
      </c>
      <c r="C2295" s="8" t="s">
        <v>9</v>
      </c>
    </row>
    <row r="2296" spans="1:3" x14ac:dyDescent="0.25">
      <c r="A2296" s="8" t="str">
        <f>"2010 International Conference on Logistics Engineering and Intelligent Transportation Systems, LEITS2010 - Proceedings"</f>
        <v>2010 International Conference on Logistics Engineering and Intelligent Transportation Systems, LEITS2010 - Proceedings</v>
      </c>
      <c r="B2296" s="8" t="str">
        <f>"9781424487783"</f>
        <v>9781424487783</v>
      </c>
      <c r="C2296" s="8" t="s">
        <v>9</v>
      </c>
    </row>
    <row r="2297" spans="1:3" x14ac:dyDescent="0.25">
      <c r="A2297" s="8" t="str">
        <f>"2010 International Conference on Logistics Systems and Intelligent Management, ICLSIM 2010"</f>
        <v>2010 International Conference on Logistics Systems and Intelligent Management, ICLSIM 2010</v>
      </c>
      <c r="B2297" s="8" t="str">
        <f>"9781424473311"</f>
        <v>9781424473311</v>
      </c>
      <c r="C2297" s="8" t="s">
        <v>9</v>
      </c>
    </row>
    <row r="2298" spans="1:3" x14ac:dyDescent="0.25">
      <c r="A2298" s="8" t="str">
        <f>"2010 International Conference on Machine and Web Intelligence, ICMWI 2010 - Proceedings"</f>
        <v>2010 International Conference on Machine and Web Intelligence, ICMWI 2010 - Proceedings</v>
      </c>
      <c r="B2298" s="8" t="str">
        <f>"9781424486113"</f>
        <v>9781424486113</v>
      </c>
      <c r="C2298" s="8" t="s">
        <v>9</v>
      </c>
    </row>
    <row r="2299" spans="1:3" x14ac:dyDescent="0.25">
      <c r="A2299" s="8" t="str">
        <f>"2010 International Conference on Machine Learning and Cybernetics, ICMLC 2010"</f>
        <v>2010 International Conference on Machine Learning and Cybernetics, ICMLC 2010</v>
      </c>
      <c r="B2299" s="8" t="str">
        <f>"9781424465262"</f>
        <v>9781424465262</v>
      </c>
      <c r="C2299" s="8" t="s">
        <v>9</v>
      </c>
    </row>
    <row r="2300" spans="1:3" x14ac:dyDescent="0.25">
      <c r="A2300" s="8" t="str">
        <f>"2010 International Conference on Machine Vision and Human-Machine Interface, MVHI 2010"</f>
        <v>2010 International Conference on Machine Vision and Human-Machine Interface, MVHI 2010</v>
      </c>
      <c r="B2300" s="8" t="str">
        <f>"9780769540092"</f>
        <v>9780769540092</v>
      </c>
      <c r="C2300" s="8" t="s">
        <v>9</v>
      </c>
    </row>
    <row r="2301" spans="1:3" x14ac:dyDescent="0.25">
      <c r="A2301" s="8" t="str">
        <f>"2010 International Conference on Management and Service Science, MASS 2010"</f>
        <v>2010 International Conference on Management and Service Science, MASS 2010</v>
      </c>
      <c r="B2301" s="8" t="str">
        <f>"9781424453269"</f>
        <v>9781424453269</v>
      </c>
      <c r="C2301" s="8" t="s">
        <v>9</v>
      </c>
    </row>
    <row r="2302" spans="1:3" x14ac:dyDescent="0.25">
      <c r="A2302" s="8" t="str">
        <f>"2010 International Conference on Management Science and Engineering, ICMSE 2010"</f>
        <v>2010 International Conference on Management Science and Engineering, ICMSE 2010</v>
      </c>
      <c r="B2302" s="8" t="str">
        <f>"9781424481163"</f>
        <v>9781424481163</v>
      </c>
      <c r="C2302" s="8" t="s">
        <v>9</v>
      </c>
    </row>
    <row r="2303" spans="1:3" x14ac:dyDescent="0.25">
      <c r="A2303" s="8" t="str">
        <f>"2010 International Conference on Measuring Technology and Mechatronics Automation, ICMTMA 2010"</f>
        <v>2010 International Conference on Measuring Technology and Mechatronics Automation, ICMTMA 2010</v>
      </c>
      <c r="B2303" s="8" t="str">
        <f>"9780769539621"</f>
        <v>9780769539621</v>
      </c>
      <c r="C2303" s="8" t="s">
        <v>9</v>
      </c>
    </row>
    <row r="2304" spans="1:3" x14ac:dyDescent="0.25">
      <c r="A2304" s="8" t="str">
        <f>"2010 International Conference on Mechanic Automation and Control Engineering, MACE2010"</f>
        <v>2010 International Conference on Mechanic Automation and Control Engineering, MACE2010</v>
      </c>
      <c r="B2304" s="8" t="str">
        <f>"9781424477388"</f>
        <v>9781424477388</v>
      </c>
      <c r="C2304" s="8" t="s">
        <v>9</v>
      </c>
    </row>
    <row r="2305" spans="1:3" x14ac:dyDescent="0.25">
      <c r="A2305" s="8" t="str">
        <f>"2010 International Conference on Medical Image Analysis and Clinical Application, MIACA 2010"</f>
        <v>2010 International Conference on Medical Image Analysis and Clinical Application, MIACA 2010</v>
      </c>
      <c r="B2305" s="8" t="str">
        <f>"9781424480128"</f>
        <v>9781424480128</v>
      </c>
      <c r="C2305" s="8" t="s">
        <v>9</v>
      </c>
    </row>
    <row r="2306" spans="1:3" x14ac:dyDescent="0.25">
      <c r="A2306" s="8" t="str">
        <f>"2010 International Conference on Microwave and Millimeter Wave Technology, ICMMT 2010"</f>
        <v>2010 International Conference on Microwave and Millimeter Wave Technology, ICMMT 2010</v>
      </c>
      <c r="B2306" s="8" t="str">
        <f>"9781424457052"</f>
        <v>9781424457052</v>
      </c>
      <c r="C2306" s="8" t="s">
        <v>9</v>
      </c>
    </row>
    <row r="2307" spans="1:3" x14ac:dyDescent="0.25">
      <c r="A2307" s="8" t="str">
        <f>"2010 International Conference on Modelling, Identification and Control, ICMIC 2010"</f>
        <v>2010 International Conference on Modelling, Identification and Control, ICMIC 2010</v>
      </c>
      <c r="B2307" s="8" t="str">
        <f>"9780955529337"</f>
        <v>9780955529337</v>
      </c>
      <c r="C2307" s="8" t="s">
        <v>21</v>
      </c>
    </row>
    <row r="2308" spans="1:3" x14ac:dyDescent="0.25">
      <c r="A2308" s="8" t="str">
        <f>"2010 International Conference on MultiMedia and Information Technology, MMIT 2010"</f>
        <v>2010 International Conference on MultiMedia and Information Technology, MMIT 2010</v>
      </c>
      <c r="B2308" s="8" t="str">
        <f>"9780769540085"</f>
        <v>9780769540085</v>
      </c>
      <c r="C2308" s="8" t="s">
        <v>9</v>
      </c>
    </row>
    <row r="2309" spans="1:3" x14ac:dyDescent="0.25">
      <c r="A2309" s="8" t="str">
        <f>"2010 International Conference on Multimedia Technology, ICMT 2010"</f>
        <v>2010 International Conference on Multimedia Technology, ICMT 2010</v>
      </c>
      <c r="B2309" s="8" t="str">
        <f>"9781424478743"</f>
        <v>9781424478743</v>
      </c>
      <c r="C2309" s="8" t="s">
        <v>9</v>
      </c>
    </row>
    <row r="2310" spans="1:3" x14ac:dyDescent="0.25">
      <c r="A2310" s="8" t="str">
        <f>"2010 International Conference on Networking and Digital Society, ICNDS 2010"</f>
        <v>2010 International Conference on Networking and Digital Society, ICNDS 2010</v>
      </c>
      <c r="B2310" s="8" t="str">
        <f>"9781424451616"</f>
        <v>9781424451616</v>
      </c>
      <c r="C2310" s="8" t="s">
        <v>9</v>
      </c>
    </row>
    <row r="2311" spans="1:3" x14ac:dyDescent="0.25">
      <c r="A2311" s="8" t="str">
        <f>"2010 International Conference on Networking, Sensing and Control, ICNSC 2010"</f>
        <v>2010 International Conference on Networking, Sensing and Control, ICNSC 2010</v>
      </c>
      <c r="B2311" s="8" t="str">
        <f>"9781424464531"</f>
        <v>9781424464531</v>
      </c>
      <c r="C2311" s="8" t="s">
        <v>9</v>
      </c>
    </row>
    <row r="2312" spans="1:3" x14ac:dyDescent="0.25">
      <c r="A2312" s="8" t="str">
        <f>"2010 International Conference on Optical MEMS and Nanophotonics, Optical MEMS and Nanophotonics 2010"</f>
        <v>2010 International Conference on Optical MEMS and Nanophotonics, Optical MEMS and Nanophotonics 2010</v>
      </c>
      <c r="B2312" s="8" t="str">
        <f>"9781424489251"</f>
        <v>9781424489251</v>
      </c>
      <c r="C2312" s="8" t="s">
        <v>9</v>
      </c>
    </row>
    <row r="2313" spans="1:3" x14ac:dyDescent="0.25">
      <c r="A2313" s="8" t="str">
        <f>"2010 International Conference on Photonics, ICP2010"</f>
        <v>2010 International Conference on Photonics, ICP2010</v>
      </c>
      <c r="B2313" s="8" t="str">
        <f>"9781424471874"</f>
        <v>9781424471874</v>
      </c>
      <c r="C2313" s="8" t="s">
        <v>9</v>
      </c>
    </row>
    <row r="2314" spans="1:3" x14ac:dyDescent="0.25">
      <c r="A2314" s="8" t="str">
        <f>"2010 International Conference on Power System Technology: Technological Innovations Making Power Grid Smarter, POWERCON2010"</f>
        <v>2010 International Conference on Power System Technology: Technological Innovations Making Power Grid Smarter, POWERCON2010</v>
      </c>
      <c r="B2314" s="8" t="str">
        <f>"9781424459407"</f>
        <v>9781424459407</v>
      </c>
      <c r="C2314" s="8" t="s">
        <v>9</v>
      </c>
    </row>
    <row r="2315" spans="1:3" x14ac:dyDescent="0.25">
      <c r="A2315" s="8" t="str">
        <f>"2010 International Conference on Signal Acquisition and Processing, ICSAP 2010"</f>
        <v>2010 International Conference on Signal Acquisition and Processing, ICSAP 2010</v>
      </c>
      <c r="B2315" s="8" t="str">
        <f>"9780769539607"</f>
        <v>9780769539607</v>
      </c>
      <c r="C2315" s="8" t="s">
        <v>9</v>
      </c>
    </row>
    <row r="2316" spans="1:3" x14ac:dyDescent="0.25">
      <c r="A2316" s="8" t="str">
        <f>"2010 International Conference on Signal Processing and Communications, SPCOM 2010"</f>
        <v>2010 International Conference on Signal Processing and Communications, SPCOM 2010</v>
      </c>
      <c r="B2316" s="8" t="str">
        <f>"9781424471362"</f>
        <v>9781424471362</v>
      </c>
      <c r="C2316" s="8" t="s">
        <v>9</v>
      </c>
    </row>
    <row r="2317" spans="1:3" x14ac:dyDescent="0.25">
      <c r="A2317" s="8" t="str">
        <f>"2010 International Conference on System Science and Engineering, ICSSE 2010"</f>
        <v>2010 International Conference on System Science and Engineering, ICSSE 2010</v>
      </c>
      <c r="B2317" s="8" t="str">
        <f>"9781424464746"</f>
        <v>9781424464746</v>
      </c>
      <c r="C2317" s="8" t="s">
        <v>9</v>
      </c>
    </row>
    <row r="2318" spans="1:3" x14ac:dyDescent="0.25">
      <c r="A2318" s="8" t="str">
        <f>"2010 International Conference on Technology for Education, T4E 2010"</f>
        <v>2010 International Conference on Technology for Education, T4E 2010</v>
      </c>
      <c r="B2318" s="8" t="str">
        <f>"9781424473625"</f>
        <v>9781424473625</v>
      </c>
      <c r="C2318" s="8" t="s">
        <v>9</v>
      </c>
    </row>
    <row r="2319" spans="1:3" x14ac:dyDescent="0.25">
      <c r="A2319" s="8" t="str">
        <f>"2010 International Conference on Wavelet Analysis and Pattern Recognition, ICWAPR 2010"</f>
        <v>2010 International Conference on Wavelet Analysis and Pattern Recognition, ICWAPR 2010</v>
      </c>
      <c r="B2319" s="8" t="str">
        <f>"9781424465309"</f>
        <v>9781424465309</v>
      </c>
      <c r="C2319" s="8" t="s">
        <v>9</v>
      </c>
    </row>
    <row r="2320" spans="1:3" x14ac:dyDescent="0.25">
      <c r="A2320" s="8" t="str">
        <f>"2010 International Conference on Wireless Communication and Sensor Computing, ICWCSC 2010"</f>
        <v>2010 International Conference on Wireless Communication and Sensor Computing, ICWCSC 2010</v>
      </c>
      <c r="B2320" s="8" t="str">
        <f>"9781424451371"</f>
        <v>9781424451371</v>
      </c>
      <c r="C2320" s="8" t="s">
        <v>9</v>
      </c>
    </row>
    <row r="2321" spans="1:3" x14ac:dyDescent="0.25">
      <c r="A2321" s="8" t="str">
        <f>"2010 International Conference on Wireless Communications and Signal Processing, WCSP 2010"</f>
        <v>2010 International Conference on Wireless Communications and Signal Processing, WCSP 2010</v>
      </c>
      <c r="B2321" s="8" t="str">
        <f>"9781424475551"</f>
        <v>9781424475551</v>
      </c>
      <c r="C2321" s="8" t="s">
        <v>9</v>
      </c>
    </row>
    <row r="2322" spans="1:3" x14ac:dyDescent="0.25">
      <c r="A2322" s="8" t="str">
        <f>"2010 International Congress on Ultra Modern Telecommunications and Control Systems and Workshops, ICUMT 2010"</f>
        <v>2010 International Congress on Ultra Modern Telecommunications and Control Systems and Workshops, ICUMT 2010</v>
      </c>
      <c r="B2322" s="8" t="str">
        <f>"9781424472857"</f>
        <v>9781424472857</v>
      </c>
      <c r="C2322" s="8" t="s">
        <v>9</v>
      </c>
    </row>
    <row r="2323" spans="1:3" x14ac:dyDescent="0.25">
      <c r="A2323" s="8" t="str">
        <f>"2010 International Forum on Strategic Technology, IFOST 2010"</f>
        <v>2010 International Forum on Strategic Technology, IFOST 2010</v>
      </c>
      <c r="B2323" s="8" t="str">
        <f>"9781424490387"</f>
        <v>9781424490387</v>
      </c>
      <c r="C2323" s="8" t="s">
        <v>9</v>
      </c>
    </row>
    <row r="2324" spans="1:3" x14ac:dyDescent="0.25">
      <c r="A2324" s="8" t="str">
        <f>"2010 International ITG Conference on Source and Channel Coding, SCC 2010"</f>
        <v>2010 International ITG Conference on Source and Channel Coding, SCC 2010</v>
      </c>
      <c r="B2324" s="8" t="str">
        <f>"9781424468720"</f>
        <v>9781424468720</v>
      </c>
      <c r="C2324" s="8" t="s">
        <v>9</v>
      </c>
    </row>
    <row r="2325" spans="1:3" x14ac:dyDescent="0.25">
      <c r="A2325" s="8" t="str">
        <f>"2010 International ITG Workshop on Smart Antennas, WSA 2010"</f>
        <v>2010 International ITG Workshop on Smart Antennas, WSA 2010</v>
      </c>
      <c r="B2325" s="8" t="str">
        <f>"9781424460700"</f>
        <v>9781424460700</v>
      </c>
      <c r="C2325" s="8" t="s">
        <v>9</v>
      </c>
    </row>
    <row r="2326" spans="1:3" x14ac:dyDescent="0.25">
      <c r="A2326" s="8" t="str">
        <f>"2010 International Kharkov Symposium on Physics and Engineering of Microwaves, Millimeter and Submillimeter Waves, MSMW'2010"</f>
        <v>2010 International Kharkov Symposium on Physics and Engineering of Microwaves, Millimeter and Submillimeter Waves, MSMW'2010</v>
      </c>
      <c r="B2326" s="8" t="str">
        <f>"9781424478996"</f>
        <v>9781424478996</v>
      </c>
      <c r="C2326" s="8" t="s">
        <v>9</v>
      </c>
    </row>
    <row r="2327" spans="1:3" x14ac:dyDescent="0.25">
      <c r="A2327" s="8" t="str">
        <f>"2010 International Power Electronics Conference - ECCE Asia -, IPEC 2010"</f>
        <v>2010 International Power Electronics Conference - ECCE Asia -, IPEC 2010</v>
      </c>
      <c r="B2327" s="8" t="str">
        <f>"9781424453955"</f>
        <v>9781424453955</v>
      </c>
      <c r="C2327" s="8" t="s">
        <v>21</v>
      </c>
    </row>
    <row r="2328" spans="1:3" x14ac:dyDescent="0.25">
      <c r="A2328" s="8" t="str">
        <f>"2010 International Simulation Multi-Conference"</f>
        <v>2010 International Simulation Multi-Conference</v>
      </c>
      <c r="B2328" s="8" t="str">
        <f>"9781617386411"</f>
        <v>9781617386411</v>
      </c>
      <c r="C2328" s="8" t="s">
        <v>1362</v>
      </c>
    </row>
    <row r="2329" spans="1:3" x14ac:dyDescent="0.25">
      <c r="A2329" s="8" t="str">
        <f>"2010 International SoC Design Conference, ISOCC 2010"</f>
        <v>2010 International SoC Design Conference, ISOCC 2010</v>
      </c>
      <c r="B2329" s="8" t="str">
        <f>"9781424486335"</f>
        <v>9781424486335</v>
      </c>
      <c r="C2329" s="8" t="s">
        <v>9</v>
      </c>
    </row>
    <row r="2330" spans="1:3" x14ac:dyDescent="0.25">
      <c r="A2330" s="8" t="str">
        <f>"2010 International Symposium on Advanced Packaging Materials: Microtech, APM '10"</f>
        <v>2010 International Symposium on Advanced Packaging Materials: Microtech, APM '10</v>
      </c>
      <c r="B2330" s="8" t="str">
        <f>"9781424467563"</f>
        <v>9781424467563</v>
      </c>
      <c r="C2330" s="8" t="s">
        <v>9</v>
      </c>
    </row>
    <row r="2331" spans="1:3" x14ac:dyDescent="0.25">
      <c r="A2331" s="8" t="str">
        <f>"2010 International Symposium on Collaborative Technologies and Systems, CTS 2010"</f>
        <v>2010 International Symposium on Collaborative Technologies and Systems, CTS 2010</v>
      </c>
      <c r="B2331" s="8" t="str">
        <f>"9781424466191"</f>
        <v>9781424466191</v>
      </c>
      <c r="C2331" s="8" t="s">
        <v>9</v>
      </c>
    </row>
    <row r="2332" spans="1:3" x14ac:dyDescent="0.25">
      <c r="A2332" s="8" t="str">
        <f>"2010 International Symposium on Industrial Embedded Systems, SIES 2010 - Conference Proceedings"</f>
        <v>2010 International Symposium on Industrial Embedded Systems, SIES 2010 - Conference Proceedings</v>
      </c>
      <c r="B2332" s="8" t="str">
        <f>"-"</f>
        <v>-</v>
      </c>
      <c r="C2332" s="8" t="s">
        <v>9</v>
      </c>
    </row>
    <row r="2333" spans="1:3" x14ac:dyDescent="0.25">
      <c r="A2333" s="8" t="str">
        <f>"2010 International Symposium on Micro-NanoMechatronics and Human Science: From Micro and Nano Scale Systems to Robotics and Mechatronics Systems, MHS 2010, Micro-Nano GCOE 2010, Bio-Manipulation 2010"</f>
        <v>2010 International Symposium on Micro-NanoMechatronics and Human Science: From Micro and Nano Scale Systems to Robotics and Mechatronics Systems, MHS 2010, Micro-Nano GCOE 2010, Bio-Manipulation 2010</v>
      </c>
      <c r="B2333" s="8" t="str">
        <f>"9781424479962"</f>
        <v>9781424479962</v>
      </c>
      <c r="C2333" s="8" t="s">
        <v>9</v>
      </c>
    </row>
    <row r="2334" spans="1:3" x14ac:dyDescent="0.25">
      <c r="A2334" s="8" t="str">
        <f>"2010 International Symposium on Next-Generation Electronics, ISNE 2010 - Conference Program"</f>
        <v>2010 International Symposium on Next-Generation Electronics, ISNE 2010 - Conference Program</v>
      </c>
      <c r="B2334" s="8" t="str">
        <f>"9781424466948"</f>
        <v>9781424466948</v>
      </c>
      <c r="C2334" s="8" t="s">
        <v>9</v>
      </c>
    </row>
    <row r="2335" spans="1:3" x14ac:dyDescent="0.25">
      <c r="A2335" s="8" t="str">
        <f>"2010 International Symposium on Optomechatronic Technologies, ISOT 2010"</f>
        <v>2010 International Symposium on Optomechatronic Technologies, ISOT 2010</v>
      </c>
      <c r="B2335" s="8" t="str">
        <f>"9781424476848"</f>
        <v>9781424476848</v>
      </c>
      <c r="C2335" s="8" t="s">
        <v>9</v>
      </c>
    </row>
    <row r="2336" spans="1:3" x14ac:dyDescent="0.25">
      <c r="A2336" s="8" t="str">
        <f>"2010 International Symposium on System-on-Chip Proceedings, SoC 2010"</f>
        <v>2010 International Symposium on System-on-Chip Proceedings, SoC 2010</v>
      </c>
      <c r="B2336" s="8" t="str">
        <f>"9781424482764"</f>
        <v>9781424482764</v>
      </c>
      <c r="C2336" s="8" t="s">
        <v>9</v>
      </c>
    </row>
    <row r="2337" spans="1:3" x14ac:dyDescent="0.25">
      <c r="A2337" s="8" t="str">
        <f>"2010 International Symposium on Waterborne Pathogens"</f>
        <v>2010 International Symposium on Waterborne Pathogens</v>
      </c>
      <c r="B2337" s="8" t="str">
        <f>"9781583217917"</f>
        <v>9781583217917</v>
      </c>
      <c r="C2337" s="8" t="s">
        <v>651</v>
      </c>
    </row>
    <row r="2338" spans="1:3" x14ac:dyDescent="0.25">
      <c r="A2338" s="8" t="str">
        <f>"2010 International Waterside Security Conference, WSS 2010"</f>
        <v>2010 International Waterside Security Conference, WSS 2010</v>
      </c>
      <c r="B2338" s="8" t="str">
        <f>"9781424488940"</f>
        <v>9781424488940</v>
      </c>
      <c r="C2338" s="8" t="s">
        <v>9</v>
      </c>
    </row>
    <row r="2339" spans="1:3" x14ac:dyDescent="0.25">
      <c r="A2339" s="8" t="str">
        <f>"2010 International Waveform Diversity and Design Conference, WDD 2010"</f>
        <v>2010 International Waveform Diversity and Design Conference, WDD 2010</v>
      </c>
      <c r="B2339" s="8" t="str">
        <f>"9781424482009"</f>
        <v>9781424482009</v>
      </c>
      <c r="C2339" s="8" t="s">
        <v>9</v>
      </c>
    </row>
    <row r="2340" spans="1:3" x14ac:dyDescent="0.25">
      <c r="A2340" s="8" t="str">
        <f>"2010 International Workshop on Cognitive Radio, IWCR 2010"</f>
        <v>2010 International Workshop on Cognitive Radio, IWCR 2010</v>
      </c>
      <c r="B2340" s="8" t="str">
        <f>"9781424490998"</f>
        <v>9781424490998</v>
      </c>
      <c r="C2340" s="8" t="s">
        <v>9</v>
      </c>
    </row>
    <row r="2341" spans="1:3" x14ac:dyDescent="0.25">
      <c r="A2341" s="8" t="str">
        <f>"2010 Internet of Things, IoT 2010"</f>
        <v>2010 Internet of Things, IoT 2010</v>
      </c>
      <c r="B2341" s="8" t="str">
        <f>"9781424474158"</f>
        <v>9781424474158</v>
      </c>
      <c r="C2341" s="8" t="s">
        <v>9</v>
      </c>
    </row>
    <row r="2342" spans="1:3" x14ac:dyDescent="0.25">
      <c r="A2342" s="8" t="str">
        <f>"2010 IREP Symposium - Bulk Power System Dynamics and Control - VIII, IREP2010"</f>
        <v>2010 IREP Symposium - Bulk Power System Dynamics and Control - VIII, IREP2010</v>
      </c>
      <c r="B2342" s="8" t="str">
        <f>"9781424474677"</f>
        <v>9781424474677</v>
      </c>
      <c r="C2342" s="8" t="s">
        <v>9</v>
      </c>
    </row>
    <row r="2343" spans="1:3" x14ac:dyDescent="0.25">
      <c r="A2343" s="8" t="str">
        <f>"2010 IST-Africa"</f>
        <v>2010 IST-Africa</v>
      </c>
      <c r="B2343" s="8" t="str">
        <f>"9781905824199"</f>
        <v>9781905824199</v>
      </c>
      <c r="C2343" s="8" t="s">
        <v>9</v>
      </c>
    </row>
    <row r="2344" spans="1:3" x14ac:dyDescent="0.25">
      <c r="A2344" s="8" t="str">
        <f>"2010 Joint International Conference on Power Electronics, Drives and Energy Systems, PEDES 2010 and 2010 Power India"</f>
        <v>2010 Joint International Conference on Power Electronics, Drives and Energy Systems, PEDES 2010 and 2010 Power India</v>
      </c>
      <c r="B2344" s="8" t="str">
        <f>"9781424477821"</f>
        <v>9781424477821</v>
      </c>
      <c r="C2344" s="8" t="s">
        <v>9</v>
      </c>
    </row>
    <row r="2345" spans="1:3" x14ac:dyDescent="0.25">
      <c r="A2345" s="8" t="str">
        <f>"2010 Long Island Systems, Applications and Technology Conference, LISAT 10"</f>
        <v>2010 Long Island Systems, Applications and Technology Conference, LISAT 10</v>
      </c>
      <c r="B2345" s="8" t="str">
        <f>"9781424455508"</f>
        <v>9781424455508</v>
      </c>
      <c r="C2345" s="8" t="s">
        <v>9</v>
      </c>
    </row>
    <row r="2346" spans="1:3" x14ac:dyDescent="0.25">
      <c r="A2346" s="8" t="str">
        <f>"2010 Loughborough Antennas and Propagation Conference, LAPC 2010"</f>
        <v>2010 Loughborough Antennas and Propagation Conference, LAPC 2010</v>
      </c>
      <c r="B2346" s="8" t="str">
        <f>"9781424473052"</f>
        <v>9781424473052</v>
      </c>
      <c r="C2346" s="8" t="s">
        <v>9</v>
      </c>
    </row>
    <row r="2347" spans="1:3" x14ac:dyDescent="0.25">
      <c r="A2347" s="8" t="str">
        <f>"2010 NASA/ESA Conference on Adaptive Hardware and Systems, AHS 2010"</f>
        <v>2010 NASA/ESA Conference on Adaptive Hardware and Systems, AHS 2010</v>
      </c>
      <c r="B2347" s="8" t="str">
        <f>"9781424458875"</f>
        <v>9781424458875</v>
      </c>
      <c r="C2347" s="8" t="s">
        <v>9</v>
      </c>
    </row>
    <row r="2348" spans="1:3" x14ac:dyDescent="0.25">
      <c r="A2348" s="8" t="str">
        <f>"2010 National Conference on Electrical, Electronics and Computer Engineering, ELECO 2010"</f>
        <v>2010 National Conference on Electrical, Electronics and Computer Engineering, ELECO 2010</v>
      </c>
      <c r="B2348" s="8" t="str">
        <f>"9781424495887"</f>
        <v>9781424495887</v>
      </c>
      <c r="C2348" s="8" t="s">
        <v>9</v>
      </c>
    </row>
    <row r="2349" spans="1:3" x14ac:dyDescent="0.25">
      <c r="A2349" s="8" t="str">
        <f>"2010 OSA-IEEE-COS Advances in Optoelectronics and Micro/Nano-Optics, AOM 2010"</f>
        <v>2010 OSA-IEEE-COS Advances in Optoelectronics and Micro/Nano-Optics, AOM 2010</v>
      </c>
      <c r="B2349" s="8" t="str">
        <f>"9781424483938"</f>
        <v>9781424483938</v>
      </c>
      <c r="C2349" s="8" t="s">
        <v>9</v>
      </c>
    </row>
    <row r="2350" spans="1:3" x14ac:dyDescent="0.25">
      <c r="A2350" s="8" t="str">
        <f>"2010 Photonics Global Conference, PGC 2010"</f>
        <v>2010 Photonics Global Conference, PGC 2010</v>
      </c>
      <c r="B2350" s="8" t="str">
        <f>"9781424498826"</f>
        <v>9781424498826</v>
      </c>
      <c r="C2350" s="8" t="s">
        <v>9</v>
      </c>
    </row>
    <row r="2351" spans="1:3" x14ac:dyDescent="0.25">
      <c r="A2351" s="8" t="str">
        <f>"2010 Proceedings of the 12th Workshop on Algorithm Engineering and Experiments, ALENEX 2010"</f>
        <v>2010 Proceedings of the 12th Workshop on Algorithm Engineering and Experiments, ALENEX 2010</v>
      </c>
      <c r="B2351" s="8" t="str">
        <f>"9780898719314"</f>
        <v>9780898719314</v>
      </c>
      <c r="C2351" s="8" t="s">
        <v>249</v>
      </c>
    </row>
    <row r="2352" spans="1:3" x14ac:dyDescent="0.25">
      <c r="A2352" s="8" t="str">
        <f>"2010 Proceedings of the 5th International Conference on Cognitive Radio Oriented Wireless Networks and Communications, CROWNCom 2010"</f>
        <v>2010 Proceedings of the 5th International Conference on Cognitive Radio Oriented Wireless Networks and Communications, CROWNCom 2010</v>
      </c>
      <c r="B2352" s="8" t="str">
        <f>"9781424458868"</f>
        <v>9781424458868</v>
      </c>
      <c r="C2352" s="8" t="s">
        <v>9</v>
      </c>
    </row>
    <row r="2353" spans="1:3" x14ac:dyDescent="0.25">
      <c r="A2353" s="8" t="str">
        <f>"2010 Proceedings of the 5th International Conference on Ubiquitous Information Technologies and Applications, CUTE 2010"</f>
        <v>2010 Proceedings of the 5th International Conference on Ubiquitous Information Technologies and Applications, CUTE 2010</v>
      </c>
      <c r="B2353" s="8" t="str">
        <f>"9781424488124"</f>
        <v>9781424488124</v>
      </c>
      <c r="C2353" s="8" t="s">
        <v>9</v>
      </c>
    </row>
    <row r="2354" spans="1:3" x14ac:dyDescent="0.25">
      <c r="A2354" s="8" t="str">
        <f>"2010 Proceedings of the European Solid State Device Research Conference, ESSDERC 2010"</f>
        <v>2010 Proceedings of the European Solid State Device Research Conference, ESSDERC 2010</v>
      </c>
      <c r="B2354" s="8" t="str">
        <f>"9781424466610"</f>
        <v>9781424466610</v>
      </c>
      <c r="C2354" s="8" t="s">
        <v>9</v>
      </c>
    </row>
    <row r="2355" spans="1:3" x14ac:dyDescent="0.25">
      <c r="A2355" s="8" t="str">
        <f>"2010 Prognostics and System Health Management Conference, PHM '10"</f>
        <v>2010 Prognostics and System Health Management Conference, PHM '10</v>
      </c>
      <c r="B2355" s="8" t="str">
        <f>"9781424447565"</f>
        <v>9781424447565</v>
      </c>
      <c r="C2355" s="8" t="s">
        <v>9</v>
      </c>
    </row>
    <row r="2356" spans="1:3" x14ac:dyDescent="0.25">
      <c r="A2356" s="8" t="str">
        <f>"2010 Silicon Nanoelectronics Workshop, SNW 2010"</f>
        <v>2010 Silicon Nanoelectronics Workshop, SNW 2010</v>
      </c>
      <c r="B2356" s="8" t="str">
        <f>"9781424477272"</f>
        <v>9781424477272</v>
      </c>
      <c r="C2356" s="8" t="s">
        <v>9</v>
      </c>
    </row>
    <row r="2357" spans="1:3" x14ac:dyDescent="0.25">
      <c r="A2357" s="8" t="str">
        <f>"2010 Symposium on Photonics and Optoelectronic, SOPO 2010 - Proceedings"</f>
        <v>2010 Symposium on Photonics and Optoelectronic, SOPO 2010 - Proceedings</v>
      </c>
      <c r="B2357" s="8" t="str">
        <f>"9781424449644"</f>
        <v>9781424449644</v>
      </c>
      <c r="C2357" s="8" t="s">
        <v>9</v>
      </c>
    </row>
    <row r="2358" spans="1:3" x14ac:dyDescent="0.25">
      <c r="A2358" s="8" t="str">
        <f>"2010 TAPPI PEERS Conference and 9th Research Forum on Recycling"</f>
        <v>2010 TAPPI PEERS Conference and 9th Research Forum on Recycling</v>
      </c>
      <c r="B2358" s="8" t="str">
        <f>"9781617821967"</f>
        <v>9781617821967</v>
      </c>
      <c r="C2358" s="8" t="s">
        <v>1099</v>
      </c>
    </row>
    <row r="2359" spans="1:3" x14ac:dyDescent="0.25">
      <c r="A2359" s="8" t="str">
        <f>"2010 The 2nd International Conference on Computer and Automation Engineering, ICCAE 2010"</f>
        <v>2010 The 2nd International Conference on Computer and Automation Engineering, ICCAE 2010</v>
      </c>
      <c r="B2359" s="8" t="str">
        <f>"9781424455850"</f>
        <v>9781424455850</v>
      </c>
      <c r="C2359" s="8" t="s">
        <v>9</v>
      </c>
    </row>
    <row r="2360" spans="1:3" x14ac:dyDescent="0.25">
      <c r="A2360" s="8" t="str">
        <f>"2010 The 5th Annual ICST Wireless Internet Conference, WICON 2010"</f>
        <v>2010 The 5th Annual ICST Wireless Internet Conference, WICON 2010</v>
      </c>
      <c r="B2360" s="8" t="str">
        <f>"9789639799868"</f>
        <v>9789639799868</v>
      </c>
      <c r="C2360" s="8" t="s">
        <v>9</v>
      </c>
    </row>
    <row r="2361" spans="1:3" x14ac:dyDescent="0.25">
      <c r="A2361" s="8" t="str">
        <f>"2010 Ubiquitous Positioning Indoor Navigation and Location Based Service, UPINLBS 2010"</f>
        <v>2010 Ubiquitous Positioning Indoor Navigation and Location Based Service, UPINLBS 2010</v>
      </c>
      <c r="B2361" s="8" t="str">
        <f>"9781424478798"</f>
        <v>9781424478798</v>
      </c>
      <c r="C2361" s="8" t="s">
        <v>9</v>
      </c>
    </row>
    <row r="2362" spans="1:3" x14ac:dyDescent="0.25">
      <c r="A2362" s="8" t="str">
        <f>"2010 UK Workshop on Computational Intelligence, UKCI 2010"</f>
        <v>2010 UK Workshop on Computational Intelligence, UKCI 2010</v>
      </c>
      <c r="B2362" s="8" t="str">
        <f>"9781424487752"</f>
        <v>9781424487752</v>
      </c>
      <c r="C2362" s="8" t="s">
        <v>9</v>
      </c>
    </row>
    <row r="2363" spans="1:3" x14ac:dyDescent="0.25">
      <c r="A2363" s="8" t="str">
        <f>"2010 Western New York Image Processing Workshop, WNYIPW 2010 - Proceedings"</f>
        <v>2010 Western New York Image Processing Workshop, WNYIPW 2010 - Proceedings</v>
      </c>
      <c r="B2363" s="8" t="str">
        <f>"9781424493005"</f>
        <v>9781424493005</v>
      </c>
      <c r="C2363" s="8" t="s">
        <v>9</v>
      </c>
    </row>
    <row r="2364" spans="1:3" x14ac:dyDescent="0.25">
      <c r="A2364" s="8" t="str">
        <f>"2010 Wireless Telecommunications Symposium, WTS 2010"</f>
        <v>2010 Wireless Telecommunications Symposium, WTS 2010</v>
      </c>
      <c r="B2364" s="8" t="str">
        <f>"9781424465576"</f>
        <v>9781424465576</v>
      </c>
      <c r="C2364" s="8" t="s">
        <v>9</v>
      </c>
    </row>
    <row r="2365" spans="1:3" x14ac:dyDescent="0.25">
      <c r="A2365" s="8" t="str">
        <f>"2010 Workshop on Integrated Nonlinear Microwave and Millimetre-Wave Circuits, INMMiC 2010 - Conference Proceedings"</f>
        <v>2010 Workshop on Integrated Nonlinear Microwave and Millimetre-Wave Circuits, INMMiC 2010 - Conference Proceedings</v>
      </c>
      <c r="B2365" s="8" t="str">
        <f>"9781424474127"</f>
        <v>9781424474127</v>
      </c>
      <c r="C2365" s="8" t="s">
        <v>9</v>
      </c>
    </row>
    <row r="2366" spans="1:3" x14ac:dyDescent="0.25">
      <c r="A2366" s="8" t="str">
        <f>"2010 World Automation Congress, WAC 2010"</f>
        <v>2010 World Automation Congress, WAC 2010</v>
      </c>
      <c r="B2366" s="8" t="str">
        <f>"9781424496730"</f>
        <v>9781424496730</v>
      </c>
      <c r="C2366" s="8" t="s">
        <v>9</v>
      </c>
    </row>
    <row r="2367" spans="1:3" x14ac:dyDescent="0.25">
      <c r="A2367" s="8" t="str">
        <f>"2010 WRI International Conference on Communications and Mobile Computing, CMC 2010"</f>
        <v>2010 WRI International Conference on Communications and Mobile Computing, CMC 2010</v>
      </c>
      <c r="B2367" s="8" t="str">
        <f>"9780769539898"</f>
        <v>9780769539898</v>
      </c>
      <c r="C2367" s="8" t="s">
        <v>9</v>
      </c>
    </row>
    <row r="2368" spans="1:3" x14ac:dyDescent="0.25">
      <c r="A2368" s="8" t="str">
        <f>"2011 - International Conference on Signal Processing, Communication, Computing and Networking Technologies, ICSCCN-2011"</f>
        <v>2011 - International Conference on Signal Processing, Communication, Computing and Networking Technologies, ICSCCN-2011</v>
      </c>
      <c r="B2368" s="8" t="str">
        <f>"9781612846538"</f>
        <v>9781612846538</v>
      </c>
      <c r="C2368" s="8" t="s">
        <v>9</v>
      </c>
    </row>
    <row r="2369" spans="1:3" x14ac:dyDescent="0.25">
      <c r="A2369" s="8" t="str">
        <f>"2011 10th IEEE International Symposium on Mixed and Augmented Reality, ISMAR 2011"</f>
        <v>2011 10th IEEE International Symposium on Mixed and Augmented Reality, ISMAR 2011</v>
      </c>
      <c r="B2369" s="8" t="str">
        <f>"9781457721830"</f>
        <v>9781457721830</v>
      </c>
      <c r="C2369" s="8" t="s">
        <v>9</v>
      </c>
    </row>
    <row r="2370" spans="1:3" x14ac:dyDescent="0.25">
      <c r="A2370" s="8" t="str">
        <f>"2011 10th International Conference on Environment and Electrical Engineering, EEEIC.EU 2011 - Conference Proceedings"</f>
        <v>2011 10th International Conference on Environment and Electrical Engineering, EEEIC.EU 2011 - Conference Proceedings</v>
      </c>
      <c r="B2370" s="8" t="str">
        <f>"9781424487820"</f>
        <v>9781424487820</v>
      </c>
      <c r="C2370" s="8" t="s">
        <v>9</v>
      </c>
    </row>
    <row r="2371" spans="1:3" x14ac:dyDescent="0.25">
      <c r="A2371" s="8" t="str">
        <f>"2011 10th International Conference on Telecommunications in Modern Satellite, Cable and Broadcasting Services, TELSIKS 2011 - Proceedings of Papers"</f>
        <v>2011 10th International Conference on Telecommunications in Modern Satellite, Cable and Broadcasting Services, TELSIKS 2011 - Proceedings of Papers</v>
      </c>
      <c r="B2371" s="8" t="str">
        <f>"9781457720161"</f>
        <v>9781457720161</v>
      </c>
      <c r="C2371" s="8" t="s">
        <v>9</v>
      </c>
    </row>
    <row r="2372" spans="1:3" x14ac:dyDescent="0.25">
      <c r="A2372" s="8" t="str">
        <f>"2011 10th International Workshop on Electronics, Control, Measurement and Signals, ECMS 11"</f>
        <v>2011 10th International Workshop on Electronics, Control, Measurement and Signals, ECMS 11</v>
      </c>
      <c r="B2372" s="8" t="str">
        <f>"9781612843957"</f>
        <v>9781612843957</v>
      </c>
      <c r="C2372" s="8" t="s">
        <v>9</v>
      </c>
    </row>
    <row r="2373" spans="1:3" x14ac:dyDescent="0.25">
      <c r="A2373" s="8" t="str">
        <f>"2011 10th Workshop on Information Optics, WIO 2011"</f>
        <v>2011 10th Workshop on Information Optics, WIO 2011</v>
      </c>
      <c r="B2373" s="8" t="str">
        <f>"9781457712241"</f>
        <v>9781457712241</v>
      </c>
      <c r="C2373" s="8" t="s">
        <v>9</v>
      </c>
    </row>
    <row r="2374" spans="1:3" x14ac:dyDescent="0.25">
      <c r="A2374" s="8" t="str">
        <f>"2011 11th Annual International Conference on New Technologies of Distributed Systems, NOTERE 2011 - Proceedings"</f>
        <v>2011 11th Annual International Conference on New Technologies of Distributed Systems, NOTERE 2011 - Proceedings</v>
      </c>
      <c r="B2374" s="8" t="str">
        <f>"9781457707292"</f>
        <v>9781457707292</v>
      </c>
      <c r="C2374" s="8" t="s">
        <v>9</v>
      </c>
    </row>
    <row r="2375" spans="1:3" x14ac:dyDescent="0.25">
      <c r="A2375" s="8" t="str">
        <f>"2011 11th Annual Non-Volatile Memory Technology Symposium, NVMTS 2011"</f>
        <v>2011 11th Annual Non-Volatile Memory Technology Symposium, NVMTS 2011</v>
      </c>
      <c r="B2375" s="8" t="str">
        <f>"-"</f>
        <v>-</v>
      </c>
      <c r="C2375" s="8" t="s">
        <v>9</v>
      </c>
    </row>
    <row r="2376" spans="1:3" x14ac:dyDescent="0.25">
      <c r="A2376" s="8" t="str">
        <f>"2011 11th International Conference - The Experience of Designing and Application of CAD Systems in Microelectronics, CADSM 2011"</f>
        <v>2011 11th International Conference - The Experience of Designing and Application of CAD Systems in Microelectronics, CADSM 2011</v>
      </c>
      <c r="B2376" s="8" t="str">
        <f>"9789662191165"</f>
        <v>9789662191165</v>
      </c>
      <c r="C2376" s="8" t="s">
        <v>9</v>
      </c>
    </row>
    <row r="2377" spans="1:3" x14ac:dyDescent="0.25">
      <c r="A2377" s="8" t="str">
        <f>"2011 11th International Conference on ITS Telecommunications, ITST 2011"</f>
        <v>2011 11th International Conference on ITS Telecommunications, ITST 2011</v>
      </c>
      <c r="B2377" s="8" t="str">
        <f>"9781612846712"</f>
        <v>9781612846712</v>
      </c>
      <c r="C2377" s="8" t="s">
        <v>9</v>
      </c>
    </row>
    <row r="2378" spans="1:3" x14ac:dyDescent="0.25">
      <c r="A2378" s="8" t="str">
        <f>"2011 12th Int. Conf. on Thermal, Mechanical and Multi-Physics Simulation and Experiments in Microelectronics and Microsystems, EuroSimE 2011"</f>
        <v>2011 12th Int. Conf. on Thermal, Mechanical and Multi-Physics Simulation and Experiments in Microelectronics and Microsystems, EuroSimE 2011</v>
      </c>
      <c r="B2378" s="8" t="str">
        <f>"9781457701078"</f>
        <v>9781457701078</v>
      </c>
      <c r="C2378" s="8" t="s">
        <v>9</v>
      </c>
    </row>
    <row r="2379" spans="1:3" x14ac:dyDescent="0.25">
      <c r="A2379" s="8" t="str">
        <f>"2011 12th International Conference on Ultimate Integration on Silicon, ULIS 2011"</f>
        <v>2011 12th International Conference on Ultimate Integration on Silicon, ULIS 2011</v>
      </c>
      <c r="B2379" s="8" t="str">
        <f>"9781457700903"</f>
        <v>9781457700903</v>
      </c>
      <c r="C2379" s="8" t="s">
        <v>9</v>
      </c>
    </row>
    <row r="2380" spans="1:3" x14ac:dyDescent="0.25">
      <c r="A2380" s="8" t="str">
        <f>"2011 14th International Conference on Interactive Collaborative Learning, ICL 2011 - 11th International Conference Virtual University, VU'11"</f>
        <v>2011 14th International Conference on Interactive Collaborative Learning, ICL 2011 - 11th International Conference Virtual University, VU'11</v>
      </c>
      <c r="B2380" s="8" t="str">
        <f>"9781457717475"</f>
        <v>9781457717475</v>
      </c>
      <c r="C2380" s="8" t="s">
        <v>9</v>
      </c>
    </row>
    <row r="2381" spans="1:3" x14ac:dyDescent="0.25">
      <c r="A2381" s="8" t="str">
        <f>"2011 14th ITG Conference on Electronic Media Technology, CEMT 2011 - Conference Proceedings"</f>
        <v>2011 14th ITG Conference on Electronic Media Technology, CEMT 2011 - Conference Proceedings</v>
      </c>
      <c r="B2381" s="8" t="str">
        <f>"9783000348648"</f>
        <v>9783000348648</v>
      </c>
      <c r="C2381" s="8" t="s">
        <v>9</v>
      </c>
    </row>
    <row r="2382" spans="1:3" x14ac:dyDescent="0.25">
      <c r="A2382" s="8" t="str">
        <f>"2011 15th International Conference on Intelligence in Next Generation Networks, ICIN 2011"</f>
        <v>2011 15th International Conference on Intelligence in Next Generation Networks, ICIN 2011</v>
      </c>
      <c r="B2382" s="8" t="str">
        <f>"9781612843216"</f>
        <v>9781612843216</v>
      </c>
      <c r="C2382" s="8" t="s">
        <v>9</v>
      </c>
    </row>
    <row r="2383" spans="1:3" x14ac:dyDescent="0.25">
      <c r="A2383" s="8" t="str">
        <f>"2011 16th International Conference on Intelligent System Applications to Power Systems, ISAP 2011"</f>
        <v>2011 16th International Conference on Intelligent System Applications to Power Systems, ISAP 2011</v>
      </c>
      <c r="B2383" s="8" t="str">
        <f>"-"</f>
        <v>-</v>
      </c>
      <c r="C2383" s="8" t="s">
        <v>9</v>
      </c>
    </row>
    <row r="2384" spans="1:3" x14ac:dyDescent="0.25">
      <c r="A2384" s="8" t="str">
        <f>"2011 16th International Conference on Methods and Models in Automation and Robotics, MMAR 2011"</f>
        <v>2011 16th International Conference on Methods and Models in Automation and Robotics, MMAR 2011</v>
      </c>
      <c r="B2384" s="8" t="str">
        <f>"9781457709128"</f>
        <v>9781457709128</v>
      </c>
      <c r="C2384" s="8" t="s">
        <v>9</v>
      </c>
    </row>
    <row r="2385" spans="1:3" x14ac:dyDescent="0.25">
      <c r="A2385" s="8" t="str">
        <f>"2011 16th International Solid-State Sensors, Actuators and Microsystems Conference, TRANSDUCERS'11"</f>
        <v>2011 16th International Solid-State Sensors, Actuators and Microsystems Conference, TRANSDUCERS'11</v>
      </c>
      <c r="B2385" s="8" t="str">
        <f>"9781457701573"</f>
        <v>9781457701573</v>
      </c>
      <c r="C2385" s="8" t="s">
        <v>9</v>
      </c>
    </row>
    <row r="2386" spans="1:3" x14ac:dyDescent="0.25">
      <c r="A2386" s="8" t="str">
        <f>"2011 17th International Conference on Concurrent Enterprising, ICE 2011 - Conference Proceedings"</f>
        <v>2011 17th International Conference on Concurrent Enterprising, ICE 2011 - Conference Proceedings</v>
      </c>
      <c r="B2386" s="8" t="str">
        <f>"9783943024050"</f>
        <v>9783943024050</v>
      </c>
      <c r="C2386" s="8" t="s">
        <v>9</v>
      </c>
    </row>
    <row r="2387" spans="1:3" x14ac:dyDescent="0.25">
      <c r="A2387" s="8" t="str">
        <f>"2011 17th Korea-Japan Joint Workshop on Frontiers of Computer Vision, FCV 2011"</f>
        <v>2011 17th Korea-Japan Joint Workshop on Frontiers of Computer Vision, FCV 2011</v>
      </c>
      <c r="B2387" s="8" t="str">
        <f>"9781612846774"</f>
        <v>9781612846774</v>
      </c>
      <c r="C2387" s="8" t="s">
        <v>9</v>
      </c>
    </row>
    <row r="2388" spans="1:3" x14ac:dyDescent="0.25">
      <c r="A2388" s="8" t="str">
        <f>"2011 18th IEEE International Conference on Electronics, Circuits, and Systems, ICECS 2011"</f>
        <v>2011 18th IEEE International Conference on Electronics, Circuits, and Systems, ICECS 2011</v>
      </c>
      <c r="B2388" s="8" t="str">
        <f>"9781457718458"</f>
        <v>9781457718458</v>
      </c>
      <c r="C2388" s="8" t="s">
        <v>9</v>
      </c>
    </row>
    <row r="2389" spans="1:3" x14ac:dyDescent="0.25">
      <c r="A2389" s="8" t="str">
        <f>"2011 18th IEEE Symposium on Communications and Vehicular Technology in the Benelux, SCVT 2011"</f>
        <v>2011 18th IEEE Symposium on Communications and Vehicular Technology in the Benelux, SCVT 2011</v>
      </c>
      <c r="B2389" s="8" t="str">
        <f>"9781457712890"</f>
        <v>9781457712890</v>
      </c>
      <c r="C2389" s="8" t="s">
        <v>9</v>
      </c>
    </row>
    <row r="2390" spans="1:3" x14ac:dyDescent="0.25">
      <c r="A2390" s="8" t="str">
        <f>"2011 18th International Conference on Telecommunications, ICT 2011"</f>
        <v>2011 18th International Conference on Telecommunications, ICT 2011</v>
      </c>
      <c r="B2390" s="8" t="str">
        <f>"9781457700248"</f>
        <v>9781457700248</v>
      </c>
      <c r="C2390" s="8" t="s">
        <v>9</v>
      </c>
    </row>
    <row r="2391" spans="1:3" x14ac:dyDescent="0.25">
      <c r="A2391" s="8" t="str">
        <f>"2011 18th Iranian Conference of Biomedical Engineering, ICBME 2011"</f>
        <v>2011 18th Iranian Conference of Biomedical Engineering, ICBME 2011</v>
      </c>
      <c r="B2391" s="8" t="str">
        <f>"9781467310055"</f>
        <v>9781467310055</v>
      </c>
      <c r="C2391" s="8" t="s">
        <v>9</v>
      </c>
    </row>
    <row r="2392" spans="1:3" x14ac:dyDescent="0.25">
      <c r="A2392" s="8" t="str">
        <f>"2011 19th Iranian Conference on Electrical Engineering, ICEE 2011"</f>
        <v>2011 19th Iranian Conference on Electrical Engineering, ICEE 2011</v>
      </c>
      <c r="B2392" s="8" t="str">
        <f>"9789644634284"</f>
        <v>9789644634284</v>
      </c>
      <c r="C2392" s="8" t="s">
        <v>9</v>
      </c>
    </row>
    <row r="2393" spans="1:3" x14ac:dyDescent="0.25">
      <c r="A2393" s="8" t="str">
        <f>"2011 19th Mediterranean Conference on Control and Automation, MED 2011"</f>
        <v>2011 19th Mediterranean Conference on Control and Automation, MED 2011</v>
      </c>
      <c r="B2393" s="8" t="str">
        <f>"9781457701252"</f>
        <v>9781457701252</v>
      </c>
      <c r="C2393" s="8" t="s">
        <v>9</v>
      </c>
    </row>
    <row r="2394" spans="1:3" x14ac:dyDescent="0.25">
      <c r="A2394" s="8" t="str">
        <f>"2011 19th Telecommunications Forum, TELFOR 2011 - Proceedings of Papers"</f>
        <v>2011 19th Telecommunications Forum, TELFOR 2011 - Proceedings of Papers</v>
      </c>
      <c r="B2394" s="8" t="str">
        <f>"9781457714986"</f>
        <v>9781457714986</v>
      </c>
      <c r="C2394" s="8" t="s">
        <v>9</v>
      </c>
    </row>
    <row r="2395" spans="1:3" x14ac:dyDescent="0.25">
      <c r="A2395" s="8" t="str">
        <f>"2011 1st Global Online Laboratory Consortium Remote Laboratories Workshop, GOLC 2011"</f>
        <v>2011 1st Global Online Laboratory Consortium Remote Laboratories Workshop, GOLC 2011</v>
      </c>
      <c r="B2395" s="8" t="str">
        <f>"9781457719431"</f>
        <v>9781457719431</v>
      </c>
      <c r="C2395" s="8" t="s">
        <v>9</v>
      </c>
    </row>
    <row r="2396" spans="1:3" x14ac:dyDescent="0.25">
      <c r="A2396" s="8" t="str">
        <f>"2011 1st International Conference on Electric Power Equipment - Switching Technology, ICEPE2011 - Proceedings"</f>
        <v>2011 1st International Conference on Electric Power Equipment - Switching Technology, ICEPE2011 - Proceedings</v>
      </c>
      <c r="B2396" s="8" t="str">
        <f>"9781457712722"</f>
        <v>9781457712722</v>
      </c>
      <c r="C2396" s="8" t="s">
        <v>9</v>
      </c>
    </row>
    <row r="2397" spans="1:3" x14ac:dyDescent="0.25">
      <c r="A2397" s="8" t="str">
        <f>"2011 1st International Conference on Electrical Energy Systems, ICEES 2011"</f>
        <v>2011 1st International Conference on Electrical Energy Systems, ICEES 2011</v>
      </c>
      <c r="B2397" s="8" t="str">
        <f>"9781424497324"</f>
        <v>9781424497324</v>
      </c>
      <c r="C2397" s="8" t="s">
        <v>9</v>
      </c>
    </row>
    <row r="2398" spans="1:3" x14ac:dyDescent="0.25">
      <c r="A2398" s="8" t="str">
        <f>"2011 1st International eConference on Computer and Knowledge Engineering, ICCKE 2011"</f>
        <v>2011 1st International eConference on Computer and Knowledge Engineering, ICCKE 2011</v>
      </c>
      <c r="B2398" s="8" t="str">
        <f>"9781467357135"</f>
        <v>9781467357135</v>
      </c>
      <c r="C2398" s="8" t="s">
        <v>9</v>
      </c>
    </row>
    <row r="2399" spans="1:3" x14ac:dyDescent="0.25">
      <c r="A2399" s="8" t="str">
        <f>"2011 1st International Workshop on Requirements Engineering for Social Computing, RESC'11"</f>
        <v>2011 1st International Workshop on Requirements Engineering for Social Computing, RESC'11</v>
      </c>
      <c r="B2399" s="8" t="str">
        <f>"9781457709500"</f>
        <v>9781457709500</v>
      </c>
      <c r="C2399" s="8" t="s">
        <v>9</v>
      </c>
    </row>
    <row r="2400" spans="1:3" x14ac:dyDescent="0.25">
      <c r="A2400" s="8" t="str">
        <f>"2011 1st International Workshop on Requirements Patterns, RePa'11"</f>
        <v>2011 1st International Workshop on Requirements Patterns, RePa'11</v>
      </c>
      <c r="B2400" s="8" t="str">
        <f>"9781457710223"</f>
        <v>9781457710223</v>
      </c>
      <c r="C2400" s="8" t="s">
        <v>9</v>
      </c>
    </row>
    <row r="2401" spans="1:3" x14ac:dyDescent="0.25">
      <c r="A2401" s="8" t="str">
        <f>"2011 1st Middle East Conference on Biomedical Engineering, MECBME 2011"</f>
        <v>2011 1st Middle East Conference on Biomedical Engineering, MECBME 2011</v>
      </c>
      <c r="B2401" s="8" t="str">
        <f>"9781424470006"</f>
        <v>9781424470006</v>
      </c>
      <c r="C2401" s="8" t="s">
        <v>9</v>
      </c>
    </row>
    <row r="2402" spans="1:3" x14ac:dyDescent="0.25">
      <c r="A2402" s="8" t="str">
        <f>"2011 20th European Conference on Circuit Theory and Design, ECCTD 2011"</f>
        <v>2011 20th European Conference on Circuit Theory and Design, ECCTD 2011</v>
      </c>
      <c r="B2402" s="8" t="str">
        <f>"9781457706189"</f>
        <v>9781457706189</v>
      </c>
      <c r="C2402" s="8" t="s">
        <v>9</v>
      </c>
    </row>
    <row r="2403" spans="1:3" x14ac:dyDescent="0.25">
      <c r="A2403" s="8" t="str">
        <f>"2011 21st Australasian Universities Power Engineering Conference, AUPEC 2011"</f>
        <v>2011 21st Australasian Universities Power Engineering Conference, AUPEC 2011</v>
      </c>
      <c r="B2403" s="8" t="str">
        <f>"9781457717932"</f>
        <v>9781457717932</v>
      </c>
      <c r="C2403" s="8" t="s">
        <v>9</v>
      </c>
    </row>
    <row r="2404" spans="1:3" x14ac:dyDescent="0.25">
      <c r="A2404" s="8" t="str">
        <f>"2011 23rd International Symposium on Information, Communication and Automation Technologies, ICAT 2011"</f>
        <v>2011 23rd International Symposium on Information, Communication and Automation Technologies, ICAT 2011</v>
      </c>
      <c r="B2404" s="8" t="str">
        <f>"9781457707469"</f>
        <v>9781457707469</v>
      </c>
      <c r="C2404" s="8" t="s">
        <v>9</v>
      </c>
    </row>
    <row r="2405" spans="1:3" x14ac:dyDescent="0.25">
      <c r="A2405" s="8" t="str">
        <f>"2011 24th IEEE-CS Conference on Software Engineering Education and Training, CSEE and T 2011 - Proceedings"</f>
        <v>2011 24th IEEE-CS Conference on Software Engineering Education and Training, CSEE and T 2011 - Proceedings</v>
      </c>
      <c r="B2405" s="8" t="str">
        <f>"9781457703485"</f>
        <v>9781457703485</v>
      </c>
      <c r="C2405" s="8" t="s">
        <v>9</v>
      </c>
    </row>
    <row r="2406" spans="1:3" x14ac:dyDescent="0.25">
      <c r="A2406" s="8" t="str">
        <f>"2011 26th IEEE/ACM International Conference on Automated Software Engineering, ASE 2011, Proceedings"</f>
        <v>2011 26th IEEE/ACM International Conference on Automated Software Engineering, ASE 2011, Proceedings</v>
      </c>
      <c r="B2406" s="8" t="str">
        <f>"9781457716393"</f>
        <v>9781457716393</v>
      </c>
      <c r="C2406" s="8" t="s">
        <v>9</v>
      </c>
    </row>
    <row r="2407" spans="1:3" x14ac:dyDescent="0.25">
      <c r="A2407" s="8" t="str">
        <f>"2011 2nd International Conference on Artificial Intelligence, Management Science and Electronic Commerce, AIMSEC 2011 - Proceedings"</f>
        <v>2011 2nd International Conference on Artificial Intelligence, Management Science and Electronic Commerce, AIMSEC 2011 - Proceedings</v>
      </c>
      <c r="B2407" s="8" t="str">
        <f>"9781457705366"</f>
        <v>9781457705366</v>
      </c>
      <c r="C2407" s="8" t="s">
        <v>9</v>
      </c>
    </row>
    <row r="2408" spans="1:3" x14ac:dyDescent="0.25">
      <c r="A2408" s="8" t="str">
        <f>"2011 2nd International Conference on Cognitive Infocommunications, CogInfoCom 2011"</f>
        <v>2011 2nd International Conference on Cognitive Infocommunications, CogInfoCom 2011</v>
      </c>
      <c r="B2408" s="8" t="str">
        <f>"9781457718069"</f>
        <v>9781457718069</v>
      </c>
      <c r="C2408" s="8" t="s">
        <v>21</v>
      </c>
    </row>
    <row r="2409" spans="1:3" x14ac:dyDescent="0.25">
      <c r="A2409" s="8" t="str">
        <f>"2011 2nd International Conference on Computer and Communication Technology, ICCCT-2011"</f>
        <v>2011 2nd International Conference on Computer and Communication Technology, ICCCT-2011</v>
      </c>
      <c r="B2409" s="8" t="str">
        <f>"9781457713866"</f>
        <v>9781457713866</v>
      </c>
      <c r="C2409" s="8" t="s">
        <v>9</v>
      </c>
    </row>
    <row r="2410" spans="1:3" x14ac:dyDescent="0.25">
      <c r="A2410" s="8" t="str">
        <f>"2011 2nd International Conference on Control, Instrumentation and Automation, ICCIA 2011"</f>
        <v>2011 2nd International Conference on Control, Instrumentation and Automation, ICCIA 2011</v>
      </c>
      <c r="B2410" s="8" t="str">
        <f>"9781467316897"</f>
        <v>9781467316897</v>
      </c>
      <c r="C2410" s="8" t="s">
        <v>9</v>
      </c>
    </row>
    <row r="2411" spans="1:3" x14ac:dyDescent="0.25">
      <c r="A2411" s="8" t="str">
        <f>"2011 2nd International Conference on Electric Power and Energy Conversion Systems, EPECS 2011"</f>
        <v>2011 2nd International Conference on Electric Power and Energy Conversion Systems, EPECS 2011</v>
      </c>
      <c r="B2411" s="8" t="str">
        <f>"9781457708060"</f>
        <v>9781457708060</v>
      </c>
      <c r="C2411" s="8" t="s">
        <v>9</v>
      </c>
    </row>
    <row r="2412" spans="1:3" x14ac:dyDescent="0.25">
      <c r="A2412" s="8" t="str">
        <f>"2011 2nd International Conference on Mechanic Automation and Control Engineering, MACE 2011 - Proceedings"</f>
        <v>2011 2nd International Conference on Mechanic Automation and Control Engineering, MACE 2011 - Proceedings</v>
      </c>
      <c r="B2412" s="8" t="str">
        <f>"9781424494392"</f>
        <v>9781424494392</v>
      </c>
      <c r="C2412" s="8" t="s">
        <v>9</v>
      </c>
    </row>
    <row r="2413" spans="1:3" x14ac:dyDescent="0.25">
      <c r="A2413" s="8" t="str">
        <f>"2011 2nd International Conference on Wireless Communication, Vehicular Technology, Information Theory and Aerospace and Electronic Systems Technology, Wireless VITAE 2011"</f>
        <v>2011 2nd International Conference on Wireless Communication, Vehicular Technology, Information Theory and Aerospace and Electronic Systems Technology, Wireless VITAE 2011</v>
      </c>
      <c r="B2413" s="8" t="str">
        <f>"9781457707872"</f>
        <v>9781457707872</v>
      </c>
      <c r="C2413" s="8" t="s">
        <v>9</v>
      </c>
    </row>
    <row r="2414" spans="1:3" x14ac:dyDescent="0.25">
      <c r="A2414" s="8" t="str">
        <f>"2011 2nd National Conference on Telecommunications, CONATEL 2011 - Proceedings"</f>
        <v>2011 2nd National Conference on Telecommunications, CONATEL 2011 - Proceedings</v>
      </c>
      <c r="B2414" s="8" t="str">
        <f>"9781457710476"</f>
        <v>9781457710476</v>
      </c>
      <c r="C2414" s="8" t="s">
        <v>9</v>
      </c>
    </row>
    <row r="2415" spans="1:3" x14ac:dyDescent="0.25">
      <c r="A2415" s="8" t="str">
        <f>"2011 2nd Power Electronics, Drive Systems and Technologies Conference, PEDSTC 2011"</f>
        <v>2011 2nd Power Electronics, Drive Systems and Technologies Conference, PEDSTC 2011</v>
      </c>
      <c r="B2415" s="8" t="str">
        <f>"9781612844213"</f>
        <v>9781612844213</v>
      </c>
      <c r="C2415" s="8" t="s">
        <v>9</v>
      </c>
    </row>
    <row r="2416" spans="1:3" x14ac:dyDescent="0.25">
      <c r="A2416" s="8" t="str">
        <f>"2011 2nd Worldwide Cybersecurity Summit, WCS 2011"</f>
        <v>2011 2nd Worldwide Cybersecurity Summit, WCS 2011</v>
      </c>
      <c r="B2416" s="8" t="str">
        <f>"9780615516080"</f>
        <v>9780615516080</v>
      </c>
      <c r="C2416" s="8" t="s">
        <v>9</v>
      </c>
    </row>
    <row r="2417" spans="1:3" x14ac:dyDescent="0.25">
      <c r="A2417" s="8" t="str">
        <f>"2011 30th URSI General Assembly and Scientific Symposium, URSIGASS 2011"</f>
        <v>2011 30th URSI General Assembly and Scientific Symposium, URSIGASS 2011</v>
      </c>
      <c r="B2417" s="8" t="str">
        <f>"9781424451173"</f>
        <v>9781424451173</v>
      </c>
      <c r="C2417" s="8" t="s">
        <v>9</v>
      </c>
    </row>
    <row r="2418" spans="1:3" x14ac:dyDescent="0.25">
      <c r="A2418" s="8" t="str">
        <f>"2011 34th IEEE Sarnoff Symposium, SARNOFF 2011"</f>
        <v>2011 34th IEEE Sarnoff Symposium, SARNOFF 2011</v>
      </c>
      <c r="B2418" s="8" t="str">
        <f>"9781612846811"</f>
        <v>9781612846811</v>
      </c>
      <c r="C2418" s="8" t="s">
        <v>9</v>
      </c>
    </row>
    <row r="2419" spans="1:3" x14ac:dyDescent="0.25">
      <c r="A2419" s="8" t="str">
        <f>"2011 34th International Conference on Telecommunications and Signal Processing, TSP 2011 - Proceedings"</f>
        <v>2011 34th International Conference on Telecommunications and Signal Processing, TSP 2011 - Proceedings</v>
      </c>
      <c r="B2419" s="8" t="str">
        <f>"9781457714115"</f>
        <v>9781457714115</v>
      </c>
      <c r="C2419" s="8" t="s">
        <v>9</v>
      </c>
    </row>
    <row r="2420" spans="1:3" x14ac:dyDescent="0.25">
      <c r="A2420" s="8" t="str">
        <f>"2011 3rd Computer Science and Electronic Engineering Conference, CEEC'11"</f>
        <v>2011 3rd Computer Science and Electronic Engineering Conference, CEEC'11</v>
      </c>
      <c r="B2420" s="8" t="str">
        <f>"9781457713019"</f>
        <v>9781457713019</v>
      </c>
      <c r="C2420" s="8" t="s">
        <v>9</v>
      </c>
    </row>
    <row r="2421" spans="1:3" x14ac:dyDescent="0.25">
      <c r="A2421" s="8" t="str">
        <f>"2011 3rd IEEE International Memory Workshop, IMW 2011"</f>
        <v>2011 3rd IEEE International Memory Workshop, IMW 2011</v>
      </c>
      <c r="B2421" s="8" t="str">
        <f>"9781457702266"</f>
        <v>9781457702266</v>
      </c>
      <c r="C2421" s="8" t="s">
        <v>9</v>
      </c>
    </row>
    <row r="2422" spans="1:3" x14ac:dyDescent="0.25">
      <c r="A2422" s="8" t="str">
        <f>"2011 3rd International Asia-Pacific Conference on Synthetic Aperture Radar, APSAR 2011"</f>
        <v>2011 3rd International Asia-Pacific Conference on Synthetic Aperture Radar, APSAR 2011</v>
      </c>
      <c r="B2422" s="8" t="str">
        <f>"9788993246179"</f>
        <v>9788993246179</v>
      </c>
      <c r="C2422" s="8" t="s">
        <v>9</v>
      </c>
    </row>
    <row r="2423" spans="1:3" x14ac:dyDescent="0.25">
      <c r="A2423" s="8" t="str">
        <f>"2011 3rd International Conference on Advanced Computer Control, ICACC 2011"</f>
        <v>2011 3rd International Conference on Advanced Computer Control, ICACC 2011</v>
      </c>
      <c r="B2423" s="8" t="str">
        <f>"9781424488087"</f>
        <v>9781424488087</v>
      </c>
      <c r="C2423" s="8" t="s">
        <v>9</v>
      </c>
    </row>
    <row r="2424" spans="1:3" x14ac:dyDescent="0.25">
      <c r="A2424" s="8" t="str">
        <f>"2011 3rd International Conference on Communication Systems and Networks, COMSNETS 2011"</f>
        <v>2011 3rd International Conference on Communication Systems and Networks, COMSNETS 2011</v>
      </c>
      <c r="B2424" s="8" t="str">
        <f>"9781424489534"</f>
        <v>9781424489534</v>
      </c>
      <c r="C2424" s="8" t="s">
        <v>9</v>
      </c>
    </row>
    <row r="2425" spans="1:3" x14ac:dyDescent="0.25">
      <c r="A2425" s="8" t="str">
        <f>"2011 3rd International Conference on Cyber Conflict, ICCC 2011 - Proceedings"</f>
        <v>2011 3rd International Conference on Cyber Conflict, ICCC 2011 - Proceedings</v>
      </c>
      <c r="B2425" s="8" t="str">
        <f>"9789949904020"</f>
        <v>9789949904020</v>
      </c>
      <c r="C2425" s="8" t="s">
        <v>9</v>
      </c>
    </row>
    <row r="2426" spans="1:3" x14ac:dyDescent="0.25">
      <c r="A2426" s="8" t="str">
        <f>"2011 3rd International Conference on Next Generation Networks and Services, NGNS'2011"</f>
        <v>2011 3rd International Conference on Next Generation Networks and Services, NGNS'2011</v>
      </c>
      <c r="B2426" s="8" t="str">
        <f>"9781467301398"</f>
        <v>9781467301398</v>
      </c>
      <c r="C2426" s="8" t="s">
        <v>9</v>
      </c>
    </row>
    <row r="2427" spans="1:3" x14ac:dyDescent="0.25">
      <c r="A2427" s="8" t="str">
        <f>"2011 3rd International Congress on Engineering Education: Rethinking Engineering Education, The Way Forward, ICEED 2011"</f>
        <v>2011 3rd International Congress on Engineering Education: Rethinking Engineering Education, The Way Forward, ICEED 2011</v>
      </c>
      <c r="B2427" s="8" t="str">
        <f>"9781457712593"</f>
        <v>9781457712593</v>
      </c>
      <c r="C2427" s="8" t="s">
        <v>9</v>
      </c>
    </row>
    <row r="2428" spans="1:3" x14ac:dyDescent="0.25">
      <c r="A2428" s="8" t="str">
        <f>"2011 3rd International Workshop on Cross Layer Design, IWCLD 2011"</f>
        <v>2011 3rd International Workshop on Cross Layer Design, IWCLD 2011</v>
      </c>
      <c r="B2428" s="8" t="str">
        <f>"9781457715686"</f>
        <v>9781457715686</v>
      </c>
      <c r="C2428" s="8" t="s">
        <v>9</v>
      </c>
    </row>
    <row r="2429" spans="1:3" x14ac:dyDescent="0.25">
      <c r="A2429" s="8" t="str">
        <f>"2011 3rd International Workshop on Dependable Control of Discrete Systems, DCDS'11 - Conference Proceedings"</f>
        <v>2011 3rd International Workshop on Dependable Control of Discrete Systems, DCDS'11 - Conference Proceedings</v>
      </c>
      <c r="B2429" s="8" t="str">
        <f>"9781424489701"</f>
        <v>9781424489701</v>
      </c>
      <c r="C2429" s="8" t="s">
        <v>9</v>
      </c>
    </row>
    <row r="2430" spans="1:3" x14ac:dyDescent="0.25">
      <c r="A2430" s="8" t="str">
        <f>"2011 3rd International Workshop on Intelligent Systems and Applications, ISA 2011 - Proceedings"</f>
        <v>2011 3rd International Workshop on Intelligent Systems and Applications, ISA 2011 - Proceedings</v>
      </c>
      <c r="B2430" s="8" t="str">
        <f>"9781424498574"</f>
        <v>9781424498574</v>
      </c>
      <c r="C2430" s="8" t="s">
        <v>9</v>
      </c>
    </row>
    <row r="2431" spans="1:3" x14ac:dyDescent="0.25">
      <c r="A2431" s="8" t="str">
        <f>"2011 3rd International Workshop on Quality of Multimedia Experience, QoMEX 2011"</f>
        <v>2011 3rd International Workshop on Quality of Multimedia Experience, QoMEX 2011</v>
      </c>
      <c r="B2431" s="8" t="str">
        <f>"9781457713354"</f>
        <v>9781457713354</v>
      </c>
      <c r="C2431" s="8" t="s">
        <v>9</v>
      </c>
    </row>
    <row r="2432" spans="1:3" x14ac:dyDescent="0.25">
      <c r="A2432" s="8" t="str">
        <f>"2011 45th Annual Conference on Information Sciences and Systems, CISS 2011"</f>
        <v>2011 45th Annual Conference on Information Sciences and Systems, CISS 2011</v>
      </c>
      <c r="B2432" s="8" t="str">
        <f>"9781424498475"</f>
        <v>9781424498475</v>
      </c>
      <c r="C2432" s="8" t="s">
        <v>9</v>
      </c>
    </row>
    <row r="2433" spans="1:3" x14ac:dyDescent="0.25">
      <c r="A2433" s="8" t="str">
        <f>"2011 49th Annual Allerton Conference on Communication, Control, and Computing, Allerton 2011"</f>
        <v>2011 49th Annual Allerton Conference on Communication, Control, and Computing, Allerton 2011</v>
      </c>
      <c r="B2433" s="8" t="str">
        <f>"9781457718168"</f>
        <v>9781457718168</v>
      </c>
      <c r="C2433" s="8" t="s">
        <v>9</v>
      </c>
    </row>
    <row r="2434" spans="1:3" x14ac:dyDescent="0.25">
      <c r="A2434" s="8" t="str">
        <f>"2011 4th IEEE International Workshop on Computational Advances in Multi-Sensor Adaptive Processing, CAMSAP 2011"</f>
        <v>2011 4th IEEE International Workshop on Computational Advances in Multi-Sensor Adaptive Processing, CAMSAP 2011</v>
      </c>
      <c r="B2434" s="8" t="str">
        <f>"9781457721052"</f>
        <v>9781457721052</v>
      </c>
      <c r="C2434" s="8" t="s">
        <v>9</v>
      </c>
    </row>
    <row r="2435" spans="1:3" x14ac:dyDescent="0.25">
      <c r="A2435" s="8" t="str">
        <f>"2011 4th IFIP International Conference on New Technologies, Mobility and Security, NTMS 2011 - Proceedings"</f>
        <v>2011 4th IFIP International Conference on New Technologies, Mobility and Security, NTMS 2011 - Proceedings</v>
      </c>
      <c r="B2435" s="8" t="str">
        <f>"9781424487042"</f>
        <v>9781424487042</v>
      </c>
      <c r="C2435" s="8" t="s">
        <v>9</v>
      </c>
    </row>
    <row r="2436" spans="1:3" x14ac:dyDescent="0.25">
      <c r="A2436" s="8" t="str">
        <f>"2011 4th Int. Workshop on Multimedia and Enjoyable Requirements Eng. - Beyond Mere Descriptions and with More Fun and Games, MERE'11 - Co-located with the 19th IEEE Int. Requirements Eng. Conf., RE'11"</f>
        <v>2011 4th Int. Workshop on Multimedia and Enjoyable Requirements Eng. - Beyond Mere Descriptions and with More Fun and Games, MERE'11 - Co-located with the 19th IEEE Int. Requirements Eng. Conf., RE'11</v>
      </c>
      <c r="B2436" s="8" t="str">
        <f>"9781457709340"</f>
        <v>9781457709340</v>
      </c>
      <c r="C2436" s="8" t="s">
        <v>9</v>
      </c>
    </row>
    <row r="2437" spans="1:3" x14ac:dyDescent="0.25">
      <c r="A2437" s="8" t="str">
        <f>"2011 4th International Conference on Logistics, LOGISTIQUA'2011"</f>
        <v>2011 4th International Conference on Logistics, LOGISTIQUA'2011</v>
      </c>
      <c r="B2437" s="8" t="str">
        <f>"9781457703249"</f>
        <v>9781457703249</v>
      </c>
      <c r="C2437" s="8" t="s">
        <v>9</v>
      </c>
    </row>
    <row r="2438" spans="1:3" x14ac:dyDescent="0.25">
      <c r="A2438" s="8" t="str">
        <f>"2011 4th International Conference on Mechatronics: Integrated Engineering for Industrial and Societal Development, ICOM'11 - Conference Proceedings"</f>
        <v>2011 4th International Conference on Mechatronics: Integrated Engineering for Industrial and Societal Development, ICOM'11 - Conference Proceedings</v>
      </c>
      <c r="B2438" s="8" t="str">
        <f>"-"</f>
        <v>-</v>
      </c>
      <c r="C2438" s="8" t="s">
        <v>9</v>
      </c>
    </row>
    <row r="2439" spans="1:3" x14ac:dyDescent="0.25">
      <c r="A2439" s="8" t="str">
        <f>"2011 4th International Conference on Modeling, Simulation and Applied Optimization, ICMSAO 2011"</f>
        <v>2011 4th International Conference on Modeling, Simulation and Applied Optimization, ICMSAO 2011</v>
      </c>
      <c r="B2439" s="8" t="str">
        <f>"9781457700057"</f>
        <v>9781457700057</v>
      </c>
      <c r="C2439" s="8" t="s">
        <v>9</v>
      </c>
    </row>
    <row r="2440" spans="1:3" x14ac:dyDescent="0.25">
      <c r="A2440" s="8" t="str">
        <f>"2011 4th International Conference on Power Electronics Systems and Applications, PESA 2011"</f>
        <v>2011 4th International Conference on Power Electronics Systems and Applications, PESA 2011</v>
      </c>
      <c r="B2440" s="8" t="str">
        <f>"9781457702051"</f>
        <v>9781457702051</v>
      </c>
      <c r="C2440" s="8" t="s">
        <v>9</v>
      </c>
    </row>
    <row r="2441" spans="1:3" x14ac:dyDescent="0.25">
      <c r="A2441" s="8" t="str">
        <f>"2011 4th International Symposium on Innovation in Information and Communication Technology, ISIICT'2011"</f>
        <v>2011 4th International Symposium on Innovation in Information and Communication Technology, ISIICT'2011</v>
      </c>
      <c r="B2441" s="8" t="str">
        <f>"-"</f>
        <v>-</v>
      </c>
      <c r="C2441" s="8" t="s">
        <v>9</v>
      </c>
    </row>
    <row r="2442" spans="1:3" x14ac:dyDescent="0.25">
      <c r="A2442" s="8" t="str">
        <f>"2011 4th International Workshop on Managing Requirements Knowledge, MaRK'11 - Part of the 19th IEEE International Requirements Engineering Conference, RE'11"</f>
        <v>2011 4th International Workshop on Managing Requirements Knowledge, MaRK'11 - Part of the 19th IEEE International Requirements Engineering Conference, RE'11</v>
      </c>
      <c r="B2442" s="8" t="str">
        <f>"9781457709388"</f>
        <v>9781457709388</v>
      </c>
      <c r="C2442" s="8" t="s">
        <v>9</v>
      </c>
    </row>
    <row r="2443" spans="1:3" x14ac:dyDescent="0.25">
      <c r="A2443" s="8" t="str">
        <f>"2011 4th International Workshop on Requirements Engineering and Law, RELAW 2011, Proceedings - Held in Conjunction with the 19th International Requirements Engineering Conference"</f>
        <v>2011 4th International Workshop on Requirements Engineering and Law, RELAW 2011, Proceedings - Held in Conjunction with the 19th International Requirements Engineering Conference</v>
      </c>
      <c r="B2443" s="8" t="str">
        <f>"9781457709470"</f>
        <v>9781457709470</v>
      </c>
      <c r="C2443" s="8" t="s">
        <v>9</v>
      </c>
    </row>
    <row r="2444" spans="1:3" x14ac:dyDescent="0.25">
      <c r="A2444" s="8" t="str">
        <f>"2011 4th Symposium on Configuration Analytics and Automation, SAFECONFIG 2011"</f>
        <v>2011 4th Symposium on Configuration Analytics and Automation, SAFECONFIG 2011</v>
      </c>
      <c r="B2444" s="8" t="str">
        <f>"9781467304016"</f>
        <v>9781467304016</v>
      </c>
      <c r="C2444" s="8" t="s">
        <v>9</v>
      </c>
    </row>
    <row r="2445" spans="1:3" x14ac:dyDescent="0.25">
      <c r="A2445" s="8" t="s">
        <v>1363</v>
      </c>
      <c r="B2445" s="8" t="str">
        <f>"9781457712098"</f>
        <v>9781457712098</v>
      </c>
      <c r="C2445" s="8" t="s">
        <v>9</v>
      </c>
    </row>
    <row r="2446" spans="1:3" x14ac:dyDescent="0.25">
      <c r="A2446" s="8" t="str">
        <f>"2011 5th ACM/IEEE International Conference on Distributed Smart Cameras, ICDSC 2011"</f>
        <v>2011 5th ACM/IEEE International Conference on Distributed Smart Cameras, ICDSC 2011</v>
      </c>
      <c r="B2446" s="8" t="str">
        <f>"9781457717086"</f>
        <v>9781457717086</v>
      </c>
      <c r="C2446" s="8" t="s">
        <v>9</v>
      </c>
    </row>
    <row r="2447" spans="1:3" x14ac:dyDescent="0.25">
      <c r="A2447" s="8" t="str">
        <f>"2011 5th International Association for China Planning Conference, IACP 2011"</f>
        <v>2011 5th International Association for China Planning Conference, IACP 2011</v>
      </c>
      <c r="B2447" s="8" t="str">
        <f>"9781457713965"</f>
        <v>9781457713965</v>
      </c>
      <c r="C2447" s="8" t="s">
        <v>9</v>
      </c>
    </row>
    <row r="2448" spans="1:3" x14ac:dyDescent="0.25">
      <c r="A2448" s="8" t="str">
        <f>"2011 5th International Conference on Application of Information and Communication Technologies, AICT 2011"</f>
        <v>2011 5th International Conference on Application of Information and Communication Technologies, AICT 2011</v>
      </c>
      <c r="B2448" s="8" t="str">
        <f>"9781612848310"</f>
        <v>9781612848310</v>
      </c>
      <c r="C2448" s="8" t="s">
        <v>9</v>
      </c>
    </row>
    <row r="2449" spans="1:3" x14ac:dyDescent="0.25">
      <c r="A2449" s="8" t="str">
        <f>"2011 5th International Conference on Pervasive Computing Technologies for Healthcare and Workshops, PervasiveHealth 2011"</f>
        <v>2011 5th International Conference on Pervasive Computing Technologies for Healthcare and Workshops, PervasiveHealth 2011</v>
      </c>
      <c r="B2449" s="8" t="str">
        <f>"9781936968152"</f>
        <v>9781936968152</v>
      </c>
      <c r="C2449" s="8" t="s">
        <v>9</v>
      </c>
    </row>
    <row r="2450" spans="1:3" x14ac:dyDescent="0.25">
      <c r="A2450" s="8" t="str">
        <f>"2011 5th International Conference on Secure Software Integration and Reliability Improvement - Companion, SSIRI-C 2011"</f>
        <v>2011 5th International Conference on Secure Software Integration and Reliability Improvement - Companion, SSIRI-C 2011</v>
      </c>
      <c r="B2450" s="8" t="str">
        <f>"9780769544540"</f>
        <v>9780769544540</v>
      </c>
      <c r="C2450" s="8" t="s">
        <v>9</v>
      </c>
    </row>
    <row r="2451" spans="1:3" x14ac:dyDescent="0.25">
      <c r="A2451" s="8" t="str">
        <f>"2011 5th International DMTF Academic Alliance Workshop on Systems and Virtualization Management: Standards and the Cloud, SVM 2011"</f>
        <v>2011 5th International DMTF Academic Alliance Workshop on Systems and Virtualization Management: Standards and the Cloud, SVM 2011</v>
      </c>
      <c r="B2451" s="8" t="str">
        <f>"9781457718106"</f>
        <v>9781457718106</v>
      </c>
      <c r="C2451" s="8" t="s">
        <v>9</v>
      </c>
    </row>
    <row r="2452" spans="1:3" x14ac:dyDescent="0.25">
      <c r="A2452" s="8" t="str">
        <f>"2011 5th International IEEE/EMBS Conference on Neural Engineering, NER 2011"</f>
        <v>2011 5th International IEEE/EMBS Conference on Neural Engineering, NER 2011</v>
      </c>
      <c r="B2452" s="8" t="str">
        <f>"9781424441402"</f>
        <v>9781424441402</v>
      </c>
      <c r="C2452" s="8" t="s">
        <v>9</v>
      </c>
    </row>
    <row r="2453" spans="1:3" x14ac:dyDescent="0.25">
      <c r="A2453" s="8" t="str">
        <f>"2011 5th International Power Engineering and Optimization Conference, PEOCO 2011 - Program and Abstracts"</f>
        <v>2011 5th International Power Engineering and Optimization Conference, PEOCO 2011 - Program and Abstracts</v>
      </c>
      <c r="B2453" s="8" t="str">
        <f>"9781457703546"</f>
        <v>9781457703546</v>
      </c>
      <c r="C2453" s="8" t="s">
        <v>9</v>
      </c>
    </row>
    <row r="2454" spans="1:3" x14ac:dyDescent="0.25">
      <c r="A2454" s="8" t="str">
        <f>"2011 5th International Symposium on Medical Information and Communication Technology, ISMICT 2011"</f>
        <v>2011 5th International Symposium on Medical Information and Communication Technology, ISMICT 2011</v>
      </c>
      <c r="B2454" s="8" t="str">
        <f>"9781424494439"</f>
        <v>9781424494439</v>
      </c>
      <c r="C2454" s="8" t="s">
        <v>9</v>
      </c>
    </row>
    <row r="2455" spans="1:3" x14ac:dyDescent="0.25">
      <c r="A2455" s="8" t="str">
        <f>"2011 5th International Workshop on Software Product Management, IWSPM 2011 - Part of the 19th IEEE International Requirements Engineering Conference"</f>
        <v>2011 5th International Workshop on Software Product Management, IWSPM 2011 - Part of the 19th IEEE International Requirements Engineering Conference</v>
      </c>
      <c r="B2455" s="8" t="str">
        <f>"9781457711473"</f>
        <v>9781457711473</v>
      </c>
      <c r="C2455" s="8" t="s">
        <v>9</v>
      </c>
    </row>
    <row r="2456" spans="1:3" x14ac:dyDescent="0.25">
      <c r="A2456" s="8" t="str">
        <f>"2011 5th Malaysian Conference in Software Engineering, MySEC 2011"</f>
        <v>2011 5th Malaysian Conference in Software Engineering, MySEC 2011</v>
      </c>
      <c r="B2456" s="8" t="str">
        <f>"9781457715310"</f>
        <v>9781457715310</v>
      </c>
      <c r="C2456" s="8" t="s">
        <v>9</v>
      </c>
    </row>
    <row r="2457" spans="1:3" x14ac:dyDescent="0.25">
      <c r="A2457" s="8" t="str">
        <f>"2011 5th Rio De La Plata Workshop on Laser Dynamics and Nonlinear Photonics, LDNP 2011"</f>
        <v>2011 5th Rio De La Plata Workshop on Laser Dynamics and Nonlinear Photonics, LDNP 2011</v>
      </c>
      <c r="B2457" s="8" t="str">
        <f>"9781457714450"</f>
        <v>9781457714450</v>
      </c>
      <c r="C2457" s="8" t="s">
        <v>9</v>
      </c>
    </row>
    <row r="2458" spans="1:3" x14ac:dyDescent="0.25">
      <c r="A2458" s="8" t="str">
        <f>"2011 64th Annual Conference for Protective Relay Engineers"</f>
        <v>2011 64th Annual Conference for Protective Relay Engineers</v>
      </c>
      <c r="B2458" s="8" t="str">
        <f>"9781457704963"</f>
        <v>9781457704963</v>
      </c>
      <c r="C2458" s="8" t="s">
        <v>9</v>
      </c>
    </row>
    <row r="2459" spans="1:3" x14ac:dyDescent="0.25">
      <c r="A2459" s="8" t="str">
        <f>"2011 6th Colombian Computing Congress, CCC 2011"</f>
        <v>2011 6th Colombian Computing Congress, CCC 2011</v>
      </c>
      <c r="B2459" s="8" t="str">
        <f>"9781457702853"</f>
        <v>9781457702853</v>
      </c>
      <c r="C2459" s="8" t="s">
        <v>9</v>
      </c>
    </row>
    <row r="2460" spans="1:3" x14ac:dyDescent="0.25">
      <c r="A2460" s="8" t="str">
        <f>"2011 6th IEEE International Workshop on Systematic Approaches to Digital Forensic Engineering, SADFE 2011"</f>
        <v>2011 6th IEEE International Workshop on Systematic Approaches to Digital Forensic Engineering, SADFE 2011</v>
      </c>
      <c r="B2460" s="8" t="str">
        <f>"9781467312424"</f>
        <v>9781467312424</v>
      </c>
      <c r="C2460" s="8" t="s">
        <v>9</v>
      </c>
    </row>
    <row r="2461" spans="1:3" x14ac:dyDescent="0.25">
      <c r="A2461" s="8" t="str">
        <f>"2011 6th International Conference on Digital Information Management, ICDIM 2011"</f>
        <v>2011 6th International Conference on Digital Information Management, ICDIM 2011</v>
      </c>
      <c r="B2461" s="8" t="str">
        <f>"9781457715389"</f>
        <v>9781457715389</v>
      </c>
      <c r="C2461" s="8" t="s">
        <v>9</v>
      </c>
    </row>
    <row r="2462" spans="1:3" x14ac:dyDescent="0.25">
      <c r="A2462" s="8" t="str">
        <f>"2011 6th International Conference on Industrial and Information Systems, ICIIS 2011 - Conference Proceedings"</f>
        <v>2011 6th International Conference on Industrial and Information Systems, ICIIS 2011 - Conference Proceedings</v>
      </c>
      <c r="B2462" s="8" t="str">
        <f>"9781457700354"</f>
        <v>9781457700354</v>
      </c>
      <c r="C2462" s="8" t="s">
        <v>9</v>
      </c>
    </row>
    <row r="2463" spans="1:3" x14ac:dyDescent="0.25">
      <c r="A2463" s="8" t="str">
        <f>"2011 6th International Workshop on Advanced Ground Penetrating Radar, IWAGPR 2011"</f>
        <v>2011 6th International Workshop on Advanced Ground Penetrating Radar, IWAGPR 2011</v>
      </c>
      <c r="B2463" s="8" t="str">
        <f>"9781457703331"</f>
        <v>9781457703331</v>
      </c>
      <c r="C2463" s="8" t="s">
        <v>9</v>
      </c>
    </row>
    <row r="2464" spans="1:3" x14ac:dyDescent="0.25">
      <c r="A2464" s="8" t="str">
        <f>"2011 6th International Workshop on Requirements Engineering Education and Training, REET 2011 - Part of the 19th IEEE International Requirements Engineering Conference"</f>
        <v>2011 6th International Workshop on Requirements Engineering Education and Training, REET 2011 - Part of the 19th IEEE International Requirements Engineering Conference</v>
      </c>
      <c r="B2464" s="8" t="str">
        <f>"9781457709562"</f>
        <v>9781457709562</v>
      </c>
      <c r="C2464" s="8" t="s">
        <v>9</v>
      </c>
    </row>
    <row r="2465" spans="1:3" x14ac:dyDescent="0.25">
      <c r="A2465" s="8" t="str">
        <f>"2011 6th International Workshop on the Analysis of Multi-Temporal Remote Sensing Images, Multi-Temp 2011 - Proceedings"</f>
        <v>2011 6th International Workshop on the Analysis of Multi-Temporal Remote Sensing Images, Multi-Temp 2011 - Proceedings</v>
      </c>
      <c r="B2465" s="8" t="str">
        <f>"9781457712036"</f>
        <v>9781457712036</v>
      </c>
      <c r="C2465" s="8" t="s">
        <v>9</v>
      </c>
    </row>
    <row r="2466" spans="1:3" x14ac:dyDescent="0.25">
      <c r="A2466" s="8" t="str">
        <f>"2011 77th ARFTG Microwave Measurement Conference: Design and Measurement of Microwave Systems, ARFTG 2011"</f>
        <v>2011 77th ARFTG Microwave Measurement Conference: Design and Measurement of Microwave Systems, ARFTG 2011</v>
      </c>
      <c r="B2466" s="8" t="str">
        <f>"9781612849607"</f>
        <v>9781612849607</v>
      </c>
      <c r="C2466" s="8" t="s">
        <v>9</v>
      </c>
    </row>
    <row r="2467" spans="1:3" x14ac:dyDescent="0.25">
      <c r="A2467" s="8" t="str">
        <f>"2011 7th Asia-Pacific International Conference on Lightning, APL2011"</f>
        <v>2011 7th Asia-Pacific International Conference on Lightning, APL2011</v>
      </c>
      <c r="B2467" s="8" t="str">
        <f>"9781457714665"</f>
        <v>9781457714665</v>
      </c>
      <c r="C2467" s="8" t="s">
        <v>9</v>
      </c>
    </row>
    <row r="2468" spans="1:3" x14ac:dyDescent="0.25">
      <c r="A2468" s="8" t="str">
        <f>"2011 7th Central and Eastern European Software Engineering Conference, CEE-SECR 2011"</f>
        <v>2011 7th Central and Eastern European Software Engineering Conference, CEE-SECR 2011</v>
      </c>
      <c r="B2468" s="8" t="str">
        <f>"9781467308441"</f>
        <v>9781467308441</v>
      </c>
      <c r="C2468" s="8" t="s">
        <v>9</v>
      </c>
    </row>
    <row r="2469" spans="1:3" x14ac:dyDescent="0.25">
      <c r="A2469" s="8" t="str">
        <f>"2011 7th Conference on Ph.D. Research in Microelectronics and Electronics, PRIME 2011 - Conference Proceedings"</f>
        <v>2011 7th Conference on Ph.D. Research in Microelectronics and Electronics, PRIME 2011 - Conference Proceedings</v>
      </c>
      <c r="B2469" s="8" t="str">
        <f>"9781424491377"</f>
        <v>9781424491377</v>
      </c>
      <c r="C2469" s="8" t="s">
        <v>9</v>
      </c>
    </row>
    <row r="2470" spans="1:3" x14ac:dyDescent="0.25">
      <c r="A2470" s="8" t="str">
        <f>"2011 7th EURO-NGI Conference on Next Generation Internet Networks, NGI 2011 - Proceedings"</f>
        <v>2011 7th EURO-NGI Conference on Next Generation Internet Networks, NGI 2011 - Proceedings</v>
      </c>
      <c r="B2470" s="8" t="str">
        <f>"9781457709173"</f>
        <v>9781457709173</v>
      </c>
      <c r="C2470" s="8" t="s">
        <v>9</v>
      </c>
    </row>
    <row r="2471" spans="1:3" x14ac:dyDescent="0.25">
      <c r="A2471" s="8" t="str">
        <f>"2011 7th International Conference on Emerging Technologies, ICET 2011"</f>
        <v>2011 7th International Conference on Emerging Technologies, ICET 2011</v>
      </c>
      <c r="B2471" s="8" t="str">
        <f>"9781457707698"</f>
        <v>9781457707698</v>
      </c>
      <c r="C2471" s="8" t="s">
        <v>9</v>
      </c>
    </row>
    <row r="2472" spans="1:3" x14ac:dyDescent="0.25">
      <c r="A2472" s="8" t="str">
        <f>"2011 7th International Conference on Information Technology in Asia: Emerging Convergences and Singularity of Forms - Proceedings of CITA'11"</f>
        <v>2011 7th International Conference on Information Technology in Asia: Emerging Convergences and Singularity of Forms - Proceedings of CITA'11</v>
      </c>
      <c r="B2472" s="8" t="str">
        <f>"9781612841304"</f>
        <v>9781612841304</v>
      </c>
      <c r="C2472" s="8" t="s">
        <v>9</v>
      </c>
    </row>
    <row r="2473" spans="1:3" x14ac:dyDescent="0.25">
      <c r="A2473" s="8" t="str">
        <f>"2011 7th International Conference on Network and Service Management, CNSM 2011"</f>
        <v>2011 7th International Conference on Network and Service Management, CNSM 2011</v>
      </c>
      <c r="B2473" s="8" t="str">
        <f>"9781457715884"</f>
        <v>9781457715884</v>
      </c>
      <c r="C2473" s="8" t="s">
        <v>9</v>
      </c>
    </row>
    <row r="2474" spans="1:3" x14ac:dyDescent="0.25">
      <c r="A2474" s="8" t="str">
        <f>"2011 7th International Conference on Standardization and Innovation in Information Technology, SIIT 2011"</f>
        <v>2011 7th International Conference on Standardization and Innovation in Information Technology, SIIT 2011</v>
      </c>
      <c r="B2474" s="8" t="str">
        <f>"9781457720215"</f>
        <v>9781457720215</v>
      </c>
      <c r="C2474" s="8" t="s">
        <v>9</v>
      </c>
    </row>
    <row r="2475" spans="1:3" x14ac:dyDescent="0.25">
      <c r="A2475" s="8" t="str">
        <f>"2011 7th International Conference-Workshop Compatibility and Power Electronics, CPE 2011 - Conference Proceedings"</f>
        <v>2011 7th International Conference-Workshop Compatibility and Power Electronics, CPE 2011 - Conference Proceedings</v>
      </c>
      <c r="B2475" s="8" t="str">
        <f>"9781424488070"</f>
        <v>9781424488070</v>
      </c>
      <c r="C2475" s="8" t="s">
        <v>9</v>
      </c>
    </row>
    <row r="2476" spans="1:3" x14ac:dyDescent="0.25">
      <c r="A2476" s="8" t="str">
        <f>"2011 7th International Symposium on Advanced Topics in Electrical Engineering, ATEE 2011"</f>
        <v>2011 7th International Symposium on Advanced Topics in Electrical Engineering, ATEE 2011</v>
      </c>
      <c r="B2476" s="8" t="str">
        <f>"9781457705076"</f>
        <v>9781457705076</v>
      </c>
      <c r="C2476" s="8" t="s">
        <v>9</v>
      </c>
    </row>
    <row r="2477" spans="1:3" x14ac:dyDescent="0.25">
      <c r="A2477" s="8" t="str">
        <f>"2011 7th International Workshop on Fibre and Optical Passive Components, WFOPC2011"</f>
        <v>2011 7th International Workshop on Fibre and Optical Passive Components, WFOPC2011</v>
      </c>
      <c r="B2477" s="8" t="str">
        <f>"9781927371084"</f>
        <v>9781927371084</v>
      </c>
      <c r="C2477" s="8" t="s">
        <v>9</v>
      </c>
    </row>
    <row r="2478" spans="1:3" x14ac:dyDescent="0.25">
      <c r="A2478" s="8" t="str">
        <f>"2011 7th International Workshop on Multidimensional (nD) Systems, nDS 2011"</f>
        <v>2011 7th International Workshop on Multidimensional (nD) Systems, nDS 2011</v>
      </c>
      <c r="B2478" s="8" t="str">
        <f>"9781612848167"</f>
        <v>9781612848167</v>
      </c>
      <c r="C2478" s="8" t="s">
        <v>9</v>
      </c>
    </row>
    <row r="2479" spans="1:3" x14ac:dyDescent="0.25">
      <c r="A2479" s="8" t="str">
        <f>"2011 7th Iranian Conference on Machine Vision and Image Processing, MVIP 2011 - Proceedings"</f>
        <v>2011 7th Iranian Conference on Machine Vision and Image Processing, MVIP 2011 - Proceedings</v>
      </c>
      <c r="B2479" s="8" t="str">
        <f>"9781457715358"</f>
        <v>9781457715358</v>
      </c>
      <c r="C2479" s="8" t="s">
        <v>9</v>
      </c>
    </row>
    <row r="2480" spans="1:3" x14ac:dyDescent="0.25">
      <c r="A2480" s="8" t="str">
        <f>"2011 7th Latin American Network Operations and Management Symposium, LANOMS 2011"</f>
        <v>2011 7th Latin American Network Operations and Management Symposium, LANOMS 2011</v>
      </c>
      <c r="B2480" s="8" t="str">
        <f>"9781457717901"</f>
        <v>9781457717901</v>
      </c>
      <c r="C2480" s="8" t="s">
        <v>9</v>
      </c>
    </row>
    <row r="2481" spans="1:3" x14ac:dyDescent="0.25">
      <c r="A2481" s="8" t="str">
        <f>"2011 8th Annual IEEE Communications Society Conference on Sensor, Mesh and Ad Hoc Communications and Networks, SECON 2011"</f>
        <v>2011 8th Annual IEEE Communications Society Conference on Sensor, Mesh and Ad Hoc Communications and Networks, SECON 2011</v>
      </c>
      <c r="B2481" s="8" t="str">
        <f>"9781457700934"</f>
        <v>9781457700934</v>
      </c>
      <c r="C2481" s="8" t="s">
        <v>9</v>
      </c>
    </row>
    <row r="2482" spans="1:3" x14ac:dyDescent="0.25">
      <c r="A2482" s="8" t="str">
        <f>"2011 8th IEEE International Conference on Advanced Video and Signal Based Surveillance, AVSS 2011"</f>
        <v>2011 8th IEEE International Conference on Advanced Video and Signal Based Surveillance, AVSS 2011</v>
      </c>
      <c r="B2482" s="8" t="str">
        <f>"9781457708459"</f>
        <v>9781457708459</v>
      </c>
      <c r="C2482" s="8" t="s">
        <v>9</v>
      </c>
    </row>
    <row r="2483" spans="1:3" x14ac:dyDescent="0.25">
      <c r="A2483" s="8" t="str">
        <f>"2011 8th International Conference and Expo on Emerging Technologies for a Smarter World, CEWIT 2011"</f>
        <v>2011 8th International Conference and Expo on Emerging Technologies for a Smarter World, CEWIT 2011</v>
      </c>
      <c r="B2483" s="8" t="str">
        <f>"9781457715914"</f>
        <v>9781457715914</v>
      </c>
      <c r="C2483" s="8" t="s">
        <v>9</v>
      </c>
    </row>
    <row r="2484" spans="1:3" x14ac:dyDescent="0.25">
      <c r="A2484" s="8" t="str">
        <f>"2011 8th International Conference on the European Energy Market, EEM 11"</f>
        <v>2011 8th International Conference on the European Energy Market, EEM 11</v>
      </c>
      <c r="B2484" s="8" t="str">
        <f>"9781612842844"</f>
        <v>9781612842844</v>
      </c>
      <c r="C2484" s="8" t="s">
        <v>9</v>
      </c>
    </row>
    <row r="2485" spans="1:3" x14ac:dyDescent="0.25">
      <c r="A2485" s="8" t="str">
        <f>"2011 8th International Conference on Wireless On-Demand Network Systems and Services, WONS 2011"</f>
        <v>2011 8th International Conference on Wireless On-Demand Network Systems and Services, WONS 2011</v>
      </c>
      <c r="B2485" s="8" t="str">
        <f>"9781612841885"</f>
        <v>9781612841885</v>
      </c>
      <c r="C2485" s="8" t="s">
        <v>9</v>
      </c>
    </row>
    <row r="2486" spans="1:3" x14ac:dyDescent="0.25">
      <c r="A2486" s="8" t="str">
        <f>"2011 8th International ISC Conference on Information Security and Cryptology, ISCISC 2011"</f>
        <v>2011 8th International ISC Conference on Information Security and Cryptology, ISCISC 2011</v>
      </c>
      <c r="B2486" s="8" t="str">
        <f>"9781467300773"</f>
        <v>9781467300773</v>
      </c>
      <c r="C2486" s="8" t="s">
        <v>9</v>
      </c>
    </row>
    <row r="2487" spans="1:3" x14ac:dyDescent="0.25">
      <c r="A2487" s="8" t="str">
        <f>"2011 8th International Symposium on Noninvasive Functional Source Imaging of the Brain and Heart and the 2011 8th International Conference on Bioelectromagnetism, NFSI and ICBEM 2011"</f>
        <v>2011 8th International Symposium on Noninvasive Functional Source Imaging of the Brain and Heart and the 2011 8th International Conference on Bioelectromagnetism, NFSI and ICBEM 2011</v>
      </c>
      <c r="B2487" s="8" t="str">
        <f>"9781424482818"</f>
        <v>9781424482818</v>
      </c>
      <c r="C2487" s="8" t="s">
        <v>9</v>
      </c>
    </row>
    <row r="2488" spans="1:3" x14ac:dyDescent="0.25">
      <c r="A2488" s="8" t="str">
        <f>"2011 8th International Workshop on Multi-Carrier Systems and Solutions, MC-SS 2011"</f>
        <v>2011 8th International Workshop on Multi-Carrier Systems and Solutions, MC-SS 2011</v>
      </c>
      <c r="B2488" s="8" t="str">
        <f>"9781612848877"</f>
        <v>9781612848877</v>
      </c>
      <c r="C2488" s="8" t="s">
        <v>9</v>
      </c>
    </row>
    <row r="2489" spans="1:3" x14ac:dyDescent="0.25">
      <c r="A2489" s="8" t="str">
        <f>"2011 8th International Workshop on the Design of Reliable Communication Networks, DRCN 2011"</f>
        <v>2011 8th International Workshop on the Design of Reliable Communication Networks, DRCN 2011</v>
      </c>
      <c r="B2489" s="8" t="str">
        <f>"9781612841250"</f>
        <v>9781612841250</v>
      </c>
      <c r="C2489" s="8" t="s">
        <v>9</v>
      </c>
    </row>
    <row r="2490" spans="1:3" x14ac:dyDescent="0.25">
      <c r="A2490" s="8" t="str">
        <f>"2011 9th Annual International Conference on Privacy, Security and Trust, PST 2011"</f>
        <v>2011 9th Annual International Conference on Privacy, Security and Trust, PST 2011</v>
      </c>
      <c r="B2490" s="8" t="str">
        <f>"9781457705847"</f>
        <v>9781457705847</v>
      </c>
      <c r="C2490" s="8" t="s">
        <v>9</v>
      </c>
    </row>
    <row r="2491" spans="1:3" x14ac:dyDescent="0.25">
      <c r="A2491" s="8" t="str">
        <f>"2011 9th IEEE Symposium on Embedded Systems for Real-Time Multimedia, ESTIMedia 2011"</f>
        <v>2011 9th IEEE Symposium on Embedded Systems for Real-Time Multimedia, ESTIMedia 2011</v>
      </c>
      <c r="B2491" s="8" t="str">
        <f>"9781457721236"</f>
        <v>9781457721236</v>
      </c>
      <c r="C2491" s="8" t="s">
        <v>9</v>
      </c>
    </row>
    <row r="2492" spans="1:3" x14ac:dyDescent="0.25">
      <c r="A2492" s="8" t="str">
        <f>"2011 Academic International Symposium on Optoelectronics and Microelectronics Technology, AISOMT 2011"</f>
        <v>2011 Academic International Symposium on Optoelectronics and Microelectronics Technology, AISOMT 2011</v>
      </c>
      <c r="B2492" s="8" t="str">
        <f>"9781457707964"</f>
        <v>9781457707964</v>
      </c>
      <c r="C2492" s="8" t="s">
        <v>9</v>
      </c>
    </row>
    <row r="2493" spans="1:3" x14ac:dyDescent="0.25">
      <c r="A2493" s="8" t="str">
        <f>"2011 ACM Conference on Bioinformatics, Computational Biology and Biomedicine, BCB 2011"</f>
        <v>2011 ACM Conference on Bioinformatics, Computational Biology and Biomedicine, BCB 2011</v>
      </c>
      <c r="B2493" s="8" t="str">
        <f>"9781450307963"</f>
        <v>9781450307963</v>
      </c>
      <c r="C2493" s="8" t="s">
        <v>21</v>
      </c>
    </row>
    <row r="2494" spans="1:3" x14ac:dyDescent="0.25">
      <c r="A2494" s="8" t="str">
        <f>"2011 Argentine School of Micro-Nanoelectronics, Technology and Applications, EAMTA 2011"</f>
        <v>2011 Argentine School of Micro-Nanoelectronics, Technology and Applications, EAMTA 2011</v>
      </c>
      <c r="B2494" s="8" t="str">
        <f>"9789871620463"</f>
        <v>9789871620463</v>
      </c>
      <c r="C2494" s="8" t="s">
        <v>9</v>
      </c>
    </row>
    <row r="2495" spans="1:3" x14ac:dyDescent="0.25">
      <c r="A2495" s="8" t="str">
        <f>"2011 Asia-Pacific Power and Energy Engineering Conference, APPEEC 2011 - Proceedings"</f>
        <v>2011 Asia-Pacific Power and Energy Engineering Conference, APPEEC 2011 - Proceedings</v>
      </c>
      <c r="B2495" s="8" t="str">
        <f>"9781424462551"</f>
        <v>9781424462551</v>
      </c>
      <c r="C2495" s="8" t="s">
        <v>9</v>
      </c>
    </row>
    <row r="2496" spans="1:3" x14ac:dyDescent="0.25">
      <c r="A2496" s="8" t="str">
        <f>"2011 Atlanta Conference on Science and Innovation Policy: Building Capacity for Scientific Innovation and Outcomes, ACSIP 2011, Proceedings"</f>
        <v>2011 Atlanta Conference on Science and Innovation Policy: Building Capacity for Scientific Innovation and Outcomes, ACSIP 2011, Proceedings</v>
      </c>
      <c r="B2496" s="8" t="str">
        <f>"9781457713910"</f>
        <v>9781457713910</v>
      </c>
      <c r="C2496" s="8" t="s">
        <v>9</v>
      </c>
    </row>
    <row r="2497" spans="1:3" x14ac:dyDescent="0.25">
      <c r="A2497" s="8" t="str">
        <f>"2011 Baltic Congress on Future Internet and Communications, BCFIC Riga 2011"</f>
        <v>2011 Baltic Congress on Future Internet and Communications, BCFIC Riga 2011</v>
      </c>
      <c r="B2497" s="8" t="str">
        <f>"9781424485130"</f>
        <v>9781424485130</v>
      </c>
      <c r="C2497" s="8" t="s">
        <v>9</v>
      </c>
    </row>
    <row r="2498" spans="1:3" x14ac:dyDescent="0.25">
      <c r="A2498" s="8" t="str">
        <f>"2011 CERN-Latin-American School of High-Energy Physics, CLASHEP 2011 - Proceedings"</f>
        <v>2011 CERN-Latin-American School of High-Energy Physics, CLASHEP 2011 - Proceedings</v>
      </c>
      <c r="B2498" s="8" t="str">
        <f>"9789290833871"</f>
        <v>9789290833871</v>
      </c>
      <c r="C2498" s="8" t="s">
        <v>259</v>
      </c>
    </row>
    <row r="2499" spans="1:3" x14ac:dyDescent="0.25">
      <c r="A2499" s="8" t="str">
        <f>"2011 China-Japan Joint Microwave Conference Proceedings, CJMW 2011"</f>
        <v>2011 China-Japan Joint Microwave Conference Proceedings, CJMW 2011</v>
      </c>
      <c r="B2499" s="8" t="str">
        <f>"9787308085557"</f>
        <v>9787308085557</v>
      </c>
      <c r="C2499" s="8" t="s">
        <v>9</v>
      </c>
    </row>
    <row r="2500" spans="1:3" x14ac:dyDescent="0.25">
      <c r="A2500" s="8" t="str">
        <f>"2011 Colloquium in Information Science and Technology, CIST 2011"</f>
        <v>2011 Colloquium in Information Science and Technology, CIST 2011</v>
      </c>
      <c r="B2500" s="8" t="str">
        <f>"9781467301152"</f>
        <v>9781467301152</v>
      </c>
      <c r="C2500" s="8" t="s">
        <v>9</v>
      </c>
    </row>
    <row r="2501" spans="1:3" x14ac:dyDescent="0.25">
      <c r="A2501" s="8" t="str">
        <f>"2011 Computation and Communication Technologies: 3rd International Conference on Advances in Computing, Control, and Telecommunication Technologies, ACT 2011 - Computer Science Series"</f>
        <v>2011 Computation and Communication Technologies: 3rd International Conference on Advances in Computing, Control, and Telecommunication Technologies, ACT 2011 - Computer Science Series</v>
      </c>
      <c r="B2501" s="8" t="str">
        <f>"9781629934563"</f>
        <v>9781629934563</v>
      </c>
      <c r="C2501" s="8" t="s">
        <v>1364</v>
      </c>
    </row>
    <row r="2502" spans="1:3" x14ac:dyDescent="0.25">
      <c r="A2502" s="8" t="str">
        <f>"2011 Computational Electromagnetics International Workshop, CEM'11"</f>
        <v>2011 Computational Electromagnetics International Workshop, CEM'11</v>
      </c>
      <c r="B2502" s="8" t="str">
        <f>"9781457716874"</f>
        <v>9781457716874</v>
      </c>
      <c r="C2502" s="8" t="s">
        <v>9</v>
      </c>
    </row>
    <row r="2503" spans="1:3" x14ac:dyDescent="0.25">
      <c r="A2503" s="8" t="str">
        <f>"2011 Conference and Exhibition of the Transportation Association of Canada - Transportation Successes: Let's Build on Them, TAC/ATC 2011"</f>
        <v>2011 Conference and Exhibition of the Transportation Association of Canada - Transportation Successes: Let's Build on Them, TAC/ATC 2011</v>
      </c>
      <c r="B2503" s="8" t="str">
        <f>"-"</f>
        <v>-</v>
      </c>
      <c r="C2503" s="8" t="s">
        <v>1365</v>
      </c>
    </row>
    <row r="2504" spans="1:3" x14ac:dyDescent="0.25">
      <c r="A2504" s="8" t="str">
        <f>"2011 Conference on Lasers and Electro-Optics Europe and 12th European Quantum Electronics Conference, CLEO EUROPE/EQEC 2011"</f>
        <v>2011 Conference on Lasers and Electro-Optics Europe and 12th European Quantum Electronics Conference, CLEO EUROPE/EQEC 2011</v>
      </c>
      <c r="B2504" s="8" t="str">
        <f>"9781457705335"</f>
        <v>9781457705335</v>
      </c>
      <c r="C2504" s="8" t="s">
        <v>9</v>
      </c>
    </row>
    <row r="2505" spans="1:3" x14ac:dyDescent="0.25">
      <c r="A2505" s="8" t="str">
        <f>"2011 Conference on Lasers and Electro-Optics: Laser Science to Photonic Applications, CLEO 2011"</f>
        <v>2011 Conference on Lasers and Electro-Optics: Laser Science to Photonic Applications, CLEO 2011</v>
      </c>
      <c r="B2505" s="8" t="str">
        <f>"9781557529107"</f>
        <v>9781557529107</v>
      </c>
      <c r="C2505" s="8" t="s">
        <v>9</v>
      </c>
    </row>
    <row r="2506" spans="1:3" x14ac:dyDescent="0.25">
      <c r="A2506" s="8" t="str">
        <f>"2011 Conference on Network and Information Systems Security, SAR-SSI 2011, Proceedings"</f>
        <v>2011 Conference on Network and Information Systems Security, SAR-SSI 2011, Proceedings</v>
      </c>
      <c r="B2506" s="8" t="str">
        <f>"9781457707377"</f>
        <v>9781457707377</v>
      </c>
      <c r="C2506" s="8" t="s">
        <v>9</v>
      </c>
    </row>
    <row r="2507" spans="1:3" x14ac:dyDescent="0.25">
      <c r="A2507" s="8" t="str">
        <f>"2011 CSI International Symposium on Computer Science and Software Engineering, CSSE 2011"</f>
        <v>2011 CSI International Symposium on Computer Science and Software Engineering, CSSE 2011</v>
      </c>
      <c r="B2507" s="8" t="str">
        <f>"9781612842073"</f>
        <v>9781612842073</v>
      </c>
      <c r="C2507" s="8" t="s">
        <v>9</v>
      </c>
    </row>
    <row r="2508" spans="1:3" x14ac:dyDescent="0.25">
      <c r="A2508" s="8" t="str">
        <f>"2011 Defense Science Research Conference and Expo, DSR 2011"</f>
        <v>2011 Defense Science Research Conference and Expo, DSR 2011</v>
      </c>
      <c r="B2508" s="8" t="str">
        <f>"9781424492763"</f>
        <v>9781424492763</v>
      </c>
      <c r="C2508" s="8" t="s">
        <v>9</v>
      </c>
    </row>
    <row r="2509" spans="1:3" x14ac:dyDescent="0.25">
      <c r="A2509" s="8" t="str">
        <f>"2011 Digital Signal Processing and Signal Processing Education Meeting, DSP/SPE 2011 - Proceedings"</f>
        <v>2011 Digital Signal Processing and Signal Processing Education Meeting, DSP/SPE 2011 - Proceedings</v>
      </c>
      <c r="B2509" s="8" t="str">
        <f>"9781612842271"</f>
        <v>9781612842271</v>
      </c>
      <c r="C2509" s="8" t="s">
        <v>9</v>
      </c>
    </row>
    <row r="2510" spans="1:3" x14ac:dyDescent="0.25">
      <c r="A2510" s="8" t="str">
        <f>"2011 E-Health and Bioengineering Conference, EHB 2011"</f>
        <v>2011 E-Health and Bioengineering Conference, EHB 2011</v>
      </c>
      <c r="B2510" s="8" t="str">
        <f>"9781457702921"</f>
        <v>9781457702921</v>
      </c>
      <c r="C2510" s="8" t="s">
        <v>9</v>
      </c>
    </row>
    <row r="2511" spans="1:3" x14ac:dyDescent="0.25">
      <c r="A2511" s="8" t="str">
        <f>"2011 Electrical Insulation Conference, EIC 2011"</f>
        <v>2011 Electrical Insulation Conference, EIC 2011</v>
      </c>
      <c r="B2511" s="8" t="str">
        <f>"9781457702785"</f>
        <v>9781457702785</v>
      </c>
      <c r="C2511" s="8" t="s">
        <v>9</v>
      </c>
    </row>
    <row r="2512" spans="1:3" x14ac:dyDescent="0.25">
      <c r="A2512" s="8" t="str">
        <f>"2011 Electronic System Level Synthesis Conference, ESLsyn 2011"</f>
        <v>2011 Electronic System Level Synthesis Conference, ESLsyn 2011</v>
      </c>
      <c r="B2512" s="8" t="str">
        <f>"9781457706325"</f>
        <v>9781457706325</v>
      </c>
      <c r="C2512" s="8" t="s">
        <v>9</v>
      </c>
    </row>
    <row r="2513" spans="1:3" x14ac:dyDescent="0.25">
      <c r="A2513" s="8" t="str">
        <f>"2011 EPU-CRIS International Conference on Science and Technology, EPU-CRIS 2011 - Proceedings"</f>
        <v>2011 EPU-CRIS International Conference on Science and Technology, EPU-CRIS 2011 - Proceedings</v>
      </c>
      <c r="B2513" s="8" t="str">
        <f>"9783940961693"</f>
        <v>9783940961693</v>
      </c>
      <c r="C2513" s="8" t="s">
        <v>9</v>
      </c>
    </row>
    <row r="2514" spans="1:3" x14ac:dyDescent="0.25">
      <c r="A2514" s="8" t="str">
        <f>"2011 European Conference on Electrical and Instrumentation Applications in the Petroleum and Chemical Industry, PCIC EUROPE"</f>
        <v>2011 European Conference on Electrical and Instrumentation Applications in the Petroleum and Chemical Industry, PCIC EUROPE</v>
      </c>
      <c r="B2514" s="8" t="str">
        <f>"9781457700217"</f>
        <v>9781457700217</v>
      </c>
      <c r="C2514" s="8" t="s">
        <v>9</v>
      </c>
    </row>
    <row r="2515" spans="1:3" x14ac:dyDescent="0.25">
      <c r="A2515" s="8" t="str">
        <f>"2011 European School of High-Energy Physics, ESHEP 2011 - Proceedings"</f>
        <v>2011 European School of High-Energy Physics, ESHEP 2011 - Proceedings</v>
      </c>
      <c r="B2515" s="8" t="str">
        <f>"9789290834014"</f>
        <v>9789290834014</v>
      </c>
      <c r="C2515" s="8" t="s">
        <v>1341</v>
      </c>
    </row>
    <row r="2516" spans="1:3" x14ac:dyDescent="0.25">
      <c r="A2516" s="8" t="str">
        <f>"2011 Faible Tension Faible Consommation, FTFC 2011"</f>
        <v>2011 Faible Tension Faible Consommation, FTFC 2011</v>
      </c>
      <c r="B2516" s="8" t="str">
        <f>"9781612846477"</f>
        <v>9781612846477</v>
      </c>
      <c r="C2516" s="8" t="s">
        <v>9</v>
      </c>
    </row>
    <row r="2517" spans="1:3" x14ac:dyDescent="0.25">
      <c r="A2517" s="8" t="str">
        <f>"2011 Federated Conference on Computer Science and Information Systems, FedCSIS 2011"</f>
        <v>2011 Federated Conference on Computer Science and Information Systems, FedCSIS 2011</v>
      </c>
      <c r="B2517" s="8" t="str">
        <f>"9781457700415"</f>
        <v>9781457700415</v>
      </c>
      <c r="C2517" s="8" t="s">
        <v>9</v>
      </c>
    </row>
    <row r="2518" spans="1:3" x14ac:dyDescent="0.25">
      <c r="A2518" s="8" t="str">
        <f>"2011 Formal Methods in Computer-Aided Design, FMCAD 2011"</f>
        <v>2011 Formal Methods in Computer-Aided Design, FMCAD 2011</v>
      </c>
      <c r="B2518" s="8" t="str">
        <f>"9781467308960"</f>
        <v>9781467308960</v>
      </c>
      <c r="C2518" s="8" t="s">
        <v>9</v>
      </c>
    </row>
    <row r="2519" spans="1:3" x14ac:dyDescent="0.25">
      <c r="A2519" s="8" t="str">
        <f>"2011 Functional Optical Imaging, FOI 2011"</f>
        <v>2011 Functional Optical Imaging, FOI 2011</v>
      </c>
      <c r="B2519" s="8" t="str">
        <f>"9781467304511"</f>
        <v>9781467304511</v>
      </c>
      <c r="C2519" s="8" t="s">
        <v>9</v>
      </c>
    </row>
    <row r="2520" spans="1:3" x14ac:dyDescent="0.25">
      <c r="A2520" s="8" t="str">
        <f>"2011 Future Network and Mobile Summit, FutureNetw 2011"</f>
        <v>2011 Future Network and Mobile Summit, FutureNetw 2011</v>
      </c>
      <c r="B2520" s="8" t="str">
        <f>"9781905824250"</f>
        <v>9781905824250</v>
      </c>
      <c r="C2520" s="8" t="s">
        <v>9</v>
      </c>
    </row>
    <row r="2521" spans="1:3" x14ac:dyDescent="0.25">
      <c r="A2521" s="8" t="str">
        <f>"2011 Future of Instrumentation International Workshop, FIIW 2011 - Proceedings"</f>
        <v>2011 Future of Instrumentation International Workshop, FIIW 2011 - Proceedings</v>
      </c>
      <c r="B2521" s="8" t="str">
        <f>"9781467358361"</f>
        <v>9781467358361</v>
      </c>
      <c r="C2521" s="8" t="s">
        <v>9</v>
      </c>
    </row>
    <row r="2522" spans="1:3" x14ac:dyDescent="0.25">
      <c r="A2522" s="8" t="str">
        <f>"2011 GEOSS Workshop XL - Managing Drought through Earth Observation, GEOSS 2011"</f>
        <v>2011 GEOSS Workshop XL - Managing Drought through Earth Observation, GEOSS 2011</v>
      </c>
      <c r="B2522" s="8" t="str">
        <f>"9781457706141"</f>
        <v>9781457706141</v>
      </c>
      <c r="C2522" s="8" t="s">
        <v>9</v>
      </c>
    </row>
    <row r="2523" spans="1:3" x14ac:dyDescent="0.25">
      <c r="A2523" s="8" t="str">
        <f>"2011 GEOSS Workshop XLI: Global Hydrology Interoperability and Field Applications, GEOSS XLI"</f>
        <v>2011 GEOSS Workshop XLI: Global Hydrology Interoperability and Field Applications, GEOSS XLI</v>
      </c>
      <c r="B2523" s="8" t="str">
        <f>"9781457719462"</f>
        <v>9781457719462</v>
      </c>
      <c r="C2523" s="8" t="s">
        <v>9</v>
      </c>
    </row>
    <row r="2524" spans="1:3" x14ac:dyDescent="0.25">
      <c r="A2524" s="8" t="str">
        <f>"2011 GEOSS Workshop XLII - Oceans: Toward Global Ocean Observations, GEOSS 2011"</f>
        <v>2011 GEOSS Workshop XLII - Oceans: Toward Global Ocean Observations, GEOSS 2011</v>
      </c>
      <c r="B2524" s="8" t="str">
        <f>"9781457722059"</f>
        <v>9781457722059</v>
      </c>
      <c r="C2524" s="8" t="s">
        <v>9</v>
      </c>
    </row>
    <row r="2525" spans="1:3" x14ac:dyDescent="0.25">
      <c r="A2525" s="8" t="str">
        <f>"2011 German Microwave Conference, GeMiC 2011 - Proceedings"</f>
        <v>2011 German Microwave Conference, GeMiC 2011 - Proceedings</v>
      </c>
      <c r="B2525" s="8" t="str">
        <f>"9783981266825"</f>
        <v>9783981266825</v>
      </c>
      <c r="C2525" s="8" t="s">
        <v>9</v>
      </c>
    </row>
    <row r="2526" spans="1:3" x14ac:dyDescent="0.25">
      <c r="A2526" s="8" t="str">
        <f>"2011 Global Mobile Congress, GMC 2011"</f>
        <v>2011 Global Mobile Congress, GMC 2011</v>
      </c>
      <c r="B2526" s="8" t="str">
        <f>"9781467303460"</f>
        <v>9781467303460</v>
      </c>
      <c r="C2526" s="8" t="s">
        <v>9</v>
      </c>
    </row>
    <row r="2527" spans="1:3" x14ac:dyDescent="0.25">
      <c r="A2527" s="8" t="str">
        <f>"2011 ICO International Conference on Information Photonics, IP 2011"</f>
        <v>2011 ICO International Conference on Information Photonics, IP 2011</v>
      </c>
      <c r="B2527" s="8" t="str">
        <f>"9781612843155"</f>
        <v>9781612843155</v>
      </c>
      <c r="C2527" s="8" t="s">
        <v>9</v>
      </c>
    </row>
    <row r="2528" spans="1:3" x14ac:dyDescent="0.25">
      <c r="A2528" s="8" t="str">
        <f>"2011 IEEE 10th IVMSP Workshop: Perception and Visual Signal Analysis, IVMSP 2011 - Proceedings"</f>
        <v>2011 IEEE 10th IVMSP Workshop: Perception and Visual Signal Analysis, IVMSP 2011 - Proceedings</v>
      </c>
      <c r="B2528" s="8" t="str">
        <f>"9781457712869"</f>
        <v>9781457712869</v>
      </c>
      <c r="C2528" s="8" t="s">
        <v>9</v>
      </c>
    </row>
    <row r="2529" spans="1:3" x14ac:dyDescent="0.25">
      <c r="A2529" s="8" t="str">
        <f>"2011 IEEE 10th Malaysia International Conference on Communications, MICC 2011"</f>
        <v>2011 IEEE 10th Malaysia International Conference on Communications, MICC 2011</v>
      </c>
      <c r="B2529" s="8" t="str">
        <f>"9781457709760"</f>
        <v>9781457709760</v>
      </c>
      <c r="C2529" s="8" t="s">
        <v>9</v>
      </c>
    </row>
    <row r="2530" spans="1:3" x14ac:dyDescent="0.25">
      <c r="A2530" s="8" t="str">
        <f>"2011 IEEE 11th Topical Meeting on Silicon Monolithic Integrated Circuits in RF Systems, SiRF 2011 - Digest of Papers"</f>
        <v>2011 IEEE 11th Topical Meeting on Silicon Monolithic Integrated Circuits in RF Systems, SiRF 2011 - Digest of Papers</v>
      </c>
      <c r="B2530" s="8" t="str">
        <f>"9781424480593"</f>
        <v>9781424480593</v>
      </c>
      <c r="C2530" s="8" t="s">
        <v>9</v>
      </c>
    </row>
    <row r="2531" spans="1:3" x14ac:dyDescent="0.25">
      <c r="A2531" s="8" t="str">
        <f>"2011 IEEE 12th Annual Wireless and Microwave Technology Conference, WAMICON 2011"</f>
        <v>2011 IEEE 12th Annual Wireless and Microwave Technology Conference, WAMICON 2011</v>
      </c>
      <c r="B2531" s="8" t="str">
        <f>"9781612840819"</f>
        <v>9781612840819</v>
      </c>
      <c r="C2531" s="8" t="s">
        <v>9</v>
      </c>
    </row>
    <row r="2532" spans="1:3" x14ac:dyDescent="0.25">
      <c r="A2532" s="8" t="str">
        <f>"2011 IEEE 12th International Conference on High Performance Switching and Routing, HPSR 2011"</f>
        <v>2011 IEEE 12th International Conference on High Performance Switching and Routing, HPSR 2011</v>
      </c>
      <c r="B2532" s="8" t="str">
        <f>"9781424484560"</f>
        <v>9781424484560</v>
      </c>
      <c r="C2532" s="8" t="s">
        <v>9</v>
      </c>
    </row>
    <row r="2533" spans="1:3" x14ac:dyDescent="0.25">
      <c r="A2533" s="8" t="str">
        <f>"2011 IEEE 13th Electronics Packaging Technology Conference, EPTC 2011"</f>
        <v>2011 IEEE 13th Electronics Packaging Technology Conference, EPTC 2011</v>
      </c>
      <c r="B2533" s="8" t="str">
        <f>"9781457719837"</f>
        <v>9781457719837</v>
      </c>
      <c r="C2533" s="8" t="s">
        <v>9</v>
      </c>
    </row>
    <row r="2534" spans="1:3" x14ac:dyDescent="0.25">
      <c r="A2534" s="8" t="str">
        <f>"2011 IEEE 13th International Conference on e-Health Networking, Applications and Services, HEALTHCOM 2011"</f>
        <v>2011 IEEE 13th International Conference on e-Health Networking, Applications and Services, HEALTHCOM 2011</v>
      </c>
      <c r="B2534" s="8" t="str">
        <f>"9781612846972"</f>
        <v>9781612846972</v>
      </c>
      <c r="C2534" s="8" t="s">
        <v>9</v>
      </c>
    </row>
    <row r="2535" spans="1:3" x14ac:dyDescent="0.25">
      <c r="A2535" s="8" t="str">
        <f>"2011 IEEE 15th Workshop on Signal Propagation on Interconnects, SPI 2011 - Proceedings"</f>
        <v>2011 IEEE 15th Workshop on Signal Propagation on Interconnects, SPI 2011 - Proceedings</v>
      </c>
      <c r="B2535" s="8" t="str">
        <f>"9781457704673"</f>
        <v>9781457704673</v>
      </c>
      <c r="C2535" s="8" t="s">
        <v>9</v>
      </c>
    </row>
    <row r="2536" spans="1:3" x14ac:dyDescent="0.25">
      <c r="A2536" s="8" t="str">
        <f>"2011 IEEE 16th International Workshop on Computer Aided Modeling and Design of Communication Links and Networks, CAMAD 2011"</f>
        <v>2011 IEEE 16th International Workshop on Computer Aided Modeling and Design of Communication Links and Networks, CAMAD 2011</v>
      </c>
      <c r="B2536" s="8" t="str">
        <f>"9781612842820"</f>
        <v>9781612842820</v>
      </c>
      <c r="C2536" s="8" t="s">
        <v>9</v>
      </c>
    </row>
    <row r="2537" spans="1:3" x14ac:dyDescent="0.25">
      <c r="A2537" s="8" t="str">
        <f>"2011 IEEE 17th International Symposium for Design and Technology of Electronics Packages, SIITME 2011 - Conference Proceedings"</f>
        <v>2011 IEEE 17th International Symposium for Design and Technology of Electronics Packages, SIITME 2011 - Conference Proceedings</v>
      </c>
      <c r="B2537" s="8" t="str">
        <f>"9781457712753"</f>
        <v>9781457712753</v>
      </c>
      <c r="C2537" s="8" t="s">
        <v>9</v>
      </c>
    </row>
    <row r="2538" spans="1:3" x14ac:dyDescent="0.25">
      <c r="A2538" s="8" t="str">
        <f>"2011 IEEE 18th International Conference on Industrial Engineering and Engineering Management, IE and EM 2011"</f>
        <v>2011 IEEE 18th International Conference on Industrial Engineering and Engineering Management, IE and EM 2011</v>
      </c>
      <c r="B2538" s="8" t="str">
        <f>"9781612844473"</f>
        <v>9781612844473</v>
      </c>
      <c r="C2538" s="8" t="s">
        <v>9</v>
      </c>
    </row>
    <row r="2539" spans="1:3" x14ac:dyDescent="0.25">
      <c r="A2539" s="8" t="str">
        <f>"2011 IEEE 19th Signal Processing and Communications Applications Conference, SIU 2011"</f>
        <v>2011 IEEE 19th Signal Processing and Communications Applications Conference, SIU 2011</v>
      </c>
      <c r="B2539" s="8" t="str">
        <f>"9781457704635"</f>
        <v>9781457704635</v>
      </c>
      <c r="C2539" s="8" t="s">
        <v>9</v>
      </c>
    </row>
    <row r="2540" spans="1:3" x14ac:dyDescent="0.25">
      <c r="A2540" s="8" t="str">
        <f>"2011 IEEE 1st Conference on Clean Energy and Technology, CET 2011"</f>
        <v>2011 IEEE 1st Conference on Clean Energy and Technology, CET 2011</v>
      </c>
      <c r="B2540" s="8" t="str">
        <f>"9781457713545"</f>
        <v>9781457713545</v>
      </c>
      <c r="C2540" s="8" t="s">
        <v>9</v>
      </c>
    </row>
    <row r="2541" spans="1:3" x14ac:dyDescent="0.25">
      <c r="A2541" s="8" t="str">
        <f>"2011 IEEE 1st International Conference on Computational Advances in Bio and Medical Sciences, ICCABS 2011"</f>
        <v>2011 IEEE 1st International Conference on Computational Advances in Bio and Medical Sciences, ICCABS 2011</v>
      </c>
      <c r="B2541" s="8" t="str">
        <f>"9781612848525"</f>
        <v>9781612848525</v>
      </c>
      <c r="C2541" s="8" t="s">
        <v>9</v>
      </c>
    </row>
    <row r="2542" spans="1:3" x14ac:dyDescent="0.25">
      <c r="A2542" s="8" t="str">
        <f>"2011 IEEE 1st International Conference on Serious Games and Applications for Health, SeGAH 2011"</f>
        <v>2011 IEEE 1st International Conference on Serious Games and Applications for Health, SeGAH 2011</v>
      </c>
      <c r="B2542" s="8" t="str">
        <f>"9781467304337"</f>
        <v>9781467304337</v>
      </c>
      <c r="C2542" s="8" t="s">
        <v>9</v>
      </c>
    </row>
    <row r="2543" spans="1:3" x14ac:dyDescent="0.25">
      <c r="A2543" s="8" t="str">
        <f>"2011 IEEE 1st International Workshop on Smart Grid Modeling and Simulation, SGMS 2011"</f>
        <v>2011 IEEE 1st International Workshop on Smart Grid Modeling and Simulation, SGMS 2011</v>
      </c>
      <c r="B2543" s="8" t="str">
        <f>"9781467301954"</f>
        <v>9781467301954</v>
      </c>
      <c r="C2543" s="8" t="s">
        <v>9</v>
      </c>
    </row>
    <row r="2544" spans="1:3" x14ac:dyDescent="0.25">
      <c r="A2544" s="8" t="str">
        <f>"2011 IEEE 20th Conference on Electrical Performance of Electronic Packaging and Systems, EPEPS-2011"</f>
        <v>2011 IEEE 20th Conference on Electrical Performance of Electronic Packaging and Systems, EPEPS-2011</v>
      </c>
      <c r="B2544" s="8" t="str">
        <f>"9781424493999"</f>
        <v>9781424493999</v>
      </c>
      <c r="C2544" s="8" t="s">
        <v>9</v>
      </c>
    </row>
    <row r="2545" spans="1:3" x14ac:dyDescent="0.25">
      <c r="A2545" s="8" t="str">
        <f>"2011 IEEE 2nd Latin American Symposium on Circuits and Systems, LASCAS 2011 - Conference Proceedings"</f>
        <v>2011 IEEE 2nd Latin American Symposium on Circuits and Systems, LASCAS 2011 - Conference Proceedings</v>
      </c>
      <c r="B2545" s="8" t="str">
        <f>"9781424494859"</f>
        <v>9781424494859</v>
      </c>
      <c r="C2545" s="8" t="s">
        <v>9</v>
      </c>
    </row>
    <row r="2546" spans="1:3" x14ac:dyDescent="0.25">
      <c r="A2546" s="8" t="str">
        <f>"2011 IEEE 37th Annual Northeast Bioengineering Conference, NEBEC 2011"</f>
        <v>2011 IEEE 37th Annual Northeast Bioengineering Conference, NEBEC 2011</v>
      </c>
      <c r="B2546" s="8" t="str">
        <f>"9781612848273"</f>
        <v>9781612848273</v>
      </c>
      <c r="C2546" s="8" t="s">
        <v>9</v>
      </c>
    </row>
    <row r="2547" spans="1:3" x14ac:dyDescent="0.25">
      <c r="A2547" s="8" t="str">
        <f>"2011 IEEE 3rd International Conference on Communication Software and Networks, ICCSN 2011"</f>
        <v>2011 IEEE 3rd International Conference on Communication Software and Networks, ICCSN 2011</v>
      </c>
      <c r="B2547" s="8" t="str">
        <f>"9781612844855"</f>
        <v>9781612844855</v>
      </c>
      <c r="C2547" s="8" t="s">
        <v>9</v>
      </c>
    </row>
    <row r="2548" spans="1:3" x14ac:dyDescent="0.25">
      <c r="A2548" s="8" t="str">
        <f>"2011 IEEE 5th International Conference on Internet Multimedia Systems Architecture and Application, IMSAA 2011 - Conference Proceedings"</f>
        <v>2011 IEEE 5th International Conference on Internet Multimedia Systems Architecture and Application, IMSAA 2011 - Conference Proceedings</v>
      </c>
      <c r="B2548" s="8" t="str">
        <f>"9781457713286"</f>
        <v>9781457713286</v>
      </c>
      <c r="C2548" s="8" t="s">
        <v>9</v>
      </c>
    </row>
    <row r="2549" spans="1:3" x14ac:dyDescent="0.25">
      <c r="A2549" s="8" t="str">
        <f>"2011 IEEE 7th International Workshop on Storage Network Architecture and Parallel I/Os, SNAPI 2011"</f>
        <v>2011 IEEE 7th International Workshop on Storage Network Architecture and Parallel I/Os, SNAPI 2011</v>
      </c>
      <c r="B2549" s="8" t="str">
        <f>"9781457704284"</f>
        <v>9781457704284</v>
      </c>
      <c r="C2549" s="8" t="s">
        <v>9</v>
      </c>
    </row>
    <row r="2550" spans="1:3" x14ac:dyDescent="0.25">
      <c r="A2550" s="8" t="str">
        <f>"2011 IEEE 9th International New Circuits and Systems Conference, NEWCAS 2011"</f>
        <v>2011 IEEE 9th International New Circuits and Systems Conference, NEWCAS 2011</v>
      </c>
      <c r="B2550" s="8" t="str">
        <f>"9781612841359"</f>
        <v>9781612841359</v>
      </c>
      <c r="C2550" s="8" t="s">
        <v>9</v>
      </c>
    </row>
    <row r="2551" spans="1:3" x14ac:dyDescent="0.25">
      <c r="A2551" s="8" t="str">
        <f>"2011 IEEE 9th Latin American Robotics Symposium and IEEE Colombian Conference on Automatic Control, LARC 2011 - Conference Proceedings"</f>
        <v>2011 IEEE 9th Latin American Robotics Symposium and IEEE Colombian Conference on Automatic Control, LARC 2011 - Conference Proceedings</v>
      </c>
      <c r="B2551" s="8" t="str">
        <f>"9781457716904"</f>
        <v>9781457716904</v>
      </c>
      <c r="C2551" s="8" t="s">
        <v>9</v>
      </c>
    </row>
    <row r="2552" spans="1:3" x14ac:dyDescent="0.25">
      <c r="A2552" s="8" t="str">
        <f>"2011 IEEE Applied Electromagnetics Conference, AEMC 2011"</f>
        <v>2011 IEEE Applied Electromagnetics Conference, AEMC 2011</v>
      </c>
      <c r="B2552" s="8" t="str">
        <f>"9781457710988"</f>
        <v>9781457710988</v>
      </c>
      <c r="C2552" s="8" t="s">
        <v>9</v>
      </c>
    </row>
    <row r="2553" spans="1:3" x14ac:dyDescent="0.25">
      <c r="A2553" s="8" t="str">
        <f>"2011 IEEE Applied Power Electronics Colloquium, IAPEC 2011"</f>
        <v>2011 IEEE Applied Power Electronics Colloquium, IAPEC 2011</v>
      </c>
      <c r="B2553" s="8" t="str">
        <f>"9781457700088"</f>
        <v>9781457700088</v>
      </c>
      <c r="C2553" s="8" t="s">
        <v>9</v>
      </c>
    </row>
    <row r="2554" spans="1:3" x14ac:dyDescent="0.25">
      <c r="A2554" s="8" t="str">
        <f>"2011 IEEE Avionics, Fiber- Optics and Photonics Technology Conference, AVFOP 2011"</f>
        <v>2011 IEEE Avionics, Fiber- Optics and Photonics Technology Conference, AVFOP 2011</v>
      </c>
      <c r="B2554" s="8" t="str">
        <f>"9781424473441"</f>
        <v>9781424473441</v>
      </c>
      <c r="C2554" s="8" t="s">
        <v>9</v>
      </c>
    </row>
    <row r="2555" spans="1:3" x14ac:dyDescent="0.25">
      <c r="A2555" s="8" t="str">
        <f>"2011 IEEE Biomedical Circuits and Systems Conference, BioCAS 2011"</f>
        <v>2011 IEEE Biomedical Circuits and Systems Conference, BioCAS 2011</v>
      </c>
      <c r="B2555" s="8" t="str">
        <f>"9781457714696"</f>
        <v>9781457714696</v>
      </c>
      <c r="C2555" s="8" t="s">
        <v>9</v>
      </c>
    </row>
    <row r="2556" spans="1:3" x14ac:dyDescent="0.25">
      <c r="A2556" s="8" t="str">
        <f>"2011 IEEE Colloquium on Humanities, Science and Engineering, CHUSER 2011"</f>
        <v>2011 IEEE Colloquium on Humanities, Science and Engineering, CHUSER 2011</v>
      </c>
      <c r="B2556" s="8" t="str">
        <f>"9781467300193"</f>
        <v>9781467300193</v>
      </c>
      <c r="C2556" s="8" t="s">
        <v>9</v>
      </c>
    </row>
    <row r="2557" spans="1:3" x14ac:dyDescent="0.25">
      <c r="A2557" s="8" t="str">
        <f>"2011 IEEE Conference on Computational Intelligence and Games, CIG 2011"</f>
        <v>2011 IEEE Conference on Computational Intelligence and Games, CIG 2011</v>
      </c>
      <c r="B2557" s="8" t="str">
        <f>"9781457700095"</f>
        <v>9781457700095</v>
      </c>
      <c r="C2557" s="8" t="s">
        <v>9</v>
      </c>
    </row>
    <row r="2558" spans="1:3" x14ac:dyDescent="0.25">
      <c r="A2558" s="8" t="str">
        <f>"2011 IEEE Conference on Computer Communications Workshops, INFOCOM WKSHPS 2011"</f>
        <v>2011 IEEE Conference on Computer Communications Workshops, INFOCOM WKSHPS 2011</v>
      </c>
      <c r="B2558" s="8" t="str">
        <f>"9781457702488"</f>
        <v>9781457702488</v>
      </c>
      <c r="C2558" s="8" t="s">
        <v>9</v>
      </c>
    </row>
    <row r="2559" spans="1:3" x14ac:dyDescent="0.25">
      <c r="A2559" s="8" t="str">
        <f>"2011 IEEE Conference on Open Systems, ICOS 2011"</f>
        <v>2011 IEEE Conference on Open Systems, ICOS 2011</v>
      </c>
      <c r="B2559" s="8" t="str">
        <f>"9781612849317"</f>
        <v>9781612849317</v>
      </c>
      <c r="C2559" s="8" t="s">
        <v>9</v>
      </c>
    </row>
    <row r="2560" spans="1:3" x14ac:dyDescent="0.25">
      <c r="A2560" s="8" t="str">
        <f>"2011 IEEE Conference on Sustainable Utilization Development in Engineering and Technology, STUDENT 2011"</f>
        <v>2011 IEEE Conference on Sustainable Utilization Development in Engineering and Technology, STUDENT 2011</v>
      </c>
      <c r="B2560" s="8" t="str">
        <f>"9781457704444"</f>
        <v>9781457704444</v>
      </c>
      <c r="C2560" s="8" t="s">
        <v>9</v>
      </c>
    </row>
    <row r="2561" spans="1:3" x14ac:dyDescent="0.25">
      <c r="A2561" s="8" t="str">
        <f>"2011 IEEE Conference on Technologies for Practical Robot Applications, TePRA 2011"</f>
        <v>2011 IEEE Conference on Technologies for Practical Robot Applications, TePRA 2011</v>
      </c>
      <c r="B2561" s="8" t="str">
        <f>"9781612844824"</f>
        <v>9781612844824</v>
      </c>
      <c r="C2561" s="8" t="s">
        <v>9</v>
      </c>
    </row>
    <row r="2562" spans="1:3" x14ac:dyDescent="0.25">
      <c r="A2562" s="8" t="str">
        <f>"2011 IEEE Congress of Evolutionary Computation, CEC 2011"</f>
        <v>2011 IEEE Congress of Evolutionary Computation, CEC 2011</v>
      </c>
      <c r="B2562" s="8" t="str">
        <f>"9781424478347"</f>
        <v>9781424478347</v>
      </c>
      <c r="C2562" s="8" t="s">
        <v>9</v>
      </c>
    </row>
    <row r="2563" spans="1:3" x14ac:dyDescent="0.25">
      <c r="A2563" s="8" t="str">
        <f>"2011 IEEE Consumer Communications and Networking Conference, CCNC'2011"</f>
        <v>2011 IEEE Consumer Communications and Networking Conference, CCNC'2011</v>
      </c>
      <c r="B2563" s="8" t="str">
        <f>"9781424487905"</f>
        <v>9781424487905</v>
      </c>
      <c r="C2563" s="8" t="s">
        <v>9</v>
      </c>
    </row>
    <row r="2564" spans="1:3" x14ac:dyDescent="0.25">
      <c r="A2564" s="8" t="str">
        <f>"2011 IEEE Electric Ship Technologies Symposium, ESTS 2011"</f>
        <v>2011 IEEE Electric Ship Technologies Symposium, ESTS 2011</v>
      </c>
      <c r="B2564" s="8" t="str">
        <f>"9781424492725"</f>
        <v>9781424492725</v>
      </c>
      <c r="C2564" s="8" t="s">
        <v>9</v>
      </c>
    </row>
    <row r="2565" spans="1:3" x14ac:dyDescent="0.25">
      <c r="A2565" s="8" t="str">
        <f>"2011 IEEE Electrical Design of Advanced Packaging and Systems Symposium, EDAPS 2011"</f>
        <v>2011 IEEE Electrical Design of Advanced Packaging and Systems Symposium, EDAPS 2011</v>
      </c>
      <c r="B2565" s="8" t="str">
        <f>"9781467322881"</f>
        <v>9781467322881</v>
      </c>
      <c r="C2565" s="8" t="s">
        <v>21</v>
      </c>
    </row>
    <row r="2566" spans="1:3" x14ac:dyDescent="0.25">
      <c r="A2566" s="8" t="str">
        <f>"2011 IEEE Electrical Power and Energy Conference, EPEC 2011"</f>
        <v>2011 IEEE Electrical Power and Energy Conference, EPEC 2011</v>
      </c>
      <c r="B2566" s="8" t="str">
        <f>"9781457704048"</f>
        <v>9781457704048</v>
      </c>
      <c r="C2566" s="8" t="s">
        <v>9</v>
      </c>
    </row>
    <row r="2567" spans="1:3" x14ac:dyDescent="0.25">
      <c r="A2567" s="8" t="str">
        <f>"2011 IEEE Forum on Integrated and Sustainable Transportation Systems, FISTS 2011"</f>
        <v>2011 IEEE Forum on Integrated and Sustainable Transportation Systems, FISTS 2011</v>
      </c>
      <c r="B2567" s="8" t="str">
        <f>"9781457709906"</f>
        <v>9781457709906</v>
      </c>
      <c r="C2567" s="8" t="s">
        <v>9</v>
      </c>
    </row>
    <row r="2568" spans="1:3" x14ac:dyDescent="0.25">
      <c r="A2568" s="8" t="str">
        <f>"2011 IEEE GCC Conference and Exhibition, GCC 2011"</f>
        <v>2011 IEEE GCC Conference and Exhibition, GCC 2011</v>
      </c>
      <c r="B2568" s="8" t="str">
        <f>"9781612841199"</f>
        <v>9781612841199</v>
      </c>
      <c r="C2568" s="8" t="s">
        <v>9</v>
      </c>
    </row>
    <row r="2569" spans="1:3" x14ac:dyDescent="0.25">
      <c r="A2569" s="8" t="str">
        <f>"2011 IEEE Global Engineering Education Conference, EDUCON 2011"</f>
        <v>2011 IEEE Global Engineering Education Conference, EDUCON 2011</v>
      </c>
      <c r="B2569" s="8" t="str">
        <f>"9781612846439"</f>
        <v>9781612846439</v>
      </c>
      <c r="C2569" s="8" t="s">
        <v>9</v>
      </c>
    </row>
    <row r="2570" spans="1:3" x14ac:dyDescent="0.25">
      <c r="A2570" s="8" t="str">
        <f>"2011 IEEE GLOBECOM Workshops, GC Wkshps 2011"</f>
        <v>2011 IEEE GLOBECOM Workshops, GC Wkshps 2011</v>
      </c>
      <c r="B2570" s="8" t="str">
        <f>"9781467300407"</f>
        <v>9781467300407</v>
      </c>
      <c r="C2570" s="8" t="s">
        <v>9</v>
      </c>
    </row>
    <row r="2571" spans="1:3" x14ac:dyDescent="0.25">
      <c r="A2571" s="8" t="str">
        <f>"2011 IEEE Green Technologies Conference, Green 2011"</f>
        <v>2011 IEEE Green Technologies Conference, Green 2011</v>
      </c>
      <c r="B2571" s="8" t="str">
        <f>"9781612847146"</f>
        <v>9781612847146</v>
      </c>
      <c r="C2571" s="8" t="s">
        <v>9</v>
      </c>
    </row>
    <row r="2572" spans="1:3" x14ac:dyDescent="0.25">
      <c r="A2572" s="8" t="str">
        <f>"2011 IEEE Indian Antenna Week - Workshop on Advanced Antenna Technology, IAW 2011"</f>
        <v>2011 IEEE Indian Antenna Week - Workshop on Advanced Antenna Technology, IAW 2011</v>
      </c>
      <c r="B2572" s="8" t="str">
        <f>"9781457714566"</f>
        <v>9781457714566</v>
      </c>
      <c r="C2572" s="8" t="s">
        <v>9</v>
      </c>
    </row>
    <row r="2573" spans="1:3" x14ac:dyDescent="0.25">
      <c r="A2573" s="8" t="str">
        <f>"2011 IEEE Information Theory Workshop, ITW 2011"</f>
        <v>2011 IEEE Information Theory Workshop, ITW 2011</v>
      </c>
      <c r="B2573" s="8" t="str">
        <f>"9781457704376"</f>
        <v>9781457704376</v>
      </c>
      <c r="C2573" s="8" t="s">
        <v>9</v>
      </c>
    </row>
    <row r="2574" spans="1:3" x14ac:dyDescent="0.25">
      <c r="A2574" s="8" t="str">
        <f>"2011 IEEE International 3D Systems Integration Conference, 3DIC 2011"</f>
        <v>2011 IEEE International 3D Systems Integration Conference, 3DIC 2011</v>
      </c>
      <c r="B2574" s="8" t="str">
        <f>"9781467321891"</f>
        <v>9781467321891</v>
      </c>
      <c r="C2574" s="8" t="s">
        <v>9</v>
      </c>
    </row>
    <row r="2575" spans="1:3" x14ac:dyDescent="0.25">
      <c r="A2575" s="8" t="str">
        <f>"2011 IEEE International Conference of Electron Devices and Solid-State Circuits, EDSSC 2011"</f>
        <v>2011 IEEE International Conference of Electron Devices and Solid-State Circuits, EDSSC 2011</v>
      </c>
      <c r="B2575" s="8" t="str">
        <f>"9781457719974"</f>
        <v>9781457719974</v>
      </c>
      <c r="C2575" s="8" t="s">
        <v>9</v>
      </c>
    </row>
    <row r="2576" spans="1:3" x14ac:dyDescent="0.25">
      <c r="A2576" s="8" t="str">
        <f>"2011 IEEE International Conference on Automatic Face and Gesture Recognition and Workshops, FG 2011"</f>
        <v>2011 IEEE International Conference on Automatic Face and Gesture Recognition and Workshops, FG 2011</v>
      </c>
      <c r="B2576" s="8" t="str">
        <f>"9781424491407"</f>
        <v>9781424491407</v>
      </c>
      <c r="C2576" s="8" t="s">
        <v>9</v>
      </c>
    </row>
    <row r="2577" spans="1:3" x14ac:dyDescent="0.25">
      <c r="A2577" s="8" t="str">
        <f>"2011 IEEE International Conference on Bioinformatics and Biomedicine Workshops, BIBMW 2011"</f>
        <v>2011 IEEE International Conference on Bioinformatics and Biomedicine Workshops, BIBMW 2011</v>
      </c>
      <c r="B2577" s="8" t="str">
        <f>"9781457716133"</f>
        <v>9781457716133</v>
      </c>
      <c r="C2577" s="8" t="s">
        <v>9</v>
      </c>
    </row>
    <row r="2578" spans="1:3" x14ac:dyDescent="0.25">
      <c r="A2578" s="8" t="str">
        <f>"2011 IEEE International Conference on Computational Photography, ICCP 2011"</f>
        <v>2011 IEEE International Conference on Computational Photography, ICCP 2011</v>
      </c>
      <c r="B2578" s="8" t="str">
        <f>"9781612847061"</f>
        <v>9781612847061</v>
      </c>
      <c r="C2578" s="8" t="s">
        <v>9</v>
      </c>
    </row>
    <row r="2579" spans="1:3" x14ac:dyDescent="0.25">
      <c r="A2579" s="8" t="str">
        <f>"2011 IEEE International Conference on Cyber Technology in Automation, Control, and Intelligent Systems, CYBER 2011"</f>
        <v>2011 IEEE International Conference on Cyber Technology in Automation, Control, and Intelligent Systems, CYBER 2011</v>
      </c>
      <c r="B2579" s="8" t="str">
        <f>"9781612849102"</f>
        <v>9781612849102</v>
      </c>
      <c r="C2579" s="8" t="s">
        <v>9</v>
      </c>
    </row>
    <row r="2580" spans="1:3" x14ac:dyDescent="0.25">
      <c r="A2580" s="8" t="str">
        <f>"2011 IEEE International Conference on Development and Learning, ICDL 2011"</f>
        <v>2011 IEEE International Conference on Development and Learning, ICDL 2011</v>
      </c>
      <c r="B2580" s="8" t="str">
        <f>"9781612849904"</f>
        <v>9781612849904</v>
      </c>
      <c r="C2580" s="8" t="s">
        <v>9</v>
      </c>
    </row>
    <row r="2581" spans="1:3" x14ac:dyDescent="0.25">
      <c r="A2581" s="8" t="str">
        <f>"2011 IEEE International Conference on Imaging Systems and Techniques, IST 2011 - Proceedings"</f>
        <v>2011 IEEE International Conference on Imaging Systems and Techniques, IST 2011 - Proceedings</v>
      </c>
      <c r="B2581" s="8" t="str">
        <f>"9781612848969"</f>
        <v>9781612848969</v>
      </c>
      <c r="C2581" s="8" t="s">
        <v>9</v>
      </c>
    </row>
    <row r="2582" spans="1:3" x14ac:dyDescent="0.25">
      <c r="A2582" s="8" t="str">
        <f>"2011 IEEE International Conference on Information and Automation, ICIA 2011"</f>
        <v>2011 IEEE International Conference on Information and Automation, ICIA 2011</v>
      </c>
      <c r="B2582" s="8" t="str">
        <f>"9781457702686"</f>
        <v>9781457702686</v>
      </c>
      <c r="C2582" s="8" t="s">
        <v>9</v>
      </c>
    </row>
    <row r="2583" spans="1:3" x14ac:dyDescent="0.25">
      <c r="A2583" s="8" t="str">
        <f>"2011 IEEE International Conference on Integrated Circuit Design and Technology, ICICDT 2011"</f>
        <v>2011 IEEE International Conference on Integrated Circuit Design and Technology, ICICDT 2011</v>
      </c>
      <c r="B2583" s="8" t="str">
        <f>"9781424490202"</f>
        <v>9781424490202</v>
      </c>
      <c r="C2583" s="8" t="s">
        <v>9</v>
      </c>
    </row>
    <row r="2584" spans="1:3" x14ac:dyDescent="0.25">
      <c r="A2584" s="8" t="str">
        <f>"2011 IEEE International Conference on Mechatronics and Automation, ICMA 2011"</f>
        <v>2011 IEEE International Conference on Mechatronics and Automation, ICMA 2011</v>
      </c>
      <c r="B2584" s="8" t="str">
        <f>"9781424481149"</f>
        <v>9781424481149</v>
      </c>
      <c r="C2584" s="8" t="s">
        <v>9</v>
      </c>
    </row>
    <row r="2585" spans="1:3" x14ac:dyDescent="0.25">
      <c r="A2585" s="8" t="str">
        <f>"2011 IEEE International Conference on Mechatronics, ICM 2011 - Proceedings"</f>
        <v>2011 IEEE International Conference on Mechatronics, ICM 2011 - Proceedings</v>
      </c>
      <c r="B2585" s="8" t="str">
        <f>"9781612849836"</f>
        <v>9781612849836</v>
      </c>
      <c r="C2585" s="8" t="s">
        <v>9</v>
      </c>
    </row>
    <row r="2586" spans="1:3" x14ac:dyDescent="0.25">
      <c r="A2586" s="8" t="str">
        <f>"2011 IEEE International Conference on Microelectronic Systems Education, MSE 2011"</f>
        <v>2011 IEEE International Conference on Microelectronic Systems Education, MSE 2011</v>
      </c>
      <c r="B2586" s="8" t="str">
        <f>"9781457705489"</f>
        <v>9781457705489</v>
      </c>
      <c r="C2586" s="8" t="s">
        <v>9</v>
      </c>
    </row>
    <row r="2587" spans="1:3" x14ac:dyDescent="0.25">
      <c r="A2587" s="8" t="str">
        <f>"2011 IEEE International Conference on Microwaves, Communications, Antennas and Electronic Systems, COMCAS 2011"</f>
        <v>2011 IEEE International Conference on Microwaves, Communications, Antennas and Electronic Systems, COMCAS 2011</v>
      </c>
      <c r="B2587" s="8" t="str">
        <f>"9781457716928"</f>
        <v>9781457716928</v>
      </c>
      <c r="C2587" s="8" t="s">
        <v>9</v>
      </c>
    </row>
    <row r="2588" spans="1:3" x14ac:dyDescent="0.25">
      <c r="A2588" s="8" t="str">
        <f>"2011 IEEE International Conference on Peer-to-Peer Computing, P2P 2011 - Proceedings"</f>
        <v>2011 IEEE International Conference on Peer-to-Peer Computing, P2P 2011 - Proceedings</v>
      </c>
      <c r="B2588" s="8" t="str">
        <f>"9781457701498"</f>
        <v>9781457701498</v>
      </c>
      <c r="C2588" s="8" t="s">
        <v>9</v>
      </c>
    </row>
    <row r="2589" spans="1:3" x14ac:dyDescent="0.25">
      <c r="A2589" s="8" t="str">
        <f>"2011 IEEE International Conference on Pervasive Computing and Communications Workshops, PERCOM Workshops 2011"</f>
        <v>2011 IEEE International Conference on Pervasive Computing and Communications Workshops, PERCOM Workshops 2011</v>
      </c>
      <c r="B2589" s="8" t="str">
        <f>"9781612849379"</f>
        <v>9781612849379</v>
      </c>
      <c r="C2589" s="8" t="s">
        <v>9</v>
      </c>
    </row>
    <row r="2590" spans="1:3" x14ac:dyDescent="0.25">
      <c r="A2590" s="8" t="str">
        <f>"2011 IEEE International Conference on Pervasive Computing and Communications, PerCom 2011"</f>
        <v>2011 IEEE International Conference on Pervasive Computing and Communications, PerCom 2011</v>
      </c>
      <c r="B2590" s="8" t="str">
        <f>"9781424495290"</f>
        <v>9781424495290</v>
      </c>
      <c r="C2590" s="8" t="s">
        <v>9</v>
      </c>
    </row>
    <row r="2591" spans="1:3" x14ac:dyDescent="0.25">
      <c r="A2591" s="8" t="str">
        <f>"2011 IEEE International Conference on Prognostics and Health Management, PHM 2011 - Conference Proceedings"</f>
        <v>2011 IEEE International Conference on Prognostics and Health Management, PHM 2011 - Conference Proceedings</v>
      </c>
      <c r="B2591" s="8" t="str">
        <f>"9781424498260"</f>
        <v>9781424498260</v>
      </c>
      <c r="C2591" s="8" t="s">
        <v>21</v>
      </c>
    </row>
    <row r="2592" spans="1:3" x14ac:dyDescent="0.25">
      <c r="A2592" s="8" t="str">
        <f>"2011 IEEE International Conference on Quality and Reliability, ICQR 2011"</f>
        <v>2011 IEEE International Conference on Quality and Reliability, ICQR 2011</v>
      </c>
      <c r="B2592" s="8" t="str">
        <f>"9781457706288"</f>
        <v>9781457706288</v>
      </c>
      <c r="C2592" s="8" t="s">
        <v>9</v>
      </c>
    </row>
    <row r="2593" spans="1:3" x14ac:dyDescent="0.25">
      <c r="A2593" s="8" t="str">
        <f>"2011 IEEE International Conference on RFID, RFID 2011"</f>
        <v>2011 IEEE International Conference on RFID, RFID 2011</v>
      </c>
      <c r="B2593" s="8" t="str">
        <f>"9781424496068"</f>
        <v>9781424496068</v>
      </c>
      <c r="C2593" s="8" t="s">
        <v>9</v>
      </c>
    </row>
    <row r="2594" spans="1:3" x14ac:dyDescent="0.25">
      <c r="A2594" s="8" t="str">
        <f>"2011 IEEE International Conference on RFID-Technologies and Applications, RFID-TA 2011"</f>
        <v>2011 IEEE International Conference on RFID-Technologies and Applications, RFID-TA 2011</v>
      </c>
      <c r="B2594" s="8" t="str">
        <f>"9781457700279"</f>
        <v>9781457700279</v>
      </c>
      <c r="C2594" s="8" t="s">
        <v>9</v>
      </c>
    </row>
    <row r="2595" spans="1:3" x14ac:dyDescent="0.25">
      <c r="A2595" s="8" t="str">
        <f>"2011 IEEE International Conference on Robotics and Biomimetics, ROBIO 2011"</f>
        <v>2011 IEEE International Conference on Robotics and Biomimetics, ROBIO 2011</v>
      </c>
      <c r="B2595" s="8" t="str">
        <f>"9781457721373"</f>
        <v>9781457721373</v>
      </c>
      <c r="C2595" s="8" t="s">
        <v>9</v>
      </c>
    </row>
    <row r="2596" spans="1:3" x14ac:dyDescent="0.25">
      <c r="A2596" s="8" t="str">
        <f>"2011 IEEE International Conference on Signal and Image Processing Applications, ICSIPA 2011"</f>
        <v>2011 IEEE International Conference on Signal and Image Processing Applications, ICSIPA 2011</v>
      </c>
      <c r="B2596" s="8" t="str">
        <f>"9781457702419"</f>
        <v>9781457702419</v>
      </c>
      <c r="C2596" s="8" t="s">
        <v>9</v>
      </c>
    </row>
    <row r="2597" spans="1:3" x14ac:dyDescent="0.25">
      <c r="A2597" s="8" t="str">
        <f>"2011 IEEE International Conference on Signal Processing, Communications and Computing, ICSPCC 2011"</f>
        <v>2011 IEEE International Conference on Signal Processing, Communications and Computing, ICSPCC 2011</v>
      </c>
      <c r="B2597" s="8" t="str">
        <f>"9781457708947"</f>
        <v>9781457708947</v>
      </c>
      <c r="C2597" s="8" t="s">
        <v>9</v>
      </c>
    </row>
    <row r="2598" spans="1:3" x14ac:dyDescent="0.25">
      <c r="A2598" s="8" t="str">
        <f>"2011 IEEE International Conference on Smart Grid Communications, SmartGridComm 2011"</f>
        <v>2011 IEEE International Conference on Smart Grid Communications, SmartGridComm 2011</v>
      </c>
      <c r="B2598" s="8" t="str">
        <f>"9781457717024"</f>
        <v>9781457717024</v>
      </c>
      <c r="C2598" s="8" t="s">
        <v>9</v>
      </c>
    </row>
    <row r="2599" spans="1:3" x14ac:dyDescent="0.25">
      <c r="A2599" s="8" t="s">
        <v>1366</v>
      </c>
      <c r="B2599" s="8" t="str">
        <f>"-"</f>
        <v>-</v>
      </c>
      <c r="C2599" s="8" t="s">
        <v>9</v>
      </c>
    </row>
    <row r="2600" spans="1:3" x14ac:dyDescent="0.25">
      <c r="A2600" s="8" t="str">
        <f>"2011 IEEE International Conference on Systems Biology, ISB 2011"</f>
        <v>2011 IEEE International Conference on Systems Biology, ISB 2011</v>
      </c>
      <c r="B2600" s="8" t="str">
        <f>"9781457716669"</f>
        <v>9781457716669</v>
      </c>
      <c r="C2600" s="8" t="s">
        <v>9</v>
      </c>
    </row>
    <row r="2601" spans="1:3" x14ac:dyDescent="0.25">
      <c r="A2601" s="8" t="str">
        <f>"2011 IEEE International Conference on Technologies for Homeland Security, HST 2011"</f>
        <v>2011 IEEE International Conference on Technologies for Homeland Security, HST 2011</v>
      </c>
      <c r="B2601" s="8" t="str">
        <f>"9781457713750"</f>
        <v>9781457713750</v>
      </c>
      <c r="C2601" s="8" t="s">
        <v>9</v>
      </c>
    </row>
    <row r="2602" spans="1:3" x14ac:dyDescent="0.25">
      <c r="A2602" s="8" t="str">
        <f>"2011 IEEE International Electric Machines and Drives Conference, IEMDC 2011"</f>
        <v>2011 IEEE International Electric Machines and Drives Conference, IEMDC 2011</v>
      </c>
      <c r="B2602" s="8" t="str">
        <f>"9781457700613"</f>
        <v>9781457700613</v>
      </c>
      <c r="C2602" s="8" t="s">
        <v>9</v>
      </c>
    </row>
    <row r="2603" spans="1:3" x14ac:dyDescent="0.25">
      <c r="A2603" s="8" t="str">
        <f>"2011 IEEE International Games Innovation Conference, IGIC 2011"</f>
        <v>2011 IEEE International Games Innovation Conference, IGIC 2011</v>
      </c>
      <c r="B2603" s="8" t="str">
        <f>"9781457702587"</f>
        <v>9781457702587</v>
      </c>
      <c r="C2603" s="8" t="s">
        <v>9</v>
      </c>
    </row>
    <row r="2604" spans="1:3" x14ac:dyDescent="0.25">
      <c r="A2604" s="8" t="str">
        <f>"2011 IEEE International Interconnect Technology Conference and 2011 Materials for Advanced Metallization, IITC/MAM 2011"</f>
        <v>2011 IEEE International Interconnect Technology Conference and 2011 Materials for Advanced Metallization, IITC/MAM 2011</v>
      </c>
      <c r="B2604" s="8" t="str">
        <f>"9781457705038"</f>
        <v>9781457705038</v>
      </c>
      <c r="C2604" s="8" t="s">
        <v>9</v>
      </c>
    </row>
    <row r="2605" spans="1:3" x14ac:dyDescent="0.25">
      <c r="A2605" s="8" t="str">
        <f>"2011 IEEE International Multi-Disciplinary Conference on Cognitive Methods in Situation Awareness and Decision Support, CogSIMA 2011"</f>
        <v>2011 IEEE International Multi-Disciplinary Conference on Cognitive Methods in Situation Awareness and Decision Support, CogSIMA 2011</v>
      </c>
      <c r="B2605" s="8" t="str">
        <f>"9781612847863"</f>
        <v>9781612847863</v>
      </c>
      <c r="C2605" s="8" t="s">
        <v>9</v>
      </c>
    </row>
    <row r="2606" spans="1:3" x14ac:dyDescent="0.25">
      <c r="A2606" s="8" t="str">
        <f>"2011 IEEE International RF and Microwave Conference, RFM 2011 - Proceedings"</f>
        <v>2011 IEEE International RF and Microwave Conference, RFM 2011 - Proceedings</v>
      </c>
      <c r="B2606" s="8" t="str">
        <f>"9781457716294"</f>
        <v>9781457716294</v>
      </c>
      <c r="C2606" s="8" t="s">
        <v>9</v>
      </c>
    </row>
    <row r="2607" spans="1:3" x14ac:dyDescent="0.25">
      <c r="A2607" s="8" t="str">
        <f>"2011 IEEE International Symposium on a World of Wireless, Mobile and Multimedia Networks, WoWMoM 2011 - Digital Proceedings"</f>
        <v>2011 IEEE International Symposium on a World of Wireless, Mobile and Multimedia Networks, WoWMoM 2011 - Digital Proceedings</v>
      </c>
      <c r="B2607" s="8" t="str">
        <f>"9781457703515"</f>
        <v>9781457703515</v>
      </c>
      <c r="C2607" s="8" t="s">
        <v>9</v>
      </c>
    </row>
    <row r="2608" spans="1:3" x14ac:dyDescent="0.25">
      <c r="A2608" s="8" t="str">
        <f>"2011 IEEE International Symposium on Dynamic Spectrum Access Networks, DySPAN 2011"</f>
        <v>2011 IEEE International Symposium on Dynamic Spectrum Access Networks, DySPAN 2011</v>
      </c>
      <c r="B2608" s="8" t="str">
        <f>"9781457701788"</f>
        <v>9781457701788</v>
      </c>
      <c r="C2608" s="8" t="s">
        <v>9</v>
      </c>
    </row>
    <row r="2609" spans="1:3" x14ac:dyDescent="0.25">
      <c r="A2609" s="8" t="str">
        <f>"2011 IEEE International Symposium on Hardware-Oriented Security and Trust, HOST 2011"</f>
        <v>2011 IEEE International Symposium on Hardware-Oriented Security and Trust, HOST 2011</v>
      </c>
      <c r="B2609" s="8" t="str">
        <f>"9781457710575"</f>
        <v>9781457710575</v>
      </c>
      <c r="C2609" s="8" t="s">
        <v>9</v>
      </c>
    </row>
    <row r="2610" spans="1:3" x14ac:dyDescent="0.25">
      <c r="A2610" s="8" t="str">
        <f>"2011 IEEE International Symposium on Mixed and Augmented Reality - Arts, Media, and Humanities, ISMAR-AMH 2011"</f>
        <v>2011 IEEE International Symposium on Mixed and Augmented Reality - Arts, Media, and Humanities, ISMAR-AMH 2011</v>
      </c>
      <c r="B2610" s="8" t="str">
        <f>"9781467300575"</f>
        <v>9781467300575</v>
      </c>
      <c r="C2610" s="8" t="s">
        <v>9</v>
      </c>
    </row>
    <row r="2611" spans="1:3" x14ac:dyDescent="0.25">
      <c r="A2611" s="8" t="str">
        <f>"2011 IEEE International Symposium on Power Line Communications and Its Applications, ISPLC 2011"</f>
        <v>2011 IEEE International Symposium on Power Line Communications and Its Applications, ISPLC 2011</v>
      </c>
      <c r="B2611" s="8" t="str">
        <f>"9781424477500"</f>
        <v>9781424477500</v>
      </c>
      <c r="C2611" s="8" t="s">
        <v>9</v>
      </c>
    </row>
    <row r="2612" spans="1:3" x14ac:dyDescent="0.25">
      <c r="A2612" s="8" t="str">
        <f>"2011 IEEE International Symposium on Radio-Frequency Integration Technology, RFIT 2011"</f>
        <v>2011 IEEE International Symposium on Radio-Frequency Integration Technology, RFIT 2011</v>
      </c>
      <c r="B2612" s="8" t="str">
        <f>"9781457705182"</f>
        <v>9781457705182</v>
      </c>
      <c r="C2612" s="8" t="s">
        <v>9</v>
      </c>
    </row>
    <row r="2613" spans="1:3" x14ac:dyDescent="0.25">
      <c r="A2613" s="8" t="str">
        <f>"2011 IEEE International Systems Conference, SysCon 2011 - Proceedings"</f>
        <v>2011 IEEE International Systems Conference, SysCon 2011 - Proceedings</v>
      </c>
      <c r="B2613" s="8" t="str">
        <f>"9781424494927"</f>
        <v>9781424494927</v>
      </c>
      <c r="C2613" s="8" t="s">
        <v>9</v>
      </c>
    </row>
    <row r="2614" spans="1:3" x14ac:dyDescent="0.25">
      <c r="A2614" s="8" t="str">
        <f>"2011 IEEE International Topical Meeting on Microwave Photonics - Jointly Held with the 2011 Asia-Pacific Microwave Photonics Conference, MWP/APMP 2011"</f>
        <v>2011 IEEE International Topical Meeting on Microwave Photonics - Jointly Held with the 2011 Asia-Pacific Microwave Photonics Conference, MWP/APMP 2011</v>
      </c>
      <c r="B2614" s="8" t="str">
        <f>"9781612847184"</f>
        <v>9781612847184</v>
      </c>
      <c r="C2614" s="8" t="s">
        <v>9</v>
      </c>
    </row>
    <row r="2615" spans="1:3" x14ac:dyDescent="0.25">
      <c r="A2615" s="8" t="str">
        <f>"2011 IEEE International Vacuum Electronics Conference, IVEC-2011"</f>
        <v>2011 IEEE International Vacuum Electronics Conference, IVEC-2011</v>
      </c>
      <c r="B2615" s="8" t="str">
        <f>"9781424486595"</f>
        <v>9781424486595</v>
      </c>
      <c r="C2615" s="8" t="s">
        <v>9</v>
      </c>
    </row>
    <row r="2616" spans="1:3" x14ac:dyDescent="0.25">
      <c r="A2616" s="8" t="str">
        <f>"2011 IEEE International Workshop on Applied Measurements for Power Systems, AMPS 2011 - Proceedings"</f>
        <v>2011 IEEE International Workshop on Applied Measurements for Power Systems, AMPS 2011 - Proceedings</v>
      </c>
      <c r="B2616" s="8" t="str">
        <f>"9781612849454"</f>
        <v>9781612849454</v>
      </c>
      <c r="C2616" s="8" t="s">
        <v>9</v>
      </c>
    </row>
    <row r="2617" spans="1:3" x14ac:dyDescent="0.25">
      <c r="A2617" s="8" t="str">
        <f>"2011 IEEE International Workshop on Information Forensics and Security, WIFS 2011"</f>
        <v>2011 IEEE International Workshop on Information Forensics and Security, WIFS 2011</v>
      </c>
      <c r="B2617" s="8" t="str">
        <f>"9781457710179"</f>
        <v>9781457710179</v>
      </c>
      <c r="C2617" s="8" t="s">
        <v>9</v>
      </c>
    </row>
    <row r="2618" spans="1:3" x14ac:dyDescent="0.25">
      <c r="A2618" s="8" t="str">
        <f>"2011 IEEE International Workshop Technical Committee on Communications Quality and Reliability, CQR 2011"</f>
        <v>2011 IEEE International Workshop Technical Committee on Communications Quality and Reliability, CQR 2011</v>
      </c>
      <c r="B2618" s="8" t="str">
        <f>"9781457712975"</f>
        <v>9781457712975</v>
      </c>
      <c r="C2618" s="8" t="s">
        <v>9</v>
      </c>
    </row>
    <row r="2619" spans="1:3" x14ac:dyDescent="0.25">
      <c r="A2619" s="8" t="str">
        <f>"2011 IEEE Jordan Conference on Applied Electrical Engineering and Computing Technologies, AEECT 2011"</f>
        <v>2011 IEEE Jordan Conference on Applied Electrical Engineering and Computing Technologies, AEECT 2011</v>
      </c>
      <c r="B2619" s="8" t="str">
        <f>"9781457710841"</f>
        <v>9781457710841</v>
      </c>
      <c r="C2619" s="8" t="s">
        <v>9</v>
      </c>
    </row>
    <row r="2620" spans="1:3" x14ac:dyDescent="0.25">
      <c r="A2620" s="8" t="str">
        <f>"2011 IEEE Latin-American Conference on Communications, LATINCOM 2011 - Conference Proceedings"</f>
        <v>2011 IEEE Latin-American Conference on Communications, LATINCOM 2011 - Conference Proceedings</v>
      </c>
      <c r="B2620" s="8" t="str">
        <f>"9781467302791"</f>
        <v>9781467302791</v>
      </c>
      <c r="C2620" s="8" t="s">
        <v>9</v>
      </c>
    </row>
    <row r="2621" spans="1:3" x14ac:dyDescent="0.25">
      <c r="A2621" s="8" t="str">
        <f>"2011 IEEE Long Island Systems, Applications and Technology Conference, LISAT 2011"</f>
        <v>2011 IEEE Long Island Systems, Applications and Technology Conference, LISAT 2011</v>
      </c>
      <c r="B2621" s="8" t="str">
        <f>"9781424498772"</f>
        <v>9781424498772</v>
      </c>
      <c r="C2621" s="8" t="s">
        <v>9</v>
      </c>
    </row>
    <row r="2622" spans="1:3" x14ac:dyDescent="0.25">
      <c r="A2622" s="8" t="str">
        <f>"2011 IEEE MTT-S International Microwave Workshop Series on Innovative Wireless Power Transmission: Technologies, Systems, and Applications, IMWS-IWPT 2011 - Proceedings"</f>
        <v>2011 IEEE MTT-S International Microwave Workshop Series on Innovative Wireless Power Transmission: Technologies, Systems, and Applications, IMWS-IWPT 2011 - Proceedings</v>
      </c>
      <c r="B2622" s="8" t="str">
        <f>"9781612842158"</f>
        <v>9781612842158</v>
      </c>
      <c r="C2622" s="8" t="s">
        <v>9</v>
      </c>
    </row>
    <row r="2623" spans="1:3" x14ac:dyDescent="0.25">
      <c r="A2623" s="8" t="str">
        <f>"2011 IEEE MTT-S International Microwave Workshop Series on Intelligent Radio for Future Personal Terminals, IMWS-IRFPT 2011"</f>
        <v>2011 IEEE MTT-S International Microwave Workshop Series on Intelligent Radio for Future Personal Terminals, IMWS-IRFPT 2011</v>
      </c>
      <c r="B2623" s="8" t="str">
        <f>"9781457709630"</f>
        <v>9781457709630</v>
      </c>
      <c r="C2623" s="8" t="s">
        <v>9</v>
      </c>
    </row>
    <row r="2624" spans="1:3" x14ac:dyDescent="0.25">
      <c r="A2624" s="8" t="str">
        <f>"2011 IEEE MTT-S International Microwave Workshop Series on Millimeter Wave Integration Technologies, IMWS 2011"</f>
        <v>2011 IEEE MTT-S International Microwave Workshop Series on Millimeter Wave Integration Technologies, IMWS 2011</v>
      </c>
      <c r="B2624" s="8" t="str">
        <f>"9781612849652"</f>
        <v>9781612849652</v>
      </c>
      <c r="C2624" s="8" t="s">
        <v>9</v>
      </c>
    </row>
    <row r="2625" spans="1:3" x14ac:dyDescent="0.25">
      <c r="A2625" s="8" t="str">
        <f>"2011 IEEE Nanotechnology Materials and Devices Conference, NMDC 2011"</f>
        <v>2011 IEEE Nanotechnology Materials and Devices Conference, NMDC 2011</v>
      </c>
      <c r="B2625" s="8" t="str">
        <f>"9781457721397"</f>
        <v>9781457721397</v>
      </c>
      <c r="C2625" s="8" t="s">
        <v>9</v>
      </c>
    </row>
    <row r="2626" spans="1:3" x14ac:dyDescent="0.25">
      <c r="A2626" s="8" t="str">
        <f>"2011 IEEE Online Conference on Green Communications, GreenCom'11"</f>
        <v>2011 IEEE Online Conference on Green Communications, GreenCom'11</v>
      </c>
      <c r="B2626" s="8" t="str">
        <f>"9781424495191"</f>
        <v>9781424495191</v>
      </c>
      <c r="C2626" s="8" t="s">
        <v>9</v>
      </c>
    </row>
    <row r="2627" spans="1:3" x14ac:dyDescent="0.25">
      <c r="A2627" s="8" t="str">
        <f>"2011 IEEE PES Conference on Innovative Smart Grid Technologies - Middle East, ISGT Middle East 2011"</f>
        <v>2011 IEEE PES Conference on Innovative Smart Grid Technologies - Middle East, ISGT Middle East 2011</v>
      </c>
      <c r="B2627" s="8" t="str">
        <f>"9781467309875"</f>
        <v>9781467309875</v>
      </c>
      <c r="C2627" s="8" t="s">
        <v>9</v>
      </c>
    </row>
    <row r="2628" spans="1:3" x14ac:dyDescent="0.25">
      <c r="A2628" s="8" t="str">
        <f>"2011 IEEE PES Conference on Innovative Smart Grid Technologies Latin America SGT LA 2011 - Conference Proceedings"</f>
        <v>2011 IEEE PES Conference on Innovative Smart Grid Technologies Latin America SGT LA 2011 - Conference Proceedings</v>
      </c>
      <c r="B2628" s="8" t="str">
        <f>"9781457718014"</f>
        <v>9781457718014</v>
      </c>
      <c r="C2628" s="8" t="s">
        <v>9</v>
      </c>
    </row>
    <row r="2629" spans="1:3" x14ac:dyDescent="0.25">
      <c r="A2629" s="8" t="str">
        <f>"2011 IEEE PES Innovative Smart Grid Technologies, ISGT Asia 2011 Conference: Smarter Grid for Sustainable and Affordable Energy Future"</f>
        <v>2011 IEEE PES Innovative Smart Grid Technologies, ISGT Asia 2011 Conference: Smarter Grid for Sustainable and Affordable Energy Future</v>
      </c>
      <c r="B2629" s="8" t="str">
        <f>"9781457708756"</f>
        <v>9781457708756</v>
      </c>
      <c r="C2629" s="8" t="s">
        <v>9</v>
      </c>
    </row>
    <row r="2630" spans="1:3" x14ac:dyDescent="0.25">
      <c r="A2630" s="8" t="str">
        <f>"2011 IEEE PES International Conference on Innovative Smart Grid Technologies-India, ISGT India 2011"</f>
        <v>2011 IEEE PES International Conference on Innovative Smart Grid Technologies-India, ISGT India 2011</v>
      </c>
      <c r="B2630" s="8" t="str">
        <f>"9781467303163"</f>
        <v>9781467303163</v>
      </c>
      <c r="C2630" s="8" t="s">
        <v>9</v>
      </c>
    </row>
    <row r="2631" spans="1:3" x14ac:dyDescent="0.25">
      <c r="A2631" s="8" t="str">
        <f>"2011 IEEE PES Trondheim PowerTech: The Power of Technology for a Sustainable Society, POWERTECH 2011"</f>
        <v>2011 IEEE PES Trondheim PowerTech: The Power of Technology for a Sustainable Society, POWERTECH 2011</v>
      </c>
      <c r="B2631" s="8" t="str">
        <f>"9781424484195"</f>
        <v>9781424484195</v>
      </c>
      <c r="C2631" s="8" t="s">
        <v>9</v>
      </c>
    </row>
    <row r="2632" spans="1:3" x14ac:dyDescent="0.25">
      <c r="A2632" s="8" t="str">
        <f>"2011 IEEE Photonics Society Summer Topical Meeting Series"</f>
        <v>2011 IEEE Photonics Society Summer Topical Meeting Series</v>
      </c>
      <c r="B2632" s="8" t="str">
        <f>"9781424457304"</f>
        <v>9781424457304</v>
      </c>
      <c r="C2632" s="8" t="s">
        <v>9</v>
      </c>
    </row>
    <row r="2633" spans="1:3" x14ac:dyDescent="0.25">
      <c r="A2633" s="8" t="str">
        <f>"2011 IEEE Power and Energy Conference at Illinois, PECI 2011"</f>
        <v>2011 IEEE Power and Energy Conference at Illinois, PECI 2011</v>
      </c>
      <c r="B2633" s="8" t="str">
        <f>"9781424480500"</f>
        <v>9781424480500</v>
      </c>
      <c r="C2633" s="8" t="s">
        <v>9</v>
      </c>
    </row>
    <row r="2634" spans="1:3" x14ac:dyDescent="0.25">
      <c r="A2634" s="8" t="str">
        <f>"2011 IEEE Radio and Wireless Week, RWW 2011 - 2011 IEEE Radio and Wireless Symposium, RWS 2011"</f>
        <v>2011 IEEE Radio and Wireless Week, RWW 2011 - 2011 IEEE Radio and Wireless Symposium, RWS 2011</v>
      </c>
      <c r="B2634" s="8" t="str">
        <f>"9781424476855"</f>
        <v>9781424476855</v>
      </c>
      <c r="C2634" s="8" t="s">
        <v>9</v>
      </c>
    </row>
    <row r="2635" spans="1:3" x14ac:dyDescent="0.25">
      <c r="A2635" s="8" t="str">
        <f>"2011 IEEE Radio and Wireless Week, RWW 2011 - 2011 IEEE Topical Conference on Biomedical Wireless Technologies, Networks, and Sensing Systems, BioWireleSS 2011"</f>
        <v>2011 IEEE Radio and Wireless Week, RWW 2011 - 2011 IEEE Topical Conference on Biomedical Wireless Technologies, Networks, and Sensing Systems, BioWireleSS 2011</v>
      </c>
      <c r="B2635" s="8" t="str">
        <f>"9781424476855"</f>
        <v>9781424476855</v>
      </c>
      <c r="C2635" s="8" t="s">
        <v>9</v>
      </c>
    </row>
    <row r="2636" spans="1:3" x14ac:dyDescent="0.25">
      <c r="A2636" s="8" t="str">
        <f>"2011 IEEE Radio and Wireless Week, RWW 2011 - 2011 IEEE Topical Conference on Power Amplifiers for Wireless and Radio Applications, PAWR 2011"</f>
        <v>2011 IEEE Radio and Wireless Week, RWW 2011 - 2011 IEEE Topical Conference on Power Amplifiers for Wireless and Radio Applications, PAWR 2011</v>
      </c>
      <c r="B2636" s="8" t="str">
        <f>"9781424476855"</f>
        <v>9781424476855</v>
      </c>
      <c r="C2636" s="8" t="s">
        <v>9</v>
      </c>
    </row>
    <row r="2637" spans="1:3" x14ac:dyDescent="0.25">
      <c r="A2637" s="8" t="str">
        <f>"2011 IEEE Radio and Wireless Week, RWW 2011 - 2011 IEEE Topical Conference on Wireless Sensors and Sensor Networks, WiSNet 2011"</f>
        <v>2011 IEEE Radio and Wireless Week, RWW 2011 - 2011 IEEE Topical Conference on Wireless Sensors and Sensor Networks, WiSNet 2011</v>
      </c>
      <c r="B2637" s="8" t="str">
        <f>"9781424476855"</f>
        <v>9781424476855</v>
      </c>
      <c r="C2637" s="8" t="s">
        <v>9</v>
      </c>
    </row>
    <row r="2638" spans="1:3" x14ac:dyDescent="0.25">
      <c r="A2638" s="8" t="str">
        <f>"2011 IEEE Recent Advances in Intelligent Computational Systems, RAICS 2011"</f>
        <v>2011 IEEE Recent Advances in Intelligent Computational Systems, RAICS 2011</v>
      </c>
      <c r="B2638" s="8" t="str">
        <f>"9781424494774"</f>
        <v>9781424494774</v>
      </c>
      <c r="C2638" s="8" t="s">
        <v>9</v>
      </c>
    </row>
    <row r="2639" spans="1:3" x14ac:dyDescent="0.25">
      <c r="A2639" s="8" t="str">
        <f>"2011 IEEE Regional Symposium on Micro and Nanoelectronics, RSM 2011 - Programme and Abstracts"</f>
        <v>2011 IEEE Regional Symposium on Micro and Nanoelectronics, RSM 2011 - Programme and Abstracts</v>
      </c>
      <c r="B2639" s="8" t="str">
        <f>"9781612848464"</f>
        <v>9781612848464</v>
      </c>
      <c r="C2639" s="8" t="s">
        <v>9</v>
      </c>
    </row>
    <row r="2640" spans="1:3" x14ac:dyDescent="0.25">
      <c r="A2640" s="8" t="str">
        <f>"2011 IEEE Signal Processing in Medicine and Biology Symposium, SPMB 2011"</f>
        <v>2011 IEEE Signal Processing in Medicine and Biology Symposium, SPMB 2011</v>
      </c>
      <c r="B2640" s="8" t="str">
        <f>"9781467303729"</f>
        <v>9781467303729</v>
      </c>
      <c r="C2640" s="8" t="s">
        <v>9</v>
      </c>
    </row>
    <row r="2641" spans="1:3" x14ac:dyDescent="0.25">
      <c r="A2641" s="8" t="str">
        <f>"2011 IEEE Swedish Communication Technologies Workshop, Swe-CTW 2011"</f>
        <v>2011 IEEE Swedish Communication Technologies Workshop, Swe-CTW 2011</v>
      </c>
      <c r="B2641" s="8" t="str">
        <f>"9781457718786"</f>
        <v>9781457718786</v>
      </c>
      <c r="C2641" s="8" t="s">
        <v>9</v>
      </c>
    </row>
    <row r="2642" spans="1:3" x14ac:dyDescent="0.25">
      <c r="A2642" s="8" t="str">
        <f>"2011 IEEE Symposium on Industrial Electronics and Applications, ISIEA 2011"</f>
        <v>2011 IEEE Symposium on Industrial Electronics and Applications, ISIEA 2011</v>
      </c>
      <c r="B2642" s="8" t="str">
        <f>"9781457714184"</f>
        <v>9781457714184</v>
      </c>
      <c r="C2642" s="8" t="s">
        <v>9</v>
      </c>
    </row>
    <row r="2643" spans="1:3" x14ac:dyDescent="0.25">
      <c r="A2643" s="8" t="str">
        <f>"2011 IEEE Symposium on Underwater Technology, UT'11 and Workshop on Scientific Use of Submarine Cables and Related Technologies, SSC'11"</f>
        <v>2011 IEEE Symposium on Underwater Technology, UT'11 and Workshop on Scientific Use of Submarine Cables and Related Technologies, SSC'11</v>
      </c>
      <c r="B2643" s="8" t="str">
        <f>"9781457701641"</f>
        <v>9781457701641</v>
      </c>
      <c r="C2643" s="8" t="s">
        <v>9</v>
      </c>
    </row>
    <row r="2644" spans="1:3" x14ac:dyDescent="0.25">
      <c r="A2644" s="8" t="str">
        <f>"2011 IEEE Systems and Information Engineering Design Symposium, SIEDS 2011 - Conference Proceedings"</f>
        <v>2011 IEEE Systems and Information Engineering Design Symposium, SIEDS 2011 - Conference Proceedings</v>
      </c>
      <c r="B2644" s="8" t="str">
        <f>"9781457704468"</f>
        <v>9781457704468</v>
      </c>
      <c r="C2644" s="8" t="s">
        <v>9</v>
      </c>
    </row>
    <row r="2645" spans="1:3" x14ac:dyDescent="0.25">
      <c r="A2645" s="8" t="str">
        <f>"2011 IEEE Vehicle Power and Propulsion Conference, VPPC 2011"</f>
        <v>2011 IEEE Vehicle Power and Propulsion Conference, VPPC 2011</v>
      </c>
      <c r="B2645" s="8" t="str">
        <f>"9781612842486"</f>
        <v>9781612842486</v>
      </c>
      <c r="C2645" s="8" t="s">
        <v>9</v>
      </c>
    </row>
    <row r="2646" spans="1:3" x14ac:dyDescent="0.25">
      <c r="A2646" s="8" t="str">
        <f>"2011 IEEE Visual Communications and Image Processing, VCIP 2011"</f>
        <v>2011 IEEE Visual Communications and Image Processing, VCIP 2011</v>
      </c>
      <c r="B2646" s="8" t="str">
        <f>"9781457713200"</f>
        <v>9781457713200</v>
      </c>
      <c r="C2646" s="8" t="s">
        <v>9</v>
      </c>
    </row>
    <row r="2647" spans="1:3" x14ac:dyDescent="0.25">
      <c r="A2647" s="8" t="str">
        <f>"2011 IEEE Winter Topicals, WTM 2011"</f>
        <v>2011 IEEE Winter Topicals, WTM 2011</v>
      </c>
      <c r="B2647" s="8" t="str">
        <f>"9781424484287"</f>
        <v>9781424484287</v>
      </c>
      <c r="C2647" s="8" t="s">
        <v>9</v>
      </c>
    </row>
    <row r="2648" spans="1:3" x14ac:dyDescent="0.25">
      <c r="A2648" s="8" t="str">
        <f>"2011 IEEE Wireless Communications and Networking Conference, WCNC 2011"</f>
        <v>2011 IEEE Wireless Communications and Networking Conference, WCNC 2011</v>
      </c>
      <c r="B2648" s="8" t="str">
        <f>"9781612842547"</f>
        <v>9781612842547</v>
      </c>
      <c r="C2648" s="8" t="s">
        <v>9</v>
      </c>
    </row>
    <row r="2649" spans="1:3" x14ac:dyDescent="0.25">
      <c r="A2649" s="8" t="str">
        <f>"2011 IEEE Workshop on Applications of Computer Vision, WACV 2011"</f>
        <v>2011 IEEE Workshop on Applications of Computer Vision, WACV 2011</v>
      </c>
      <c r="B2649" s="8" t="str">
        <f>"9781424494965"</f>
        <v>9781424494965</v>
      </c>
      <c r="C2649" s="8" t="s">
        <v>9</v>
      </c>
    </row>
    <row r="2650" spans="1:3" x14ac:dyDescent="0.25">
      <c r="A2650" s="8" t="str">
        <f>"2011 IEEE Workshop on Automatic Speech Recognition and Understanding, ASRU 2011, Proceedings"</f>
        <v>2011 IEEE Workshop on Automatic Speech Recognition and Understanding, ASRU 2011, Proceedings</v>
      </c>
      <c r="B2650" s="8" t="str">
        <f>"9781467303675"</f>
        <v>9781467303675</v>
      </c>
      <c r="C2650" s="8" t="s">
        <v>9</v>
      </c>
    </row>
    <row r="2651" spans="1:3" x14ac:dyDescent="0.25">
      <c r="A2651" s="8" t="str">
        <f>"2011 IEEE Workshop on Microelectronics and Electron Devices, WMED 2011"</f>
        <v>2011 IEEE Workshop on Microelectronics and Electron Devices, WMED 2011</v>
      </c>
      <c r="B2651" s="8" t="str">
        <f>"9781424497430"</f>
        <v>9781424497430</v>
      </c>
      <c r="C2651" s="8" t="s">
        <v>9</v>
      </c>
    </row>
    <row r="2652" spans="1:3" x14ac:dyDescent="0.25">
      <c r="A2652" s="8" t="str">
        <f>"2011 IEEE Workshop on Person-Oriented Vision, POV 2011"</f>
        <v>2011 IEEE Workshop on Person-Oriented Vision, POV 2011</v>
      </c>
      <c r="B2652" s="8" t="str">
        <f>"9781612840369"</f>
        <v>9781612840369</v>
      </c>
      <c r="C2652" s="8" t="s">
        <v>9</v>
      </c>
    </row>
    <row r="2653" spans="1:3" x14ac:dyDescent="0.25">
      <c r="A2653" s="8" t="str">
        <f>"2011 IEEE Workshop on Signal Processing Systems, SiPS 2011, Proceedings"</f>
        <v>2011 IEEE Workshop on Signal Processing Systems, SiPS 2011, Proceedings</v>
      </c>
      <c r="B2653" s="8" t="str">
        <f>"9781457719219"</f>
        <v>9781457719219</v>
      </c>
      <c r="C2653" s="8" t="s">
        <v>9</v>
      </c>
    </row>
    <row r="2654" spans="1:3" x14ac:dyDescent="0.25">
      <c r="A2654" s="8" t="str">
        <f>"2011 IEEE World Haptics Conference, WHC 2011"</f>
        <v>2011 IEEE World Haptics Conference, WHC 2011</v>
      </c>
      <c r="B2654" s="8" t="str">
        <f>"9781457702976"</f>
        <v>9781457702976</v>
      </c>
      <c r="C2654" s="8" t="s">
        <v>9</v>
      </c>
    </row>
    <row r="2655" spans="1:3" x14ac:dyDescent="0.25">
      <c r="A2655" s="8" t="str">
        <f>"2011 IEEE/ICME International Conference on Complex Medical Engineering, CME 2011"</f>
        <v>2011 IEEE/ICME International Conference on Complex Medical Engineering, CME 2011</v>
      </c>
      <c r="B2655" s="8" t="str">
        <f>"9781424493241"</f>
        <v>9781424493241</v>
      </c>
      <c r="C2655" s="8" t="s">
        <v>9</v>
      </c>
    </row>
    <row r="2656" spans="1:3" x14ac:dyDescent="0.25">
      <c r="A2656" s="8" t="str">
        <f>"2011 IEEE/IFIP 19th International Conference on VLSI and System-on-Chip, VLSI-SoC 2011"</f>
        <v>2011 IEEE/IFIP 19th International Conference on VLSI and System-on-Chip, VLSI-SoC 2011</v>
      </c>
      <c r="B2656" s="8" t="str">
        <f>"9781457701719"</f>
        <v>9781457701719</v>
      </c>
      <c r="C2656" s="8" t="s">
        <v>9</v>
      </c>
    </row>
    <row r="2657" spans="1:3" x14ac:dyDescent="0.25">
      <c r="A2657" s="8" t="str">
        <f>"2011 IEEE/OES/CWTM 10th Working Conference on Current, Waves and Turbulence Measurement, CWTM 2011"</f>
        <v>2011 IEEE/OES/CWTM 10th Working Conference on Current, Waves and Turbulence Measurement, CWTM 2011</v>
      </c>
      <c r="B2657" s="8" t="str">
        <f>"9781457700224"</f>
        <v>9781457700224</v>
      </c>
      <c r="C2657" s="8" t="s">
        <v>9</v>
      </c>
    </row>
    <row r="2658" spans="1:3" x14ac:dyDescent="0.25">
      <c r="A2658" s="8" t="str">
        <f>"2011 IEEE/PES Power Systems Conference and Exposition, PSCE 2011"</f>
        <v>2011 IEEE/PES Power Systems Conference and Exposition, PSCE 2011</v>
      </c>
      <c r="B2658" s="8" t="str">
        <f>"9781612847870"</f>
        <v>9781612847870</v>
      </c>
      <c r="C2658" s="8" t="s">
        <v>9</v>
      </c>
    </row>
    <row r="2659" spans="1:3" x14ac:dyDescent="0.25">
      <c r="A2659" s="8" t="str">
        <f>"2011 IEEE/SICE International Symposium on System Integration, SII 2011"</f>
        <v>2011 IEEE/SICE International Symposium on System Integration, SII 2011</v>
      </c>
      <c r="B2659" s="8" t="str">
        <f>"9781457715235"</f>
        <v>9781457715235</v>
      </c>
      <c r="C2659" s="8" t="s">
        <v>9</v>
      </c>
    </row>
    <row r="2660" spans="1:3" x14ac:dyDescent="0.25">
      <c r="A2660" s="8" t="str">
        <f>"2011 Information Security for South Africa - Proceedings of the ISSA 2011 Conference"</f>
        <v>2011 Information Security for South Africa - Proceedings of the ISSA 2011 Conference</v>
      </c>
      <c r="B2660" s="8" t="str">
        <f>"9781457714832"</f>
        <v>9781457714832</v>
      </c>
      <c r="C2660" s="8" t="s">
        <v>9</v>
      </c>
    </row>
    <row r="2661" spans="1:3" x14ac:dyDescent="0.25">
      <c r="A2661" s="8" t="str">
        <f>"2011 Information Theory and Applications Workshop, ITA 2011 - Conference Proceedings"</f>
        <v>2011 Information Theory and Applications Workshop, ITA 2011 - Conference Proceedings</v>
      </c>
      <c r="B2661" s="8" t="str">
        <f>"9781457703614"</f>
        <v>9781457703614</v>
      </c>
      <c r="C2661" s="8" t="s">
        <v>9</v>
      </c>
    </row>
    <row r="2662" spans="1:3" x14ac:dyDescent="0.25">
      <c r="A2662" s="8" t="str">
        <f>"2011 Int. Quantum Electron. Conf., IQEC 2011 and Conf. Lasers and Electro-Optics, CLEO Pacific Rim 2011 Incorporating the Australasian Conf. Optics, Lasers and Spectroscopy and the Australian Conf."</f>
        <v>2011 Int. Quantum Electron. Conf., IQEC 2011 and Conf. Lasers and Electro-Optics, CLEO Pacific Rim 2011 Incorporating the Australasian Conf. Optics, Lasers and Spectroscopy and the Australian Conf.</v>
      </c>
      <c r="B2662" s="8" t="str">
        <f>"9780977565771"</f>
        <v>9780977565771</v>
      </c>
      <c r="C2662" s="8" t="s">
        <v>9</v>
      </c>
    </row>
    <row r="2663" spans="1:3" x14ac:dyDescent="0.25">
      <c r="A2663" s="8" t="s">
        <v>1367</v>
      </c>
      <c r="B2663" s="8" t="str">
        <f>"9781457713613"</f>
        <v>9781457713613</v>
      </c>
      <c r="C2663" s="8" t="s">
        <v>9</v>
      </c>
    </row>
    <row r="2664" spans="1:3" x14ac:dyDescent="0.25">
      <c r="A2664" s="8" t="str">
        <f>"2011 Integrated STEM Education Conference, ISEC 2011"</f>
        <v>2011 Integrated STEM Education Conference, ISEC 2011</v>
      </c>
      <c r="B2664" s="8" t="str">
        <f>"9781467324045"</f>
        <v>9781467324045</v>
      </c>
      <c r="C2664" s="8" t="s">
        <v>9</v>
      </c>
    </row>
    <row r="2665" spans="1:3" x14ac:dyDescent="0.25">
      <c r="A2665" s="8" t="str">
        <f>"2011 International Conference for Internet Technology and Secured Transactions, ICITST 2011"</f>
        <v>2011 International Conference for Internet Technology and Secured Transactions, ICITST 2011</v>
      </c>
      <c r="B2665" s="8" t="str">
        <f>"9781908320001"</f>
        <v>9781908320001</v>
      </c>
      <c r="C2665" s="8" t="s">
        <v>9</v>
      </c>
    </row>
    <row r="2666" spans="1:3" x14ac:dyDescent="0.25">
      <c r="A2666" s="8" t="str">
        <f>"2011 International Conference on 3D Imaging, IC3D 2011"</f>
        <v>2011 International Conference on 3D Imaging, IC3D 2011</v>
      </c>
      <c r="B2666" s="8" t="str">
        <f>"9781479915774"</f>
        <v>9781479915774</v>
      </c>
      <c r="C2666" s="8" t="s">
        <v>9</v>
      </c>
    </row>
    <row r="2667" spans="1:3" x14ac:dyDescent="0.25">
      <c r="A2667" s="8" t="str">
        <f>"2011 International Conference on Advanced Mechatronic Systems, ICAMechS 2011 - Final Program"</f>
        <v>2011 International Conference on Advanced Mechatronic Systems, ICAMechS 2011 - Final Program</v>
      </c>
      <c r="B2667" s="8" t="str">
        <f>"9780955529375"</f>
        <v>9780955529375</v>
      </c>
      <c r="C2667" s="8" t="s">
        <v>9</v>
      </c>
    </row>
    <row r="2668" spans="1:3" x14ac:dyDescent="0.25">
      <c r="A2668" s="8" t="str">
        <f>"2011 International Conference on Applied Superconductivity and Electromagnetic Devices, ASEMD 2011"</f>
        <v>2011 International Conference on Applied Superconductivity and Electromagnetic Devices, ASEMD 2011</v>
      </c>
      <c r="B2668" s="8" t="str">
        <f>"9781424478521"</f>
        <v>9781424478521</v>
      </c>
      <c r="C2668" s="8" t="s">
        <v>9</v>
      </c>
    </row>
    <row r="2669" spans="1:3" x14ac:dyDescent="0.25">
      <c r="A2669" s="8" t="str">
        <f>"2011 International Conference on Communications and Information Technology, ICCIT 2011"</f>
        <v>2011 International Conference on Communications and Information Technology, ICCIT 2011</v>
      </c>
      <c r="B2669" s="8" t="str">
        <f>"9781457704024"</f>
        <v>9781457704024</v>
      </c>
      <c r="C2669" s="8" t="s">
        <v>9</v>
      </c>
    </row>
    <row r="2670" spans="1:3" x14ac:dyDescent="0.25">
      <c r="A2670" s="8" t="str">
        <f>"2011 International Conference on Communications, Computing and Control Applications, CCCA 2011"</f>
        <v>2011 International Conference on Communications, Computing and Control Applications, CCCA 2011</v>
      </c>
      <c r="B2670" s="8" t="str">
        <f>"9781424497959"</f>
        <v>9781424497959</v>
      </c>
      <c r="C2670" s="8" t="s">
        <v>9</v>
      </c>
    </row>
    <row r="2671" spans="1:3" x14ac:dyDescent="0.25">
      <c r="A2671" s="8" t="str">
        <f>"2011 International Conference on Compound Semiconductor Manufacturing Technology, CS MANTECH 2011"</f>
        <v>2011 International Conference on Compound Semiconductor Manufacturing Technology, CS MANTECH 2011</v>
      </c>
      <c r="B2671" s="8" t="str">
        <f>"9781893580176"</f>
        <v>9781893580176</v>
      </c>
      <c r="C2671" s="8" t="s">
        <v>1336</v>
      </c>
    </row>
    <row r="2672" spans="1:3" x14ac:dyDescent="0.25">
      <c r="A2672" s="8" t="str">
        <f>"2011 International Conference on Computational Problem-Solving, ICCP 2011"</f>
        <v>2011 International Conference on Computational Problem-Solving, ICCP 2011</v>
      </c>
      <c r="B2672" s="8" t="str">
        <f>"9781457706035"</f>
        <v>9781457706035</v>
      </c>
      <c r="C2672" s="8" t="s">
        <v>9</v>
      </c>
    </row>
    <row r="2673" spans="1:3" x14ac:dyDescent="0.25">
      <c r="A2673" s="8" t="str">
        <f>"2011 International Conference on Computer and Management, CAMAN 2011"</f>
        <v>2011 International Conference on Computer and Management, CAMAN 2011</v>
      </c>
      <c r="B2673" s="8" t="str">
        <f>"9781424492831"</f>
        <v>9781424492831</v>
      </c>
      <c r="C2673" s="8" t="s">
        <v>9</v>
      </c>
    </row>
    <row r="2674" spans="1:3" x14ac:dyDescent="0.25">
      <c r="A2674" s="8" t="str">
        <f>"2011 International Conference on Computer Science and Service System, CSSS 2011 - Proceedings"</f>
        <v>2011 International Conference on Computer Science and Service System, CSSS 2011 - Proceedings</v>
      </c>
      <c r="B2674" s="8" t="str">
        <f>"9781424497638"</f>
        <v>9781424497638</v>
      </c>
      <c r="C2674" s="8" t="s">
        <v>9</v>
      </c>
    </row>
    <row r="2675" spans="1:3" x14ac:dyDescent="0.25">
      <c r="A2675" s="8" t="str">
        <f>"2011 International Conference on Computer, Communication and Electrical Technology, ICCCET 2011"</f>
        <v>2011 International Conference on Computer, Communication and Electrical Technology, ICCCET 2011</v>
      </c>
      <c r="B2675" s="8" t="str">
        <f>"9781424493944"</f>
        <v>9781424493944</v>
      </c>
      <c r="C2675" s="8" t="s">
        <v>9</v>
      </c>
    </row>
    <row r="2676" spans="1:3" x14ac:dyDescent="0.25">
      <c r="A2676" s="8" t="str">
        <f>"2011 International Conference on Consumer Electronics, Communications and Networks, CECNet 2011 - Proceedings"</f>
        <v>2011 International Conference on Consumer Electronics, Communications and Networks, CECNet 2011 - Proceedings</v>
      </c>
      <c r="B2676" s="8" t="str">
        <f>"9781612844572"</f>
        <v>9781612844572</v>
      </c>
      <c r="C2676" s="8" t="s">
        <v>9</v>
      </c>
    </row>
    <row r="2677" spans="1:3" x14ac:dyDescent="0.25">
      <c r="A2677" s="8" t="str">
        <f>"2011 International Conference on Control, Automation and Systems Engineering, CASE 2011"</f>
        <v>2011 International Conference on Control, Automation and Systems Engineering, CASE 2011</v>
      </c>
      <c r="B2677" s="8" t="str">
        <f>"9781457708602"</f>
        <v>9781457708602</v>
      </c>
      <c r="C2677" s="8" t="s">
        <v>9</v>
      </c>
    </row>
    <row r="2678" spans="1:3" x14ac:dyDescent="0.25">
      <c r="A2678" s="8" t="str">
        <f>"2011 International Conference on Devices and Communications, ICDeCom 2011 - Proceedings"</f>
        <v>2011 International Conference on Devices and Communications, ICDeCom 2011 - Proceedings</v>
      </c>
      <c r="B2678" s="8" t="str">
        <f>"9781424491902"</f>
        <v>9781424491902</v>
      </c>
      <c r="C2678" s="8" t="s">
        <v>9</v>
      </c>
    </row>
    <row r="2679" spans="1:3" x14ac:dyDescent="0.25">
      <c r="A2679" s="8" t="str">
        <f>"2011 International Conference on Distributed Computing in Sensor Systems and Workshops, DCOSS'11"</f>
        <v>2011 International Conference on Distributed Computing in Sensor Systems and Workshops, DCOSS'11</v>
      </c>
      <c r="B2679" s="8" t="str">
        <f>"9781457705137"</f>
        <v>9781457705137</v>
      </c>
      <c r="C2679" s="8" t="s">
        <v>9</v>
      </c>
    </row>
    <row r="2680" spans="1:3" x14ac:dyDescent="0.25">
      <c r="A2680" s="8" t="str">
        <f>"2011 International Conference on E-Business and E-Government, ICEE2011 - Proceedings"</f>
        <v>2011 International Conference on E-Business and E-Government, ICEE2011 - Proceedings</v>
      </c>
      <c r="B2680" s="8" t="str">
        <f>"9781424486946"</f>
        <v>9781424486946</v>
      </c>
      <c r="C2680" s="8" t="s">
        <v>9</v>
      </c>
    </row>
    <row r="2681" spans="1:3" x14ac:dyDescent="0.25">
      <c r="A2681" s="8" t="str">
        <f>"2011 International Conference on Electric Information and Control Engineering, ICEICE 2011 - Proceedings"</f>
        <v>2011 International Conference on Electric Information and Control Engineering, ICEICE 2011 - Proceedings</v>
      </c>
      <c r="B2681" s="8" t="str">
        <f>"9781424480395"</f>
        <v>9781424480395</v>
      </c>
      <c r="C2681" s="8" t="s">
        <v>9</v>
      </c>
    </row>
    <row r="2682" spans="1:3" x14ac:dyDescent="0.25">
      <c r="A2682" s="8" t="str">
        <f>"2011 International Conference on Electric Technology and Civil Engineering, ICETCE 2011 - Proceedings"</f>
        <v>2011 International Conference on Electric Technology and Civil Engineering, ICETCE 2011 - Proceedings</v>
      </c>
      <c r="B2682" s="8" t="str">
        <f>"9781457702907"</f>
        <v>9781457702907</v>
      </c>
      <c r="C2682" s="8" t="s">
        <v>9</v>
      </c>
    </row>
    <row r="2683" spans="1:3" x14ac:dyDescent="0.25">
      <c r="A2683" s="8" t="str">
        <f>"2011 International Conference on Electrical and Control Engineering, ICECE 2011 - Proceedings"</f>
        <v>2011 International Conference on Electrical and Control Engineering, ICECE 2011 - Proceedings</v>
      </c>
      <c r="B2683" s="8" t="str">
        <f>"9781424481637"</f>
        <v>9781424481637</v>
      </c>
      <c r="C2683" s="8" t="s">
        <v>9</v>
      </c>
    </row>
    <row r="2684" spans="1:3" x14ac:dyDescent="0.25">
      <c r="A2684" s="8" t="str">
        <f>"2011 International Conference on Electrical Machines and Systems, ICEMS 2011"</f>
        <v>2011 International Conference on Electrical Machines and Systems, ICEMS 2011</v>
      </c>
      <c r="B2684" s="8" t="str">
        <f>"9781457710445"</f>
        <v>9781457710445</v>
      </c>
      <c r="C2684" s="8" t="s">
        <v>9</v>
      </c>
    </row>
    <row r="2685" spans="1:3" x14ac:dyDescent="0.25">
      <c r="A2685" s="8" t="str">
        <f>"2011 International Conference on Electronics, Communications and Control, ICECC 2011 - Proceedings"</f>
        <v>2011 International Conference on Electronics, Communications and Control, ICECC 2011 - Proceedings</v>
      </c>
      <c r="B2685" s="8" t="str">
        <f>"9781457703218"</f>
        <v>9781457703218</v>
      </c>
      <c r="C2685" s="8" t="s">
        <v>9</v>
      </c>
    </row>
    <row r="2686" spans="1:3" x14ac:dyDescent="0.25">
      <c r="A2686" s="8" t="str">
        <f>"2011 International Conference on Emerging Trends in Electrical and Computer Technology, ICETECT 2011"</f>
        <v>2011 International Conference on Emerging Trends in Electrical and Computer Technology, ICETECT 2011</v>
      </c>
      <c r="B2686" s="8" t="str">
        <f>"9781424479238"</f>
        <v>9781424479238</v>
      </c>
      <c r="C2686" s="8" t="s">
        <v>9</v>
      </c>
    </row>
    <row r="2687" spans="1:3" x14ac:dyDescent="0.25">
      <c r="A2687" s="8" t="str">
        <f>"2011 International Conference on Energy Aware Computing, ICEAC 2011"</f>
        <v>2011 International Conference on Energy Aware Computing, ICEAC 2011</v>
      </c>
      <c r="B2687" s="8" t="str">
        <f>"9781467304658"</f>
        <v>9781467304658</v>
      </c>
      <c r="C2687" s="8" t="s">
        <v>9</v>
      </c>
    </row>
    <row r="2688" spans="1:3" x14ac:dyDescent="0.25">
      <c r="A2688" s="8" t="str">
        <f>"2011 International Conference on Field-Programmable Technology, FPT 2011"</f>
        <v>2011 International Conference on Field-Programmable Technology, FPT 2011</v>
      </c>
      <c r="B2688" s="8" t="str">
        <f>"9781457717406"</f>
        <v>9781457717406</v>
      </c>
      <c r="C2688" s="8" t="s">
        <v>9</v>
      </c>
    </row>
    <row r="2689" spans="1:3" x14ac:dyDescent="0.25">
      <c r="A2689" s="8" t="str">
        <f>"2011 International Conference on Hand-Based Biometrics, ICHB 2011 - Proceedings"</f>
        <v>2011 International Conference on Hand-Based Biometrics, ICHB 2011 - Proceedings</v>
      </c>
      <c r="B2689" s="8" t="str">
        <f>"9781457704901"</f>
        <v>9781457704901</v>
      </c>
      <c r="C2689" s="8" t="s">
        <v>9</v>
      </c>
    </row>
    <row r="2690" spans="1:3" x14ac:dyDescent="0.25">
      <c r="A2690" s="8" t="str">
        <f>"2011 International Conference on ICT Convergence, ICTC 2011"</f>
        <v>2011 International Conference on ICT Convergence, ICTC 2011</v>
      </c>
      <c r="B2690" s="8" t="str">
        <f>"9781457712678"</f>
        <v>9781457712678</v>
      </c>
      <c r="C2690" s="8" t="s">
        <v>9</v>
      </c>
    </row>
    <row r="2691" spans="1:3" x14ac:dyDescent="0.25">
      <c r="A2691" s="8" t="str">
        <f>"2011 International Conference on Indoor Positioning and Indoor Navigation, IPIN 2011"</f>
        <v>2011 International Conference on Indoor Positioning and Indoor Navigation, IPIN 2011</v>
      </c>
      <c r="B2691" s="8" t="str">
        <f>"9781457718045"</f>
        <v>9781457718045</v>
      </c>
      <c r="C2691" s="8" t="s">
        <v>9</v>
      </c>
    </row>
    <row r="2692" spans="1:3" x14ac:dyDescent="0.25">
      <c r="A2692" s="8" t="str">
        <f>"2011 International Conference on Information Photonics and Optical Communications, IPOC 2011"</f>
        <v>2011 International Conference on Information Photonics and Optical Communications, IPOC 2011</v>
      </c>
      <c r="B2692" s="8" t="str">
        <f>"9781467307130"</f>
        <v>9781467307130</v>
      </c>
      <c r="C2692" s="8" t="s">
        <v>9</v>
      </c>
    </row>
    <row r="2693" spans="1:3" x14ac:dyDescent="0.25">
      <c r="A2693" s="8" t="str">
        <f>"2011 International Conference on Information Science and Applications, ICISA 2011"</f>
        <v>2011 International Conference on Information Science and Applications, ICISA 2011</v>
      </c>
      <c r="B2693" s="8" t="str">
        <f>"9781424492244"</f>
        <v>9781424492244</v>
      </c>
      <c r="C2693" s="8" t="s">
        <v>9</v>
      </c>
    </row>
    <row r="2694" spans="1:3" x14ac:dyDescent="0.25">
      <c r="A2694" s="8" t="str">
        <f>"2011 International Conference on Information Science and Technology, ICIST 2011"</f>
        <v>2011 International Conference on Information Science and Technology, ICIST 2011</v>
      </c>
      <c r="B2694" s="8" t="str">
        <f>"9781424494408"</f>
        <v>9781424494408</v>
      </c>
      <c r="C2694" s="8" t="s">
        <v>9</v>
      </c>
    </row>
    <row r="2695" spans="1:3" x14ac:dyDescent="0.25">
      <c r="A2695" s="8" t="s">
        <v>1368</v>
      </c>
      <c r="B2695" s="8" t="str">
        <f>"9781457709890"</f>
        <v>9781457709890</v>
      </c>
      <c r="C2695" s="8" t="s">
        <v>9</v>
      </c>
    </row>
    <row r="2696" spans="1:3" x14ac:dyDescent="0.25">
      <c r="A2696" s="8" t="str">
        <f>"2011 International Conference on Information Technology Based Higher Education and Training, ITHET 2011"</f>
        <v>2011 International Conference on Information Technology Based Higher Education and Training, ITHET 2011</v>
      </c>
      <c r="B2696" s="8" t="str">
        <f>"9781457716720"</f>
        <v>9781457716720</v>
      </c>
      <c r="C2696" s="8" t="s">
        <v>9</v>
      </c>
    </row>
    <row r="2697" spans="1:3" x14ac:dyDescent="0.25">
      <c r="A2697" s="8" t="str">
        <f>"2011 International Conference on Innovations in Information Technology, IIT 2011"</f>
        <v>2011 International Conference on Innovations in Information Technology, IIT 2011</v>
      </c>
      <c r="B2697" s="8" t="str">
        <f>"9781457703140"</f>
        <v>9781457703140</v>
      </c>
      <c r="C2697" s="8" t="s">
        <v>9</v>
      </c>
    </row>
    <row r="2698" spans="1:3" x14ac:dyDescent="0.25">
      <c r="A2698" s="8" t="str">
        <f>"2011 International Conference on Internet Technology and Applications, iTAP 2011 - Proceedings"</f>
        <v>2011 International Conference on Internet Technology and Applications, iTAP 2011 - Proceedings</v>
      </c>
      <c r="B2698" s="8" t="str">
        <f>"9781424472550"</f>
        <v>9781424472550</v>
      </c>
      <c r="C2698" s="8" t="s">
        <v>9</v>
      </c>
    </row>
    <row r="2699" spans="1:3" x14ac:dyDescent="0.25">
      <c r="A2699" s="8" t="str">
        <f>"2011 International Conference on Localization and GNSS, ICL-GNSS 2011"</f>
        <v>2011 International Conference on Localization and GNSS, ICL-GNSS 2011</v>
      </c>
      <c r="B2699" s="8" t="str">
        <f>"9781457701863"</f>
        <v>9781457701863</v>
      </c>
      <c r="C2699" s="8" t="s">
        <v>9</v>
      </c>
    </row>
    <row r="2700" spans="1:3" x14ac:dyDescent="0.25">
      <c r="A2700" s="8" t="str">
        <f>"2011 International Conference on Management Science and Industrial Engineering, MSIE 2011"</f>
        <v>2011 International Conference on Management Science and Industrial Engineering, MSIE 2011</v>
      </c>
      <c r="B2700" s="8" t="str">
        <f>"9781424483853"</f>
        <v>9781424483853</v>
      </c>
      <c r="C2700" s="8" t="s">
        <v>9</v>
      </c>
    </row>
    <row r="2701" spans="1:3" x14ac:dyDescent="0.25">
      <c r="A2701" s="8" t="str">
        <f>"2011 International Conference on Multimedia Technology, ICMT 2011"</f>
        <v>2011 International Conference on Multimedia Technology, ICMT 2011</v>
      </c>
      <c r="B2701" s="8" t="str">
        <f>"9781612847740"</f>
        <v>9781612847740</v>
      </c>
      <c r="C2701" s="8" t="s">
        <v>9</v>
      </c>
    </row>
    <row r="2702" spans="1:3" x14ac:dyDescent="0.25">
      <c r="A2702" s="8" t="str">
        <f>"2011 International Conference on Multimedia, Signal Processing and Communication Technologies, IMPACT 2011"</f>
        <v>2011 International Conference on Multimedia, Signal Processing and Communication Technologies, IMPACT 2011</v>
      </c>
      <c r="B2702" s="8" t="str">
        <f>"9781457711053"</f>
        <v>9781457711053</v>
      </c>
      <c r="C2702" s="8" t="s">
        <v>9</v>
      </c>
    </row>
    <row r="2703" spans="1:3" x14ac:dyDescent="0.25">
      <c r="A2703" s="8" t="str">
        <f>"2011 International Conference on Nanoscience, Technology and Societal Implications, NSTSI11"</f>
        <v>2011 International Conference on Nanoscience, Technology and Societal Implications, NSTSI11</v>
      </c>
      <c r="B2703" s="8" t="str">
        <f>"9781457720376"</f>
        <v>9781457720376</v>
      </c>
      <c r="C2703" s="8" t="s">
        <v>9</v>
      </c>
    </row>
    <row r="2704" spans="1:3" x14ac:dyDescent="0.25">
      <c r="A2704" s="8" t="str">
        <f>"2011 International Conference on Networking, Sensing and Control, ICNSC 2011"</f>
        <v>2011 International Conference on Networking, Sensing and Control, ICNSC 2011</v>
      </c>
      <c r="B2704" s="8" t="str">
        <f>"9781424495702"</f>
        <v>9781424495702</v>
      </c>
      <c r="C2704" s="8" t="s">
        <v>9</v>
      </c>
    </row>
    <row r="2705" spans="1:3" x14ac:dyDescent="0.25">
      <c r="A2705" s="8" t="str">
        <f>"2011 International Conference on Power and Energy Systems, ICPS 2011"</f>
        <v>2011 International Conference on Power and Energy Systems, ICPS 2011</v>
      </c>
      <c r="B2705" s="8" t="str">
        <f>"9781457715105"</f>
        <v>9781457715105</v>
      </c>
      <c r="C2705" s="8" t="s">
        <v>9</v>
      </c>
    </row>
    <row r="2706" spans="1:3" x14ac:dyDescent="0.25">
      <c r="A2706" s="8" t="str">
        <f>"2011 International Conference on Recent Advancements in Electrical, Electronics and Control Engineering, IConRAEeCE'11 - Proceedings"</f>
        <v>2011 International Conference on Recent Advancements in Electrical, Electronics and Control Engineering, IConRAEeCE'11 - Proceedings</v>
      </c>
      <c r="B2706" s="8" t="str">
        <f>"9781457721472"</f>
        <v>9781457721472</v>
      </c>
      <c r="C2706" s="8" t="s">
        <v>9</v>
      </c>
    </row>
    <row r="2707" spans="1:3" x14ac:dyDescent="0.25">
      <c r="A2707" s="8" t="str">
        <f>"2011 International Conference on Recent Trends in Information Systems, ReTIS 2011 - Proceedings"</f>
        <v>2011 International Conference on Recent Trends in Information Systems, ReTIS 2011 - Proceedings</v>
      </c>
      <c r="B2707" s="8" t="str">
        <f>"9781457707926"</f>
        <v>9781457707926</v>
      </c>
      <c r="C2707" s="8" t="s">
        <v>9</v>
      </c>
    </row>
    <row r="2708" spans="1:3" x14ac:dyDescent="0.25">
      <c r="A2708" s="8" t="str">
        <f>"2011 International Conference on Remote Sensing, Environment and Transportation Engineering, RSETE 2011 - Proceedings"</f>
        <v>2011 International Conference on Remote Sensing, Environment and Transportation Engineering, RSETE 2011 - Proceedings</v>
      </c>
      <c r="B2708" s="8" t="str">
        <f>"9781424491711"</f>
        <v>9781424491711</v>
      </c>
      <c r="C2708" s="8" t="s">
        <v>9</v>
      </c>
    </row>
    <row r="2709" spans="1:3" x14ac:dyDescent="0.25">
      <c r="A2709" s="8" t="str">
        <f>"2011 International Conference on Research and Innovation in Information Systems, ICRIIS'11"</f>
        <v>2011 International Conference on Research and Innovation in Information Systems, ICRIIS'11</v>
      </c>
      <c r="B2709" s="8" t="str">
        <f>"9781612842950"</f>
        <v>9781612842950</v>
      </c>
      <c r="C2709" s="8" t="s">
        <v>9</v>
      </c>
    </row>
    <row r="2710" spans="1:3" x14ac:dyDescent="0.25">
      <c r="A2710" s="8" t="str">
        <f>"2011 International Conference on Selected Topics in Mobile and Wireless Networking, iCOST 2011"</f>
        <v>2011 International Conference on Selected Topics in Mobile and Wireless Networking, iCOST 2011</v>
      </c>
      <c r="B2710" s="8" t="str">
        <f>"9781457720048"</f>
        <v>9781457720048</v>
      </c>
      <c r="C2710" s="8" t="s">
        <v>9</v>
      </c>
    </row>
    <row r="2711" spans="1:3" x14ac:dyDescent="0.25">
      <c r="A2711" s="8" t="str">
        <f>"2011 International Conference on Semantic Technology and Information Retrieval, STAIR 2011"</f>
        <v>2011 International Conference on Semantic Technology and Information Retrieval, STAIR 2011</v>
      </c>
      <c r="B2711" s="8" t="str">
        <f>"9781612843537"</f>
        <v>9781612843537</v>
      </c>
      <c r="C2711" s="8" t="s">
        <v>9</v>
      </c>
    </row>
    <row r="2712" spans="1:3" x14ac:dyDescent="0.25">
      <c r="A2712" s="8" t="str">
        <f>"2011 International Conference on Software, Telecommunications and Computer Networks, SoftCOM 2011"</f>
        <v>2011 International Conference on Software, Telecommunications and Computer Networks, SoftCOM 2011</v>
      </c>
      <c r="B2712" s="8" t="str">
        <f>"9789532900262"</f>
        <v>9789532900262</v>
      </c>
      <c r="C2712" s="8" t="s">
        <v>9</v>
      </c>
    </row>
    <row r="2713" spans="1:3" x14ac:dyDescent="0.25">
      <c r="A2713" s="8" t="str">
        <f>"2011 International Conference on Space Optical Systems and Applications, ICSOS'11"</f>
        <v>2011 International Conference on Space Optical Systems and Applications, ICSOS'11</v>
      </c>
      <c r="B2713" s="8" t="str">
        <f>"9781424496853"</f>
        <v>9781424496853</v>
      </c>
      <c r="C2713" s="8" t="s">
        <v>9</v>
      </c>
    </row>
    <row r="2714" spans="1:3" x14ac:dyDescent="0.25">
      <c r="A2714" s="8" t="str">
        <f>"2011 International Conference on Speech Database and Assessments, Oriental COCOSDA 2011 - Proceedings"</f>
        <v>2011 International Conference on Speech Database and Assessments, Oriental COCOSDA 2011 - Proceedings</v>
      </c>
      <c r="B2714" s="8" t="str">
        <f>"9781457709319"</f>
        <v>9781457709319</v>
      </c>
      <c r="C2714" s="8" t="s">
        <v>9</v>
      </c>
    </row>
    <row r="2715" spans="1:3" x14ac:dyDescent="0.25">
      <c r="A2715" s="8" t="str">
        <f>"2011 International Conference on System Science, Engineering Design and Manufacturing Informatization, ICSEM 2011"</f>
        <v>2011 International Conference on System Science, Engineering Design and Manufacturing Informatization, ICSEM 2011</v>
      </c>
      <c r="B2715" s="8" t="str">
        <f>"9781457702471"</f>
        <v>9781457702471</v>
      </c>
      <c r="C2715" s="8" t="s">
        <v>9</v>
      </c>
    </row>
    <row r="2716" spans="1:3" x14ac:dyDescent="0.25">
      <c r="A2716" s="8" t="str">
        <f>"2011 International Conference on the Network of the Future, NOF 2011 - Proceedings"</f>
        <v>2011 International Conference on the Network of the Future, NOF 2011 - Proceedings</v>
      </c>
      <c r="B2716" s="8" t="str">
        <f>"9781457716072"</f>
        <v>9781457716072</v>
      </c>
      <c r="C2716" s="8" t="s">
        <v>9</v>
      </c>
    </row>
    <row r="2717" spans="1:3" x14ac:dyDescent="0.25">
      <c r="A2717" s="8" t="str">
        <f>"2011 International Conference on Virtual Rehabilitation, ICVR 2011"</f>
        <v>2011 International Conference on Virtual Rehabilitation, ICVR 2011</v>
      </c>
      <c r="B2717" s="8" t="str">
        <f>"9781612844749"</f>
        <v>9781612844749</v>
      </c>
      <c r="C2717" s="8" t="s">
        <v>9</v>
      </c>
    </row>
    <row r="2718" spans="1:3" x14ac:dyDescent="0.25">
      <c r="A2718" s="8" t="str">
        <f>"2011 International Conference on Wireless Communications and Signal Processing, WCSP 2011"</f>
        <v>2011 International Conference on Wireless Communications and Signal Processing, WCSP 2011</v>
      </c>
      <c r="B2718" s="8" t="str">
        <f>"9781457710100"</f>
        <v>9781457710100</v>
      </c>
      <c r="C2718" s="8" t="s">
        <v>9</v>
      </c>
    </row>
    <row r="2719" spans="1:3" x14ac:dyDescent="0.25">
      <c r="A2719" s="8" t="str">
        <f>"2011 International Green Computing Conference and Workshops, IGCC 2011"</f>
        <v>2011 International Green Computing Conference and Workshops, IGCC 2011</v>
      </c>
      <c r="B2719" s="8" t="str">
        <f>"9781457712203"</f>
        <v>9781457712203</v>
      </c>
      <c r="C2719" s="8" t="s">
        <v>9</v>
      </c>
    </row>
    <row r="2720" spans="1:3" x14ac:dyDescent="0.25">
      <c r="A2720" s="8" t="str">
        <f>"2011 International ITG Workshop on Smart Antennas, WSA 2011"</f>
        <v>2011 International ITG Workshop on Smart Antennas, WSA 2011</v>
      </c>
      <c r="B2720" s="8" t="str">
        <f>"9781612840741"</f>
        <v>9781612840741</v>
      </c>
      <c r="C2720" s="8" t="s">
        <v>9</v>
      </c>
    </row>
    <row r="2721" spans="1:3" x14ac:dyDescent="0.25">
      <c r="A2721" s="8" t="str">
        <f>"2011 International Joint Conference on Biometrics, IJCB 2011"</f>
        <v>2011 International Joint Conference on Biometrics, IJCB 2011</v>
      </c>
      <c r="B2721" s="8" t="str">
        <f>"9781457713583"</f>
        <v>9781457713583</v>
      </c>
      <c r="C2721" s="8" t="s">
        <v>9</v>
      </c>
    </row>
    <row r="2722" spans="1:3" x14ac:dyDescent="0.25">
      <c r="A2722" s="8" t="str">
        <f>"2011 International Semiconductor Device Research Symposium, ISDRS 2011"</f>
        <v>2011 International Semiconductor Device Research Symposium, ISDRS 2011</v>
      </c>
      <c r="B2722" s="8" t="str">
        <f>"9781457717550"</f>
        <v>9781457717550</v>
      </c>
      <c r="C2722" s="8" t="s">
        <v>9</v>
      </c>
    </row>
    <row r="2723" spans="1:3" x14ac:dyDescent="0.25">
      <c r="A2723" s="8" t="str">
        <f>"2011 International Siberian Conference on Control and Communications, SIBCON 2011 - Proceedings"</f>
        <v>2011 International Siberian Conference on Control and Communications, SIBCON 2011 - Proceedings</v>
      </c>
      <c r="B2723" s="8" t="str">
        <f>"9781457710681"</f>
        <v>9781457710681</v>
      </c>
      <c r="C2723" s="8" t="s">
        <v>9</v>
      </c>
    </row>
    <row r="2724" spans="1:3" x14ac:dyDescent="0.25">
      <c r="A2724" s="8" t="str">
        <f>"2011 International SoC Design Conference, ISOCC 2011"</f>
        <v>2011 International SoC Design Conference, ISOCC 2011</v>
      </c>
      <c r="B2724" s="8" t="str">
        <f>"9781457707100"</f>
        <v>9781457707100</v>
      </c>
      <c r="C2724" s="8" t="s">
        <v>9</v>
      </c>
    </row>
    <row r="2725" spans="1:3" x14ac:dyDescent="0.25">
      <c r="A2725" s="8" t="s">
        <v>1369</v>
      </c>
      <c r="B2725" s="8" t="str">
        <f>"9781457716522"</f>
        <v>9781457716522</v>
      </c>
      <c r="C2725" s="8" t="s">
        <v>9</v>
      </c>
    </row>
    <row r="2726" spans="1:3" x14ac:dyDescent="0.25">
      <c r="A2726" s="8" t="str">
        <f>"2011 International Symposium on Advanced Control of Industrial Processes, ADCONIP 2011"</f>
        <v>2011 International Symposium on Advanced Control of Industrial Processes, ADCONIP 2011</v>
      </c>
      <c r="B2726" s="8" t="str">
        <f>"-"</f>
        <v>-</v>
      </c>
      <c r="C2726" s="8" t="s">
        <v>9</v>
      </c>
    </row>
    <row r="2727" spans="1:3" x14ac:dyDescent="0.25">
      <c r="A2727" s="8" t="str">
        <f>"2011 International Symposium on Applications of Ferroelectrics and 2011 International Symposium on Piezoresponse Force Microscopy and Nanoscale Phenomena in Polar Materials, ISAF/PFM 2011"</f>
        <v>2011 International Symposium on Applications of Ferroelectrics and 2011 International Symposium on Piezoresponse Force Microscopy and Nanoscale Phenomena in Polar Materials, ISAF/PFM 2011</v>
      </c>
      <c r="B2727" s="8" t="str">
        <f>"9781457711626"</f>
        <v>9781457711626</v>
      </c>
      <c r="C2727" s="8" t="s">
        <v>9</v>
      </c>
    </row>
    <row r="2728" spans="1:3" x14ac:dyDescent="0.25">
      <c r="A2728" s="8" t="str">
        <f>"2011 International Symposium on Artificial Intelligence and Signal Processing, AISP 2011"</f>
        <v>2011 International Symposium on Artificial Intelligence and Signal Processing, AISP 2011</v>
      </c>
      <c r="B2728" s="8" t="str">
        <f>"9781424498345"</f>
        <v>9781424498345</v>
      </c>
      <c r="C2728" s="8" t="s">
        <v>9</v>
      </c>
    </row>
    <row r="2729" spans="1:3" x14ac:dyDescent="0.25">
      <c r="A2729" s="8" t="str">
        <f>"2011 International Symposium on Computer Networks and Distributed Systems, CNDS 2011"</f>
        <v>2011 International Symposium on Computer Networks and Distributed Systems, CNDS 2011</v>
      </c>
      <c r="B2729" s="8" t="str">
        <f>"9781424491544"</f>
        <v>9781424491544</v>
      </c>
      <c r="C2729" s="8" t="s">
        <v>9</v>
      </c>
    </row>
    <row r="2730" spans="1:3" x14ac:dyDescent="0.25">
      <c r="A2730" s="8" t="str">
        <f>"2011 International Symposium on Image and Data Fusion, ISIDF 2011"</f>
        <v>2011 International Symposium on Image and Data Fusion, ISIDF 2011</v>
      </c>
      <c r="B2730" s="8" t="str">
        <f>"9781457709692"</f>
        <v>9781457709692</v>
      </c>
      <c r="C2730" s="8" t="s">
        <v>9</v>
      </c>
    </row>
    <row r="2731" spans="1:3" x14ac:dyDescent="0.25">
      <c r="A2731" s="8" t="str">
        <f>"2011 International Symposium on Integrated Circuits, ISIC 2011"</f>
        <v>2011 International Symposium on Integrated Circuits, ISIC 2011</v>
      </c>
      <c r="B2731" s="8" t="str">
        <f>"9781612848648"</f>
        <v>9781612848648</v>
      </c>
      <c r="C2731" s="8" t="s">
        <v>9</v>
      </c>
    </row>
    <row r="2732" spans="1:3" x14ac:dyDescent="0.25">
      <c r="A2732" s="8" t="s">
        <v>1370</v>
      </c>
      <c r="B2732" s="8" t="str">
        <f>"9781457721663"</f>
        <v>9781457721663</v>
      </c>
      <c r="C2732" s="8" t="s">
        <v>9</v>
      </c>
    </row>
    <row r="2733" spans="1:3" x14ac:dyDescent="0.25">
      <c r="A2733" s="8" t="str">
        <f>"2011 International Symposium on Lightning Protection, XI SIPDA 2011"</f>
        <v>2011 International Symposium on Lightning Protection, XI SIPDA 2011</v>
      </c>
      <c r="B2733" s="8" t="str">
        <f>"9781457718977"</f>
        <v>9781457718977</v>
      </c>
      <c r="C2733" s="8" t="s">
        <v>9</v>
      </c>
    </row>
    <row r="2734" spans="1:3" x14ac:dyDescent="0.25">
      <c r="A2734" s="8" t="str">
        <f>"2011 International Symposium on Modeling and Optimization of Mobile, Ad Hoc, and Wireless Networks, WiOpt 2011"</f>
        <v>2011 International Symposium on Modeling and Optimization of Mobile, Ad Hoc, and Wireless Networks, WiOpt 2011</v>
      </c>
      <c r="B2734" s="8" t="str">
        <f>"9781612848242"</f>
        <v>9781612848242</v>
      </c>
      <c r="C2734" s="8" t="s">
        <v>9</v>
      </c>
    </row>
    <row r="2735" spans="1:3" x14ac:dyDescent="0.25">
      <c r="A2735" s="8" t="str">
        <f>"2011 International Symposium on Network Coding, NETCOD 2011 - Proceedings"</f>
        <v>2011 International Symposium on Network Coding, NETCOD 2011 - Proceedings</v>
      </c>
      <c r="B2735" s="8" t="str">
        <f>"9781612841403"</f>
        <v>9781612841403</v>
      </c>
      <c r="C2735" s="8" t="s">
        <v>9</v>
      </c>
    </row>
    <row r="2736" spans="1:3" x14ac:dyDescent="0.25">
      <c r="A2736" s="8" t="str">
        <f>"2011 International Symposium on Software Testing and Analysis, ISSTA 2011 - Proceedings"</f>
        <v>2011 International Symposium on Software Testing and Analysis, ISSTA 2011 - Proceedings</v>
      </c>
      <c r="B2736" s="8" t="str">
        <f>"9781450305624"</f>
        <v>9781450305624</v>
      </c>
      <c r="C2736" s="8" t="s">
        <v>21</v>
      </c>
    </row>
    <row r="2737" spans="1:3" x14ac:dyDescent="0.25">
      <c r="A2737" s="8" t="str">
        <f>"2011 International Symposium on System on Chip, SoC 2011"</f>
        <v>2011 International Symposium on System on Chip, SoC 2011</v>
      </c>
      <c r="B2737" s="8" t="str">
        <f>"9781457706721"</f>
        <v>9781457706721</v>
      </c>
      <c r="C2737" s="8" t="s">
        <v>9</v>
      </c>
    </row>
    <row r="2738" spans="1:3" x14ac:dyDescent="0.25">
      <c r="A2738" s="8" t="str">
        <f>"2011 International Workshop on Biophotonics, BIOPHOTONICS 2011"</f>
        <v>2011 International Workshop on Biophotonics, BIOPHOTONICS 2011</v>
      </c>
      <c r="B2738" s="8" t="str">
        <f>"9781424498376"</f>
        <v>9781424498376</v>
      </c>
      <c r="C2738" s="8" t="s">
        <v>9</v>
      </c>
    </row>
    <row r="2739" spans="1:3" x14ac:dyDescent="0.25">
      <c r="A2739" s="8" t="str">
        <f>"2011 International Workshop on End-to-End Test Script Engineering, ETSE 2011 - Proceedings"</f>
        <v>2011 International Workshop on End-to-End Test Script Engineering, ETSE 2011 - Proceedings</v>
      </c>
      <c r="B2739" s="8" t="str">
        <f>"9781450308083"</f>
        <v>9781450308083</v>
      </c>
      <c r="C2739" s="8" t="s">
        <v>21</v>
      </c>
    </row>
    <row r="2740" spans="1:3" x14ac:dyDescent="0.25">
      <c r="A2740" s="8" t="str">
        <f>"2011 International Workshop on Engineering Application Research, WEAR 2011"</f>
        <v>2011 International Workshop on Engineering Application Research, WEAR 2011</v>
      </c>
      <c r="B2740" s="8" t="str">
        <f>"-"</f>
        <v>-</v>
      </c>
      <c r="C2740" s="8" t="s">
        <v>1371</v>
      </c>
    </row>
    <row r="2741" spans="1:3" x14ac:dyDescent="0.25">
      <c r="A2741" s="8" t="str">
        <f>"2011 International Workshop on Institutional and Programme Accreditation: Connections and Opportunities - Proceedings, IWIPA 2011"</f>
        <v>2011 International Workshop on Institutional and Programme Accreditation: Connections and Opportunities - Proceedings, IWIPA 2011</v>
      </c>
      <c r="B2741" s="8" t="str">
        <f>"9781612842585"</f>
        <v>9781612842585</v>
      </c>
      <c r="C2741" s="8" t="s">
        <v>9</v>
      </c>
    </row>
    <row r="2742" spans="1:3" x14ac:dyDescent="0.25">
      <c r="A2742" s="8" t="str">
        <f>"2011 International Workshop on Multi-Platform/Multi-Sensor Remote Sensing and Mapping, M2RSM 2011"</f>
        <v>2011 International Workshop on Multi-Platform/Multi-Sensor Remote Sensing and Mapping, M2RSM 2011</v>
      </c>
      <c r="B2742" s="8" t="str">
        <f>"9781424494040"</f>
        <v>9781424494040</v>
      </c>
      <c r="C2742" s="8" t="s">
        <v>9</v>
      </c>
    </row>
    <row r="2743" spans="1:3" x14ac:dyDescent="0.25">
      <c r="A2743" s="8" t="str">
        <f>"2011 International Workshop on the Maintenance and Evolution of Service-Oriented and Cloud-Based Systems, MESOCA 2011"</f>
        <v>2011 International Workshop on the Maintenance and Evolution of Service-Oriented and Cloud-Based Systems, MESOCA 2011</v>
      </c>
      <c r="B2743" s="8" t="str">
        <f>"9781457706479"</f>
        <v>9781457706479</v>
      </c>
      <c r="C2743" s="8" t="s">
        <v>9</v>
      </c>
    </row>
    <row r="2744" spans="1:3" x14ac:dyDescent="0.25">
      <c r="A2744" s="8" t="str">
        <f>"2011 IRCOBI Conference Proceedings - International Research Council on the Biomechanics of Injury"</f>
        <v>2011 IRCOBI Conference Proceedings - International Research Council on the Biomechanics of Injury</v>
      </c>
      <c r="B2744" s="8" t="str">
        <f>"-"</f>
        <v>-</v>
      </c>
      <c r="C2744" s="8" t="s">
        <v>1372</v>
      </c>
    </row>
    <row r="2745" spans="1:3" x14ac:dyDescent="0.25">
      <c r="A2745" s="8" t="str">
        <f>"2011 ISSNIP Biosignals and Biorobotics Conference: Biosignals and Robotics for Better and Safer Living, BRC 2011"</f>
        <v>2011 ISSNIP Biosignals and Biorobotics Conference: Biosignals and Robotics for Better and Safer Living, BRC 2011</v>
      </c>
      <c r="B2745" s="8" t="str">
        <f>"9781424482122"</f>
        <v>9781424482122</v>
      </c>
      <c r="C2745" s="8" t="s">
        <v>9</v>
      </c>
    </row>
    <row r="2746" spans="1:3" x14ac:dyDescent="0.25">
      <c r="A2746" s="8" t="str">
        <f>"2011 IST-Africa Conference Proceedings, IST 2011"</f>
        <v>2011 IST-Africa Conference Proceedings, IST 2011</v>
      </c>
      <c r="B2746" s="8" t="str">
        <f>"9781905824267"</f>
        <v>9781905824267</v>
      </c>
      <c r="C2746" s="8" t="s">
        <v>9</v>
      </c>
    </row>
    <row r="2747" spans="1:3" x14ac:dyDescent="0.25">
      <c r="A2747" s="8" t="str">
        <f>"2011 Joint Rail Conference, JRC 2011"</f>
        <v>2011 Joint Rail Conference, JRC 2011</v>
      </c>
      <c r="B2747" s="8" t="str">
        <f>"9780791854594"</f>
        <v>9780791854594</v>
      </c>
      <c r="C2747" s="8" t="s">
        <v>73</v>
      </c>
    </row>
    <row r="2748" spans="1:3" x14ac:dyDescent="0.25">
      <c r="A2748" s="8" t="str">
        <f>"2011 Joint Urban Remote Sensing Event, JURSE 2011 - Proceedings"</f>
        <v>2011 Joint Urban Remote Sensing Event, JURSE 2011 - Proceedings</v>
      </c>
      <c r="B2748" s="8" t="str">
        <f>"9781424486571"</f>
        <v>9781424486571</v>
      </c>
      <c r="C2748" s="8" t="s">
        <v>9</v>
      </c>
    </row>
    <row r="2749" spans="1:3" x14ac:dyDescent="0.25">
      <c r="A2749" s="8" t="str">
        <f>"2011 Joint Workshop on Hands-free Speech Communication and Microphone Arrays, HSCMA'11"</f>
        <v>2011 Joint Workshop on Hands-free Speech Communication and Microphone Arrays, HSCMA'11</v>
      </c>
      <c r="B2749" s="8" t="str">
        <f>"9781457709999"</f>
        <v>9781457709999</v>
      </c>
      <c r="C2749" s="8" t="s">
        <v>9</v>
      </c>
    </row>
    <row r="2750" spans="1:3" x14ac:dyDescent="0.25">
      <c r="A2750" s="8" t="str">
        <f>"2011 Microwaves, Radar and Remote Sensing Symposium, MRRS-2011 - Proceedings"</f>
        <v>2011 Microwaves, Radar and Remote Sensing Symposium, MRRS-2011 - Proceedings</v>
      </c>
      <c r="B2750" s="8" t="str">
        <f>"9781424496440"</f>
        <v>9781424496440</v>
      </c>
      <c r="C2750" s="8" t="s">
        <v>9</v>
      </c>
    </row>
    <row r="2751" spans="1:3" x14ac:dyDescent="0.25">
      <c r="A2751" s="8" t="str">
        <f>"2011 Military Communications and Information Systems Conference, MilCIS 2011 - Proceedings"</f>
        <v>2011 Military Communications and Information Systems Conference, MilCIS 2011 - Proceedings</v>
      </c>
      <c r="B2751" s="8" t="str">
        <f>"9781467357289"</f>
        <v>9781467357289</v>
      </c>
      <c r="C2751" s="8" t="s">
        <v>9</v>
      </c>
    </row>
    <row r="2752" spans="1:3" x14ac:dyDescent="0.25">
      <c r="A2752" s="8" t="str">
        <f>"2011 Model-Driven Requirements Engineering Workshop, MoDRE 2011"</f>
        <v>2011 Model-Driven Requirements Engineering Workshop, MoDRE 2011</v>
      </c>
      <c r="B2752" s="8" t="str">
        <f>"9781457709593"</f>
        <v>9781457709593</v>
      </c>
      <c r="C2752" s="8" t="s">
        <v>9</v>
      </c>
    </row>
    <row r="2753" spans="1:3" x14ac:dyDescent="0.25">
      <c r="A2753" s="8" t="str">
        <f>"2011 National Conference on Communications, NCC 2011"</f>
        <v>2011 National Conference on Communications, NCC 2011</v>
      </c>
      <c r="B2753" s="8" t="str">
        <f>"9781612840918"</f>
        <v>9781612840918</v>
      </c>
      <c r="C2753" s="8" t="s">
        <v>9</v>
      </c>
    </row>
    <row r="2754" spans="1:3" x14ac:dyDescent="0.25">
      <c r="A2754" s="8" t="str">
        <f>"2011 National Postgraduate Conference - Energy and Sustainability: Exploring the Innovative Minds, NPC 2011"</f>
        <v>2011 National Postgraduate Conference - Energy and Sustainability: Exploring the Innovative Minds, NPC 2011</v>
      </c>
      <c r="B2754" s="8" t="str">
        <f>"9781457718847"</f>
        <v>9781457718847</v>
      </c>
      <c r="C2754" s="8" t="s">
        <v>9</v>
      </c>
    </row>
    <row r="2755" spans="1:3" x14ac:dyDescent="0.25">
      <c r="A2755" s="8" t="str">
        <f>"2011 Nirma University International Conference on Engineering: Current Trends in Technology, NUiCONE 2011 - Conference Proceedings"</f>
        <v>2011 Nirma University International Conference on Engineering: Current Trends in Technology, NUiCONE 2011 - Conference Proceedings</v>
      </c>
      <c r="B2755" s="8" t="str">
        <f>"9781457721694"</f>
        <v>9781457721694</v>
      </c>
      <c r="C2755" s="8" t="s">
        <v>9</v>
      </c>
    </row>
    <row r="2756" spans="1:3" x14ac:dyDescent="0.25">
      <c r="A2756" s="8" t="str">
        <f>"2011 NORCHIP"</f>
        <v>2011 NORCHIP</v>
      </c>
      <c r="B2756" s="8" t="str">
        <f>"9781457705168"</f>
        <v>9781457705168</v>
      </c>
      <c r="C2756" s="8" t="s">
        <v>9</v>
      </c>
    </row>
    <row r="2757" spans="1:3" x14ac:dyDescent="0.25">
      <c r="A2757" s="8" t="str">
        <f>"2011 Optical Fiber Communication Conference and Exposition and the National Fiber Optic Engineers Conference, OFC/NFOEC 2011"</f>
        <v>2011 Optical Fiber Communication Conference and Exposition and the National Fiber Optic Engineers Conference, OFC/NFOEC 2011</v>
      </c>
      <c r="B2757" s="8" t="str">
        <f>"9781457702136"</f>
        <v>9781457702136</v>
      </c>
      <c r="C2757" s="8" t="s">
        <v>9</v>
      </c>
    </row>
    <row r="2758" spans="1:3" x14ac:dyDescent="0.25">
      <c r="A2758" s="8" t="str">
        <f>"2011 Proceedings of 7th International Conference on Perspective Technologies and Methods in MEMS Design, MEMSTECH 2011"</f>
        <v>2011 Proceedings of 7th International Conference on Perspective Technologies and Methods in MEMS Design, MEMSTECH 2011</v>
      </c>
      <c r="B2758" s="8" t="str">
        <f>"9789662191196"</f>
        <v>9789662191196</v>
      </c>
      <c r="C2758" s="8" t="s">
        <v>9</v>
      </c>
    </row>
    <row r="2759" spans="1:3" x14ac:dyDescent="0.25">
      <c r="A2759" s="8" t="str">
        <f>"2011 Proceedings of Technical Papers: IEEE Asian Solid-State Circuits Conference 2011, A-SSCC 2011"</f>
        <v>2011 Proceedings of Technical Papers: IEEE Asian Solid-State Circuits Conference 2011, A-SSCC 2011</v>
      </c>
      <c r="B2759" s="8" t="str">
        <f>"9781467303989"</f>
        <v>9781467303989</v>
      </c>
      <c r="C2759" s="8" t="s">
        <v>9</v>
      </c>
    </row>
    <row r="2760" spans="1:3" x14ac:dyDescent="0.25">
      <c r="A2760" s="8" t="str">
        <f>"2011 Proceedings of the 13th Workshop on Algorithm Engineering and Experiments, ALENEX 2011"</f>
        <v>2011 Proceedings of the 13th Workshop on Algorithm Engineering and Experiments, ALENEX 2011</v>
      </c>
      <c r="B2760" s="8" t="str">
        <f>"-"</f>
        <v>-</v>
      </c>
      <c r="C2760" s="8" t="s">
        <v>249</v>
      </c>
    </row>
    <row r="2761" spans="1:3" x14ac:dyDescent="0.25">
      <c r="A2761" s="8" t="str">
        <f>"2011 Proceedings of the 22nd EAEEIE Annual Conference, EAEEIE 2011"</f>
        <v>2011 Proceedings of the 22nd EAEEIE Annual Conference, EAEEIE 2011</v>
      </c>
      <c r="B2761" s="8" t="str">
        <f>"9789612482817"</f>
        <v>9789612482817</v>
      </c>
      <c r="C2761" s="8" t="s">
        <v>9</v>
      </c>
    </row>
    <row r="2762" spans="1:3" x14ac:dyDescent="0.25">
      <c r="A2762" s="8" t="str">
        <f>"2011 Proceedings of the 3rd Conference on Thermal Power Plants, CTPP 2011"</f>
        <v>2011 Proceedings of the 3rd Conference on Thermal Power Plants, CTPP 2011</v>
      </c>
      <c r="B2762" s="8" t="str">
        <f>"9781479905911"</f>
        <v>9781479905911</v>
      </c>
      <c r="C2762" s="8" t="s">
        <v>9</v>
      </c>
    </row>
    <row r="2763" spans="1:3" x14ac:dyDescent="0.25">
      <c r="A2763" s="8" t="str">
        <f>"2011 Proceedings of the 8th Conference on the Industrial and Commercial Use of Energy, ICUE 2011"</f>
        <v>2011 Proceedings of the 8th Conference on the Industrial and Commercial Use of Energy, ICUE 2011</v>
      </c>
      <c r="B2763" s="8" t="str">
        <f>"9780981431154"</f>
        <v>9780981431154</v>
      </c>
      <c r="C2763" s="8" t="s">
        <v>9</v>
      </c>
    </row>
    <row r="2764" spans="1:3" x14ac:dyDescent="0.25">
      <c r="A2764" s="8" t="str">
        <f>"2011 Proceedings of the 9th International Workshop on Intelligent Solutions in Embedded Systems, WISES 2011"</f>
        <v>2011 Proceedings of the 9th International Workshop on Intelligent Solutions in Embedded Systems, WISES 2011</v>
      </c>
      <c r="B2764" s="8" t="str">
        <f>"9783000334016"</f>
        <v>9783000334016</v>
      </c>
      <c r="C2764" s="8" t="s">
        <v>9</v>
      </c>
    </row>
    <row r="2765" spans="1:3" x14ac:dyDescent="0.25">
      <c r="A2765" s="8" t="str">
        <f>"2011 Prognostics and System Health Management Conference, PHM-Shenzhen 2011"</f>
        <v>2011 Prognostics and System Health Management Conference, PHM-Shenzhen 2011</v>
      </c>
      <c r="B2765" s="8" t="str">
        <f>"9781424479511"</f>
        <v>9781424479511</v>
      </c>
      <c r="C2765" s="8" t="s">
        <v>9</v>
      </c>
    </row>
    <row r="2766" spans="1:3" x14ac:dyDescent="0.25">
      <c r="A2766" s="8" t="str">
        <f>"2011 Promotion and Innovation with New Technologies in Engineering Education, FINTDI 2011, Conference Proceedings"</f>
        <v>2011 Promotion and Innovation with New Technologies in Engineering Education, FINTDI 2011, Conference Proceedings</v>
      </c>
      <c r="B2766" s="8" t="str">
        <f>"9781457705601"</f>
        <v>9781457705601</v>
      </c>
      <c r="C2766" s="8" t="s">
        <v>9</v>
      </c>
    </row>
    <row r="2767" spans="1:3" x14ac:dyDescent="0.25">
      <c r="A2767" s="8" t="str">
        <f>"2011 Southern African Energy Efficiency Convention, 6th SAEEC 2011"</f>
        <v>2011 Southern African Energy Efficiency Convention, 6th SAEEC 2011</v>
      </c>
      <c r="B2767" s="8" t="str">
        <f>"9781467301053"</f>
        <v>9781467301053</v>
      </c>
      <c r="C2767" s="8" t="s">
        <v>9</v>
      </c>
    </row>
    <row r="2768" spans="1:3" x14ac:dyDescent="0.25">
      <c r="A2768" s="8" t="str">
        <f>"2011 Summer Simulation Multiconference, SummerSim'11, Co-located with the 2011 SISO European Simulation Interoperability Workshop, Euro SIW"</f>
        <v>2011 Summer Simulation Multiconference, SummerSim'11, Co-located with the 2011 SISO European Simulation Interoperability Workshop, Euro SIW</v>
      </c>
      <c r="B2768" s="8" t="str">
        <f>"9781618390349"</f>
        <v>9781618390349</v>
      </c>
      <c r="C2768" s="8" t="s">
        <v>1283</v>
      </c>
    </row>
    <row r="2769" spans="1:3" x14ac:dyDescent="0.25">
      <c r="A2769" s="8" t="str">
        <f>"2011 Symposium on Photonics and Optoelectronics, SOPO 2011"</f>
        <v>2011 Symposium on Photonics and Optoelectronics, SOPO 2011</v>
      </c>
      <c r="B2769" s="8" t="str">
        <f>"9781424465545"</f>
        <v>9781424465545</v>
      </c>
      <c r="C2769" s="8" t="s">
        <v>9</v>
      </c>
    </row>
    <row r="2770" spans="1:3" x14ac:dyDescent="0.25">
      <c r="A2770" s="8" t="str">
        <f>"2011 TAPPI PEERS Conference"</f>
        <v>2011 TAPPI PEERS Conference</v>
      </c>
      <c r="B2770" s="8" t="str">
        <f>"9781618394309"</f>
        <v>9781618394309</v>
      </c>
      <c r="C2770" s="8" t="s">
        <v>1099</v>
      </c>
    </row>
    <row r="2771" spans="1:3" x14ac:dyDescent="0.25">
      <c r="A2771" s="8" t="str">
        <f>"2011 Technical Symposium at ITU Telecom World, ITU WT 11"</f>
        <v>2011 Technical Symposium at ITU Telecom World, ITU WT 11</v>
      </c>
      <c r="B2771" s="8" t="str">
        <f>"9789261136710"</f>
        <v>9789261136710</v>
      </c>
      <c r="C2771" s="8" t="s">
        <v>9</v>
      </c>
    </row>
    <row r="2772" spans="1:3" x14ac:dyDescent="0.25">
      <c r="A2772" s="8" t="str">
        <f>"2011 the 10th IFIP Annual Mediterranean Ad Hoc Networking Workshop, Med-Hoc-Net'2011"</f>
        <v>2011 the 10th IFIP Annual Mediterranean Ad Hoc Networking Workshop, Med-Hoc-Net'2011</v>
      </c>
      <c r="B2772" s="8" t="str">
        <f>"9781457709005"</f>
        <v>9781457709005</v>
      </c>
      <c r="C2772" s="8" t="s">
        <v>9</v>
      </c>
    </row>
    <row r="2773" spans="1:3" x14ac:dyDescent="0.25">
      <c r="A2773" s="8" t="str">
        <f>"2011 the 14th International Symposium on Wireless Personal Multimedia Communications: Communications, Networking and Applications for the Internet of Things, WPMC'11"</f>
        <v>2011 the 14th International Symposium on Wireless Personal Multimedia Communications: Communications, Networking and Applications for the Internet of Things, WPMC'11</v>
      </c>
      <c r="B2773" s="8" t="str">
        <f>"9781457717864"</f>
        <v>9781457717864</v>
      </c>
      <c r="C2773" s="8" t="s">
        <v>9</v>
      </c>
    </row>
    <row r="2774" spans="1:3" x14ac:dyDescent="0.25">
      <c r="A2774" s="8" t="str">
        <f>"2011 Tyrrhenian International Workshop on Digital Communications - Enhanced Surveillance of Aircraft and Vehicles, ESAV'11"</f>
        <v>2011 Tyrrhenian International Workshop on Digital Communications - Enhanced Surveillance of Aircraft and Vehicles, ESAV'11</v>
      </c>
      <c r="B2774" s="8" t="str">
        <f>"9788890348235"</f>
        <v>9788890348235</v>
      </c>
      <c r="C2774" s="8" t="s">
        <v>9</v>
      </c>
    </row>
    <row r="2775" spans="1:3" x14ac:dyDescent="0.25">
      <c r="A2775" s="8" t="str">
        <f>"2011 Western New York Image Processing Workshop, WNYIPW 2011 - Proceedings"</f>
        <v>2011 Western New York Image Processing Workshop, WNYIPW 2011 - Proceedings</v>
      </c>
      <c r="B2775" s="8" t="str">
        <f>"9781467304191"</f>
        <v>9781467304191</v>
      </c>
      <c r="C2775" s="8" t="s">
        <v>9</v>
      </c>
    </row>
    <row r="2776" spans="1:3" x14ac:dyDescent="0.25">
      <c r="A2776" s="8" t="str">
        <f>"2011 Wireless Advanced, WiAd 2011"</f>
        <v>2011 Wireless Advanced, WiAd 2011</v>
      </c>
      <c r="B2776" s="8" t="str">
        <f>"9781457701092"</f>
        <v>9781457701092</v>
      </c>
      <c r="C2776" s="8" t="s">
        <v>9</v>
      </c>
    </row>
    <row r="2777" spans="1:3" x14ac:dyDescent="0.25">
      <c r="A2777" s="8" t="str">
        <f>"2011 Workshop on Integrated Nonlinear Microwave and Millimetre-Wave Circuits, INMMiC 2011"</f>
        <v>2011 Workshop on Integrated Nonlinear Microwave and Millimetre-Wave Circuits, INMMiC 2011</v>
      </c>
      <c r="B2777" s="8" t="str">
        <f>"9781457706493"</f>
        <v>9781457706493</v>
      </c>
      <c r="C2777" s="8" t="s">
        <v>9</v>
      </c>
    </row>
    <row r="2778" spans="1:3" x14ac:dyDescent="0.25">
      <c r="A2778" s="8" t="str">
        <f>"2011 Workshop on Requirements Engineering for Systems, Services and Systems-of-Systems, RESS 2011 - Workshop Co-located with the 19th IEEE International Requirements Engineering Conference"</f>
        <v>2011 Workshop on Requirements Engineering for Systems, Services and Systems-of-Systems, RESS 2011 - Workshop Co-located with the 19th IEEE International Requirements Engineering Conference</v>
      </c>
      <c r="B2778" s="8" t="str">
        <f>"9781457709418"</f>
        <v>9781457709418</v>
      </c>
      <c r="C2778" s="8" t="s">
        <v>9</v>
      </c>
    </row>
    <row r="2779" spans="1:3" x14ac:dyDescent="0.25">
      <c r="A2779" s="8" t="str">
        <f>"2011 World Congress on Sustainable Technologies, WCST 2011"</f>
        <v>2011 World Congress on Sustainable Technologies, WCST 2011</v>
      </c>
      <c r="B2779" s="8" t="str">
        <f>"9780956426345"</f>
        <v>9780956426345</v>
      </c>
      <c r="C2779" s="8" t="s">
        <v>9</v>
      </c>
    </row>
    <row r="2780" spans="1:3" x14ac:dyDescent="0.25">
      <c r="A2780" s="8" t="str">
        <f>"2012 10th Annual International Conference on Privacy, Security and Trust, PST 2012"</f>
        <v>2012 10th Annual International Conference on Privacy, Security and Trust, PST 2012</v>
      </c>
      <c r="B2780" s="8" t="str">
        <f>"9781467323260"</f>
        <v>9781467323260</v>
      </c>
      <c r="C2780" s="8" t="s">
        <v>9</v>
      </c>
    </row>
    <row r="2781" spans="1:3" x14ac:dyDescent="0.25">
      <c r="A2781" s="8" t="str">
        <f>"2012 10th IEEE International Conference on Semiconductor Electronics, ICSE 2012 - Proceedings"</f>
        <v>2012 10th IEEE International Conference on Semiconductor Electronics, ICSE 2012 - Proceedings</v>
      </c>
      <c r="B2781" s="8" t="str">
        <f>"9781467323963"</f>
        <v>9781467323963</v>
      </c>
      <c r="C2781" s="8" t="s">
        <v>9</v>
      </c>
    </row>
    <row r="2782" spans="1:3" x14ac:dyDescent="0.25">
      <c r="A2782" s="8" t="str">
        <f>"2012 10th IEEE/IAS International Conference on Industry Applications, INDUSCON 2012"</f>
        <v>2012 10th IEEE/IAS International Conference on Industry Applications, INDUSCON 2012</v>
      </c>
      <c r="B2782" s="8" t="str">
        <f>"9781467324120"</f>
        <v>9781467324120</v>
      </c>
      <c r="C2782" s="8" t="s">
        <v>9</v>
      </c>
    </row>
    <row r="2783" spans="1:3" x14ac:dyDescent="0.25">
      <c r="A2783" s="8" t="str">
        <f>"2012 10th International Symposium on Antennas, Propagation and EM Theory, ISAPE 2012"</f>
        <v>2012 10th International Symposium on Antennas, Propagation and EM Theory, ISAPE 2012</v>
      </c>
      <c r="B2783" s="8" t="str">
        <f>"9781467317993"</f>
        <v>9781467317993</v>
      </c>
      <c r="C2783" s="8" t="s">
        <v>9</v>
      </c>
    </row>
    <row r="2784" spans="1:3" x14ac:dyDescent="0.25">
      <c r="A2784" s="8" t="str">
        <f>"2012 10th International Symposium on Electronics and Telecommunications, ISETC 2012 - Conference Proceedings"</f>
        <v>2012 10th International Symposium on Electronics and Telecommunications, ISETC 2012 - Conference Proceedings</v>
      </c>
      <c r="B2784" s="8" t="str">
        <f>"9781467311762"</f>
        <v>9781467311762</v>
      </c>
      <c r="C2784" s="8" t="s">
        <v>9</v>
      </c>
    </row>
    <row r="2785" spans="1:3" x14ac:dyDescent="0.25">
      <c r="A2785" s="8" t="str">
        <f>"2012 10th International Symposium on Modeling and Optimization in Mobile, Ad Hoc and Wireless Networks, WiOpt 2012"</f>
        <v>2012 10th International Symposium on Modeling and Optimization in Mobile, Ad Hoc and Wireless Networks, WiOpt 2012</v>
      </c>
      <c r="B2785" s="8" t="str">
        <f>"9783901882456"</f>
        <v>9783901882456</v>
      </c>
      <c r="C2785" s="8" t="s">
        <v>9</v>
      </c>
    </row>
    <row r="2786" spans="1:3" x14ac:dyDescent="0.25">
      <c r="A2786" s="8" t="str">
        <f>"2012 10th Workshop on Parallel and Distributed Systems: Testing, Analysis, and Debugging, PADTAD 2012 - Proceedings"</f>
        <v>2012 10th Workshop on Parallel and Distributed Systems: Testing, Analysis, and Debugging, PADTAD 2012 - Proceedings</v>
      </c>
      <c r="B2786" s="8" t="str">
        <f>"9781450314565"</f>
        <v>9781450314565</v>
      </c>
      <c r="C2786" s="8" t="s">
        <v>21</v>
      </c>
    </row>
    <row r="2787" spans="1:3" x14ac:dyDescent="0.25">
      <c r="A2787" s="8" t="str">
        <f>"2012 11th Euro-American Workshop on Information Optics, WIO 2012"</f>
        <v>2012 11th Euro-American Workshop on Information Optics, WIO 2012</v>
      </c>
      <c r="B2787" s="8" t="str">
        <f>"9781467320009"</f>
        <v>9781467320009</v>
      </c>
      <c r="C2787" s="8" t="s">
        <v>9</v>
      </c>
    </row>
    <row r="2788" spans="1:3" x14ac:dyDescent="0.25">
      <c r="A2788" s="8" t="str">
        <f>"2012 11th International Conference on Actual Problems of Electronic Instrument Engineering, APEIE 2012 - Proceedings"</f>
        <v>2012 11th International Conference on Actual Problems of Electronic Instrument Engineering, APEIE 2012 - Proceedings</v>
      </c>
      <c r="B2788" s="8" t="str">
        <f>"9781467328418"</f>
        <v>9781467328418</v>
      </c>
      <c r="C2788" s="8" t="s">
        <v>9</v>
      </c>
    </row>
    <row r="2789" spans="1:3" x14ac:dyDescent="0.25">
      <c r="A2789" s="8" t="str">
        <f>"2012 11th International Conference on Environment and Electrical Engineering, EEEIC 2012 - Conference Proceedings"</f>
        <v>2012 11th International Conference on Environment and Electrical Engineering, EEEIC 2012 - Conference Proceedings</v>
      </c>
      <c r="B2789" s="8" t="str">
        <f>"9781457718281"</f>
        <v>9781457718281</v>
      </c>
      <c r="C2789" s="8" t="s">
        <v>9</v>
      </c>
    </row>
    <row r="2790" spans="1:3" x14ac:dyDescent="0.25">
      <c r="A2790" s="8" t="str">
        <f>"2012 11th International Conference on Information Science, Signal Processing and their Applications, ISSPA 2012"</f>
        <v>2012 11th International Conference on Information Science, Signal Processing and their Applications, ISSPA 2012</v>
      </c>
      <c r="B2790" s="8" t="str">
        <f>"9781467303828"</f>
        <v>9781467303828</v>
      </c>
      <c r="C2790" s="8" t="s">
        <v>9</v>
      </c>
    </row>
    <row r="2791" spans="1:3" x14ac:dyDescent="0.25">
      <c r="A2791" s="8" t="str">
        <f>"2012 12th Annual Non-Volatile Memory Technology Symposium Proceedings, NVMTS 2012"</f>
        <v>2012 12th Annual Non-Volatile Memory Technology Symposium Proceedings, NVMTS 2012</v>
      </c>
      <c r="B2791" s="8" t="str">
        <f>"9781467328487"</f>
        <v>9781467328487</v>
      </c>
      <c r="C2791" s="8" t="s">
        <v>9</v>
      </c>
    </row>
    <row r="2792" spans="1:3" x14ac:dyDescent="0.25">
      <c r="A2792" s="8" t="str">
        <f>"2012 12th International Conference on Control, Automation, Robotics and Vision, ICARCV 2012"</f>
        <v>2012 12th International Conference on Control, Automation, Robotics and Vision, ICARCV 2012</v>
      </c>
      <c r="B2792" s="8" t="str">
        <f>"9781467318716"</f>
        <v>9781467318716</v>
      </c>
      <c r="C2792" s="8" t="s">
        <v>9</v>
      </c>
    </row>
    <row r="2793" spans="1:3" x14ac:dyDescent="0.25">
      <c r="A2793" s="8" t="str">
        <f>"2012 12th International Conference on ITS Telecommunications, ITST 2012"</f>
        <v>2012 12th International Conference on ITS Telecommunications, ITST 2012</v>
      </c>
      <c r="B2793" s="8" t="str">
        <f>"9781467330701"</f>
        <v>9781467330701</v>
      </c>
      <c r="C2793" s="8" t="s">
        <v>9</v>
      </c>
    </row>
    <row r="2794" spans="1:3" x14ac:dyDescent="0.25">
      <c r="A2794" s="8" t="str">
        <f>"2012 12th Specialist Meeting on Microwave Radiometry and Remote Sensing of the Environment, MicroRad 2012 - Proceedings"</f>
        <v>2012 12th Specialist Meeting on Microwave Radiometry and Remote Sensing of the Environment, MicroRad 2012 - Proceedings</v>
      </c>
      <c r="B2794" s="8" t="str">
        <f>"9781467314701"</f>
        <v>9781467314701</v>
      </c>
      <c r="C2794" s="8" t="s">
        <v>9</v>
      </c>
    </row>
    <row r="2795" spans="1:3" x14ac:dyDescent="0.25">
      <c r="A2795" s="8" t="str">
        <f>"2012 12th UK Workshop on Computational Intelligence, UKCI 2012"</f>
        <v>2012 12th UK Workshop on Computational Intelligence, UKCI 2012</v>
      </c>
      <c r="B2795" s="8" t="str">
        <f>"9781467343923"</f>
        <v>9781467343923</v>
      </c>
      <c r="C2795" s="8" t="s">
        <v>9</v>
      </c>
    </row>
    <row r="2796" spans="1:3" x14ac:dyDescent="0.25">
      <c r="A2796" s="8" t="str">
        <f>"2012 13th International Conference on Ultimate Integration on Silicon, ULIS 2012"</f>
        <v>2012 13th International Conference on Ultimate Integration on Silicon, ULIS 2012</v>
      </c>
      <c r="B2796" s="8" t="str">
        <f>"9781467301916"</f>
        <v>9781467301916</v>
      </c>
      <c r="C2796" s="8" t="s">
        <v>9</v>
      </c>
    </row>
    <row r="2797" spans="1:3" x14ac:dyDescent="0.25">
      <c r="A2797" s="8" t="str">
        <f>"2012 13th International Thermal, Mechanical and Multi-Physics Simulation and Experiments in Microelectronics and Microsystems, EuroSimE 2012"</f>
        <v>2012 13th International Thermal, Mechanical and Multi-Physics Simulation and Experiments in Microelectronics and Microsystems, EuroSimE 2012</v>
      </c>
      <c r="B2797" s="8" t="str">
        <f>"9781467315128"</f>
        <v>9781467315128</v>
      </c>
      <c r="C2797" s="8" t="s">
        <v>9</v>
      </c>
    </row>
    <row r="2798" spans="1:3" x14ac:dyDescent="0.25">
      <c r="A2798" s="8" t="str">
        <f>"2012 14th International Conference on Ground Penetrating Radar, GPR 2012"</f>
        <v>2012 14th International Conference on Ground Penetrating Radar, GPR 2012</v>
      </c>
      <c r="B2798" s="8" t="str">
        <f>"9781467326636"</f>
        <v>9781467326636</v>
      </c>
      <c r="C2798" s="8" t="s">
        <v>9</v>
      </c>
    </row>
    <row r="2799" spans="1:3" x14ac:dyDescent="0.25">
      <c r="A2799" s="8" t="str">
        <f>"2012 14th International Conference on Megagauss Magnetic Field Generation and Related Topics, MEGAGAUSS 2012"</f>
        <v>2012 14th International Conference on Megagauss Magnetic Field Generation and Related Topics, MEGAGAUSS 2012</v>
      </c>
      <c r="B2799" s="8" t="str">
        <f>"9781467357203"</f>
        <v>9781467357203</v>
      </c>
      <c r="C2799" s="8" t="s">
        <v>9</v>
      </c>
    </row>
    <row r="2800" spans="1:3" x14ac:dyDescent="0.25">
      <c r="A2800" s="8" t="str">
        <f>"2012 15th International Conference on Interactive Collaborative Learning, ICL 2012"</f>
        <v>2012 15th International Conference on Interactive Collaborative Learning, ICL 2012</v>
      </c>
      <c r="B2800" s="8" t="str">
        <f>"9781467324274"</f>
        <v>9781467324274</v>
      </c>
      <c r="C2800" s="8" t="s">
        <v>9</v>
      </c>
    </row>
    <row r="2801" spans="1:3" x14ac:dyDescent="0.25">
      <c r="A2801" s="8" t="str">
        <f>"2012 15th International Multitopic Conference, INMIC 2012"</f>
        <v>2012 15th International Multitopic Conference, INMIC 2012</v>
      </c>
      <c r="B2801" s="8" t="str">
        <f>"9781467322508"</f>
        <v>9781467322508</v>
      </c>
      <c r="C2801" s="8" t="s">
        <v>9</v>
      </c>
    </row>
    <row r="2802" spans="1:3" x14ac:dyDescent="0.25">
      <c r="A2802" s="8" t="str">
        <f>"2012 15th International Symposium on Antenna Technology and Applied Electromagnetics, ANTEM 2012"</f>
        <v>2012 15th International Symposium on Antenna Technology and Applied Electromagnetics, ANTEM 2012</v>
      </c>
      <c r="B2802" s="8" t="str">
        <f>"9781467302913"</f>
        <v>9781467302913</v>
      </c>
      <c r="C2802" s="8" t="s">
        <v>9</v>
      </c>
    </row>
    <row r="2803" spans="1:3" x14ac:dyDescent="0.25">
      <c r="A2803" s="8" t="str">
        <f>"2012 15th International Workshop on Computational Electronics, IWCE 2012"</f>
        <v>2012 15th International Workshop on Computational Electronics, IWCE 2012</v>
      </c>
      <c r="B2803" s="8" t="str">
        <f>"9781467307055"</f>
        <v>9781467307055</v>
      </c>
      <c r="C2803" s="8" t="s">
        <v>9</v>
      </c>
    </row>
    <row r="2804" spans="1:3" x14ac:dyDescent="0.25">
      <c r="A2804" s="8" t="str">
        <f>"2012 16th International Conference on Intelligence in Next Generation Networks, ICIN 2012"</f>
        <v>2012 16th International Conference on Intelligence in Next Generation Networks, ICIN 2012</v>
      </c>
      <c r="B2804" s="8" t="str">
        <f>"9781467315265"</f>
        <v>9781467315265</v>
      </c>
      <c r="C2804" s="8" t="s">
        <v>9</v>
      </c>
    </row>
    <row r="2805" spans="1:3" x14ac:dyDescent="0.25">
      <c r="A2805" s="8" t="str">
        <f>"2012 16th International Conference on Optical Networking Design and Modelling, ONDM 2012"</f>
        <v>2012 16th International Conference on Optical Networking Design and Modelling, ONDM 2012</v>
      </c>
      <c r="B2805" s="8" t="str">
        <f>"9781467314428"</f>
        <v>9781467314428</v>
      </c>
      <c r="C2805" s="8" t="s">
        <v>9</v>
      </c>
    </row>
    <row r="2806" spans="1:3" x14ac:dyDescent="0.25">
      <c r="A2806" s="8" t="str">
        <f>"2012 16th International Conference on System Theory, Control and Computing, ICSTCC 2012 - Joint Conference Proceedings"</f>
        <v>2012 16th International Conference on System Theory, Control and Computing, ICSTCC 2012 - Joint Conference Proceedings</v>
      </c>
      <c r="B2806" s="8" t="str">
        <f>"9786068348483"</f>
        <v>9786068348483</v>
      </c>
      <c r="C2806" s="8" t="s">
        <v>9</v>
      </c>
    </row>
    <row r="2807" spans="1:3" x14ac:dyDescent="0.25">
      <c r="A2807" s="8" t="str">
        <f>"2012 16th International ITG Workshop on Smart Antennas, WSA 2012"</f>
        <v>2012 16th International ITG Workshop on Smart Antennas, WSA 2012</v>
      </c>
      <c r="B2807" s="8" t="str">
        <f>"9781457719240"</f>
        <v>9781457719240</v>
      </c>
      <c r="C2807" s="8" t="s">
        <v>9</v>
      </c>
    </row>
    <row r="2808" spans="1:3" x14ac:dyDescent="0.25">
      <c r="A2808" s="8" t="str">
        <f>"2012 17th European Conference on Network and Optical Communications, NOC 2012, 7th Conference on Optical Cabling and Infrastructure, OC and I 2012"</f>
        <v>2012 17th European Conference on Network and Optical Communications, NOC 2012, 7th Conference on Optical Cabling and Infrastructure, OC and I 2012</v>
      </c>
      <c r="B2808" s="8" t="str">
        <f>"9781467309516"</f>
        <v>9781467309516</v>
      </c>
      <c r="C2808" s="8" t="s">
        <v>9</v>
      </c>
    </row>
    <row r="2809" spans="1:3" x14ac:dyDescent="0.25">
      <c r="A2809" s="8" t="str">
        <f>"2012 17th International Conference on Methods and Models in Automation and Robotics, MMAR 2012"</f>
        <v>2012 17th International Conference on Methods and Models in Automation and Robotics, MMAR 2012</v>
      </c>
      <c r="B2809" s="8" t="str">
        <f>"9781467321211"</f>
        <v>9781467321211</v>
      </c>
      <c r="C2809" s="8" t="s">
        <v>9</v>
      </c>
    </row>
    <row r="2810" spans="1:3" x14ac:dyDescent="0.25">
      <c r="A2810" s="8" t="str">
        <f>"2012 18th Annual International Conference on Advanced Computing and Communications, ADCOM 2012"</f>
        <v>2012 18th Annual International Conference on Advanced Computing and Communications, ADCOM 2012</v>
      </c>
      <c r="B2810" s="8" t="str">
        <f>"9781479908028"</f>
        <v>9781479908028</v>
      </c>
      <c r="C2810" s="8" t="s">
        <v>9</v>
      </c>
    </row>
    <row r="2811" spans="1:3" x14ac:dyDescent="0.25">
      <c r="A2811" s="8" t="str">
        <f>"2012 18th IEEE-NPSS Real Time Conference, RT 2012"</f>
        <v>2012 18th IEEE-NPSS Real Time Conference, RT 2012</v>
      </c>
      <c r="B2811" s="8" t="str">
        <f>"9781467310826"</f>
        <v>9781467310826</v>
      </c>
      <c r="C2811" s="8" t="s">
        <v>9</v>
      </c>
    </row>
    <row r="2812" spans="1:3" x14ac:dyDescent="0.25">
      <c r="A2812" s="8" t="str">
        <f>"2012 18th International Conference on Engineering, Technology and Innovation, ICE 2012 - Conference Proceedings"</f>
        <v>2012 18th International Conference on Engineering, Technology and Innovation, ICE 2012 - Conference Proceedings</v>
      </c>
      <c r="B2812" s="8" t="str">
        <f>"9781467322751"</f>
        <v>9781467322751</v>
      </c>
      <c r="C2812" s="8" t="s">
        <v>9</v>
      </c>
    </row>
    <row r="2813" spans="1:3" x14ac:dyDescent="0.25">
      <c r="A2813" s="8" t="str">
        <f>"2012 19th IEEE International Conference on Electronics, Circuits, and Systems, ICECS 2012"</f>
        <v>2012 19th IEEE International Conference on Electronics, Circuits, and Systems, ICECS 2012</v>
      </c>
      <c r="B2813" s="8" t="str">
        <f>"9781467312615"</f>
        <v>9781467312615</v>
      </c>
      <c r="C2813" s="8" t="s">
        <v>9</v>
      </c>
    </row>
    <row r="2814" spans="1:3" x14ac:dyDescent="0.25">
      <c r="A2814" s="8" t="str">
        <f>"2012 19th IEEE Symposium on Communications and Vehicular Technology in the Benelux, SCVT 2012"</f>
        <v>2012 19th IEEE Symposium on Communications and Vehicular Technology in the Benelux, SCVT 2012</v>
      </c>
      <c r="B2814" s="8" t="str">
        <f>"-"</f>
        <v>-</v>
      </c>
      <c r="C2814" s="8" t="s">
        <v>9</v>
      </c>
    </row>
    <row r="2815" spans="1:3" x14ac:dyDescent="0.25">
      <c r="A2815" s="8" t="str">
        <f>"2012 19th International Conference on High Performance Computing, HiPC 2012"</f>
        <v>2012 19th International Conference on High Performance Computing, HiPC 2012</v>
      </c>
      <c r="B2815" s="8" t="str">
        <f>"9781467323703"</f>
        <v>9781467323703</v>
      </c>
      <c r="C2815" s="8" t="s">
        <v>9</v>
      </c>
    </row>
    <row r="2816" spans="1:3" x14ac:dyDescent="0.25">
      <c r="A2816" s="8" t="str">
        <f>"2012 19th International Conference on Mechatronics and Machine Vision in Practice, M2VIP 2012"</f>
        <v>2012 19th International Conference on Mechatronics and Machine Vision in Practice, M2VIP 2012</v>
      </c>
      <c r="B2816" s="8" t="str">
        <f>"9780473204853"</f>
        <v>9780473204853</v>
      </c>
      <c r="C2816" s="8" t="s">
        <v>9</v>
      </c>
    </row>
    <row r="2817" spans="1:3" x14ac:dyDescent="0.25">
      <c r="A2817" s="8" t="str">
        <f>"2012 19th International Conference on Microwaves, Radar and Wireless Communications, MIKON 2012"</f>
        <v>2012 19th International Conference on Microwaves, Radar and Wireless Communications, MIKON 2012</v>
      </c>
      <c r="B2817" s="8" t="str">
        <f>"9781457714351"</f>
        <v>9781457714351</v>
      </c>
      <c r="C2817" s="8" t="s">
        <v>9</v>
      </c>
    </row>
    <row r="2818" spans="1:3" x14ac:dyDescent="0.25">
      <c r="A2818" s="8" t="str">
        <f>"2012 19th International Conference on Systems, Signals and Image Processing, IWSSIP 2012"</f>
        <v>2012 19th International Conference on Systems, Signals and Image Processing, IWSSIP 2012</v>
      </c>
      <c r="B2818" s="8" t="str">
        <f>"9783200023284"</f>
        <v>9783200023284</v>
      </c>
      <c r="C2818" s="8" t="s">
        <v>9</v>
      </c>
    </row>
    <row r="2819" spans="1:3" x14ac:dyDescent="0.25">
      <c r="A2819" s="8" t="str">
        <f>"2012 19th International Conference on Telecommunications, ICT 2012"</f>
        <v>2012 19th International Conference on Telecommunications, ICT 2012</v>
      </c>
      <c r="B2819" s="8" t="str">
        <f>"9781467307475"</f>
        <v>9781467307475</v>
      </c>
      <c r="C2819" s="8" t="s">
        <v>9</v>
      </c>
    </row>
    <row r="2820" spans="1:3" x14ac:dyDescent="0.25">
      <c r="A2820" s="8" t="str">
        <f>"2012 19th International Packet Video Workshop, PV 2012"</f>
        <v>2012 19th International Packet Video Workshop, PV 2012</v>
      </c>
      <c r="B2820" s="8" t="str">
        <f>"9781467303019"</f>
        <v>9781467303019</v>
      </c>
      <c r="C2820" s="8" t="s">
        <v>9</v>
      </c>
    </row>
    <row r="2821" spans="1:3" x14ac:dyDescent="0.25">
      <c r="A2821" s="8" t="str">
        <f>"2012 19th Iranian Conference of Biomedical Engineering, ICBME 2012"</f>
        <v>2012 19th Iranian Conference of Biomedical Engineering, ICBME 2012</v>
      </c>
      <c r="B2821" s="8" t="str">
        <f>"9781467331302"</f>
        <v>9781467331302</v>
      </c>
      <c r="C2821" s="8" t="s">
        <v>9</v>
      </c>
    </row>
    <row r="2822" spans="1:3" x14ac:dyDescent="0.25">
      <c r="A2822" s="8" t="str">
        <f>"2012 1st IEEE International Conference on Cloud Networking, CLOUDNET 2012 - Proceedings"</f>
        <v>2012 1st IEEE International Conference on Cloud Networking, CLOUDNET 2012 - Proceedings</v>
      </c>
      <c r="B2822" s="8" t="str">
        <f>"9781467327985"</f>
        <v>9781467327985</v>
      </c>
      <c r="C2822" s="8" t="s">
        <v>9</v>
      </c>
    </row>
    <row r="2823" spans="1:3" x14ac:dyDescent="0.25">
      <c r="A2823" s="8" t="str">
        <f>"2012 1st IEEE International Conference on Communications in China Workshops, ICCC 2012"</f>
        <v>2012 1st IEEE International Conference on Communications in China Workshops, ICCC 2012</v>
      </c>
      <c r="B2823" s="8" t="str">
        <f>"9781467329972"</f>
        <v>9781467329972</v>
      </c>
      <c r="C2823" s="8" t="s">
        <v>9</v>
      </c>
    </row>
    <row r="2824" spans="1:3" x14ac:dyDescent="0.25">
      <c r="A2824" s="8" t="str">
        <f>"2012 1st IEEE International Conference on Communications in China, ICCC 2012"</f>
        <v>2012 1st IEEE International Conference on Communications in China, ICCC 2012</v>
      </c>
      <c r="B2824" s="8" t="str">
        <f>"9781467328159"</f>
        <v>9781467328159</v>
      </c>
      <c r="C2824" s="8" t="s">
        <v>9</v>
      </c>
    </row>
    <row r="2825" spans="1:3" x14ac:dyDescent="0.25">
      <c r="A2825" s="8" t="str">
        <f>"2012 1st IEEE International Workshop on the Twin Peaks of Requirements and Architecture, TwinPeaks 2012 - Proceedings"</f>
        <v>2012 1st IEEE International Workshop on the Twin Peaks of Requirements and Architecture, TwinPeaks 2012 - Proceedings</v>
      </c>
      <c r="B2825" s="8" t="str">
        <f>"9781467344869"</f>
        <v>9781467344869</v>
      </c>
      <c r="C2825" s="8" t="s">
        <v>9</v>
      </c>
    </row>
    <row r="2826" spans="1:3" x14ac:dyDescent="0.25">
      <c r="A2826" s="8" t="str">
        <f>"2012 1st International Conference on Agro-Geoinformatics, Agro-Geoinformatics 2012"</f>
        <v>2012 1st International Conference on Agro-Geoinformatics, Agro-Geoinformatics 2012</v>
      </c>
      <c r="B2826" s="8" t="str">
        <f>"9781467324953"</f>
        <v>9781467324953</v>
      </c>
      <c r="C2826" s="8" t="s">
        <v>9</v>
      </c>
    </row>
    <row r="2827" spans="1:3" x14ac:dyDescent="0.25">
      <c r="A2827" s="8" t="str">
        <f>"2012 1st International Conference on Power and Energy in NERIST, ICPEN 2012 - Proceedings"</f>
        <v>2012 1st International Conference on Power and Energy in NERIST, ICPEN 2012 - Proceedings</v>
      </c>
      <c r="B2827" s="8" t="str">
        <f>"9781467316699"</f>
        <v>9781467316699</v>
      </c>
      <c r="C2827" s="8" t="s">
        <v>9</v>
      </c>
    </row>
    <row r="2828" spans="1:3" x14ac:dyDescent="0.25">
      <c r="A2828" s="8" t="str">
        <f>"2012 1st International Conference on Recent Advances in Information Technology, RAIT-2012"</f>
        <v>2012 1st International Conference on Recent Advances in Information Technology, RAIT-2012</v>
      </c>
      <c r="B2828" s="8" t="str">
        <f>"9781457706974"</f>
        <v>9781457706974</v>
      </c>
      <c r="C2828" s="8" t="s">
        <v>9</v>
      </c>
    </row>
    <row r="2829" spans="1:3" x14ac:dyDescent="0.25">
      <c r="A2829" s="8" t="str">
        <f>"2012 1st International Conference on Renewable Energies and Vehicular Technology, REVET 2012"</f>
        <v>2012 1st International Conference on Renewable Energies and Vehicular Technology, REVET 2012</v>
      </c>
      <c r="B2829" s="8" t="str">
        <f>"9781467311687"</f>
        <v>9781467311687</v>
      </c>
      <c r="C2829" s="8" t="s">
        <v>9</v>
      </c>
    </row>
    <row r="2830" spans="1:3" x14ac:dyDescent="0.25">
      <c r="A2830" s="8" t="str">
        <f>"2012 1st International Workshop on European Software Services and Systems Research - Results and Challenges, S-Cube 2012 - Proceedings"</f>
        <v>2012 1st International Workshop on European Software Services and Systems Research - Results and Challenges, S-Cube 2012 - Proceedings</v>
      </c>
      <c r="B2830" s="8" t="str">
        <f>"9781467318075"</f>
        <v>9781467318075</v>
      </c>
      <c r="C2830" s="8" t="s">
        <v>9</v>
      </c>
    </row>
    <row r="2831" spans="1:3" x14ac:dyDescent="0.25">
      <c r="A2831" s="8" t="str">
        <f>"2012 1st International Workshop on Formal Methods in Software Engineering: Rigorous and Agile Approaches, FormSERA 2012 - Proceedings"</f>
        <v>2012 1st International Workshop on Formal Methods in Software Engineering: Rigorous and Agile Approaches, FormSERA 2012 - Proceedings</v>
      </c>
      <c r="B2831" s="8" t="str">
        <f>"9781467319065"</f>
        <v>9781467319065</v>
      </c>
      <c r="C2831" s="8" t="s">
        <v>9</v>
      </c>
    </row>
    <row r="2832" spans="1:3" x14ac:dyDescent="0.25">
      <c r="A2832" s="8" t="str">
        <f>"2012 1st International Workshop on Green and Sustainable Software, GREENS 2012 - Proceedings"</f>
        <v>2012 1st International Workshop on Green and Sustainable Software, GREENS 2012 - Proceedings</v>
      </c>
      <c r="B2832" s="8" t="str">
        <f>"9781467318327"</f>
        <v>9781467318327</v>
      </c>
      <c r="C2832" s="8" t="s">
        <v>9</v>
      </c>
    </row>
    <row r="2833" spans="1:3" x14ac:dyDescent="0.25">
      <c r="A2833" s="8" t="str">
        <f>"2012 1st International Workshop on Realizing AI Synergies in Software Engineering, RAISE 2012 - Proceedings"</f>
        <v>2012 1st International Workshop on Realizing AI Synergies in Software Engineering, RAISE 2012 - Proceedings</v>
      </c>
      <c r="B2833" s="8" t="str">
        <f>"9781467317535"</f>
        <v>9781467317535</v>
      </c>
      <c r="C2833" s="8" t="s">
        <v>9</v>
      </c>
    </row>
    <row r="2834" spans="1:3" x14ac:dyDescent="0.25">
      <c r="A2834" s="8" t="str">
        <f>"2012 1st International Workshop on Software Engineering Challenges for the Smart Grid, SE-SmartGrids 2012 - Proceedings"</f>
        <v>2012 1st International Workshop on Software Engineering Challenges for the Smart Grid, SE-SmartGrids 2012 - Proceedings</v>
      </c>
      <c r="B2834" s="8" t="str">
        <f>"9781467318648"</f>
        <v>9781467318648</v>
      </c>
      <c r="C2834" s="8" t="s">
        <v>9</v>
      </c>
    </row>
    <row r="2835" spans="1:3" x14ac:dyDescent="0.25">
      <c r="A2835" s="8" t="str">
        <f>"2012 1st International Workshop on Software Engineering Education Based on Real-World Experiences, EduRex 2012 - Proceedings"</f>
        <v>2012 1st International Workshop on Software Engineering Education Based on Real-World Experiences, EduRex 2012 - Proceedings</v>
      </c>
      <c r="B2835" s="8" t="str">
        <f>"9781467318051"</f>
        <v>9781467318051</v>
      </c>
      <c r="C2835" s="8" t="s">
        <v>9</v>
      </c>
    </row>
    <row r="2836" spans="1:3" x14ac:dyDescent="0.25">
      <c r="A2836" s="8" t="str">
        <f>"2012 1st International Workshop on Usability and Accessibility Focused Requirements Engineering, UsARE 2012 - Proceedings"</f>
        <v>2012 1st International Workshop on Usability and Accessibility Focused Requirements Engineering, UsARE 2012 - Proceedings</v>
      </c>
      <c r="B2836" s="8" t="str">
        <f>"9781467318464"</f>
        <v>9781467318464</v>
      </c>
      <c r="C2836" s="8" t="s">
        <v>9</v>
      </c>
    </row>
    <row r="2837" spans="1:3" x14ac:dyDescent="0.25">
      <c r="A2837" s="8" t="str">
        <f>"2012 1st International Workshop on User Evaluation for Software Engineering Researchers, USER 2012 - Proceedings"</f>
        <v>2012 1st International Workshop on User Evaluation for Software Engineering Researchers, USER 2012 - Proceedings</v>
      </c>
      <c r="B2837" s="8" t="str">
        <f>"9781467318594"</f>
        <v>9781467318594</v>
      </c>
      <c r="C2837" s="8" t="s">
        <v>9</v>
      </c>
    </row>
    <row r="2838" spans="1:3" x14ac:dyDescent="0.25">
      <c r="A2838" s="8" t="str">
        <f>"2012 1st International Workshop on Vehicular Traffic Management for Smart Cities, VTM 2012"</f>
        <v>2012 1st International Workshop on Vehicular Traffic Management for Smart Cities, VTM 2012</v>
      </c>
      <c r="B2838" s="8" t="str">
        <f>"9781467350280"</f>
        <v>9781467350280</v>
      </c>
      <c r="C2838" s="8" t="s">
        <v>9</v>
      </c>
    </row>
    <row r="2839" spans="1:3" x14ac:dyDescent="0.25">
      <c r="A2839" s="8" t="str">
        <f>"2012 1st National Conference for Engineering Sciences, FNCES 2012"</f>
        <v>2012 1st National Conference for Engineering Sciences, FNCES 2012</v>
      </c>
      <c r="B2839" s="8" t="str">
        <f>"9781467350334"</f>
        <v>9781467350334</v>
      </c>
      <c r="C2839" s="8" t="s">
        <v>9</v>
      </c>
    </row>
    <row r="2840" spans="1:3" x14ac:dyDescent="0.25">
      <c r="A2840" s="8" t="str">
        <f>"2012 20th IEEE International Requirements Engineering Conference, RE 2012 - Proceedings"</f>
        <v>2012 20th IEEE International Requirements Engineering Conference, RE 2012 - Proceedings</v>
      </c>
      <c r="B2840" s="8" t="str">
        <f>"9781467327855"</f>
        <v>9781467327855</v>
      </c>
      <c r="C2840" s="8" t="s">
        <v>9</v>
      </c>
    </row>
    <row r="2841" spans="1:3" x14ac:dyDescent="0.25">
      <c r="A2841" s="8" t="str">
        <f>"2012 20th International Conference on Software, Telecommunications and Computer Networks, SoftCOM 2012"</f>
        <v>2012 20th International Conference on Software, Telecommunications and Computer Networks, SoftCOM 2012</v>
      </c>
      <c r="B2841" s="8" t="str">
        <f>"9789532900347"</f>
        <v>9789532900347</v>
      </c>
      <c r="C2841" s="8" t="s">
        <v>9</v>
      </c>
    </row>
    <row r="2842" spans="1:3" x14ac:dyDescent="0.25">
      <c r="A2842" s="8" t="str">
        <f>"2012 20th Mediterranean Conference on Control and Automation, MED 2012 - Conference Proceedings"</f>
        <v>2012 20th Mediterranean Conference on Control and Automation, MED 2012 - Conference Proceedings</v>
      </c>
      <c r="B2842" s="8" t="str">
        <f>"9781467325318"</f>
        <v>9781467325318</v>
      </c>
      <c r="C2842" s="8" t="s">
        <v>9</v>
      </c>
    </row>
    <row r="2843" spans="1:3" x14ac:dyDescent="0.25">
      <c r="A2843" s="8" t="str">
        <f>"2012 20th Signal Processing and Communications Applications Conference, SIU 2012, Proceedings"</f>
        <v>2012 20th Signal Processing and Communications Applications Conference, SIU 2012, Proceedings</v>
      </c>
      <c r="B2843" s="8" t="str">
        <f>"9781467300568"</f>
        <v>9781467300568</v>
      </c>
      <c r="C2843" s="8" t="s">
        <v>9</v>
      </c>
    </row>
    <row r="2844" spans="1:3" x14ac:dyDescent="0.25">
      <c r="A2844" s="8" t="str">
        <f>"2012 20th Telecommunications Forum, TELFOR 2012 - Proceedings"</f>
        <v>2012 20th Telecommunications Forum, TELFOR 2012 - Proceedings</v>
      </c>
      <c r="B2844" s="8" t="str">
        <f>"9781467329842"</f>
        <v>9781467329842</v>
      </c>
      <c r="C2844" s="8" t="s">
        <v>9</v>
      </c>
    </row>
    <row r="2845" spans="1:3" x14ac:dyDescent="0.25">
      <c r="A2845" s="8" t="str">
        <f>"2012 21st Annual Wireless and Optical Communications Conference, WOCC 2012"</f>
        <v>2012 21st Annual Wireless and Optical Communications Conference, WOCC 2012</v>
      </c>
      <c r="B2845" s="8" t="str">
        <f>"9781467309394"</f>
        <v>9781467309394</v>
      </c>
      <c r="C2845" s="8" t="s">
        <v>9</v>
      </c>
    </row>
    <row r="2846" spans="1:3" x14ac:dyDescent="0.25">
      <c r="A2846" s="8" t="str">
        <f>"2012 21st International Conference on Computer Communications and Networks, ICCCN 2012 - Proceedings"</f>
        <v>2012 21st International Conference on Computer Communications and Networks, ICCCN 2012 - Proceedings</v>
      </c>
      <c r="B2846" s="8" t="str">
        <f>"9781467315449"</f>
        <v>9781467315449</v>
      </c>
      <c r="C2846" s="8" t="s">
        <v>9</v>
      </c>
    </row>
    <row r="2847" spans="1:3" x14ac:dyDescent="0.25">
      <c r="A2847" s="8" t="s">
        <v>1373</v>
      </c>
      <c r="B2847" s="8" t="str">
        <f>"9789791884723"</f>
        <v>9789791884723</v>
      </c>
      <c r="C2847" s="8" t="s">
        <v>9</v>
      </c>
    </row>
    <row r="2848" spans="1:3" x14ac:dyDescent="0.25">
      <c r="A2848" s="8" t="str">
        <f>"2012 22nd International Conference on Computer Theory and Applications, ICCTA 2012"</f>
        <v>2012 22nd International Conference on Computer Theory and Applications, ICCTA 2012</v>
      </c>
      <c r="B2848" s="8" t="str">
        <f>"9781467328234"</f>
        <v>9781467328234</v>
      </c>
      <c r="C2848" s="8" t="s">
        <v>9</v>
      </c>
    </row>
    <row r="2849" spans="1:3" x14ac:dyDescent="0.25">
      <c r="A2849" s="8" t="str">
        <f>"2012 25th IEEE Canadian Conference on Electrical and Computer Engineering: Vision for a Greener Future, CCECE 2012"</f>
        <v>2012 25th IEEE Canadian Conference on Electrical and Computer Engineering: Vision for a Greener Future, CCECE 2012</v>
      </c>
      <c r="B2849" s="8" t="str">
        <f>"9781467314336"</f>
        <v>9781467314336</v>
      </c>
      <c r="C2849" s="8" t="s">
        <v>9</v>
      </c>
    </row>
    <row r="2850" spans="1:3" x14ac:dyDescent="0.25">
      <c r="A2850" s="8" t="str">
        <f>"2012 26th Biennial Symposium on Communications, QBSC 2012"</f>
        <v>2012 26th Biennial Symposium on Communications, QBSC 2012</v>
      </c>
      <c r="B2850" s="8" t="str">
        <f>"9781467311137"</f>
        <v>9781467311137</v>
      </c>
      <c r="C2850" s="8" t="s">
        <v>9</v>
      </c>
    </row>
    <row r="2851" spans="1:3" x14ac:dyDescent="0.25">
      <c r="A2851" s="8" t="str">
        <f>"2012 27th IEEE/ACM International Conference on Automated Software Engineering, ASE 2012 - Proceedings"</f>
        <v>2012 27th IEEE/ACM International Conference on Automated Software Engineering, ASE 2012 - Proceedings</v>
      </c>
      <c r="B2851" s="8" t="str">
        <f>"9781450312042"</f>
        <v>9781450312042</v>
      </c>
      <c r="C2851" s="8" t="s">
        <v>21</v>
      </c>
    </row>
    <row r="2852" spans="1:3" x14ac:dyDescent="0.25">
      <c r="A2852" s="8" t="str">
        <f>"2012 28th International Conference on Microelectronics - Proceedings, MIEL 2012"</f>
        <v>2012 28th International Conference on Microelectronics - Proceedings, MIEL 2012</v>
      </c>
      <c r="B2852" s="8" t="str">
        <f>"9781467302388"</f>
        <v>9781467302388</v>
      </c>
      <c r="C2852" s="8" t="s">
        <v>9</v>
      </c>
    </row>
    <row r="2853" spans="1:3" x14ac:dyDescent="0.25">
      <c r="A2853" s="8" t="str">
        <f>"2012 2nd Australian Control Conference, AUCC 2012"</f>
        <v>2012 2nd Australian Control Conference, AUCC 2012</v>
      </c>
      <c r="B2853" s="8" t="str">
        <f>"9781922107633"</f>
        <v>9781922107633</v>
      </c>
      <c r="C2853" s="8" t="s">
        <v>9</v>
      </c>
    </row>
    <row r="2854" spans="1:3" x14ac:dyDescent="0.25">
      <c r="A2854" s="8" t="str">
        <f>"2012 2nd Baltic Congress on Future Internet Communications, BCFIC 2012"</f>
        <v>2012 2nd Baltic Congress on Future Internet Communications, BCFIC 2012</v>
      </c>
      <c r="B2854" s="8" t="str">
        <f>"9781467316712"</f>
        <v>9781467316712</v>
      </c>
      <c r="C2854" s="8" t="s">
        <v>9</v>
      </c>
    </row>
    <row r="2855" spans="1:3" x14ac:dyDescent="0.25">
      <c r="A2855" s="8" t="str">
        <f>"2012 2nd IEEE CPMT Symposium Japan, ICSJ 2012"</f>
        <v>2012 2nd IEEE CPMT Symposium Japan, ICSJ 2012</v>
      </c>
      <c r="B2855" s="8" t="str">
        <f>"9781467326551"</f>
        <v>9781467326551</v>
      </c>
      <c r="C2855" s="8" t="s">
        <v>9</v>
      </c>
    </row>
    <row r="2856" spans="1:3" x14ac:dyDescent="0.25">
      <c r="A2856" s="8" t="str">
        <f>"2012 2nd IEEE International Workshop on Empirical Requirements Engineering, EmpiRE 2012 - Proceedings"</f>
        <v>2012 2nd IEEE International Workshop on Empirical Requirements Engineering, EmpiRE 2012 - Proceedings</v>
      </c>
      <c r="B2856" s="8" t="str">
        <f>"9781467343657"</f>
        <v>9781467343657</v>
      </c>
      <c r="C2856" s="8" t="s">
        <v>9</v>
      </c>
    </row>
    <row r="2857" spans="1:3" x14ac:dyDescent="0.25">
      <c r="A2857" s="8" t="str">
        <f>"2012 2nd IEEE International Workshop on Model-Driven Requirements Engineering, MoDRE 2012 - Proceedings"</f>
        <v>2012 2nd IEEE International Workshop on Model-Driven Requirements Engineering, MoDRE 2012 - Proceedings</v>
      </c>
      <c r="B2857" s="8" t="str">
        <f>"9781467343893"</f>
        <v>9781467343893</v>
      </c>
      <c r="C2857" s="8" t="s">
        <v>9</v>
      </c>
    </row>
    <row r="2858" spans="1:3" x14ac:dyDescent="0.25">
      <c r="A2858" s="8" t="str">
        <f>"2012 2nd IEEE International Workshop on Requirements Engineering for Systems, Services, and Systems-of-Systems, RESS 2012 - Proceedings"</f>
        <v>2012 2nd IEEE International Workshop on Requirements Engineering for Systems, Services, and Systems-of-Systems, RESS 2012 - Proceedings</v>
      </c>
      <c r="B2858" s="8" t="str">
        <f>"9781467343794"</f>
        <v>9781467343794</v>
      </c>
      <c r="C2858" s="8" t="s">
        <v>9</v>
      </c>
    </row>
    <row r="2859" spans="1:3" x14ac:dyDescent="0.25">
      <c r="A2859" s="8" t="str">
        <f>"2012 2nd IEEE International Workshop on Requirements Patterns, RePa 2012 - Proceedings"</f>
        <v>2012 2nd IEEE International Workshop on Requirements Patterns, RePa 2012 - Proceedings</v>
      </c>
      <c r="B2859" s="8" t="str">
        <f>"9781467343763"</f>
        <v>9781467343763</v>
      </c>
      <c r="C2859" s="8" t="s">
        <v>9</v>
      </c>
    </row>
    <row r="2860" spans="1:3" x14ac:dyDescent="0.25">
      <c r="A2860" s="8" t="s">
        <v>1374</v>
      </c>
      <c r="B2860" s="8" t="str">
        <f>"9781467325547"</f>
        <v>9781467325547</v>
      </c>
      <c r="C2860" s="8" t="s">
        <v>9</v>
      </c>
    </row>
    <row r="2861" spans="1:3" x14ac:dyDescent="0.25">
      <c r="A2861" s="8" t="str">
        <f>"2012 2nd International Conference on Advances in Computational Tools for Engineering Applications, ACTEA 2012"</f>
        <v>2012 2nd International Conference on Advances in Computational Tools for Engineering Applications, ACTEA 2012</v>
      </c>
      <c r="B2861" s="8" t="str">
        <f>"9781467324892"</f>
        <v>9781467324892</v>
      </c>
      <c r="C2861" s="8" t="s">
        <v>9</v>
      </c>
    </row>
    <row r="2862" spans="1:3" x14ac:dyDescent="0.25">
      <c r="A2862" s="8" t="str">
        <f>"2012 2nd International Conference on Applied Robotics for the Power Industry, CARPI 2012"</f>
        <v>2012 2nd International Conference on Applied Robotics for the Power Industry, CARPI 2012</v>
      </c>
      <c r="B2862" s="8" t="str">
        <f>"9781467345873"</f>
        <v>9781467345873</v>
      </c>
      <c r="C2862" s="8" t="s">
        <v>9</v>
      </c>
    </row>
    <row r="2863" spans="1:3" x14ac:dyDescent="0.25">
      <c r="A2863" s="8" t="str">
        <f>"2012 2nd International Conference on Consumer Electronics, Communications and Networks, CECNet 2012 - Proceedings"</f>
        <v>2012 2nd International Conference on Consumer Electronics, Communications and Networks, CECNet 2012 - Proceedings</v>
      </c>
      <c r="B2863" s="8" t="str">
        <f>"9781457714153"</f>
        <v>9781457714153</v>
      </c>
      <c r="C2863" s="8" t="s">
        <v>9</v>
      </c>
    </row>
    <row r="2864" spans="1:3" x14ac:dyDescent="0.25">
      <c r="A2864" s="8" t="str">
        <f>"2012 2nd International Conference on Digital Information and Communication Technology and its Applications, DICTAP 2012"</f>
        <v>2012 2nd International Conference on Digital Information and Communication Technology and its Applications, DICTAP 2012</v>
      </c>
      <c r="B2864" s="8" t="str">
        <f>"9781467307338"</f>
        <v>9781467307338</v>
      </c>
      <c r="C2864" s="8" t="s">
        <v>9</v>
      </c>
    </row>
    <row r="2865" spans="1:3" x14ac:dyDescent="0.25">
      <c r="A2865" s="8" t="str">
        <f>"2012 2nd International Conference on Digital Information Processing and Communications, ICDIPC 2012"</f>
        <v>2012 2nd International Conference on Digital Information Processing and Communications, ICDIPC 2012</v>
      </c>
      <c r="B2865" s="8" t="str">
        <f>"9781467311069"</f>
        <v>9781467311069</v>
      </c>
      <c r="C2865" s="8" t="s">
        <v>9</v>
      </c>
    </row>
    <row r="2866" spans="1:3" x14ac:dyDescent="0.25">
      <c r="A2866" s="8" t="str">
        <f>"2012 2nd International Conference on Remote Sensing, Environment and Transportation Engineering, RSETE 2012 - Proceedings"</f>
        <v>2012 2nd International Conference on Remote Sensing, Environment and Transportation Engineering, RSETE 2012 - Proceedings</v>
      </c>
      <c r="B2866" s="8" t="str">
        <f>"9781467308731"</f>
        <v>9781467308731</v>
      </c>
      <c r="C2866" s="8" t="s">
        <v>9</v>
      </c>
    </row>
    <row r="2867" spans="1:3" x14ac:dyDescent="0.25">
      <c r="A2867" s="8" t="str">
        <f>"2012 2nd International eConference on Computer and Knowledge Engineering, ICCKE 2012"</f>
        <v>2012 2nd International eConference on Computer and Knowledge Engineering, ICCKE 2012</v>
      </c>
      <c r="B2867" s="8" t="str">
        <f>"9781467344760"</f>
        <v>9781467344760</v>
      </c>
      <c r="C2867" s="8" t="s">
        <v>9</v>
      </c>
    </row>
    <row r="2868" spans="1:3" x14ac:dyDescent="0.25">
      <c r="A2868" s="8" t="str">
        <f>"2012 2nd International Electric Drives Production Conference, EDPC 2012 - Proceedings"</f>
        <v>2012 2nd International Electric Drives Production Conference, EDPC 2012 - Proceedings</v>
      </c>
      <c r="B2868" s="8" t="str">
        <f>"9781467330060"</f>
        <v>9781467330060</v>
      </c>
      <c r="C2868" s="8" t="s">
        <v>9</v>
      </c>
    </row>
    <row r="2869" spans="1:3" x14ac:dyDescent="0.25">
      <c r="A2869" s="8" t="str">
        <f>"2012 2nd International Workshop on Collaborative Teaching of Globally Distributed Software Development, CTGDSD 2012 - Proceedings"</f>
        <v>2012 2nd International Workshop on Collaborative Teaching of Globally Distributed Software Development, CTGDSD 2012 - Proceedings</v>
      </c>
      <c r="B2869" s="8" t="str">
        <f>"9781467318181"</f>
        <v>9781467318181</v>
      </c>
      <c r="C2869" s="8" t="s">
        <v>9</v>
      </c>
    </row>
    <row r="2870" spans="1:3" x14ac:dyDescent="0.25">
      <c r="A2870" s="8" t="str">
        <f>"2012 2nd International Workshop on Collaborative Teaching of Globally Distributed Software Development, CTGDSD 2012 - Proceedings"</f>
        <v>2012 2nd International Workshop on Collaborative Teaching of Globally Distributed Software Development, CTGDSD 2012 - Proceedings</v>
      </c>
      <c r="B2870" s="8" t="str">
        <f>"9781467318181"</f>
        <v>9781467318181</v>
      </c>
      <c r="C2870" s="8" t="s">
        <v>9</v>
      </c>
    </row>
    <row r="2871" spans="1:3" x14ac:dyDescent="0.25">
      <c r="A2871" s="8" t="str">
        <f>"2012 2nd International Workshop on Developing Tools as Plug-Ins, TOPI 2012 - Proceedings"</f>
        <v>2012 2nd International Workshop on Developing Tools as Plug-Ins, TOPI 2012 - Proceedings</v>
      </c>
      <c r="B2871" s="8" t="str">
        <f>"9781467318204"</f>
        <v>9781467318204</v>
      </c>
      <c r="C2871" s="8" t="s">
        <v>9</v>
      </c>
    </row>
    <row r="2872" spans="1:3" x14ac:dyDescent="0.25">
      <c r="A2872" s="8" t="str">
        <f>"2012 2nd International Workshop on Games and Software Engineering: Realizing User Engagement with Game Engineering Techniques, GAS 2012 - Proceedings"</f>
        <v>2012 2nd International Workshop on Games and Software Engineering: Realizing User Engagement with Game Engineering Techniques, GAS 2012 - Proceedings</v>
      </c>
      <c r="B2872" s="8" t="str">
        <f>"9781467317689"</f>
        <v>9781467317689</v>
      </c>
      <c r="C2872" s="8" t="s">
        <v>9</v>
      </c>
    </row>
    <row r="2873" spans="1:3" x14ac:dyDescent="0.25">
      <c r="A2873" s="8" t="str">
        <f>"2012 2nd International Workshop on Software Engineering for Embedded Systems, SEES 2012 - Proceedings"</f>
        <v>2012 2nd International Workshop on Software Engineering for Embedded Systems, SEES 2012 - Proceedings</v>
      </c>
      <c r="B2873" s="8" t="str">
        <f>"9781467318532"</f>
        <v>9781467318532</v>
      </c>
      <c r="C2873" s="8" t="s">
        <v>9</v>
      </c>
    </row>
    <row r="2874" spans="1:3" x14ac:dyDescent="0.25">
      <c r="A2874" s="8" t="str">
        <f>"2012 2nd Iranian Conference on Renewable Energy and Distributed Generation, ICREDG 2012"</f>
        <v>2012 2nd Iranian Conference on Renewable Energy and Distributed Generation, ICREDG 2012</v>
      </c>
      <c r="B2874" s="8" t="str">
        <f>"9781467306652"</f>
        <v>9781467306652</v>
      </c>
      <c r="C2874" s="8" t="s">
        <v>9</v>
      </c>
    </row>
    <row r="2875" spans="1:3" x14ac:dyDescent="0.25">
      <c r="A2875" s="8" t="str">
        <f>"2012 2nd Iranian Conference on Smart Grids, ICSG 2012"</f>
        <v>2012 2nd Iranian Conference on Smart Grids, ICSG 2012</v>
      </c>
      <c r="B2875" s="8" t="str">
        <f>"9781467313995"</f>
        <v>9781467313995</v>
      </c>
      <c r="C2875" s="8" t="s">
        <v>9</v>
      </c>
    </row>
    <row r="2876" spans="1:3" x14ac:dyDescent="0.25">
      <c r="A2876" s="8" t="str">
        <f>"2012 31st International Conference on Lightning Protection, ICLP 2012"</f>
        <v>2012 31st International Conference on Lightning Protection, ICLP 2012</v>
      </c>
      <c r="B2876" s="8" t="str">
        <f>"9781467318976"</f>
        <v>9781467318976</v>
      </c>
      <c r="C2876" s="8" t="s">
        <v>9</v>
      </c>
    </row>
    <row r="2877" spans="1:3" x14ac:dyDescent="0.25">
      <c r="A2877" s="8" t="str">
        <f>"2012 35th International Conference on Telecommunications and Signal Processing, TSP 2012 - Proceedings"</f>
        <v>2012 35th International Conference on Telecommunications and Signal Processing, TSP 2012 - Proceedings</v>
      </c>
      <c r="B2877" s="8" t="str">
        <f>"9781467311182"</f>
        <v>9781467311182</v>
      </c>
      <c r="C2877" s="8" t="s">
        <v>9</v>
      </c>
    </row>
    <row r="2878" spans="1:3" x14ac:dyDescent="0.25">
      <c r="A2878" s="8" t="str">
        <f>"2012 38th Annual Northeast Bioengineering Conference, NEBEC 2012"</f>
        <v>2012 38th Annual Northeast Bioengineering Conference, NEBEC 2012</v>
      </c>
      <c r="B2878" s="8" t="str">
        <f>"9781467311410"</f>
        <v>9781467311410</v>
      </c>
      <c r="C2878" s="8" t="s">
        <v>9</v>
      </c>
    </row>
    <row r="2879" spans="1:3" x14ac:dyDescent="0.25">
      <c r="A2879" s="8" t="str">
        <f>"2012 3rd International Conference on Computing, Communication and Networking Technologies, ICCCNT 2012"</f>
        <v>2012 3rd International Conference on Computing, Communication and Networking Technologies, ICCCNT 2012</v>
      </c>
      <c r="B2879" s="8" t="str">
        <f>"-"</f>
        <v>-</v>
      </c>
      <c r="C2879" s="8" t="s">
        <v>9</v>
      </c>
    </row>
    <row r="2880" spans="1:3" x14ac:dyDescent="0.25">
      <c r="A2880" s="8" t="str">
        <f>"2012 3rd International Conference on Image Processing Theory, Tools and Applications, IPTA 2012"</f>
        <v>2012 3rd International Conference on Image Processing Theory, Tools and Applications, IPTA 2012</v>
      </c>
      <c r="B2880" s="8" t="str">
        <f>"9781467325837"</f>
        <v>9781467325837</v>
      </c>
      <c r="C2880" s="8" t="s">
        <v>9</v>
      </c>
    </row>
    <row r="2881" spans="1:3" x14ac:dyDescent="0.25">
      <c r="A2881" s="8" t="str">
        <f>"2012 3rd International Conference on System Science, Engineering Design and Manufacturing Informatization, ICSEM 2012"</f>
        <v>2012 3rd International Conference on System Science, Engineering Design and Manufacturing Informatization, ICSEM 2012</v>
      </c>
      <c r="B2881" s="8" t="str">
        <f>"9781467309141"</f>
        <v>9781467309141</v>
      </c>
      <c r="C2881" s="8" t="s">
        <v>9</v>
      </c>
    </row>
    <row r="2882" spans="1:3" x14ac:dyDescent="0.25">
      <c r="A2882" s="8" t="str">
        <f>"2012 3rd International Conference on the Network of the Future, NOF 2012"</f>
        <v>2012 3rd International Conference on the Network of the Future, NOF 2012</v>
      </c>
      <c r="B2882" s="8" t="str">
        <f>"9781467352659"</f>
        <v>9781467352659</v>
      </c>
      <c r="C2882" s="8" t="s">
        <v>9</v>
      </c>
    </row>
    <row r="2883" spans="1:3" x14ac:dyDescent="0.25">
      <c r="A2883" s="8" t="str">
        <f>"2012 3rd International Workshop on Cognitive Information Processing, CIP 2012"</f>
        <v>2012 3rd International Workshop on Cognitive Information Processing, CIP 2012</v>
      </c>
      <c r="B2883" s="8" t="str">
        <f>"9781467318785"</f>
        <v>9781467318785</v>
      </c>
      <c r="C2883" s="8" t="s">
        <v>9</v>
      </c>
    </row>
    <row r="2884" spans="1:3" x14ac:dyDescent="0.25">
      <c r="A2884" s="8" t="str">
        <f>"2012 3rd International Workshop on Emerging Trends in Software Metrics, WETSoM 2012 - Proceedings"</f>
        <v>2012 3rd International Workshop on Emerging Trends in Software Metrics, WETSoM 2012 - Proceedings</v>
      </c>
      <c r="B2884" s="8" t="str">
        <f>"9781467317627"</f>
        <v>9781467317627</v>
      </c>
      <c r="C2884" s="8" t="s">
        <v>9</v>
      </c>
    </row>
    <row r="2885" spans="1:3" x14ac:dyDescent="0.25">
      <c r="A2885" s="8" t="str">
        <f>"2012 3rd International Workshop on Managing Technical Debt, MTD 2012 - Proceedings"</f>
        <v>2012 3rd International Workshop on Managing Technical Debt, MTD 2012 - Proceedings</v>
      </c>
      <c r="B2885" s="8" t="str">
        <f>"9781467317498"</f>
        <v>9781467317498</v>
      </c>
      <c r="C2885" s="8" t="s">
        <v>9</v>
      </c>
    </row>
    <row r="2886" spans="1:3" x14ac:dyDescent="0.25">
      <c r="A2886" s="8" t="str">
        <f>"2012 3rd International Workshop on Product LinE Approaches in Software Engineering, PLEASE 2012 - Proceedings"</f>
        <v>2012 3rd International Workshop on Product LinE Approaches in Software Engineering, PLEASE 2012 - Proceedings</v>
      </c>
      <c r="B2886" s="8" t="str">
        <f>"9781467317511"</f>
        <v>9781467317511</v>
      </c>
      <c r="C2886" s="8" t="s">
        <v>9</v>
      </c>
    </row>
    <row r="2887" spans="1:3" x14ac:dyDescent="0.25">
      <c r="A2887" s="8" t="str">
        <f>"2012 3rd International Workshop on Recommendation Systems for Software Engineering, RSSE 2012 - Proceedings"</f>
        <v>2012 3rd International Workshop on Recommendation Systems for Software Engineering, RSSE 2012 - Proceedings</v>
      </c>
      <c r="B2887" s="8" t="str">
        <f>"9781467317597"</f>
        <v>9781467317597</v>
      </c>
      <c r="C2887" s="8" t="s">
        <v>9</v>
      </c>
    </row>
    <row r="2888" spans="1:3" x14ac:dyDescent="0.25">
      <c r="A2888" s="8" t="str">
        <f>"2012 3rd International Workshop on Software Engineering for Sensor Network Applications, SESENA 2012 - Proceedings"</f>
        <v>2012 3rd International Workshop on Software Engineering for Sensor Network Applications, SESENA 2012 - Proceedings</v>
      </c>
      <c r="B2888" s="8" t="str">
        <f>"9781467317931"</f>
        <v>9781467317931</v>
      </c>
      <c r="C2888" s="8" t="s">
        <v>9</v>
      </c>
    </row>
    <row r="2889" spans="1:3" x14ac:dyDescent="0.25">
      <c r="A2889" s="8" t="str">
        <f>"2012 3rd Power Electronics and Drive Systems Technology, PEDSTC 2012"</f>
        <v>2012 3rd Power Electronics and Drive Systems Technology, PEDSTC 2012</v>
      </c>
      <c r="B2889" s="8" t="str">
        <f>"9781467301114"</f>
        <v>9781467301114</v>
      </c>
      <c r="C2889" s="8" t="s">
        <v>9</v>
      </c>
    </row>
    <row r="2890" spans="1:3" x14ac:dyDescent="0.25">
      <c r="A2890" s="8" t="str">
        <f>"2012 3rd Worldwide Cybersecurity Summit, WCS 2012"</f>
        <v>2012 3rd Worldwide Cybersecurity Summit, WCS 2012</v>
      </c>
      <c r="B2890" s="8" t="str">
        <f>"9781479936809"</f>
        <v>9781479936809</v>
      </c>
      <c r="C2890" s="8" t="s">
        <v>9</v>
      </c>
    </row>
    <row r="2891" spans="1:3" x14ac:dyDescent="0.25">
      <c r="A2891" s="8" t="str">
        <f>"2012 46th Annual Conference on Information Sciences and Systems, CISS 2012"</f>
        <v>2012 46th Annual Conference on Information Sciences and Systems, CISS 2012</v>
      </c>
      <c r="B2891" s="8" t="str">
        <f>"9781467331401"</f>
        <v>9781467331401</v>
      </c>
      <c r="C2891" s="8" t="s">
        <v>9</v>
      </c>
    </row>
    <row r="2892" spans="1:3" x14ac:dyDescent="0.25">
      <c r="A2892" s="8" t="str">
        <f>"2012 4th Computer Science and Electronic Engineering Conference, CEEC 2012 - Conference Proceedings"</f>
        <v>2012 4th Computer Science and Electronic Engineering Conference, CEEC 2012 - Conference Proceedings</v>
      </c>
      <c r="B2892" s="8" t="str">
        <f>"9781467326667"</f>
        <v>9781467326667</v>
      </c>
      <c r="C2892" s="8" t="s">
        <v>9</v>
      </c>
    </row>
    <row r="2893" spans="1:3" x14ac:dyDescent="0.25">
      <c r="A2893" s="8" t="str">
        <f>"2012 4th IEEE International Memory Workshop, IMW 2012"</f>
        <v>2012 4th IEEE International Memory Workshop, IMW 2012</v>
      </c>
      <c r="B2893" s="8" t="str">
        <f>"9781467310802"</f>
        <v>9781467310802</v>
      </c>
      <c r="C2893" s="8" t="s">
        <v>9</v>
      </c>
    </row>
    <row r="2894" spans="1:3" x14ac:dyDescent="0.25">
      <c r="A2894" s="8" t="str">
        <f>"2012 4th International Conference on Communication Systems and Networks, COMSNETS 2012"</f>
        <v>2012 4th International Conference on Communication Systems and Networks, COMSNETS 2012</v>
      </c>
      <c r="B2894" s="8" t="str">
        <f>"9781467302982"</f>
        <v>9781467302982</v>
      </c>
      <c r="C2894" s="8" t="s">
        <v>9</v>
      </c>
    </row>
    <row r="2895" spans="1:3" x14ac:dyDescent="0.25">
      <c r="A2895" s="8" t="str">
        <f>"2012 4th International Conference on Communications and Electronics, ICCE 2012"</f>
        <v>2012 4th International Conference on Communications and Electronics, ICCE 2012</v>
      </c>
      <c r="B2895" s="8" t="str">
        <f>"9781467324939"</f>
        <v>9781467324939</v>
      </c>
      <c r="C2895" s="8" t="s">
        <v>9</v>
      </c>
    </row>
    <row r="2896" spans="1:3" x14ac:dyDescent="0.25">
      <c r="A2896" s="8" t="str">
        <f>"2012 4th International Conference on Cyber Conflict, CYCON 2012 - Proceedings"</f>
        <v>2012 4th International Conference on Cyber Conflict, CYCON 2012 - Proceedings</v>
      </c>
      <c r="B2896" s="8" t="str">
        <f>"9789949904082"</f>
        <v>9789949904082</v>
      </c>
      <c r="C2896" s="8" t="s">
        <v>9</v>
      </c>
    </row>
    <row r="2897" spans="1:3" x14ac:dyDescent="0.25">
      <c r="A2897" s="8" t="s">
        <v>1375</v>
      </c>
      <c r="B2897" s="8" t="str">
        <f>"9781467345026"</f>
        <v>9781467345026</v>
      </c>
      <c r="C2897" s="8" t="s">
        <v>9</v>
      </c>
    </row>
    <row r="2898" spans="1:3" x14ac:dyDescent="0.25">
      <c r="A2898" s="8" t="str">
        <f>"2012 4th International High Speed Intelligent Communication Forum, HSIC 2012, Proceeding"</f>
        <v>2012 4th International High Speed Intelligent Communication Forum, HSIC 2012, Proceeding</v>
      </c>
      <c r="B2898" s="8" t="str">
        <f>"9781467306751"</f>
        <v>9781467306751</v>
      </c>
      <c r="C2898" s="8" t="s">
        <v>9</v>
      </c>
    </row>
    <row r="2899" spans="1:3" x14ac:dyDescent="0.25">
      <c r="A2899" s="8" t="str">
        <f>"2012 4th International Workshop on Hot Topics in Software Upgrades, HotSWUp 2012 - Proceedings"</f>
        <v>2012 4th International Workshop on Hot Topics in Software Upgrades, HotSWUp 2012 - Proceedings</v>
      </c>
      <c r="B2899" s="8" t="str">
        <f>"9781467317641"</f>
        <v>9781467317641</v>
      </c>
      <c r="C2899" s="8" t="s">
        <v>9</v>
      </c>
    </row>
    <row r="2900" spans="1:3" x14ac:dyDescent="0.25">
      <c r="A2900" s="8" t="str">
        <f>"2012 4th International Workshop on Modeling in Software Engineering, MiSE 2012 - Proceedings"</f>
        <v>2012 4th International Workshop on Modeling in Software Engineering, MiSE 2012 - Proceedings</v>
      </c>
      <c r="B2900" s="8" t="str">
        <f>"9781467317573"</f>
        <v>9781467317573</v>
      </c>
      <c r="C2900" s="8" t="s">
        <v>9</v>
      </c>
    </row>
    <row r="2901" spans="1:3" x14ac:dyDescent="0.25">
      <c r="A2901" s="8" t="str">
        <f>"2012 4th International Workshop on Quality of Multimedia Experience, QoMEX 2012"</f>
        <v>2012 4th International Workshop on Quality of Multimedia Experience, QoMEX 2012</v>
      </c>
      <c r="B2901" s="8" t="str">
        <f>"9781467307253"</f>
        <v>9781467307253</v>
      </c>
      <c r="C2901" s="8" t="s">
        <v>9</v>
      </c>
    </row>
    <row r="2902" spans="1:3" x14ac:dyDescent="0.25">
      <c r="A2902" s="8" t="str">
        <f>"2012 4th International Workshop on Search-Driven Development: Users, Infrastructure, Tools, and Evaluation, SUITE 2012 - Proceedings"</f>
        <v>2012 4th International Workshop on Search-Driven Development: Users, Infrastructure, Tools, and Evaluation, SUITE 2012 - Proceedings</v>
      </c>
      <c r="B2902" s="8" t="str">
        <f>"9781467318488"</f>
        <v>9781467318488</v>
      </c>
      <c r="C2902" s="8" t="s">
        <v>9</v>
      </c>
    </row>
    <row r="2903" spans="1:3" x14ac:dyDescent="0.25">
      <c r="A2903" s="8" t="str">
        <f>"2012 4th International Workshop on Software Engineering in Health Care, SEHC 2012 - Proceedings"</f>
        <v>2012 4th International Workshop on Software Engineering in Health Care, SEHC 2012 - Proceedings</v>
      </c>
      <c r="B2903" s="8" t="str">
        <f>"9781467318433"</f>
        <v>9781467318433</v>
      </c>
      <c r="C2903" s="8" t="s">
        <v>9</v>
      </c>
    </row>
    <row r="2904" spans="1:3" x14ac:dyDescent="0.25">
      <c r="A2904" s="8" t="str">
        <f>"2012 50th Annual Allerton Conference on Communication, Control, and Computing, Allerton 2012"</f>
        <v>2012 50th Annual Allerton Conference on Communication, Control, and Computing, Allerton 2012</v>
      </c>
      <c r="B2904" s="8" t="str">
        <f>"9781467345385"</f>
        <v>9781467345385</v>
      </c>
      <c r="C2904" s="8" t="s">
        <v>9</v>
      </c>
    </row>
    <row r="2905" spans="1:3" x14ac:dyDescent="0.25">
      <c r="A2905" s="8" t="str">
        <f>"2012 5th IEEE International Workshop on Requirements Engineering and Law, RELAW 2012 - Proceedings"</f>
        <v>2012 5th IEEE International Workshop on Requirements Engineering and Law, RELAW 2012 - Proceedings</v>
      </c>
      <c r="B2905" s="8" t="str">
        <f>"9781467343824"</f>
        <v>9781467343824</v>
      </c>
      <c r="C2905" s="8" t="s">
        <v>9</v>
      </c>
    </row>
    <row r="2906" spans="1:3" x14ac:dyDescent="0.25">
      <c r="A2906" s="8" t="str">
        <f>"2012 5th International Conference on Biomedical Engineering and Informatics, BMEI 2012"</f>
        <v>2012 5th International Conference on Biomedical Engineering and Informatics, BMEI 2012</v>
      </c>
      <c r="B2906" s="8" t="str">
        <f>"9781467311816"</f>
        <v>9781467311816</v>
      </c>
      <c r="C2906" s="8" t="s">
        <v>9</v>
      </c>
    </row>
    <row r="2907" spans="1:3" x14ac:dyDescent="0.25">
      <c r="A2907" s="8" t="str">
        <f>"2012 5th International Conference on New Technologies, Mobility and Security - Proceedings of NTMS 2012 Conference and Workshops"</f>
        <v>2012 5th International Conference on New Technologies, Mobility and Security - Proceedings of NTMS 2012 Conference and Workshops</v>
      </c>
      <c r="B2907" s="8" t="str">
        <f>"9781467302296"</f>
        <v>9781467302296</v>
      </c>
      <c r="C2907" s="8" t="s">
        <v>9</v>
      </c>
    </row>
    <row r="2908" spans="1:3" x14ac:dyDescent="0.25">
      <c r="A2908" s="8" t="str">
        <f>"2012 5th International Congress on Image and Signal Processing, CISP 2012"</f>
        <v>2012 5th International Congress on Image and Signal Processing, CISP 2012</v>
      </c>
      <c r="B2908" s="8" t="str">
        <f>"9781467309622"</f>
        <v>9781467309622</v>
      </c>
      <c r="C2908" s="8" t="s">
        <v>9</v>
      </c>
    </row>
    <row r="2909" spans="1:3" x14ac:dyDescent="0.25">
      <c r="A2909" s="8" t="str">
        <f>"2012 5th International Workshop on Co-operative and Human Aspects of Software Engineering, CHASE 2012 - Proceedings"</f>
        <v>2012 5th International Workshop on Co-operative and Human Aspects of Software Engineering, CHASE 2012 - Proceedings</v>
      </c>
      <c r="B2909" s="8" t="str">
        <f>"9781467318242"</f>
        <v>9781467318242</v>
      </c>
      <c r="C2909" s="8" t="s">
        <v>9</v>
      </c>
    </row>
    <row r="2910" spans="1:3" x14ac:dyDescent="0.25">
      <c r="A2910" s="8" t="str">
        <f>"2012 5th International Workshop on Exception Handling, WEH 2012 - Proceedings"</f>
        <v>2012 5th International Workshop on Exception Handling, WEH 2012 - Proceedings</v>
      </c>
      <c r="B2910" s="8" t="str">
        <f>"9781467317665"</f>
        <v>9781467317665</v>
      </c>
      <c r="C2910" s="8" t="s">
        <v>9</v>
      </c>
    </row>
    <row r="2911" spans="1:3" x14ac:dyDescent="0.25">
      <c r="A2911" s="8" t="str">
        <f>"2012 5th Robotics and Mechatronics Conference of South Africa, ROBMECH 2012"</f>
        <v>2012 5th Robotics and Mechatronics Conference of South Africa, ROBMECH 2012</v>
      </c>
      <c r="B2911" s="8" t="str">
        <f>"9781467351836"</f>
        <v>9781467351836</v>
      </c>
      <c r="C2911" s="8" t="s">
        <v>9</v>
      </c>
    </row>
    <row r="2912" spans="1:3" x14ac:dyDescent="0.25">
      <c r="A2912" s="8" t="str">
        <f>"2012 5th Workshop on Software Engineering and Architectures for Realtime Interactive Systems, SEARIS 2012"</f>
        <v>2012 5th Workshop on Software Engineering and Architectures for Realtime Interactive Systems, SEARIS 2012</v>
      </c>
      <c r="B2912" s="8" t="str">
        <f>"9781467312493"</f>
        <v>9781467312493</v>
      </c>
      <c r="C2912" s="8" t="s">
        <v>9</v>
      </c>
    </row>
    <row r="2913" spans="1:3" x14ac:dyDescent="0.25">
      <c r="A2913" s="8" t="str">
        <f>"2012 65th Annual Conference for Protective Relay Engineers"</f>
        <v>2012 65th Annual Conference for Protective Relay Engineers</v>
      </c>
      <c r="B2913" s="8" t="str">
        <f>"9781467318419"</f>
        <v>9781467318419</v>
      </c>
      <c r="C2913" s="8" t="s">
        <v>9</v>
      </c>
    </row>
    <row r="2914" spans="1:3" x14ac:dyDescent="0.25">
      <c r="A2914" s="8" t="str">
        <f>"2012 6th Advanced Satellite Multimedia Systems Conference, ASMS 2012 and 12th Signal Processing for Space Communications Workshop, SPSC 2012"</f>
        <v>2012 6th Advanced Satellite Multimedia Systems Conference, ASMS 2012 and 12th Signal Processing for Space Communications Workshop, SPSC 2012</v>
      </c>
      <c r="B2914" s="8" t="str">
        <f>"9781467326766"</f>
        <v>9781467326766</v>
      </c>
      <c r="C2914" s="8" t="s">
        <v>9</v>
      </c>
    </row>
    <row r="2915" spans="1:3" x14ac:dyDescent="0.25">
      <c r="A2915" s="8" t="str">
        <f>"2012 6th International Association for China Planning Conference, IACP 2012"</f>
        <v>2012 6th International Association for China Planning Conference, IACP 2012</v>
      </c>
      <c r="B2915" s="8" t="str">
        <f>"9781467349079"</f>
        <v>9781467349079</v>
      </c>
      <c r="C2915" s="8" t="s">
        <v>9</v>
      </c>
    </row>
    <row r="2916" spans="1:3" x14ac:dyDescent="0.25">
      <c r="A2916" s="8" t="str">
        <f>"2012 6th International Conference on Application of Information and Communication Technologies, AICT 2012 - Proceedings"</f>
        <v>2012 6th International Conference on Application of Information and Communication Technologies, AICT 2012 - Proceedings</v>
      </c>
      <c r="B2916" s="8" t="str">
        <f>"9781467317405"</f>
        <v>9781467317405</v>
      </c>
      <c r="C2916" s="8" t="s">
        <v>9</v>
      </c>
    </row>
    <row r="2917" spans="1:3" x14ac:dyDescent="0.25">
      <c r="A2917" s="8" t="str">
        <f>"2012 6th International Conference on Distributed Smart Cameras, ICDSC 2012"</f>
        <v>2012 6th International Conference on Distributed Smart Cameras, ICDSC 2012</v>
      </c>
      <c r="B2917" s="8" t="str">
        <f>"9781450317726"</f>
        <v>9781450317726</v>
      </c>
      <c r="C2917" s="8" t="s">
        <v>9</v>
      </c>
    </row>
    <row r="2918" spans="1:3" x14ac:dyDescent="0.25">
      <c r="A2918" s="8" t="str">
        <f>"2012 6th International Conference on Electromagnetic Field Problems and Applications, ICEF'2012"</f>
        <v>2012 6th International Conference on Electromagnetic Field Problems and Applications, ICEF'2012</v>
      </c>
      <c r="B2918" s="8" t="str">
        <f>"9781467313353"</f>
        <v>9781467313353</v>
      </c>
      <c r="C2918" s="8" t="s">
        <v>9</v>
      </c>
    </row>
    <row r="2919" spans="1:3" x14ac:dyDescent="0.25">
      <c r="A2919" s="8" t="str">
        <f>"2012 6th International Conference on Pervasive Computing Technologies for Healthcare and Workshops, PervasiveHealth 2012"</f>
        <v>2012 6th International Conference on Pervasive Computing Technologies for Healthcare and Workshops, PervasiveHealth 2012</v>
      </c>
      <c r="B2919" s="8" t="str">
        <f>"9781936968435"</f>
        <v>9781936968435</v>
      </c>
      <c r="C2919" s="8" t="s">
        <v>9</v>
      </c>
    </row>
    <row r="2920" spans="1:3" x14ac:dyDescent="0.25">
      <c r="A2920" s="8" t="str">
        <f>"2012 6th International Conference on Sciences of Electronics, Technologies of Information and Telecommunications, SETIT 2012"</f>
        <v>2012 6th International Conference on Sciences of Electronics, Technologies of Information and Telecommunications, SETIT 2012</v>
      </c>
      <c r="B2920" s="8" t="str">
        <f>"9781467316576"</f>
        <v>9781467316576</v>
      </c>
      <c r="C2920" s="8" t="s">
        <v>9</v>
      </c>
    </row>
    <row r="2921" spans="1:3" x14ac:dyDescent="0.25">
      <c r="A2921" s="8" t="str">
        <f>"2012 6th International Conference on Ultrawideband and Ultrashort Impulse Signals, UWBUSIS 2012 - Conference Proceedings"</f>
        <v>2012 6th International Conference on Ultrawideband and Ultrashort Impulse Signals, UWBUSIS 2012 - Conference Proceedings</v>
      </c>
      <c r="B2921" s="8" t="str">
        <f>"9781467319416"</f>
        <v>9781467319416</v>
      </c>
      <c r="C2921" s="8" t="s">
        <v>9</v>
      </c>
    </row>
    <row r="2922" spans="1:3" x14ac:dyDescent="0.25">
      <c r="A2922" s="8" t="str">
        <f>"2012 6th International Symposium on Medical Information and Communication Technology, ISMICT 2012"</f>
        <v>2012 6th International Symposium on Medical Information and Communication Technology, ISMICT 2012</v>
      </c>
      <c r="B2922" s="8" t="str">
        <f>"9781467312349"</f>
        <v>9781467312349</v>
      </c>
      <c r="C2922" s="8" t="s">
        <v>9</v>
      </c>
    </row>
    <row r="2923" spans="1:3" x14ac:dyDescent="0.25">
      <c r="A2923" s="8" t="str">
        <f>"2012 6th International Symposium on Telecommunications, IST 2012"</f>
        <v>2012 6th International Symposium on Telecommunications, IST 2012</v>
      </c>
      <c r="B2923" s="8" t="str">
        <f>"9781467320733"</f>
        <v>9781467320733</v>
      </c>
      <c r="C2923" s="8" t="s">
        <v>9</v>
      </c>
    </row>
    <row r="2924" spans="1:3" x14ac:dyDescent="0.25">
      <c r="A2924" s="8" t="str">
        <f>"2012 6th International Workshop on Software Clones, IWSC 2012 - Proceedings"</f>
        <v>2012 6th International Workshop on Software Clones, IWSC 2012 - Proceedings</v>
      </c>
      <c r="B2924" s="8" t="str">
        <f>"9781467317955"</f>
        <v>9781467317955</v>
      </c>
      <c r="C2924" s="8" t="s">
        <v>9</v>
      </c>
    </row>
    <row r="2925" spans="1:3" x14ac:dyDescent="0.25">
      <c r="A2925" s="8" t="str">
        <f>"2012 7th Colombian Computing Congress, CCC 2012 - Conference Proceedings"</f>
        <v>2012 7th Colombian Computing Congress, CCC 2012 - Conference Proceedings</v>
      </c>
      <c r="B2925" s="8" t="str">
        <f>"9781467314763"</f>
        <v>9781467314763</v>
      </c>
      <c r="C2925" s="8" t="s">
        <v>9</v>
      </c>
    </row>
    <row r="2926" spans="1:3" x14ac:dyDescent="0.25">
      <c r="A2926" s="8" t="str">
        <f>"2012 7th IEEE International Conference on Nano/Micro Engineered and Molecular Systems, NEMS 2012"</f>
        <v>2012 7th IEEE International Conference on Nano/Micro Engineered and Molecular Systems, NEMS 2012</v>
      </c>
      <c r="B2926" s="8" t="str">
        <f>"9781467311243"</f>
        <v>9781467311243</v>
      </c>
      <c r="C2926" s="8" t="s">
        <v>9</v>
      </c>
    </row>
    <row r="2927" spans="1:3" x14ac:dyDescent="0.25">
      <c r="A2927" s="8" t="str">
        <f>"2012 7th IEEE International Workshop on Requirements Engineering Education and Training, REET 2012 - Proceedings"</f>
        <v>2012 7th IEEE International Workshop on Requirements Engineering Education and Training, REET 2012 - Proceedings</v>
      </c>
      <c r="B2927" s="8" t="str">
        <f>"9781467343732"</f>
        <v>9781467343732</v>
      </c>
      <c r="C2927" s="8" t="s">
        <v>9</v>
      </c>
    </row>
    <row r="2928" spans="1:3" x14ac:dyDescent="0.25">
      <c r="A2928" s="8" t="str">
        <f>"2012 7th International Conference on Electrical and Computer Engineering, ICECE 2012"</f>
        <v>2012 7th International Conference on Electrical and Computer Engineering, ICECE 2012</v>
      </c>
      <c r="B2928" s="8" t="str">
        <f>"9781467314367"</f>
        <v>9781467314367</v>
      </c>
      <c r="C2928" s="8" t="s">
        <v>9</v>
      </c>
    </row>
    <row r="2929" spans="1:3" x14ac:dyDescent="0.25">
      <c r="A2929" s="8" t="str">
        <f>"2012 7th International Conference on Integrated Power Electronics Systems, CIPS 2012"</f>
        <v>2012 7th International Conference on Integrated Power Electronics Systems, CIPS 2012</v>
      </c>
      <c r="B2929" s="8" t="str">
        <f>"9783800734146"</f>
        <v>9783800734146</v>
      </c>
      <c r="C2929" s="8" t="s">
        <v>9</v>
      </c>
    </row>
    <row r="2930" spans="1:3" x14ac:dyDescent="0.25">
      <c r="A2930" s="8" t="str">
        <f>"2012 7th International Conference on Telecommunication Systems, Services, and Applications, TSSA 2012"</f>
        <v>2012 7th International Conference on Telecommunication Systems, Services, and Applications, TSSA 2012</v>
      </c>
      <c r="B2930" s="8" t="str">
        <f>"9781467345507"</f>
        <v>9781467345507</v>
      </c>
      <c r="C2930" s="8" t="s">
        <v>9</v>
      </c>
    </row>
    <row r="2931" spans="1:3" x14ac:dyDescent="0.25">
      <c r="A2931" s="8" t="str">
        <f>"2012 7th International ICST Conference on Communications and Networking in China, CHINACOM 2012 - Proceedings"</f>
        <v>2012 7th International ICST Conference on Communications and Networking in China, CHINACOM 2012 - Proceedings</v>
      </c>
      <c r="B2931" s="8" t="str">
        <f>"9781467326995"</f>
        <v>9781467326995</v>
      </c>
      <c r="C2931" s="8" t="s">
        <v>9</v>
      </c>
    </row>
    <row r="2932" spans="1:3" x14ac:dyDescent="0.25">
      <c r="A2932" s="8" t="str">
        <f>"2012 7th International Symposium on Health Informatics and Bioinformatics, HIBIT 2012"</f>
        <v>2012 7th International Symposium on Health Informatics and Bioinformatics, HIBIT 2012</v>
      </c>
      <c r="B2932" s="8" t="str">
        <f>"9781467308786"</f>
        <v>9781467308786</v>
      </c>
      <c r="C2932" s="8" t="s">
        <v>9</v>
      </c>
    </row>
    <row r="2933" spans="1:3" x14ac:dyDescent="0.25">
      <c r="A2933" s="8" t="str">
        <f>"2012 7th International Symposium on Wireless and Pervasive Computing, ISWPC 2012"</f>
        <v>2012 7th International Symposium on Wireless and Pervasive Computing, ISWPC 2012</v>
      </c>
      <c r="B2933" s="8" t="str">
        <f>"9781467321365"</f>
        <v>9781467321365</v>
      </c>
      <c r="C2933" s="8" t="s">
        <v>9</v>
      </c>
    </row>
    <row r="2934" spans="1:3" x14ac:dyDescent="0.25">
      <c r="A2934" s="8" t="str">
        <f>"2012 7th International Workshop on Automation of Software Test, AST 2012 - Proceedings"</f>
        <v>2012 7th International Workshop on Automation of Software Test, AST 2012 - Proceedings</v>
      </c>
      <c r="B2934" s="8" t="str">
        <f>"9781467318228"</f>
        <v>9781467318228</v>
      </c>
      <c r="C2934" s="8" t="s">
        <v>9</v>
      </c>
    </row>
    <row r="2935" spans="1:3" x14ac:dyDescent="0.25">
      <c r="A2935" s="8" t="str">
        <f>"2012 8th International Caribbean Conference on Devices, Circuits and Systems, ICCDCS 2012"</f>
        <v>2012 8th International Caribbean Conference on Devices, Circuits and Systems, ICCDCS 2012</v>
      </c>
      <c r="B2935" s="8" t="str">
        <f>"9781457711169"</f>
        <v>9781457711169</v>
      </c>
      <c r="C2935" s="8" t="s">
        <v>9</v>
      </c>
    </row>
    <row r="2936" spans="1:3" x14ac:dyDescent="0.25">
      <c r="A2936" s="8" t="str">
        <f>"2012 8th International Computer Engineering Conference: Today Information Society What's Next?, ICENCO 2012"</f>
        <v>2012 8th International Computer Engineering Conference: Today Information Society What's Next?, ICENCO 2012</v>
      </c>
      <c r="B2936" s="8" t="str">
        <f>"-"</f>
        <v>-</v>
      </c>
      <c r="C2936" s="8" t="s">
        <v>9</v>
      </c>
    </row>
    <row r="2937" spans="1:3" x14ac:dyDescent="0.25">
      <c r="A2937" s="8" t="str">
        <f>"2012 8th International Conference on Informatics and Systems, INFOS 2012"</f>
        <v>2012 8th International Conference on Informatics and Systems, INFOS 2012</v>
      </c>
      <c r="B2937" s="8" t="str">
        <f>"9789774035067"</f>
        <v>9789774035067</v>
      </c>
      <c r="C2937" s="8" t="s">
        <v>9</v>
      </c>
    </row>
    <row r="2938" spans="1:3" x14ac:dyDescent="0.25">
      <c r="A2938" s="8" t="str">
        <f>"2012 8th International Symposium on Chinese Spoken Language Processing, ISCSLP 2012"</f>
        <v>2012 8th International Symposium on Chinese Spoken Language Processing, ISCSLP 2012</v>
      </c>
      <c r="B2938" s="8" t="str">
        <f>"9781467325059"</f>
        <v>9781467325059</v>
      </c>
      <c r="C2938" s="8" t="s">
        <v>9</v>
      </c>
    </row>
    <row r="2939" spans="1:3" x14ac:dyDescent="0.25">
      <c r="A2939" s="8" t="str">
        <f>"2012 8th International Symposium on Mechatronics and its Applications, ISMA 2012"</f>
        <v>2012 8th International Symposium on Mechatronics and its Applications, ISMA 2012</v>
      </c>
      <c r="B2939" s="8" t="str">
        <f>"9781467308625"</f>
        <v>9781467308625</v>
      </c>
      <c r="C2939" s="8" t="s">
        <v>9</v>
      </c>
    </row>
    <row r="2940" spans="1:3" x14ac:dyDescent="0.25">
      <c r="A2940" s="8" t="str">
        <f>"2012 9th Annual Conference on Wireless On-Demand Network Systems and Services, WONS 2012"</f>
        <v>2012 9th Annual Conference on Wireless On-Demand Network Systems and Services, WONS 2012</v>
      </c>
      <c r="B2940" s="8" t="str">
        <f>"9781457717222"</f>
        <v>9781457717222</v>
      </c>
      <c r="C2940" s="8" t="s">
        <v>9</v>
      </c>
    </row>
    <row r="2941" spans="1:3" x14ac:dyDescent="0.25">
      <c r="A2941" s="8" t="str">
        <f>"2012 9th Asia-Pacific Symposium on Information and Telecommunication Technologies, APSITT 2012"</f>
        <v>2012 9th Asia-Pacific Symposium on Information and Telecommunication Technologies, APSITT 2012</v>
      </c>
      <c r="B2941" s="8" t="str">
        <f>"9784885522659"</f>
        <v>9784885522659</v>
      </c>
      <c r="C2941" s="8" t="s">
        <v>9</v>
      </c>
    </row>
    <row r="2942" spans="1:3" x14ac:dyDescent="0.25">
      <c r="A2942" s="8" t="str">
        <f>"2012 9th France-Japan and 7th Europe-Asia Congress on Mechatronics, MECATRONICS 2012 / 13th International Workshop on Research and Education in Mechatronics, REM 2012"</f>
        <v>2012 9th France-Japan and 7th Europe-Asia Congress on Mechatronics, MECATRONICS 2012 / 13th International Workshop on Research and Education in Mechatronics, REM 2012</v>
      </c>
      <c r="B2942" s="8" t="str">
        <f>"9781467347716"</f>
        <v>9781467347716</v>
      </c>
      <c r="C2942" s="8" t="s">
        <v>9</v>
      </c>
    </row>
    <row r="2943" spans="1:3" x14ac:dyDescent="0.25">
      <c r="A2943" s="8" t="str">
        <f>"2012 9th International Conference and Expo on Emerging Technologies for a Smarter World, CEWIT 2012"</f>
        <v>2012 9th International Conference and Expo on Emerging Technologies for a Smarter World, CEWIT 2012</v>
      </c>
      <c r="B2943" s="8" t="str">
        <f>"9781467325042"</f>
        <v>9781467325042</v>
      </c>
      <c r="C2943" s="8" t="s">
        <v>9</v>
      </c>
    </row>
    <row r="2944" spans="1:3" x14ac:dyDescent="0.25">
      <c r="A2944" s="8" t="str">
        <f>"2012 9th International Conference on Communications, COMM 2012 - Conference Proceedings"</f>
        <v>2012 9th International Conference on Communications, COMM 2012 - Conference Proceedings</v>
      </c>
      <c r="B2944" s="8" t="str">
        <f>"9781467325738"</f>
        <v>9781467325738</v>
      </c>
      <c r="C2944" s="8" t="s">
        <v>9</v>
      </c>
    </row>
    <row r="2945" spans="1:3" x14ac:dyDescent="0.25">
      <c r="A2945" s="8" t="str">
        <f>"2012 9th International Conference on Electrical Engineering/Electronics, Computer, Telecommunications and Information Technology, ECTI-CON 2012"</f>
        <v>2012 9th International Conference on Electrical Engineering/Electronics, Computer, Telecommunications and Information Technology, ECTI-CON 2012</v>
      </c>
      <c r="B2945" s="8" t="str">
        <f>"9781467320245"</f>
        <v>9781467320245</v>
      </c>
      <c r="C2945" s="8" t="s">
        <v>9</v>
      </c>
    </row>
    <row r="2946" spans="1:3" x14ac:dyDescent="0.25">
      <c r="A2946" s="8" t="str">
        <f>"2012 9th International Conference on High Capacity Optical Networks and Enabling Technologies, HONET 2012"</f>
        <v>2012 9th International Conference on High Capacity Optical Networks and Enabling Technologies, HONET 2012</v>
      </c>
      <c r="B2946" s="8" t="str">
        <f>"9781467328906"</f>
        <v>9781467328906</v>
      </c>
      <c r="C2946" s="8" t="s">
        <v>9</v>
      </c>
    </row>
    <row r="2947" spans="1:3" x14ac:dyDescent="0.25">
      <c r="A2947" s="8" t="str">
        <f>"2012 9th International Conference on Remote Engineering and Virtual Instrumentation, REV 2012"</f>
        <v>2012 9th International Conference on Remote Engineering and Virtual Instrumentation, REV 2012</v>
      </c>
      <c r="B2947" s="8" t="str">
        <f>"9781467325424"</f>
        <v>9781467325424</v>
      </c>
      <c r="C2947" s="8" t="s">
        <v>9</v>
      </c>
    </row>
    <row r="2948" spans="1:3" x14ac:dyDescent="0.25">
      <c r="A2948" s="8" t="str">
        <f>"2012 9th International Conference on Service Systems and Service Management - Proceedings of ICSSSM'12"</f>
        <v>2012 9th International Conference on Service Systems and Service Management - Proceedings of ICSSSM'12</v>
      </c>
      <c r="B2948" s="8" t="str">
        <f>"9781457720253"</f>
        <v>9781457720253</v>
      </c>
      <c r="C2948" s="8" t="s">
        <v>9</v>
      </c>
    </row>
    <row r="2949" spans="1:3" x14ac:dyDescent="0.25">
      <c r="A2949" s="8" t="str">
        <f>"2012 9th International Conference on Ubiquitous Robots and Ambient Intelligence, URAI 2012"</f>
        <v>2012 9th International Conference on Ubiquitous Robots and Ambient Intelligence, URAI 2012</v>
      </c>
      <c r="B2949" s="8" t="str">
        <f>"9781467331104"</f>
        <v>9781467331104</v>
      </c>
      <c r="C2949" s="8" t="s">
        <v>9</v>
      </c>
    </row>
    <row r="2950" spans="1:3" x14ac:dyDescent="0.25">
      <c r="A2950" s="8" t="str">
        <f>"2012 9th International ISC Conference on Information Security and Cryptology, ISCISC 2012"</f>
        <v>2012 9th International ISC Conference on Information Security and Cryptology, ISCISC 2012</v>
      </c>
      <c r="B2950" s="8" t="str">
        <f>"9781467323864"</f>
        <v>9781467323864</v>
      </c>
      <c r="C2950" s="8" t="s">
        <v>9</v>
      </c>
    </row>
    <row r="2951" spans="1:3" x14ac:dyDescent="0.25">
      <c r="A2951" s="8" t="str">
        <f>"2012 9th International Symposium on Telecommunications, BIHTEL 2012 - Proceedings"</f>
        <v>2012 9th International Symposium on Telecommunications, BIHTEL 2012 - Proceedings</v>
      </c>
      <c r="B2951" s="8" t="str">
        <f>"-"</f>
        <v>-</v>
      </c>
      <c r="C2951" s="8" t="s">
        <v>9</v>
      </c>
    </row>
    <row r="2952" spans="1:3" x14ac:dyDescent="0.25">
      <c r="A2952" s="8" t="str">
        <f>"2012 ACM Conference on Bioinformatics, Computational Biology and Biomedicine, BCB 2012"</f>
        <v>2012 ACM Conference on Bioinformatics, Computational Biology and Biomedicine, BCB 2012</v>
      </c>
      <c r="B2952" s="8" t="str">
        <f>"9781450316705"</f>
        <v>9781450316705</v>
      </c>
      <c r="C2952" s="8" t="s">
        <v>21</v>
      </c>
    </row>
    <row r="2953" spans="1:3" x14ac:dyDescent="0.25">
      <c r="A2953" s="8" t="str">
        <f>"2012 Annual IEEE India Conference, INDICON 2012"</f>
        <v>2012 Annual IEEE India Conference, INDICON 2012</v>
      </c>
      <c r="B2953" s="8" t="str">
        <f>"9781467322720"</f>
        <v>9781467322720</v>
      </c>
      <c r="C2953" s="8" t="s">
        <v>9</v>
      </c>
    </row>
    <row r="2954" spans="1:3" x14ac:dyDescent="0.25">
      <c r="A2954" s="8" t="str">
        <f>"2012 Annual Meeting of the North American Fuzzy Information Processing Society, NAFIPS 2012"</f>
        <v>2012 Annual Meeting of the North American Fuzzy Information Processing Society, NAFIPS 2012</v>
      </c>
      <c r="B2954" s="8" t="str">
        <f>"9781467323376"</f>
        <v>9781467323376</v>
      </c>
      <c r="C2954" s="8" t="s">
        <v>9</v>
      </c>
    </row>
    <row r="2955" spans="1:3" x14ac:dyDescent="0.25">
      <c r="A2955" s="8" t="str">
        <f>"2012 Asia-Europe-Pacific School of High-Energy Physics, AEPSHEP 2012 - Proceedings"</f>
        <v>2012 Asia-Europe-Pacific School of High-Energy Physics, AEPSHEP 2012 - Proceedings</v>
      </c>
      <c r="B2955" s="8" t="str">
        <f>"9789290833994"</f>
        <v>9789290833994</v>
      </c>
      <c r="C2955" s="8" t="s">
        <v>1376</v>
      </c>
    </row>
    <row r="2956" spans="1:3" x14ac:dyDescent="0.25">
      <c r="A2956" s="8" t="str">
        <f>"2012 Australian Communications Theory Workshop, AusCTW'12"</f>
        <v>2012 Australian Communications Theory Workshop, AusCTW'12</v>
      </c>
      <c r="B2956" s="8" t="str">
        <f>"9781457719622"</f>
        <v>9781457719622</v>
      </c>
      <c r="C2956" s="8" t="s">
        <v>9</v>
      </c>
    </row>
    <row r="2957" spans="1:3" x14ac:dyDescent="0.25">
      <c r="A2957" s="8" t="str">
        <f>"2012 Beam Instrumentation Workshop, BIW 2012"</f>
        <v>2012 Beam Instrumentation Workshop, BIW 2012</v>
      </c>
      <c r="B2957" s="8" t="str">
        <f>"9783954501212"</f>
        <v>9783954501212</v>
      </c>
      <c r="C2957" s="8" t="s">
        <v>1359</v>
      </c>
    </row>
    <row r="2958" spans="1:3" x14ac:dyDescent="0.25">
      <c r="A2958" s="8" t="str">
        <f>"2012 Cairo International Biomedical Engineering Conference, CIBEC 2012"</f>
        <v>2012 Cairo International Biomedical Engineering Conference, CIBEC 2012</v>
      </c>
      <c r="B2958" s="8" t="str">
        <f>"9781467328012"</f>
        <v>9781467328012</v>
      </c>
      <c r="C2958" s="8" t="s">
        <v>9</v>
      </c>
    </row>
    <row r="2959" spans="1:3" x14ac:dyDescent="0.25">
      <c r="A2959" s="8" t="str">
        <f>"2012 Computing, Communications and Applications Conference, ComComAp 2012"</f>
        <v>2012 Computing, Communications and Applications Conference, ComComAp 2012</v>
      </c>
      <c r="B2959" s="8" t="str">
        <f>"9781457717178"</f>
        <v>9781457717178</v>
      </c>
      <c r="C2959" s="8" t="s">
        <v>9</v>
      </c>
    </row>
    <row r="2960" spans="1:3" x14ac:dyDescent="0.25">
      <c r="A2960" s="8" t="str">
        <f>"2012 Conference Handbook - Asia-Pacific Signal and Information Processing Association Annual Summit and Conference, APSIPA ASC 2012"</f>
        <v>2012 Conference Handbook - Asia-Pacific Signal and Information Processing Association Annual Summit and Conference, APSIPA ASC 2012</v>
      </c>
      <c r="B2960" s="8" t="str">
        <f>"9780615700502"</f>
        <v>9780615700502</v>
      </c>
      <c r="C2960" s="8" t="s">
        <v>9</v>
      </c>
    </row>
    <row r="2961" spans="1:3" x14ac:dyDescent="0.25">
      <c r="A2961" s="8" t="str">
        <f>"2012 Conference on Lasers and Electro-Optics, CLEO 2012"</f>
        <v>2012 Conference on Lasers and Electro-Optics, CLEO 2012</v>
      </c>
      <c r="B2961" s="8" t="str">
        <f>"9781467318396"</f>
        <v>9781467318396</v>
      </c>
      <c r="C2961" s="8" t="s">
        <v>9</v>
      </c>
    </row>
    <row r="2962" spans="1:3" x14ac:dyDescent="0.25">
      <c r="A2962" s="8" t="str">
        <f>"2012 CSI 6th International Conference on Software Engineering, CONSEG 2012"</f>
        <v>2012 CSI 6th International Conference on Software Engineering, CONSEG 2012</v>
      </c>
      <c r="B2962" s="8" t="str">
        <f>"9781467321747"</f>
        <v>9781467321747</v>
      </c>
      <c r="C2962" s="8" t="s">
        <v>9</v>
      </c>
    </row>
    <row r="2963" spans="1:3" x14ac:dyDescent="0.25">
      <c r="A2963" s="8" t="str">
        <f>"2012 Digest APMRC - Asia-Pacific Magnetic Recording Conference: A Strong Tradition. An Exciting New Look!"</f>
        <v>2012 Digest APMRC - Asia-Pacific Magnetic Recording Conference: A Strong Tradition. An Exciting New Look!</v>
      </c>
      <c r="B2963" s="8" t="str">
        <f>"9789810720568"</f>
        <v>9789810720568</v>
      </c>
      <c r="C2963" s="8" t="s">
        <v>9</v>
      </c>
    </row>
    <row r="2964" spans="1:3" x14ac:dyDescent="0.25">
      <c r="A2964" s="8" t="str">
        <f>"2012 e-Leadership Conference on Sustainable e-Government and e- Business Innovations, E-LEADERSHIP 2012"</f>
        <v>2012 e-Leadership Conference on Sustainable e-Government and e- Business Innovations, E-LEADERSHIP 2012</v>
      </c>
      <c r="B2964" s="8" t="str">
        <f>"9781467329798"</f>
        <v>9781467329798</v>
      </c>
      <c r="C2964" s="8" t="s">
        <v>9</v>
      </c>
    </row>
    <row r="2965" spans="1:3" x14ac:dyDescent="0.25">
      <c r="A2965" s="8" t="str">
        <f>"2012 e-Manufacturing and Design Collaboration Symposium, eMDC 2012"</f>
        <v>2012 e-Manufacturing and Design Collaboration Symposium, eMDC 2012</v>
      </c>
      <c r="B2965" s="8" t="str">
        <f>"9781467345408"</f>
        <v>9781467345408</v>
      </c>
      <c r="C2965" s="8" t="s">
        <v>9</v>
      </c>
    </row>
    <row r="2966" spans="1:3" x14ac:dyDescent="0.25">
      <c r="A2966" s="8" t="str">
        <f>"2012 Extreme Modeling Workshop, XM 2012 - Post-Proceedings, Satellite Event of the IEEE/ACM 15th International Conference on Model Driven Engineering Languages and Systems, MODELS 2012"</f>
        <v>2012 Extreme Modeling Workshop, XM 2012 - Post-Proceedings, Satellite Event of the IEEE/ACM 15th International Conference on Model Driven Engineering Languages and Systems, MODELS 2012</v>
      </c>
      <c r="B2966" s="8" t="str">
        <f>"9781450318044"</f>
        <v>9781450318044</v>
      </c>
      <c r="C2966" s="8" t="s">
        <v>21</v>
      </c>
    </row>
    <row r="2967" spans="1:3" x14ac:dyDescent="0.25">
      <c r="A2967" s="8" t="str">
        <f>"2012 Federated Conference on Computer Science and Information Systems, FedCSIS 2012"</f>
        <v>2012 Federated Conference on Computer Science and Information Systems, FedCSIS 2012</v>
      </c>
      <c r="B2967" s="8" t="str">
        <f>"9781467307086"</f>
        <v>9781467307086</v>
      </c>
      <c r="C2967" s="8" t="s">
        <v>9</v>
      </c>
    </row>
    <row r="2968" spans="1:3" x14ac:dyDescent="0.25">
      <c r="A2968" s="8" t="str">
        <f>"2012 Formal Methods in Computer-Aided Design, FMCAD 2012"</f>
        <v>2012 Formal Methods in Computer-Aided Design, FMCAD 2012</v>
      </c>
      <c r="B2968" s="8" t="str">
        <f>"9781467348324"</f>
        <v>9781467348324</v>
      </c>
      <c r="C2968" s="8" t="s">
        <v>9</v>
      </c>
    </row>
    <row r="2969" spans="1:3" x14ac:dyDescent="0.25">
      <c r="A2969" s="8" t="str">
        <f>"2012 Future Network and Mobile Summit, FutureNetw 2012"</f>
        <v>2012 Future Network and Mobile Summit, FutureNetw 2012</v>
      </c>
      <c r="B2969" s="8" t="str">
        <f>"9781905824304"</f>
        <v>9781905824304</v>
      </c>
      <c r="C2969" s="8" t="s">
        <v>9</v>
      </c>
    </row>
    <row r="2970" spans="1:3" x14ac:dyDescent="0.25">
      <c r="A2970" s="8" t="str">
        <f>"2012 Global Information Infrastructure and Networking Symposium, GIIS 2012"</f>
        <v>2012 Global Information Infrastructure and Networking Symposium, GIIS 2012</v>
      </c>
      <c r="B2970" s="8" t="str">
        <f>"9781467352161"</f>
        <v>9781467352161</v>
      </c>
      <c r="C2970" s="8" t="s">
        <v>9</v>
      </c>
    </row>
    <row r="2971" spans="1:3" x14ac:dyDescent="0.25">
      <c r="A2971" s="8" t="str">
        <f>"2012 IAPR Workshop on Pattern Recognition in Remote Sensing, PRRS 2012"</f>
        <v>2012 IAPR Workshop on Pattern Recognition in Remote Sensing, PRRS 2012</v>
      </c>
      <c r="B2971" s="8" t="str">
        <f>"9781467349628"</f>
        <v>9781467349628</v>
      </c>
      <c r="C2971" s="8" t="s">
        <v>9</v>
      </c>
    </row>
    <row r="2972" spans="1:3" x14ac:dyDescent="0.25">
      <c r="A2972" s="8" t="str">
        <f>"2012 ICME International Conference on Complex Medical Engineering, CME 2012 Proceedings"</f>
        <v>2012 ICME International Conference on Complex Medical Engineering, CME 2012 Proceedings</v>
      </c>
      <c r="B2972" s="8" t="str">
        <f>"9781467316163"</f>
        <v>9781467316163</v>
      </c>
      <c r="C2972" s="8" t="s">
        <v>9</v>
      </c>
    </row>
    <row r="2973" spans="1:3" x14ac:dyDescent="0.25">
      <c r="A2973" s="8" t="str">
        <f>"2012 IEEE 10th International New Circuits and Systems Conference, NEWCAS 2012"</f>
        <v>2012 IEEE 10th International New Circuits and Systems Conference, NEWCAS 2012</v>
      </c>
      <c r="B2973" s="8" t="str">
        <f>"9781467308595"</f>
        <v>9781467308595</v>
      </c>
      <c r="C2973" s="8" t="s">
        <v>9</v>
      </c>
    </row>
    <row r="2974" spans="1:3" x14ac:dyDescent="0.25">
      <c r="A2974" s="8" t="str">
        <f>"2012 IEEE 10th Jubilee International Symposium on Intelligent Systems and Informatics, SISY 2012"</f>
        <v>2012 IEEE 10th Jubilee International Symposium on Intelligent Systems and Informatics, SISY 2012</v>
      </c>
      <c r="B2974" s="8" t="str">
        <f>"9781467347518"</f>
        <v>9781467347518</v>
      </c>
      <c r="C2974" s="8" t="s">
        <v>9</v>
      </c>
    </row>
    <row r="2975" spans="1:3" x14ac:dyDescent="0.25">
      <c r="A2975" s="8" t="str">
        <f>"2012 IEEE 10th Symposium on Embedded Systems for Real-Time Multimedia, ESTIMedia 2012"</f>
        <v>2012 IEEE 10th Symposium on Embedded Systems for Real-Time Multimedia, ESTIMedia 2012</v>
      </c>
      <c r="B2975" s="8" t="str">
        <f>"9781467349680"</f>
        <v>9781467349680</v>
      </c>
      <c r="C2975" s="8" t="s">
        <v>9</v>
      </c>
    </row>
    <row r="2976" spans="1:3" x14ac:dyDescent="0.25">
      <c r="A2976" s="8" t="str">
        <f>"2012 IEEE 12th International Conference on Peer-to-Peer Computing, P2P 2012"</f>
        <v>2012 IEEE 12th International Conference on Peer-to-Peer Computing, P2P 2012</v>
      </c>
      <c r="B2976" s="8" t="str">
        <f>"9781467328623"</f>
        <v>9781467328623</v>
      </c>
      <c r="C2976" s="8" t="s">
        <v>9</v>
      </c>
    </row>
    <row r="2977" spans="1:3" x14ac:dyDescent="0.25">
      <c r="A2977" s="8" t="str">
        <f>"2012 IEEE 12th Topical Meeting on Silicon Monolithic Integrated Circuits in RF Systems, SiRF 2012 - Digest of Papers"</f>
        <v>2012 IEEE 12th Topical Meeting on Silicon Monolithic Integrated Circuits in RF Systems, SiRF 2012 - Digest of Papers</v>
      </c>
      <c r="B2977" s="8" t="str">
        <f>"9781457713163"</f>
        <v>9781457713163</v>
      </c>
      <c r="C2977" s="8" t="s">
        <v>9</v>
      </c>
    </row>
    <row r="2978" spans="1:3" x14ac:dyDescent="0.25">
      <c r="A2978" s="8" t="str">
        <f>"2012 IEEE 13th Annual Wireless and Microwave Technology Conference, WAMICON 2012"</f>
        <v>2012 IEEE 13th Annual Wireless and Microwave Technology Conference, WAMICON 2012</v>
      </c>
      <c r="B2978" s="8" t="str">
        <f>"9781467301299"</f>
        <v>9781467301299</v>
      </c>
      <c r="C2978" s="8" t="s">
        <v>9</v>
      </c>
    </row>
    <row r="2979" spans="1:3" x14ac:dyDescent="0.25">
      <c r="A2979" s="8" t="str">
        <f>"2012 IEEE 13th International Conference on High Performance Switching and Routing, HPSR 2012"</f>
        <v>2012 IEEE 13th International Conference on High Performance Switching and Routing, HPSR 2012</v>
      </c>
      <c r="B2979" s="8" t="str">
        <f>"9781457708329"</f>
        <v>9781457708329</v>
      </c>
      <c r="C2979" s="8" t="s">
        <v>9</v>
      </c>
    </row>
    <row r="2980" spans="1:3" x14ac:dyDescent="0.25">
      <c r="A2980" s="8" t="str">
        <f>"2012 IEEE 13th International Vacuum Electronics Conference, IVEC 2012"</f>
        <v>2012 IEEE 13th International Vacuum Electronics Conference, IVEC 2012</v>
      </c>
      <c r="B2980" s="8" t="str">
        <f>"9781467301879"</f>
        <v>9781467301879</v>
      </c>
      <c r="C2980" s="8" t="s">
        <v>9</v>
      </c>
    </row>
    <row r="2981" spans="1:3" x14ac:dyDescent="0.25">
      <c r="A2981" s="8" t="str">
        <f>"2012 IEEE 13th Workshop on Control and Modeling for Power Electronics, COMPEL 2012"</f>
        <v>2012 IEEE 13th Workshop on Control and Modeling for Power Electronics, COMPEL 2012</v>
      </c>
      <c r="B2981" s="8" t="str">
        <f>"9781424493739"</f>
        <v>9781424493739</v>
      </c>
      <c r="C2981" s="8" t="s">
        <v>9</v>
      </c>
    </row>
    <row r="2982" spans="1:3" x14ac:dyDescent="0.25">
      <c r="A2982" s="8" t="str">
        <f>"2012 IEEE 14th International Conference on e-Health Networking, Applications and Services, Healthcom 2012"</f>
        <v>2012 IEEE 14th International Conference on e-Health Networking, Applications and Services, Healthcom 2012</v>
      </c>
      <c r="B2982" s="8" t="str">
        <f>"9781457720390"</f>
        <v>9781457720390</v>
      </c>
      <c r="C2982" s="8" t="s">
        <v>9</v>
      </c>
    </row>
    <row r="2983" spans="1:3" x14ac:dyDescent="0.25">
      <c r="A2983" s="8" t="str">
        <f>"2012 IEEE 14th International Workshop on Multimedia Signal Processing, MMSP 2012 - Proceedings"</f>
        <v>2012 IEEE 14th International Workshop on Multimedia Signal Processing, MMSP 2012 - Proceedings</v>
      </c>
      <c r="B2983" s="8" t="str">
        <f>"9781467345729"</f>
        <v>9781467345729</v>
      </c>
      <c r="C2983" s="8" t="s">
        <v>9</v>
      </c>
    </row>
    <row r="2984" spans="1:3" x14ac:dyDescent="0.25">
      <c r="A2984" s="8" t="str">
        <f>"2012 IEEE 16th Workshop on Signal and Power Integrity, SPI 2012 - Proceedings"</f>
        <v>2012 IEEE 16th Workshop on Signal and Power Integrity, SPI 2012 - Proceedings</v>
      </c>
      <c r="B2984" s="8" t="str">
        <f>"9781467315043"</f>
        <v>9781467315043</v>
      </c>
      <c r="C2984" s="8" t="s">
        <v>9</v>
      </c>
    </row>
    <row r="2985" spans="1:3" x14ac:dyDescent="0.25">
      <c r="A2985" s="8" t="str">
        <f>"2012 IEEE 17th International Workshop on Computer Aided Modeling and Design of Communication Links and Networks, CAMAD 2012"</f>
        <v>2012 IEEE 17th International Workshop on Computer Aided Modeling and Design of Communication Links and Networks, CAMAD 2012</v>
      </c>
      <c r="B2985" s="8" t="str">
        <f>"9781467331258"</f>
        <v>9781467331258</v>
      </c>
      <c r="C2985" s="8" t="s">
        <v>9</v>
      </c>
    </row>
    <row r="2986" spans="1:3" x14ac:dyDescent="0.25">
      <c r="A2986" s="8" t="str">
        <f>"2012 IEEE 18th International Symposium for Design and Technology of Electronics Packages, SIITME 2012 - Conference Proceedings"</f>
        <v>2012 IEEE 18th International Symposium for Design and Technology of Electronics Packages, SIITME 2012 - Conference Proceedings</v>
      </c>
      <c r="B2986" s="8" t="str">
        <f>"9781467347594"</f>
        <v>9781467347594</v>
      </c>
      <c r="C2986" s="8" t="s">
        <v>9</v>
      </c>
    </row>
    <row r="2987" spans="1:3" x14ac:dyDescent="0.25">
      <c r="A2987" s="8" t="str">
        <f>"2012 IEEE 1st International Symposium on Wireless Systems - Within the Conferences on Intelligent Data Acquisition and Advanced Computing Systems, IDAACS-SWS 2012"</f>
        <v>2012 IEEE 1st International Symposium on Wireless Systems - Within the Conferences on Intelligent Data Acquisition and Advanced Computing Systems, IDAACS-SWS 2012</v>
      </c>
      <c r="B2987" s="8" t="str">
        <f>"9781467346771"</f>
        <v>9781467346771</v>
      </c>
      <c r="C2987" s="8" t="s">
        <v>9</v>
      </c>
    </row>
    <row r="2988" spans="1:3" x14ac:dyDescent="0.25">
      <c r="A2988" s="8" t="str">
        <f>"2012 IEEE 1st International Workshop on Vehicular Communications, Sensing, and Computing, VCSC 2012"</f>
        <v>2012 IEEE 1st International Workshop on Vehicular Communications, Sensing, and Computing, VCSC 2012</v>
      </c>
      <c r="B2988" s="8" t="str">
        <f>"9781467326827"</f>
        <v>9781467326827</v>
      </c>
      <c r="C2988" s="8" t="s">
        <v>9</v>
      </c>
    </row>
    <row r="2989" spans="1:3" x14ac:dyDescent="0.25">
      <c r="A2989" s="8" t="str">
        <f>"2012 IEEE 21st Conference on Electrical Performance of Electronic Packaging and Systems, EPEPS 2012"</f>
        <v>2012 IEEE 21st Conference on Electrical Performance of Electronic Packaging and Systems, EPEPS 2012</v>
      </c>
      <c r="B2989" s="8" t="str">
        <f>"9781467325394"</f>
        <v>9781467325394</v>
      </c>
      <c r="C2989" s="8" t="s">
        <v>9</v>
      </c>
    </row>
    <row r="2990" spans="1:3" x14ac:dyDescent="0.25">
      <c r="A2990" s="8" t="str">
        <f>"2012 IEEE 27th Convention of Electrical and Electronics Engineers in Israel, IEEEI 2012"</f>
        <v>2012 IEEE 27th Convention of Electrical and Electronics Engineers in Israel, IEEEI 2012</v>
      </c>
      <c r="B2990" s="8" t="str">
        <f>"9781467346801"</f>
        <v>9781467346801</v>
      </c>
      <c r="C2990" s="8" t="s">
        <v>9</v>
      </c>
    </row>
    <row r="2991" spans="1:3" x14ac:dyDescent="0.25">
      <c r="A2991" s="8" t="str">
        <f>"2012 IEEE 2nd International Conference on Computational Advances in Bio and Medical Sciences, ICCABS 2012"</f>
        <v>2012 IEEE 2nd International Conference on Computational Advances in Bio and Medical Sciences, ICCABS 2012</v>
      </c>
      <c r="B2991" s="8" t="str">
        <f>"9781467313216"</f>
        <v>9781467313216</v>
      </c>
      <c r="C2991" s="8" t="s">
        <v>9</v>
      </c>
    </row>
    <row r="2992" spans="1:3" x14ac:dyDescent="0.25">
      <c r="A2992" s="8" t="str">
        <f>"2012 IEEE 2nd Portuguese Meeting in Bioengineering, ENBENG 2012"</f>
        <v>2012 IEEE 2nd Portuguese Meeting in Bioengineering, ENBENG 2012</v>
      </c>
      <c r="B2992" s="8" t="str">
        <f>"9781467345248"</f>
        <v>9781467345248</v>
      </c>
      <c r="C2992" s="8" t="s">
        <v>9</v>
      </c>
    </row>
    <row r="2993" spans="1:3" x14ac:dyDescent="0.25">
      <c r="A2993" s="8" t="str">
        <f>"2012 IEEE 31st International Performance Computing and Communications Conference, IPCCC 2012"</f>
        <v>2012 IEEE 31st International Performance Computing and Communications Conference, IPCCC 2012</v>
      </c>
      <c r="B2993" s="8" t="str">
        <f>"9781467348812"</f>
        <v>9781467348812</v>
      </c>
      <c r="C2993" s="8" t="s">
        <v>9</v>
      </c>
    </row>
    <row r="2994" spans="1:3" x14ac:dyDescent="0.25">
      <c r="A2994" s="8" t="str">
        <f>"2012 IEEE 3rd International Conference on Smart Grid Communications, SmartGridComm 2012"</f>
        <v>2012 IEEE 3rd International Conference on Smart Grid Communications, SmartGridComm 2012</v>
      </c>
      <c r="B2994" s="8" t="str">
        <f>"9781467309110"</f>
        <v>9781467309110</v>
      </c>
      <c r="C2994" s="8" t="s">
        <v>9</v>
      </c>
    </row>
    <row r="2995" spans="1:3" x14ac:dyDescent="0.25">
      <c r="A2995" s="8" t="str">
        <f>"2012 IEEE 3rd Latin American Symposium on Circuits and Systems, LASCAS 2012 - Conference Proceedings"</f>
        <v>2012 IEEE 3rd Latin American Symposium on Circuits and Systems, LASCAS 2012 - Conference Proceedings</v>
      </c>
      <c r="B2995" s="8" t="str">
        <f>"9781467312080"</f>
        <v>9781467312080</v>
      </c>
      <c r="C2995" s="8" t="s">
        <v>9</v>
      </c>
    </row>
    <row r="2996" spans="1:3" x14ac:dyDescent="0.25">
      <c r="A2996" s="8" t="str">
        <f>"2012 IEEE 4th Colombian Workshop on Circuits and Systems, CWCAS 2012 - Conference Proceedings"</f>
        <v>2012 IEEE 4th Colombian Workshop on Circuits and Systems, CWCAS 2012 - Conference Proceedings</v>
      </c>
      <c r="B2996" s="8" t="str">
        <f>"9781467346146"</f>
        <v>9781467346146</v>
      </c>
      <c r="C2996" s="8" t="s">
        <v>9</v>
      </c>
    </row>
    <row r="2997" spans="1:3" x14ac:dyDescent="0.25">
      <c r="A2997" s="8" t="str">
        <f>"2012 IEEE 5th International Conference on Advanced Computational Intelligence, ICACI 2012"</f>
        <v>2012 IEEE 5th International Conference on Advanced Computational Intelligence, ICACI 2012</v>
      </c>
      <c r="B2997" s="8" t="str">
        <f>"9781467317436"</f>
        <v>9781467317436</v>
      </c>
      <c r="C2997" s="8" t="s">
        <v>9</v>
      </c>
    </row>
    <row r="2998" spans="1:3" x14ac:dyDescent="0.25">
      <c r="A2998" s="8" t="str">
        <f>"2012 IEEE 5th International Conference on Biometrics: Theory, Applications and Systems, BTAS 2012"</f>
        <v>2012 IEEE 5th International Conference on Biometrics: Theory, Applications and Systems, BTAS 2012</v>
      </c>
      <c r="B2998" s="8" t="str">
        <f>"9781467313841"</f>
        <v>9781467313841</v>
      </c>
      <c r="C2998" s="8" t="s">
        <v>9</v>
      </c>
    </row>
    <row r="2999" spans="1:3" x14ac:dyDescent="0.25">
      <c r="A2999" s="8" t="str">
        <f>"2012 IEEE 5th Power India Conference, PICONF 2012"</f>
        <v>2012 IEEE 5th Power India Conference, PICONF 2012</v>
      </c>
      <c r="B2999" s="8" t="str">
        <f>"9781467307635"</f>
        <v>9781467307635</v>
      </c>
      <c r="C2999" s="8" t="s">
        <v>9</v>
      </c>
    </row>
    <row r="3000" spans="1:3" x14ac:dyDescent="0.25">
      <c r="A3000" s="8" t="str">
        <f>"2012 IEEE 6th International Conference on Management of Innovation and Technology, ICMIT 2012"</f>
        <v>2012 IEEE 6th International Conference on Management of Innovation and Technology, ICMIT 2012</v>
      </c>
      <c r="B3000" s="8" t="str">
        <f>"9781467301107"</f>
        <v>9781467301107</v>
      </c>
      <c r="C3000" s="8" t="s">
        <v>9</v>
      </c>
    </row>
    <row r="3001" spans="1:3" x14ac:dyDescent="0.25">
      <c r="A3001" s="8" t="str">
        <f>"2012 IEEE 6th International Conference on Systems Biology, ISB 2012"</f>
        <v>2012 IEEE 6th International Conference on Systems Biology, ISB 2012</v>
      </c>
      <c r="B3001" s="8" t="str">
        <f>"9781467343985"</f>
        <v>9781467343985</v>
      </c>
      <c r="C3001" s="8" t="s">
        <v>9</v>
      </c>
    </row>
    <row r="3002" spans="1:3" x14ac:dyDescent="0.25">
      <c r="A3002" s="8" t="str">
        <f>"2012 IEEE 6th International Workshop on the Maintenance and Evolution of Service-Oriented and Cloud-Based Systems, MESOCA 2012"</f>
        <v>2012 IEEE 6th International Workshop on the Maintenance and Evolution of Service-Oriented and Cloud-Based Systems, MESOCA 2012</v>
      </c>
      <c r="B3002" s="8" t="str">
        <f>"9781467330015"</f>
        <v>9781467330015</v>
      </c>
      <c r="C3002" s="8" t="s">
        <v>9</v>
      </c>
    </row>
    <row r="3003" spans="1:3" x14ac:dyDescent="0.25">
      <c r="A3003" s="8" t="str">
        <f>"2012 IEEE 7th International Conference on Industrial and Information Systems, ICIIS 2012"</f>
        <v>2012 IEEE 7th International Conference on Industrial and Information Systems, ICIIS 2012</v>
      </c>
      <c r="B3003" s="8" t="str">
        <f>"9781467326056"</f>
        <v>9781467326056</v>
      </c>
      <c r="C3003" s="8" t="s">
        <v>9</v>
      </c>
    </row>
    <row r="3004" spans="1:3" x14ac:dyDescent="0.25">
      <c r="A3004" s="8" t="str">
        <f>"2012 IEEE 8th International Conference on E-Science, e-Science 2012"</f>
        <v>2012 IEEE 8th International Conference on E-Science, e-Science 2012</v>
      </c>
      <c r="B3004" s="8" t="str">
        <f>"9781467344678"</f>
        <v>9781467344678</v>
      </c>
      <c r="C3004" s="8" t="s">
        <v>9</v>
      </c>
    </row>
    <row r="3005" spans="1:3" x14ac:dyDescent="0.25">
      <c r="A3005" s="8" t="str">
        <f>"2012 IEEE 9th International Vacuum Electron Sources Conference, IVESC 2012"</f>
        <v>2012 IEEE 9th International Vacuum Electron Sources Conference, IVESC 2012</v>
      </c>
      <c r="B3005" s="8" t="str">
        <f>"9781467303699"</f>
        <v>9781467303699</v>
      </c>
      <c r="C3005" s="8" t="s">
        <v>9</v>
      </c>
    </row>
    <row r="3006" spans="1:3" x14ac:dyDescent="0.25">
      <c r="A3006" s="8" t="str">
        <f>"2012 IEEE Asia-Pacific Conference on Antennas and Propagation, APCAP 2012 - Proceedings"</f>
        <v>2012 IEEE Asia-Pacific Conference on Antennas and Propagation, APCAP 2012 - Proceedings</v>
      </c>
      <c r="B3006" s="8" t="str">
        <f>"9781467306676"</f>
        <v>9781467306676</v>
      </c>
      <c r="C3006" s="8" t="s">
        <v>9</v>
      </c>
    </row>
    <row r="3007" spans="1:3" x14ac:dyDescent="0.25">
      <c r="A3007" s="8" t="str">
        <f>"2012 IEEE Asia-Pacific Conference on Applied Electromagnetics, APACE 2012 - Proceedings"</f>
        <v>2012 IEEE Asia-Pacific Conference on Applied Electromagnetics, APACE 2012 - Proceedings</v>
      </c>
      <c r="B3007" s="8" t="str">
        <f>"9781467331166"</f>
        <v>9781467331166</v>
      </c>
      <c r="C3007" s="8" t="s">
        <v>9</v>
      </c>
    </row>
    <row r="3008" spans="1:3" x14ac:dyDescent="0.25">
      <c r="A3008" s="8" t="str">
        <f>"2012 IEEE Avionics, Fiber- Optics and Photonics Technology Conference, AVFOP 2012"</f>
        <v>2012 IEEE Avionics, Fiber- Optics and Photonics Technology Conference, AVFOP 2012</v>
      </c>
      <c r="B3008" s="8" t="str">
        <f>"9781457707575"</f>
        <v>9781457707575</v>
      </c>
      <c r="C3008" s="8" t="s">
        <v>9</v>
      </c>
    </row>
    <row r="3009" spans="1:3" x14ac:dyDescent="0.25">
      <c r="A3009" s="8" t="str">
        <f>"2012 IEEE Biomedical Circuits and Systems Conference: Intelligent Biomedical Electronics and Systems for Better Life and Better Environment, BioCAS 2012 - Conference Publications"</f>
        <v>2012 IEEE Biomedical Circuits and Systems Conference: Intelligent Biomedical Electronics and Systems for Better Life and Better Environment, BioCAS 2012 - Conference Publications</v>
      </c>
      <c r="B3009" s="8" t="str">
        <f>"9781467322935"</f>
        <v>9781467322935</v>
      </c>
      <c r="C3009" s="8" t="s">
        <v>9</v>
      </c>
    </row>
    <row r="3010" spans="1:3" x14ac:dyDescent="0.25">
      <c r="A3010" s="8" t="str">
        <f>"2012 IEEE Colombian Communications Conference, COLCOM 2012 - Conference Proceedings"</f>
        <v>2012 IEEE Colombian Communications Conference, COLCOM 2012 - Conference Proceedings</v>
      </c>
      <c r="B3010" s="8" t="str">
        <f>"9781467312691"</f>
        <v>9781467312691</v>
      </c>
      <c r="C3010" s="8" t="s">
        <v>9</v>
      </c>
    </row>
    <row r="3011" spans="1:3" x14ac:dyDescent="0.25">
      <c r="A3011" s="8" t="str">
        <f>"2012 IEEE Colombian Intelligent Transportation Systems Symposium, CITSS 2012 - Conference Proceedings"</f>
        <v>2012 IEEE Colombian Intelligent Transportation Systems Symposium, CITSS 2012 - Conference Proceedings</v>
      </c>
      <c r="B3011" s="8" t="str">
        <f>"9781467343626"</f>
        <v>9781467343626</v>
      </c>
      <c r="C3011" s="8" t="s">
        <v>9</v>
      </c>
    </row>
    <row r="3012" spans="1:3" x14ac:dyDescent="0.25">
      <c r="A3012" s="8" t="str">
        <f>"2012 IEEE Conference on Computational Intelligence and Games, CIG 2012"</f>
        <v>2012 IEEE Conference on Computational Intelligence and Games, CIG 2012</v>
      </c>
      <c r="B3012" s="8" t="str">
        <f>"9781467311922"</f>
        <v>9781467311922</v>
      </c>
      <c r="C3012" s="8" t="s">
        <v>9</v>
      </c>
    </row>
    <row r="3013" spans="1:3" x14ac:dyDescent="0.25">
      <c r="A3013" s="8" t="str">
        <f>"2012 IEEE Conference on Computational Intelligence for Financial Engineering and Economics, CIFEr 2012 - Proceedings"</f>
        <v>2012 IEEE Conference on Computational Intelligence for Financial Engineering and Economics, CIFEr 2012 - Proceedings</v>
      </c>
      <c r="B3013" s="8" t="str">
        <f>"9781467318037"</f>
        <v>9781467318037</v>
      </c>
      <c r="C3013" s="8" t="s">
        <v>9</v>
      </c>
    </row>
    <row r="3014" spans="1:3" x14ac:dyDescent="0.25">
      <c r="A3014" s="8" t="str">
        <f>"2012 IEEE Conference on Evolving and Adaptive Intelligent Systems, EAIS 2012 - Proceedings"</f>
        <v>2012 IEEE Conference on Evolving and Adaptive Intelligent Systems, EAIS 2012 - Proceedings</v>
      </c>
      <c r="B3014" s="8" t="str">
        <f>"9781467317276"</f>
        <v>9781467317276</v>
      </c>
      <c r="C3014" s="8" t="s">
        <v>9</v>
      </c>
    </row>
    <row r="3015" spans="1:3" x14ac:dyDescent="0.25">
      <c r="A3015" s="8" t="str">
        <f>"2012 IEEE Conference on High Performance Extreme Computing, HPEC 2012"</f>
        <v>2012 IEEE Conference on High Performance Extreme Computing, HPEC 2012</v>
      </c>
      <c r="B3015" s="8" t="str">
        <f>"9781467315760"</f>
        <v>9781467315760</v>
      </c>
      <c r="C3015" s="8" t="s">
        <v>9</v>
      </c>
    </row>
    <row r="3016" spans="1:3" x14ac:dyDescent="0.25">
      <c r="A3016" s="8" t="str">
        <f>"2012 IEEE Conference on Open Systems, ICOS 2012"</f>
        <v>2012 IEEE Conference on Open Systems, ICOS 2012</v>
      </c>
      <c r="B3016" s="8" t="str">
        <f>"9781467310468"</f>
        <v>9781467310468</v>
      </c>
      <c r="C3016" s="8" t="s">
        <v>9</v>
      </c>
    </row>
    <row r="3017" spans="1:3" x14ac:dyDescent="0.25">
      <c r="A3017" s="8" t="str">
        <f>"2012 IEEE Conference on Sustainable Utilization and Development in Engineering and Technology, STUDENT 2012 - Conference Booklet"</f>
        <v>2012 IEEE Conference on Sustainable Utilization and Development in Engineering and Technology, STUDENT 2012 - Conference Booklet</v>
      </c>
      <c r="B3017" s="8" t="str">
        <f>"9781467317054"</f>
        <v>9781467317054</v>
      </c>
      <c r="C3017" s="8" t="s">
        <v>9</v>
      </c>
    </row>
    <row r="3018" spans="1:3" x14ac:dyDescent="0.25">
      <c r="A3018" s="8" t="str">
        <f>"2012 IEEE Conference on Technologies for Practical Robot Applications, TePRA 2012"</f>
        <v>2012 IEEE Conference on Technologies for Practical Robot Applications, TePRA 2012</v>
      </c>
      <c r="B3018" s="8" t="str">
        <f>"9781467308557"</f>
        <v>9781467308557</v>
      </c>
      <c r="C3018" s="8" t="s">
        <v>9</v>
      </c>
    </row>
    <row r="3019" spans="1:3" x14ac:dyDescent="0.25">
      <c r="A3019" s="8" t="str">
        <f>"2012 IEEE Congress on Evolutionary Computation, CEC 2012"</f>
        <v>2012 IEEE Congress on Evolutionary Computation, CEC 2012</v>
      </c>
      <c r="B3019" s="8" t="str">
        <f>"9781467315098"</f>
        <v>9781467315098</v>
      </c>
      <c r="C3019" s="8" t="s">
        <v>9</v>
      </c>
    </row>
    <row r="3020" spans="1:3" x14ac:dyDescent="0.25">
      <c r="A3020" s="8" t="str">
        <f>"2012 IEEE Consumer Communications and Networking Conference, CCNC'2012"</f>
        <v>2012 IEEE Consumer Communications and Networking Conference, CCNC'2012</v>
      </c>
      <c r="B3020" s="8" t="str">
        <f>"9781457720710"</f>
        <v>9781457720710</v>
      </c>
      <c r="C3020" s="8" t="s">
        <v>9</v>
      </c>
    </row>
    <row r="3021" spans="1:3" x14ac:dyDescent="0.25">
      <c r="A3021" s="8" t="str">
        <f>"2012 IEEE Electrical Design of Advanced Packaging and Systems Symposium, EDAPS 2012"</f>
        <v>2012 IEEE Electrical Design of Advanced Packaging and Systems Symposium, EDAPS 2012</v>
      </c>
      <c r="B3021" s="8" t="str">
        <f>"9781467314435"</f>
        <v>9781467314435</v>
      </c>
      <c r="C3021" s="8" t="s">
        <v>9</v>
      </c>
    </row>
    <row r="3022" spans="1:3" x14ac:dyDescent="0.25">
      <c r="A3022" s="8" t="str">
        <f>"2012 IEEE Electrical Power and Energy Conference, EPEC 2012"</f>
        <v>2012 IEEE Electrical Power and Energy Conference, EPEC 2012</v>
      </c>
      <c r="B3022" s="8" t="str">
        <f>"9781467320801"</f>
        <v>9781467320801</v>
      </c>
      <c r="C3022" s="8" t="s">
        <v>9</v>
      </c>
    </row>
    <row r="3023" spans="1:3" x14ac:dyDescent="0.25">
      <c r="A3023" s="8" t="str">
        <f>"2012 IEEE Energy Conversion Congress and Exposition, ECCE 2012"</f>
        <v>2012 IEEE Energy Conversion Congress and Exposition, ECCE 2012</v>
      </c>
      <c r="B3023" s="8" t="str">
        <f>"9781467308014"</f>
        <v>9781467308014</v>
      </c>
      <c r="C3023" s="8" t="s">
        <v>9</v>
      </c>
    </row>
    <row r="3024" spans="1:3" x14ac:dyDescent="0.25">
      <c r="A3024" s="8" t="str">
        <f>"2012 IEEE Energytech, Energytech 2012"</f>
        <v>2012 IEEE Energytech, Energytech 2012</v>
      </c>
      <c r="B3024" s="8" t="str">
        <f>"9781467318365"</f>
        <v>9781467318365</v>
      </c>
      <c r="C3024" s="8" t="s">
        <v>9</v>
      </c>
    </row>
    <row r="3025" spans="1:3" x14ac:dyDescent="0.25">
      <c r="A3025" s="8" t="str">
        <f>"2012 IEEE Faible Tension Faible Consommation, FTFC 2012"</f>
        <v>2012 IEEE Faible Tension Faible Consommation, FTFC 2012</v>
      </c>
      <c r="B3025" s="8" t="str">
        <f>"9781467308205"</f>
        <v>9781467308205</v>
      </c>
      <c r="C3025" s="8" t="s">
        <v>9</v>
      </c>
    </row>
    <row r="3026" spans="1:3" x14ac:dyDescent="0.25">
      <c r="A3026" s="8" t="str">
        <f>"2012 IEEE Global High Tech Congress on Electronics, GHTCE 2012"</f>
        <v>2012 IEEE Global High Tech Congress on Electronics, GHTCE 2012</v>
      </c>
      <c r="B3026" s="8" t="str">
        <f>"9781467350853"</f>
        <v>9781467350853</v>
      </c>
      <c r="C3026" s="8" t="s">
        <v>9</v>
      </c>
    </row>
    <row r="3027" spans="1:3" x14ac:dyDescent="0.25">
      <c r="A3027" s="8" t="str">
        <f>"2012 IEEE Globecom Workshops, GC Wkshps 2012"</f>
        <v>2012 IEEE Globecom Workshops, GC Wkshps 2012</v>
      </c>
      <c r="B3027" s="8" t="str">
        <f>"9781467349413"</f>
        <v>9781467349413</v>
      </c>
      <c r="C3027" s="8" t="s">
        <v>9</v>
      </c>
    </row>
    <row r="3028" spans="1:3" x14ac:dyDescent="0.25">
      <c r="A3028" s="8" t="str">
        <f>"2012 IEEE Green Technologies Conference"</f>
        <v>2012 IEEE Green Technologies Conference</v>
      </c>
      <c r="B3028" s="8" t="str">
        <f>"9781467309677"</f>
        <v>9781467309677</v>
      </c>
      <c r="C3028" s="8" t="s">
        <v>9</v>
      </c>
    </row>
    <row r="3029" spans="1:3" x14ac:dyDescent="0.25">
      <c r="A3029" s="8" t="str">
        <f>"2012 IEEE I2MTC - International Instrumentation and Measurement Technology Conference, Proceedings"</f>
        <v>2012 IEEE I2MTC - International Instrumentation and Measurement Technology Conference, Proceedings</v>
      </c>
      <c r="B3029" s="8" t="str">
        <f>"9781457717710"</f>
        <v>9781457717710</v>
      </c>
      <c r="C3029" s="8" t="s">
        <v>9</v>
      </c>
    </row>
    <row r="3030" spans="1:3" x14ac:dyDescent="0.25">
      <c r="A3030" s="8" t="str">
        <f>"2012 IEEE Information Theory Workshop, ITW 2012"</f>
        <v>2012 IEEE Information Theory Workshop, ITW 2012</v>
      </c>
      <c r="B3030" s="8" t="str">
        <f>"9781467302234"</f>
        <v>9781467302234</v>
      </c>
      <c r="C3030" s="8" t="s">
        <v>9</v>
      </c>
    </row>
    <row r="3031" spans="1:3" x14ac:dyDescent="0.25">
      <c r="A3031" s="8" t="str">
        <f>"2012 IEEE Innovative Smart Grid Technologies - Asia, ISGT Asia 2012"</f>
        <v>2012 IEEE Innovative Smart Grid Technologies - Asia, ISGT Asia 2012</v>
      </c>
      <c r="B3031" s="8" t="str">
        <f>"9781467312219"</f>
        <v>9781467312219</v>
      </c>
      <c r="C3031" s="8" t="s">
        <v>9</v>
      </c>
    </row>
    <row r="3032" spans="1:3" x14ac:dyDescent="0.25">
      <c r="A3032" s="8" t="str">
        <f>"2012 IEEE International Conference on Advanced Networks and Telecommunciations Systems, ANTS 2012"</f>
        <v>2012 IEEE International Conference on Advanced Networks and Telecommunciations Systems, ANTS 2012</v>
      </c>
      <c r="B3032" s="8" t="str">
        <f>"9781467351324"</f>
        <v>9781467351324</v>
      </c>
      <c r="C3032" s="8" t="s">
        <v>9</v>
      </c>
    </row>
    <row r="3033" spans="1:3" x14ac:dyDescent="0.25">
      <c r="A3033" s="8" t="str">
        <f>"2012 IEEE International Conference on Automation, Quality and Testing, Robotics, AQTR 2012 - Proceedings"</f>
        <v>2012 IEEE International Conference on Automation, Quality and Testing, Robotics, AQTR 2012 - Proceedings</v>
      </c>
      <c r="B3033" s="8" t="str">
        <f>"9781467307024"</f>
        <v>9781467307024</v>
      </c>
      <c r="C3033" s="8" t="s">
        <v>9</v>
      </c>
    </row>
    <row r="3034" spans="1:3" x14ac:dyDescent="0.25">
      <c r="A3034" s="8" t="str">
        <f>"2012 IEEE International Conference on Communication Systems, ICCS 2012"</f>
        <v>2012 IEEE International Conference on Communication Systems, ICCS 2012</v>
      </c>
      <c r="B3034" s="8" t="str">
        <f>"9781467320542"</f>
        <v>9781467320542</v>
      </c>
      <c r="C3034" s="8" t="s">
        <v>9</v>
      </c>
    </row>
    <row r="3035" spans="1:3" x14ac:dyDescent="0.25">
      <c r="A3035" s="8" t="str">
        <f>"2012 IEEE International Conference on Computational Intelligence and Computing Research, ICCIC 2012"</f>
        <v>2012 IEEE International Conference on Computational Intelligence and Computing Research, ICCIC 2012</v>
      </c>
      <c r="B3035" s="8" t="str">
        <f>"9781467324816"</f>
        <v>9781467324816</v>
      </c>
      <c r="C3035" s="8" t="s">
        <v>9</v>
      </c>
    </row>
    <row r="3036" spans="1:3" x14ac:dyDescent="0.25">
      <c r="A3036" s="8" t="str">
        <f>"2012 IEEE International Conference on Computational Photography, ICCP 2012"</f>
        <v>2012 IEEE International Conference on Computational Photography, ICCP 2012</v>
      </c>
      <c r="B3036" s="8" t="str">
        <f>"9781467316613"</f>
        <v>9781467316613</v>
      </c>
      <c r="C3036" s="8" t="s">
        <v>9</v>
      </c>
    </row>
    <row r="3037" spans="1:3" x14ac:dyDescent="0.25">
      <c r="A3037" s="8" t="str">
        <f>"2012 IEEE International Conference on Development and Learning and Epigenetic Robotics, ICDL 2012"</f>
        <v>2012 IEEE International Conference on Development and Learning and Epigenetic Robotics, ICDL 2012</v>
      </c>
      <c r="B3037" s="8" t="str">
        <f>"9781467349635"</f>
        <v>9781467349635</v>
      </c>
      <c r="C3037" s="8" t="s">
        <v>9</v>
      </c>
    </row>
    <row r="3038" spans="1:3" x14ac:dyDescent="0.25">
      <c r="A3038" s="8" t="str">
        <f>"2012 IEEE International Conference on Electron Devices and Solid State Circuit, EDSSC 2012"</f>
        <v>2012 IEEE International Conference on Electron Devices and Solid State Circuit, EDSSC 2012</v>
      </c>
      <c r="B3038" s="8" t="str">
        <f>"9781467356961"</f>
        <v>9781467356961</v>
      </c>
      <c r="C3038" s="8" t="s">
        <v>9</v>
      </c>
    </row>
    <row r="3039" spans="1:3" x14ac:dyDescent="0.25">
      <c r="A3039" s="8" t="str">
        <f>"2012 IEEE International Conference on Emerging Signal Processing Applications, ESPA 2012 - Proceedings"</f>
        <v>2012 IEEE International Conference on Emerging Signal Processing Applications, ESPA 2012 - Proceedings</v>
      </c>
      <c r="B3039" s="8" t="str">
        <f>"9781467308984"</f>
        <v>9781467308984</v>
      </c>
      <c r="C3039" s="8" t="s">
        <v>9</v>
      </c>
    </row>
    <row r="3040" spans="1:3" x14ac:dyDescent="0.25">
      <c r="A3040" s="8" t="str">
        <f>"2012 IEEE International Conference on Industrial Technology, ICIT 2012, Proceedings"</f>
        <v>2012 IEEE International Conference on Industrial Technology, ICIT 2012, Proceedings</v>
      </c>
      <c r="B3040" s="8" t="str">
        <f>"9781467303422"</f>
        <v>9781467303422</v>
      </c>
      <c r="C3040" s="8" t="s">
        <v>9</v>
      </c>
    </row>
    <row r="3041" spans="1:3" x14ac:dyDescent="0.25">
      <c r="A3041" s="8" t="str">
        <f>"2012 IEEE International Conference on Information and Automation, ICIA 2012"</f>
        <v>2012 IEEE International Conference on Information and Automation, ICIA 2012</v>
      </c>
      <c r="B3041" s="8" t="str">
        <f>"9781467322386"</f>
        <v>9781467322386</v>
      </c>
      <c r="C3041" s="8" t="s">
        <v>9</v>
      </c>
    </row>
    <row r="3042" spans="1:3" x14ac:dyDescent="0.25">
      <c r="A3042" s="8" t="str">
        <f>"2012 IEEE International Conference on Mechatronics and Automation, ICMA 2012"</f>
        <v>2012 IEEE International Conference on Mechatronics and Automation, ICMA 2012</v>
      </c>
      <c r="B3042" s="8" t="str">
        <f>"9781467312776"</f>
        <v>9781467312776</v>
      </c>
      <c r="C3042" s="8" t="s">
        <v>9</v>
      </c>
    </row>
    <row r="3043" spans="1:3" x14ac:dyDescent="0.25">
      <c r="A3043" s="8" t="str">
        <f>"2012 IEEE International Conference on Pervasive Computing and Communications Workshops, PERCOM Workshops 2012"</f>
        <v>2012 IEEE International Conference on Pervasive Computing and Communications Workshops, PERCOM Workshops 2012</v>
      </c>
      <c r="B3043" s="8" t="str">
        <f>"9781467309073"</f>
        <v>9781467309073</v>
      </c>
      <c r="C3043" s="8" t="s">
        <v>9</v>
      </c>
    </row>
    <row r="3044" spans="1:3" x14ac:dyDescent="0.25">
      <c r="A3044" s="8" t="str">
        <f>"2012 IEEE International Conference on Pervasive Computing and Communications, PerCom 2012"</f>
        <v>2012 IEEE International Conference on Pervasive Computing and Communications, PerCom 2012</v>
      </c>
      <c r="B3044" s="8" t="str">
        <f>"9781467302586"</f>
        <v>9781467302586</v>
      </c>
      <c r="C3044" s="8" t="s">
        <v>9</v>
      </c>
    </row>
    <row r="3045" spans="1:3" x14ac:dyDescent="0.25">
      <c r="A3045" s="8" t="str">
        <f>"2012 IEEE International Conference on Power System Technology, POWERCON 2012"</f>
        <v>2012 IEEE International Conference on Power System Technology, POWERCON 2012</v>
      </c>
      <c r="B3045" s="8" t="str">
        <f>"9781467328685"</f>
        <v>9781467328685</v>
      </c>
      <c r="C3045" s="8" t="s">
        <v>9</v>
      </c>
    </row>
    <row r="3046" spans="1:3" x14ac:dyDescent="0.25">
      <c r="A3046" s="8" t="str">
        <f>"2012 IEEE International Conference on RFID, RFID 2012"</f>
        <v>2012 IEEE International Conference on RFID, RFID 2012</v>
      </c>
      <c r="B3046" s="8" t="str">
        <f>"9781467303286"</f>
        <v>9781467303286</v>
      </c>
      <c r="C3046" s="8" t="s">
        <v>9</v>
      </c>
    </row>
    <row r="3047" spans="1:3" x14ac:dyDescent="0.25">
      <c r="A3047" s="8" t="str">
        <f>"2012 IEEE International Conference on RFID-Technologies and Applications, RFID-TA 2012"</f>
        <v>2012 IEEE International Conference on RFID-Technologies and Applications, RFID-TA 2012</v>
      </c>
      <c r="B3047" s="8" t="str">
        <f>"9781467346566"</f>
        <v>9781467346566</v>
      </c>
      <c r="C3047" s="8" t="s">
        <v>9</v>
      </c>
    </row>
    <row r="3048" spans="1:3" x14ac:dyDescent="0.25">
      <c r="A3048" s="8" t="str">
        <f>"2012 IEEE International Conference on Robotics and Biomimetics, ROBIO 2012 - Conference Digest"</f>
        <v>2012 IEEE International Conference on Robotics and Biomimetics, ROBIO 2012 - Conference Digest</v>
      </c>
      <c r="B3048" s="8" t="str">
        <f>"9781467321273"</f>
        <v>9781467321273</v>
      </c>
      <c r="C3048" s="8" t="s">
        <v>9</v>
      </c>
    </row>
    <row r="3049" spans="1:3" x14ac:dyDescent="0.25">
      <c r="A3049" s="8" t="str">
        <f>"2012 IEEE International Conference on Signal Processing, Communications and Computing, ICSPCC 2012"</f>
        <v>2012 IEEE International Conference on Signal Processing, Communications and Computing, ICSPCC 2012</v>
      </c>
      <c r="B3049" s="8" t="str">
        <f>"9781467321938"</f>
        <v>9781467321938</v>
      </c>
      <c r="C3049" s="8" t="s">
        <v>9</v>
      </c>
    </row>
    <row r="3050" spans="1:3" x14ac:dyDescent="0.25">
      <c r="A3050" s="8" t="str">
        <f>"2012 IEEE International Conference on Signal Processing, Computing and Control, ISPCC 2012"</f>
        <v>2012 IEEE International Conference on Signal Processing, Computing and Control, ISPCC 2012</v>
      </c>
      <c r="B3050" s="8" t="str">
        <f>"9781467313179"</f>
        <v>9781467313179</v>
      </c>
      <c r="C3050" s="8" t="s">
        <v>9</v>
      </c>
    </row>
    <row r="3051" spans="1:3" x14ac:dyDescent="0.25">
      <c r="A3051" s="8" t="str">
        <f>"2012 IEEE International Conference on Smart Grid Engineering, SGE 2012"</f>
        <v>2012 IEEE International Conference on Smart Grid Engineering, SGE 2012</v>
      </c>
      <c r="B3051" s="8" t="str">
        <f>"9781467344579"</f>
        <v>9781467344579</v>
      </c>
      <c r="C3051" s="8" t="s">
        <v>9</v>
      </c>
    </row>
    <row r="3052" spans="1:3" x14ac:dyDescent="0.25">
      <c r="A3052" s="8" t="str">
        <f>"2012 IEEE International Conference on Technologies for Homeland Security, HST 2012"</f>
        <v>2012 IEEE International Conference on Technologies for Homeland Security, HST 2012</v>
      </c>
      <c r="B3052" s="8" t="str">
        <f>"9781467327084"</f>
        <v>9781467327084</v>
      </c>
      <c r="C3052" s="8" t="s">
        <v>9</v>
      </c>
    </row>
    <row r="3053" spans="1:3" x14ac:dyDescent="0.25">
      <c r="A3053" s="8" t="str">
        <f>"2012 IEEE International Conference on Vehicular Electronics and Safety, ICVES 2012"</f>
        <v>2012 IEEE International Conference on Vehicular Electronics and Safety, ICVES 2012</v>
      </c>
      <c r="B3053" s="8" t="str">
        <f>"9781467309929"</f>
        <v>9781467309929</v>
      </c>
      <c r="C3053" s="8" t="s">
        <v>9</v>
      </c>
    </row>
    <row r="3054" spans="1:3" x14ac:dyDescent="0.25">
      <c r="A3054" s="8" t="str">
        <f>"2012 IEEE International Conference on Wireless Information Technology and Systems, ICWITS 2012"</f>
        <v>2012 IEEE International Conference on Wireless Information Technology and Systems, ICWITS 2012</v>
      </c>
      <c r="B3054" s="8" t="str">
        <f>"9781467309486"</f>
        <v>9781467309486</v>
      </c>
      <c r="C3054" s="8" t="s">
        <v>9</v>
      </c>
    </row>
    <row r="3055" spans="1:3" x14ac:dyDescent="0.25">
      <c r="A3055" s="8" t="str">
        <f>"2012 IEEE International Electric Vehicle Conference, IEVC 2012"</f>
        <v>2012 IEEE International Electric Vehicle Conference, IEVC 2012</v>
      </c>
      <c r="B3055" s="8" t="str">
        <f>"9781467315623"</f>
        <v>9781467315623</v>
      </c>
      <c r="C3055" s="8" t="s">
        <v>9</v>
      </c>
    </row>
    <row r="3056" spans="1:3" x14ac:dyDescent="0.25">
      <c r="A3056" s="8" t="str">
        <f>"2012 IEEE International Energy Conference and Exhibition, ENERGYCON 2012"</f>
        <v>2012 IEEE International Energy Conference and Exhibition, ENERGYCON 2012</v>
      </c>
      <c r="B3056" s="8" t="str">
        <f>"9781467314541"</f>
        <v>9781467314541</v>
      </c>
      <c r="C3056" s="8" t="s">
        <v>9</v>
      </c>
    </row>
    <row r="3057" spans="1:3" x14ac:dyDescent="0.25">
      <c r="A3057" s="8" t="str">
        <f>"2012 IEEE International Frequency Control Symposium, IFCS 2012, Proceedings"</f>
        <v>2012 IEEE International Frequency Control Symposium, IFCS 2012, Proceedings</v>
      </c>
      <c r="B3057" s="8" t="str">
        <f>"9781457718199"</f>
        <v>9781457718199</v>
      </c>
      <c r="C3057" s="8" t="s">
        <v>9</v>
      </c>
    </row>
    <row r="3058" spans="1:3" x14ac:dyDescent="0.25">
      <c r="A3058" s="8" t="str">
        <f>"2012 IEEE International Interconnect Technology Conference, IITC 2012"</f>
        <v>2012 IEEE International Interconnect Technology Conference, IITC 2012</v>
      </c>
      <c r="B3058" s="8" t="str">
        <f>"9781467311380"</f>
        <v>9781467311380</v>
      </c>
      <c r="C3058" s="8" t="s">
        <v>9</v>
      </c>
    </row>
    <row r="3059" spans="1:3" x14ac:dyDescent="0.25">
      <c r="A3059" s="8" t="str">
        <f>"2012 IEEE International Multi-Disciplinary Conference on Cognitive Methods in Situation Awareness and Decision Support, CogSIMA 2012"</f>
        <v>2012 IEEE International Multi-Disciplinary Conference on Cognitive Methods in Situation Awareness and Decision Support, CogSIMA 2012</v>
      </c>
      <c r="B3059" s="8" t="str">
        <f>"9781467303453"</f>
        <v>9781467303453</v>
      </c>
      <c r="C3059" s="8" t="s">
        <v>9</v>
      </c>
    </row>
    <row r="3060" spans="1:3" x14ac:dyDescent="0.25">
      <c r="A3060" s="8" t="str">
        <f>"2012 IEEE International Power Engineering and Optimization Conference, PEOCO 2012 - Conference Proceedings"</f>
        <v>2012 IEEE International Power Engineering and Optimization Conference, PEOCO 2012 - Conference Proceedings</v>
      </c>
      <c r="B3060" s="8" t="str">
        <f>"9781467306614"</f>
        <v>9781467306614</v>
      </c>
      <c r="C3060" s="8" t="s">
        <v>9</v>
      </c>
    </row>
    <row r="3061" spans="1:3" x14ac:dyDescent="0.25">
      <c r="A3061" s="8" t="str">
        <f>"2012 IEEE International Symposium on a World of Wireless, Mobile and Multimedia Networks, WoWMoM 2012 - Digital Proceedings"</f>
        <v>2012 IEEE International Symposium on a World of Wireless, Mobile and Multimedia Networks, WoWMoM 2012 - Digital Proceedings</v>
      </c>
      <c r="B3061" s="8" t="str">
        <f>"9781467312394"</f>
        <v>9781467312394</v>
      </c>
      <c r="C3061" s="8" t="s">
        <v>9</v>
      </c>
    </row>
    <row r="3062" spans="1:3" x14ac:dyDescent="0.25">
      <c r="A3062" s="8" t="str">
        <f>"2012 IEEE International Symposium on Alternative Energies and Energy Quality, SIFAE 2012 - Conference Proceedings"</f>
        <v>2012 IEEE International Symposium on Alternative Energies and Energy Quality, SIFAE 2012 - Conference Proceedings</v>
      </c>
      <c r="B3062" s="8" t="str">
        <f>"9781467346559"</f>
        <v>9781467346559</v>
      </c>
      <c r="C3062" s="8" t="s">
        <v>9</v>
      </c>
    </row>
    <row r="3063" spans="1:3" x14ac:dyDescent="0.25">
      <c r="A3063" s="8" t="str">
        <f>"2012 IEEE International Symposium on Dynamic Spectrum Access Networks, DYSPAN 2012"</f>
        <v>2012 IEEE International Symposium on Dynamic Spectrum Access Networks, DYSPAN 2012</v>
      </c>
      <c r="B3063" s="8" t="str">
        <f>"9781467344487"</f>
        <v>9781467344487</v>
      </c>
      <c r="C3063" s="8" t="s">
        <v>9</v>
      </c>
    </row>
    <row r="3064" spans="1:3" x14ac:dyDescent="0.25">
      <c r="A3064" s="8" t="str">
        <f>"2012 IEEE International Symposium on Power Line Communications and Its Applications, ISPLC 2012"</f>
        <v>2012 IEEE International Symposium on Power Line Communications and Its Applications, ISPLC 2012</v>
      </c>
      <c r="B3064" s="8" t="str">
        <f>"9781467303590"</f>
        <v>9781467303590</v>
      </c>
      <c r="C3064" s="8" t="s">
        <v>9</v>
      </c>
    </row>
    <row r="3065" spans="1:3" x14ac:dyDescent="0.25">
      <c r="A3065" s="8" t="str">
        <f>"2012 IEEE International Symposium on Robotic and Sensors Environments, ROSE 2012 - Proceedings"</f>
        <v>2012 IEEE International Symposium on Robotic and Sensors Environments, ROSE 2012 - Proceedings</v>
      </c>
      <c r="B3065" s="8" t="str">
        <f>"9781467327046"</f>
        <v>9781467327046</v>
      </c>
      <c r="C3065" s="8" t="s">
        <v>9</v>
      </c>
    </row>
    <row r="3066" spans="1:3" x14ac:dyDescent="0.25">
      <c r="A3066" s="8" t="str">
        <f>"2012 IEEE International Symposium on Safety, Security, and Rescue Robotics, SSRR 2012"</f>
        <v>2012 IEEE International Symposium on Safety, Security, and Rescue Robotics, SSRR 2012</v>
      </c>
      <c r="B3066" s="8" t="str">
        <f>"9781479901654"</f>
        <v>9781479901654</v>
      </c>
      <c r="C3066" s="8" t="s">
        <v>9</v>
      </c>
    </row>
    <row r="3067" spans="1:3" x14ac:dyDescent="0.25">
      <c r="A3067" s="8" t="str">
        <f>"2012 IEEE International Symposium on Signal Processing and Information Technology, ISSPIT 2012"</f>
        <v>2012 IEEE International Symposium on Signal Processing and Information Technology, ISSPIT 2012</v>
      </c>
      <c r="B3067" s="8" t="str">
        <f>"9781467356060"</f>
        <v>9781467356060</v>
      </c>
      <c r="C3067" s="8" t="s">
        <v>9</v>
      </c>
    </row>
    <row r="3068" spans="1:3" x14ac:dyDescent="0.25">
      <c r="A3068" s="8" t="str">
        <f>"2012 IEEE International Technology Management Conference, ITMC 2012"</f>
        <v>2012 IEEE International Technology Management Conference, ITMC 2012</v>
      </c>
      <c r="B3068" s="8" t="str">
        <f>"9781467321334"</f>
        <v>9781467321334</v>
      </c>
      <c r="C3068" s="8" t="s">
        <v>9</v>
      </c>
    </row>
    <row r="3069" spans="1:3" x14ac:dyDescent="0.25">
      <c r="A3069" s="8" t="str">
        <f>"2012 IEEE International Topical Meeting on Microwave Photonics, MWP 2012 - Proceedings"</f>
        <v>2012 IEEE International Topical Meeting on Microwave Photonics, MWP 2012 - Proceedings</v>
      </c>
      <c r="B3069" s="8" t="str">
        <f>"9781467328630"</f>
        <v>9781467328630</v>
      </c>
      <c r="C3069" s="8" t="s">
        <v>9</v>
      </c>
    </row>
    <row r="3070" spans="1:3" x14ac:dyDescent="0.25">
      <c r="A3070" s="8" t="str">
        <f>"2012 IEEE International Workshop on Antenna Technology, iWAT 2012"</f>
        <v>2012 IEEE International Workshop on Antenna Technology, iWAT 2012</v>
      </c>
      <c r="B3070" s="8" t="str">
        <f>"9781467300360"</f>
        <v>9781467300360</v>
      </c>
      <c r="C3070" s="8" t="s">
        <v>9</v>
      </c>
    </row>
    <row r="3071" spans="1:3" x14ac:dyDescent="0.25">
      <c r="A3071" s="8" t="str">
        <f>"2012 IEEE International Workshop on Applied Measurements for Power Systems, AMPS 2012 Proceedings"</f>
        <v>2012 IEEE International Workshop on Applied Measurements for Power Systems, AMPS 2012 Proceedings</v>
      </c>
      <c r="B3071" s="8" t="str">
        <f>"9781467315395"</f>
        <v>9781467315395</v>
      </c>
      <c r="C3071" s="8" t="s">
        <v>9</v>
      </c>
    </row>
    <row r="3072" spans="1:3" x14ac:dyDescent="0.25">
      <c r="A3072" s="8" t="str">
        <f>"2012 IEEE International Workshop on Electromagnetics: Applications and Student Innovation Competition, iWEM 2012"</f>
        <v>2012 IEEE International Workshop on Electromagnetics: Applications and Student Innovation Competition, iWEM 2012</v>
      </c>
      <c r="B3072" s="8" t="str">
        <f>"9781467329996"</f>
        <v>9781467329996</v>
      </c>
      <c r="C3072" s="8" t="s">
        <v>9</v>
      </c>
    </row>
    <row r="3073" spans="1:3" x14ac:dyDescent="0.25">
      <c r="A3073" s="8" t="str">
        <f>"2012 IEEE International Workshop Technical Committee on Communications Quality and Reliability, CQR 2012"</f>
        <v>2012 IEEE International Workshop Technical Committee on Communications Quality and Reliability, CQR 2012</v>
      </c>
      <c r="B3073" s="8" t="str">
        <f>"9781467318617"</f>
        <v>9781467318617</v>
      </c>
      <c r="C3073" s="8" t="s">
        <v>9</v>
      </c>
    </row>
    <row r="3074" spans="1:3" x14ac:dyDescent="0.25">
      <c r="A3074" s="8" t="str">
        <f>"2012 IEEE Latin-America Conference on Communications, LATINCOM 2012 - Conference Proceedings"</f>
        <v>2012 IEEE Latin-America Conference on Communications, LATINCOM 2012 - Conference Proceedings</v>
      </c>
      <c r="B3074" s="8" t="str">
        <f>"9781467350808"</f>
        <v>9781467350808</v>
      </c>
      <c r="C3074" s="8" t="s">
        <v>9</v>
      </c>
    </row>
    <row r="3075" spans="1:3" x14ac:dyDescent="0.25">
      <c r="A3075" s="8" t="str">
        <f>"2012 IEEE Long Island Systems, Applications and Technology Conference, LISAT 2012"</f>
        <v>2012 IEEE Long Island Systems, Applications and Technology Conference, LISAT 2012</v>
      </c>
      <c r="B3075" s="8" t="str">
        <f>"9781457713439"</f>
        <v>9781457713439</v>
      </c>
      <c r="C3075" s="8" t="s">
        <v>9</v>
      </c>
    </row>
    <row r="3076" spans="1:3" x14ac:dyDescent="0.25">
      <c r="A3076" s="8" t="str">
        <f>"2012 IEEE MTT-S International Microwave Workshop Series on Innovative Wireless Power Transmission: Technologies, Systems, and Applications, IMWS-IWPT 2012 - Proceedings"</f>
        <v>2012 IEEE MTT-S International Microwave Workshop Series on Innovative Wireless Power Transmission: Technologies, Systems, and Applications, IMWS-IWPT 2012 - Proceedings</v>
      </c>
      <c r="B3076" s="8" t="str">
        <f>"9781467317788"</f>
        <v>9781467317788</v>
      </c>
      <c r="C3076" s="8" t="s">
        <v>9</v>
      </c>
    </row>
    <row r="3077" spans="1:3" x14ac:dyDescent="0.25">
      <c r="A3077" s="8" t="str">
        <f>"2012 IEEE Multi-Conference on Systems and Control, MSC 2012"</f>
        <v>2012 IEEE Multi-Conference on Systems and Control, MSC 2012</v>
      </c>
      <c r="B3077" s="8" t="str">
        <f>"9781467345989"</f>
        <v>9781467345989</v>
      </c>
      <c r="C3077" s="8" t="s">
        <v>9</v>
      </c>
    </row>
    <row r="3078" spans="1:3" x14ac:dyDescent="0.25">
      <c r="A3078" s="8" t="str">
        <f>"2012 IEEE Nanotechnology Materials and Devices Conference, IEEE NMDC 2012"</f>
        <v>2012 IEEE Nanotechnology Materials and Devices Conference, IEEE NMDC 2012</v>
      </c>
      <c r="B3078" s="8" t="str">
        <f>"9781467328708"</f>
        <v>9781467328708</v>
      </c>
      <c r="C3078" s="8" t="s">
        <v>9</v>
      </c>
    </row>
    <row r="3079" spans="1:3" x14ac:dyDescent="0.25">
      <c r="A3079" s="8" t="str">
        <f>"2012 IEEE Online Conference on Green Communications, GreenCom 2012"</f>
        <v>2012 IEEE Online Conference on Green Communications, GreenCom 2012</v>
      </c>
      <c r="B3079" s="8" t="str">
        <f>"9781479903962"</f>
        <v>9781479903962</v>
      </c>
      <c r="C3079" s="8" t="s">
        <v>9</v>
      </c>
    </row>
    <row r="3080" spans="1:3" x14ac:dyDescent="0.25">
      <c r="A3080" s="8" t="str">
        <f>"2012 IEEE PES Innovative Smart Grid Technologies, ISGT 2012"</f>
        <v>2012 IEEE PES Innovative Smart Grid Technologies, ISGT 2012</v>
      </c>
      <c r="B3080" s="8" t="str">
        <f>"9781457721588"</f>
        <v>9781457721588</v>
      </c>
      <c r="C3080" s="8" t="s">
        <v>9</v>
      </c>
    </row>
    <row r="3081" spans="1:3" x14ac:dyDescent="0.25">
      <c r="A3081" s="8" t="str">
        <f>"2012 IEEE Photonics Conference, IPC 2012"</f>
        <v>2012 IEEE Photonics Conference, IPC 2012</v>
      </c>
      <c r="B3081" s="8" t="str">
        <f>"9781457707315"</f>
        <v>9781457707315</v>
      </c>
      <c r="C3081" s="8" t="s">
        <v>9</v>
      </c>
    </row>
    <row r="3082" spans="1:3" x14ac:dyDescent="0.25">
      <c r="A3082" s="8" t="str">
        <f>"2012 IEEE Photonics Society Summer Topical Meeting Series, PSST 2012"</f>
        <v>2012 IEEE Photonics Society Summer Topical Meeting Series, PSST 2012</v>
      </c>
      <c r="B3082" s="8" t="str">
        <f>"9781457715266"</f>
        <v>9781457715266</v>
      </c>
      <c r="C3082" s="8" t="s">
        <v>9</v>
      </c>
    </row>
    <row r="3083" spans="1:3" x14ac:dyDescent="0.25">
      <c r="A3083" s="8" t="str">
        <f>"2012 IEEE Power and Energy Conference at Illinois, PECI 2012"</f>
        <v>2012 IEEE Power and Energy Conference at Illinois, PECI 2012</v>
      </c>
      <c r="B3083" s="8" t="str">
        <f>"9781457716836"</f>
        <v>9781457716836</v>
      </c>
      <c r="C3083" s="8" t="s">
        <v>9</v>
      </c>
    </row>
    <row r="3084" spans="1:3" x14ac:dyDescent="0.25">
      <c r="A3084" s="8" t="str">
        <f>"2012 IEEE RIVF International Conference on Computing and Communication Technologies, Research, Innovation, and Vision for the Future, RIVF 2012"</f>
        <v>2012 IEEE RIVF International Conference on Computing and Communication Technologies, Research, Innovation, and Vision for the Future, RIVF 2012</v>
      </c>
      <c r="B3084" s="8" t="str">
        <f>"9781467303088"</f>
        <v>9781467303088</v>
      </c>
      <c r="C3084" s="8" t="s">
        <v>9</v>
      </c>
    </row>
    <row r="3085" spans="1:3" x14ac:dyDescent="0.25">
      <c r="A3085" s="8" t="str">
        <f>"2012 IEEE Sensors Applications Symposium, SAS 2012 - Proceedings"</f>
        <v>2012 IEEE Sensors Applications Symposium, SAS 2012 - Proceedings</v>
      </c>
      <c r="B3085" s="8" t="str">
        <f>"9781457717239"</f>
        <v>9781457717239</v>
      </c>
      <c r="C3085" s="8" t="s">
        <v>9</v>
      </c>
    </row>
    <row r="3086" spans="1:3" x14ac:dyDescent="0.25">
      <c r="A3086" s="8" t="str">
        <f>"2012 IEEE Signal Processing in Medicine and Biology Symposium, SPMB 2012"</f>
        <v>2012 IEEE Signal Processing in Medicine and Biology Symposium, SPMB 2012</v>
      </c>
      <c r="B3086" s="8" t="str">
        <f>"9781467356664"</f>
        <v>9781467356664</v>
      </c>
      <c r="C3086" s="8" t="s">
        <v>9</v>
      </c>
    </row>
    <row r="3087" spans="1:3" x14ac:dyDescent="0.25">
      <c r="A3087" s="8" t="str">
        <f>"2012 IEEE Silicon Nanoelectronics Workshop, SNW 2012"</f>
        <v>2012 IEEE Silicon Nanoelectronics Workshop, SNW 2012</v>
      </c>
      <c r="B3087" s="8" t="str">
        <f>"9781467309943"</f>
        <v>9781467309943</v>
      </c>
      <c r="C3087" s="8" t="s">
        <v>9</v>
      </c>
    </row>
    <row r="3088" spans="1:3" x14ac:dyDescent="0.25">
      <c r="A3088" s="8" t="str">
        <f>"2012 IEEE Statistical Signal Processing Workshop, SSP 2012"</f>
        <v>2012 IEEE Statistical Signal Processing Workshop, SSP 2012</v>
      </c>
      <c r="B3088" s="8" t="str">
        <f>"9781467301831"</f>
        <v>9781467301831</v>
      </c>
      <c r="C3088" s="8" t="s">
        <v>9</v>
      </c>
    </row>
    <row r="3089" spans="1:3" x14ac:dyDescent="0.25">
      <c r="A3089" s="8" t="str">
        <f>"2012 IEEE Students' Conference on Electrical, Electronics and Computer Science: Innovation for Humanity, SCEECS 2012"</f>
        <v>2012 IEEE Students' Conference on Electrical, Electronics and Computer Science: Innovation for Humanity, SCEECS 2012</v>
      </c>
      <c r="B3089" s="8" t="str">
        <f>"9781467315159"</f>
        <v>9781467315159</v>
      </c>
      <c r="C3089" s="8" t="s">
        <v>21</v>
      </c>
    </row>
    <row r="3090" spans="1:3" x14ac:dyDescent="0.25">
      <c r="A3090" s="8" t="str">
        <f>"2012 IEEE Subthreshold Microelectronics Conference, SubVT 2012"</f>
        <v>2012 IEEE Subthreshold Microelectronics Conference, SubVT 2012</v>
      </c>
      <c r="B3090" s="8" t="str">
        <f>"9781467315876"</f>
        <v>9781467315876</v>
      </c>
      <c r="C3090" s="8" t="s">
        <v>9</v>
      </c>
    </row>
    <row r="3091" spans="1:3" x14ac:dyDescent="0.25">
      <c r="A3091" s="8" t="str">
        <f>"2012 IEEE Symposium on Computational Intelligence and Computational Biology, CIBCB 2012"</f>
        <v>2012 IEEE Symposium on Computational Intelligence and Computational Biology, CIBCB 2012</v>
      </c>
      <c r="B3091" s="8" t="str">
        <f>"9781467311892"</f>
        <v>9781467311892</v>
      </c>
      <c r="C3091" s="8" t="s">
        <v>9</v>
      </c>
    </row>
    <row r="3092" spans="1:3" x14ac:dyDescent="0.25">
      <c r="A3092" s="8" t="str">
        <f>"2012 IEEE Symposium on Computational Intelligence for Security and Defence Applications, CISDA 2012"</f>
        <v>2012 IEEE Symposium on Computational Intelligence for Security and Defence Applications, CISDA 2012</v>
      </c>
      <c r="B3092" s="8" t="str">
        <f>"-"</f>
        <v>-</v>
      </c>
      <c r="C3092" s="8" t="s">
        <v>9</v>
      </c>
    </row>
    <row r="3093" spans="1:3" x14ac:dyDescent="0.25">
      <c r="A3093" s="8" t="str">
        <f>"2012 IEEE Symposium on Computers and Informatics, ISCI 2012"</f>
        <v>2012 IEEE Symposium on Computers and Informatics, ISCI 2012</v>
      </c>
      <c r="B3093" s="8" t="str">
        <f>"9781467316859"</f>
        <v>9781467316859</v>
      </c>
      <c r="C3093" s="8" t="s">
        <v>9</v>
      </c>
    </row>
    <row r="3094" spans="1:3" x14ac:dyDescent="0.25">
      <c r="A3094" s="8" t="str">
        <f>"2012 IEEE Symposium on E-Learning, E-Management and E-Services, IS3e 2012"</f>
        <v>2012 IEEE Symposium on E-Learning, E-Management and E-Services, IS3e 2012</v>
      </c>
      <c r="B3094" s="8" t="str">
        <f>"9781467323895"</f>
        <v>9781467323895</v>
      </c>
      <c r="C3094" s="8" t="s">
        <v>9</v>
      </c>
    </row>
    <row r="3095" spans="1:3" x14ac:dyDescent="0.25">
      <c r="A3095" s="8" t="str">
        <f>"2012 IEEE Symposium on Product Compliance Engineering, ISPCE 2012 - Proceedings"</f>
        <v>2012 IEEE Symposium on Product Compliance Engineering, ISPCE 2012 - Proceedings</v>
      </c>
      <c r="B3095" s="8" t="str">
        <f>"9781467310321"</f>
        <v>9781467310321</v>
      </c>
      <c r="C3095" s="8" t="s">
        <v>9</v>
      </c>
    </row>
    <row r="3096" spans="1:3" x14ac:dyDescent="0.25">
      <c r="A3096" s="8" t="str">
        <f>"2012 IEEE Systems and Information Engineering Design Symposium, SIEDS 2012"</f>
        <v>2012 IEEE Systems and Information Engineering Design Symposium, SIEDS 2012</v>
      </c>
      <c r="B3096" s="8" t="str">
        <f>"9781467312851"</f>
        <v>9781467312851</v>
      </c>
      <c r="C3096" s="8" t="s">
        <v>9</v>
      </c>
    </row>
    <row r="3097" spans="1:3" x14ac:dyDescent="0.25">
      <c r="A3097" s="8" t="str">
        <f>"2012 IEEE TCF Information Technology Professional Conference, TCF Pro IT 2012"</f>
        <v>2012 IEEE TCF Information Technology Professional Conference, TCF Pro IT 2012</v>
      </c>
      <c r="B3097" s="8" t="str">
        <f>"9781467316453"</f>
        <v>9781467316453</v>
      </c>
      <c r="C3097" s="8" t="s">
        <v>9</v>
      </c>
    </row>
    <row r="3098" spans="1:3" x14ac:dyDescent="0.25">
      <c r="A3098" s="8" t="str">
        <f>"2012 IEEE Transportation Electrification Conference and Expo, ITEC 2012"</f>
        <v>2012 IEEE Transportation Electrification Conference and Expo, ITEC 2012</v>
      </c>
      <c r="B3098" s="8" t="str">
        <f>"9781467314077"</f>
        <v>9781467314077</v>
      </c>
      <c r="C3098" s="8" t="s">
        <v>9</v>
      </c>
    </row>
    <row r="3099" spans="1:3" x14ac:dyDescent="0.25">
      <c r="A3099" s="8" t="str">
        <f>"2012 IEEE Vehicle Power and Propulsion Conference, VPPC 2012"</f>
        <v>2012 IEEE Vehicle Power and Propulsion Conference, VPPC 2012</v>
      </c>
      <c r="B3099" s="8" t="str">
        <f>"9781467309530"</f>
        <v>9781467309530</v>
      </c>
      <c r="C3099" s="8" t="s">
        <v>9</v>
      </c>
    </row>
    <row r="3100" spans="1:3" x14ac:dyDescent="0.25">
      <c r="A3100" s="8" t="str">
        <f>"2012 IEEE Visual Communications and Image Processing, VCIP 2012"</f>
        <v>2012 IEEE Visual Communications and Image Processing, VCIP 2012</v>
      </c>
      <c r="B3100" s="8" t="str">
        <f>"9781467344050"</f>
        <v>9781467344050</v>
      </c>
      <c r="C3100" s="8" t="s">
        <v>9</v>
      </c>
    </row>
    <row r="3101" spans="1:3" x14ac:dyDescent="0.25">
      <c r="A3101" s="8" t="str">
        <f>"2012 IEEE VR Workshop on Perceptual Illusions in Virtual Environments, PIVE 2012"</f>
        <v>2012 IEEE VR Workshop on Perceptual Illusions in Virtual Environments, PIVE 2012</v>
      </c>
      <c r="B3101" s="8" t="str">
        <f>"9781467312172"</f>
        <v>9781467312172</v>
      </c>
      <c r="C3101" s="8" t="s">
        <v>9</v>
      </c>
    </row>
    <row r="3102" spans="1:3" x14ac:dyDescent="0.25">
      <c r="A3102" s="8" t="str">
        <f>"2012 IEEE Wireless Communications and Networking Conference Workshops, WCNCW 2012"</f>
        <v>2012 IEEE Wireless Communications and Networking Conference Workshops, WCNCW 2012</v>
      </c>
      <c r="B3102" s="8" t="str">
        <f>"9781467306829"</f>
        <v>9781467306829</v>
      </c>
      <c r="C3102" s="8" t="s">
        <v>9</v>
      </c>
    </row>
    <row r="3103" spans="1:3" x14ac:dyDescent="0.25">
      <c r="A3103" s="8" t="str">
        <f>"2012 IEEE Workshop on Advanced Robotics and its Social Impacts, ARSO 2012"</f>
        <v>2012 IEEE Workshop on Advanced Robotics and its Social Impacts, ARSO 2012</v>
      </c>
      <c r="B3103" s="8" t="str">
        <f>"9781467304825"</f>
        <v>9781467304825</v>
      </c>
      <c r="C3103" s="8" t="s">
        <v>9</v>
      </c>
    </row>
    <row r="3104" spans="1:3" x14ac:dyDescent="0.25">
      <c r="A3104" s="8" t="str">
        <f>"2012 IEEE Workshop on Complexity in Engineering, COMPENG 2012 - Proceedings"</f>
        <v>2012 IEEE Workshop on Complexity in Engineering, COMPENG 2012 - Proceedings</v>
      </c>
      <c r="B3104" s="8" t="str">
        <f>"-"</f>
        <v>-</v>
      </c>
      <c r="C3104" s="8" t="s">
        <v>9</v>
      </c>
    </row>
    <row r="3105" spans="1:3" x14ac:dyDescent="0.25">
      <c r="A3105" s="8" t="str">
        <f>"2012 IEEE Workshop on Environmental, Energy, and Structural Monitoring Systems, EESMS 2012 - Proceedings"</f>
        <v>2012 IEEE Workshop on Environmental, Energy, and Structural Monitoring Systems, EESMS 2012 - Proceedings</v>
      </c>
      <c r="B3105" s="8" t="str">
        <f>"9781467327374"</f>
        <v>9781467327374</v>
      </c>
      <c r="C3105" s="8" t="s">
        <v>9</v>
      </c>
    </row>
    <row r="3106" spans="1:3" x14ac:dyDescent="0.25">
      <c r="A3106" s="8" t="str">
        <f>"2012 IEEE Workshop on Microelectronics and Electron Devices, WMED 2012"</f>
        <v>2012 IEEE Workshop on Microelectronics and Electron Devices, WMED 2012</v>
      </c>
      <c r="B3106" s="8" t="str">
        <f>"9781457717369"</f>
        <v>9781457717369</v>
      </c>
      <c r="C3106" s="8" t="s">
        <v>9</v>
      </c>
    </row>
    <row r="3107" spans="1:3" x14ac:dyDescent="0.25">
      <c r="A3107" s="8" t="str">
        <f>"2012 IEEE Workshop on Spoken Language Technology, SLT 2012 - Proceedings"</f>
        <v>2012 IEEE Workshop on Spoken Language Technology, SLT 2012 - Proceedings</v>
      </c>
      <c r="B3107" s="8" t="str">
        <f>"9781467351263"</f>
        <v>9781467351263</v>
      </c>
      <c r="C3107" s="8" t="s">
        <v>9</v>
      </c>
    </row>
    <row r="3108" spans="1:3" x14ac:dyDescent="0.25">
      <c r="A3108" s="8" t="str">
        <f>"2012 IEEE/OES Autonomous Underwater Vehicles, AUV 2012"</f>
        <v>2012 IEEE/OES Autonomous Underwater Vehicles, AUV 2012</v>
      </c>
      <c r="B3108" s="8" t="str">
        <f>"9781457720567"</f>
        <v>9781457720567</v>
      </c>
      <c r="C3108" s="8" t="s">
        <v>9</v>
      </c>
    </row>
    <row r="3109" spans="1:3" x14ac:dyDescent="0.25">
      <c r="A3109" s="8" t="str">
        <f>"2012 IEEE/SICE International Symposium on System Integration, SII 2012"</f>
        <v>2012 IEEE/SICE International Symposium on System Integration, SII 2012</v>
      </c>
      <c r="B3109" s="8" t="str">
        <f>"9781467314961"</f>
        <v>9781467314961</v>
      </c>
      <c r="C3109" s="8" t="s">
        <v>9</v>
      </c>
    </row>
    <row r="3110" spans="1:3" x14ac:dyDescent="0.25">
      <c r="A3110" s="8" t="str">
        <f>"2012 IEEE-EMBS Conference on Biomedical Engineering and Sciences, IECBES 2012"</f>
        <v>2012 IEEE-EMBS Conference on Biomedical Engineering and Sciences, IECBES 2012</v>
      </c>
      <c r="B3110" s="8" t="str">
        <f>"9781467316668"</f>
        <v>9781467316668</v>
      </c>
      <c r="C3110" s="8" t="s">
        <v>9</v>
      </c>
    </row>
    <row r="3111" spans="1:3" x14ac:dyDescent="0.25">
      <c r="A3111" s="8" t="str">
        <f>"2012 Imperial College Computing Student Workshop, ICCSW 2012"</f>
        <v>2012 Imperial College Computing Student Workshop, ICCSW 2012</v>
      </c>
      <c r="B3111" s="8" t="str">
        <f>"9783939897484"</f>
        <v>9783939897484</v>
      </c>
      <c r="C3111" s="8" t="s">
        <v>835</v>
      </c>
    </row>
    <row r="3112" spans="1:3" x14ac:dyDescent="0.25">
      <c r="A3112" s="8" t="str">
        <f>"2012 Information Security for South Africa - Proceedings of the ISSA 2012 Conference"</f>
        <v>2012 Information Security for South Africa - Proceedings of the ISSA 2012 Conference</v>
      </c>
      <c r="B3112" s="8" t="str">
        <f>"9781467321594"</f>
        <v>9781467321594</v>
      </c>
      <c r="C3112" s="8" t="s">
        <v>9</v>
      </c>
    </row>
    <row r="3113" spans="1:3" x14ac:dyDescent="0.25">
      <c r="A3113" s="8" t="str">
        <f>"2012 Information Theory and Applications Workshop, ITA 2012 - Conference Proceedings"</f>
        <v>2012 Information Theory and Applications Workshop, ITA 2012 - Conference Proceedings</v>
      </c>
      <c r="B3113" s="8" t="str">
        <f>"9781467314725"</f>
        <v>9781467314725</v>
      </c>
      <c r="C3113" s="8" t="s">
        <v>9</v>
      </c>
    </row>
    <row r="3114" spans="1:3" x14ac:dyDescent="0.25">
      <c r="A3114" s="8" t="str">
        <f>"2012 Innovative Parallel Computing, InPar 2012"</f>
        <v>2012 Innovative Parallel Computing, InPar 2012</v>
      </c>
      <c r="B3114" s="8" t="str">
        <f>"9781467326322"</f>
        <v>9781467326322</v>
      </c>
      <c r="C3114" s="8" t="s">
        <v>9</v>
      </c>
    </row>
    <row r="3115" spans="1:3" x14ac:dyDescent="0.25">
      <c r="A3115" s="8" t="str">
        <f>"2012 International Conference for Internet Technology and Secured Transactions, ICITST 2012"</f>
        <v>2012 International Conference for Internet Technology and Secured Transactions, ICITST 2012</v>
      </c>
      <c r="B3115" s="8" t="str">
        <f>"9781908320087"</f>
        <v>9781908320087</v>
      </c>
      <c r="C3115" s="8" t="s">
        <v>9</v>
      </c>
    </row>
    <row r="3116" spans="1:3" x14ac:dyDescent="0.25">
      <c r="A3116" s="8" t="str">
        <f>"2012 International Conference on 3D Imaging, IC3D 2012 - Proceedings"</f>
        <v>2012 International Conference on 3D Imaging, IC3D 2012 - Proceedings</v>
      </c>
      <c r="B3116" s="8" t="str">
        <f>"9781479915804"</f>
        <v>9781479915804</v>
      </c>
      <c r="C3116" s="8" t="s">
        <v>9</v>
      </c>
    </row>
    <row r="3117" spans="1:3" x14ac:dyDescent="0.25">
      <c r="A3117" s="8" t="str">
        <f>"2012 International Conference on Advanced Computer Science and Information Systems, ICACSIS 2012 - Proceedings"</f>
        <v>2012 International Conference on Advanced Computer Science and Information Systems, ICACSIS 2012 - Proceedings</v>
      </c>
      <c r="B3117" s="8" t="str">
        <f>"9789791421157"</f>
        <v>9789791421157</v>
      </c>
      <c r="C3117" s="8" t="s">
        <v>9</v>
      </c>
    </row>
    <row r="3118" spans="1:3" x14ac:dyDescent="0.25">
      <c r="A3118" s="8" t="str">
        <f>"2012 International Conference on Advances in Power Conversion and Energy Technologies, APCET 2012"</f>
        <v>2012 International Conference on Advances in Power Conversion and Energy Technologies, APCET 2012</v>
      </c>
      <c r="B3118" s="8" t="str">
        <f>"9781467320429"</f>
        <v>9781467320429</v>
      </c>
      <c r="C3118" s="8" t="s">
        <v>9</v>
      </c>
    </row>
    <row r="3119" spans="1:3" x14ac:dyDescent="0.25">
      <c r="A3119" s="8" t="str">
        <f>"2012 International Conference on Applied and Theoretical Electricity, ICATE 2012 - Proceedings"</f>
        <v>2012 International Conference on Applied and Theoretical Electricity, ICATE 2012 - Proceedings</v>
      </c>
      <c r="B3119" s="8" t="str">
        <f>"9781467318105"</f>
        <v>9781467318105</v>
      </c>
      <c r="C3119" s="8" t="s">
        <v>9</v>
      </c>
    </row>
    <row r="3120" spans="1:3" x14ac:dyDescent="0.25">
      <c r="A3120" s="8" t="str">
        <f>"2012 International Conference on Biomedical Engineering, ICoBE 2012"</f>
        <v>2012 International Conference on Biomedical Engineering, ICoBE 2012</v>
      </c>
      <c r="B3120" s="8" t="str">
        <f>"9781457719899"</f>
        <v>9781457719899</v>
      </c>
      <c r="C3120" s="8" t="s">
        <v>9</v>
      </c>
    </row>
    <row r="3121" spans="1:3" x14ac:dyDescent="0.25">
      <c r="A3121" s="8" t="str">
        <f>"2012 International Conference on Communication and Signal Processing, ICCSP-2012"</f>
        <v>2012 International Conference on Communication and Signal Processing, ICCSP-2012</v>
      </c>
      <c r="B3121" s="8" t="str">
        <f>"9781467316194"</f>
        <v>9781467316194</v>
      </c>
      <c r="C3121" s="8" t="s">
        <v>9</v>
      </c>
    </row>
    <row r="3122" spans="1:3" x14ac:dyDescent="0.25">
      <c r="A3122" s="8" t="str">
        <f>"2012 International Conference on Compound Semiconductor Manufacturing Technology, CS MANTECH 2012"</f>
        <v>2012 International Conference on Compound Semiconductor Manufacturing Technology, CS MANTECH 2012</v>
      </c>
      <c r="B3122" s="8" t="str">
        <f>"9781893580190"</f>
        <v>9781893580190</v>
      </c>
      <c r="C3122" s="8" t="s">
        <v>1336</v>
      </c>
    </row>
    <row r="3123" spans="1:3" x14ac:dyDescent="0.25">
      <c r="A3123" s="8" t="str">
        <f>"2012 International Conference on Computational Problem-Solving, ICCP 2012"</f>
        <v>2012 International Conference on Computational Problem-Solving, ICCP 2012</v>
      </c>
      <c r="B3123" s="8" t="str">
        <f>"9781467316972"</f>
        <v>9781467316972</v>
      </c>
      <c r="C3123" s="8" t="s">
        <v>9</v>
      </c>
    </row>
    <row r="3124" spans="1:3" x14ac:dyDescent="0.25">
      <c r="A3124" s="8" t="str">
        <f>"2012 International Conference on Computer and Communication Engineering, ICCCE 2012"</f>
        <v>2012 International Conference on Computer and Communication Engineering, ICCCE 2012</v>
      </c>
      <c r="B3124" s="8" t="str">
        <f>"9781467304788"</f>
        <v>9781467304788</v>
      </c>
      <c r="C3124" s="8" t="s">
        <v>9</v>
      </c>
    </row>
    <row r="3125" spans="1:3" x14ac:dyDescent="0.25">
      <c r="A3125" s="8" t="str">
        <f>"2012 International Conference on Computer and Information Science, ICCIS 2012 - A Conference of World Engineering, Science and Technology Congress, ESTCON 2012 - Conference Proceedings"</f>
        <v>2012 International Conference on Computer and Information Science, ICCIS 2012 - A Conference of World Engineering, Science and Technology Congress, ESTCON 2012 - Conference Proceedings</v>
      </c>
      <c r="B3125" s="8" t="str">
        <f>"9781467319386"</f>
        <v>9781467319386</v>
      </c>
      <c r="C3125" s="8" t="s">
        <v>9</v>
      </c>
    </row>
    <row r="3126" spans="1:3" x14ac:dyDescent="0.25">
      <c r="A3126" s="8" t="str">
        <f>"2012 International Conference on Computer Communication and Informatics, ICCCI 2012"</f>
        <v>2012 International Conference on Computer Communication and Informatics, ICCCI 2012</v>
      </c>
      <c r="B3126" s="8" t="str">
        <f>"9781457715822"</f>
        <v>9781457715822</v>
      </c>
      <c r="C3126" s="8" t="s">
        <v>9</v>
      </c>
    </row>
    <row r="3127" spans="1:3" x14ac:dyDescent="0.25">
      <c r="A3127" s="8" t="str">
        <f>"2012 International Conference on Computer Systems and Industrial Informatics, ICCSII 2012"</f>
        <v>2012 International Conference on Computer Systems and Industrial Informatics, ICCSII 2012</v>
      </c>
      <c r="B3127" s="8" t="str">
        <f>"9781467351577"</f>
        <v>9781467351577</v>
      </c>
      <c r="C3127" s="8" t="s">
        <v>9</v>
      </c>
    </row>
    <row r="3128" spans="1:3" x14ac:dyDescent="0.25">
      <c r="A3128" s="8" t="str">
        <f>"2012 International Conference on Computing, Communication and Applications, ICCCA 2012"</f>
        <v>2012 International Conference on Computing, Communication and Applications, ICCCA 2012</v>
      </c>
      <c r="B3128" s="8" t="str">
        <f>"9781467302722"</f>
        <v>9781467302722</v>
      </c>
      <c r="C3128" s="8" t="s">
        <v>9</v>
      </c>
    </row>
    <row r="3129" spans="1:3" x14ac:dyDescent="0.25">
      <c r="A3129" s="8" t="str">
        <f>"2012 International Conference on Computing, Electronics and Electrical Technologies, ICCEET 2012"</f>
        <v>2012 International Conference on Computing, Electronics and Electrical Technologies, ICCEET 2012</v>
      </c>
      <c r="B3129" s="8" t="str">
        <f>"9781467302111"</f>
        <v>9781467302111</v>
      </c>
      <c r="C3129" s="8" t="s">
        <v>9</v>
      </c>
    </row>
    <row r="3130" spans="1:3" x14ac:dyDescent="0.25">
      <c r="A3130" s="8" t="str">
        <f>"2012 International Conference on Computing, Networking and Communications, ICNC'12"</f>
        <v>2012 International Conference on Computing, Networking and Communications, ICNC'12</v>
      </c>
      <c r="B3130" s="8" t="str">
        <f>"9781467300094"</f>
        <v>9781467300094</v>
      </c>
      <c r="C3130" s="8" t="s">
        <v>9</v>
      </c>
    </row>
    <row r="3131" spans="1:3" x14ac:dyDescent="0.25">
      <c r="A3131" s="8" t="str">
        <f>"2012 International Conference on Control, Automation and Information Sciences, ICCAIS 2012"</f>
        <v>2012 International Conference on Control, Automation and Information Sciences, ICCAIS 2012</v>
      </c>
      <c r="B3131" s="8" t="str">
        <f>"9781467308137"</f>
        <v>9781467308137</v>
      </c>
      <c r="C3131" s="8" t="s">
        <v>9</v>
      </c>
    </row>
    <row r="3132" spans="1:3" x14ac:dyDescent="0.25">
      <c r="A3132" s="8" t="str">
        <f>"2012 International Conference on Devices, Circuits and Systems, ICDCS 2012"</f>
        <v>2012 International Conference on Devices, Circuits and Systems, ICDCS 2012</v>
      </c>
      <c r="B3132" s="8" t="str">
        <f>"9781457715457"</f>
        <v>9781457715457</v>
      </c>
      <c r="C3132" s="8" t="s">
        <v>9</v>
      </c>
    </row>
    <row r="3133" spans="1:3" x14ac:dyDescent="0.25">
      <c r="A3133" s="8" t="str">
        <f>"2012 International Conference on Digital Image Computing Techniques and Applications, DICTA 2012"</f>
        <v>2012 International Conference on Digital Image Computing Techniques and Applications, DICTA 2012</v>
      </c>
      <c r="B3133" s="8" t="str">
        <f>"9781467321815"</f>
        <v>9781467321815</v>
      </c>
      <c r="C3133" s="8" t="s">
        <v>9</v>
      </c>
    </row>
    <row r="3134" spans="1:3" x14ac:dyDescent="0.25">
      <c r="A3134" s="8" t="str">
        <f>"2012 International Conference on Education and e-Learning Innovations, ICEELI 2012"</f>
        <v>2012 International Conference on Education and e-Learning Innovations, ICEELI 2012</v>
      </c>
      <c r="B3134" s="8" t="str">
        <f>"9781467322249"</f>
        <v>9781467322249</v>
      </c>
      <c r="C3134" s="8" t="s">
        <v>9</v>
      </c>
    </row>
    <row r="3135" spans="1:3" x14ac:dyDescent="0.25">
      <c r="A3135" s="8" t="str">
        <f>"2012 International Conference on E-Learning and E-Technologies in Education, ICEEE 2012"</f>
        <v>2012 International Conference on E-Learning and E-Technologies in Education, ICEEE 2012</v>
      </c>
      <c r="B3135" s="8" t="str">
        <f>"9781467316798"</f>
        <v>9781467316798</v>
      </c>
      <c r="C3135" s="8" t="s">
        <v>21</v>
      </c>
    </row>
    <row r="3136" spans="1:3" x14ac:dyDescent="0.25">
      <c r="A3136" s="8" t="str">
        <f>"2012 International Conference on Emerging Electronics, ICEE 2012"</f>
        <v>2012 International Conference on Emerging Electronics, ICEE 2012</v>
      </c>
      <c r="B3136" s="8" t="str">
        <f>"9781467331364"</f>
        <v>9781467331364</v>
      </c>
      <c r="C3136" s="8" t="s">
        <v>9</v>
      </c>
    </row>
    <row r="3137" spans="1:3" x14ac:dyDescent="0.25">
      <c r="A3137" s="8" t="str">
        <f>"2012 International Conference on Enabling Science and Nanotechnology, ESciNano 2012 - Proceedings"</f>
        <v>2012 International Conference on Enabling Science and Nanotechnology, ESciNano 2012 - Proceedings</v>
      </c>
      <c r="B3137" s="8" t="str">
        <f>"9781457707988"</f>
        <v>9781457707988</v>
      </c>
      <c r="C3137" s="8" t="s">
        <v>9</v>
      </c>
    </row>
    <row r="3138" spans="1:3" x14ac:dyDescent="0.25">
      <c r="A3138" s="8" t="str">
        <f>"2012 International Conference on Energy Aware Computing, ICEAC 2012"</f>
        <v>2012 International Conference on Energy Aware Computing, ICEAC 2012</v>
      </c>
      <c r="B3138" s="8" t="str">
        <f>"9781467353281"</f>
        <v>9781467353281</v>
      </c>
      <c r="C3138" s="8" t="s">
        <v>9</v>
      </c>
    </row>
    <row r="3139" spans="1:3" x14ac:dyDescent="0.25">
      <c r="A3139" s="8" t="str">
        <f>"2012 International Conference on Fiber Optics and Photonics, PHOTONICS 2012"</f>
        <v>2012 International Conference on Fiber Optics and Photonics, PHOTONICS 2012</v>
      </c>
      <c r="B3139" s="8" t="str">
        <f>"9781467347181"</f>
        <v>9781467347181</v>
      </c>
      <c r="C3139" s="8" t="s">
        <v>9</v>
      </c>
    </row>
    <row r="3140" spans="1:3" x14ac:dyDescent="0.25">
      <c r="A3140" s="8" t="str">
        <f>"2012 International Conference on Future Communication Networks, ICFCN 2012"</f>
        <v>2012 International Conference on Future Communication Networks, ICFCN 2012</v>
      </c>
      <c r="B3140" s="8" t="str">
        <f>"9781467302609"</f>
        <v>9781467302609</v>
      </c>
      <c r="C3140" s="8" t="s">
        <v>9</v>
      </c>
    </row>
    <row r="3141" spans="1:3" x14ac:dyDescent="0.25">
      <c r="A3141" s="8" t="str">
        <f>"2012 International Conference on Fuzzy Theory and Its Applications, iFUZZY 2012"</f>
        <v>2012 International Conference on Fuzzy Theory and Its Applications, iFUZZY 2012</v>
      </c>
      <c r="B3141" s="8" t="str">
        <f>"-"</f>
        <v>-</v>
      </c>
      <c r="C3141" s="8" t="s">
        <v>9</v>
      </c>
    </row>
    <row r="3142" spans="1:3" x14ac:dyDescent="0.25">
      <c r="A3142" s="8" t="str">
        <f>"2012 International Conference on Green Technologies, ICGT 2012"</f>
        <v>2012 International Conference on Green Technologies, ICGT 2012</v>
      </c>
      <c r="B3142" s="8" t="str">
        <f>"9781467326360"</f>
        <v>9781467326360</v>
      </c>
      <c r="C3142" s="8" t="s">
        <v>9</v>
      </c>
    </row>
    <row r="3143" spans="1:3" x14ac:dyDescent="0.25">
      <c r="A3143" s="8" t="str">
        <f>"2012 International Conference on Indoor Positioning and Indoor Navigation, IPIN 2012 - Conference Proceedings"</f>
        <v>2012 International Conference on Indoor Positioning and Indoor Navigation, IPIN 2012 - Conference Proceedings</v>
      </c>
      <c r="B3143" s="8" t="str">
        <f>"9781467319546"</f>
        <v>9781467319546</v>
      </c>
      <c r="C3143" s="8" t="s">
        <v>9</v>
      </c>
    </row>
    <row r="3144" spans="1:3" x14ac:dyDescent="0.25">
      <c r="A3144" s="8" t="str">
        <f>"2012 International Conference on Informatics, Electronics and Vision, ICIEV 2012"</f>
        <v>2012 International Conference on Informatics, Electronics and Vision, ICIEV 2012</v>
      </c>
      <c r="B3144" s="8" t="str">
        <f>"9781467311519"</f>
        <v>9781467311519</v>
      </c>
      <c r="C3144" s="8" t="s">
        <v>9</v>
      </c>
    </row>
    <row r="3145" spans="1:3" x14ac:dyDescent="0.25">
      <c r="A3145" s="8" t="str">
        <f>"2012 International Conference on Information Science and Applications, ICISA 2012"</f>
        <v>2012 International Conference on Information Science and Applications, ICISA 2012</v>
      </c>
      <c r="B3145" s="8" t="str">
        <f>"9781467321860"</f>
        <v>9781467321860</v>
      </c>
      <c r="C3145" s="8" t="s">
        <v>9</v>
      </c>
    </row>
    <row r="3146" spans="1:3" x14ac:dyDescent="0.25">
      <c r="A3146" s="8" t="str">
        <f>"2012 International Conference on Information Technology and e-Services, ICITeS 2012"</f>
        <v>2012 International Conference on Information Technology and e-Services, ICITeS 2012</v>
      </c>
      <c r="B3146" s="8" t="str">
        <f>"9781467311663"</f>
        <v>9781467311663</v>
      </c>
      <c r="C3146" s="8" t="s">
        <v>9</v>
      </c>
    </row>
    <row r="3147" spans="1:3" x14ac:dyDescent="0.25">
      <c r="A3147" s="8" t="str">
        <f>"2012 International Conference on Information Technology Based Higher Education and Training, ITHET 2012"</f>
        <v>2012 International Conference on Information Technology Based Higher Education and Training, ITHET 2012</v>
      </c>
      <c r="B3147" s="8" t="str">
        <f>"9781467323345"</f>
        <v>9781467323345</v>
      </c>
      <c r="C3147" s="8" t="s">
        <v>9</v>
      </c>
    </row>
    <row r="3148" spans="1:3" x14ac:dyDescent="0.25">
      <c r="A3148" s="8" t="str">
        <f>"2012 International Conference on Innovations in Information Technology, IIT 2012"</f>
        <v>2012 International Conference on Innovations in Information Technology, IIT 2012</v>
      </c>
      <c r="B3148" s="8" t="str">
        <f>"9781467311014"</f>
        <v>9781467311014</v>
      </c>
      <c r="C3148" s="8" t="s">
        <v>9</v>
      </c>
    </row>
    <row r="3149" spans="1:3" x14ac:dyDescent="0.25">
      <c r="A3149" s="8" t="str">
        <f>"2012 International Conference on Interactive Mobile and Computer Aided Learning, IMCL 2012"</f>
        <v>2012 International Conference on Interactive Mobile and Computer Aided Learning, IMCL 2012</v>
      </c>
      <c r="B3149" s="8" t="str">
        <f>"9781467349253"</f>
        <v>9781467349253</v>
      </c>
      <c r="C3149" s="8" t="s">
        <v>9</v>
      </c>
    </row>
    <row r="3150" spans="1:3" x14ac:dyDescent="0.25">
      <c r="A3150" s="8" t="str">
        <f>"2012 International Conference on Localization and GNSS, ICL-GNSS 2012"</f>
        <v>2012 International Conference on Localization and GNSS, ICL-GNSS 2012</v>
      </c>
      <c r="B3150" s="8" t="str">
        <f>"9781467323437"</f>
        <v>9781467323437</v>
      </c>
      <c r="C3150" s="8" t="s">
        <v>9</v>
      </c>
    </row>
    <row r="3151" spans="1:3" x14ac:dyDescent="0.25">
      <c r="A3151" s="8" t="str">
        <f>"2012 International Conference on Machine Vision and Image Processing, MVIP 2012"</f>
        <v>2012 International Conference on Machine Vision and Image Processing, MVIP 2012</v>
      </c>
      <c r="B3151" s="8" t="str">
        <f>"9781467323208"</f>
        <v>9781467323208</v>
      </c>
      <c r="C3151" s="8" t="s">
        <v>9</v>
      </c>
    </row>
    <row r="3152" spans="1:3" x14ac:dyDescent="0.25">
      <c r="A3152" s="8" t="str">
        <f>"2012 International Conference on Manipulation, Manufacturing and Measurement on the Nanoscale, 3M-NANO 2012 - Conference Proceedings"</f>
        <v>2012 International Conference on Manipulation, Manufacturing and Measurement on the Nanoscale, 3M-NANO 2012 - Conference Proceedings</v>
      </c>
      <c r="B3152" s="8" t="str">
        <f>"9781467345897"</f>
        <v>9781467345897</v>
      </c>
      <c r="C3152" s="8" t="s">
        <v>9</v>
      </c>
    </row>
    <row r="3153" spans="1:3" x14ac:dyDescent="0.25">
      <c r="A3153" s="8" t="str">
        <f>"2012 International Conference on Microwave and Millimeter Wave Technology, ICMMT 2012 - Proceedings"</f>
        <v>2012 International Conference on Microwave and Millimeter Wave Technology, ICMMT 2012 - Proceedings</v>
      </c>
      <c r="B3153" s="8" t="str">
        <f>"9781467321839"</f>
        <v>9781467321839</v>
      </c>
      <c r="C3153" s="8" t="s">
        <v>9</v>
      </c>
    </row>
    <row r="3154" spans="1:3" x14ac:dyDescent="0.25">
      <c r="A3154" s="8" t="str">
        <f>"2012 International Conference on Optical Engineering, ICOE 2012"</f>
        <v>2012 International Conference on Optical Engineering, ICOE 2012</v>
      </c>
      <c r="B3154" s="8" t="str">
        <f>"9781467324632"</f>
        <v>9781467324632</v>
      </c>
      <c r="C3154" s="8" t="s">
        <v>9</v>
      </c>
    </row>
    <row r="3155" spans="1:3" x14ac:dyDescent="0.25">
      <c r="A3155" s="8" t="str">
        <f>"2012 International Conference on Optoelectronics and Microelectronics, ICOM 2012"</f>
        <v>2012 International Conference on Optoelectronics and Microelectronics, ICOM 2012</v>
      </c>
      <c r="B3155" s="8" t="str">
        <f>"9781467326391"</f>
        <v>9781467326391</v>
      </c>
      <c r="C3155" s="8" t="s">
        <v>9</v>
      </c>
    </row>
    <row r="3156" spans="1:3" x14ac:dyDescent="0.25">
      <c r="A3156" s="8" t="str">
        <f>"2012 International Conference on Photonics in Switching, PS 2012"</f>
        <v>2012 International Conference on Photonics in Switching, PS 2012</v>
      </c>
      <c r="B3156" s="8" t="str">
        <f>"9782912328618"</f>
        <v>9782912328618</v>
      </c>
      <c r="C3156" s="8" t="s">
        <v>9</v>
      </c>
    </row>
    <row r="3157" spans="1:3" x14ac:dyDescent="0.25">
      <c r="A3157" s="8" t="str">
        <f>"2012 International Conference on Power Engineering and Renewable Energy, ICPERE 2012"</f>
        <v>2012 International Conference on Power Engineering and Renewable Energy, ICPERE 2012</v>
      </c>
      <c r="B3157" s="8" t="str">
        <f>"9781467324700"</f>
        <v>9781467324700</v>
      </c>
      <c r="C3157" s="8" t="s">
        <v>9</v>
      </c>
    </row>
    <row r="3158" spans="1:3" x14ac:dyDescent="0.25">
      <c r="A3158" s="8" t="str">
        <f>"2012 International Conference on Power, Signals, Controls and Computation, EPSCICON 2012"</f>
        <v>2012 International Conference on Power, Signals, Controls and Computation, EPSCICON 2012</v>
      </c>
      <c r="B3158" s="8" t="str">
        <f>"9781467304467"</f>
        <v>9781467304467</v>
      </c>
      <c r="C3158" s="8" t="s">
        <v>9</v>
      </c>
    </row>
    <row r="3159" spans="1:3" x14ac:dyDescent="0.25">
      <c r="A3159" s="8" t="str">
        <f>"2012 International Conference on Radar, Communication and Computing, ICRCC 2012"</f>
        <v>2012 International Conference on Radar, Communication and Computing, ICRCC 2012</v>
      </c>
      <c r="B3159" s="8" t="str">
        <f>"9781467327589"</f>
        <v>9781467327589</v>
      </c>
      <c r="C3159" s="8" t="s">
        <v>9</v>
      </c>
    </row>
    <row r="3160" spans="1:3" x14ac:dyDescent="0.25">
      <c r="A3160" s="8" t="str">
        <f>"2012 International Conference on Reconfigurable Computing and FPGAs, ReConFig 2012"</f>
        <v>2012 International Conference on Reconfigurable Computing and FPGAs, ReConFig 2012</v>
      </c>
      <c r="B3160" s="8" t="str">
        <f>"9781467329217"</f>
        <v>9781467329217</v>
      </c>
      <c r="C3160" s="8" t="s">
        <v>9</v>
      </c>
    </row>
    <row r="3161" spans="1:3" x14ac:dyDescent="0.25">
      <c r="A3161" s="8" t="str">
        <f>"2012 International Conference on Renewable Energies for Developing Countries, REDEC 2012"</f>
        <v>2012 International Conference on Renewable Energies for Developing Countries, REDEC 2012</v>
      </c>
      <c r="B3161" s="8" t="str">
        <f>"9781467324403"</f>
        <v>9781467324403</v>
      </c>
      <c r="C3161" s="8" t="s">
        <v>9</v>
      </c>
    </row>
    <row r="3162" spans="1:3" x14ac:dyDescent="0.25">
      <c r="A3162" s="8" t="str">
        <f>"2012 International Conference on Renewable Energy Research and Applications, ICRERA 2012"</f>
        <v>2012 International Conference on Renewable Energy Research and Applications, ICRERA 2012</v>
      </c>
      <c r="B3162" s="8" t="str">
        <f>"9781467323284"</f>
        <v>9781467323284</v>
      </c>
      <c r="C3162" s="8" t="s">
        <v>9</v>
      </c>
    </row>
    <row r="3163" spans="1:3" x14ac:dyDescent="0.25">
      <c r="A3163" s="8" t="str">
        <f>"2012 International Conference on Robotics and Artificial Intelligence, ICRAI 2012"</f>
        <v>2012 International Conference on Robotics and Artificial Intelligence, ICRAI 2012</v>
      </c>
      <c r="B3163" s="8" t="str">
        <f>"9781467348867"</f>
        <v>9781467348867</v>
      </c>
      <c r="C3163" s="8" t="s">
        <v>9</v>
      </c>
    </row>
    <row r="3164" spans="1:3" x14ac:dyDescent="0.25">
      <c r="A3164" s="8" t="str">
        <f>"2012 International Conference on Selected Topics in Mobile and Wireless Networking, ICOST 2012"</f>
        <v>2012 International Conference on Selected Topics in Mobile and Wireless Networking, ICOST 2012</v>
      </c>
      <c r="B3164" s="8" t="str">
        <f>"9781467309370"</f>
        <v>9781467309370</v>
      </c>
      <c r="C3164" s="8" t="s">
        <v>9</v>
      </c>
    </row>
    <row r="3165" spans="1:3" x14ac:dyDescent="0.25">
      <c r="A3165" s="8" t="str">
        <f>"2012 International Conference on Signal Processing and Communications, SPCOM 2012"</f>
        <v>2012 International Conference on Signal Processing and Communications, SPCOM 2012</v>
      </c>
      <c r="B3165" s="8" t="str">
        <f>"9781467320122"</f>
        <v>9781467320122</v>
      </c>
      <c r="C3165" s="8" t="s">
        <v>9</v>
      </c>
    </row>
    <row r="3166" spans="1:3" x14ac:dyDescent="0.25">
      <c r="A3166" s="8" t="str">
        <f>"2012 International Conference on Signals and Electronic Systems, ICSES 2012 - The Conference Proceedings"</f>
        <v>2012 International Conference on Signals and Electronic Systems, ICSES 2012 - The Conference Proceedings</v>
      </c>
      <c r="B3166" s="8" t="str">
        <f>"9781467317092"</f>
        <v>9781467317092</v>
      </c>
      <c r="C3166" s="8" t="s">
        <v>9</v>
      </c>
    </row>
    <row r="3167" spans="1:3" x14ac:dyDescent="0.25">
      <c r="A3167" s="8" t="str">
        <f>"2012 International Conference on Smart Grid Technology, Economics and Policies, SG-TEP 2012"</f>
        <v>2012 International Conference on Smart Grid Technology, Economics and Policies, SG-TEP 2012</v>
      </c>
      <c r="B3167" s="8" t="str">
        <f>"9781467359306"</f>
        <v>9781467359306</v>
      </c>
      <c r="C3167" s="8" t="s">
        <v>9</v>
      </c>
    </row>
    <row r="3168" spans="1:3" x14ac:dyDescent="0.25">
      <c r="A3168" s="8" t="str">
        <f>"2012 International Conference on Software and System Process, ICSSP 2012 - Proceedings"</f>
        <v>2012 International Conference on Software and System Process, ICSSP 2012 - Proceedings</v>
      </c>
      <c r="B3168" s="8" t="str">
        <f>"9781467323529"</f>
        <v>9781467323529</v>
      </c>
      <c r="C3168" s="8" t="s">
        <v>21</v>
      </c>
    </row>
    <row r="3169" spans="1:3" x14ac:dyDescent="0.25">
      <c r="A3169" s="8" t="str">
        <f>"2012 International Conference on Synthesis, Modeling, Analysis and Simulation Methods and Applications to Circuit Design, SMACD 2012"</f>
        <v>2012 International Conference on Synthesis, Modeling, Analysis and Simulation Methods and Applications to Circuit Design, SMACD 2012</v>
      </c>
      <c r="B3169" s="8" t="str">
        <f>"9781467306867"</f>
        <v>9781467306867</v>
      </c>
      <c r="C3169" s="8" t="s">
        <v>9</v>
      </c>
    </row>
    <row r="3170" spans="1:3" x14ac:dyDescent="0.25">
      <c r="A3170" s="8" t="str">
        <f>"2012 International Conference on Systems and Informatics, ICSAI 2012"</f>
        <v>2012 International Conference on Systems and Informatics, ICSAI 2012</v>
      </c>
      <c r="B3170" s="8" t="str">
        <f>"9781467301992"</f>
        <v>9781467301992</v>
      </c>
      <c r="C3170" s="8" t="s">
        <v>9</v>
      </c>
    </row>
    <row r="3171" spans="1:3" x14ac:dyDescent="0.25">
      <c r="A3171" s="8" t="str">
        <f>"2012 International Conference on Telecommunications and Multimedia, TEMU 2012"</f>
        <v>2012 International Conference on Telecommunications and Multimedia, TEMU 2012</v>
      </c>
      <c r="B3171" s="8" t="str">
        <f>"9781467327817"</f>
        <v>9781467327817</v>
      </c>
      <c r="C3171" s="8" t="s">
        <v>9</v>
      </c>
    </row>
    <row r="3172" spans="1:3" x14ac:dyDescent="0.25">
      <c r="A3172" s="8" t="str">
        <f>"2012 International Conference on Wavelet Active Media Technology and Information Processing, ICWAMTIP 2012"</f>
        <v>2012 International Conference on Wavelet Active Media Technology and Information Processing, ICWAMTIP 2012</v>
      </c>
      <c r="B3172" s="8" t="str">
        <f>"9781467346856"</f>
        <v>9781467346856</v>
      </c>
      <c r="C3172" s="8" t="s">
        <v>9</v>
      </c>
    </row>
    <row r="3173" spans="1:3" x14ac:dyDescent="0.25">
      <c r="A3173" s="8" t="str">
        <f>"2012 International Conference on Wireless Communications and Signal Processing, WCSP 2012"</f>
        <v>2012 International Conference on Wireless Communications and Signal Processing, WCSP 2012</v>
      </c>
      <c r="B3173" s="8" t="str">
        <f>"9781467358293"</f>
        <v>9781467358293</v>
      </c>
      <c r="C3173" s="8" t="s">
        <v>9</v>
      </c>
    </row>
    <row r="3174" spans="1:3" x14ac:dyDescent="0.25">
      <c r="A3174" s="8" t="str">
        <f>"2012 International Conference on Wireless Communications in Underground and Confined Areas, ICWCUCA 2012"</f>
        <v>2012 International Conference on Wireless Communications in Underground and Confined Areas, ICWCUCA 2012</v>
      </c>
      <c r="B3174" s="8" t="str">
        <f>"9781467312905"</f>
        <v>9781467312905</v>
      </c>
      <c r="C3174" s="8" t="s">
        <v>9</v>
      </c>
    </row>
    <row r="3175" spans="1:3" x14ac:dyDescent="0.25">
      <c r="A3175" s="8" t="str">
        <f>"2012 International Conference on Wireless Communications, Networking and Mobile Computing, WiCOM 2012"</f>
        <v>2012 International Conference on Wireless Communications, Networking and Mobile Computing, WiCOM 2012</v>
      </c>
      <c r="B3175" s="8" t="str">
        <f>"9781612846835"</f>
        <v>9781612846835</v>
      </c>
      <c r="C3175" s="8" t="s">
        <v>9</v>
      </c>
    </row>
    <row r="3176" spans="1:3" x14ac:dyDescent="0.25">
      <c r="A3176" s="8" t="str">
        <f>"2012 International Conference onAdvanced Mechatronic Systems, ICAMechS 2012"</f>
        <v>2012 International Conference onAdvanced Mechatronic Systems, ICAMechS 2012</v>
      </c>
      <c r="B3176" s="8" t="str">
        <f>"9780955529382"</f>
        <v>9780955529382</v>
      </c>
      <c r="C3176" s="8" t="s">
        <v>9</v>
      </c>
    </row>
    <row r="3177" spans="1:3" x14ac:dyDescent="0.25">
      <c r="A3177" s="8" t="str">
        <f>"2012 International Green Computing Conference, IGCC 2012"</f>
        <v>2012 International Green Computing Conference, IGCC 2012</v>
      </c>
      <c r="B3177" s="8" t="str">
        <f>"9781467321556"</f>
        <v>9781467321556</v>
      </c>
      <c r="C3177" s="8" t="s">
        <v>9</v>
      </c>
    </row>
    <row r="3178" spans="1:3" x14ac:dyDescent="0.25">
      <c r="A3178" s="8" t="str">
        <f>"2012 International Silicon-Germanium Technology and Device Meeting, ISTDM 2012 - Proceedings"</f>
        <v>2012 International Silicon-Germanium Technology and Device Meeting, ISTDM 2012 - Proceedings</v>
      </c>
      <c r="B3178" s="8" t="str">
        <f>"9781457718625"</f>
        <v>9781457718625</v>
      </c>
      <c r="C3178" s="8" t="s">
        <v>9</v>
      </c>
    </row>
    <row r="3179" spans="1:3" x14ac:dyDescent="0.25">
      <c r="A3179" s="8" t="str">
        <f>"2012 International Symposium on Communications and Information Technologies, ISCIT 2012"</f>
        <v>2012 International Symposium on Communications and Information Technologies, ISCIT 2012</v>
      </c>
      <c r="B3179" s="8" t="str">
        <f>"9781467311571"</f>
        <v>9781467311571</v>
      </c>
      <c r="C3179" s="8" t="s">
        <v>9</v>
      </c>
    </row>
    <row r="3180" spans="1:3" x14ac:dyDescent="0.25">
      <c r="A3180" s="8" t="str">
        <f>"2012 International Symposium on Computers in Education, SIIE 2012"</f>
        <v>2012 International Symposium on Computers in Education, SIIE 2012</v>
      </c>
      <c r="B3180" s="8" t="str">
        <f>"9788493981471"</f>
        <v>9788493981471</v>
      </c>
      <c r="C3180" s="8" t="s">
        <v>9</v>
      </c>
    </row>
    <row r="3181" spans="1:3" x14ac:dyDescent="0.25">
      <c r="A3181" s="8" t="str">
        <f>"2012 International Symposium on Geomatics for Integrated Water Resources Management, GIWRM 2012"</f>
        <v>2012 International Symposium on Geomatics for Integrated Water Resources Management, GIWRM 2012</v>
      </c>
      <c r="B3181" s="8" t="str">
        <f>"9781467312820"</f>
        <v>9781467312820</v>
      </c>
      <c r="C3181" s="8" t="s">
        <v>9</v>
      </c>
    </row>
    <row r="3182" spans="1:3" x14ac:dyDescent="0.25">
      <c r="A3182" s="8" t="str">
        <f>"2012 International Symposium on Information Theory and Its Applications, ISITA 2012"</f>
        <v>2012 International Symposium on Information Theory and Its Applications, ISITA 2012</v>
      </c>
      <c r="B3182" s="8" t="str">
        <f>"9784885522673"</f>
        <v>9784885522673</v>
      </c>
      <c r="C3182" s="8" t="s">
        <v>9</v>
      </c>
    </row>
    <row r="3183" spans="1:3" x14ac:dyDescent="0.25">
      <c r="A3183" s="8" t="str">
        <f>"2012 International Symposium on Management of Technology, ISMOT 2012"</f>
        <v>2012 International Symposium on Management of Technology, ISMOT 2012</v>
      </c>
      <c r="B3183" s="8" t="str">
        <f>"9781467345934"</f>
        <v>9781467345934</v>
      </c>
      <c r="C3183" s="8" t="s">
        <v>9</v>
      </c>
    </row>
    <row r="3184" spans="1:3" x14ac:dyDescent="0.25">
      <c r="A3184" s="8" t="str">
        <f>"2012 International Symposium on Micro-NanoMechatronics and Human Science, MHS 2012"</f>
        <v>2012 International Symposium on Micro-NanoMechatronics and Human Science, MHS 2012</v>
      </c>
      <c r="B3184" s="8" t="str">
        <f>"9781467348126"</f>
        <v>9781467348126</v>
      </c>
      <c r="C3184" s="8" t="s">
        <v>9</v>
      </c>
    </row>
    <row r="3185" spans="1:3" x14ac:dyDescent="0.25">
      <c r="A3185" s="8" t="str">
        <f>"2012 International Symposium on Network Coding, NetCod 2012"</f>
        <v>2012 International Symposium on Network Coding, NetCod 2012</v>
      </c>
      <c r="B3185" s="8" t="str">
        <f>"9781467318921"</f>
        <v>9781467318921</v>
      </c>
      <c r="C3185" s="8" t="s">
        <v>9</v>
      </c>
    </row>
    <row r="3186" spans="1:3" x14ac:dyDescent="0.25">
      <c r="A3186" s="8" t="str">
        <f>"2012 International Symposium on Optomechatronic Technologies, ISOT 2012"</f>
        <v>2012 International Symposium on Optomechatronic Technologies, ISOT 2012</v>
      </c>
      <c r="B3186" s="8" t="str">
        <f>"9781467328777"</f>
        <v>9781467328777</v>
      </c>
      <c r="C3186" s="8" t="s">
        <v>9</v>
      </c>
    </row>
    <row r="3187" spans="1:3" x14ac:dyDescent="0.25">
      <c r="A3187" s="8" t="str">
        <f>"2012 International Symposium on Software Testing and Analysis, ISSTA 2012 - Proceedings"</f>
        <v>2012 International Symposium on Software Testing and Analysis, ISSTA 2012 - Proceedings</v>
      </c>
      <c r="B3187" s="8" t="str">
        <f>"9781450314541"</f>
        <v>9781450314541</v>
      </c>
      <c r="C3187" s="8" t="s">
        <v>21</v>
      </c>
    </row>
    <row r="3188" spans="1:3" x14ac:dyDescent="0.25">
      <c r="A3188" s="8" t="str">
        <f>"2012 International Symposium on System on Chip, SoC 2012"</f>
        <v>2012 International Symposium on System on Chip, SoC 2012</v>
      </c>
      <c r="B3188" s="8" t="str">
        <f>"9781467328951"</f>
        <v>9781467328951</v>
      </c>
      <c r="C3188" s="8" t="s">
        <v>9</v>
      </c>
    </row>
    <row r="3189" spans="1:3" x14ac:dyDescent="0.25">
      <c r="A3189" s="8" t="str">
        <f>"2012 International Symposium on Telecommunication Technologies, ISTT 2012"</f>
        <v>2012 International Symposium on Telecommunication Technologies, ISTT 2012</v>
      </c>
      <c r="B3189" s="8" t="str">
        <f>"9781467347860"</f>
        <v>9781467347860</v>
      </c>
      <c r="C3189" s="8" t="s">
        <v>9</v>
      </c>
    </row>
    <row r="3190" spans="1:3" x14ac:dyDescent="0.25">
      <c r="A3190" s="8" t="str">
        <f>"2012 International Symposium on VLSI Design, Automation and Test, VLSI-DAT 2012 - Proceedings of Technical Papers"</f>
        <v>2012 International Symposium on VLSI Design, Automation and Test, VLSI-DAT 2012 - Proceedings of Technical Papers</v>
      </c>
      <c r="B3190" s="8" t="str">
        <f>"9781457720819"</f>
        <v>9781457720819</v>
      </c>
      <c r="C3190" s="8" t="s">
        <v>9</v>
      </c>
    </row>
    <row r="3191" spans="1:3" x14ac:dyDescent="0.25">
      <c r="A3191" s="8" t="str">
        <f>"2012 International Workshop on Optical Wireless Communications, IWOW 2012"</f>
        <v>2012 International Workshop on Optical Wireless Communications, IWOW 2012</v>
      </c>
      <c r="B3191" s="8" t="str">
        <f>"9781467327343"</f>
        <v>9781467327343</v>
      </c>
      <c r="C3191" s="8" t="s">
        <v>9</v>
      </c>
    </row>
    <row r="3192" spans="1:3" x14ac:dyDescent="0.25">
      <c r="A3192" s="8" t="str">
        <f>"2012 IRCOBI Conference Proceedings - International Research Council on the Biomechanics of Injury"</f>
        <v>2012 IRCOBI Conference Proceedings - International Research Council on the Biomechanics of Injury</v>
      </c>
      <c r="B3192" s="8" t="str">
        <f>"-"</f>
        <v>-</v>
      </c>
      <c r="C3192" s="8" t="s">
        <v>1372</v>
      </c>
    </row>
    <row r="3193" spans="1:3" x14ac:dyDescent="0.25">
      <c r="A3193" s="8" t="str">
        <f>"2012 ISSNIP Biosignals and Biorobotics Conference: Biosignals and Robotics for Better and Safer Living, BRC 2012"</f>
        <v>2012 ISSNIP Biosignals and Biorobotics Conference: Biosignals and Robotics for Better and Safer Living, BRC 2012</v>
      </c>
      <c r="B3193" s="8" t="str">
        <f>"9781467324762"</f>
        <v>9781467324762</v>
      </c>
      <c r="C3193" s="8" t="s">
        <v>9</v>
      </c>
    </row>
    <row r="3194" spans="1:3" x14ac:dyDescent="0.25">
      <c r="A3194" s="8" t="str">
        <f>"2012 Joint Rail Conference, JRC 2012"</f>
        <v>2012 Joint Rail Conference, JRC 2012</v>
      </c>
      <c r="B3194" s="8" t="str">
        <f>"9780791844656"</f>
        <v>9780791844656</v>
      </c>
      <c r="C3194" s="8" t="s">
        <v>73</v>
      </c>
    </row>
    <row r="3195" spans="1:3" x14ac:dyDescent="0.25">
      <c r="A3195" s="8" t="str">
        <f>"2012 Lester Eastman Conference on High Performance Devices, LEC 2012"</f>
        <v>2012 Lester Eastman Conference on High Performance Devices, LEC 2012</v>
      </c>
      <c r="B3195" s="8" t="str">
        <f>"9781467329088"</f>
        <v>9781467329088</v>
      </c>
      <c r="C3195" s="8" t="s">
        <v>9</v>
      </c>
    </row>
    <row r="3196" spans="1:3" x14ac:dyDescent="0.25">
      <c r="A3196" s="8" t="str">
        <f>"2012 Mediterranean Conference on Embedded Computing, MECO 2012"</f>
        <v>2012 Mediterranean Conference on Embedded Computing, MECO 2012</v>
      </c>
      <c r="B3196" s="8" t="str">
        <f>"9781457711909"</f>
        <v>9781457711909</v>
      </c>
      <c r="C3196" s="8" t="s">
        <v>9</v>
      </c>
    </row>
    <row r="3197" spans="1:3" x14ac:dyDescent="0.25">
      <c r="A3197" s="8" t="str">
        <f>"2012 Military Communications and Information Systems Conference, MCC 2012"</f>
        <v>2012 Military Communications and Information Systems Conference, MCC 2012</v>
      </c>
      <c r="B3197" s="8" t="str">
        <f>"9788392012092"</f>
        <v>9788392012092</v>
      </c>
      <c r="C3197" s="8" t="s">
        <v>9</v>
      </c>
    </row>
    <row r="3198" spans="1:3" x14ac:dyDescent="0.25">
      <c r="A3198" s="8" t="str">
        <f>"2012 Military Communications and Information Systems Conference, MilCIS 2012 - Proceedings"</f>
        <v>2012 Military Communications and Information Systems Conference, MilCIS 2012 - Proceedings</v>
      </c>
      <c r="B3198" s="8" t="str">
        <f>"9781467315234"</f>
        <v>9781467315234</v>
      </c>
      <c r="C3198" s="8" t="s">
        <v>9</v>
      </c>
    </row>
    <row r="3199" spans="1:3" x14ac:dyDescent="0.25">
      <c r="A3199" s="8" t="str">
        <f>"2012 National Conference on Communications, NCC 2012"</f>
        <v>2012 National Conference on Communications, NCC 2012</v>
      </c>
      <c r="B3199" s="8" t="str">
        <f>"9781467308168"</f>
        <v>9781467308168</v>
      </c>
      <c r="C3199" s="8" t="s">
        <v>9</v>
      </c>
    </row>
    <row r="3200" spans="1:3" x14ac:dyDescent="0.25">
      <c r="A3200" s="8" t="str">
        <f>"2012 National Conference on Computing and Communication Systems, NCCCS 2012 - Proceeding"</f>
        <v>2012 National Conference on Computing and Communication Systems, NCCCS 2012 - Proceeding</v>
      </c>
      <c r="B3200" s="8" t="str">
        <f>"9781467319539"</f>
        <v>9781467319539</v>
      </c>
      <c r="C3200" s="8" t="s">
        <v>9</v>
      </c>
    </row>
    <row r="3201" spans="1:3" x14ac:dyDescent="0.25">
      <c r="A3201" s="8" t="str">
        <f>"2012 North American Power Symposium, NAPS 2012"</f>
        <v>2012 North American Power Symposium, NAPS 2012</v>
      </c>
      <c r="B3201" s="8" t="str">
        <f>"9781467323086"</f>
        <v>9781467323086</v>
      </c>
      <c r="C3201" s="8" t="s">
        <v>9</v>
      </c>
    </row>
    <row r="3202" spans="1:3" x14ac:dyDescent="0.25">
      <c r="A3202" s="8" t="str">
        <f>"2012 Operational Research Society Simulation Workshop, SW 2012"</f>
        <v>2012 Operational Research Society Simulation Workshop, SW 2012</v>
      </c>
      <c r="B3202" s="8" t="str">
        <f>"-"</f>
        <v>-</v>
      </c>
      <c r="C3202" s="8" t="s">
        <v>1377</v>
      </c>
    </row>
    <row r="3203" spans="1:3" x14ac:dyDescent="0.25">
      <c r="A3203" s="8" t="str">
        <f>"2012 Optical Fiber Communication Conference and Exposition and the National Fiber Optic Engineers Conference, OFC/NFOEC 2012"</f>
        <v>2012 Optical Fiber Communication Conference and Exposition and the National Fiber Optic Engineers Conference, OFC/NFOEC 2012</v>
      </c>
      <c r="B3203" s="8" t="str">
        <f>"9781467302623"</f>
        <v>9781467302623</v>
      </c>
      <c r="C3203" s="8" t="s">
        <v>9</v>
      </c>
    </row>
    <row r="3204" spans="1:3" x14ac:dyDescent="0.25">
      <c r="A3204" s="8" t="str">
        <f>"2012 Optical Interconnects Conference, OIC 2012"</f>
        <v>2012 Optical Interconnects Conference, OIC 2012</v>
      </c>
      <c r="B3204" s="8" t="str">
        <f>"9781457716201"</f>
        <v>9781457716201</v>
      </c>
      <c r="C3204" s="8" t="s">
        <v>9</v>
      </c>
    </row>
    <row r="3205" spans="1:3" x14ac:dyDescent="0.25">
      <c r="A3205" s="8" t="str">
        <f>"2012 Pan American Health Care Exchanges, PAHCE 2012 - Conference, Workshops, and Exhibits. Cooperation / Linkages: An Independent Forum for Patient Aare and Technology Support"</f>
        <v>2012 Pan American Health Care Exchanges, PAHCE 2012 - Conference, Workshops, and Exhibits. Cooperation / Linkages: An Independent Forum for Patient Aare and Technology Support</v>
      </c>
      <c r="B3205" s="8" t="str">
        <f>"9781467311328"</f>
        <v>9781467311328</v>
      </c>
      <c r="C3205" s="8" t="s">
        <v>9</v>
      </c>
    </row>
    <row r="3206" spans="1:3" x14ac:dyDescent="0.25">
      <c r="A3206" s="8" t="str">
        <f>"2012 Photonics Global Conference, PGC 2012"</f>
        <v>2012 Photonics Global Conference, PGC 2012</v>
      </c>
      <c r="B3206" s="8" t="str">
        <f>"9781467325165"</f>
        <v>9781467325165</v>
      </c>
      <c r="C3206" s="8" t="s">
        <v>9</v>
      </c>
    </row>
    <row r="3207" spans="1:3" x14ac:dyDescent="0.25">
      <c r="A3207" s="8" t="str">
        <f>"2012 Picture Coding Symposium, PCS 2012, Proceedings"</f>
        <v>2012 Picture Coding Symposium, PCS 2012, Proceedings</v>
      </c>
      <c r="B3207" s="8" t="str">
        <f>"9781457720482"</f>
        <v>9781457720482</v>
      </c>
      <c r="C3207" s="8" t="s">
        <v>9</v>
      </c>
    </row>
    <row r="3208" spans="1:3" x14ac:dyDescent="0.25">
      <c r="A3208" s="8" t="str">
        <f>"2012 Proceedings - North American Tunneling, NAT 2012"</f>
        <v>2012 Proceedings - North American Tunneling, NAT 2012</v>
      </c>
      <c r="B3208" s="8" t="str">
        <f>"9780873353618"</f>
        <v>9780873353618</v>
      </c>
      <c r="C3208" s="8" t="s">
        <v>877</v>
      </c>
    </row>
    <row r="3209" spans="1:3" x14ac:dyDescent="0.25">
      <c r="A3209" s="8" t="str">
        <f>"2012 Proceedings of 17th Conference on Electrical Power Distribution, EPDC 2012"</f>
        <v>2012 Proceedings of 17th Conference on Electrical Power Distribution, EPDC 2012</v>
      </c>
      <c r="B3209" s="8" t="str">
        <f>"9781467314183"</f>
        <v>9781467314183</v>
      </c>
      <c r="C3209" s="8" t="s">
        <v>9</v>
      </c>
    </row>
    <row r="3210" spans="1:3" x14ac:dyDescent="0.25">
      <c r="A3210" s="8" t="str">
        <f>"2012 Proceedings of Portland International Center for Management of Engineering and Technology: Technology Management for Emerging Technologies, PICMET'12"</f>
        <v>2012 Proceedings of Portland International Center for Management of Engineering and Technology: Technology Management for Emerging Technologies, PICMET'12</v>
      </c>
      <c r="B3210" s="8" t="str">
        <f>"9781890843267"</f>
        <v>9781890843267</v>
      </c>
      <c r="C3210" s="8" t="s">
        <v>9</v>
      </c>
    </row>
    <row r="3211" spans="1:3" x14ac:dyDescent="0.25">
      <c r="A3211" s="8" t="str">
        <f>"2012 Proceedings of the 29th International Symposium of Automation and Robotics in Construction, ISARC 2012"</f>
        <v>2012 Proceedings of the 29th International Symposium of Automation and Robotics in Construction, ISARC 2012</v>
      </c>
      <c r="B3211" s="8" t="str">
        <f>"-"</f>
        <v>-</v>
      </c>
      <c r="C3211" s="8" t="s">
        <v>1351</v>
      </c>
    </row>
    <row r="3212" spans="1:3" x14ac:dyDescent="0.25">
      <c r="A3212" s="8" t="str">
        <f>"2012 SME Annual Meeting and Exhibit 2012, SME 2012, Meeting Preprints"</f>
        <v>2012 SME Annual Meeting and Exhibit 2012, SME 2012, Meeting Preprints</v>
      </c>
      <c r="B3212" s="8" t="str">
        <f>"9781622760893"</f>
        <v>9781622760893</v>
      </c>
      <c r="C3212" s="8" t="s">
        <v>1378</v>
      </c>
    </row>
    <row r="3213" spans="1:3" x14ac:dyDescent="0.25">
      <c r="A3213" s="8" t="str">
        <f>"2012 Socio-Economic Benefits Workshop: Defining, Measuring, and Communicating the Socio-Economic Benefits of Geospatial Information"</f>
        <v>2012 Socio-Economic Benefits Workshop: Defining, Measuring, and Communicating the Socio-Economic Benefits of Geospatial Information</v>
      </c>
      <c r="B3213" s="8" t="str">
        <f>"9781467327763"</f>
        <v>9781467327763</v>
      </c>
      <c r="C3213" s="8" t="s">
        <v>9</v>
      </c>
    </row>
    <row r="3214" spans="1:3" x14ac:dyDescent="0.25">
      <c r="A3214" s="8" t="str">
        <f>"2012 Southeast Asian Network of Ergonomics Societies Conference: Ergonomics Innovations Leveraging User Experience and Sustainability, SEANES 2012"</f>
        <v>2012 Southeast Asian Network of Ergonomics Societies Conference: Ergonomics Innovations Leveraging User Experience and Sustainability, SEANES 2012</v>
      </c>
      <c r="B3214" s="8" t="str">
        <f>"9781467317344"</f>
        <v>9781467317344</v>
      </c>
      <c r="C3214" s="8" t="s">
        <v>9</v>
      </c>
    </row>
    <row r="3215" spans="1:3" x14ac:dyDescent="0.25">
      <c r="A3215" s="8" t="str">
        <f>"2012 Southern African Energy Efficiency Convention, SAEEC 2012"</f>
        <v>2012 Southern African Energy Efficiency Convention, SAEEC 2012</v>
      </c>
      <c r="B3215" s="8" t="str">
        <f>"9781467352284"</f>
        <v>9781467352284</v>
      </c>
      <c r="C3215" s="8" t="s">
        <v>9</v>
      </c>
    </row>
    <row r="3216" spans="1:3" x14ac:dyDescent="0.25">
      <c r="A3216" s="8" t="str">
        <f>"2012 Spring World Congress on Engineering and Technology, SCET 2012 - Proceedings"</f>
        <v>2012 Spring World Congress on Engineering and Technology, SCET 2012 - Proceedings</v>
      </c>
      <c r="B3216" s="8" t="str">
        <f>"9781457719646"</f>
        <v>9781457719646</v>
      </c>
      <c r="C3216" s="8" t="s">
        <v>9</v>
      </c>
    </row>
    <row r="3217" spans="1:3" x14ac:dyDescent="0.25">
      <c r="A3217" s="8" t="str">
        <f>"2012 Students Conference on Engineering and Systems, SCES 2012"</f>
        <v>2012 Students Conference on Engineering and Systems, SCES 2012</v>
      </c>
      <c r="B3217" s="8" t="str">
        <f>"9781467304559"</f>
        <v>9781467304559</v>
      </c>
      <c r="C3217" s="8" t="s">
        <v>9</v>
      </c>
    </row>
    <row r="3218" spans="1:3" x14ac:dyDescent="0.25">
      <c r="A3218" s="8" t="str">
        <f>"2012 Sustainable Internet and ICT for Sustainability, SustainIT 2012"</f>
        <v>2012 Sustainable Internet and ICT for Sustainability, SustainIT 2012</v>
      </c>
      <c r="B3218" s="8" t="str">
        <f>"9783901882463"</f>
        <v>9783901882463</v>
      </c>
      <c r="C3218" s="8" t="s">
        <v>9</v>
      </c>
    </row>
    <row r="3219" spans="1:3" x14ac:dyDescent="0.25">
      <c r="A3219" s="8" t="str">
        <f>"2012 Swedish Communication Technologies Workshop, Swe-CTW 2012"</f>
        <v>2012 Swedish Communication Technologies Workshop, Swe-CTW 2012</v>
      </c>
      <c r="B3219" s="8" t="str">
        <f>"9781467347631"</f>
        <v>9781467347631</v>
      </c>
      <c r="C3219" s="8" t="s">
        <v>9</v>
      </c>
    </row>
    <row r="3220" spans="1:3" x14ac:dyDescent="0.25">
      <c r="A3220" s="8" t="str">
        <f>"2012 Symposium on Broadband Networks and Fast Internet, RELABIRA 2012"</f>
        <v>2012 Symposium on Broadband Networks and Fast Internet, RELABIRA 2012</v>
      </c>
      <c r="B3220" s="8" t="str">
        <f>"9781467321518"</f>
        <v>9781467321518</v>
      </c>
      <c r="C3220" s="8" t="s">
        <v>9</v>
      </c>
    </row>
    <row r="3221" spans="1:3" x14ac:dyDescent="0.25">
      <c r="A3221" s="8" t="str">
        <f>"2012 Symposium on Photonics and Optoelectronics, SOPO 2012"</f>
        <v>2012 Symposium on Photonics and Optoelectronics, SOPO 2012</v>
      </c>
      <c r="B3221" s="8" t="str">
        <f>"9781457709111"</f>
        <v>9781457709111</v>
      </c>
      <c r="C3221" s="8" t="s">
        <v>9</v>
      </c>
    </row>
    <row r="3222" spans="1:3" x14ac:dyDescent="0.25">
      <c r="A3222" s="8" t="str">
        <f>"2012 TAC Conference and Exhibition - Transportation: Innovations and Opportunities, TAC/ATC 2012"</f>
        <v>2012 TAC Conference and Exhibition - Transportation: Innovations and Opportunities, TAC/ATC 2012</v>
      </c>
      <c r="B3222" s="8" t="str">
        <f>"-"</f>
        <v>-</v>
      </c>
      <c r="C3222" s="8" t="s">
        <v>1365</v>
      </c>
    </row>
    <row r="3223" spans="1:3" x14ac:dyDescent="0.25">
      <c r="A3223" s="8" t="str">
        <f>"2012 TAPPI PEERS Conference: Building a Sustainable Future"</f>
        <v>2012 TAPPI PEERS Conference: Building a Sustainable Future</v>
      </c>
      <c r="B3223" s="8" t="str">
        <f>"9781622768448"</f>
        <v>9781622768448</v>
      </c>
      <c r="C3223" s="8" t="s">
        <v>1099</v>
      </c>
    </row>
    <row r="3224" spans="1:3" x14ac:dyDescent="0.25">
      <c r="A3224" s="8" t="str">
        <f>"2012 the 11th Annual Mediterranean Ad Hoc Networking Workshop, Med-Hoc-Net 2012"</f>
        <v>2012 the 11th Annual Mediterranean Ad Hoc Networking Workshop, Med-Hoc-Net 2012</v>
      </c>
      <c r="B3224" s="8" t="str">
        <f>"9781467320399"</f>
        <v>9781467320399</v>
      </c>
      <c r="C3224" s="8" t="s">
        <v>9</v>
      </c>
    </row>
    <row r="3225" spans="1:3" x14ac:dyDescent="0.25">
      <c r="A3225" s="8" t="str">
        <f>"2012 the 1st IEEE Workshop on Enabling Technologies for Smartphone and Internet of Things, ETSIoT 2012"</f>
        <v>2012 the 1st IEEE Workshop on Enabling Technologies for Smartphone and Internet of Things, ETSIoT 2012</v>
      </c>
      <c r="B3225" s="8" t="str">
        <f>"9781467325578"</f>
        <v>9781467325578</v>
      </c>
      <c r="C3225" s="8" t="s">
        <v>9</v>
      </c>
    </row>
    <row r="3226" spans="1:3" x14ac:dyDescent="0.25">
      <c r="A3226" s="8" t="str">
        <f>"2012 the 7th German Microwave Conference, GeMiC 2012"</f>
        <v>2012 the 7th German Microwave Conference, GeMiC 2012</v>
      </c>
      <c r="B3226" s="8" t="str">
        <f>"9783981266849"</f>
        <v>9783981266849</v>
      </c>
      <c r="C3226" s="8" t="s">
        <v>9</v>
      </c>
    </row>
    <row r="3227" spans="1:3" x14ac:dyDescent="0.25">
      <c r="A3227" s="8" t="str">
        <f>"2012 the 8th IEEE International Symposium on Instrumentation and Control Technology, ISICT 2012 - Proceedings"</f>
        <v>2012 the 8th IEEE International Symposium on Instrumentation and Control Technology, ISICT 2012 - Proceedings</v>
      </c>
      <c r="B3227" s="8" t="str">
        <f>"9781467326162"</f>
        <v>9781467326162</v>
      </c>
      <c r="C3227" s="8" t="s">
        <v>9</v>
      </c>
    </row>
    <row r="3228" spans="1:3" x14ac:dyDescent="0.25">
      <c r="A3228" s="8" t="str">
        <f>"2012 Ubiquitous Positioning, Indoor Navigation, and Location Based Service, UPINLBS 2012"</f>
        <v>2012 Ubiquitous Positioning, Indoor Navigation, and Location Based Service, UPINLBS 2012</v>
      </c>
      <c r="B3228" s="8" t="str">
        <f>"9781467319096"</f>
        <v>9781467319096</v>
      </c>
      <c r="C3228" s="8" t="s">
        <v>9</v>
      </c>
    </row>
    <row r="3229" spans="1:3" x14ac:dyDescent="0.25">
      <c r="A3229" s="8" t="str">
        <f>"2012 Western New York Image Processing Workshop, WNYIPW 2012"</f>
        <v>2012 Western New York Image Processing Workshop, WNYIPW 2012</v>
      </c>
      <c r="B3229" s="8" t="str">
        <f>"9781467355988"</f>
        <v>9781467355988</v>
      </c>
      <c r="C3229" s="8" t="s">
        <v>9</v>
      </c>
    </row>
    <row r="3230" spans="1:3" x14ac:dyDescent="0.25">
      <c r="A3230" s="8" t="str">
        <f>"2012 Wireless Advanced, WiAd 2012"</f>
        <v>2012 Wireless Advanced, WiAd 2012</v>
      </c>
      <c r="B3230" s="8" t="str">
        <f>"9781457721946"</f>
        <v>9781457721946</v>
      </c>
      <c r="C3230" s="8" t="s">
        <v>9</v>
      </c>
    </row>
    <row r="3231" spans="1:3" x14ac:dyDescent="0.25">
      <c r="A3231" s="8" t="str">
        <f>"2012 Workshop on Engineering Applications, WEA 2012"</f>
        <v>2012 Workshop on Engineering Applications, WEA 2012</v>
      </c>
      <c r="B3231" s="8" t="str">
        <f>"9781467308700"</f>
        <v>9781467308700</v>
      </c>
      <c r="C3231" s="8" t="s">
        <v>9</v>
      </c>
    </row>
    <row r="3232" spans="1:3" x14ac:dyDescent="0.25">
      <c r="A3232" s="8" t="str">
        <f>"2012 Workshop on Integrated Nonlinear Microwave and Millimetre-Wave Circuits, INMMIC 2012"</f>
        <v>2012 Workshop on Integrated Nonlinear Microwave and Millimetre-Wave Circuits, INMMIC 2012</v>
      </c>
      <c r="B3232" s="8" t="str">
        <f>"9781467329491"</f>
        <v>9781467329491</v>
      </c>
      <c r="C3232" s="8" t="s">
        <v>9</v>
      </c>
    </row>
    <row r="3233" spans="1:3" x14ac:dyDescent="0.25">
      <c r="A3233" s="8" t="str">
        <f>"2012 Workshop on Reflectometry Using GNSS and Other Signals of Opportunity, GNSS+R 2012"</f>
        <v>2012 Workshop on Reflectometry Using GNSS and Other Signals of Opportunity, GNSS+R 2012</v>
      </c>
      <c r="B3233" s="8" t="str">
        <f>"9781467328852"</f>
        <v>9781467328852</v>
      </c>
      <c r="C3233" s="8" t="s">
        <v>9</v>
      </c>
    </row>
    <row r="3234" spans="1:3" x14ac:dyDescent="0.25">
      <c r="A3234" s="8" t="str">
        <f>"2012 Workshop on Sensor Data Fusion: Trends, Solutions, Applications, SDF 2012"</f>
        <v>2012 Workshop on Sensor Data Fusion: Trends, Solutions, Applications, SDF 2012</v>
      </c>
      <c r="B3234" s="8" t="str">
        <f>"9781467330114"</f>
        <v>9781467330114</v>
      </c>
      <c r="C3234" s="8" t="s">
        <v>9</v>
      </c>
    </row>
    <row r="3235" spans="1:3" x14ac:dyDescent="0.25">
      <c r="A3235" s="8" t="str">
        <f>"2012 World Telecommunications Congress, WTC 2012"</f>
        <v>2012 World Telecommunications Congress, WTC 2012</v>
      </c>
      <c r="B3235" s="8" t="str">
        <f>"9784885522574"</f>
        <v>9784885522574</v>
      </c>
      <c r="C3235" s="8" t="s">
        <v>9</v>
      </c>
    </row>
    <row r="3236" spans="1:3" x14ac:dyDescent="0.25">
      <c r="A3236" s="8" t="str">
        <f>"2013 - 8th International Symposium on Advanced Topics in Electrical Engineering, ATEE 2013"</f>
        <v>2013 - 8th International Symposium on Advanced Topics in Electrical Engineering, ATEE 2013</v>
      </c>
      <c r="B3236" s="8" t="str">
        <f>"9781467359801"</f>
        <v>9781467359801</v>
      </c>
      <c r="C3236" s="8" t="s">
        <v>9</v>
      </c>
    </row>
    <row r="3237" spans="1:3" x14ac:dyDescent="0.25">
      <c r="A3237" s="8" t="str">
        <f>"2013 10th Annual Conference on Wireless On-Demand Network Systems and Services, WONS 2013"</f>
        <v>2013 10th Annual Conference on Wireless On-Demand Network Systems and Services, WONS 2013</v>
      </c>
      <c r="B3237" s="8" t="str">
        <f>"9781479907496"</f>
        <v>9781479907496</v>
      </c>
      <c r="C3237" s="8" t="s">
        <v>9</v>
      </c>
    </row>
    <row r="3238" spans="1:3" x14ac:dyDescent="0.25">
      <c r="A3238" s="8" t="str">
        <f>"2013 10th IEEE International Conference and Workshops on Automatic Face and Gesture Recognition, FG 2013"</f>
        <v>2013 10th IEEE International Conference and Workshops on Automatic Face and Gesture Recognition, FG 2013</v>
      </c>
      <c r="B3238" s="8" t="str">
        <f>"9781467355452"</f>
        <v>9781467355452</v>
      </c>
      <c r="C3238" s="8" t="s">
        <v>9</v>
      </c>
    </row>
    <row r="3239" spans="1:3" x14ac:dyDescent="0.25">
      <c r="A3239" s="8" t="str">
        <f>"2013 10th IEEE International Conference on Advanced Video and Signal Based Surveillance, AVSS 2013"</f>
        <v>2013 10th IEEE International Conference on Advanced Video and Signal Based Surveillance, AVSS 2013</v>
      </c>
      <c r="B3239" s="8" t="str">
        <f>"9781479907038"</f>
        <v>9781479907038</v>
      </c>
      <c r="C3239" s="8" t="s">
        <v>9</v>
      </c>
    </row>
    <row r="3240" spans="1:3" x14ac:dyDescent="0.25">
      <c r="A3240" s="8" t="str">
        <f>"2013 10th IEEE International Conference on Networking, Sensing and Control, ICNSC 2013"</f>
        <v>2013 10th IEEE International Conference on Networking, Sensing and Control, ICNSC 2013</v>
      </c>
      <c r="B3240" s="8" t="str">
        <f>"9781467351980"</f>
        <v>9781467351980</v>
      </c>
      <c r="C3240" s="8" t="s">
        <v>9</v>
      </c>
    </row>
    <row r="3241" spans="1:3" x14ac:dyDescent="0.25">
      <c r="A3241" s="8" t="str">
        <f>"2013 10th International Computer Conference on Wavelet Active Media Technology and Information Processing, ICCWAMTIP 2013"</f>
        <v>2013 10th International Computer Conference on Wavelet Active Media Technology and Information Processing, ICCWAMTIP 2013</v>
      </c>
      <c r="B3241" s="8" t="str">
        <f>"9781479924462"</f>
        <v>9781479924462</v>
      </c>
      <c r="C3241" s="8" t="s">
        <v>9</v>
      </c>
    </row>
    <row r="3242" spans="1:3" x14ac:dyDescent="0.25">
      <c r="A3242" s="8" t="str">
        <f>"2013 10th International Conference and Expo on Emerging Technologies for a Smarter World, CEWIT 2013"</f>
        <v>2013 10th International Conference and Expo on Emerging Technologies for a Smarter World, CEWIT 2013</v>
      </c>
      <c r="B3242" s="8" t="str">
        <f>"9781479925469"</f>
        <v>9781479925469</v>
      </c>
      <c r="C3242" s="8" t="s">
        <v>9</v>
      </c>
    </row>
    <row r="3243" spans="1:3" x14ac:dyDescent="0.25">
      <c r="A3243" s="8" t="str">
        <f>"2013 10th International Conference on Electrical Engineering, Computing Science and Automatic Control, CCE 2013"</f>
        <v>2013 10th International Conference on Electrical Engineering, Computing Science and Automatic Control, CCE 2013</v>
      </c>
      <c r="B3243" s="8" t="str">
        <f>"9781479914609"</f>
        <v>9781479914609</v>
      </c>
      <c r="C3243" s="8" t="s">
        <v>9</v>
      </c>
    </row>
    <row r="3244" spans="1:3" x14ac:dyDescent="0.25">
      <c r="A3244" s="8" t="str">
        <f>"2013 10th International Conference on Electrical Engineering/Electronics, Computer, Telecommunications and Information Technology, ECTI-CON 2013"</f>
        <v>2013 10th International Conference on Electrical Engineering/Electronics, Computer, Telecommunications and Information Technology, ECTI-CON 2013</v>
      </c>
      <c r="B3244" s="8" t="str">
        <f>"9781479905454"</f>
        <v>9781479905454</v>
      </c>
      <c r="C3244" s="8" t="s">
        <v>9</v>
      </c>
    </row>
    <row r="3245" spans="1:3" x14ac:dyDescent="0.25">
      <c r="A3245" s="8" t="str">
        <f>"2013 10th International Conference on Remote Engineering and Virtual Instrumentation, REV 2013"</f>
        <v>2013 10th International Conference on Remote Engineering and Virtual Instrumentation, REV 2013</v>
      </c>
      <c r="B3245" s="8" t="str">
        <f>"9781467363464"</f>
        <v>9781467363464</v>
      </c>
      <c r="C3245" s="8" t="s">
        <v>9</v>
      </c>
    </row>
    <row r="3246" spans="1:3" x14ac:dyDescent="0.25">
      <c r="A3246" s="8" t="str">
        <f>"2013 10th International Conference on Service Systems and Service Management - Proceedings of ICSSSM 2013"</f>
        <v>2013 10th International Conference on Service Systems and Service Management - Proceedings of ICSSSM 2013</v>
      </c>
      <c r="B3246" s="8" t="str">
        <f>"9781467348430"</f>
        <v>9781467348430</v>
      </c>
      <c r="C3246" s="8" t="s">
        <v>9</v>
      </c>
    </row>
    <row r="3247" spans="1:3" x14ac:dyDescent="0.25">
      <c r="A3247" s="8" t="str">
        <f>"2013 10th International Conference on Ubiquitous Robots and Ambient Intelligence, URAI 2013"</f>
        <v>2013 10th International Conference on Ubiquitous Robots and Ambient Intelligence, URAI 2013</v>
      </c>
      <c r="B3247" s="8" t="str">
        <f>"9781479911950"</f>
        <v>9781479911950</v>
      </c>
      <c r="C3247" s="8" t="s">
        <v>9</v>
      </c>
    </row>
    <row r="3248" spans="1:3" x14ac:dyDescent="0.25">
      <c r="A3248" s="8" t="str">
        <f>"2013 10th International ISC Conference on Information Security and Cryptology, ISCISC 2013"</f>
        <v>2013 10th International ISC Conference on Information Security and Cryptology, ISCISC 2013</v>
      </c>
      <c r="B3248" s="8" t="str">
        <f>"9781479916382"</f>
        <v>9781479916382</v>
      </c>
      <c r="C3248" s="8" t="s">
        <v>9</v>
      </c>
    </row>
    <row r="3249" spans="1:3" x14ac:dyDescent="0.25">
      <c r="A3249" s="8" t="str">
        <f>"2013 10th International Multi-Conference on Systems, Signals and Devices, SSD 2013"</f>
        <v>2013 10th International Multi-Conference on Systems, Signals and Devices, SSD 2013</v>
      </c>
      <c r="B3249" s="8" t="str">
        <f>"9781467364584"</f>
        <v>9781467364584</v>
      </c>
      <c r="C3249" s="8" t="s">
        <v>9</v>
      </c>
    </row>
    <row r="3250" spans="1:3" x14ac:dyDescent="0.25">
      <c r="A3250" s="8" t="str">
        <f>"2013 10th Workshop on Positioning, Navigation and Communication, WPNC 2013 - Proceedings"</f>
        <v>2013 10th Workshop on Positioning, Navigation and Communication, WPNC 2013 - Proceedings</v>
      </c>
      <c r="B3250" s="8" t="str">
        <f>"9781467360333"</f>
        <v>9781467360333</v>
      </c>
      <c r="C3250" s="8" t="s">
        <v>9</v>
      </c>
    </row>
    <row r="3251" spans="1:3" x14ac:dyDescent="0.25">
      <c r="A3251" s="8" t="str">
        <f>"2013 11th Annual Conference on Privacy, Security and Trust, PST 2013"</f>
        <v>2013 11th Annual Conference on Privacy, Security and Trust, PST 2013</v>
      </c>
      <c r="B3251" s="8" t="str">
        <f>"9781467358392"</f>
        <v>9781467358392</v>
      </c>
      <c r="C3251" s="8" t="s">
        <v>9</v>
      </c>
    </row>
    <row r="3252" spans="1:3" x14ac:dyDescent="0.25">
      <c r="A3252" s="8" t="str">
        <f>"2013 11th International Conference on Telecommunications in Modern Satellite, Cable and Broadcasting Services, TELSIKS 2013"</f>
        <v>2013 11th International Conference on Telecommunications in Modern Satellite, Cable and Broadcasting Services, TELSIKS 2013</v>
      </c>
      <c r="B3252" s="8" t="str">
        <f>"9781479909025"</f>
        <v>9781479909025</v>
      </c>
      <c r="C3252" s="8" t="s">
        <v>9</v>
      </c>
    </row>
    <row r="3253" spans="1:3" x14ac:dyDescent="0.25">
      <c r="A3253" s="8" t="str">
        <f>"2013 11th International Symposium and Workshops on Modeling and Optimization in Mobile, Ad Hoc and Wireless Networks, WiOpt 2013"</f>
        <v>2013 11th International Symposium and Workshops on Modeling and Optimization in Mobile, Ad Hoc and Wireless Networks, WiOpt 2013</v>
      </c>
      <c r="B3253" s="8" t="str">
        <f>"9783901882548"</f>
        <v>9783901882548</v>
      </c>
      <c r="C3253" s="8" t="s">
        <v>9</v>
      </c>
    </row>
    <row r="3254" spans="1:3" x14ac:dyDescent="0.25">
      <c r="A3254" s="8" t="str">
        <f>"2013 12th International Conference on Information Technology Based Higher Education and Training, ITHET 2013"</f>
        <v>2013 12th International Conference on Information Technology Based Higher Education and Training, ITHET 2013</v>
      </c>
      <c r="B3254" s="8" t="str">
        <f>"9781479900862"</f>
        <v>9781479900862</v>
      </c>
      <c r="C3254" s="8" t="s">
        <v>9</v>
      </c>
    </row>
    <row r="3255" spans="1:3" x14ac:dyDescent="0.25">
      <c r="A3255" s="8" t="str">
        <f>"2013 12th International Conference: The Experience of Designing and Application of CAD Systems in Microelectronics, CADSM 2013"</f>
        <v>2013 12th International Conference: The Experience of Designing and Application of CAD Systems in Microelectronics, CADSM 2013</v>
      </c>
      <c r="B3255" s="8" t="str">
        <f>"9786176073932"</f>
        <v>9786176073932</v>
      </c>
      <c r="C3255" s="8" t="s">
        <v>9</v>
      </c>
    </row>
    <row r="3256" spans="1:3" x14ac:dyDescent="0.25">
      <c r="A3256" s="8" t="str">
        <f>"2013 13th Canadian Workshop on Information Theory, CWIT 2013"</f>
        <v>2013 13th Canadian Workshop on Information Theory, CWIT 2013</v>
      </c>
      <c r="B3256" s="8" t="str">
        <f>"9781479906345"</f>
        <v>9781479906345</v>
      </c>
      <c r="C3256" s="8" t="s">
        <v>9</v>
      </c>
    </row>
    <row r="3257" spans="1:3" x14ac:dyDescent="0.25">
      <c r="A3257" s="8" t="str">
        <f>"2013 13th International Conference on Environment and Electrical Engineering, EEEIC 2013 - Conference Proceedings"</f>
        <v>2013 13th International Conference on Environment and Electrical Engineering, EEEIC 2013 - Conference Proceedings</v>
      </c>
      <c r="B3257" s="8" t="str">
        <f>"9781479928026"</f>
        <v>9781479928026</v>
      </c>
      <c r="C3257" s="8" t="s">
        <v>9</v>
      </c>
    </row>
    <row r="3258" spans="1:3" x14ac:dyDescent="0.25">
      <c r="A3258" s="8" t="str">
        <f>"2013 13th International Conference on ITS Telecommunications, ITST 2013"</f>
        <v>2013 13th International Conference on ITS Telecommunications, ITST 2013</v>
      </c>
      <c r="B3258" s="8" t="str">
        <f>"9781479908462"</f>
        <v>9781479908462</v>
      </c>
      <c r="C3258" s="8" t="s">
        <v>9</v>
      </c>
    </row>
    <row r="3259" spans="1:3" x14ac:dyDescent="0.25">
      <c r="A3259" s="8" t="str">
        <f>"2013 13th UK Workshop on Computational Intelligence, UKCI 2013"</f>
        <v>2013 13th UK Workshop on Computational Intelligence, UKCI 2013</v>
      </c>
      <c r="B3259" s="8" t="str">
        <f>"9781479915682"</f>
        <v>9781479915682</v>
      </c>
      <c r="C3259" s="8" t="s">
        <v>9</v>
      </c>
    </row>
    <row r="3260" spans="1:3" x14ac:dyDescent="0.25">
      <c r="A3260" s="8" t="str">
        <f>"2013 14th International Conference on Thermal, Mechanical and Multi-Physics Simulation and Experiments in Microelectronics and Microsystems, EuroSimE 2013"</f>
        <v>2013 14th International Conference on Thermal, Mechanical and Multi-Physics Simulation and Experiments in Microelectronics and Microsystems, EuroSimE 2013</v>
      </c>
      <c r="B3260" s="8" t="str">
        <f>"9781467361385"</f>
        <v>9781467361385</v>
      </c>
      <c r="C3260" s="8" t="s">
        <v>9</v>
      </c>
    </row>
    <row r="3261" spans="1:3" x14ac:dyDescent="0.25">
      <c r="A3261" s="8" t="str">
        <f>"2013 15th European Conference on Power Electronics and Applications, EPE 2013"</f>
        <v>2013 15th European Conference on Power Electronics and Applications, EPE 2013</v>
      </c>
      <c r="B3261" s="8" t="str">
        <f>"9781479901166"</f>
        <v>9781479901166</v>
      </c>
      <c r="C3261" s="8" t="s">
        <v>9</v>
      </c>
    </row>
    <row r="3262" spans="1:3" x14ac:dyDescent="0.25">
      <c r="A3262" s="8" t="str">
        <f>"2013 15th International Conference on Advanced Computing Technologies, ICACT 2013"</f>
        <v>2013 15th International Conference on Advanced Computing Technologies, ICACT 2013</v>
      </c>
      <c r="B3262" s="8" t="str">
        <f>"9781467328180"</f>
        <v>9781467328180</v>
      </c>
      <c r="C3262" s="8" t="s">
        <v>9</v>
      </c>
    </row>
    <row r="3263" spans="1:3" x14ac:dyDescent="0.25">
      <c r="A3263" s="8" t="str">
        <f>"2013 16th International Conference on Advanced Robotics, ICAR 2013"</f>
        <v>2013 16th International Conference on Advanced Robotics, ICAR 2013</v>
      </c>
      <c r="B3263" s="8" t="str">
        <f>"9781479927227"</f>
        <v>9781479927227</v>
      </c>
      <c r="C3263" s="8" t="s">
        <v>9</v>
      </c>
    </row>
    <row r="3264" spans="1:3" x14ac:dyDescent="0.25">
      <c r="A3264" s="8" t="str">
        <f>"2013 16th International Conference on Computer and Information Technology, ICCIT 2013"</f>
        <v>2013 16th International Conference on Computer and Information Technology, ICCIT 2013</v>
      </c>
      <c r="B3264" s="8" t="str">
        <f>"9781479934973"</f>
        <v>9781479934973</v>
      </c>
      <c r="C3264" s="8" t="s">
        <v>105</v>
      </c>
    </row>
    <row r="3265" spans="1:3" x14ac:dyDescent="0.25">
      <c r="A3265" s="8" t="str">
        <f>"2013 16th International Multi Topic Conference, INMIC 2013"</f>
        <v>2013 16th International Multi Topic Conference, INMIC 2013</v>
      </c>
      <c r="B3265" s="8" t="str">
        <f>"9781479930432"</f>
        <v>9781479930432</v>
      </c>
      <c r="C3265" s="8" t="s">
        <v>9</v>
      </c>
    </row>
    <row r="3266" spans="1:3" x14ac:dyDescent="0.25">
      <c r="A3266" s="8" t="str">
        <f>"2013 17th IEEE Workshop on Signal and Power Integrity, SPI 2013"</f>
        <v>2013 17th IEEE Workshop on Signal and Power Integrity, SPI 2013</v>
      </c>
      <c r="B3266" s="8" t="str">
        <f>"9781467356787"</f>
        <v>9781467356787</v>
      </c>
      <c r="C3266" s="8" t="s">
        <v>9</v>
      </c>
    </row>
    <row r="3267" spans="1:3" x14ac:dyDescent="0.25">
      <c r="A3267" s="8" t="str">
        <f>"2013 17th International Conference on Intelligence in Next Generation Networks, ICIN 2013"</f>
        <v>2013 17th International Conference on Intelligence in Next Generation Networks, ICIN 2013</v>
      </c>
      <c r="B3267" s="8" t="str">
        <f>"9781479909803"</f>
        <v>9781479909803</v>
      </c>
      <c r="C3267" s="8" t="s">
        <v>9</v>
      </c>
    </row>
    <row r="3268" spans="1:3" x14ac:dyDescent="0.25">
      <c r="A3268" s="8" t="str">
        <f>"2013 17th International Conference on Optical Networking Design and Modeling, ONDM 2013"</f>
        <v>2013 17th International Conference on Optical Networking Design and Modeling, ONDM 2013</v>
      </c>
      <c r="B3268" s="8" t="str">
        <f>"-"</f>
        <v>-</v>
      </c>
      <c r="C3268" s="8" t="s">
        <v>9</v>
      </c>
    </row>
    <row r="3269" spans="1:3" x14ac:dyDescent="0.25">
      <c r="A3269" s="8" t="str">
        <f>"2013 17th International Conference on System Theory, Control and Computing, ICSTCC 2013; Joint Conference of SINTES 2013, SACCS 2013, SIMSIS 2013 - Proceedings"</f>
        <v>2013 17th International Conference on System Theory, Control and Computing, ICSTCC 2013; Joint Conference of SINTES 2013, SACCS 2013, SIMSIS 2013 - Proceedings</v>
      </c>
      <c r="B3269" s="8" t="str">
        <f>"9781479922284"</f>
        <v>9781479922284</v>
      </c>
      <c r="C3269" s="8" t="s">
        <v>9</v>
      </c>
    </row>
    <row r="3270" spans="1:3" x14ac:dyDescent="0.25">
      <c r="A3270" s="8" t="str">
        <f>"2013 18th International Conference on Digital Signal Processing, DSP 2013"</f>
        <v>2013 18th International Conference on Digital Signal Processing, DSP 2013</v>
      </c>
      <c r="B3270" s="8" t="str">
        <f>"9781467358057"</f>
        <v>9781467358057</v>
      </c>
      <c r="C3270" s="8" t="s">
        <v>9</v>
      </c>
    </row>
    <row r="3271" spans="1:3" x14ac:dyDescent="0.25">
      <c r="A3271" s="8" t="str">
        <f>"2013 18th International Conference on Methods and Models in Automation and Robotics, MMAR 2013"</f>
        <v>2013 18th International Conference on Methods and Models in Automation and Robotics, MMAR 2013</v>
      </c>
      <c r="B3271" s="8" t="str">
        <f>"9781467355063"</f>
        <v>9781467355063</v>
      </c>
      <c r="C3271" s="8" t="s">
        <v>9</v>
      </c>
    </row>
    <row r="3272" spans="1:3" x14ac:dyDescent="0.25">
      <c r="A3272" s="8" t="str">
        <f>"2013 18th OptoElectronics and Communications Conference Held Jointly with 2013 International Conference on Photonics in Switching, OECC/PS 2013"</f>
        <v>2013 18th OptoElectronics and Communications Conference Held Jointly with 2013 International Conference on Photonics in Switching, OECC/PS 2013</v>
      </c>
      <c r="B3272" s="8" t="str">
        <f>"9784885522710"</f>
        <v>9784885522710</v>
      </c>
      <c r="C3272" s="8" t="s">
        <v>9</v>
      </c>
    </row>
    <row r="3273" spans="1:3" x14ac:dyDescent="0.25">
      <c r="A3273" s="8" t="str">
        <f>"2013 1st FME Workshop on Formal Methods in Software Engineering, FormaliSE 2013 - Proceedings"</f>
        <v>2013 1st FME Workshop on Formal Methods in Software Engineering, FormaliSE 2013 - Proceedings</v>
      </c>
      <c r="B3273" s="8" t="str">
        <f>"9781467362924"</f>
        <v>9781467362924</v>
      </c>
      <c r="C3273" s="8" t="s">
        <v>9</v>
      </c>
    </row>
    <row r="3274" spans="1:3" x14ac:dyDescent="0.25">
      <c r="A3274" s="8" t="str">
        <f>"2013 1st IEEE Conference on Technologies for Sustainability, SusTech 2013"</f>
        <v>2013 1st IEEE Conference on Technologies for Sustainability, SusTech 2013</v>
      </c>
      <c r="B3274" s="8" t="str">
        <f>"9781467346306"</f>
        <v>9781467346306</v>
      </c>
      <c r="C3274" s="8" t="s">
        <v>9</v>
      </c>
    </row>
    <row r="3275" spans="1:3" x14ac:dyDescent="0.25">
      <c r="A3275" s="8" t="str">
        <f>"2013 1st IEEE Working Conference on Software Visualization - Proceedings of VISSOFT 2013"</f>
        <v>2013 1st IEEE Working Conference on Software Visualization - Proceedings of VISSOFT 2013</v>
      </c>
      <c r="B3275" s="8" t="str">
        <f>"9781479914579"</f>
        <v>9781479914579</v>
      </c>
      <c r="C3275" s="8" t="s">
        <v>9</v>
      </c>
    </row>
    <row r="3276" spans="1:3" x14ac:dyDescent="0.25">
      <c r="A3276" s="8" t="str">
        <f>"2013 1st IEEE Workshop on User-Centered Computer Vision, UCCV 2013"</f>
        <v>2013 1st IEEE Workshop on User-Centered Computer Vision, UCCV 2013</v>
      </c>
      <c r="B3276" s="8" t="str">
        <f>"9781467356756"</f>
        <v>9781467356756</v>
      </c>
      <c r="C3276" s="8" t="s">
        <v>9</v>
      </c>
    </row>
    <row r="3277" spans="1:3" x14ac:dyDescent="0.25">
      <c r="A3277" s="8" t="str">
        <f>"2013 1st International Black Sea Conference on Communications and Networking, BlackSeaCom 2013"</f>
        <v>2013 1st International Black Sea Conference on Communications and Networking, BlackSeaCom 2013</v>
      </c>
      <c r="B3277" s="8" t="str">
        <f>"9781479908578"</f>
        <v>9781479908578</v>
      </c>
      <c r="C3277" s="8" t="s">
        <v>9</v>
      </c>
    </row>
    <row r="3278" spans="1:3" x14ac:dyDescent="0.25">
      <c r="A3278" s="8" t="str">
        <f>"2013 1st International Conference and Exhibition on the Applications of Information Technology to Renewable Energy Processes and Systems, IT-DREPS 2013"</f>
        <v>2013 1st International Conference and Exhibition on the Applications of Information Technology to Renewable Energy Processes and Systems, IT-DREPS 2013</v>
      </c>
      <c r="B3278" s="8" t="str">
        <f>"9781479907106"</f>
        <v>9781479907106</v>
      </c>
      <c r="C3278" s="8" t="s">
        <v>9</v>
      </c>
    </row>
    <row r="3279" spans="1:3" x14ac:dyDescent="0.25">
      <c r="A3279" s="8" t="str">
        <f>"2013 1st International Conference on Communications, Signal Processing and Their Applications, ICCSPA 2013"</f>
        <v>2013 1st International Conference on Communications, Signal Processing and Their Applications, ICCSPA 2013</v>
      </c>
      <c r="B3279" s="8" t="str">
        <f>"9781467328210"</f>
        <v>9781467328210</v>
      </c>
      <c r="C3279" s="8" t="s">
        <v>9</v>
      </c>
    </row>
    <row r="3280" spans="1:3" x14ac:dyDescent="0.25">
      <c r="A3280" s="8" t="str">
        <f>"2013 1st International Symposium on Future Information and Communication Technologies for Ubiquitous HealthCare, Ubi-HealthTech 2013"</f>
        <v>2013 1st International Symposium on Future Information and Communication Technologies for Ubiquitous HealthCare, Ubi-HealthTech 2013</v>
      </c>
      <c r="B3280" s="8" t="str">
        <f>"9781479907663"</f>
        <v>9781479907663</v>
      </c>
      <c r="C3280" s="8" t="s">
        <v>9</v>
      </c>
    </row>
    <row r="3281" spans="1:3" x14ac:dyDescent="0.25">
      <c r="A3281" s="8" t="str">
        <f>"2013 1st International Workshop on Assurance Cases for Software-Intensive Systems, ASSURE 2013 - Proceedings"</f>
        <v>2013 1st International Workshop on Assurance Cases for Software-Intensive Systems, ASSURE 2013 - Proceedings</v>
      </c>
      <c r="B3281" s="8" t="str">
        <f>"9781467363242"</f>
        <v>9781467363242</v>
      </c>
      <c r="C3281" s="8" t="s">
        <v>9</v>
      </c>
    </row>
    <row r="3282" spans="1:3" x14ac:dyDescent="0.25">
      <c r="A3282" s="8" t="str">
        <f>"2013 1st International Workshop on Combining Modelling and Search-Based Software Engineering, CMSBSE 2013 - Proceedings"</f>
        <v>2013 1st International Workshop on Combining Modelling and Search-Based Software Engineering, CMSBSE 2013 - Proceedings</v>
      </c>
      <c r="B3282" s="8" t="str">
        <f>"9781467362849"</f>
        <v>9781467362849</v>
      </c>
      <c r="C3282" s="8" t="s">
        <v>9</v>
      </c>
    </row>
    <row r="3283" spans="1:3" x14ac:dyDescent="0.25">
      <c r="A3283" s="8" t="str">
        <f>"2013 1st International Workshop on Conducting Empirical Studies in Industry, CESI 2013 - Proceedings"</f>
        <v>2013 1st International Workshop on Conducting Empirical Studies in Industry, CESI 2013 - Proceedings</v>
      </c>
      <c r="B3283" s="8" t="str">
        <f>"9781467362863"</f>
        <v>9781467362863</v>
      </c>
      <c r="C3283" s="8" t="s">
        <v>9</v>
      </c>
    </row>
    <row r="3284" spans="1:3" x14ac:dyDescent="0.25">
      <c r="A3284" s="8" t="str">
        <f>"2013 1st International Workshop on Data Analysis Patterns in Software Engineering, DAPSE 2013 - Proceedings"</f>
        <v>2013 1st International Workshop on Data Analysis Patterns in Software Engineering, DAPSE 2013 - Proceedings</v>
      </c>
      <c r="B3284" s="8" t="str">
        <f>"9781467362962"</f>
        <v>9781467362962</v>
      </c>
      <c r="C3284" s="8" t="s">
        <v>9</v>
      </c>
    </row>
    <row r="3285" spans="1:3" x14ac:dyDescent="0.25">
      <c r="A3285" s="8" t="str">
        <f>"2013 1st International Workshop on Live Programming, LIVE 2013 - Proceedings"</f>
        <v>2013 1st International Workshop on Live Programming, LIVE 2013 - Proceedings</v>
      </c>
      <c r="B3285" s="8" t="str">
        <f>"9781467362658"</f>
        <v>9781467362658</v>
      </c>
      <c r="C3285" s="8" t="s">
        <v>9</v>
      </c>
    </row>
    <row r="3286" spans="1:3" x14ac:dyDescent="0.25">
      <c r="A3286" s="8" t="str">
        <f>"2013 1st International Workshop on Natural Language Analysis in Software Engineering, NaturaLiSE 2013 - Proceedings"</f>
        <v>2013 1st International Workshop on Natural Language Analysis in Software Engineering, NaturaLiSE 2013 - Proceedings</v>
      </c>
      <c r="B3286" s="8" t="str">
        <f>"9781467362719"</f>
        <v>9781467362719</v>
      </c>
      <c r="C3286" s="8" t="s">
        <v>9</v>
      </c>
    </row>
    <row r="3287" spans="1:3" x14ac:dyDescent="0.25">
      <c r="A3287" s="8" t="str">
        <f>"2013 1st International Workshop on Release Engineering, RELENG 2013 - Proceedings"</f>
        <v>2013 1st International Workshop on Release Engineering, RELENG 2013 - Proceedings</v>
      </c>
      <c r="B3287" s="8" t="str">
        <f>"9781467364416"</f>
        <v>9781467364416</v>
      </c>
      <c r="C3287" s="8" t="s">
        <v>9</v>
      </c>
    </row>
    <row r="3288" spans="1:3" x14ac:dyDescent="0.25">
      <c r="A3288" s="8" t="str">
        <f>"2013 1st International Workshop on Software Development Lifecycle for Mobile, DeMobile 2013 - Proceedings"</f>
        <v>2013 1st International Workshop on Software Development Lifecycle for Mobile, DeMobile 2013 - Proceedings</v>
      </c>
      <c r="B3288" s="8" t="str">
        <f>"9781450323123"</f>
        <v>9781450323123</v>
      </c>
      <c r="C3288" s="8" t="s">
        <v>21</v>
      </c>
    </row>
    <row r="3289" spans="1:3" x14ac:dyDescent="0.25">
      <c r="A3289" s="8" t="str">
        <f>"2013 1st International Workshop on Software Ecosystem Architectures, WEA 2013 - Proceedings"</f>
        <v>2013 1st International Workshop on Software Ecosystem Architectures, WEA 2013 - Proceedings</v>
      </c>
      <c r="B3289" s="8" t="str">
        <f>"9781450323147"</f>
        <v>9781450323147</v>
      </c>
      <c r="C3289" s="8" t="s">
        <v>21</v>
      </c>
    </row>
    <row r="3290" spans="1:3" x14ac:dyDescent="0.25">
      <c r="A3290" s="8" t="str">
        <f>"2013 1st International Workshop on the Engineering of Mobile-Enabled Systems, MOBS 2013 - Proceedings"</f>
        <v>2013 1st International Workshop on the Engineering of Mobile-Enabled Systems, MOBS 2013 - Proceedings</v>
      </c>
      <c r="B3290" s="8" t="str">
        <f>"9781467363334"</f>
        <v>9781467363334</v>
      </c>
      <c r="C3290" s="8" t="s">
        <v>9</v>
      </c>
    </row>
    <row r="3291" spans="1:3" x14ac:dyDescent="0.25">
      <c r="A3291" s="8" t="str">
        <f>"2013 1st Workshop on Virtual and Augmented Assistive Technology, VAAT 2013; Co-located with the 2013 Virtual Reality Conference - Proceedings"</f>
        <v>2013 1st Workshop on Virtual and Augmented Assistive Technology, VAAT 2013; Co-located with the 2013 Virtual Reality Conference - Proceedings</v>
      </c>
      <c r="B3291" s="8" t="str">
        <f>"9781479938964"</f>
        <v>9781479938964</v>
      </c>
      <c r="C3291" s="8" t="s">
        <v>9</v>
      </c>
    </row>
    <row r="3292" spans="1:3" x14ac:dyDescent="0.25">
      <c r="A3292" s="8" t="str">
        <f>"2013 20th International Conference on Telecommunications, ICT 2013"</f>
        <v>2013 20th International Conference on Telecommunications, ICT 2013</v>
      </c>
      <c r="B3292" s="8" t="str">
        <f>"9781467364263"</f>
        <v>9781467364263</v>
      </c>
      <c r="C3292" s="8" t="s">
        <v>9</v>
      </c>
    </row>
    <row r="3293" spans="1:3" x14ac:dyDescent="0.25">
      <c r="A3293" s="8" t="str">
        <f>"2013 20th International Packet Video Workshop, PV 2013"</f>
        <v>2013 20th International Packet Video Workshop, PV 2013</v>
      </c>
      <c r="B3293" s="8" t="str">
        <f>"9781479921720"</f>
        <v>9781479921720</v>
      </c>
      <c r="C3293" s="8" t="s">
        <v>9</v>
      </c>
    </row>
    <row r="3294" spans="1:3" x14ac:dyDescent="0.25">
      <c r="A3294" s="8" t="str">
        <f>"2013 20th Iranian Conference on Biomedical Engineering, ICBME 2013"</f>
        <v>2013 20th Iranian Conference on Biomedical Engineering, ICBME 2013</v>
      </c>
      <c r="B3294" s="8" t="str">
        <f>"9781479932320"</f>
        <v>9781479932320</v>
      </c>
      <c r="C3294" s="8" t="s">
        <v>9</v>
      </c>
    </row>
    <row r="3295" spans="1:3" x14ac:dyDescent="0.25">
      <c r="A3295" s="8" t="str">
        <f>"2013 21st Annual North American Waste-to-Energy Conference, NAWTEC 2013"</f>
        <v>2013 21st Annual North American Waste-to-Energy Conference, NAWTEC 2013</v>
      </c>
      <c r="B3295" s="8" t="str">
        <f>"9780791855447"</f>
        <v>9780791855447</v>
      </c>
      <c r="C3295" s="8" t="s">
        <v>73</v>
      </c>
    </row>
    <row r="3296" spans="1:3" x14ac:dyDescent="0.25">
      <c r="A3296" s="8" t="str">
        <f>"2013 21st IEEE International Requirements Engineering Conference, RE 2013 - Proceedings"</f>
        <v>2013 21st IEEE International Requirements Engineering Conference, RE 2013 - Proceedings</v>
      </c>
      <c r="B3296" s="8" t="str">
        <f>"9781467357654"</f>
        <v>9781467357654</v>
      </c>
      <c r="C3296" s="8" t="s">
        <v>9</v>
      </c>
    </row>
    <row r="3297" spans="1:3" x14ac:dyDescent="0.25">
      <c r="A3297" s="8" t="str">
        <f>"2013 21st International Conference on Software, Telecommunications and Computer Networks, SoftCOM 2013"</f>
        <v>2013 21st International Conference on Software, Telecommunications and Computer Networks, SoftCOM 2013</v>
      </c>
      <c r="B3297" s="8" t="str">
        <f>"9789532900439"</f>
        <v>9789532900439</v>
      </c>
      <c r="C3297" s="8" t="s">
        <v>9</v>
      </c>
    </row>
    <row r="3298" spans="1:3" x14ac:dyDescent="0.25">
      <c r="A3298" s="8" t="str">
        <f>"2013 21st Iranian Conference on Electrical Engineering, ICEE 2013"</f>
        <v>2013 21st Iranian Conference on Electrical Engineering, ICEE 2013</v>
      </c>
      <c r="B3298" s="8" t="str">
        <f>"9781467356343"</f>
        <v>9781467356343</v>
      </c>
      <c r="C3298" s="8" t="s">
        <v>9</v>
      </c>
    </row>
    <row r="3299" spans="1:3" x14ac:dyDescent="0.25">
      <c r="A3299" s="8" t="str">
        <f>"2013 21st Mediterranean Conference on Control and Automation, MED 2013 - Conference Proceedings"</f>
        <v>2013 21st Mediterranean Conference on Control and Automation, MED 2013 - Conference Proceedings</v>
      </c>
      <c r="B3299" s="8" t="str">
        <f>"9781479909971"</f>
        <v>9781479909971</v>
      </c>
      <c r="C3299" s="8" t="s">
        <v>9</v>
      </c>
    </row>
    <row r="3300" spans="1:3" x14ac:dyDescent="0.25">
      <c r="A3300" s="8" t="str">
        <f>"2013 21st Signal Processing and Communications Applications Conference, SIU 2013"</f>
        <v>2013 21st Signal Processing and Communications Applications Conference, SIU 2013</v>
      </c>
      <c r="B3300" s="8" t="str">
        <f>"9781467355629"</f>
        <v>9781467355629</v>
      </c>
      <c r="C3300" s="8" t="s">
        <v>9</v>
      </c>
    </row>
    <row r="3301" spans="1:3" x14ac:dyDescent="0.25">
      <c r="A3301" s="8" t="str">
        <f>"2013 21st Telecommunications Forum Telfor, TELFOR 2013 - Proceedings of Papers"</f>
        <v>2013 21st Telecommunications Forum Telfor, TELFOR 2013 - Proceedings of Papers</v>
      </c>
      <c r="B3301" s="8" t="str">
        <f>"9781479914197"</f>
        <v>9781479914197</v>
      </c>
      <c r="C3301" s="8" t="s">
        <v>9</v>
      </c>
    </row>
    <row r="3302" spans="1:3" x14ac:dyDescent="0.25">
      <c r="A3302" s="8" t="str">
        <f>"2013 22nd International Conference on Noise and Fluctuations, ICNF 2013"</f>
        <v>2013 22nd International Conference on Noise and Fluctuations, ICNF 2013</v>
      </c>
      <c r="B3302" s="8" t="str">
        <f>"9781479906680"</f>
        <v>9781479906680</v>
      </c>
      <c r="C3302" s="8" t="s">
        <v>9</v>
      </c>
    </row>
    <row r="3303" spans="1:3" x14ac:dyDescent="0.25">
      <c r="A3303" s="8" t="str">
        <f>"2013 22nd ITC Specialist Seminar on Energy Efficient and Green Networking, SSEEGN 2013"</f>
        <v>2013 22nd ITC Specialist Seminar on Energy Efficient and Green Networking, SSEEGN 2013</v>
      </c>
      <c r="B3303" s="8" t="str">
        <f>"9781479909773"</f>
        <v>9781479909773</v>
      </c>
      <c r="C3303" s="8" t="s">
        <v>9</v>
      </c>
    </row>
    <row r="3304" spans="1:3" x14ac:dyDescent="0.25">
      <c r="A3304" s="8" t="str">
        <f>"2013 23rd International Conference on Field Programmable Logic and Applications, FPL 2013 - Proceedings"</f>
        <v>2013 23rd International Conference on Field Programmable Logic and Applications, FPL 2013 - Proceedings</v>
      </c>
      <c r="B3304" s="8" t="str">
        <f>"9781479900046"</f>
        <v>9781479900046</v>
      </c>
      <c r="C3304" s="8" t="s">
        <v>9</v>
      </c>
    </row>
    <row r="3305" spans="1:3" x14ac:dyDescent="0.25">
      <c r="A3305" s="8" t="str">
        <f>"2013 23rd International Workshop on Power and Timing Modeling, Optimization and Simulation, PATMOS 2013"</f>
        <v>2013 23rd International Workshop on Power and Timing Modeling, Optimization and Simulation, PATMOS 2013</v>
      </c>
      <c r="B3305" s="8" t="str">
        <f>"9781479911707"</f>
        <v>9781479911707</v>
      </c>
      <c r="C3305" s="8" t="s">
        <v>9</v>
      </c>
    </row>
    <row r="3306" spans="1:3" x14ac:dyDescent="0.25">
      <c r="A3306" s="8" t="str">
        <f>"2013 24th International Conference on Information, Communication and Automation Technologies, ICAT 2013"</f>
        <v>2013 24th International Conference on Information, Communication and Automation Technologies, ICAT 2013</v>
      </c>
      <c r="B3306" s="8" t="str">
        <f>"9781479904310"</f>
        <v>9781479904310</v>
      </c>
      <c r="C3306" s="8" t="s">
        <v>9</v>
      </c>
    </row>
    <row r="3307" spans="1:3" x14ac:dyDescent="0.25">
      <c r="A3307" s="8" t="str">
        <f>"2013 24th Tyrrhenian International Workshop on Digital Communications - Green ICT, TIWDC 2013"</f>
        <v>2013 24th Tyrrhenian International Workshop on Digital Communications - Green ICT, TIWDC 2013</v>
      </c>
      <c r="B3307" s="8" t="str">
        <f>"9781479907564"</f>
        <v>9781479907564</v>
      </c>
      <c r="C3307" s="8" t="s">
        <v>9</v>
      </c>
    </row>
    <row r="3308" spans="1:3" x14ac:dyDescent="0.25">
      <c r="A3308" s="8" t="str">
        <f>"2013 25th Chinese Control and Decision Conference, CCDC 2013"</f>
        <v>2013 25th Chinese Control and Decision Conference, CCDC 2013</v>
      </c>
      <c r="B3308" s="8" t="str">
        <f>"9781467355322"</f>
        <v>9781467355322</v>
      </c>
      <c r="C3308" s="8" t="s">
        <v>9</v>
      </c>
    </row>
    <row r="3309" spans="1:3" x14ac:dyDescent="0.25">
      <c r="A3309" s="8" t="str">
        <f>"2013 25th International Conference on Microelectronics, ICM 2013"</f>
        <v>2013 25th International Conference on Microelectronics, ICM 2013</v>
      </c>
      <c r="B3309" s="8" t="str">
        <f>"9781479935703"</f>
        <v>9781479935703</v>
      </c>
      <c r="C3309" s="8" t="s">
        <v>9</v>
      </c>
    </row>
    <row r="3310" spans="1:3" x14ac:dyDescent="0.25">
      <c r="A3310" s="8" t="str">
        <f>"2013 26th International Vacuum Nanoelectronics Conference, IVNC 2013"</f>
        <v>2013 26th International Vacuum Nanoelectronics Conference, IVNC 2013</v>
      </c>
      <c r="B3310" s="8" t="str">
        <f>"9781467359931"</f>
        <v>9781467359931</v>
      </c>
      <c r="C3310" s="8" t="s">
        <v>9</v>
      </c>
    </row>
    <row r="3311" spans="1:3" x14ac:dyDescent="0.25">
      <c r="A3311" s="8" t="str">
        <f>"2013 28th IEEE/ACM International Conference on Automated Software Engineering, ASE 2013 - Proceedings"</f>
        <v>2013 28th IEEE/ACM International Conference on Automated Software Engineering, ASE 2013 - Proceedings</v>
      </c>
      <c r="B3311" s="8" t="str">
        <f>"9781479902156"</f>
        <v>9781479902156</v>
      </c>
      <c r="C3311" s="8" t="s">
        <v>9</v>
      </c>
    </row>
    <row r="3312" spans="1:3" x14ac:dyDescent="0.25">
      <c r="A3312" s="8" t="str">
        <f>"2013 2nd International Conference on Advances in Biomedical Engineering, ICABME 2013"</f>
        <v>2013 2nd International Conference on Advances in Biomedical Engineering, ICABME 2013</v>
      </c>
      <c r="B3312" s="8" t="str">
        <f>"9781479902514"</f>
        <v>9781479902514</v>
      </c>
      <c r="C3312" s="8" t="s">
        <v>105</v>
      </c>
    </row>
    <row r="3313" spans="1:3" x14ac:dyDescent="0.25">
      <c r="A3313" s="8" t="str">
        <f>"2013 2nd International Conference on Agro-Geoinformatics: Information for Sustainable Agriculture, Agro-Geoinformatics 2013"</f>
        <v>2013 2nd International Conference on Agro-Geoinformatics: Information for Sustainable Agriculture, Agro-Geoinformatics 2013</v>
      </c>
      <c r="B3313" s="8" t="str">
        <f>"9781479908684"</f>
        <v>9781479908684</v>
      </c>
      <c r="C3313" s="8" t="s">
        <v>9</v>
      </c>
    </row>
    <row r="3314" spans="1:3" x14ac:dyDescent="0.25">
      <c r="A3314" s="8" t="str">
        <f>"2013 2nd International Conference on E-Learning and E-Technologies in Education, ICEEE 2013"</f>
        <v>2013 2nd International Conference on E-Learning and E-Technologies in Education, ICEEE 2013</v>
      </c>
      <c r="B3314" s="8" t="str">
        <f>"9781467350945"</f>
        <v>9781467350945</v>
      </c>
      <c r="C3314" s="8" t="s">
        <v>9</v>
      </c>
    </row>
    <row r="3315" spans="1:3" x14ac:dyDescent="0.25">
      <c r="A3315" s="8" t="str">
        <f>"2013 2nd International Conference on Electric Power Equipment - Switching Technology, ICEPE-ST 2013"</f>
        <v>2013 2nd International Conference on Electric Power Equipment - Switching Technology, ICEPE-ST 2013</v>
      </c>
      <c r="B3315" s="8" t="str">
        <f>"9781479938179"</f>
        <v>9781479938179</v>
      </c>
      <c r="C3315" s="8" t="s">
        <v>9</v>
      </c>
    </row>
    <row r="3316" spans="1:3" x14ac:dyDescent="0.25">
      <c r="A3316" s="8" t="str">
        <f>"2013 2nd International Conference on Informatics and Applications, ICIA 2013"</f>
        <v>2013 2nd International Conference on Informatics and Applications, ICIA 2013</v>
      </c>
      <c r="B3316" s="8" t="str">
        <f>"9781467352567"</f>
        <v>9781467352567</v>
      </c>
      <c r="C3316" s="8" t="s">
        <v>9</v>
      </c>
    </row>
    <row r="3317" spans="1:3" x14ac:dyDescent="0.25">
      <c r="A3317" s="8" t="str">
        <f>"2013 2nd International Conference on Systems and Computer Science, ICSCS 2013"</f>
        <v>2013 2nd International Conference on Systems and Computer Science, ICSCS 2013</v>
      </c>
      <c r="B3317" s="8" t="str">
        <f>"9781479920204"</f>
        <v>9781479920204</v>
      </c>
      <c r="C3317" s="8" t="s">
        <v>9</v>
      </c>
    </row>
    <row r="3318" spans="1:3" x14ac:dyDescent="0.25">
      <c r="A3318" s="8" t="str">
        <f>"2013 2nd International Congress of Engineering Mechatronics and Automation, CIIMA 2013 - Conference Proceedings"</f>
        <v>2013 2nd International Congress of Engineering Mechatronics and Automation, CIIMA 2013 - Conference Proceedings</v>
      </c>
      <c r="B3318" s="8" t="str">
        <f>"9781479924714"</f>
        <v>9781479924714</v>
      </c>
      <c r="C3318" s="8" t="s">
        <v>9</v>
      </c>
    </row>
    <row r="3319" spans="1:3" x14ac:dyDescent="0.25">
      <c r="A3319" s="8" t="str">
        <f>"2013 2nd International Workshop on Green and Sustainable Software, GREENS 2013 - Proceedings"</f>
        <v>2013 2nd International Workshop on Green and Sustainable Software, GREENS 2013 - Proceedings</v>
      </c>
      <c r="B3319" s="8" t="str">
        <f>"9781467362672"</f>
        <v>9781467362672</v>
      </c>
      <c r="C3319" s="8" t="s">
        <v>9</v>
      </c>
    </row>
    <row r="3320" spans="1:3" x14ac:dyDescent="0.25">
      <c r="A3320" s="8" t="str">
        <f>"2013 2nd International Workshop on Realizing Artificial Intelligence Synergies in Software Engineering, RAISE 2013 - Proceedings"</f>
        <v>2013 2nd International Workshop on Realizing Artificial Intelligence Synergies in Software Engineering, RAISE 2013 - Proceedings</v>
      </c>
      <c r="B3320" s="8" t="str">
        <f>"9781467364379"</f>
        <v>9781467364379</v>
      </c>
      <c r="C3320" s="8" t="s">
        <v>9</v>
      </c>
    </row>
    <row r="3321" spans="1:3" x14ac:dyDescent="0.25">
      <c r="A3321" s="8" t="str">
        <f>"2013 2nd International Workshop on Software Engineering Challenges for the Smart Grid, SE4SG 2013 - Proceedings"</f>
        <v>2013 2nd International Workshop on Software Engineering Challenges for the Smart Grid, SE4SG 2013 - Proceedings</v>
      </c>
      <c r="B3321" s="8" t="str">
        <f>"9781467362801"</f>
        <v>9781467362801</v>
      </c>
      <c r="C3321" s="8" t="s">
        <v>9</v>
      </c>
    </row>
    <row r="3322" spans="1:3" x14ac:dyDescent="0.25">
      <c r="A3322" s="8" t="str">
        <f>"2013 2nd International Workshop on the Twin Peaks of Requirements and Architecture, TwinPeaks 2013 - Proceedings"</f>
        <v>2013 2nd International Workshop on the Twin Peaks of Requirements and Architecture, TwinPeaks 2013 - Proceedings</v>
      </c>
      <c r="B3322" s="8" t="str">
        <f>"9781467364393"</f>
        <v>9781467364393</v>
      </c>
      <c r="C3322" s="8" t="s">
        <v>9</v>
      </c>
    </row>
    <row r="3323" spans="1:3" x14ac:dyDescent="0.25">
      <c r="A3323" s="8" t="str">
        <f>"2013 2nd International Workshop on User Evaluations for Software Engineering Researchers, USER 2013 - Proceedings"</f>
        <v>2013 2nd International Workshop on User Evaluations for Software Engineering Researchers, USER 2013 - Proceedings</v>
      </c>
      <c r="B3323" s="8" t="str">
        <f>"9781467364331"</f>
        <v>9781467364331</v>
      </c>
      <c r="C3323" s="8" t="s">
        <v>9</v>
      </c>
    </row>
    <row r="3324" spans="1:3" x14ac:dyDescent="0.25">
      <c r="A3324" s="8" t="str">
        <f>"2013 2nd SEMAT Workshop on a General Theory of Software Engineering, GTSE 2013 - Proceedings"</f>
        <v>2013 2nd SEMAT Workshop on a General Theory of Software Engineering, GTSE 2013 - Proceedings</v>
      </c>
      <c r="B3324" s="8" t="str">
        <f>"9781467362733"</f>
        <v>9781467362733</v>
      </c>
      <c r="C3324" s="8" t="s">
        <v>9</v>
      </c>
    </row>
    <row r="3325" spans="1:3" x14ac:dyDescent="0.25">
      <c r="A3325" s="8" t="str">
        <f>"2013 36th International Conference on Telecommunications and Signal Processing, TSP 2013"</f>
        <v>2013 36th International Conference on Telecommunications and Signal Processing, TSP 2013</v>
      </c>
      <c r="B3325" s="8" t="str">
        <f>"9781479904044"</f>
        <v>9781479904044</v>
      </c>
      <c r="C3325" s="8" t="s">
        <v>9</v>
      </c>
    </row>
    <row r="3326" spans="1:3" x14ac:dyDescent="0.25">
      <c r="A3326" s="8" t="str">
        <f>"2013 36th International Convention on Information and Communication Technology, Electronics and Microelectronics, MIPRO 2013 - Proceedings"</f>
        <v>2013 36th International Convention on Information and Communication Technology, Electronics and Microelectronics, MIPRO 2013 - Proceedings</v>
      </c>
      <c r="B3326" s="8" t="str">
        <f>"9789532330762"</f>
        <v>9789532330762</v>
      </c>
      <c r="C3326" s="8" t="s">
        <v>9</v>
      </c>
    </row>
    <row r="3327" spans="1:3" x14ac:dyDescent="0.25">
      <c r="A3327" s="8" t="str">
        <f>"2013 3rd Australian Control Conference, AUCC 2013"</f>
        <v>2013 3rd Australian Control Conference, AUCC 2013</v>
      </c>
      <c r="B3327" s="8" t="str">
        <f>"9781479924981"</f>
        <v>9781479924981</v>
      </c>
      <c r="C3327" s="8" t="s">
        <v>9</v>
      </c>
    </row>
    <row r="3328" spans="1:3" x14ac:dyDescent="0.25">
      <c r="A3328" s="8" t="str">
        <f>"2013 3rd Berkeley Symposium on Energy Efficient Electronic Systems, E3S 2013 - Proceedings"</f>
        <v>2013 3rd Berkeley Symposium on Energy Efficient Electronic Systems, E3S 2013 - Proceedings</v>
      </c>
      <c r="B3328" s="8" t="str">
        <f>"9781479933723"</f>
        <v>9781479933723</v>
      </c>
      <c r="C3328" s="8" t="s">
        <v>9</v>
      </c>
    </row>
    <row r="3329" spans="1:3" x14ac:dyDescent="0.25">
      <c r="A3329" s="8" t="str">
        <f>"2013 3rd IEEE International Conference on Computer, Control and Communication, IC4 2013"</f>
        <v>2013 3rd IEEE International Conference on Computer, Control and Communication, IC4 2013</v>
      </c>
      <c r="B3329" s="8" t="str">
        <f>"9781467358859"</f>
        <v>9781467358859</v>
      </c>
      <c r="C3329" s="8" t="s">
        <v>9</v>
      </c>
    </row>
    <row r="3330" spans="1:3" x14ac:dyDescent="0.25">
      <c r="A3330" s="8" t="str">
        <f>"2013 3rd International Conference on Advancements in Nuclear Instrumentation, Measurement Methods and Their Applications, ANIMMA 2013"</f>
        <v>2013 3rd International Conference on Advancements in Nuclear Instrumentation, Measurement Methods and Their Applications, ANIMMA 2013</v>
      </c>
      <c r="B3330" s="8" t="str">
        <f>"9781479910472"</f>
        <v>9781479910472</v>
      </c>
      <c r="C3330" s="8" t="s">
        <v>9</v>
      </c>
    </row>
    <row r="3331" spans="1:3" x14ac:dyDescent="0.25">
      <c r="A3331" s="8" t="str">
        <f>"2013 3rd International Conference on Communications and Information Technology, ICCIT 2013"</f>
        <v>2013 3rd International Conference on Communications and Information Technology, ICCIT 2013</v>
      </c>
      <c r="B3331" s="8" t="str">
        <f>"9781467353076"</f>
        <v>9781467353076</v>
      </c>
      <c r="C3331" s="8" t="s">
        <v>9</v>
      </c>
    </row>
    <row r="3332" spans="1:3" x14ac:dyDescent="0.25">
      <c r="A3332" s="8" t="str">
        <f>"2013 3rd International Conference on Consumer Electronics, Communications and Networks, CECNet 2013 - Proceedings"</f>
        <v>2013 3rd International Conference on Consumer Electronics, Communications and Networks, CECNet 2013 - Proceedings</v>
      </c>
      <c r="B3332" s="8" t="str">
        <f>"9781479928590"</f>
        <v>9781479928590</v>
      </c>
      <c r="C3332" s="8" t="s">
        <v>9</v>
      </c>
    </row>
    <row r="3333" spans="1:3" x14ac:dyDescent="0.25">
      <c r="A3333" s="8" t="str">
        <f>"2013 3rd International Conference on Electric Power and Energy Conversion Systems, EPECS 2013"</f>
        <v>2013 3rd International Conference on Electric Power and Energy Conversion Systems, EPECS 2013</v>
      </c>
      <c r="B3333" s="8" t="str">
        <f>"9781479906888"</f>
        <v>9781479906888</v>
      </c>
      <c r="C3333" s="8" t="s">
        <v>9</v>
      </c>
    </row>
    <row r="3334" spans="1:3" x14ac:dyDescent="0.25">
      <c r="A3334" s="8" t="str">
        <f>"2013 3rd International Conference on Innovative Computing Technology, INTECH 2013"</f>
        <v>2013 3rd International Conference on Innovative Computing Technology, INTECH 2013</v>
      </c>
      <c r="B3334" s="8" t="str">
        <f>"9781479900473"</f>
        <v>9781479900473</v>
      </c>
      <c r="C3334" s="8" t="s">
        <v>9</v>
      </c>
    </row>
    <row r="3335" spans="1:3" x14ac:dyDescent="0.25">
      <c r="A3335" s="8" t="str">
        <f>"2013 3rd International Conference on Systems and Control, ICSC 2013"</f>
        <v>2013 3rd International Conference on Systems and Control, ICSC 2013</v>
      </c>
      <c r="B3335" s="8" t="str">
        <f>"9781479902750"</f>
        <v>9781479902750</v>
      </c>
      <c r="C3335" s="8" t="s">
        <v>9</v>
      </c>
    </row>
    <row r="3336" spans="1:3" x14ac:dyDescent="0.25">
      <c r="A3336" s="8" t="str">
        <f>"2013 3rd International Conference on Wireless Communications, Vehicular Technology, Information Theory and Aerospace and Electronic Systems, VITAE 2013 - Co-located with Global Wireless Summit 2013"</f>
        <v>2013 3rd International Conference on Wireless Communications, Vehicular Technology, Information Theory and Aerospace and Electronic Systems, VITAE 2013 - Co-located with Global Wireless Summit 2013</v>
      </c>
      <c r="B3336" s="8" t="str">
        <f>"9781479902392"</f>
        <v>9781479902392</v>
      </c>
      <c r="C3336" s="8" t="s">
        <v>9</v>
      </c>
    </row>
    <row r="3337" spans="1:3" x14ac:dyDescent="0.25">
      <c r="A3337" s="8" t="str">
        <f>"2013 3rd International Electric Drives Production Conference, EDPC 2013 - Proceedings"</f>
        <v>2013 3rd International Electric Drives Production Conference, EDPC 2013 - Proceedings</v>
      </c>
      <c r="B3337" s="8" t="str">
        <f>"9781479911028"</f>
        <v>9781479911028</v>
      </c>
      <c r="C3337" s="8" t="s">
        <v>9</v>
      </c>
    </row>
    <row r="3338" spans="1:3" x14ac:dyDescent="0.25">
      <c r="A3338" s="8" t="str">
        <f>"2013 3rd International Symposium ISKO-Maghreb"</f>
        <v>2013 3rd International Symposium ISKO-Maghreb</v>
      </c>
      <c r="B3338" s="8" t="str">
        <f>"9781479933921"</f>
        <v>9781479933921</v>
      </c>
      <c r="C3338" s="8" t="s">
        <v>9</v>
      </c>
    </row>
    <row r="3339" spans="1:3" x14ac:dyDescent="0.25">
      <c r="A3339" s="8" t="str">
        <f>"2013 3rd International Workshop on Collaborative Teaching of Globally Distributed Software Development, CTGDSD 2013 - Proceedings"</f>
        <v>2013 3rd International Workshop on Collaborative Teaching of Globally Distributed Software Development, CTGDSD 2013 - Proceedings</v>
      </c>
      <c r="B3339" s="8" t="str">
        <f>"9781467362948"</f>
        <v>9781467362948</v>
      </c>
      <c r="C3339" s="8" t="s">
        <v>9</v>
      </c>
    </row>
    <row r="3340" spans="1:3" x14ac:dyDescent="0.25">
      <c r="A3340" s="8" t="str">
        <f>"2013 3rd International Workshop on Comparing Requirements Modeling Approaches, CMA@RE 2013 - Proceedings"</f>
        <v>2013 3rd International Workshop on Comparing Requirements Modeling Approaches, CMA@RE 2013 - Proceedings</v>
      </c>
      <c r="B3340" s="8" t="str">
        <f>"9781479907793"</f>
        <v>9781479907793</v>
      </c>
      <c r="C3340" s="8" t="s">
        <v>9</v>
      </c>
    </row>
    <row r="3341" spans="1:3" x14ac:dyDescent="0.25">
      <c r="A3341" s="8" t="str">
        <f>"2013 3rd International Workshop on Empirical Requirements Engineering, EmpiRE 2013 - Proceedings"</f>
        <v>2013 3rd International Workshop on Empirical Requirements Engineering, EmpiRE 2013 - Proceedings</v>
      </c>
      <c r="B3341" s="8" t="str">
        <f>"9781479910113"</f>
        <v>9781479910113</v>
      </c>
      <c r="C3341" s="8" t="s">
        <v>9</v>
      </c>
    </row>
    <row r="3342" spans="1:3" x14ac:dyDescent="0.25">
      <c r="A3342" s="8" t="str">
        <f>"2013 3rd International Workshop on Games and Software Engineering: Engineering Computer Games to Enable Positive, Progressive Change, GAS 2013 - Proceedings"</f>
        <v>2013 3rd International Workshop on Games and Software Engineering: Engineering Computer Games to Enable Positive, Progressive Change, GAS 2013 - Proceedings</v>
      </c>
      <c r="B3342" s="8" t="str">
        <f>"9781467362634"</f>
        <v>9781467362634</v>
      </c>
      <c r="C3342" s="8" t="s">
        <v>9</v>
      </c>
    </row>
    <row r="3343" spans="1:3" x14ac:dyDescent="0.25">
      <c r="A3343" s="8" t="str">
        <f>"2013 3rd International Workshop on Model-Driven Requirements Engineering, MoDRE 2013 - Proceedings"</f>
        <v>2013 3rd International Workshop on Model-Driven Requirements Engineering, MoDRE 2013 - Proceedings</v>
      </c>
      <c r="B3343" s="8" t="str">
        <f>"9781479909469"</f>
        <v>9781479909469</v>
      </c>
      <c r="C3343" s="8" t="s">
        <v>9</v>
      </c>
    </row>
    <row r="3344" spans="1:3" x14ac:dyDescent="0.25">
      <c r="A3344" s="8" t="str">
        <f>"2013 3rd International Workshop on Requirements Patterns, RePa 2013 - Proceedings"</f>
        <v>2013 3rd International Workshop on Requirements Patterns, RePa 2013 - Proceedings</v>
      </c>
      <c r="B3344" s="8" t="str">
        <f>"9781479909483"</f>
        <v>9781479909483</v>
      </c>
      <c r="C3344" s="8" t="s">
        <v>9</v>
      </c>
    </row>
    <row r="3345" spans="1:3" x14ac:dyDescent="0.25">
      <c r="A3345" s="8" t="str">
        <f>"2013 3rd International Workshop on the Twin Peaks of Requirements and Architecture, TwinPeaks 2013 - Proceedings"</f>
        <v>2013 3rd International Workshop on the Twin Peaks of Requirements and Architecture, TwinPeaks 2013 - Proceedings</v>
      </c>
      <c r="B3345" s="8" t="str">
        <f>"9781479909629"</f>
        <v>9781479909629</v>
      </c>
      <c r="C3345" s="8" t="s">
        <v>9</v>
      </c>
    </row>
    <row r="3346" spans="1:3" x14ac:dyDescent="0.25">
      <c r="A3346" s="8" t="str">
        <f>"2013 3rd Joint Conference of AI and Robotics and 5th RoboCup Iran Open International Symposium: Learning, Glorious Future, RIOS 2013"</f>
        <v>2013 3rd Joint Conference of AI and Robotics and 5th RoboCup Iran Open International Symposium: Learning, Glorious Future, RIOS 2013</v>
      </c>
      <c r="B3346" s="8" t="str">
        <f>"9781467363150"</f>
        <v>9781467363150</v>
      </c>
      <c r="C3346" s="8" t="s">
        <v>9</v>
      </c>
    </row>
    <row r="3347" spans="1:3" x14ac:dyDescent="0.25">
      <c r="A3347" s="8" t="str">
        <f>"2013 3rd World Congress on Information and Communication Technologies, WICT 2013"</f>
        <v>2013 3rd World Congress on Information and Communication Technologies, WICT 2013</v>
      </c>
      <c r="B3347" s="8" t="str">
        <f>"9781479932306"</f>
        <v>9781479932306</v>
      </c>
      <c r="C3347" s="8" t="s">
        <v>105</v>
      </c>
    </row>
    <row r="3348" spans="1:3" x14ac:dyDescent="0.25">
      <c r="A3348" s="8" t="str">
        <f>"2013 44th International Symposium on Robotics, ISR 2013"</f>
        <v>2013 44th International Symposium on Robotics, ISR 2013</v>
      </c>
      <c r="B3348" s="8" t="str">
        <f>"9781479911738"</f>
        <v>9781479911738</v>
      </c>
      <c r="C3348" s="8" t="s">
        <v>9</v>
      </c>
    </row>
    <row r="3349" spans="1:3" x14ac:dyDescent="0.25">
      <c r="A3349" s="8" t="str">
        <f>"2013 47th Annual Conference on Information Sciences and Systems, CISS 2013"</f>
        <v>2013 47th Annual Conference on Information Sciences and Systems, CISS 2013</v>
      </c>
      <c r="B3349" s="8" t="str">
        <f>"9781467352376"</f>
        <v>9781467352376</v>
      </c>
      <c r="C3349" s="8" t="s">
        <v>9</v>
      </c>
    </row>
    <row r="3350" spans="1:3" x14ac:dyDescent="0.25">
      <c r="A3350" s="8" t="str">
        <f>"2013 4th Annual International Conference on Energy Aware Computing Systems and Applications, ICEAC 2013"</f>
        <v>2013 4th Annual International Conference on Energy Aware Computing Systems and Applications, ICEAC 2013</v>
      </c>
      <c r="B3350" s="8" t="str">
        <f>"9781479925438"</f>
        <v>9781479925438</v>
      </c>
      <c r="C3350" s="8" t="s">
        <v>9</v>
      </c>
    </row>
    <row r="3351" spans="1:3" x14ac:dyDescent="0.25">
      <c r="A3351" s="8" t="str">
        <f>"2013 4th Argentine Symposium and Conference on Embedded Systems, SASE/CASE 2013"</f>
        <v>2013 4th Argentine Symposium and Conference on Embedded Systems, SASE/CASE 2013</v>
      </c>
      <c r="B3351" s="8" t="str">
        <f>"9781479910984"</f>
        <v>9781479910984</v>
      </c>
      <c r="C3351" s="8" t="s">
        <v>9</v>
      </c>
    </row>
    <row r="3352" spans="1:3" x14ac:dyDescent="0.25">
      <c r="A3352" s="8" t="str">
        <f>"2013 4th European Workshop on Visual Information Processing, EUVIP 2013"</f>
        <v>2013 4th European Workshop on Visual Information Processing, EUVIP 2013</v>
      </c>
      <c r="B3352" s="8" t="str">
        <f>"9788293269137"</f>
        <v>9788293269137</v>
      </c>
      <c r="C3352" s="8" t="s">
        <v>9</v>
      </c>
    </row>
    <row r="3353" spans="1:3" x14ac:dyDescent="0.25">
      <c r="A3353" s="8" t="str">
        <f>"2013 4th IEEE International Symposium on Power Electronics for Distributed Generation Systems, PEDG 2013 - Conference Proceedings"</f>
        <v>2013 4th IEEE International Symposium on Power Electronics for Distributed Generation Systems, PEDG 2013 - Conference Proceedings</v>
      </c>
      <c r="B3353" s="8" t="str">
        <f>"9781479906925"</f>
        <v>9781479906925</v>
      </c>
      <c r="C3353" s="8" t="s">
        <v>9</v>
      </c>
    </row>
    <row r="3354" spans="1:3" x14ac:dyDescent="0.25">
      <c r="A3354" s="8" t="str">
        <f>"2013 4th IEEE/PES Innovative Smart Grid Technologies Europe, ISGT Europe 2013"</f>
        <v>2013 4th IEEE/PES Innovative Smart Grid Technologies Europe, ISGT Europe 2013</v>
      </c>
      <c r="B3354" s="8" t="str">
        <f>"9781479929849"</f>
        <v>9781479929849</v>
      </c>
      <c r="C3354" s="8" t="s">
        <v>9</v>
      </c>
    </row>
    <row r="3355" spans="1:3" x14ac:dyDescent="0.25">
      <c r="A3355" s="8" t="str">
        <f>"2013 4th International Conference on Computing, Communications and Networking Technologies, ICCCNT 2013"</f>
        <v>2013 4th International Conference on Computing, Communications and Networking Technologies, ICCCNT 2013</v>
      </c>
      <c r="B3355" s="8" t="str">
        <f>"9781479939268"</f>
        <v>9781479939268</v>
      </c>
      <c r="C3355" s="8" t="s">
        <v>9</v>
      </c>
    </row>
    <row r="3356" spans="1:3" x14ac:dyDescent="0.25">
      <c r="A3356" s="8" t="str">
        <f>"2013 4th International Conference on Information and Communication Technology and Accessibility, ICTA 2013"</f>
        <v>2013 4th International Conference on Information and Communication Technology and Accessibility, ICTA 2013</v>
      </c>
      <c r="B3356" s="8" t="str">
        <f>"9781479927258"</f>
        <v>9781479927258</v>
      </c>
      <c r="C3356" s="8" t="s">
        <v>9</v>
      </c>
    </row>
    <row r="3357" spans="1:3" x14ac:dyDescent="0.25">
      <c r="A3357" s="8" t="str">
        <f>"2013 4th International Conference on the Network of the Future, NoF 2013"</f>
        <v>2013 4th International Conference on the Network of the Future, NoF 2013</v>
      </c>
      <c r="B3357" s="8" t="str">
        <f>"9781479916436"</f>
        <v>9781479916436</v>
      </c>
      <c r="C3357" s="8" t="s">
        <v>9</v>
      </c>
    </row>
    <row r="3358" spans="1:3" x14ac:dyDescent="0.25">
      <c r="A3358" s="8" t="str">
        <f>"2013 4th International Symposium on Electrical and Electronics Engineering, ISEEE 2013 - Proceedings"</f>
        <v>2013 4th International Symposium on Electrical and Electronics Engineering, ISEEE 2013 - Proceedings</v>
      </c>
      <c r="B3358" s="8" t="str">
        <f>"9781479924424"</f>
        <v>9781479924424</v>
      </c>
      <c r="C3358" s="8" t="s">
        <v>9</v>
      </c>
    </row>
    <row r="3359" spans="1:3" x14ac:dyDescent="0.25">
      <c r="A3359" s="8" t="str">
        <f>"2013 4th International Workshop on Fiber Optics in Access Network, FOAN 2013"</f>
        <v>2013 4th International Workshop on Fiber Optics in Access Network, FOAN 2013</v>
      </c>
      <c r="B3359" s="8" t="str">
        <f>"9781479915057"</f>
        <v>9781479915057</v>
      </c>
      <c r="C3359" s="8" t="s">
        <v>9</v>
      </c>
    </row>
    <row r="3360" spans="1:3" x14ac:dyDescent="0.25">
      <c r="A3360" s="8" t="str">
        <f>"2013 4th International Workshop on Managing Technical Debt, MTD 2013 - Proceedings"</f>
        <v>2013 4th International Workshop on Managing Technical Debt, MTD 2013 - Proceedings</v>
      </c>
      <c r="B3360" s="8" t="str">
        <f>"9781467364430"</f>
        <v>9781467364430</v>
      </c>
      <c r="C3360" s="8" t="s">
        <v>9</v>
      </c>
    </row>
    <row r="3361" spans="1:3" x14ac:dyDescent="0.25">
      <c r="A3361" s="8" t="str">
        <f>"2013 4th International Workshop on Product LinE Approaches in Software Engineering, PLEASE 2013 - Proceedings"</f>
        <v>2013 4th International Workshop on Product LinE Approaches in Software Engineering, PLEASE 2013 - Proceedings</v>
      </c>
      <c r="B3361" s="8" t="str">
        <f>"9781467364492"</f>
        <v>9781467364492</v>
      </c>
      <c r="C3361" s="8" t="s">
        <v>9</v>
      </c>
    </row>
    <row r="3362" spans="1:3" x14ac:dyDescent="0.25">
      <c r="A3362" s="8" t="str">
        <f>"2013 4th National Conference on Computer Vision, Pattern Recognition, Image Processing and Graphics, NCVPRIPG 2013"</f>
        <v>2013 4th National Conference on Computer Vision, Pattern Recognition, Image Processing and Graphics, NCVPRIPG 2013</v>
      </c>
      <c r="B3362" s="8" t="str">
        <f>"9781479915880"</f>
        <v>9781479915880</v>
      </c>
      <c r="C3362" s="8" t="s">
        <v>9</v>
      </c>
    </row>
    <row r="3363" spans="1:3" x14ac:dyDescent="0.25">
      <c r="A3363" s="8" t="str">
        <f>"2013 51st Annual Allerton Conference on Communication, Control, and Computing, Allerton 2013"</f>
        <v>2013 51st Annual Allerton Conference on Communication, Control, and Computing, Allerton 2013</v>
      </c>
      <c r="B3363" s="8" t="str">
        <f>"9781479934096"</f>
        <v>9781479934096</v>
      </c>
      <c r="C3363" s="8" t="s">
        <v>9</v>
      </c>
    </row>
    <row r="3364" spans="1:3" x14ac:dyDescent="0.25">
      <c r="A3364" s="8" t="str">
        <f>"2013 5th Computer Science and Electronic Engineering Conference, CEEC 2013 - Conference Proceedings"</f>
        <v>2013 5th Computer Science and Electronic Engineering Conference, CEEC 2013 - Conference Proceedings</v>
      </c>
      <c r="B3364" s="8" t="str">
        <f>"9781479903818"</f>
        <v>9781479903818</v>
      </c>
      <c r="C3364" s="8" t="s">
        <v>9</v>
      </c>
    </row>
    <row r="3365" spans="1:3" x14ac:dyDescent="0.25">
      <c r="A3365" s="8" t="str">
        <f>"2013 5th IEEE International Memory Workshop, IMW 2013"</f>
        <v>2013 5th IEEE International Memory Workshop, IMW 2013</v>
      </c>
      <c r="B3365" s="8" t="str">
        <f>"9781467361675"</f>
        <v>9781467361675</v>
      </c>
      <c r="C3365" s="8" t="s">
        <v>9</v>
      </c>
    </row>
    <row r="3366" spans="1:3" x14ac:dyDescent="0.25">
      <c r="A3366" s="8" t="str">
        <f>"2013 5th IEEE International Symposium on Microwave, Antenna, Propagation and EMC Technologies for Wireless Communications, MAPE 2013"</f>
        <v>2013 5th IEEE International Symposium on Microwave, Antenna, Propagation and EMC Technologies for Wireless Communications, MAPE 2013</v>
      </c>
      <c r="B3366" s="8" t="str">
        <f>"9781467360777"</f>
        <v>9781467360777</v>
      </c>
      <c r="C3366" s="8" t="s">
        <v>9</v>
      </c>
    </row>
    <row r="3367" spans="1:3" x14ac:dyDescent="0.25">
      <c r="A3367" s="8" t="str">
        <f>"2013 5th IEEE International Workshop on Computational Advances in Multi-Sensor Adaptive Processing, CAMSAP 2013"</f>
        <v>2013 5th IEEE International Workshop on Computational Advances in Multi-Sensor Adaptive Processing, CAMSAP 2013</v>
      </c>
      <c r="B3367" s="8" t="str">
        <f>"9781467331463"</f>
        <v>9781467331463</v>
      </c>
      <c r="C3367" s="8" t="s">
        <v>9</v>
      </c>
    </row>
    <row r="3368" spans="1:3" x14ac:dyDescent="0.25">
      <c r="A3368" s="8" t="str">
        <f>"2013 5th International Conference on Advanced Computing, ICoAC 2013"</f>
        <v>2013 5th International Conference on Advanced Computing, ICoAC 2013</v>
      </c>
      <c r="B3368" s="8" t="str">
        <f>"9781479934478"</f>
        <v>9781479934478</v>
      </c>
      <c r="C3368" s="8" t="s">
        <v>105</v>
      </c>
    </row>
    <row r="3369" spans="1:3" x14ac:dyDescent="0.25">
      <c r="A3369" s="8" t="str">
        <f>"2013 5th International Conference on Communication Systems and Networks, COMSNETS 2013"</f>
        <v>2013 5th International Conference on Communication Systems and Networks, COMSNETS 2013</v>
      </c>
      <c r="B3369" s="8" t="str">
        <f>"9781467354943"</f>
        <v>9781467354943</v>
      </c>
      <c r="C3369" s="8" t="s">
        <v>9</v>
      </c>
    </row>
    <row r="3370" spans="1:3" x14ac:dyDescent="0.25">
      <c r="A3370" s="8" t="str">
        <f>"2013 5th International Conference on Computational Aspects of Social Networks, CASoN 2013"</f>
        <v>2013 5th International Conference on Computational Aspects of Social Networks, CASoN 2013</v>
      </c>
      <c r="B3370" s="8" t="str">
        <f>"9781479914098"</f>
        <v>9781479914098</v>
      </c>
      <c r="C3370" s="8" t="s">
        <v>9</v>
      </c>
    </row>
    <row r="3371" spans="1:3" x14ac:dyDescent="0.25">
      <c r="A3371" s="8" t="str">
        <f>"2013 5th International Conference on Computer Science and Information Technology, CSIT 2013 - Proceedings"</f>
        <v>2013 5th International Conference on Computer Science and Information Technology, CSIT 2013 - Proceedings</v>
      </c>
      <c r="B3371" s="8" t="str">
        <f>"9781467358255"</f>
        <v>9781467358255</v>
      </c>
      <c r="C3371" s="8" t="s">
        <v>9</v>
      </c>
    </row>
    <row r="3372" spans="1:3" x14ac:dyDescent="0.25">
      <c r="A3372" s="8" t="str">
        <f>"2013 5th International Conference on Games and Virtual Worlds for Serious Applications, VS-GAMES 2013"</f>
        <v>2013 5th International Conference on Games and Virtual Worlds for Serious Applications, VS-GAMES 2013</v>
      </c>
      <c r="B3372" s="8" t="str">
        <f>"9781479909650"</f>
        <v>9781479909650</v>
      </c>
      <c r="C3372" s="8" t="s">
        <v>9</v>
      </c>
    </row>
    <row r="3373" spans="1:3" x14ac:dyDescent="0.25">
      <c r="A3373" s="8" t="str">
        <f>"2013 5th International Conference on Information and Communication Technology for the Muslim World, ICT4M 2013"</f>
        <v>2013 5th International Conference on Information and Communication Technology for the Muslim World, ICT4M 2013</v>
      </c>
      <c r="B3373" s="8" t="str">
        <f>"9781479901340"</f>
        <v>9781479901340</v>
      </c>
      <c r="C3373" s="8" t="s">
        <v>9</v>
      </c>
    </row>
    <row r="3374" spans="1:3" x14ac:dyDescent="0.25">
      <c r="A3374" s="8" t="str">
        <f>"2013 5th International Conference on Modeling, Simulation and Applied Optimization, ICMSAO 2013"</f>
        <v>2013 5th International Conference on Modeling, Simulation and Applied Optimization, ICMSAO 2013</v>
      </c>
      <c r="B3374" s="8" t="str">
        <f>"9781467358149"</f>
        <v>9781467358149</v>
      </c>
      <c r="C3374" s="8" t="s">
        <v>9</v>
      </c>
    </row>
    <row r="3375" spans="1:3" x14ac:dyDescent="0.25">
      <c r="A3375" s="8" t="str">
        <f>"2013 5th International Workshop on Near Field Communication, NFC 2013"</f>
        <v>2013 5th International Workshop on Near Field Communication, NFC 2013</v>
      </c>
      <c r="B3375" s="8" t="str">
        <f>"9781467348379"</f>
        <v>9781467348379</v>
      </c>
      <c r="C3375" s="8" t="s">
        <v>9</v>
      </c>
    </row>
    <row r="3376" spans="1:3" x14ac:dyDescent="0.25">
      <c r="A3376" s="8" t="str">
        <f>"2013 5th International Workshop on Quality of Multimedia Experience, QoMEX 2013 - Proceedings"</f>
        <v>2013 5th International Workshop on Quality of Multimedia Experience, QoMEX 2013 - Proceedings</v>
      </c>
      <c r="B3376" s="8" t="str">
        <f>"-"</f>
        <v>-</v>
      </c>
      <c r="C3376" s="8" t="s">
        <v>9</v>
      </c>
    </row>
    <row r="3377" spans="1:3" x14ac:dyDescent="0.25">
      <c r="A3377" s="8" t="str">
        <f>"2013 5th International Workshop on Social Software Engineering, SSE 2013 - Proceedings"</f>
        <v>2013 5th International Workshop on Social Software Engineering, SSE 2013 - Proceedings</v>
      </c>
      <c r="B3377" s="8" t="str">
        <f>"9781450323130"</f>
        <v>9781450323130</v>
      </c>
      <c r="C3377" s="8" t="s">
        <v>21</v>
      </c>
    </row>
    <row r="3378" spans="1:3" x14ac:dyDescent="0.25">
      <c r="A3378" s="8" t="str">
        <f>"2013 5th International Workshop on Software Engineering for Computational Science and Engineering, SE-CSE 2013 - Proceedings"</f>
        <v>2013 5th International Workshop on Software Engineering for Computational Science and Engineering, SE-CSE 2013 - Proceedings</v>
      </c>
      <c r="B3378" s="8" t="str">
        <f>"9781467362610"</f>
        <v>9781467362610</v>
      </c>
      <c r="C3378" s="8" t="s">
        <v>9</v>
      </c>
    </row>
    <row r="3379" spans="1:3" x14ac:dyDescent="0.25">
      <c r="A3379" s="8" t="str">
        <f>"2013 5th International Workshop on Software Engineering in Health Care, SEHC 2013 - Proceedings"</f>
        <v>2013 5th International Workshop on Software Engineering in Health Care, SEHC 2013 - Proceedings</v>
      </c>
      <c r="B3379" s="8" t="str">
        <f>"9781467362825"</f>
        <v>9781467362825</v>
      </c>
      <c r="C3379" s="8" t="s">
        <v>9</v>
      </c>
    </row>
    <row r="3380" spans="1:3" x14ac:dyDescent="0.25">
      <c r="A3380" s="8" t="str">
        <f>"2013 6th International Conference on Advanced Computational Intelligence, ICACI 2013 - Proceedings"</f>
        <v>2013 6th International Conference on Advanced Computational Intelligence, ICACI 2013 - Proceedings</v>
      </c>
      <c r="B3380" s="8" t="str">
        <f>"9781467363433"</f>
        <v>9781467363433</v>
      </c>
      <c r="C3380" s="8" t="s">
        <v>9</v>
      </c>
    </row>
    <row r="3381" spans="1:3" x14ac:dyDescent="0.25">
      <c r="A3381" s="8" t="str">
        <f>"2013 6th International Conference on Contemporary Computing, IC3 2013"</f>
        <v>2013 6th International Conference on Contemporary Computing, IC3 2013</v>
      </c>
      <c r="B3381" s="8" t="str">
        <f>"9781479901920"</f>
        <v>9781479901920</v>
      </c>
      <c r="C3381" s="8" t="s">
        <v>9</v>
      </c>
    </row>
    <row r="3382" spans="1:3" x14ac:dyDescent="0.25">
      <c r="A3382" s="8" t="str">
        <f>"2013 6th International Conference on Human System Interactions, HSI 2013"</f>
        <v>2013 6th International Conference on Human System Interactions, HSI 2013</v>
      </c>
      <c r="B3382" s="8" t="str">
        <f>"9781467356374"</f>
        <v>9781467356374</v>
      </c>
      <c r="C3382" s="8" t="s">
        <v>9</v>
      </c>
    </row>
    <row r="3383" spans="1:3" x14ac:dyDescent="0.25">
      <c r="A3383" s="8" t="str">
        <f>"2013 6th International Workshop on Cooperative and Human Aspects of Software Engineering, CHASE 2013 - Proceedings"</f>
        <v>2013 6th International Workshop on Cooperative and Human Aspects of Software Engineering, CHASE 2013 - Proceedings</v>
      </c>
      <c r="B3383" s="8" t="str">
        <f>"9781467362900"</f>
        <v>9781467362900</v>
      </c>
      <c r="C3383" s="8" t="s">
        <v>9</v>
      </c>
    </row>
    <row r="3384" spans="1:3" x14ac:dyDescent="0.25">
      <c r="A3384" s="8" t="str">
        <f>"2013 6th International Workshop on Requirements Engineering and Law, RELAW 2013 - Proceedings"</f>
        <v>2013 6th International Workshop on Requirements Engineering and Law, RELAW 2013 - Proceedings</v>
      </c>
      <c r="B3384" s="8" t="str">
        <f>"9781479909506"</f>
        <v>9781479909506</v>
      </c>
      <c r="C3384" s="8" t="s">
        <v>9</v>
      </c>
    </row>
    <row r="3385" spans="1:3" x14ac:dyDescent="0.25">
      <c r="A3385" s="8" t="str">
        <f>"2013 6th Workshop on Software Engineering and Architectures for Realtime Interactive Systems, SEARIS 2013; Co-located with the 2013 Virtual Reality Conference - Proceedings"</f>
        <v>2013 6th Workshop on Software Engineering and Architectures for Realtime Interactive Systems, SEARIS 2013; Co-located with the 2013 Virtual Reality Conference - Proceedings</v>
      </c>
      <c r="B3385" s="8" t="str">
        <f>"9781479931361"</f>
        <v>9781479931361</v>
      </c>
      <c r="C3385" s="8" t="s">
        <v>9</v>
      </c>
    </row>
    <row r="3386" spans="1:3" x14ac:dyDescent="0.25">
      <c r="A3386" s="8" t="str">
        <f>"2013 7th Conference on Speech Technology and Human - Computer Dialogue, SpeD 2013"</f>
        <v>2013 7th Conference on Speech Technology and Human - Computer Dialogue, SpeD 2013</v>
      </c>
      <c r="B3386" s="8" t="str">
        <f>"9781479910656"</f>
        <v>9781479910656</v>
      </c>
      <c r="C3386" s="8" t="s">
        <v>9</v>
      </c>
    </row>
    <row r="3387" spans="1:3" x14ac:dyDescent="0.25">
      <c r="A3387" s="8" t="str">
        <f>"2013 7th European Conference on Antennas and Propagation, EuCAP 2013"</f>
        <v>2013 7th European Conference on Antennas and Propagation, EuCAP 2013</v>
      </c>
      <c r="B3387" s="8" t="str">
        <f>"9788890701832"</f>
        <v>9788890701832</v>
      </c>
      <c r="C3387" s="8" t="s">
        <v>9</v>
      </c>
    </row>
    <row r="3388" spans="1:3" x14ac:dyDescent="0.25">
      <c r="A3388" s="8" t="str">
        <f>"2013 7th IEEE GCC Conference and Exhibition, GCC 2013"</f>
        <v>2013 7th IEEE GCC Conference and Exhibition, GCC 2013</v>
      </c>
      <c r="B3388" s="8" t="str">
        <f>"9781479907243"</f>
        <v>9781479907243</v>
      </c>
      <c r="C3388" s="8" t="s">
        <v>9</v>
      </c>
    </row>
    <row r="3389" spans="1:3" x14ac:dyDescent="0.25">
      <c r="A3389" s="8" t="str">
        <f>"2013 7th IEEE/ACM International Symposium on Networks-on-Chip, NoCS 2013"</f>
        <v>2013 7th IEEE/ACM International Symposium on Networks-on-Chip, NoCS 2013</v>
      </c>
      <c r="B3389" s="8" t="str">
        <f>"9781467364928"</f>
        <v>9781467364928</v>
      </c>
      <c r="C3389" s="8" t="s">
        <v>9</v>
      </c>
    </row>
    <row r="3390" spans="1:3" x14ac:dyDescent="0.25">
      <c r="A3390" s="8" t="str">
        <f>"2013 7th Intenational Conference on e-Commerce in Developing Countries: With Focus on e-Security, ECDC 2013"</f>
        <v>2013 7th Intenational Conference on e-Commerce in Developing Countries: With Focus on e-Security, ECDC 2013</v>
      </c>
      <c r="B3390" s="8" t="str">
        <f>"9781479903931"</f>
        <v>9781479903931</v>
      </c>
      <c r="C3390" s="8" t="s">
        <v>9</v>
      </c>
    </row>
    <row r="3391" spans="1:3" x14ac:dyDescent="0.25">
      <c r="A3391" s="8" t="str">
        <f>"2013 7th International Conference on Distributed Smart Cameras, ICDSC 2013"</f>
        <v>2013 7th International Conference on Distributed Smart Cameras, ICDSC 2013</v>
      </c>
      <c r="B3391" s="8" t="str">
        <f>"9781479921645"</f>
        <v>9781479921645</v>
      </c>
      <c r="C3391" s="8" t="s">
        <v>9</v>
      </c>
    </row>
    <row r="3392" spans="1:3" x14ac:dyDescent="0.25">
      <c r="A3392" s="8" t="str">
        <f>"2013 7th International Congress on Advanced Electromagnetic Materials in Microwaves and Optics, METAMATERIALS 2013"</f>
        <v>2013 7th International Congress on Advanced Electromagnetic Materials in Microwaves and Optics, METAMATERIALS 2013</v>
      </c>
      <c r="B3392" s="8" t="str">
        <f>"9781479912322"</f>
        <v>9781479912322</v>
      </c>
      <c r="C3392" s="8" t="s">
        <v>9</v>
      </c>
    </row>
    <row r="3393" spans="1:3" x14ac:dyDescent="0.25">
      <c r="A3393" s="8" t="str">
        <f>"2013 7th International Workshop on Software Clones, IWSC 2013 - Proceedings"</f>
        <v>2013 7th International Workshop on Software Clones, IWSC 2013 - Proceedings</v>
      </c>
      <c r="B3393" s="8" t="str">
        <f>"9781467364454"</f>
        <v>9781467364454</v>
      </c>
      <c r="C3393" s="8" t="s">
        <v>9</v>
      </c>
    </row>
    <row r="3394" spans="1:3" x14ac:dyDescent="0.25">
      <c r="A3394" s="8" t="str">
        <f>"2013 7th International Workshop on Traceability in Emerging Forms of Software Engineering, TEFSE 2013 - Proceedings"</f>
        <v>2013 7th International Workshop on Traceability in Emerging Forms of Software Engineering, TEFSE 2013 - Proceedings</v>
      </c>
      <c r="B3394" s="8" t="str">
        <f>"9781479904952"</f>
        <v>9781479904952</v>
      </c>
      <c r="C3394" s="8" t="s">
        <v>9</v>
      </c>
    </row>
    <row r="3395" spans="1:3" x14ac:dyDescent="0.25">
      <c r="A3395" s="8" t="str">
        <f>"2013 8th Computing Colombian Conference, 8CCC 2013"</f>
        <v>2013 8th Computing Colombian Conference, 8CCC 2013</v>
      </c>
      <c r="B3395" s="8" t="str">
        <f>"9781479910564"</f>
        <v>9781479910564</v>
      </c>
      <c r="C3395" s="8" t="s">
        <v>9</v>
      </c>
    </row>
    <row r="3396" spans="1:3" x14ac:dyDescent="0.25">
      <c r="A3396" s="8" t="str">
        <f>"2013 8th IEEE Design and Test Symposium, IDT 2013"</f>
        <v>2013 8th IEEE Design and Test Symposium, IDT 2013</v>
      </c>
      <c r="B3396" s="8" t="str">
        <f>"9781479935253"</f>
        <v>9781479935253</v>
      </c>
      <c r="C3396" s="8" t="s">
        <v>9</v>
      </c>
    </row>
    <row r="3397" spans="1:3" x14ac:dyDescent="0.25">
      <c r="A3397" s="8" t="str">
        <f>"2013 8th International Conference and Exhibition on Ecological Vehicles and Renewable Energies, EVER 2013"</f>
        <v>2013 8th International Conference and Exhibition on Ecological Vehicles and Renewable Energies, EVER 2013</v>
      </c>
      <c r="B3397" s="8" t="str">
        <f>"9781467352703"</f>
        <v>9781467352703</v>
      </c>
      <c r="C3397" s="8" t="s">
        <v>9</v>
      </c>
    </row>
    <row r="3398" spans="1:3" x14ac:dyDescent="0.25">
      <c r="A3398" s="8" t="str">
        <f>"2013 8th International Conference for Internet Technology and Secured Transactions, ICITST 2013"</f>
        <v>2013 8th International Conference for Internet Technology and Secured Transactions, ICITST 2013</v>
      </c>
      <c r="B3398" s="8" t="str">
        <f>"9781908320209"</f>
        <v>9781908320209</v>
      </c>
      <c r="C3398" s="8" t="s">
        <v>9</v>
      </c>
    </row>
    <row r="3399" spans="1:3" x14ac:dyDescent="0.25">
      <c r="A3399" s="8" t="str">
        <f>"2013 8th International Conference on Information Technology in Asia - Smart Devices Trend: Technologising Future Lifestyle, Proceedings of CITA 2013"</f>
        <v>2013 8th International Conference on Information Technology in Asia - Smart Devices Trend: Technologising Future Lifestyle, Proceedings of CITA 2013</v>
      </c>
      <c r="B3399" s="8" t="str">
        <f>"9781479910922"</f>
        <v>9781479910922</v>
      </c>
      <c r="C3399" s="8" t="s">
        <v>9</v>
      </c>
    </row>
    <row r="3400" spans="1:3" x14ac:dyDescent="0.25">
      <c r="A3400" s="8" t="str">
        <f>"2013 8th International Conference on Intelligent Systems: Theories and Applications, SITA 2013"</f>
        <v>2013 8th International Conference on Intelligent Systems: Theories and Applications, SITA 2013</v>
      </c>
      <c r="B3400" s="8" t="str">
        <f>"9781479902996"</f>
        <v>9781479902996</v>
      </c>
      <c r="C3400" s="8" t="s">
        <v>9</v>
      </c>
    </row>
    <row r="3401" spans="1:3" x14ac:dyDescent="0.25">
      <c r="A3401" s="8" t="str">
        <f>"2013 8th International ICST Conference on Communications and Networking in China, CHINACOM 2013 - Proceedings"</f>
        <v>2013 8th International ICST Conference on Communications and Networking in China, CHINACOM 2013 - Proceedings</v>
      </c>
      <c r="B3401" s="8" t="str">
        <f>"9781479914067"</f>
        <v>9781479914067</v>
      </c>
      <c r="C3401" s="8" t="s">
        <v>9</v>
      </c>
    </row>
    <row r="3402" spans="1:3" x14ac:dyDescent="0.25">
      <c r="A3402" s="8" t="str">
        <f>"2013 8th International Symposium on Health Informatics and Bioinformatics, HIBIT 2013"</f>
        <v>2013 8th International Symposium on Health Informatics and Bioinformatics, HIBIT 2013</v>
      </c>
      <c r="B3402" s="8" t="str">
        <f>"9781479907014"</f>
        <v>9781479907014</v>
      </c>
      <c r="C3402" s="8" t="s">
        <v>9</v>
      </c>
    </row>
    <row r="3403" spans="1:3" x14ac:dyDescent="0.25">
      <c r="A3403" s="8" t="str">
        <f>"2013 8th International Workshop on Automation of Software Test, AST 2013 - Proceedings"</f>
        <v>2013 8th International Workshop on Automation of Software Test, AST 2013 - Proceedings</v>
      </c>
      <c r="B3403" s="8" t="str">
        <f>"9781467361613"</f>
        <v>9781467361613</v>
      </c>
      <c r="C3403" s="8" t="s">
        <v>9</v>
      </c>
    </row>
    <row r="3404" spans="1:3" x14ac:dyDescent="0.25">
      <c r="A3404" s="8" t="str">
        <f>"2013 8th International Workshop on Reconfigurable and Communication-Centric Systems-on-Chip, ReCoSoC 2013"</f>
        <v>2013 8th International Workshop on Reconfigurable and Communication-Centric Systems-on-Chip, ReCoSoC 2013</v>
      </c>
      <c r="B3404" s="8" t="str">
        <f>"9781467361804"</f>
        <v>9781467361804</v>
      </c>
      <c r="C3404" s="8" t="s">
        <v>9</v>
      </c>
    </row>
    <row r="3405" spans="1:3" x14ac:dyDescent="0.25">
      <c r="A3405" s="8" t="str">
        <f>"2013 8th International Workshop on Systems, Signal Processing and Their Applications, WoSSPA 2013"</f>
        <v>2013 8th International Workshop on Systems, Signal Processing and Their Applications, WoSSPA 2013</v>
      </c>
      <c r="B3405" s="8" t="str">
        <f>"9781467355407"</f>
        <v>9781467355407</v>
      </c>
      <c r="C3405" s="8" t="s">
        <v>9</v>
      </c>
    </row>
    <row r="3406" spans="1:3" x14ac:dyDescent="0.25">
      <c r="A3406" s="8" t="str">
        <f>"2013 9th Asian Control Conference, ASCC 2013"</f>
        <v>2013 9th Asian Control Conference, ASCC 2013</v>
      </c>
      <c r="B3406" s="8" t="str">
        <f>"9781467357692"</f>
        <v>9781467357692</v>
      </c>
      <c r="C3406" s="8" t="s">
        <v>9</v>
      </c>
    </row>
    <row r="3407" spans="1:3" x14ac:dyDescent="0.25">
      <c r="A3407" s="8" t="str">
        <f>"2013 9th IEEE Vehicle Power and Propulsion Conference, IEEE VPPC 2013"</f>
        <v>2013 9th IEEE Vehicle Power and Propulsion Conference, IEEE VPPC 2013</v>
      </c>
      <c r="B3407" s="8" t="str">
        <f>"9781479907205"</f>
        <v>9781479907205</v>
      </c>
      <c r="C3407" s="8" t="s">
        <v>9</v>
      </c>
    </row>
    <row r="3408" spans="1:3" x14ac:dyDescent="0.25">
      <c r="A3408" s="8" t="str">
        <f>"2013 9th International Computer Engineering Conference: Today Information Society What's Next?, ICENCO 2013"</f>
        <v>2013 9th International Computer Engineering Conference: Today Information Society What's Next?, ICENCO 2013</v>
      </c>
      <c r="B3408" s="8" t="str">
        <f>"9781479933709"</f>
        <v>9781479933709</v>
      </c>
      <c r="C3408" s="8" t="s">
        <v>9</v>
      </c>
    </row>
    <row r="3409" spans="1:3" x14ac:dyDescent="0.25">
      <c r="A3409" s="8" t="str">
        <f>"2013 9th International Conference on Antenna Theory and Techniques, ICATT 2013"</f>
        <v>2013 9th International Conference on Antenna Theory and Techniques, ICATT 2013</v>
      </c>
      <c r="B3409" s="8" t="str">
        <f>"9781479928972"</f>
        <v>9781479928972</v>
      </c>
      <c r="C3409" s="8" t="s">
        <v>9</v>
      </c>
    </row>
    <row r="3410" spans="1:3" x14ac:dyDescent="0.25">
      <c r="A3410" s="8" t="str">
        <f>"2013 9th International Conference on Information Assurance and Security, IAS 2013"</f>
        <v>2013 9th International Conference on Information Assurance and Security, IAS 2013</v>
      </c>
      <c r="B3410" s="8" t="str">
        <f>"9781479929900"</f>
        <v>9781479929900</v>
      </c>
      <c r="C3410" s="8" t="s">
        <v>105</v>
      </c>
    </row>
    <row r="3411" spans="1:3" x14ac:dyDescent="0.25">
      <c r="A3411" s="8" t="str">
        <f>"2013 9th International Conference on Innovations in Information Technology, IIT 2013"</f>
        <v>2013 9th International Conference on Innovations in Information Technology, IIT 2013</v>
      </c>
      <c r="B3411" s="8" t="str">
        <f>"9781467362030"</f>
        <v>9781467362030</v>
      </c>
      <c r="C3411" s="8" t="s">
        <v>9</v>
      </c>
    </row>
    <row r="3412" spans="1:3" x14ac:dyDescent="0.25">
      <c r="A3412" s="8" t="str">
        <f>"2013 9th International Conference on Network and Service Management, CNSM 2013 and its three collocated Workshops - ICQT 2013, SVM 2013 and SETM 2013"</f>
        <v>2013 9th International Conference on Network and Service Management, CNSM 2013 and its three collocated Workshops - ICQT 2013, SVM 2013 and SETM 2013</v>
      </c>
      <c r="B3412" s="8" t="str">
        <f>"9783901882531"</f>
        <v>9783901882531</v>
      </c>
      <c r="C3412" s="8" t="s">
        <v>9</v>
      </c>
    </row>
    <row r="3413" spans="1:3" x14ac:dyDescent="0.25">
      <c r="A3413" s="8" t="str">
        <f>"2013 9th International Conference on the Design of Reliable Communication Networks, DRCN 2013"</f>
        <v>2013 9th International Conference on the Design of Reliable Communication Networks, DRCN 2013</v>
      </c>
      <c r="B3413" s="8" t="str">
        <f>"9781479900497"</f>
        <v>9781479900497</v>
      </c>
      <c r="C3413" s="8" t="s">
        <v>9</v>
      </c>
    </row>
    <row r="3414" spans="1:3" x14ac:dyDescent="0.25">
      <c r="A3414" s="8" t="str">
        <f>"2013 9th International Symposium on Mechatronics and Its Applications, ISMA 2013"</f>
        <v>2013 9th International Symposium on Mechatronics and Its Applications, ISMA 2013</v>
      </c>
      <c r="B3414" s="8" t="str">
        <f>"9781467350167"</f>
        <v>9781467350167</v>
      </c>
      <c r="C3414" s="8" t="s">
        <v>9</v>
      </c>
    </row>
    <row r="3415" spans="1:3" x14ac:dyDescent="0.25">
      <c r="A3415" s="8" t="str">
        <f>"2013 9th International Wireless Communications and Mobile Computing Conference, IWCMC 2013"</f>
        <v>2013 9th International Wireless Communications and Mobile Computing Conference, IWCMC 2013</v>
      </c>
      <c r="B3415" s="8" t="str">
        <f>"9781467324793"</f>
        <v>9781467324793</v>
      </c>
      <c r="C3415" s="8" t="s">
        <v>9</v>
      </c>
    </row>
    <row r="3416" spans="1:3" x14ac:dyDescent="0.25">
      <c r="A3416" s="8" t="str">
        <f>"2013 9th Joint Meeting of the European Software Engineering Conference and the ACM SIGSOFT Symposium on the Foundations of Software Engineering, ESEC/FSE 2013 - Proceedings"</f>
        <v>2013 9th Joint Meeting of the European Software Engineering Conference and the ACM SIGSOFT Symposium on the Foundations of Software Engineering, ESEC/FSE 2013 - Proceedings</v>
      </c>
      <c r="B3416" s="8" t="str">
        <f>"9781450322379"</f>
        <v>9781450322379</v>
      </c>
      <c r="C3416" s="8" t="s">
        <v>21</v>
      </c>
    </row>
    <row r="3417" spans="1:3" x14ac:dyDescent="0.25">
      <c r="A3417" s="8" t="str">
        <f>"2013 ACM Conference on Bioinformatics, Computational Biology and Biomedical Informatics, ACM-BCB 2013"</f>
        <v>2013 ACM Conference on Bioinformatics, Computational Biology and Biomedical Informatics, ACM-BCB 2013</v>
      </c>
      <c r="B3417" s="8" t="str">
        <f>"9781450324342"</f>
        <v>9781450324342</v>
      </c>
      <c r="C3417" s="8" t="s">
        <v>21</v>
      </c>
    </row>
    <row r="3418" spans="1:3" x14ac:dyDescent="0.25">
      <c r="A3418" s="8" t="str">
        <f>"2013 ACM/IEEE International Conference on Cyber-Physical Systems, ICCPS 2013"</f>
        <v>2013 ACM/IEEE International Conference on Cyber-Physical Systems, ICCPS 2013</v>
      </c>
      <c r="B3418" s="8" t="str">
        <f>"9781450319966"</f>
        <v>9781450319966</v>
      </c>
      <c r="C3418" s="8" t="s">
        <v>9</v>
      </c>
    </row>
    <row r="3419" spans="1:3" x14ac:dyDescent="0.25">
      <c r="A3419" s="8" t="str">
        <f>"2013 Annual IEEE India Conference, INDICON 2013"</f>
        <v>2013 Annual IEEE India Conference, INDICON 2013</v>
      </c>
      <c r="B3419" s="8" t="str">
        <f>"9781479922758"</f>
        <v>9781479922758</v>
      </c>
      <c r="C3419" s="8" t="s">
        <v>9</v>
      </c>
    </row>
    <row r="3420" spans="1:3" x14ac:dyDescent="0.25">
      <c r="A3420" s="8" t="str">
        <f>"2013 Annual International Conference on Emerging Research Areas, AICERA 2013 and 2013 International Conference on Microelectronics, Communications and Renewable Energy, ICMiCR 2013 - Proceedings"</f>
        <v>2013 Annual International Conference on Emerging Research Areas, AICERA 2013 and 2013 International Conference on Microelectronics, Communications and Renewable Energy, ICMiCR 2013 - Proceedings</v>
      </c>
      <c r="B3420" s="8" t="str">
        <f>"9781467351492"</f>
        <v>9781467351492</v>
      </c>
      <c r="C3420" s="8" t="s">
        <v>9</v>
      </c>
    </row>
    <row r="3421" spans="1:3" x14ac:dyDescent="0.25">
      <c r="A3421" s="8" t="str">
        <f>"2013 Asia-Pacific Signal and Information Processing Association Annual Summit and Conference, APSIPA 2013"</f>
        <v>2013 Asia-Pacific Signal and Information Processing Association Annual Summit and Conference, APSIPA 2013</v>
      </c>
      <c r="B3421" s="8" t="str">
        <f>"9789869000604"</f>
        <v>9789869000604</v>
      </c>
      <c r="C3421" s="8" t="s">
        <v>9</v>
      </c>
    </row>
    <row r="3422" spans="1:3" x14ac:dyDescent="0.25">
      <c r="A3422" s="8" t="str">
        <f>"2013 Australasian Telecommunication Networks and Applications Conference, ATNAC 2013"</f>
        <v>2013 Australasian Telecommunication Networks and Applications Conference, ATNAC 2013</v>
      </c>
      <c r="B3422" s="8" t="str">
        <f>"9781479910816"</f>
        <v>9781479910816</v>
      </c>
      <c r="C3422" s="8" t="s">
        <v>9</v>
      </c>
    </row>
    <row r="3423" spans="1:3" x14ac:dyDescent="0.25">
      <c r="A3423" s="8" t="str">
        <f>"2013 Australasian Universities Power Engineering Conference, AUPEC 2013"</f>
        <v>2013 Australasian Universities Power Engineering Conference, AUPEC 2013</v>
      </c>
      <c r="B3423" s="8" t="str">
        <f>"9781862959132"</f>
        <v>9781862959132</v>
      </c>
      <c r="C3423" s="8" t="s">
        <v>9</v>
      </c>
    </row>
    <row r="3424" spans="1:3" x14ac:dyDescent="0.25">
      <c r="A3424" s="8" t="str">
        <f>"2013 Australian Communications Theory Workshop, AusCTW 2013"</f>
        <v>2013 Australian Communications Theory Workshop, AusCTW 2013</v>
      </c>
      <c r="B3424" s="8" t="str">
        <f>"9781467346757"</f>
        <v>9781467346757</v>
      </c>
      <c r="C3424" s="8" t="s">
        <v>9</v>
      </c>
    </row>
    <row r="3425" spans="1:3" x14ac:dyDescent="0.25">
      <c r="A3425" s="8" t="str">
        <f>"2013 Aviation Technology, Integration, and Operations Conference"</f>
        <v>2013 Aviation Technology, Integration, and Operations Conference</v>
      </c>
      <c r="B3425" s="8" t="str">
        <f>"9781624102257"</f>
        <v>9781624102257</v>
      </c>
      <c r="C3425" s="8" t="s">
        <v>104</v>
      </c>
    </row>
    <row r="3426" spans="1:3" x14ac:dyDescent="0.25">
      <c r="A3426" s="8" t="str">
        <f>"2013 Brazilian Power Electronics Conference, COBEP 2013 - Proceedings"</f>
        <v>2013 Brazilian Power Electronics Conference, COBEP 2013 - Proceedings</v>
      </c>
      <c r="B3426" s="8" t="str">
        <f>"9781479902729"</f>
        <v>9781479902729</v>
      </c>
      <c r="C3426" s="8" t="s">
        <v>9</v>
      </c>
    </row>
    <row r="3427" spans="1:3" x14ac:dyDescent="0.25">
      <c r="A3427" s="8" t="str">
        <f>"2013 CACS International Automatic Control Conference, CACS 2013 - Conference Digest"</f>
        <v>2013 CACS International Automatic Control Conference, CACS 2013 - Conference Digest</v>
      </c>
      <c r="B3427" s="8" t="str">
        <f>"9781479923847"</f>
        <v>9781479923847</v>
      </c>
      <c r="C3427" s="8" t="s">
        <v>9</v>
      </c>
    </row>
    <row r="3428" spans="1:3" x14ac:dyDescent="0.25">
      <c r="A3428" s="8" t="str">
        <f>"2013 Colour and Visual Computing Symposium, CVCS 2013"</f>
        <v>2013 Colour and Visual Computing Symposium, CVCS 2013</v>
      </c>
      <c r="B3428" s="8" t="str">
        <f>"9781479906091"</f>
        <v>9781479906091</v>
      </c>
      <c r="C3428" s="8" t="s">
        <v>9</v>
      </c>
    </row>
    <row r="3429" spans="1:3" x14ac:dyDescent="0.25">
      <c r="A3429" s="8" t="str">
        <f>"2013 Computational Electromagnetics Workshop, CEM 2013"</f>
        <v>2013 Computational Electromagnetics Workshop, CEM 2013</v>
      </c>
      <c r="B3429" s="8" t="str">
        <f>"9781479914326"</f>
        <v>9781479914326</v>
      </c>
      <c r="C3429" s="8" t="s">
        <v>9</v>
      </c>
    </row>
    <row r="3430" spans="1:3" x14ac:dyDescent="0.25">
      <c r="A3430" s="8" t="str">
        <f>"2013 Computing, Communications and IT Applications Conference, ComComAp 2013"</f>
        <v>2013 Computing, Communications and IT Applications Conference, ComComAp 2013</v>
      </c>
      <c r="B3430" s="8" t="str">
        <f>"9781467360432"</f>
        <v>9781467360432</v>
      </c>
      <c r="C3430" s="8" t="s">
        <v>9</v>
      </c>
    </row>
    <row r="3431" spans="1:3" x14ac:dyDescent="0.25">
      <c r="A3431" s="8" t="str">
        <f>"2013 Conference on Lasers and Electro-Optics Europe and International Quantum Electronics Conference, CLEO/Europe-IQEC 2013"</f>
        <v>2013 Conference on Lasers and Electro-Optics Europe and International Quantum Electronics Conference, CLEO/Europe-IQEC 2013</v>
      </c>
      <c r="B3431" s="8" t="str">
        <f>"9781479905942"</f>
        <v>9781479905942</v>
      </c>
      <c r="C3431" s="8" t="s">
        <v>9</v>
      </c>
    </row>
    <row r="3432" spans="1:3" x14ac:dyDescent="0.25">
      <c r="A3432" s="8" t="str">
        <f>"2013 Cross Strait Quad-Regional Radio Science and Wireless Technology Conference, CSQRWC 2013"</f>
        <v>2013 Cross Strait Quad-Regional Radio Science and Wireless Technology Conference, CSQRWC 2013</v>
      </c>
      <c r="B3432" s="8" t="str">
        <f>"9781479921249"</f>
        <v>9781479921249</v>
      </c>
      <c r="C3432" s="8" t="s">
        <v>9</v>
      </c>
    </row>
    <row r="3433" spans="1:3" x14ac:dyDescent="0.25">
      <c r="A3433" s="8" t="str">
        <f>"2013 E-Health and Bioengineering Conference, EHB 2013"</f>
        <v>2013 E-Health and Bioengineering Conference, EHB 2013</v>
      </c>
      <c r="B3433" s="8" t="str">
        <f>"9781479923731"</f>
        <v>9781479923731</v>
      </c>
      <c r="C3433" s="8" t="s">
        <v>9</v>
      </c>
    </row>
    <row r="3434" spans="1:3" x14ac:dyDescent="0.25">
      <c r="A3434" s="8" t="str">
        <f>"2013 e-Manufacturing and Design Collaboration Symposium, eMDC 2013"</f>
        <v>2013 e-Manufacturing and Design Collaboration Symposium, eMDC 2013</v>
      </c>
      <c r="B3434" s="8" t="str">
        <f>"9781479947096"</f>
        <v>9781479947096</v>
      </c>
      <c r="C3434" s="8" t="s">
        <v>9</v>
      </c>
    </row>
    <row r="3435" spans="1:3" x14ac:dyDescent="0.25">
      <c r="A3435" s="8" t="str">
        <f>"2013 European Conference on Circuit Theory and Design, ECCTD 2013 - Proceedings"</f>
        <v>2013 European Conference on Circuit Theory and Design, ECCTD 2013 - Proceedings</v>
      </c>
      <c r="B3435" s="8" t="str">
        <f>"9783000437854"</f>
        <v>9783000437854</v>
      </c>
      <c r="C3435" s="8" t="s">
        <v>9</v>
      </c>
    </row>
    <row r="3436" spans="1:3" x14ac:dyDescent="0.25">
      <c r="A3436" s="8" t="str">
        <f>"2013 European Conference on Mobile Robots, ECMR 2013 - Conference Proceedings"</f>
        <v>2013 European Conference on Mobile Robots, ECMR 2013 - Conference Proceedings</v>
      </c>
      <c r="B3436" s="8" t="str">
        <f>"9781479902637"</f>
        <v>9781479902637</v>
      </c>
      <c r="C3436" s="8" t="s">
        <v>9</v>
      </c>
    </row>
    <row r="3437" spans="1:3" x14ac:dyDescent="0.25">
      <c r="A3437" s="8" t="str">
        <f>"2013 European Control Conference, ECC 2013"</f>
        <v>2013 European Control Conference, ECC 2013</v>
      </c>
      <c r="B3437" s="8" t="str">
        <f>"9783033039629"</f>
        <v>9783033039629</v>
      </c>
      <c r="C3437" s="8" t="s">
        <v>9</v>
      </c>
    </row>
    <row r="3438" spans="1:3" x14ac:dyDescent="0.25">
      <c r="A3438" s="8" t="str">
        <f>"2013 Federated Conference on Computer Science and Information Systems, FedCSIS 2013"</f>
        <v>2013 Federated Conference on Computer Science and Information Systems, FedCSIS 2013</v>
      </c>
      <c r="B3438" s="8" t="str">
        <f>"9781467344715"</f>
        <v>9781467344715</v>
      </c>
      <c r="C3438" s="8" t="s">
        <v>9</v>
      </c>
    </row>
    <row r="3439" spans="1:3" x14ac:dyDescent="0.25">
      <c r="A3439" s="8" t="str">
        <f>"2013 Formal Methods in Computer-Aided Design, FMCAD 2013"</f>
        <v>2013 Formal Methods in Computer-Aided Design, FMCAD 2013</v>
      </c>
      <c r="B3439" s="8" t="str">
        <f>"9780983567837"</f>
        <v>9780983567837</v>
      </c>
      <c r="C3439" s="8" t="s">
        <v>9</v>
      </c>
    </row>
    <row r="3440" spans="1:3" x14ac:dyDescent="0.25">
      <c r="A3440" s="8" t="str">
        <f>"2013 Future Network and Mobile Summit, FutureNetworkSummit 2013"</f>
        <v>2013 Future Network and Mobile Summit, FutureNetworkSummit 2013</v>
      </c>
      <c r="B3440" s="8" t="str">
        <f>"9781905824373"</f>
        <v>9781905824373</v>
      </c>
      <c r="C3440" s="8" t="s">
        <v>9</v>
      </c>
    </row>
    <row r="3441" spans="1:3" x14ac:dyDescent="0.25">
      <c r="A3441" s="8" t="str">
        <f>"2013 High Capacity Optical Networks and Emerging/Enabling Technologies, HONET-CNS 2013"</f>
        <v>2013 High Capacity Optical Networks and Emerging/Enabling Technologies, HONET-CNS 2013</v>
      </c>
      <c r="B3441" s="8" t="str">
        <f>"9781479925698"</f>
        <v>9781479925698</v>
      </c>
      <c r="C3441" s="8" t="s">
        <v>9</v>
      </c>
    </row>
    <row r="3442" spans="1:3" x14ac:dyDescent="0.25">
      <c r="A3442" s="8" t="str">
        <f>"2013 ICME International Conference on Complex Medical Engineering, CME 2013"</f>
        <v>2013 ICME International Conference on Complex Medical Engineering, CME 2013</v>
      </c>
      <c r="B3442" s="8" t="str">
        <f>"9781467329699"</f>
        <v>9781467329699</v>
      </c>
      <c r="C3442" s="8" t="s">
        <v>9</v>
      </c>
    </row>
    <row r="3443" spans="1:3" x14ac:dyDescent="0.25">
      <c r="A3443" s="8" t="str">
        <f>"2013 IEEE 10th Consumer Communications and Networking Conference, CCNC 2013"</f>
        <v>2013 IEEE 10th Consumer Communications and Networking Conference, CCNC 2013</v>
      </c>
      <c r="B3443" s="8" t="str">
        <f>"9781467331333"</f>
        <v>9781467331333</v>
      </c>
      <c r="C3443" s="8" t="s">
        <v>9</v>
      </c>
    </row>
    <row r="3444" spans="1:3" x14ac:dyDescent="0.25">
      <c r="A3444" s="8" t="str">
        <f>"2013 IEEE 11th International New Circuits and Systems Conference, NEWCAS 2013"</f>
        <v>2013 IEEE 11th International New Circuits and Systems Conference, NEWCAS 2013</v>
      </c>
      <c r="B3444" s="8" t="str">
        <f>"9781479906185"</f>
        <v>9781479906185</v>
      </c>
      <c r="C3444" s="8" t="s">
        <v>9</v>
      </c>
    </row>
    <row r="3445" spans="1:3" x14ac:dyDescent="0.25">
      <c r="A3445" s="8" t="str">
        <f>"2013 IEEE 11th IVMSP Workshop: 3D Image/Video Technologies and Applications, IVMSP 2013 - Proceedings"</f>
        <v>2013 IEEE 11th IVMSP Workshop: 3D Image/Video Technologies and Applications, IVMSP 2013 - Proceedings</v>
      </c>
      <c r="B3445" s="8" t="str">
        <f>"9781467358583"</f>
        <v>9781467358583</v>
      </c>
      <c r="C3445" s="8" t="s">
        <v>9</v>
      </c>
    </row>
    <row r="3446" spans="1:3" x14ac:dyDescent="0.25">
      <c r="A3446" s="8" t="str">
        <f>"2013 IEEE 11th Malaysia International Conference on Communications, MICC 2013"</f>
        <v>2013 IEEE 11th Malaysia International Conference on Communications, MICC 2013</v>
      </c>
      <c r="B3446" s="8" t="str">
        <f>"9781479915323"</f>
        <v>9781479915323</v>
      </c>
      <c r="C3446" s="8" t="s">
        <v>9</v>
      </c>
    </row>
    <row r="3447" spans="1:3" x14ac:dyDescent="0.25">
      <c r="A3447" s="8" t="str">
        <f>"2013 IEEE 13th Topical Meeting on Silicon Monolithic Integrated Circuits in RF Systems, SiRF 2013 - RWW 2013"</f>
        <v>2013 IEEE 13th Topical Meeting on Silicon Monolithic Integrated Circuits in RF Systems, SiRF 2013 - RWW 2013</v>
      </c>
      <c r="B3447" s="8" t="str">
        <f>"9781467315517"</f>
        <v>9781467315517</v>
      </c>
      <c r="C3447" s="8" t="s">
        <v>9</v>
      </c>
    </row>
    <row r="3448" spans="1:3" x14ac:dyDescent="0.25">
      <c r="A3448" s="8" t="str">
        <f>"2013 IEEE 14th Annual Wireless and Microwave Technology Conference, WAMICON 2013"</f>
        <v>2013 IEEE 14th Annual Wireless and Microwave Technology Conference, WAMICON 2013</v>
      </c>
      <c r="B3448" s="8" t="str">
        <f>"9781467355360"</f>
        <v>9781467355360</v>
      </c>
      <c r="C3448" s="8" t="s">
        <v>9</v>
      </c>
    </row>
    <row r="3449" spans="1:3" x14ac:dyDescent="0.25">
      <c r="A3449" s="8" t="str">
        <f>"2013 IEEE 14th International Symposium on a World of Wireless, Mobile and Multimedia Networks, WoWMoM 2013"</f>
        <v>2013 IEEE 14th International Symposium on a World of Wireless, Mobile and Multimedia Networks, WoWMoM 2013</v>
      </c>
      <c r="B3449" s="8" t="str">
        <f>"9781467358279"</f>
        <v>9781467358279</v>
      </c>
      <c r="C3449" s="8" t="s">
        <v>9</v>
      </c>
    </row>
    <row r="3450" spans="1:3" x14ac:dyDescent="0.25">
      <c r="A3450" s="8" t="str">
        <f>"2013 IEEE 14th InternationalSuperconductive Electronics Conference, ISEC 2013"</f>
        <v>2013 IEEE 14th InternationalSuperconductive Electronics Conference, ISEC 2013</v>
      </c>
      <c r="B3450" s="8" t="str">
        <f>"9781467363716"</f>
        <v>9781467363716</v>
      </c>
      <c r="C3450" s="8" t="s">
        <v>9</v>
      </c>
    </row>
    <row r="3451" spans="1:3" x14ac:dyDescent="0.25">
      <c r="A3451" s="8" t="str">
        <f>"2013 IEEE 14th Workshop on Control and Modeling for Power Electronics, COMPEL 2013"</f>
        <v>2013 IEEE 14th Workshop on Control and Modeling for Power Electronics, COMPEL 2013</v>
      </c>
      <c r="B3451" s="8" t="str">
        <f>"9781467349161"</f>
        <v>9781467349161</v>
      </c>
      <c r="C3451" s="8" t="s">
        <v>9</v>
      </c>
    </row>
    <row r="3452" spans="1:3" x14ac:dyDescent="0.25">
      <c r="A3452" s="8" t="str">
        <f>"2013 IEEE 15th International Conference on e-Health Networking, Applications and Services, Healthcom 2013"</f>
        <v>2013 IEEE 15th International Conference on e-Health Networking, Applications and Services, Healthcom 2013</v>
      </c>
      <c r="B3452" s="8" t="str">
        <f>"9781467358019"</f>
        <v>9781467358019</v>
      </c>
      <c r="C3452" s="8" t="s">
        <v>9</v>
      </c>
    </row>
    <row r="3453" spans="1:3" x14ac:dyDescent="0.25">
      <c r="A3453" s="8" t="str">
        <f>"2013 IEEE 18th International Workshop on Computer Aided Modeling and Design of Communication Links and Networks, CAMAD 2013"</f>
        <v>2013 IEEE 18th International Workshop on Computer Aided Modeling and Design of Communication Links and Networks, CAMAD 2013</v>
      </c>
      <c r="B3453" s="8" t="str">
        <f>"9781467349192"</f>
        <v>9781467349192</v>
      </c>
      <c r="C3453" s="8" t="s">
        <v>9</v>
      </c>
    </row>
    <row r="3454" spans="1:3" x14ac:dyDescent="0.25">
      <c r="A3454" s="8" t="str">
        <f>"2013 IEEE 19th International Conference on Embedded and Real-Time Computing Systems and Applications, RTCSA 2013"</f>
        <v>2013 IEEE 19th International Conference on Embedded and Real-Time Computing Systems and Applications, RTCSA 2013</v>
      </c>
      <c r="B3454" s="8" t="str">
        <f>"9781479908509"</f>
        <v>9781479908509</v>
      </c>
      <c r="C3454" s="8" t="s">
        <v>9</v>
      </c>
    </row>
    <row r="3455" spans="1:3" x14ac:dyDescent="0.25">
      <c r="A3455" s="8" t="str">
        <f>"2013 IEEE 19th International Symposium for Design and Technology in Electronic Packaging, SIITME 2013 - Conference Proceedings"</f>
        <v>2013 IEEE 19th International Symposium for Design and Technology in Electronic Packaging, SIITME 2013 - Conference Proceedings</v>
      </c>
      <c r="B3455" s="8" t="str">
        <f>"9781479915552"</f>
        <v>9781479915552</v>
      </c>
      <c r="C3455" s="8" t="s">
        <v>9</v>
      </c>
    </row>
    <row r="3456" spans="1:3" x14ac:dyDescent="0.25">
      <c r="A3456" s="8" t="str">
        <f>"2013 IEEE 1st International Conference on Condition Assessment Techniques in Electrical Systems, IEEE CATCON 2013 - Proceedings"</f>
        <v>2013 IEEE 1st International Conference on Condition Assessment Techniques in Electrical Systems, IEEE CATCON 2013 - Proceedings</v>
      </c>
      <c r="B3456" s="8" t="str">
        <f>"9781479900831"</f>
        <v>9781479900831</v>
      </c>
      <c r="C3456" s="8" t="s">
        <v>9</v>
      </c>
    </row>
    <row r="3457" spans="1:3" x14ac:dyDescent="0.25">
      <c r="A3457" s="8" t="str">
        <f>"2013 IEEE 1st International Conference on Cyber-Physical Systems, Networks, and Applications, CPSNA 2013"</f>
        <v>2013 IEEE 1st International Conference on Cyber-Physical Systems, Networks, and Applications, CPSNA 2013</v>
      </c>
      <c r="B3457" s="8" t="str">
        <f>"9781479907984"</f>
        <v>9781479907984</v>
      </c>
      <c r="C3457" s="8" t="s">
        <v>9</v>
      </c>
    </row>
    <row r="3458" spans="1:3" x14ac:dyDescent="0.25">
      <c r="A3458" s="8" t="str">
        <f>"2013 IEEE 1st International Workshop on Communicating Business Process and Software Models: Quality, Understandability, and Maintainability, CPSM 2013"</f>
        <v>2013 IEEE 1st International Workshop on Communicating Business Process and Software Models: Quality, Understandability, and Maintainability, CPSM 2013</v>
      </c>
      <c r="B3458" s="8" t="str">
        <f>"9781479929412"</f>
        <v>9781479929412</v>
      </c>
      <c r="C3458" s="8" t="s">
        <v>9</v>
      </c>
    </row>
    <row r="3459" spans="1:3" x14ac:dyDescent="0.25">
      <c r="A3459" s="8" t="str">
        <f>"2013 IEEE 22nd Conference on Electrical Performance of Electronic Packaging and Systems, EPEPS 2013"</f>
        <v>2013 IEEE 22nd Conference on Electrical Performance of Electronic Packaging and Systems, EPEPS 2013</v>
      </c>
      <c r="B3459" s="8" t="str">
        <f>"9781467325363"</f>
        <v>9781467325363</v>
      </c>
      <c r="C3459" s="8" t="s">
        <v>9</v>
      </c>
    </row>
    <row r="3460" spans="1:3" x14ac:dyDescent="0.25">
      <c r="A3460" s="8" t="str">
        <f>"2013 IEEE 24th International Symposium on Software Reliability Engineering, ISSRE 2013"</f>
        <v>2013 IEEE 24th International Symposium on Software Reliability Engineering, ISSRE 2013</v>
      </c>
      <c r="B3460" s="8" t="str">
        <f>"9781479923663"</f>
        <v>9781479923663</v>
      </c>
      <c r="C3460" s="8" t="s">
        <v>9</v>
      </c>
    </row>
    <row r="3461" spans="1:3" x14ac:dyDescent="0.25">
      <c r="A3461" s="8" t="str">
        <f>"2013 IEEE 25th Symposium on Fusion Engineering, SOFE 2013"</f>
        <v>2013 IEEE 25th Symposium on Fusion Engineering, SOFE 2013</v>
      </c>
      <c r="B3461" s="8" t="str">
        <f>"9781479901715"</f>
        <v>9781479901715</v>
      </c>
      <c r="C3461" s="8" t="s">
        <v>9</v>
      </c>
    </row>
    <row r="3462" spans="1:3" x14ac:dyDescent="0.25">
      <c r="A3462" s="8" t="str">
        <f>"2013 IEEE 2nd Global Conference on Consumer Electronics, GCCE 2013"</f>
        <v>2013 IEEE 2nd Global Conference on Consumer Electronics, GCCE 2013</v>
      </c>
      <c r="B3462" s="8" t="str">
        <f>"9781479908929"</f>
        <v>9781479908929</v>
      </c>
      <c r="C3462" s="8" t="s">
        <v>9</v>
      </c>
    </row>
    <row r="3463" spans="1:3" x14ac:dyDescent="0.25">
      <c r="A3463" s="8" t="str">
        <f>"2013 IEEE 2nd International Conference on Actual Problems of Unmanned Air Vehicles Developments, APUAVD 2013 - Proceedings"</f>
        <v>2013 IEEE 2nd International Conference on Actual Problems of Unmanned Air Vehicles Developments, APUAVD 2013 - Proceedings</v>
      </c>
      <c r="B3463" s="8" t="str">
        <f>"9781479933068"</f>
        <v>9781479933068</v>
      </c>
      <c r="C3463" s="8" t="s">
        <v>9</v>
      </c>
    </row>
    <row r="3464" spans="1:3" x14ac:dyDescent="0.25">
      <c r="A3464" s="8" t="str">
        <f>"2013 IEEE 2nd International Conference on Image Information Processing, IEEE ICIIP 2013"</f>
        <v>2013 IEEE 2nd International Conference on Image Information Processing, IEEE ICIIP 2013</v>
      </c>
      <c r="B3464" s="8" t="str">
        <f>"9781467361019"</f>
        <v>9781467361019</v>
      </c>
      <c r="C3464" s="8" t="s">
        <v>9</v>
      </c>
    </row>
    <row r="3465" spans="1:3" x14ac:dyDescent="0.25">
      <c r="A3465" s="8" t="str">
        <f>"2013 IEEE 31st International Conference on Computer Design, ICCD 2013"</f>
        <v>2013 IEEE 31st International Conference on Computer Design, ICCD 2013</v>
      </c>
      <c r="B3465" s="8" t="str">
        <f>"9781479929870"</f>
        <v>9781479929870</v>
      </c>
      <c r="C3465" s="8" t="s">
        <v>9</v>
      </c>
    </row>
    <row r="3466" spans="1:3" x14ac:dyDescent="0.25">
      <c r="A3466" s="8" t="str">
        <f>"2013 IEEE 32nd International Performance Computing and Communications Conference, IPCCC 2013"</f>
        <v>2013 IEEE 32nd International Performance Computing and Communications Conference, IPCCC 2013</v>
      </c>
      <c r="B3466" s="8" t="str">
        <f>"9781479932146"</f>
        <v>9781479932146</v>
      </c>
      <c r="C3466" s="8" t="s">
        <v>9</v>
      </c>
    </row>
    <row r="3467" spans="1:3" x14ac:dyDescent="0.25">
      <c r="A3467" s="8" t="str">
        <f>"2013 IEEE 33rd International Scientific Conference Electronics and Nanotechnology, ELNANO 2013 - Conference Proceedings"</f>
        <v>2013 IEEE 33rd International Scientific Conference Electronics and Nanotechnology, ELNANO 2013 - Conference Proceedings</v>
      </c>
      <c r="B3467" s="8" t="str">
        <f>"9781467346726"</f>
        <v>9781467346726</v>
      </c>
      <c r="C3467" s="8" t="s">
        <v>9</v>
      </c>
    </row>
    <row r="3468" spans="1:3" x14ac:dyDescent="0.25">
      <c r="A3468" s="8" t="str">
        <f>"2013 IEEE 3rd International Conference on Computational Advances in Bio and Medical Sciences, ICCABS 2013"</f>
        <v>2013 IEEE 3rd International Conference on Computational Advances in Bio and Medical Sciences, ICCABS 2013</v>
      </c>
      <c r="B3468" s="8" t="str">
        <f>"9781479907144"</f>
        <v>9781479907144</v>
      </c>
      <c r="C3468" s="8" t="s">
        <v>9</v>
      </c>
    </row>
    <row r="3469" spans="1:3" x14ac:dyDescent="0.25">
      <c r="A3469" s="8" t="str">
        <f>"2013 IEEE 3rd International Conference on Information Science and Technology, ICIST 2013"</f>
        <v>2013 IEEE 3rd International Conference on Information Science and Technology, ICIST 2013</v>
      </c>
      <c r="B3469" s="8" t="str">
        <f>"9781467351379"</f>
        <v>9781467351379</v>
      </c>
      <c r="C3469" s="8" t="s">
        <v>9</v>
      </c>
    </row>
    <row r="3470" spans="1:3" x14ac:dyDescent="0.25">
      <c r="A3470" s="8" t="str">
        <f>"2013 IEEE 3rd Joint International Conference on Development and Learning and Epigenetic Robotics, ICDL 2013 - Electronic Conference Proceedings"</f>
        <v>2013 IEEE 3rd Joint International Conference on Development and Learning and Epigenetic Robotics, ICDL 2013 - Electronic Conference Proceedings</v>
      </c>
      <c r="B3470" s="8" t="str">
        <f>"9781479910366"</f>
        <v>9781479910366</v>
      </c>
      <c r="C3470" s="8" t="s">
        <v>9</v>
      </c>
    </row>
    <row r="3471" spans="1:3" x14ac:dyDescent="0.25">
      <c r="A3471" s="8" t="str">
        <f>"2013 IEEE 4th Latin American Symposium on Circuits and Systems, LASCAS 2013 - Conference Proceedings"</f>
        <v>2013 IEEE 4th Latin American Symposium on Circuits and Systems, LASCAS 2013 - Conference Proceedings</v>
      </c>
      <c r="B3471" s="8" t="str">
        <f>"9781424494859"</f>
        <v>9781424494859</v>
      </c>
      <c r="C3471" s="8" t="s">
        <v>9</v>
      </c>
    </row>
    <row r="3472" spans="1:3" x14ac:dyDescent="0.25">
      <c r="A3472" s="8" t="str">
        <f>"2013 IEEE 5th International Conference on Engineering Education: Aligning Engineering Education with Industrial Needs for Nation Development, ICEED 2013"</f>
        <v>2013 IEEE 5th International Conference on Engineering Education: Aligning Engineering Education with Industrial Needs for Nation Development, ICEED 2013</v>
      </c>
      <c r="B3472" s="8" t="str">
        <f>"9781479923328"</f>
        <v>9781479923328</v>
      </c>
      <c r="C3472" s="8" t="s">
        <v>105</v>
      </c>
    </row>
    <row r="3473" spans="1:3" x14ac:dyDescent="0.25">
      <c r="A3473" s="8" t="str">
        <f>"2013 IEEE 5th International Symposium on Wireless Vehicular Communications, WiVeC 2013 - Proceedings"</f>
        <v>2013 IEEE 5th International Symposium on Wireless Vehicular Communications, WiVeC 2013 - Proceedings</v>
      </c>
      <c r="B3473" s="8" t="str">
        <f>"9781467363396"</f>
        <v>9781467363396</v>
      </c>
      <c r="C3473" s="8" t="s">
        <v>9</v>
      </c>
    </row>
    <row r="3474" spans="1:3" x14ac:dyDescent="0.25">
      <c r="A3474" s="8" t="str">
        <f>"2013 IEEE 6th International Conference on Advanced Infocomm Technology, ICAIT 2013"</f>
        <v>2013 IEEE 6th International Conference on Advanced Infocomm Technology, ICAIT 2013</v>
      </c>
      <c r="B3474" s="8" t="str">
        <f>"9781479904655"</f>
        <v>9781479904655</v>
      </c>
      <c r="C3474" s="8" t="s">
        <v>9</v>
      </c>
    </row>
    <row r="3475" spans="1:3" x14ac:dyDescent="0.25">
      <c r="A3475" s="8" t="str">
        <f>"2013 IEEE 6th International Workshop on Computational Intelligence and Applications, IWCIA 2013 - Proceedings"</f>
        <v>2013 IEEE 6th International Workshop on Computational Intelligence and Applications, IWCIA 2013 - Proceedings</v>
      </c>
      <c r="B3475" s="8" t="str">
        <f>"9781467357265"</f>
        <v>9781467357265</v>
      </c>
      <c r="C3475" s="8" t="s">
        <v>9</v>
      </c>
    </row>
    <row r="3476" spans="1:3" x14ac:dyDescent="0.25">
      <c r="A3476" s="8" t="str">
        <f>"2013 IEEE 6th International Workshop on Multi-/Many-Core Computing Systems, MuCoCoS 2013"</f>
        <v>2013 IEEE 6th International Workshop on Multi-/Many-Core Computing Systems, MuCoCoS 2013</v>
      </c>
      <c r="B3476" s="8" t="str">
        <f>"9781479910106"</f>
        <v>9781479910106</v>
      </c>
      <c r="C3476" s="8" t="s">
        <v>9</v>
      </c>
    </row>
    <row r="3477" spans="1:3" x14ac:dyDescent="0.25">
      <c r="A3477" s="8" t="str">
        <f>"2013 IEEE 8th International Conference on Industrial and Information Systems, ICIIS 2013 - Conference Proceedings"</f>
        <v>2013 IEEE 8th International Conference on Industrial and Information Systems, ICIIS 2013 - Conference Proceedings</v>
      </c>
      <c r="B3477" s="8" t="str">
        <f>"9781479909100"</f>
        <v>9781479909100</v>
      </c>
      <c r="C3477" s="8" t="s">
        <v>9</v>
      </c>
    </row>
    <row r="3478" spans="1:3" x14ac:dyDescent="0.25">
      <c r="A3478" s="8" t="str">
        <f>"2013 IEEE 8th International Symposium on Intelligent Signal Processing, WISP 2013 - Proceedings"</f>
        <v>2013 IEEE 8th International Symposium on Intelligent Signal Processing, WISP 2013 - Proceedings</v>
      </c>
      <c r="B3478" s="8" t="str">
        <f>"9781467345439"</f>
        <v>9781467345439</v>
      </c>
      <c r="C3478" s="8" t="s">
        <v>9</v>
      </c>
    </row>
    <row r="3479" spans="1:3" x14ac:dyDescent="0.25">
      <c r="A3479" s="8" t="str">
        <f>"2013 IEEE Applied Electromagnetics Conference, AEMC 2013"</f>
        <v>2013 IEEE Applied Electromagnetics Conference, AEMC 2013</v>
      </c>
      <c r="B3479" s="8" t="str">
        <f>"9781479932672"</f>
        <v>9781479932672</v>
      </c>
      <c r="C3479" s="8" t="s">
        <v>105</v>
      </c>
    </row>
    <row r="3480" spans="1:3" x14ac:dyDescent="0.25">
      <c r="A3480" s="8" t="str">
        <f>"2013 IEEE Avionics, Fiber-Optics and Photonics Technology Conference, AVFOP 2013"</f>
        <v>2013 IEEE Avionics, Fiber-Optics and Photonics Technology Conference, AVFOP 2013</v>
      </c>
      <c r="B3480" s="8" t="str">
        <f>"9781424473489"</f>
        <v>9781424473489</v>
      </c>
      <c r="C3480" s="8" t="s">
        <v>9</v>
      </c>
    </row>
    <row r="3481" spans="1:3" x14ac:dyDescent="0.25">
      <c r="A3481" s="8" t="str">
        <f>"2013 IEEE Biomedical Circuits and Systems Conference, BioCAS 2013"</f>
        <v>2013 IEEE Biomedical Circuits and Systems Conference, BioCAS 2013</v>
      </c>
      <c r="B3481" s="8" t="str">
        <f>"9781479914715"</f>
        <v>9781479914715</v>
      </c>
      <c r="C3481" s="8" t="s">
        <v>9</v>
      </c>
    </row>
    <row r="3482" spans="1:3" x14ac:dyDescent="0.25">
      <c r="A3482" s="8" t="str">
        <f>"2013 IEEE China Summit and International Conference on Signal and Information Processing, ChinaSIP 2013 - Proceedings"</f>
        <v>2013 IEEE China Summit and International Conference on Signal and Information Processing, ChinaSIP 2013 - Proceedings</v>
      </c>
      <c r="B3482" s="8" t="str">
        <f>"9781479910434"</f>
        <v>9781479910434</v>
      </c>
      <c r="C3482" s="8" t="s">
        <v>9</v>
      </c>
    </row>
    <row r="3483" spans="1:3" x14ac:dyDescent="0.25">
      <c r="A3483" s="8" t="str">
        <f>"2013 IEEE Colombian Conference on Communications and Computing, COLCOM 2013 - Conference Proceedings"</f>
        <v>2013 IEEE Colombian Conference on Communications and Computing, COLCOM 2013 - Conference Proceedings</v>
      </c>
      <c r="B3483" s="8" t="str">
        <f>"9781479903672"</f>
        <v>9781479903672</v>
      </c>
      <c r="C3483" s="8" t="s">
        <v>9</v>
      </c>
    </row>
    <row r="3484" spans="1:3" x14ac:dyDescent="0.25">
      <c r="A3484" s="8" t="str">
        <f>"2013 IEEE Conference Anthology, ANTHOLOGY 2013"</f>
        <v>2013 IEEE Conference Anthology, ANTHOLOGY 2013</v>
      </c>
      <c r="B3484" s="8" t="str">
        <f>"9781479916603"</f>
        <v>9781479916603</v>
      </c>
      <c r="C3484" s="8" t="s">
        <v>9</v>
      </c>
    </row>
    <row r="3485" spans="1:3" x14ac:dyDescent="0.25">
      <c r="A3485" s="8" t="str">
        <f>"2013 IEEE Conference on Communications and Network Security, CNS 2013"</f>
        <v>2013 IEEE Conference on Communications and Network Security, CNS 2013</v>
      </c>
      <c r="B3485" s="8" t="str">
        <f>"9781479908950"</f>
        <v>9781479908950</v>
      </c>
      <c r="C3485" s="8" t="s">
        <v>9</v>
      </c>
    </row>
    <row r="3486" spans="1:3" x14ac:dyDescent="0.25">
      <c r="A3486" s="8" t="str">
        <f>"2013 IEEE Conference on Computer Communications Workshops, INFOCOM WKSHPS 2013"</f>
        <v>2013 IEEE Conference on Computer Communications Workshops, INFOCOM WKSHPS 2013</v>
      </c>
      <c r="B3486" s="8" t="str">
        <f>"9781479900565"</f>
        <v>9781479900565</v>
      </c>
      <c r="C3486" s="8" t="s">
        <v>9</v>
      </c>
    </row>
    <row r="3487" spans="1:3" x14ac:dyDescent="0.25">
      <c r="A3487" s="8" t="str">
        <f>"2013 IEEE Conference on e-Learning, e-Management and e-Services, IC3e 2013"</f>
        <v>2013 IEEE Conference on e-Learning, e-Management and e-Services, IC3e 2013</v>
      </c>
      <c r="B3487" s="8" t="str">
        <f>"9781479915743"</f>
        <v>9781479915743</v>
      </c>
      <c r="C3487" s="8" t="s">
        <v>9</v>
      </c>
    </row>
    <row r="3488" spans="1:3" x14ac:dyDescent="0.25">
      <c r="A3488" s="8" t="str">
        <f>"2013 IEEE Conference on Information and Communication Technologies, ICT 2013"</f>
        <v>2013 IEEE Conference on Information and Communication Technologies, ICT 2013</v>
      </c>
      <c r="B3488" s="8" t="str">
        <f>"9781467357586"</f>
        <v>9781467357586</v>
      </c>
      <c r="C3488" s="8" t="s">
        <v>9</v>
      </c>
    </row>
    <row r="3489" spans="1:3" x14ac:dyDescent="0.25">
      <c r="A3489" s="8" t="str">
        <f>"2013 IEEE Conference on Open Systems, ICOS 2013"</f>
        <v>2013 IEEE Conference on Open Systems, ICOS 2013</v>
      </c>
      <c r="B3489" s="8" t="str">
        <f>"9781479902859"</f>
        <v>9781479902859</v>
      </c>
      <c r="C3489" s="8" t="s">
        <v>9</v>
      </c>
    </row>
    <row r="3490" spans="1:3" x14ac:dyDescent="0.25">
      <c r="A3490" s="8" t="str">
        <f>"2013 IEEE Conference on Reliability Science for Advanced Materials and Devices, RSAMD 2013"</f>
        <v>2013 IEEE Conference on Reliability Science for Advanced Materials and Devices, RSAMD 2013</v>
      </c>
      <c r="B3490" s="8" t="str">
        <f>"9781467320207"</f>
        <v>9781467320207</v>
      </c>
      <c r="C3490" s="8" t="s">
        <v>105</v>
      </c>
    </row>
    <row r="3491" spans="1:3" x14ac:dyDescent="0.25">
      <c r="A3491" s="8" t="str">
        <f>"2013 IEEE Conference on Wireless Sensor, ICWISE 2013"</f>
        <v>2013 IEEE Conference on Wireless Sensor, ICWISE 2013</v>
      </c>
      <c r="B3491" s="8" t="str">
        <f>"9781479915767"</f>
        <v>9781479915767</v>
      </c>
      <c r="C3491" s="8" t="s">
        <v>9</v>
      </c>
    </row>
    <row r="3492" spans="1:3" x14ac:dyDescent="0.25">
      <c r="A3492" s="8" t="str">
        <f>"2013 IEEE Congress on Evolutionary Computation, CEC 2013"</f>
        <v>2013 IEEE Congress on Evolutionary Computation, CEC 2013</v>
      </c>
      <c r="B3492" s="8" t="str">
        <f>"9781479904549"</f>
        <v>9781479904549</v>
      </c>
      <c r="C3492" s="8" t="s">
        <v>9</v>
      </c>
    </row>
    <row r="3493" spans="1:3" x14ac:dyDescent="0.25">
      <c r="A3493" s="8" t="str">
        <f>"2013 IEEE Digital Signal Processing and Signal Processing Education Meeting, DSP/SPE 2013 - Proceedings"</f>
        <v>2013 IEEE Digital Signal Processing and Signal Processing Education Meeting, DSP/SPE 2013 - Proceedings</v>
      </c>
      <c r="B3493" s="8" t="str">
        <f>"9781479916160"</f>
        <v>9781479916160</v>
      </c>
      <c r="C3493" s="8" t="s">
        <v>9</v>
      </c>
    </row>
    <row r="3494" spans="1:3" x14ac:dyDescent="0.25">
      <c r="A3494" s="8" t="str">
        <f>"2013 IEEE ECCE Asia Downunder - 5th IEEE Annual International Energy Conversion Congress and Exhibition, IEEE ECCE Asia 2013"</f>
        <v>2013 IEEE ECCE Asia Downunder - 5th IEEE Annual International Energy Conversion Congress and Exhibition, IEEE ECCE Asia 2013</v>
      </c>
      <c r="B3494" s="8" t="str">
        <f>"9781479904822"</f>
        <v>9781479904822</v>
      </c>
      <c r="C3494" s="8" t="s">
        <v>9</v>
      </c>
    </row>
    <row r="3495" spans="1:3" x14ac:dyDescent="0.25">
      <c r="A3495" s="8" t="str">
        <f>"2013 IEEE Electric Ship Technologies Symposium, ESTS 2013"</f>
        <v>2013 IEEE Electric Ship Technologies Symposium, ESTS 2013</v>
      </c>
      <c r="B3495" s="8" t="str">
        <f>"9781467352437"</f>
        <v>9781467352437</v>
      </c>
      <c r="C3495" s="8" t="s">
        <v>9</v>
      </c>
    </row>
    <row r="3496" spans="1:3" x14ac:dyDescent="0.25">
      <c r="A3496" s="8" t="str">
        <f>"2013 IEEE Electrical Insulation Conference, EIC 2013"</f>
        <v>2013 IEEE Electrical Insulation Conference, EIC 2013</v>
      </c>
      <c r="B3496" s="8" t="str">
        <f>"9781467347389"</f>
        <v>9781467347389</v>
      </c>
      <c r="C3496" s="8" t="s">
        <v>9</v>
      </c>
    </row>
    <row r="3497" spans="1:3" x14ac:dyDescent="0.25">
      <c r="A3497" s="8" t="str">
        <f>"2013 IEEE Electrical Power and Energy Conference, EPEC 2013"</f>
        <v>2013 IEEE Electrical Power and Energy Conference, EPEC 2013</v>
      </c>
      <c r="B3497" s="8" t="str">
        <f>"9781479901067"</f>
        <v>9781479901067</v>
      </c>
      <c r="C3497" s="8" t="s">
        <v>9</v>
      </c>
    </row>
    <row r="3498" spans="1:3" x14ac:dyDescent="0.25">
      <c r="A3498" s="8" t="str">
        <f>"2013 IEEE Energy Conversion Congress and Exposition, ECCE 2013"</f>
        <v>2013 IEEE Energy Conversion Congress and Exposition, ECCE 2013</v>
      </c>
      <c r="B3498" s="8" t="str">
        <f>"9781479903351"</f>
        <v>9781479903351</v>
      </c>
      <c r="C3498" s="8" t="s">
        <v>9</v>
      </c>
    </row>
    <row r="3499" spans="1:3" x14ac:dyDescent="0.25">
      <c r="A3499" s="8" t="str">
        <f>"2013 IEEE Energytech, Energytech 2013"</f>
        <v>2013 IEEE Energytech, Energytech 2013</v>
      </c>
      <c r="B3499" s="8" t="str">
        <f>"9781467344449"</f>
        <v>9781467344449</v>
      </c>
      <c r="C3499" s="8" t="s">
        <v>9</v>
      </c>
    </row>
    <row r="3500" spans="1:3" x14ac:dyDescent="0.25">
      <c r="A3500" s="8" t="str">
        <f>"2013 IEEE Faible Tension Faible Consommation, FTFC 2013"</f>
        <v>2013 IEEE Faible Tension Faible Consommation, FTFC 2013</v>
      </c>
      <c r="B3500" s="8" t="str">
        <f>"9781467361033"</f>
        <v>9781467361033</v>
      </c>
      <c r="C3500" s="8" t="s">
        <v>9</v>
      </c>
    </row>
    <row r="3501" spans="1:3" x14ac:dyDescent="0.25">
      <c r="A3501" s="8" t="str">
        <f>"2013 IEEE Global Conference on Signal and Information Processing, GlobalSIP 2013 - Proceedings"</f>
        <v>2013 IEEE Global Conference on Signal and Information Processing, GlobalSIP 2013 - Proceedings</v>
      </c>
      <c r="B3501" s="8" t="str">
        <f>"9781479902484"</f>
        <v>9781479902484</v>
      </c>
      <c r="C3501" s="8" t="s">
        <v>9</v>
      </c>
    </row>
    <row r="3502" spans="1:3" x14ac:dyDescent="0.25">
      <c r="A3502" s="8" t="str">
        <f>"2013 IEEE Global High Tech Congress on Electronics, GHTCE 2013"</f>
        <v>2013 IEEE Global High Tech Congress on Electronics, GHTCE 2013</v>
      </c>
      <c r="B3502" s="8" t="str">
        <f>"9781479932092"</f>
        <v>9781479932092</v>
      </c>
      <c r="C3502" s="8" t="s">
        <v>9</v>
      </c>
    </row>
    <row r="3503" spans="1:3" x14ac:dyDescent="0.25">
      <c r="A3503" s="8" t="str">
        <f>"2013 IEEE Globecom Workshops, GC Wkshps 2013"</f>
        <v>2013 IEEE Globecom Workshops, GC Wkshps 2013</v>
      </c>
      <c r="B3503" s="8" t="str">
        <f>"9781479928514"</f>
        <v>9781479928514</v>
      </c>
      <c r="C3503" s="8" t="s">
        <v>9</v>
      </c>
    </row>
    <row r="3504" spans="1:3" x14ac:dyDescent="0.25">
      <c r="A3504" s="8" t="str">
        <f>"2013 IEEE Grenoble Conference PowerTech, POWERTECH 2013"</f>
        <v>2013 IEEE Grenoble Conference PowerTech, POWERTECH 2013</v>
      </c>
      <c r="B3504" s="8" t="str">
        <f>"9781467356695"</f>
        <v>9781467356695</v>
      </c>
      <c r="C3504" s="8" t="s">
        <v>9</v>
      </c>
    </row>
    <row r="3505" spans="1:3" x14ac:dyDescent="0.25">
      <c r="A3505" s="8" t="str">
        <f>"2013 IEEE High Performance Extreme Computing Conference, HPEC 2013"</f>
        <v>2013 IEEE High Performance Extreme Computing Conference, HPEC 2013</v>
      </c>
      <c r="B3505" s="8" t="str">
        <f>"9781479913657"</f>
        <v>9781479913657</v>
      </c>
      <c r="C3505" s="8" t="s">
        <v>9</v>
      </c>
    </row>
    <row r="3506" spans="1:3" x14ac:dyDescent="0.25">
      <c r="A3506" s="8" t="str">
        <f>"2013 IEEE Information Theory Workshop, ITW 2013"</f>
        <v>2013 IEEE Information Theory Workshop, ITW 2013</v>
      </c>
      <c r="B3506" s="8" t="str">
        <f>"9781479913237"</f>
        <v>9781479913237</v>
      </c>
      <c r="C3506" s="8" t="s">
        <v>9</v>
      </c>
    </row>
    <row r="3507" spans="1:3" x14ac:dyDescent="0.25">
      <c r="A3507" s="8" t="str">
        <f>"2013 IEEE Innovative Smart Grid Technologies - Asia, ISGT Asia 2013"</f>
        <v>2013 IEEE Innovative Smart Grid Technologies - Asia, ISGT Asia 2013</v>
      </c>
      <c r="B3507" s="8" t="str">
        <f>"9781479913473"</f>
        <v>9781479913473</v>
      </c>
      <c r="C3507" s="8" t="s">
        <v>9</v>
      </c>
    </row>
    <row r="3508" spans="1:3" x14ac:dyDescent="0.25">
      <c r="A3508" s="8" t="str">
        <f>"2013 IEEE Integration of Stochastic Energy in Power Systems Workshop, ISEPS 2013 - Proceedings"</f>
        <v>2013 IEEE Integration of Stochastic Energy in Power Systems Workshop, ISEPS 2013 - Proceedings</v>
      </c>
      <c r="B3508" s="8" t="str">
        <f>"9781479915118"</f>
        <v>9781479915118</v>
      </c>
      <c r="C3508" s="8" t="s">
        <v>9</v>
      </c>
    </row>
    <row r="3509" spans="1:3" x14ac:dyDescent="0.25">
      <c r="A3509" s="8" t="str">
        <f>"2013 IEEE International 3D Systems Integration Conference, 3DIC 2013"</f>
        <v>2013 IEEE International 3D Systems Integration Conference, 3DIC 2013</v>
      </c>
      <c r="B3509" s="8" t="str">
        <f>"9781467364843"</f>
        <v>9781467364843</v>
      </c>
      <c r="C3509" s="8" t="s">
        <v>9</v>
      </c>
    </row>
    <row r="3510" spans="1:3" x14ac:dyDescent="0.25">
      <c r="A3510" s="8" t="str">
        <f>"2013 IEEE International Autumn Meeting on Power, Electronics and Computing, ROPEC 2013"</f>
        <v>2013 IEEE International Autumn Meeting on Power, Electronics and Computing, ROPEC 2013</v>
      </c>
      <c r="B3510" s="8" t="str">
        <f>"9781479923700"</f>
        <v>9781479923700</v>
      </c>
      <c r="C3510" s="8" t="s">
        <v>9</v>
      </c>
    </row>
    <row r="3511" spans="1:3" x14ac:dyDescent="0.25">
      <c r="A3511" s="8" t="str">
        <f>"2013 IEEE International Conference of Electron Devices and Solid-State Circuits, EDSSC 2013"</f>
        <v>2013 IEEE International Conference of Electron Devices and Solid-State Circuits, EDSSC 2013</v>
      </c>
      <c r="B3511" s="8" t="str">
        <f>"9781467325233"</f>
        <v>9781467325233</v>
      </c>
      <c r="C3511" s="8" t="s">
        <v>9</v>
      </c>
    </row>
    <row r="3512" spans="1:3" x14ac:dyDescent="0.25">
      <c r="A3512" s="8" t="str">
        <f>"2013 IEEE International Conference on Advanced Networks and Telecommunications Systems, ANTS 2013"</f>
        <v>2013 IEEE International Conference on Advanced Networks and Telecommunications Systems, ANTS 2013</v>
      </c>
      <c r="B3512" s="8" t="str">
        <f>"9781479914760"</f>
        <v>9781479914760</v>
      </c>
      <c r="C3512" s="8" t="s">
        <v>9</v>
      </c>
    </row>
    <row r="3513" spans="1:3" x14ac:dyDescent="0.25">
      <c r="A3513" s="8" t="str">
        <f>"2013 IEEE International Conference on Applied Superconductivity and Electromagnetic Devices, ASEMD 2013"</f>
        <v>2013 IEEE International Conference on Applied Superconductivity and Electromagnetic Devices, ASEMD 2013</v>
      </c>
      <c r="B3513" s="8" t="str">
        <f>"9781479900688"</f>
        <v>9781479900688</v>
      </c>
      <c r="C3513" s="8" t="s">
        <v>9</v>
      </c>
    </row>
    <row r="3514" spans="1:3" x14ac:dyDescent="0.25">
      <c r="A3514" s="8" t="str">
        <f>"2013 IEEE International Conference on Body Sensor Networks, BSN 2013"</f>
        <v>2013 IEEE International Conference on Body Sensor Networks, BSN 2013</v>
      </c>
      <c r="B3514" s="8" t="str">
        <f>"9781479903306"</f>
        <v>9781479903306</v>
      </c>
      <c r="C3514" s="8" t="s">
        <v>9</v>
      </c>
    </row>
    <row r="3515" spans="1:3" x14ac:dyDescent="0.25">
      <c r="A3515" s="8" t="str">
        <f>"2013 IEEE International Conference on Cloud Computing in Emerging Markets, CCEM 2013"</f>
        <v>2013 IEEE International Conference on Cloud Computing in Emerging Markets, CCEM 2013</v>
      </c>
      <c r="B3515" s="8" t="str">
        <f>"9781479900268"</f>
        <v>9781479900268</v>
      </c>
      <c r="C3515" s="8" t="s">
        <v>9</v>
      </c>
    </row>
    <row r="3516" spans="1:3" x14ac:dyDescent="0.25">
      <c r="A3516" s="8" t="str">
        <f>"2013 IEEE International Conference on Communications Workshops, ICC 2013"</f>
        <v>2013 IEEE International Conference on Communications Workshops, ICC 2013</v>
      </c>
      <c r="B3516" s="8" t="str">
        <f>"9781467357531"</f>
        <v>9781467357531</v>
      </c>
      <c r="C3516" s="8" t="s">
        <v>9</v>
      </c>
    </row>
    <row r="3517" spans="1:3" x14ac:dyDescent="0.25">
      <c r="A3517" s="8" t="str">
        <f>"2013 IEEE International Conference on Computational Intelligence and Computing Research, IEEE ICCIC 2013"</f>
        <v>2013 IEEE International Conference on Computational Intelligence and Computing Research, IEEE ICCIC 2013</v>
      </c>
      <c r="B3517" s="8" t="str">
        <f>"9781479915972"</f>
        <v>9781479915972</v>
      </c>
      <c r="C3517" s="8" t="s">
        <v>9</v>
      </c>
    </row>
    <row r="3518" spans="1:3" x14ac:dyDescent="0.25">
      <c r="A3518" s="8" t="str">
        <f>"2013 IEEE International Conference on Computational Intelligence and Virtual Environments for Measurement Systems and Applications, CIVEMSA 2013 - Proceedings"</f>
        <v>2013 IEEE International Conference on Computational Intelligence and Virtual Environments for Measurement Systems and Applications, CIVEMSA 2013 - Proceedings</v>
      </c>
      <c r="B3518" s="8" t="str">
        <f>"9781467347013"</f>
        <v>9781467347013</v>
      </c>
      <c r="C3518" s="8" t="s">
        <v>9</v>
      </c>
    </row>
    <row r="3519" spans="1:3" x14ac:dyDescent="0.25">
      <c r="A3519" s="8" t="str">
        <f>"2013 IEEE International Conference on Computational Photography, ICCP 2013"</f>
        <v>2013 IEEE International Conference on Computational Photography, ICCP 2013</v>
      </c>
      <c r="B3519" s="8" t="str">
        <f>"9781467364645"</f>
        <v>9781467364645</v>
      </c>
      <c r="C3519" s="8" t="s">
        <v>9</v>
      </c>
    </row>
    <row r="3520" spans="1:3" x14ac:dyDescent="0.25">
      <c r="A3520" s="8" t="str">
        <f>"2013 IEEE International Conference on Consumer Electronics - China, ICCE-China 2013"</f>
        <v>2013 IEEE International Conference on Consumer Electronics - China, ICCE-China 2013</v>
      </c>
      <c r="B3520" s="8" t="str">
        <f>"9781479903207"</f>
        <v>9781479903207</v>
      </c>
      <c r="C3520" s="8" t="s">
        <v>9</v>
      </c>
    </row>
    <row r="3521" spans="1:3" x14ac:dyDescent="0.25">
      <c r="A3521" s="8" t="str">
        <f>"2013 IEEE International Conference on Cyber Technology in Automation, Control and Intelligent Systems, IEEE-CYBER 2013"</f>
        <v>2013 IEEE International Conference on Cyber Technology in Automation, Control and Intelligent Systems, IEEE-CYBER 2013</v>
      </c>
      <c r="B3521" s="8" t="str">
        <f>"9781479906109"</f>
        <v>9781479906109</v>
      </c>
      <c r="C3521" s="8" t="s">
        <v>9</v>
      </c>
    </row>
    <row r="3522" spans="1:3" x14ac:dyDescent="0.25">
      <c r="A3522" s="8" t="str">
        <f>"2013 IEEE International Conference on Cybernetics, CYBCONF 2013"</f>
        <v>2013 IEEE International Conference on Cybernetics, CYBCONF 2013</v>
      </c>
      <c r="B3522" s="8" t="str">
        <f>"9781467364690"</f>
        <v>9781467364690</v>
      </c>
      <c r="C3522" s="8" t="s">
        <v>9</v>
      </c>
    </row>
    <row r="3523" spans="1:3" x14ac:dyDescent="0.25">
      <c r="A3523" s="8" t="str">
        <f>"2013 IEEE International Conference on Electronics, Computing and Communication Technologies, CONECCT 2013"</f>
        <v>2013 IEEE International Conference on Electronics, Computing and Communication Technologies, CONECCT 2013</v>
      </c>
      <c r="B3523" s="8" t="str">
        <f>"9781467346085"</f>
        <v>9781467346085</v>
      </c>
      <c r="C3523" s="8" t="s">
        <v>9</v>
      </c>
    </row>
    <row r="3524" spans="1:3" x14ac:dyDescent="0.25">
      <c r="A3524" s="8" t="str">
        <f>"2013 IEEE International Conference on Emerging Trends in Computing, Communication and Nanotechnology, ICE-CCN 2013"</f>
        <v>2013 IEEE International Conference on Emerging Trends in Computing, Communication and Nanotechnology, ICE-CCN 2013</v>
      </c>
      <c r="B3524" s="8" t="str">
        <f>"9781467350365"</f>
        <v>9781467350365</v>
      </c>
      <c r="C3524" s="8" t="s">
        <v>9</v>
      </c>
    </row>
    <row r="3525" spans="1:3" x14ac:dyDescent="0.25">
      <c r="A3525" s="8" t="str">
        <f>"2013 IEEE International Conference on Image Processing, ICIP 2013 - Proceedings"</f>
        <v>2013 IEEE International Conference on Image Processing, ICIP 2013 - Proceedings</v>
      </c>
      <c r="B3525" s="8" t="str">
        <f>"9781479923410"</f>
        <v>9781479923410</v>
      </c>
      <c r="C3525" s="8" t="s">
        <v>9</v>
      </c>
    </row>
    <row r="3526" spans="1:3" x14ac:dyDescent="0.25">
      <c r="A3526" s="8" t="str">
        <f>"2013 IEEE International Conference on Information and Automation, ICIA 2013"</f>
        <v>2013 IEEE International Conference on Information and Automation, ICIA 2013</v>
      </c>
      <c r="B3526" s="8" t="str">
        <f>"9781479913343"</f>
        <v>9781479913343</v>
      </c>
      <c r="C3526" s="8" t="s">
        <v>9</v>
      </c>
    </row>
    <row r="3527" spans="1:3" x14ac:dyDescent="0.25">
      <c r="A3527" s="8" t="str">
        <f>"2013 IEEE International Conference on Mechatronics and Automation, IEEE ICMA 2013"</f>
        <v>2013 IEEE International Conference on Mechatronics and Automation, IEEE ICMA 2013</v>
      </c>
      <c r="B3527" s="8" t="str">
        <f>"9781467355582"</f>
        <v>9781467355582</v>
      </c>
      <c r="C3527" s="8" t="s">
        <v>9</v>
      </c>
    </row>
    <row r="3528" spans="1:3" x14ac:dyDescent="0.25">
      <c r="A3528" s="8" t="str">
        <f>"2013 IEEE International Conference on Mechatronics, ICM 2013"</f>
        <v>2013 IEEE International Conference on Mechatronics, ICM 2013</v>
      </c>
      <c r="B3528" s="8" t="str">
        <f>"9781467313889"</f>
        <v>9781467313889</v>
      </c>
      <c r="C3528" s="8" t="s">
        <v>9</v>
      </c>
    </row>
    <row r="3529" spans="1:3" x14ac:dyDescent="0.25">
      <c r="A3529" s="8" t="str">
        <f>"2013 IEEE International Conference on Microelectronic Systems Education, MSE 2013"</f>
        <v>2013 IEEE International Conference on Microelectronic Systems Education, MSE 2013</v>
      </c>
      <c r="B3529" s="8" t="str">
        <f>"9781479901395"</f>
        <v>9781479901395</v>
      </c>
      <c r="C3529" s="8" t="s">
        <v>9</v>
      </c>
    </row>
    <row r="3530" spans="1:3" x14ac:dyDescent="0.25">
      <c r="A3530" s="8" t="str">
        <f>"2013 IEEE International Conference on Microwaves, Communications, Antennas and Electronic Systems, COMCAS 2013"</f>
        <v>2013 IEEE International Conference on Microwaves, Communications, Antennas and Electronic Systems, COMCAS 2013</v>
      </c>
      <c r="B3530" s="8" t="str">
        <f>"9781467357562"</f>
        <v>9781467357562</v>
      </c>
      <c r="C3530" s="8" t="s">
        <v>9</v>
      </c>
    </row>
    <row r="3531" spans="1:3" x14ac:dyDescent="0.25">
      <c r="A3531" s="8" t="str">
        <f>"2013 IEEE International Conference on Pervasive Computing and Communications Workshops, PerCom Workshops 2013"</f>
        <v>2013 IEEE International Conference on Pervasive Computing and Communications Workshops, PerCom Workshops 2013</v>
      </c>
      <c r="B3531" s="8" t="str">
        <f>"9781467350778"</f>
        <v>9781467350778</v>
      </c>
      <c r="C3531" s="8" t="s">
        <v>9</v>
      </c>
    </row>
    <row r="3532" spans="1:3" x14ac:dyDescent="0.25">
      <c r="A3532" s="8" t="str">
        <f>"2013 IEEE International Conference on Pervasive Computing and Communications, PerCom 2013"</f>
        <v>2013 IEEE International Conference on Pervasive Computing and Communications, PerCom 2013</v>
      </c>
      <c r="B3532" s="8" t="str">
        <f>"9781467345750"</f>
        <v>9781467345750</v>
      </c>
      <c r="C3532" s="8" t="s">
        <v>9</v>
      </c>
    </row>
    <row r="3533" spans="1:3" x14ac:dyDescent="0.25">
      <c r="A3533" s="8" t="str">
        <f>"2013 IEEE International Conference on RFID, RFID 2013"</f>
        <v>2013 IEEE International Conference on RFID, RFID 2013</v>
      </c>
      <c r="B3533" s="8" t="str">
        <f>"9781467357500"</f>
        <v>9781467357500</v>
      </c>
      <c r="C3533" s="8" t="s">
        <v>9</v>
      </c>
    </row>
    <row r="3534" spans="1:3" x14ac:dyDescent="0.25">
      <c r="A3534" s="8" t="str">
        <f>"2013 IEEE International Conference on RFID-Technologies and Applications, RFID-TA 2013"</f>
        <v>2013 IEEE International Conference on RFID-Technologies and Applications, RFID-TA 2013</v>
      </c>
      <c r="B3534" s="8" t="str">
        <f>"9781479921140"</f>
        <v>9781479921140</v>
      </c>
      <c r="C3534" s="8" t="s">
        <v>9</v>
      </c>
    </row>
    <row r="3535" spans="1:3" x14ac:dyDescent="0.25">
      <c r="A3535" s="8" t="str">
        <f>"2013 IEEE International Conference on Robotics and Biomimetics, ROBIO 2013"</f>
        <v>2013 IEEE International Conference on Robotics and Biomimetics, ROBIO 2013</v>
      </c>
      <c r="B3535" s="8" t="str">
        <f>"9781479927449"</f>
        <v>9781479927449</v>
      </c>
      <c r="C3535" s="8" t="s">
        <v>9</v>
      </c>
    </row>
    <row r="3536" spans="1:3" x14ac:dyDescent="0.25">
      <c r="A3536" s="8" t="str">
        <f>"2013 IEEE International Conference on Sensing, Communications and Networking, SECON 2013"</f>
        <v>2013 IEEE International Conference on Sensing, Communications and Networking, SECON 2013</v>
      </c>
      <c r="B3536" s="8" t="str">
        <f>"9781479902309"</f>
        <v>9781479902309</v>
      </c>
      <c r="C3536" s="8" t="s">
        <v>9</v>
      </c>
    </row>
    <row r="3537" spans="1:3" x14ac:dyDescent="0.25">
      <c r="A3537" s="8" t="str">
        <f>"2013 IEEE International Conference on Signal Processing, Communications and Computing, ICSPCC 2013"</f>
        <v>2013 IEEE International Conference on Signal Processing, Communications and Computing, ICSPCC 2013</v>
      </c>
      <c r="B3537" s="8" t="str">
        <f>"9781479910274"</f>
        <v>9781479910274</v>
      </c>
      <c r="C3537" s="8" t="s">
        <v>9</v>
      </c>
    </row>
    <row r="3538" spans="1:3" x14ac:dyDescent="0.25">
      <c r="A3538" s="8" t="str">
        <f>"2013 IEEE International Conference on Signal Processing, Computing and Control, ISPCC 2013"</f>
        <v>2013 IEEE International Conference on Signal Processing, Computing and Control, ISPCC 2013</v>
      </c>
      <c r="B3538" s="8" t="str">
        <f>"9781467361903"</f>
        <v>9781467361903</v>
      </c>
      <c r="C3538" s="8" t="s">
        <v>9</v>
      </c>
    </row>
    <row r="3539" spans="1:3" x14ac:dyDescent="0.25">
      <c r="A3539" s="8" t="str">
        <f>"2013 IEEE International Conference on Smart Grid Communications, SmartGridComm 2013"</f>
        <v>2013 IEEE International Conference on Smart Grid Communications, SmartGridComm 2013</v>
      </c>
      <c r="B3539" s="8" t="str">
        <f>"9781479915262"</f>
        <v>9781479915262</v>
      </c>
      <c r="C3539" s="8" t="s">
        <v>9</v>
      </c>
    </row>
    <row r="3540" spans="1:3" x14ac:dyDescent="0.25">
      <c r="A3540" s="8" t="str">
        <f>"2013 IEEE International Conference on Smart Instrumentation, Measurement and Applications, ICSIMA 2013"</f>
        <v>2013 IEEE International Conference on Smart Instrumentation, Measurement and Applications, ICSIMA 2013</v>
      </c>
      <c r="B3540" s="8" t="str">
        <f>"9781479908431"</f>
        <v>9781479908431</v>
      </c>
      <c r="C3540" s="8" t="s">
        <v>9</v>
      </c>
    </row>
    <row r="3541" spans="1:3" x14ac:dyDescent="0.25">
      <c r="A3541" s="8" t="s">
        <v>1379</v>
      </c>
      <c r="B3541" s="8" t="str">
        <f>"9781467362405"</f>
        <v>9781467362405</v>
      </c>
      <c r="C3541" s="8" t="s">
        <v>9</v>
      </c>
    </row>
    <row r="3542" spans="1:3" x14ac:dyDescent="0.25">
      <c r="A3542" s="8" t="str">
        <f>"2013 IEEE International Conference on Technologies for Homeland Security, HST 2013"</f>
        <v>2013 IEEE International Conference on Technologies for Homeland Security, HST 2013</v>
      </c>
      <c r="B3542" s="8" t="str">
        <f>"9781479915354"</f>
        <v>9781479915354</v>
      </c>
      <c r="C3542" s="8" t="s">
        <v>9</v>
      </c>
    </row>
    <row r="3543" spans="1:3" x14ac:dyDescent="0.25">
      <c r="A3543" s="8" t="str">
        <f>"2013 IEEE International Conference on Ultra-Wideband, ICUWB 2013"</f>
        <v>2013 IEEE International Conference on Ultra-Wideband, ICUWB 2013</v>
      </c>
      <c r="B3543" s="8" t="str">
        <f>"9781479909698"</f>
        <v>9781479909698</v>
      </c>
      <c r="C3543" s="8" t="s">
        <v>9</v>
      </c>
    </row>
    <row r="3544" spans="1:3" x14ac:dyDescent="0.25">
      <c r="A3544" s="8" t="str">
        <f>"2013 IEEE International Electric Vehicle Conference, IEVC 2013"</f>
        <v>2013 IEEE International Electric Vehicle Conference, IEVC 2013</v>
      </c>
      <c r="B3544" s="8" t="str">
        <f>"9781479914517"</f>
        <v>9781479914517</v>
      </c>
      <c r="C3544" s="8" t="s">
        <v>9</v>
      </c>
    </row>
    <row r="3545" spans="1:3" x14ac:dyDescent="0.25">
      <c r="A3545" s="8" t="str">
        <f>"2013 IEEE International Multi-Disciplinary Conference on Cognitive Methods in Situation Awareness and Decision Support, CogSIMA 2013"</f>
        <v>2013 IEEE International Multi-Disciplinary Conference on Cognitive Methods in Situation Awareness and Decision Support, CogSIMA 2013</v>
      </c>
      <c r="B3545" s="8" t="str">
        <f>"9781467324373"</f>
        <v>9781467324373</v>
      </c>
      <c r="C3545" s="8" t="s">
        <v>9</v>
      </c>
    </row>
    <row r="3546" spans="1:3" x14ac:dyDescent="0.25">
      <c r="A3546" s="8" t="str">
        <f>"2013 IEEE International Semiconductor Conference Dresden - Grenoble: Technology, Design, Packaging, Simulation and Test, ISCDG 2013"</f>
        <v>2013 IEEE International Semiconductor Conference Dresden - Grenoble: Technology, Design, Packaging, Simulation and Test, ISCDG 2013</v>
      </c>
      <c r="B3546" s="8" t="str">
        <f>"9781479912506"</f>
        <v>9781479912506</v>
      </c>
      <c r="C3546" s="8" t="s">
        <v>9</v>
      </c>
    </row>
    <row r="3547" spans="1:3" x14ac:dyDescent="0.25">
      <c r="A3547" s="8" t="str">
        <f>"2013 IEEE International Symposium on Innovations in Intelligent Systems and Applications, IEEE INISTA 2013"</f>
        <v>2013 IEEE International Symposium on Innovations in Intelligent Systems and Applications, IEEE INISTA 2013</v>
      </c>
      <c r="B3547" s="8" t="str">
        <f>"9781479906611"</f>
        <v>9781479906611</v>
      </c>
      <c r="C3547" s="8" t="s">
        <v>9</v>
      </c>
    </row>
    <row r="3548" spans="1:3" x14ac:dyDescent="0.25">
      <c r="A3548" s="8" t="str">
        <f>"2013 IEEE International Symposium on Mixed and Augmented Reality - Arts, Media, and Humanities, ISMAR-AMH 2013"</f>
        <v>2013 IEEE International Symposium on Mixed and Augmented Reality - Arts, Media, and Humanities, ISMAR-AMH 2013</v>
      </c>
      <c r="B3548" s="8" t="str">
        <f>"9781479929450"</f>
        <v>9781479929450</v>
      </c>
      <c r="C3548" s="8" t="s">
        <v>9</v>
      </c>
    </row>
    <row r="3549" spans="1:3" x14ac:dyDescent="0.25">
      <c r="A3549" s="8" t="str">
        <f>"2013 IEEE International Symposium on Mixed and Augmented Reality, ISMAR 2013"</f>
        <v>2013 IEEE International Symposium on Mixed and Augmented Reality, ISMAR 2013</v>
      </c>
      <c r="B3549" s="8" t="str">
        <f>"9781479928699"</f>
        <v>9781479928699</v>
      </c>
      <c r="C3549" s="8" t="s">
        <v>9</v>
      </c>
    </row>
    <row r="3550" spans="1:3" x14ac:dyDescent="0.25">
      <c r="A3550" s="8" t="str">
        <f>"2013 IEEE International Symposium on Safety, Security, and Rescue Robotics, SSRR 2013"</f>
        <v>2013 IEEE International Symposium on Safety, Security, and Rescue Robotics, SSRR 2013</v>
      </c>
      <c r="B3550" s="8" t="str">
        <f>"9781479908806"</f>
        <v>9781479908806</v>
      </c>
      <c r="C3550" s="8" t="s">
        <v>9</v>
      </c>
    </row>
    <row r="3551" spans="1:3" x14ac:dyDescent="0.25">
      <c r="A3551" s="8" t="str">
        <f>"2013 IEEE International Symposium on Software Reliability Engineering Workshops, ISSREW 2013"</f>
        <v>2013 IEEE International Symposium on Software Reliability Engineering Workshops, ISSREW 2013</v>
      </c>
      <c r="B3551" s="8" t="str">
        <f>"9781479925520"</f>
        <v>9781479925520</v>
      </c>
      <c r="C3551" s="8" t="s">
        <v>9</v>
      </c>
    </row>
    <row r="3552" spans="1:3" x14ac:dyDescent="0.25">
      <c r="A3552" s="8" t="str">
        <f>"2013 IEEE International Topical Meeting on Microwave Photonics, MWP 2013"</f>
        <v>2013 IEEE International Topical Meeting on Microwave Photonics, MWP 2013</v>
      </c>
      <c r="B3552" s="8" t="str">
        <f>"9781467360715"</f>
        <v>9781467360715</v>
      </c>
      <c r="C3552" s="8" t="s">
        <v>9</v>
      </c>
    </row>
    <row r="3553" spans="1:3" x14ac:dyDescent="0.25">
      <c r="A3553" s="8" t="str">
        <f>"2013 IEEE International Underwater Technology Symposium, UT 2013"</f>
        <v>2013 IEEE International Underwater Technology Symposium, UT 2013</v>
      </c>
      <c r="B3553" s="8" t="str">
        <f>"9781467359481"</f>
        <v>9781467359481</v>
      </c>
      <c r="C3553" s="8" t="s">
        <v>9</v>
      </c>
    </row>
    <row r="3554" spans="1:3" x14ac:dyDescent="0.25">
      <c r="A3554" s="8" t="str">
        <f>"2013 IEEE International Wireless Symposium, IWS 2013"</f>
        <v>2013 IEEE International Wireless Symposium, IWS 2013</v>
      </c>
      <c r="B3554" s="8" t="str">
        <f>"9781467321419"</f>
        <v>9781467321419</v>
      </c>
      <c r="C3554" s="8" t="s">
        <v>9</v>
      </c>
    </row>
    <row r="3555" spans="1:3" x14ac:dyDescent="0.25">
      <c r="A3555" s="8" t="str">
        <f>"2013 IEEE International Workshop of Internet-of-Things Networking and Control, IoT-NC 2013"</f>
        <v>2013 IEEE International Workshop of Internet-of-Things Networking and Control, IoT-NC 2013</v>
      </c>
      <c r="B3555" s="8" t="str">
        <f>"9781479908264"</f>
        <v>9781479908264</v>
      </c>
      <c r="C3555" s="8" t="s">
        <v>9</v>
      </c>
    </row>
    <row r="3556" spans="1:3" x14ac:dyDescent="0.25">
      <c r="A3556" s="8" t="str">
        <f>"2013 IEEE International Workshop on Applied Measurements for Power Systems, AMPS 2013 - Proceedings"</f>
        <v>2013 IEEE International Workshop on Applied Measurements for Power Systems, AMPS 2013 - Proceedings</v>
      </c>
      <c r="B3556" s="8" t="str">
        <f>"9781467355711"</f>
        <v>9781467355711</v>
      </c>
      <c r="C3556" s="8" t="s">
        <v>9</v>
      </c>
    </row>
    <row r="3557" spans="1:3" x14ac:dyDescent="0.25">
      <c r="A3557" s="8" t="str">
        <f>"2013 IEEE International Workshop on Multimedia Signal Processing, MMSP 2013"</f>
        <v>2013 IEEE International Workshop on Multimedia Signal Processing, MMSP 2013</v>
      </c>
      <c r="B3557" s="8" t="str">
        <f>"9781479901258"</f>
        <v>9781479901258</v>
      </c>
      <c r="C3557" s="8" t="s">
        <v>9</v>
      </c>
    </row>
    <row r="3558" spans="1:3" x14ac:dyDescent="0.25">
      <c r="A3558" s="8" t="str">
        <f>"2013 IEEE International Workshop on Security and Privacy of Mobile, Wireless, and Sensor Networks, MWSN 2013"</f>
        <v>2013 IEEE International Workshop on Security and Privacy of Mobile, Wireless, and Sensor Networks, MWSN 2013</v>
      </c>
      <c r="B3558" s="8" t="str">
        <f>"9781479904693"</f>
        <v>9781479904693</v>
      </c>
      <c r="C3558" s="8" t="s">
        <v>9</v>
      </c>
    </row>
    <row r="3559" spans="1:3" x14ac:dyDescent="0.25">
      <c r="A3559" s="8" t="str">
        <f>"2013 IEEE Jordan Conference on Applied Electrical Engineering and Computing Technologies, AEECT 2013"</f>
        <v>2013 IEEE Jordan Conference on Applied Electrical Engineering and Computing Technologies, AEECT 2013</v>
      </c>
      <c r="B3559" s="8" t="str">
        <f>"9781479923038"</f>
        <v>9781479923038</v>
      </c>
      <c r="C3559" s="8" t="s">
        <v>9</v>
      </c>
    </row>
    <row r="3560" spans="1:3" x14ac:dyDescent="0.25">
      <c r="A3560" s="8" t="str">
        <f>"2013 IEEE Latin-America Conference on Communications, LATINCOM 2013 - Conference Proceedings"</f>
        <v>2013 IEEE Latin-America Conference on Communications, LATINCOM 2013 - Conference Proceedings</v>
      </c>
      <c r="B3560" s="8" t="str">
        <f>"9781479911486"</f>
        <v>9781479911486</v>
      </c>
      <c r="C3560" s="8" t="s">
        <v>9</v>
      </c>
    </row>
    <row r="3561" spans="1:3" x14ac:dyDescent="0.25">
      <c r="A3561" s="8" t="str">
        <f>"2013 IEEE MTT-S International Microwave and RF Conference, IMaRC 2013"</f>
        <v>2013 IEEE MTT-S International Microwave and RF Conference, IMaRC 2013</v>
      </c>
      <c r="B3561" s="8" t="str">
        <f>"9781479925018"</f>
        <v>9781479925018</v>
      </c>
      <c r="C3561" s="8" t="s">
        <v>9</v>
      </c>
    </row>
    <row r="3562" spans="1:3" x14ac:dyDescent="0.25">
      <c r="A3562" s="8" t="str">
        <f>"2013 IEEE MTT-S International Microwave Workshop Series on RF and Wireless Technologies for Biomedical and Healthcare Applications, IMWS-BIO 2013 - Proceedings"</f>
        <v>2013 IEEE MTT-S International Microwave Workshop Series on RF and Wireless Technologies for Biomedical and Healthcare Applications, IMWS-BIO 2013 - Proceedings</v>
      </c>
      <c r="B3562" s="8" t="str">
        <f>"9781467360951"</f>
        <v>9781467360951</v>
      </c>
      <c r="C3562" s="8" t="s">
        <v>9</v>
      </c>
    </row>
    <row r="3563" spans="1:3" x14ac:dyDescent="0.25">
      <c r="A3563" s="8" t="str">
        <f>"2013 IEEE Online Conference on Green Communications, OnlineGreenComm 2013"</f>
        <v>2013 IEEE Online Conference on Green Communications, OnlineGreenComm 2013</v>
      </c>
      <c r="B3563" s="8" t="str">
        <f>"9781479903542"</f>
        <v>9781479903542</v>
      </c>
      <c r="C3563" s="8" t="s">
        <v>9</v>
      </c>
    </row>
    <row r="3564" spans="1:3" x14ac:dyDescent="0.25">
      <c r="A3564" s="8" t="str">
        <f>"2013 IEEE PES Conference on Innovative Smart Grid Technologies, ISGT LA 2013"</f>
        <v>2013 IEEE PES Conference on Innovative Smart Grid Technologies, ISGT LA 2013</v>
      </c>
      <c r="B3564" s="8" t="str">
        <f>"9781467352741"</f>
        <v>9781467352741</v>
      </c>
      <c r="C3564" s="8" t="s">
        <v>9</v>
      </c>
    </row>
    <row r="3565" spans="1:3" x14ac:dyDescent="0.25">
      <c r="A3565" s="8" t="str">
        <f>"2013 IEEE PES Innovative Smart Grid Technologies Conference, ISGT 2013"</f>
        <v>2013 IEEE PES Innovative Smart Grid Technologies Conference, ISGT 2013</v>
      </c>
      <c r="B3565" s="8" t="str">
        <f>"9781467348942"</f>
        <v>9781467348942</v>
      </c>
      <c r="C3565" s="8" t="s">
        <v>9</v>
      </c>
    </row>
    <row r="3566" spans="1:3" x14ac:dyDescent="0.25">
      <c r="A3566" s="8" t="str">
        <f>"2013 IEEE Photonics Conference, IPC 2013"</f>
        <v>2013 IEEE Photonics Conference, IPC 2013</v>
      </c>
      <c r="B3566" s="8" t="str">
        <f>"9781457715075"</f>
        <v>9781457715075</v>
      </c>
      <c r="C3566" s="8" t="s">
        <v>9</v>
      </c>
    </row>
    <row r="3567" spans="1:3" x14ac:dyDescent="0.25">
      <c r="A3567" s="8" t="str">
        <f>"2013 IEEE Photonics Society Summer Topical Meeting Series, PSSTMS 2013"</f>
        <v>2013 IEEE Photonics Society Summer Topical Meeting Series, PSSTMS 2013</v>
      </c>
      <c r="B3567" s="8" t="str">
        <f>"9781467350600"</f>
        <v>9781467350600</v>
      </c>
      <c r="C3567" s="8" t="s">
        <v>9</v>
      </c>
    </row>
    <row r="3568" spans="1:3" x14ac:dyDescent="0.25">
      <c r="A3568" s="8" t="str">
        <f>"2013 IEEE Power and Energy Conference at Illinois, PECI 2013"</f>
        <v>2013 IEEE Power and Energy Conference at Illinois, PECI 2013</v>
      </c>
      <c r="B3568" s="8" t="str">
        <f>"9781467356022"</f>
        <v>9781467356022</v>
      </c>
      <c r="C3568" s="8" t="s">
        <v>9</v>
      </c>
    </row>
    <row r="3569" spans="1:3" x14ac:dyDescent="0.25">
      <c r="A3569" s="8" t="str">
        <f>"2013 IEEE Recent Advances in Intelligent Computational Systems, RAICS 2013"</f>
        <v>2013 IEEE Recent Advances in Intelligent Computational Systems, RAICS 2013</v>
      </c>
      <c r="B3569" s="8" t="str">
        <f>"9781479921782"</f>
        <v>9781479921782</v>
      </c>
      <c r="C3569" s="8" t="s">
        <v>9</v>
      </c>
    </row>
    <row r="3570" spans="1:3" x14ac:dyDescent="0.25">
      <c r="A3570" s="8" t="str">
        <f>"2013 IEEE Region 10 Humanitarian Technology Conference, R10-HTC 2013"</f>
        <v>2013 IEEE Region 10 Humanitarian Technology Conference, R10-HTC 2013</v>
      </c>
      <c r="B3570" s="8" t="str">
        <f>"9781467359634"</f>
        <v>9781467359634</v>
      </c>
      <c r="C3570" s="8" t="s">
        <v>9</v>
      </c>
    </row>
    <row r="3571" spans="1:3" x14ac:dyDescent="0.25">
      <c r="A3571" s="8" t="str">
        <f>"2013 IEEE Sensors Applications Symposium, SAS 2013 - Proceedings"</f>
        <v>2013 IEEE Sensors Applications Symposium, SAS 2013 - Proceedings</v>
      </c>
      <c r="B3571" s="8" t="str">
        <f>"9781467346351"</f>
        <v>9781467346351</v>
      </c>
      <c r="C3571" s="8" t="s">
        <v>9</v>
      </c>
    </row>
    <row r="3572" spans="1:3" x14ac:dyDescent="0.25">
      <c r="A3572" s="8" t="str">
        <f>"2013 IEEE Signal Processing in Medicine and Biology Symposium, SPMB 2013"</f>
        <v>2013 IEEE Signal Processing in Medicine and Biology Symposium, SPMB 2013</v>
      </c>
      <c r="B3572" s="8" t="str">
        <f>"9781479930074"</f>
        <v>9781479930074</v>
      </c>
      <c r="C3572" s="8" t="s">
        <v>9</v>
      </c>
    </row>
    <row r="3573" spans="1:3" x14ac:dyDescent="0.25">
      <c r="A3573" s="8" t="str">
        <f>"2013 IEEE SOI-3D-Subthreshold Microelectronics Technology Unified Conference, S3S 2013"</f>
        <v>2013 IEEE SOI-3D-Subthreshold Microelectronics Technology Unified Conference, S3S 2013</v>
      </c>
      <c r="B3573" s="8" t="str">
        <f>"9781479913602"</f>
        <v>9781479913602</v>
      </c>
      <c r="C3573" s="8" t="s">
        <v>9</v>
      </c>
    </row>
    <row r="3574" spans="1:3" x14ac:dyDescent="0.25">
      <c r="A3574" s="8" t="str">
        <f>"2013 IEEE Systems and Information Engineering Design Symposium, SIEDS 2013"</f>
        <v>2013 IEEE Systems and Information Engineering Design Symposium, SIEDS 2013</v>
      </c>
      <c r="B3574" s="8" t="str">
        <f>"9781467356633"</f>
        <v>9781467356633</v>
      </c>
      <c r="C3574" s="8" t="s">
        <v>9</v>
      </c>
    </row>
    <row r="3575" spans="1:3" x14ac:dyDescent="0.25">
      <c r="A3575" s="8" t="str">
        <f>"2013 IEEE Transportation Electrification Conference and Expo: Components, Systems, and Power Electronics - From Technology to Business and Public Policy, ITEC 2013"</f>
        <v>2013 IEEE Transportation Electrification Conference and Expo: Components, Systems, and Power Electronics - From Technology to Business and Public Policy, ITEC 2013</v>
      </c>
      <c r="B3575" s="8" t="str">
        <f>"9781479901463"</f>
        <v>9781479901463</v>
      </c>
      <c r="C3575" s="8" t="s">
        <v>9</v>
      </c>
    </row>
    <row r="3576" spans="1:3" x14ac:dyDescent="0.25">
      <c r="A3576" s="8" t="str">
        <f>"2013 IEEE Western New York Image Processing Workshop, WNYIPW 2013 - Proceedings"</f>
        <v>2013 IEEE Western New York Image Processing Workshop, WNYIPW 2013 - Proceedings</v>
      </c>
      <c r="B3576" s="8" t="str">
        <f>"9781479930265"</f>
        <v>9781479930265</v>
      </c>
      <c r="C3576" s="8" t="s">
        <v>105</v>
      </c>
    </row>
    <row r="3577" spans="1:3" x14ac:dyDescent="0.25">
      <c r="A3577" s="8" t="str">
        <f>"2013 IEEE Wireless Communications and Networking Conference Workshops, WCNCW 2013"</f>
        <v>2013 IEEE Wireless Communications and Networking Conference Workshops, WCNCW 2013</v>
      </c>
      <c r="B3577" s="8" t="str">
        <f>"9781479901104"</f>
        <v>9781479901104</v>
      </c>
      <c r="C3577" s="8" t="s">
        <v>9</v>
      </c>
    </row>
    <row r="3578" spans="1:3" x14ac:dyDescent="0.25">
      <c r="A3578" s="8" t="str">
        <f>"2013 IEEE Wireless Power Transfer, WPT 2013"</f>
        <v>2013 IEEE Wireless Power Transfer, WPT 2013</v>
      </c>
      <c r="B3578" s="8" t="str">
        <f>"9781467350082"</f>
        <v>9781467350082</v>
      </c>
      <c r="C3578" s="8" t="s">
        <v>9</v>
      </c>
    </row>
    <row r="3579" spans="1:3" x14ac:dyDescent="0.25">
      <c r="A3579" s="8" t="str">
        <f>"2013 IEEE Workshop on Automatic Speech Recognition and Understanding, ASRU 2013 - Proceedings"</f>
        <v>2013 IEEE Workshop on Automatic Speech Recognition and Understanding, ASRU 2013 - Proceedings</v>
      </c>
      <c r="B3579" s="8" t="str">
        <f>"9781479927562"</f>
        <v>9781479927562</v>
      </c>
      <c r="C3579" s="8" t="s">
        <v>9</v>
      </c>
    </row>
    <row r="3580" spans="1:3" x14ac:dyDescent="0.25">
      <c r="A3580" s="8" t="str">
        <f>"2013 IEEE Workshop on Biometric Measurements and Systems for Security and Medical Applications, BioMS 2013 - Proceedings"</f>
        <v>2013 IEEE Workshop on Biometric Measurements and Systems for Security and Medical Applications, BioMS 2013 - Proceedings</v>
      </c>
      <c r="B3580" s="8" t="str">
        <f>"9781479906253"</f>
        <v>9781479906253</v>
      </c>
      <c r="C3580" s="8" t="s">
        <v>9</v>
      </c>
    </row>
    <row r="3581" spans="1:3" x14ac:dyDescent="0.25">
      <c r="A3581" s="8" t="str">
        <f>"2013 IEEE Workshop on Environmental, Energy and Structural Monitoring Systems, EESMS 2013 - Proceedings"</f>
        <v>2013 IEEE Workshop on Environmental, Energy and Structural Monitoring Systems, EESMS 2013 - Proceedings</v>
      </c>
      <c r="B3581" s="8" t="str">
        <f>"9781479906284"</f>
        <v>9781479906284</v>
      </c>
      <c r="C3581" s="8" t="s">
        <v>9</v>
      </c>
    </row>
    <row r="3582" spans="1:3" x14ac:dyDescent="0.25">
      <c r="A3582" s="8" t="str">
        <f>"2013 IEEE Workshop on Robot Vision, WORV 2013"</f>
        <v>2013 IEEE Workshop on Robot Vision, WORV 2013</v>
      </c>
      <c r="B3582" s="8" t="str">
        <f>"9781467356466"</f>
        <v>9781467356466</v>
      </c>
      <c r="C3582" s="8" t="s">
        <v>9</v>
      </c>
    </row>
    <row r="3583" spans="1:3" x14ac:dyDescent="0.25">
      <c r="A3583" s="8" t="str">
        <f>"2013 IEEE/ACIS 12th International Conference on Computer and Information Science, ICIS 2013 - Proceedings"</f>
        <v>2013 IEEE/ACIS 12th International Conference on Computer and Information Science, ICIS 2013 - Proceedings</v>
      </c>
      <c r="B3583" s="8" t="str">
        <f>"9781479901746"</f>
        <v>9781479901746</v>
      </c>
      <c r="C3583" s="8" t="s">
        <v>9</v>
      </c>
    </row>
    <row r="3584" spans="1:3" x14ac:dyDescent="0.25">
      <c r="A3584" s="8" t="str">
        <f>"2013 IEEE/ASME International Conference on Advanced Intelligent Mechatronics: Mechatronics for Human Wellbeing, AIM 2013"</f>
        <v>2013 IEEE/ASME International Conference on Advanced Intelligent Mechatronics: Mechatronics for Human Wellbeing, AIM 2013</v>
      </c>
      <c r="B3584" s="8" t="str">
        <f>"9781467353199"</f>
        <v>9781467353199</v>
      </c>
      <c r="C3584" s="8" t="s">
        <v>9</v>
      </c>
    </row>
    <row r="3585" spans="1:3" x14ac:dyDescent="0.25">
      <c r="A3585" s="8" t="str">
        <f>"2013 IEEE/CIC International Conference on Communications in China - Workshops, CIC/ICCC 2013"</f>
        <v>2013 IEEE/CIC International Conference on Communications in China - Workshops, CIC/ICCC 2013</v>
      </c>
      <c r="B3585" s="8" t="str">
        <f>"9781479914036"</f>
        <v>9781479914036</v>
      </c>
      <c r="C3585" s="8" t="s">
        <v>9</v>
      </c>
    </row>
    <row r="3586" spans="1:3" x14ac:dyDescent="0.25">
      <c r="A3586" s="8" t="str">
        <f>"2013 IEEE/CIC International Conference on Communications in China, ICCC 2013"</f>
        <v>2013 IEEE/CIC International Conference on Communications in China, ICCC 2013</v>
      </c>
      <c r="B3586" s="8" t="str">
        <f>"9781479910335"</f>
        <v>9781479910335</v>
      </c>
      <c r="C3586" s="8" t="s">
        <v>9</v>
      </c>
    </row>
    <row r="3587" spans="1:3" x14ac:dyDescent="0.25">
      <c r="A3587" s="8" t="str">
        <f>"2013 IEEE/OES Acoustics in Underwater Geosciences Symposium, RIO Acoustics 2013"</f>
        <v>2013 IEEE/OES Acoustics in Underwater Geosciences Symposium, RIO Acoustics 2013</v>
      </c>
      <c r="B3587" s="8" t="str">
        <f>"9781479903627"</f>
        <v>9781479903627</v>
      </c>
      <c r="C3587" s="8" t="s">
        <v>9</v>
      </c>
    </row>
    <row r="3588" spans="1:3" x14ac:dyDescent="0.25">
      <c r="A3588" s="8" t="str">
        <f>"2013 IEEE-Tsinghua International Design Management Symposium: Design-Driven Business Innovation, TIDMS 2013 - Proceedings"</f>
        <v>2013 IEEE-Tsinghua International Design Management Symposium: Design-Driven Business Innovation, TIDMS 2013 - Proceedings</v>
      </c>
      <c r="B3588" s="8" t="str">
        <f>"9781479915392"</f>
        <v>9781479915392</v>
      </c>
      <c r="C3588" s="8" t="s">
        <v>105</v>
      </c>
    </row>
    <row r="3589" spans="1:3" x14ac:dyDescent="0.25">
      <c r="A3589" s="8" t="str">
        <f>"2013 IFIP Networking Conference, IFIP Networking 2013"</f>
        <v>2013 IFIP Networking Conference, IFIP Networking 2013</v>
      </c>
      <c r="B3589" s="8" t="str">
        <f>"9783901882555"</f>
        <v>9783901882555</v>
      </c>
      <c r="C3589" s="8" t="s">
        <v>9</v>
      </c>
    </row>
    <row r="3590" spans="1:3" x14ac:dyDescent="0.25">
      <c r="A3590" s="8" t="str">
        <f>"2013 Indian Conference on Medical Informatics and Telemedicine, ICMIT 2013"</f>
        <v>2013 Indian Conference on Medical Informatics and Telemedicine, ICMIT 2013</v>
      </c>
      <c r="B3590" s="8" t="str">
        <f>"9781467358422"</f>
        <v>9781467358422</v>
      </c>
      <c r="C3590" s="8" t="s">
        <v>9</v>
      </c>
    </row>
    <row r="3591" spans="1:3" x14ac:dyDescent="0.25">
      <c r="A3591" s="8" t="str">
        <f>"2013 Information Security for South Africa - Proceedings of the ISSA 2013 Conference"</f>
        <v>2013 Information Security for South Africa - Proceedings of the ISSA 2013 Conference</v>
      </c>
      <c r="B3591" s="8" t="str">
        <f>"9781479908080"</f>
        <v>9781479908080</v>
      </c>
      <c r="C3591" s="8" t="s">
        <v>9</v>
      </c>
    </row>
    <row r="3592" spans="1:3" x14ac:dyDescent="0.25">
      <c r="A3592" s="8" t="str">
        <f>"2013 Information Theory and Applications Workshop, ITA 2013 - Conference Proceedings"</f>
        <v>2013 Information Theory and Applications Workshop, ITA 2013 - Conference Proceedings</v>
      </c>
      <c r="B3592" s="8" t="str">
        <f>"-"</f>
        <v>-</v>
      </c>
      <c r="C3592" s="8" t="s">
        <v>9</v>
      </c>
    </row>
    <row r="3593" spans="1:3" x14ac:dyDescent="0.25">
      <c r="A3593" s="8" t="str">
        <f>"2013 International Computer Science and Engineering Conference, ICSEC 2013"</f>
        <v>2013 International Computer Science and Engineering Conference, ICSEC 2013</v>
      </c>
      <c r="B3593" s="8" t="str">
        <f>"9781467353243"</f>
        <v>9781467353243</v>
      </c>
      <c r="C3593" s="8" t="s">
        <v>9</v>
      </c>
    </row>
    <row r="3594" spans="1:3" x14ac:dyDescent="0.25">
      <c r="A3594" s="8" t="str">
        <f>"2013 International Conference of Information and Communication Technology, ICoICT 2013"</f>
        <v>2013 International Conference of Information and Communication Technology, ICoICT 2013</v>
      </c>
      <c r="B3594" s="8" t="str">
        <f>"9781467349925"</f>
        <v>9781467349925</v>
      </c>
      <c r="C3594" s="8" t="s">
        <v>9</v>
      </c>
    </row>
    <row r="3595" spans="1:3" x14ac:dyDescent="0.25">
      <c r="A3595" s="8" t="str">
        <f>"2013 International Conference on 3D Imaging, IC3D 2013 - Proceedings"</f>
        <v>2013 International Conference on 3D Imaging, IC3D 2013 - Proceedings</v>
      </c>
      <c r="B3595" s="8" t="str">
        <f>"9781479932030"</f>
        <v>9781479932030</v>
      </c>
      <c r="C3595" s="8" t="s">
        <v>9</v>
      </c>
    </row>
    <row r="3596" spans="1:3" x14ac:dyDescent="0.25">
      <c r="A3596" s="8" t="str">
        <f>"2013 International Conference on Advanced Computer Science and Information Systems, ICACSIS 2013"</f>
        <v>2013 International Conference on Advanced Computer Science and Information Systems, ICACSIS 2013</v>
      </c>
      <c r="B3596" s="8" t="str">
        <f>"9789791421195"</f>
        <v>9789791421195</v>
      </c>
      <c r="C3596" s="8" t="s">
        <v>9</v>
      </c>
    </row>
    <row r="3597" spans="1:3" x14ac:dyDescent="0.25">
      <c r="A3597" s="8" t="str">
        <f>"2013 International Conference on Advanced Logistics and Transport, ICALT 2013"</f>
        <v>2013 International Conference on Advanced Logistics and Transport, ICALT 2013</v>
      </c>
      <c r="B3597" s="8" t="str">
        <f>"9781479903122"</f>
        <v>9781479903122</v>
      </c>
      <c r="C3597" s="8" t="s">
        <v>9</v>
      </c>
    </row>
    <row r="3598" spans="1:3" x14ac:dyDescent="0.25">
      <c r="A3598" s="8" t="str">
        <f>"2013 International Conference on Advanced Robotics and Intelligent Systems, ARIS 2013 - Conference Proceedings"</f>
        <v>2013 International Conference on Advanced Robotics and Intelligent Systems, ARIS 2013 - Conference Proceedings</v>
      </c>
      <c r="B3598" s="8" t="str">
        <f>"9781479900985"</f>
        <v>9781479900985</v>
      </c>
      <c r="C3598" s="8" t="s">
        <v>9</v>
      </c>
    </row>
    <row r="3599" spans="1:3" x14ac:dyDescent="0.25">
      <c r="A3599" s="8" t="str">
        <f>"2013 International Conference on Advances in Technology and Engineering, ICATE 2013"</f>
        <v>2013 International Conference on Advances in Technology and Engineering, ICATE 2013</v>
      </c>
      <c r="B3599" s="8" t="str">
        <f>"9781467356183"</f>
        <v>9781467356183</v>
      </c>
      <c r="C3599" s="8" t="s">
        <v>9</v>
      </c>
    </row>
    <row r="3600" spans="1:3" x14ac:dyDescent="0.25">
      <c r="A3600" s="8" t="str">
        <f>"2013 International Conference on Circuits, Controls and Communications, CCUBE 2013"</f>
        <v>2013 International Conference on Circuits, Controls and Communications, CCUBE 2013</v>
      </c>
      <c r="B3600" s="8" t="str">
        <f>"9781479916016"</f>
        <v>9781479916016</v>
      </c>
      <c r="C3600" s="8" t="s">
        <v>9</v>
      </c>
    </row>
    <row r="3601" spans="1:3" x14ac:dyDescent="0.25">
      <c r="A3601" s="8" t="str">
        <f>"2013 International Conference on Communication and Computer Vision, ICCCV 2013"</f>
        <v>2013 International Conference on Communication and Computer Vision, ICCCV 2013</v>
      </c>
      <c r="B3601" s="8" t="str">
        <f>"9781479962549"</f>
        <v>9781479962549</v>
      </c>
      <c r="C3601" s="8" t="s">
        <v>105</v>
      </c>
    </row>
    <row r="3602" spans="1:3" x14ac:dyDescent="0.25">
      <c r="A3602" s="8" t="str">
        <f>"2013 International Conference on Communications, Circuits and Systems, ICCCAS 2013"</f>
        <v>2013 International Conference on Communications, Circuits and Systems, ICCCAS 2013</v>
      </c>
      <c r="B3602" s="8" t="str">
        <f>"9781479930517"</f>
        <v>9781479930517</v>
      </c>
      <c r="C3602" s="8" t="s">
        <v>9</v>
      </c>
    </row>
    <row r="3603" spans="1:3" x14ac:dyDescent="0.25">
      <c r="A3603" s="8" t="str">
        <f>"2013 International Conference on Compilers, Architecture and Synthesis for Embedded Systems, CASES 2013"</f>
        <v>2013 International Conference on Compilers, Architecture and Synthesis for Embedded Systems, CASES 2013</v>
      </c>
      <c r="B3603" s="8" t="str">
        <f>"9781479914005"</f>
        <v>9781479914005</v>
      </c>
      <c r="C3603" s="8" t="s">
        <v>9</v>
      </c>
    </row>
    <row r="3604" spans="1:3" x14ac:dyDescent="0.25">
      <c r="A3604" s="8" t="str">
        <f>"2013 International Conference on Compound Semiconductor Manufacturing Technology, CS MANTECH 2013"</f>
        <v>2013 International Conference on Compound Semiconductor Manufacturing Technology, CS MANTECH 2013</v>
      </c>
      <c r="B3604" s="8" t="str">
        <f>"9781893580213"</f>
        <v>9781893580213</v>
      </c>
      <c r="C3604" s="8" t="s">
        <v>1336</v>
      </c>
    </row>
    <row r="3605" spans="1:3" x14ac:dyDescent="0.25">
      <c r="A3605" s="8" t="str">
        <f>"2013 International Conference on Computer Communication and Informatics, ICCCI 2013"</f>
        <v>2013 International Conference on Computer Communication and Informatics, ICCCI 2013</v>
      </c>
      <c r="B3605" s="8" t="str">
        <f>"9781467329057"</f>
        <v>9781467329057</v>
      </c>
      <c r="C3605" s="8" t="s">
        <v>9</v>
      </c>
    </row>
    <row r="3606" spans="1:3" x14ac:dyDescent="0.25">
      <c r="A3606" s="8" t="str">
        <f>"2013 International Conference on Computer Graphics, Visualization, Computer Vision, and Game Technology, VisioGame 2013"</f>
        <v>2013 International Conference on Computer Graphics, Visualization, Computer Vision, and Game Technology, VisioGame 2013</v>
      </c>
      <c r="B3606" s="8" t="str">
        <f>"9789462520028"</f>
        <v>9789462520028</v>
      </c>
      <c r="C3606" s="8" t="s">
        <v>1380</v>
      </c>
    </row>
    <row r="3607" spans="1:3" x14ac:dyDescent="0.25">
      <c r="A3607" s="8" t="str">
        <f>"2013 International Conference on Computer, Information and Telecommunication Systems, CITS 2013"</f>
        <v>2013 International Conference on Computer, Information and Telecommunication Systems, CITS 2013</v>
      </c>
      <c r="B3607" s="8" t="str">
        <f>"9781479901685"</f>
        <v>9781479901685</v>
      </c>
      <c r="C3607" s="8" t="s">
        <v>9</v>
      </c>
    </row>
    <row r="3608" spans="1:3" x14ac:dyDescent="0.25">
      <c r="A3608" s="8" t="str">
        <f>"2013 International Conference on Computing, Management and Telecommunications, ComManTel 2013"</f>
        <v>2013 International Conference on Computing, Management and Telecommunications, ComManTel 2013</v>
      </c>
      <c r="B3608" s="8" t="str">
        <f>"9781467320870"</f>
        <v>9781467320870</v>
      </c>
      <c r="C3608" s="8" t="s">
        <v>9</v>
      </c>
    </row>
    <row r="3609" spans="1:3" x14ac:dyDescent="0.25">
      <c r="A3609" s="8" t="str">
        <f>"2013 International Conference on Computing, Networking and Communications, ICNC 2013"</f>
        <v>2013 International Conference on Computing, Networking and Communications, ICNC 2013</v>
      </c>
      <c r="B3609" s="8" t="str">
        <f>"9781467352888"</f>
        <v>9781467352888</v>
      </c>
      <c r="C3609" s="8" t="s">
        <v>9</v>
      </c>
    </row>
    <row r="3610" spans="1:3" x14ac:dyDescent="0.25">
      <c r="A3610" s="8" t="str">
        <f>"2013 International Conference on Connected Vehicles and Expo, ICCVE 2013 - Proceedings"</f>
        <v>2013 International Conference on Connected Vehicles and Expo, ICCVE 2013 - Proceedings</v>
      </c>
      <c r="B3610" s="8" t="str">
        <f>"9781479924912"</f>
        <v>9781479924912</v>
      </c>
      <c r="C3610" s="8" t="s">
        <v>9</v>
      </c>
    </row>
    <row r="3611" spans="1:3" x14ac:dyDescent="0.25">
      <c r="A3611" s="8" t="str">
        <f>"2013 International Conference on Control Communication and Computing, ICCC 2013"</f>
        <v>2013 International Conference on Control Communication and Computing, ICCC 2013</v>
      </c>
      <c r="B3611" s="8" t="str">
        <f>"9781479905751"</f>
        <v>9781479905751</v>
      </c>
      <c r="C3611" s="8" t="s">
        <v>9</v>
      </c>
    </row>
    <row r="3612" spans="1:3" x14ac:dyDescent="0.25">
      <c r="A3612" s="8" t="str">
        <f>"2013 International Conference on Control, Automation and Information Sciences, ICCAIS 2013"</f>
        <v>2013 International Conference on Control, Automation and Information Sciences, ICCAIS 2013</v>
      </c>
      <c r="B3612" s="8" t="str">
        <f>"9781479905720"</f>
        <v>9781479905720</v>
      </c>
      <c r="C3612" s="8" t="s">
        <v>9</v>
      </c>
    </row>
    <row r="3613" spans="1:3" x14ac:dyDescent="0.25">
      <c r="A3613" s="8" t="str">
        <f>"2013 International Conference on Control, Computing, Communication and Materials, ICCCCM 2013"</f>
        <v>2013 International Conference on Control, Computing, Communication and Materials, ICCCCM 2013</v>
      </c>
      <c r="B3613" s="8" t="str">
        <f>"9781479913756"</f>
        <v>9781479913756</v>
      </c>
      <c r="C3613" s="8" t="s">
        <v>9</v>
      </c>
    </row>
    <row r="3614" spans="1:3" x14ac:dyDescent="0.25">
      <c r="A3614" s="8" t="str">
        <f>"2013 International Conference on Control, Decision and Information Technologies, CoDIT 2013"</f>
        <v>2013 International Conference on Control, Decision and Information Technologies, CoDIT 2013</v>
      </c>
      <c r="B3614" s="8" t="str">
        <f>"9781424497966"</f>
        <v>9781424497966</v>
      </c>
      <c r="C3614" s="8" t="s">
        <v>9</v>
      </c>
    </row>
    <row r="3615" spans="1:3" x14ac:dyDescent="0.25">
      <c r="A3615" s="8" t="str">
        <f>"2013 International Conference on Current Trends in Engineering and Technology, ICCTET 2013"</f>
        <v>2013 International Conference on Current Trends in Engineering and Technology, ICCTET 2013</v>
      </c>
      <c r="B3615" s="8" t="str">
        <f>"9781479925834"</f>
        <v>9781479925834</v>
      </c>
      <c r="C3615" s="8" t="s">
        <v>9</v>
      </c>
    </row>
    <row r="3616" spans="1:3" x14ac:dyDescent="0.25">
      <c r="A3616" s="8" t="str">
        <f>"2013 International Conference on Digital Image Computing: Techniques and Applications, DICTA 2013"</f>
        <v>2013 International Conference on Digital Image Computing: Techniques and Applications, DICTA 2013</v>
      </c>
      <c r="B3616" s="8" t="str">
        <f>"9781479921263"</f>
        <v>9781479921263</v>
      </c>
      <c r="C3616" s="8" t="s">
        <v>9</v>
      </c>
    </row>
    <row r="3617" spans="1:3" x14ac:dyDescent="0.25">
      <c r="A3617" s="8" t="str">
        <f>"2013 International Conference on Electrical Engineering and Software Applications, ICEESA 2013"</f>
        <v>2013 International Conference on Electrical Engineering and Software Applications, ICEESA 2013</v>
      </c>
      <c r="B3617" s="8" t="str">
        <f>"9781467363013"</f>
        <v>9781467363013</v>
      </c>
      <c r="C3617" s="8" t="s">
        <v>9</v>
      </c>
    </row>
    <row r="3618" spans="1:3" x14ac:dyDescent="0.25">
      <c r="A3618" s="8" t="str">
        <f>"2013 International Conference on Electrical Information and Communication Technology, EICT 2013"</f>
        <v>2013 International Conference on Electrical Information and Communication Technology, EICT 2013</v>
      </c>
      <c r="B3618" s="8" t="str">
        <f>"9781479922994"</f>
        <v>9781479922994</v>
      </c>
      <c r="C3618" s="8" t="s">
        <v>9</v>
      </c>
    </row>
    <row r="3619" spans="1:3" x14ac:dyDescent="0.25">
      <c r="A3619" s="8" t="str">
        <f>"2013 International Conference on Electrical Machines and Systems, ICEMS 2013"</f>
        <v>2013 International Conference on Electrical Machines and Systems, ICEMS 2013</v>
      </c>
      <c r="B3619" s="8" t="str">
        <f>"9781479914470"</f>
        <v>9781479914470</v>
      </c>
      <c r="C3619" s="8" t="s">
        <v>9</v>
      </c>
    </row>
    <row r="3620" spans="1:3" x14ac:dyDescent="0.25">
      <c r="A3620" s="8" t="str">
        <f>"2013 International Conference on Electrical, Communication, Computer, Power, and Control Engineering, ICECCPCE 2013"</f>
        <v>2013 International Conference on Electrical, Communication, Computer, Power, and Control Engineering, ICECCPCE 2013</v>
      </c>
      <c r="B3620" s="8" t="str">
        <f>"9781479956333"</f>
        <v>9781479956333</v>
      </c>
      <c r="C3620" s="8" t="s">
        <v>105</v>
      </c>
    </row>
    <row r="3621" spans="1:3" x14ac:dyDescent="0.25">
      <c r="A3621" s="8" t="str">
        <f>"2013 International Conference on Electrical, Electronics and System Engineering, ICEESE 2013"</f>
        <v>2013 International Conference on Electrical, Electronics and System Engineering, ICEESE 2013</v>
      </c>
      <c r="B3621" s="8" t="str">
        <f>"9781479931774"</f>
        <v>9781479931774</v>
      </c>
      <c r="C3621" s="8" t="s">
        <v>105</v>
      </c>
    </row>
    <row r="3622" spans="1:3" x14ac:dyDescent="0.25">
      <c r="A3622" s="8" t="str">
        <f>"2013 International Conference on Electronics, Computer and Computation, ICECCO 2013"</f>
        <v>2013 International Conference on Electronics, Computer and Computation, ICECCO 2013</v>
      </c>
      <c r="B3622" s="8" t="str">
        <f>"9781479933433"</f>
        <v>9781479933433</v>
      </c>
      <c r="C3622" s="8" t="s">
        <v>9</v>
      </c>
    </row>
    <row r="3623" spans="1:3" x14ac:dyDescent="0.25">
      <c r="A3623" s="8" t="str">
        <f>"2013 International Conference on Electronics, Computers and Artificial Intelligence, ECAI 2013"</f>
        <v>2013 International Conference on Electronics, Computers and Artificial Intelligence, ECAI 2013</v>
      </c>
      <c r="B3623" s="8" t="str">
        <f>"9781467349376"</f>
        <v>9781467349376</v>
      </c>
      <c r="C3623" s="8" t="s">
        <v>9</v>
      </c>
    </row>
    <row r="3624" spans="1:3" x14ac:dyDescent="0.25">
      <c r="A3624" s="8" t="str">
        <f>"2013 International Conference on Emerging Trends in VLSI, Embedded System, Nano Electronics and Telecommunication System, ICEVENT 2013"</f>
        <v>2013 International Conference on Emerging Trends in VLSI, Embedded System, Nano Electronics and Telecommunication System, ICEVENT 2013</v>
      </c>
      <c r="B3624" s="8" t="str">
        <f>"9781467353014"</f>
        <v>9781467353014</v>
      </c>
      <c r="C3624" s="8" t="s">
        <v>9</v>
      </c>
    </row>
    <row r="3625" spans="1:3" x14ac:dyDescent="0.25">
      <c r="A3625" s="8" t="str">
        <f>"2013 International Conference on Energy Efficient Technologies for Sustainability, ICEETS 2013"</f>
        <v>2013 International Conference on Energy Efficient Technologies for Sustainability, ICEETS 2013</v>
      </c>
      <c r="B3625" s="8" t="str">
        <f>"9781467361491"</f>
        <v>9781467361491</v>
      </c>
      <c r="C3625" s="8" t="s">
        <v>9</v>
      </c>
    </row>
    <row r="3626" spans="1:3" x14ac:dyDescent="0.25">
      <c r="A3626" s="8" t="str">
        <f>"2013 International Conference on Green High Performance Computing, ICGHPC 2013"</f>
        <v>2013 International Conference on Green High Performance Computing, ICGHPC 2013</v>
      </c>
      <c r="B3626" s="8" t="str">
        <f>"9781467325943"</f>
        <v>9781467325943</v>
      </c>
      <c r="C3626" s="8" t="s">
        <v>9</v>
      </c>
    </row>
    <row r="3627" spans="1:3" x14ac:dyDescent="0.25">
      <c r="A3627" s="8" t="str">
        <f>"2013 International Conference on Hardware/Software Codesign and System Synthesis, CODES+ISSS 2013"</f>
        <v>2013 International Conference on Hardware/Software Codesign and System Synthesis, CODES+ISSS 2013</v>
      </c>
      <c r="B3627" s="8" t="str">
        <f>"9781479914173"</f>
        <v>9781479914173</v>
      </c>
      <c r="C3627" s="8" t="s">
        <v>9</v>
      </c>
    </row>
    <row r="3628" spans="1:3" x14ac:dyDescent="0.25">
      <c r="A3628" s="8" t="str">
        <f>"2013 International Conference on Individual and Collective Behaviors in Robotics - Proceedings of ICBR 2013"</f>
        <v>2013 International Conference on Individual and Collective Behaviors in Robotics - Proceedings of ICBR 2013</v>
      </c>
      <c r="B3628" s="8" t="str">
        <f>"9781479928125"</f>
        <v>9781479928125</v>
      </c>
      <c r="C3628" s="8" t="s">
        <v>9</v>
      </c>
    </row>
    <row r="3629" spans="1:3" x14ac:dyDescent="0.25">
      <c r="A3629" s="8" t="str">
        <f>"2013 International Conference on Informatics, Electronics and Vision, ICIEV 2013"</f>
        <v>2013 International Conference on Informatics, Electronics and Vision, ICIEV 2013</v>
      </c>
      <c r="B3629" s="8" t="str">
        <f>"9781479903979"</f>
        <v>9781479903979</v>
      </c>
      <c r="C3629" s="8" t="s">
        <v>9</v>
      </c>
    </row>
    <row r="3630" spans="1:3" x14ac:dyDescent="0.25">
      <c r="A3630" s="8" t="str">
        <f>"2013 International Conference on Information Communication and Embedded Systems, ICICES 2013"</f>
        <v>2013 International Conference on Information Communication and Embedded Systems, ICICES 2013</v>
      </c>
      <c r="B3630" s="8" t="str">
        <f>"9781467357869"</f>
        <v>9781467357869</v>
      </c>
      <c r="C3630" s="8" t="s">
        <v>9</v>
      </c>
    </row>
    <row r="3631" spans="1:3" x14ac:dyDescent="0.25">
      <c r="A3631" s="8" t="str">
        <f>"2013 International Conference on Information Science and Applications, ICISA 2013"</f>
        <v>2013 International Conference on Information Science and Applications, ICISA 2013</v>
      </c>
      <c r="B3631" s="8" t="str">
        <f>"9781479906031"</f>
        <v>9781479906031</v>
      </c>
      <c r="C3631" s="8" t="s">
        <v>9</v>
      </c>
    </row>
    <row r="3632" spans="1:3" x14ac:dyDescent="0.25">
      <c r="A3632" s="8" t="str">
        <f>"2013 International Conference on Intelligent Interactive Systems and Assistive Technologies, IISAT 2013 - Proceedings"</f>
        <v>2013 International Conference on Intelligent Interactive Systems and Assistive Technologies, IISAT 2013 - Proceedings</v>
      </c>
      <c r="B3632" s="8" t="str">
        <f>"9781479904754"</f>
        <v>9781479904754</v>
      </c>
      <c r="C3632" s="8" t="s">
        <v>9</v>
      </c>
    </row>
    <row r="3633" spans="1:3" x14ac:dyDescent="0.25">
      <c r="A3633" s="8" t="str">
        <f>"2013 International Conference on Intelligent Systems and Signal Processing, ISSP 2013"</f>
        <v>2013 International Conference on Intelligent Systems and Signal Processing, ISSP 2013</v>
      </c>
      <c r="B3633" s="8" t="str">
        <f>"9781479903160"</f>
        <v>9781479903160</v>
      </c>
      <c r="C3633" s="8" t="s">
        <v>9</v>
      </c>
    </row>
    <row r="3634" spans="1:3" x14ac:dyDescent="0.25">
      <c r="A3634" s="8" t="str">
        <f>"2013 International Conference on Interactive Collaborative Learning, ICL 2013"</f>
        <v>2013 International Conference on Interactive Collaborative Learning, ICL 2013</v>
      </c>
      <c r="B3634" s="8" t="str">
        <f>"9781479901531"</f>
        <v>9781479901531</v>
      </c>
      <c r="C3634" s="8" t="s">
        <v>9</v>
      </c>
    </row>
    <row r="3635" spans="1:3" x14ac:dyDescent="0.25">
      <c r="A3635" s="8" t="str">
        <f>"2013 International Conference on IT Convergence and Security, ICITCS 2013"</f>
        <v>2013 International Conference on IT Convergence and Security, ICITCS 2013</v>
      </c>
      <c r="B3635" s="8" t="str">
        <f>"9781479928453"</f>
        <v>9781479928453</v>
      </c>
      <c r="C3635" s="8" t="s">
        <v>9</v>
      </c>
    </row>
    <row r="3636" spans="1:3" x14ac:dyDescent="0.25">
      <c r="A3636" s="8" t="str">
        <f>"2013 International Conference on Localization and GNSS, ICL-GNSS 2013"</f>
        <v>2013 International Conference on Localization and GNSS, ICL-GNSS 2013</v>
      </c>
      <c r="B3636" s="8" t="str">
        <f>"9781479904846"</f>
        <v>9781479904846</v>
      </c>
      <c r="C3636" s="8" t="s">
        <v>9</v>
      </c>
    </row>
    <row r="3637" spans="1:3" x14ac:dyDescent="0.25">
      <c r="A3637" s="8" t="str">
        <f>"2013 International Conference on Manipulation, Manufacturing and Measurement on the Nanoscale, 3M-NANO 2013 - Conference Proceedings"</f>
        <v>2013 International Conference on Manipulation, Manufacturing and Measurement on the Nanoscale, 3M-NANO 2013 - Conference Proceedings</v>
      </c>
      <c r="B3637" s="8" t="str">
        <f>"9781479912131"</f>
        <v>9781479912131</v>
      </c>
      <c r="C3637" s="8" t="s">
        <v>9</v>
      </c>
    </row>
    <row r="3638" spans="1:3" x14ac:dyDescent="0.25">
      <c r="A3638" s="8" t="str">
        <f>"2013 International Conference on Microwave and Photonics, ICMAP 2013"</f>
        <v>2013 International Conference on Microwave and Photonics, ICMAP 2013</v>
      </c>
      <c r="B3638" s="8" t="str">
        <f>"9781479921744"</f>
        <v>9781479921744</v>
      </c>
      <c r="C3638" s="8" t="s">
        <v>9</v>
      </c>
    </row>
    <row r="3639" spans="1:3" x14ac:dyDescent="0.25">
      <c r="A3639" s="8" t="str">
        <f>"2013 International Conference on New Media Studies, CoNMedia 2013"</f>
        <v>2013 International Conference on New Media Studies, CoNMedia 2013</v>
      </c>
      <c r="B3639" s="8" t="str">
        <f>"9786028944212"</f>
        <v>9786028944212</v>
      </c>
      <c r="C3639" s="8" t="s">
        <v>9</v>
      </c>
    </row>
    <row r="3640" spans="1:3" x14ac:dyDescent="0.25">
      <c r="A3640" s="8" t="str">
        <f>"2013 International Conference on Optical Imaging Sensor and Security, ICOSS 2013"</f>
        <v>2013 International Conference on Optical Imaging Sensor and Security, ICOSS 2013</v>
      </c>
      <c r="B3640" s="8" t="str">
        <f>"9781467361293"</f>
        <v>9781467361293</v>
      </c>
      <c r="C3640" s="8" t="s">
        <v>9</v>
      </c>
    </row>
    <row r="3641" spans="1:3" x14ac:dyDescent="0.25">
      <c r="A3641" s="8" t="str">
        <f>"2013 International Conference on Optoelectronics and Microelectronics, ICOM 2013"</f>
        <v>2013 International Conference on Optoelectronics and Microelectronics, ICOM 2013</v>
      </c>
      <c r="B3641" s="8" t="str">
        <f>"9781479912162"</f>
        <v>9781479912162</v>
      </c>
      <c r="C3641" s="8" t="s">
        <v>9</v>
      </c>
    </row>
    <row r="3642" spans="1:3" x14ac:dyDescent="0.25">
      <c r="A3642" s="8" t="str">
        <f>"2013 International Conference on Privacy and Security in Mobile Systems, PRISMS 2013 - co-located with Global Wireless Summit"</f>
        <v>2013 International Conference on Privacy and Security in Mobile Systems, PRISMS 2013 - co-located with Global Wireless Summit</v>
      </c>
      <c r="B3642" s="8" t="str">
        <f>"9781479907335"</f>
        <v>9781479907335</v>
      </c>
      <c r="C3642" s="8" t="s">
        <v>105</v>
      </c>
    </row>
    <row r="3643" spans="1:3" x14ac:dyDescent="0.25">
      <c r="A3643" s="8" t="str">
        <f>"2013 International Conference on Quality in Research, QiR 2013 - In Conjunction with ICCS 2013: The 2nd International Conference on Civic Space"</f>
        <v>2013 International Conference on Quality in Research, QiR 2013 - In Conjunction with ICCS 2013: The 2nd International Conference on Civic Space</v>
      </c>
      <c r="B3643" s="8" t="str">
        <f>"9781467357852"</f>
        <v>9781467357852</v>
      </c>
      <c r="C3643" s="8" t="s">
        <v>9</v>
      </c>
    </row>
    <row r="3644" spans="1:3" x14ac:dyDescent="0.25">
      <c r="A3644" s="8" t="str">
        <f>"2013 International Conference on Radar - Beyond Orthodoxy: New Paradigms in Radar, RADAR 2013"</f>
        <v>2013 International Conference on Radar - Beyond Orthodoxy: New Paradigms in Radar, RADAR 2013</v>
      </c>
      <c r="B3644" s="8" t="str">
        <f>"9781467351775"</f>
        <v>9781467351775</v>
      </c>
      <c r="C3644" s="8" t="s">
        <v>9</v>
      </c>
    </row>
    <row r="3645" spans="1:3" x14ac:dyDescent="0.25">
      <c r="A3645" s="8" t="str">
        <f>"2013 International Conference on Reconfigurable Computing and FPGAs, ReConFig 2013"</f>
        <v>2013 International Conference on Reconfigurable Computing and FPGAs, ReConFig 2013</v>
      </c>
      <c r="B3645" s="8" t="str">
        <f>"9781479920792"</f>
        <v>9781479920792</v>
      </c>
      <c r="C3645" s="8" t="s">
        <v>9</v>
      </c>
    </row>
    <row r="3646" spans="1:3" x14ac:dyDescent="0.25">
      <c r="A3646" s="8" t="str">
        <f>"2013 International Conference on Risks and Security of Internet and Systems, CRiSIS 2013"</f>
        <v>2013 International Conference on Risks and Security of Internet and Systems, CRiSIS 2013</v>
      </c>
      <c r="B3646" s="8" t="str">
        <f>"9781479934881"</f>
        <v>9781479934881</v>
      </c>
      <c r="C3646" s="8" t="s">
        <v>9</v>
      </c>
    </row>
    <row r="3647" spans="1:3" x14ac:dyDescent="0.25">
      <c r="A3647" s="8" t="str">
        <f>"2013 International Conference on Selected Topics in Mobile and Wireless Networking, MoWNeT 2013"</f>
        <v>2013 International Conference on Selected Topics in Mobile and Wireless Networking, MoWNeT 2013</v>
      </c>
      <c r="B3647" s="8" t="str">
        <f>"9781479905065"</f>
        <v>9781479905065</v>
      </c>
      <c r="C3647" s="8" t="s">
        <v>9</v>
      </c>
    </row>
    <row r="3648" spans="1:3" x14ac:dyDescent="0.25">
      <c r="A3648" s="8" t="str">
        <f>"2013 International Conference on Signal Processing and Communication, ICSC 2013"</f>
        <v>2013 International Conference on Signal Processing and Communication, ICSC 2013</v>
      </c>
      <c r="B3648" s="8" t="str">
        <f>"9781479916078"</f>
        <v>9781479916078</v>
      </c>
      <c r="C3648" s="8" t="s">
        <v>9</v>
      </c>
    </row>
    <row r="3649" spans="1:3" x14ac:dyDescent="0.25">
      <c r="A3649" s="8" t="str">
        <f>"2013 International Conference on Smart Communications in Network Technologies, SaCoNeT 2013"</f>
        <v>2013 International Conference on Smart Communications in Network Technologies, SaCoNeT 2013</v>
      </c>
      <c r="B3649" s="8" t="str">
        <f>"9781479906949"</f>
        <v>9781479906949</v>
      </c>
      <c r="C3649" s="8" t="s">
        <v>9</v>
      </c>
    </row>
    <row r="3650" spans="1:3" x14ac:dyDescent="0.25">
      <c r="A3650" s="8" t="str">
        <f>"2013 International Conference on Soft Computing and Pattern Recognition, SoCPaR 2013"</f>
        <v>2013 International Conference on Soft Computing and Pattern Recognition, SoCPaR 2013</v>
      </c>
      <c r="B3650" s="8" t="str">
        <f>"9781479934003"</f>
        <v>9781479934003</v>
      </c>
      <c r="C3650" s="8" t="s">
        <v>105</v>
      </c>
    </row>
    <row r="3651" spans="1:3" x14ac:dyDescent="0.25">
      <c r="A3651" s="8" t="str">
        <f>"2013 International Conference on Unmanned Aircraft Systems, ICUAS 2013 - Conference Proceedings"</f>
        <v>2013 International Conference on Unmanned Aircraft Systems, ICUAS 2013 - Conference Proceedings</v>
      </c>
      <c r="B3651" s="8" t="str">
        <f>"9781479908172"</f>
        <v>9781479908172</v>
      </c>
      <c r="C3651" s="8" t="s">
        <v>9</v>
      </c>
    </row>
    <row r="3652" spans="1:3" x14ac:dyDescent="0.25">
      <c r="A3652" s="8" t="str">
        <f>"2013 International Conference on Virtual Rehabilitation, ICVR 2013"</f>
        <v>2013 International Conference on Virtual Rehabilitation, ICVR 2013</v>
      </c>
      <c r="B3652" s="8" t="str">
        <f>"9781479907748"</f>
        <v>9781479907748</v>
      </c>
      <c r="C3652" s="8" t="s">
        <v>9</v>
      </c>
    </row>
    <row r="3653" spans="1:3" x14ac:dyDescent="0.25">
      <c r="A3653" s="8" t="str">
        <f>"2013 International Conference on Wireless Communications and Signal Processing, WCSP 2013"</f>
        <v>2013 International Conference on Wireless Communications and Signal Processing, WCSP 2013</v>
      </c>
      <c r="B3653" s="8" t="str">
        <f>"9781479903085"</f>
        <v>9781479903085</v>
      </c>
      <c r="C3653" s="8" t="s">
        <v>9</v>
      </c>
    </row>
    <row r="3654" spans="1:3" x14ac:dyDescent="0.25">
      <c r="A3654" s="8" t="str">
        <f>"2013 International Conference Oriental COCOSDA Held Jointly with 2013 Conference on Asian Spoken Language Research and Evaluation, O-COCOSDA/CASLRE 2013"</f>
        <v>2013 International Conference Oriental COCOSDA Held Jointly with 2013 Conference on Asian Spoken Language Research and Evaluation, O-COCOSDA/CASLRE 2013</v>
      </c>
      <c r="B3654" s="8" t="str">
        <f>"9781479923786"</f>
        <v>9781479923786</v>
      </c>
      <c r="C3654" s="8" t="s">
        <v>9</v>
      </c>
    </row>
    <row r="3655" spans="1:3" x14ac:dyDescent="0.25">
      <c r="A3655" s="8" t="str">
        <f>"2013 International Green Computing Conference Proceedings, IGCC 2013"</f>
        <v>2013 International Green Computing Conference Proceedings, IGCC 2013</v>
      </c>
      <c r="B3655" s="8" t="str">
        <f>"9781479906222"</f>
        <v>9781479906222</v>
      </c>
      <c r="C3655" s="8" t="s">
        <v>9</v>
      </c>
    </row>
    <row r="3656" spans="1:3" x14ac:dyDescent="0.25">
      <c r="A3656" s="8" t="str">
        <f>"2013 International Joint Conference on Awareness Science and Technology and Ubi-Media Computing: Can We Realize Awareness via Ubi-Media?, iCAST 2013 and UMEDIA 2013"</f>
        <v>2013 International Joint Conference on Awareness Science and Technology and Ubi-Media Computing: Can We Realize Awareness via Ubi-Media?, iCAST 2013 and UMEDIA 2013</v>
      </c>
      <c r="B3656" s="8" t="str">
        <f>"9781479923649"</f>
        <v>9781479923649</v>
      </c>
      <c r="C3656" s="8" t="s">
        <v>9</v>
      </c>
    </row>
    <row r="3657" spans="1:3" x14ac:dyDescent="0.25">
      <c r="A3657" s="8" t="str">
        <f>"2013 International No-Dig Downunder"</f>
        <v>2013 International No-Dig Downunder</v>
      </c>
      <c r="B3657" s="8" t="str">
        <f>"-"</f>
        <v>-</v>
      </c>
      <c r="C3657" s="8" t="s">
        <v>1381</v>
      </c>
    </row>
    <row r="3658" spans="1:3" x14ac:dyDescent="0.25">
      <c r="A3658" s="8" t="str">
        <f>"2013 International Powered Lift Conference"</f>
        <v>2013 International Powered Lift Conference</v>
      </c>
      <c r="B3658" s="8" t="str">
        <f>"-"</f>
        <v>-</v>
      </c>
      <c r="C3658" s="8" t="s">
        <v>104</v>
      </c>
    </row>
    <row r="3659" spans="1:3" x14ac:dyDescent="0.25">
      <c r="A3659" s="8" t="str">
        <f>"2013 International School on Nonsinusoidal Currents and Compensation, ISNCC 2013"</f>
        <v>2013 International School on Nonsinusoidal Currents and Compensation, ISNCC 2013</v>
      </c>
      <c r="B3659" s="8" t="str">
        <f>"9781467363136"</f>
        <v>9781467363136</v>
      </c>
      <c r="C3659" s="8" t="s">
        <v>9</v>
      </c>
    </row>
    <row r="3660" spans="1:3" x14ac:dyDescent="0.25">
      <c r="A3660" s="8" t="str">
        <f>"2013 International Siberian Conference on Control and Communications, SIBCON 2013 - Proceedings"</f>
        <v>2013 International Siberian Conference on Control and Communications, SIBCON 2013 - Proceedings</v>
      </c>
      <c r="B3660" s="8" t="str">
        <f>"9781479910601"</f>
        <v>9781479910601</v>
      </c>
      <c r="C3660" s="8" t="s">
        <v>9</v>
      </c>
    </row>
    <row r="3661" spans="1:3" x14ac:dyDescent="0.25">
      <c r="A3661" s="8" t="str">
        <f>"2013 International Symposium on Electromagnetic Theory, EMTS 2013 - Proceedings"</f>
        <v>2013 International Symposium on Electromagnetic Theory, EMTS 2013 - Proceedings</v>
      </c>
      <c r="B3661" s="8" t="str">
        <f>"9784885522772"</f>
        <v>9784885522772</v>
      </c>
      <c r="C3661" s="8" t="s">
        <v>9</v>
      </c>
    </row>
    <row r="3662" spans="1:3" x14ac:dyDescent="0.25">
      <c r="A3662" s="8" t="str">
        <f>"2013 International Symposium on Lightning Protection, SIPDA 2013"</f>
        <v>2013 International Symposium on Lightning Protection, SIPDA 2013</v>
      </c>
      <c r="B3662" s="8" t="str">
        <f>"9781479913442"</f>
        <v>9781479913442</v>
      </c>
      <c r="C3662" s="8" t="s">
        <v>9</v>
      </c>
    </row>
    <row r="3663" spans="1:3" x14ac:dyDescent="0.25">
      <c r="A3663" s="8" t="str">
        <f>"2013 International Symposium on Micro-NanoMechatronics and Human Science, MHS 2013"</f>
        <v>2013 International Symposium on Micro-NanoMechatronics and Human Science, MHS 2013</v>
      </c>
      <c r="B3663" s="8" t="str">
        <f>"9781479915293"</f>
        <v>9781479915293</v>
      </c>
      <c r="C3663" s="8" t="s">
        <v>9</v>
      </c>
    </row>
    <row r="3664" spans="1:3" x14ac:dyDescent="0.25">
      <c r="A3664" s="8" t="str">
        <f>"2013 International Symposium on Network Coding, NetCod 2013"</f>
        <v>2013 International Symposium on Network Coding, NetCod 2013</v>
      </c>
      <c r="B3664" s="8" t="str">
        <f>"9781479908233"</f>
        <v>9781479908233</v>
      </c>
      <c r="C3664" s="8" t="s">
        <v>9</v>
      </c>
    </row>
    <row r="3665" spans="1:3" x14ac:dyDescent="0.25">
      <c r="A3665" s="8" t="str">
        <f>"2013 International Symposium on Software Testing and Analysis, ISSTA 2013 - Proceedings"</f>
        <v>2013 International Symposium on Software Testing and Analysis, ISSTA 2013 - Proceedings</v>
      </c>
      <c r="B3665" s="8" t="str">
        <f>"9781450321594"</f>
        <v>9781450321594</v>
      </c>
      <c r="C3665" s="8" t="s">
        <v>21</v>
      </c>
    </row>
    <row r="3666" spans="1:3" x14ac:dyDescent="0.25">
      <c r="A3666" s="8" t="str">
        <f>"2013 International Symposium on System-on-Chip, SoC 2013 - Proceedings"</f>
        <v>2013 International Symposium on System-on-Chip, SoC 2013 - Proceedings</v>
      </c>
      <c r="B3666" s="8" t="str">
        <f>"9781479911899"</f>
        <v>9781479911899</v>
      </c>
      <c r="C3666" s="8" t="s">
        <v>9</v>
      </c>
    </row>
    <row r="3667" spans="1:3" x14ac:dyDescent="0.25">
      <c r="A3667" s="8" t="str">
        <f>"2013 International Symposium on VLSI Design, Automation, and Test, VLSI-DAT 2013"</f>
        <v>2013 International Symposium on VLSI Design, Automation, and Test, VLSI-DAT 2013</v>
      </c>
      <c r="B3667" s="8" t="str">
        <f>"9781467344357"</f>
        <v>9781467344357</v>
      </c>
      <c r="C3667" s="8" t="s">
        <v>9</v>
      </c>
    </row>
    <row r="3668" spans="1:3" x14ac:dyDescent="0.25">
      <c r="A3668" s="8" t="str">
        <f>"2013 International Symposium on VLSI Technology, Systems and Application, VLSI-TSA 2013"</f>
        <v>2013 International Symposium on VLSI Technology, Systems and Application, VLSI-TSA 2013</v>
      </c>
      <c r="B3668" s="8" t="str">
        <f>"9781467330817"</f>
        <v>9781467330817</v>
      </c>
      <c r="C3668" s="8" t="s">
        <v>9</v>
      </c>
    </row>
    <row r="3669" spans="1:3" x14ac:dyDescent="0.25">
      <c r="A3669" s="8" t="str">
        <f>"2013 International Symposium on Wireless and Pervasive Computing, ISWPC 2013"</f>
        <v>2013 International Symposium on Wireless and Pervasive Computing, ISWPC 2013</v>
      </c>
      <c r="B3669" s="8" t="str">
        <f>"9781479921843"</f>
        <v>9781479921843</v>
      </c>
      <c r="C3669" s="8" t="s">
        <v>9</v>
      </c>
    </row>
    <row r="3670" spans="1:3" x14ac:dyDescent="0.25">
      <c r="A3670" s="8" t="str">
        <f>"2013 International Winter Workshop on Brain-Computer Interface, BCI 2013"</f>
        <v>2013 International Winter Workshop on Brain-Computer Interface, BCI 2013</v>
      </c>
      <c r="B3670" s="8" t="str">
        <f>"9781467359733"</f>
        <v>9781467359733</v>
      </c>
      <c r="C3670" s="8" t="s">
        <v>9</v>
      </c>
    </row>
    <row r="3671" spans="1:3" x14ac:dyDescent="0.25">
      <c r="A3671" s="8" t="str">
        <f>"2013 International Workshop on Antenna Technology, iWAT 2013"</f>
        <v>2013 International Workshop on Antenna Technology, iWAT 2013</v>
      </c>
      <c r="B3671" s="8" t="str">
        <f>"9781467328319"</f>
        <v>9781467328319</v>
      </c>
      <c r="C3671" s="8" t="s">
        <v>9</v>
      </c>
    </row>
    <row r="3672" spans="1:3" x14ac:dyDescent="0.25">
      <c r="A3672" s="8" t="str">
        <f>"2013 International Workshop on Biometrics and Forensics, IWBF 2013"</f>
        <v>2013 International Workshop on Biometrics and Forensics, IWBF 2013</v>
      </c>
      <c r="B3672" s="8" t="str">
        <f>"9781467349895"</f>
        <v>9781467349895</v>
      </c>
      <c r="C3672" s="8" t="s">
        <v>9</v>
      </c>
    </row>
    <row r="3673" spans="1:3" x14ac:dyDescent="0.25">
      <c r="A3673" s="8" t="str">
        <f>"2013 International Workshop on High Mobility Wireless Communications, HMWC 2013"</f>
        <v>2013 International Workshop on High Mobility Wireless Communications, HMWC 2013</v>
      </c>
      <c r="B3673" s="8" t="str">
        <f>"9781467363808"</f>
        <v>9781467363808</v>
      </c>
      <c r="C3673" s="8" t="s">
        <v>9</v>
      </c>
    </row>
    <row r="3674" spans="1:3" x14ac:dyDescent="0.25">
      <c r="A3674" s="8" t="str">
        <f>"2013 International Workshop on Joining AcadeMiA and Industry Contributions to Testing Automation, JAMAICA 2013 - Proceedings"</f>
        <v>2013 International Workshop on Joining AcadeMiA and Industry Contributions to Testing Automation, JAMAICA 2013 - Proceedings</v>
      </c>
      <c r="B3674" s="8" t="str">
        <f>"9781450321617"</f>
        <v>9781450321617</v>
      </c>
      <c r="C3674" s="8" t="s">
        <v>21</v>
      </c>
    </row>
    <row r="3675" spans="1:3" x14ac:dyDescent="0.25">
      <c r="A3675" s="8" t="str">
        <f>"2013 International Workshop on Magnetic Particle Imaging, IWMPI 2013"</f>
        <v>2013 International Workshop on Magnetic Particle Imaging, IWMPI 2013</v>
      </c>
      <c r="B3675" s="8" t="str">
        <f>"9781467355223"</f>
        <v>9781467355223</v>
      </c>
      <c r="C3675" s="8" t="s">
        <v>9</v>
      </c>
    </row>
    <row r="3676" spans="1:3" x14ac:dyDescent="0.25">
      <c r="A3676" s="8" t="str">
        <f>"2013 International Workshop on Testing the Cloud, TTC 2013 - Proceedings"</f>
        <v>2013 International Workshop on Testing the Cloud, TTC 2013 - Proceedings</v>
      </c>
      <c r="B3676" s="8" t="str">
        <f>"9781450321624"</f>
        <v>9781450321624</v>
      </c>
      <c r="C3676" s="8" t="s">
        <v>21</v>
      </c>
    </row>
    <row r="3677" spans="1:3" x14ac:dyDescent="0.25">
      <c r="A3677" s="8" t="str">
        <f>"2013 Iran Workshop on Communication and Information Theory, IWCIT 2013"</f>
        <v>2013 Iran Workshop on Communication and Information Theory, IWCIT 2013</v>
      </c>
      <c r="B3677" s="8" t="str">
        <f>"9781467350235"</f>
        <v>9781467350235</v>
      </c>
      <c r="C3677" s="8" t="s">
        <v>9</v>
      </c>
    </row>
    <row r="3678" spans="1:3" x14ac:dyDescent="0.25">
      <c r="A3678" s="8" t="str">
        <f>"2013 IRCOBI Conference Proceedings - International Research Council on the Biomechanics of Injury"</f>
        <v>2013 IRCOBI Conference Proceedings - International Research Council on the Biomechanics of Injury</v>
      </c>
      <c r="B3678" s="8" t="str">
        <f>"-"</f>
        <v>-</v>
      </c>
      <c r="C3678" s="8" t="s">
        <v>1372</v>
      </c>
    </row>
    <row r="3679" spans="1:3" x14ac:dyDescent="0.25">
      <c r="A3679" s="8" t="str">
        <f>"2013 IREP Symposium - Bulk Power System Dynamics and Control - IX Optimization, Security and Control of the Emerging Power Grid Supplement, IREP Supplement 2013"</f>
        <v>2013 IREP Symposium - Bulk Power System Dynamics and Control - IX Optimization, Security and Control of the Emerging Power Grid Supplement, IREP Supplement 2013</v>
      </c>
      <c r="B3679" s="8" t="str">
        <f>"9781479938889"</f>
        <v>9781479938889</v>
      </c>
      <c r="C3679" s="8" t="s">
        <v>9</v>
      </c>
    </row>
    <row r="3680" spans="1:3" x14ac:dyDescent="0.25">
      <c r="A3680" s="8" t="str">
        <f>"2013 IST-Africa Conference and Exhibition, IST-Africa 2013"</f>
        <v>2013 IST-Africa Conference and Exhibition, IST-Africa 2013</v>
      </c>
      <c r="B3680" s="8" t="str">
        <f>"9781905824397"</f>
        <v>9781905824397</v>
      </c>
      <c r="C3680" s="8" t="s">
        <v>9</v>
      </c>
    </row>
    <row r="3681" spans="1:3" x14ac:dyDescent="0.25">
      <c r="A3681" s="8" t="str">
        <f>"2013 Joint Conference of International Conference on Computational Problem-Solving and International High Speed Intelligent Communication Forum, ICCP and HSIC 2013"</f>
        <v>2013 Joint Conference of International Conference on Computational Problem-Solving and International High Speed Intelligent Communication Forum, ICCP and HSIC 2013</v>
      </c>
      <c r="B3681" s="8" t="str">
        <f>"9781479921508"</f>
        <v>9781479921508</v>
      </c>
      <c r="C3681" s="8" t="s">
        <v>105</v>
      </c>
    </row>
    <row r="3682" spans="1:3" x14ac:dyDescent="0.25">
      <c r="A3682" s="8" t="str">
        <f>"2013 Joint European Frequency and Time Forum and International Frequency Control Symposium, EFTF/IFC 2013"</f>
        <v>2013 Joint European Frequency and Time Forum and International Frequency Control Symposium, EFTF/IFC 2013</v>
      </c>
      <c r="B3682" s="8" t="str">
        <f>"9781479903429"</f>
        <v>9781479903429</v>
      </c>
      <c r="C3682" s="8" t="s">
        <v>9</v>
      </c>
    </row>
    <row r="3683" spans="1:3" x14ac:dyDescent="0.25">
      <c r="A3683" s="8" t="str">
        <f>"2013 Joint IEEE International Symposium on Applications of Ferroelectric and Workshop on Piezoresponse Force Microscopy, ISAF/PFM 2013"</f>
        <v>2013 Joint IEEE International Symposium on Applications of Ferroelectric and Workshop on Piezoresponse Force Microscopy, ISAF/PFM 2013</v>
      </c>
      <c r="B3683" s="8" t="str">
        <f>"-"</f>
        <v>-</v>
      </c>
      <c r="C3683" s="8" t="s">
        <v>9</v>
      </c>
    </row>
    <row r="3684" spans="1:3" x14ac:dyDescent="0.25">
      <c r="A3684" s="8" t="str">
        <f>"2013 Joint Rail Conference, JRC 2013"</f>
        <v>2013 Joint Rail Conference, JRC 2013</v>
      </c>
      <c r="B3684" s="8" t="str">
        <f>"9780791855300"</f>
        <v>9780791855300</v>
      </c>
      <c r="C3684" s="8" t="s">
        <v>73</v>
      </c>
    </row>
    <row r="3685" spans="1:3" x14ac:dyDescent="0.25">
      <c r="A3685" s="8" t="str">
        <f>"2013 Loughborough Antennas and Propagation Conference, LAPC 2013"</f>
        <v>2013 Loughborough Antennas and Propagation Conference, LAPC 2013</v>
      </c>
      <c r="B3685" s="8" t="str">
        <f>"9781479900916"</f>
        <v>9781479900916</v>
      </c>
      <c r="C3685" s="8" t="s">
        <v>9</v>
      </c>
    </row>
    <row r="3686" spans="1:3" x14ac:dyDescent="0.25">
      <c r="A3686" s="8" t="str">
        <f>"2013 Military Communications and Information Systems Conference, MCC 2013"</f>
        <v>2013 Military Communications and Information Systems Conference, MCC 2013</v>
      </c>
      <c r="B3686" s="8" t="str">
        <f>"9788393484843"</f>
        <v>9788393484843</v>
      </c>
      <c r="C3686" s="8" t="s">
        <v>9</v>
      </c>
    </row>
    <row r="3687" spans="1:3" x14ac:dyDescent="0.25">
      <c r="A3687" s="8" t="str">
        <f>"2013 Military Communications and Information Systems Conference, MilCIS 2013 - Proceedings"</f>
        <v>2013 Military Communications and Information Systems Conference, MilCIS 2013 - Proceedings</v>
      </c>
      <c r="B3687" s="8" t="str">
        <f>"9781479902835"</f>
        <v>9781479902835</v>
      </c>
      <c r="C3687" s="8" t="s">
        <v>9</v>
      </c>
    </row>
    <row r="3688" spans="1:3" x14ac:dyDescent="0.25">
      <c r="A3688" s="8" t="str">
        <f>"2013 MTS/IEEE OCEANS - Bergen: The Challenges of the Northern Dimension, OCEANS 2013 OCEANS 2013 MTS/IEEE Bergen: The Challenges of the Northern Dimension"</f>
        <v>2013 MTS/IEEE OCEANS - Bergen: The Challenges of the Northern Dimension, OCEANS 2013 OCEANS 2013 MTS/IEEE Bergen: The Challenges of the Northern Dimension</v>
      </c>
      <c r="B3688" s="8" t="str">
        <f>"9781479900015"</f>
        <v>9781479900015</v>
      </c>
      <c r="C3688" s="8" t="s">
        <v>9</v>
      </c>
    </row>
    <row r="3689" spans="1:3" x14ac:dyDescent="0.25">
      <c r="A3689" s="8" t="str">
        <f>"2013 National Conference on Communications, NCC 2013"</f>
        <v>2013 National Conference on Communications, NCC 2013</v>
      </c>
      <c r="B3689" s="8" t="str">
        <f>"9781467359528"</f>
        <v>9781467359528</v>
      </c>
      <c r="C3689" s="8" t="s">
        <v>9</v>
      </c>
    </row>
    <row r="3690" spans="1:3" x14ac:dyDescent="0.25">
      <c r="A3690" s="8" t="str">
        <f>"2013 National Conference on Parallel Computing Technologies, PARCOMPTECH 2013"</f>
        <v>2013 National Conference on Parallel Computing Technologies, PARCOMPTECH 2013</v>
      </c>
      <c r="B3690" s="8" t="str">
        <f>"9781479915910"</f>
        <v>9781479915910</v>
      </c>
      <c r="C3690" s="8" t="s">
        <v>9</v>
      </c>
    </row>
    <row r="3691" spans="1:3" x14ac:dyDescent="0.25">
      <c r="A3691" s="8" t="str">
        <f>"2013 National Security Days - 3eme Edition Des Journees Nationales de Securite, JNS3"</f>
        <v>2013 National Security Days - 3eme Edition Des Journees Nationales de Securite, JNS3</v>
      </c>
      <c r="B3691" s="8" t="str">
        <f>"9781479903245"</f>
        <v>9781479903245</v>
      </c>
      <c r="C3691" s="8" t="s">
        <v>9</v>
      </c>
    </row>
    <row r="3692" spans="1:3" x14ac:dyDescent="0.25">
      <c r="A3692" s="8" t="str">
        <f>"2013 Nirma University International Conference on Engineering, NUiCONE 2013"</f>
        <v>2013 Nirma University International Conference on Engineering, NUiCONE 2013</v>
      </c>
      <c r="B3692" s="8" t="str">
        <f>"9781479907274"</f>
        <v>9781479907274</v>
      </c>
      <c r="C3692" s="8" t="s">
        <v>9</v>
      </c>
    </row>
    <row r="3693" spans="1:3" x14ac:dyDescent="0.25">
      <c r="A3693" s="8" t="str">
        <f>"2013 Optical Fiber Communication Conference and Exposition and the National Fiber Optic Engineers Conference, OFC/NFOEC 2013"</f>
        <v>2013 Optical Fiber Communication Conference and Exposition and the National Fiber Optic Engineers Conference, OFC/NFOEC 2013</v>
      </c>
      <c r="B3693" s="8" t="str">
        <f>"9781479904570"</f>
        <v>9781479904570</v>
      </c>
      <c r="C3693" s="8" t="s">
        <v>9</v>
      </c>
    </row>
    <row r="3694" spans="1:3" x14ac:dyDescent="0.25">
      <c r="A3694" s="8" t="str">
        <f>"2013 Optical Interconnects Conference, OI 2013"</f>
        <v>2013 Optical Interconnects Conference, OI 2013</v>
      </c>
      <c r="B3694" s="8" t="str">
        <f>"9781467350617"</f>
        <v>9781467350617</v>
      </c>
      <c r="C3694" s="8" t="s">
        <v>9</v>
      </c>
    </row>
    <row r="3695" spans="1:3" x14ac:dyDescent="0.25">
      <c r="A3695" s="8" t="str">
        <f>"2013 Pan African International Conference on Information Science, Computing and Telecommunications, PACT 2013"</f>
        <v>2013 Pan African International Conference on Information Science, Computing and Telecommunications, PACT 2013</v>
      </c>
      <c r="B3695" s="8" t="str">
        <f>"9781479966561"</f>
        <v>9781479966561</v>
      </c>
      <c r="C3695" s="8" t="s">
        <v>105</v>
      </c>
    </row>
    <row r="3696" spans="1:3" x14ac:dyDescent="0.25">
      <c r="A3696" s="8" t="str">
        <f>"2013 PEERS Conference, Co-located with the 2013 International Bioenergy and Bioproducts Conference"</f>
        <v>2013 PEERS Conference, Co-located with the 2013 International Bioenergy and Bioproducts Conference</v>
      </c>
      <c r="B3696" s="8" t="str">
        <f>"-"</f>
        <v>-</v>
      </c>
      <c r="C3696" s="8" t="s">
        <v>1099</v>
      </c>
    </row>
    <row r="3697" spans="1:3" x14ac:dyDescent="0.25">
      <c r="A3697" s="8" t="str">
        <f>"2013 Picture Coding Symposium, PCS 2013 - Proceedings"</f>
        <v>2013 Picture Coding Symposium, PCS 2013 - Proceedings</v>
      </c>
      <c r="B3697" s="8" t="str">
        <f>"9781479902941"</f>
        <v>9781479902941</v>
      </c>
      <c r="C3697" s="8" t="s">
        <v>9</v>
      </c>
    </row>
    <row r="3698" spans="1:3" x14ac:dyDescent="0.25">
      <c r="A3698" s="8" t="str">
        <f>"2013 Power Electronics and Power Quality Applications, PEPQA 2013 - Proceedings"</f>
        <v>2013 Power Electronics and Power Quality Applications, PEPQA 2013 - Proceedings</v>
      </c>
      <c r="B3698" s="8" t="str">
        <f>"9781479910076"</f>
        <v>9781479910076</v>
      </c>
      <c r="C3698" s="8" t="s">
        <v>9</v>
      </c>
    </row>
    <row r="3699" spans="1:3" x14ac:dyDescent="0.25">
      <c r="A3699" s="8" t="str">
        <f>"2013 Proceedings of International Conference on Modelling, Identification and Control, ICMIC 2013"</f>
        <v>2013 Proceedings of International Conference on Modelling, Identification and Control, ICMIC 2013</v>
      </c>
      <c r="B3699" s="8" t="str">
        <f>"9780956715739"</f>
        <v>9780956715739</v>
      </c>
      <c r="C3699" s="8" t="s">
        <v>9</v>
      </c>
    </row>
    <row r="3700" spans="1:3" x14ac:dyDescent="0.25">
      <c r="A3700" s="8" t="str">
        <f>"2013 Proceedings of PICMET 2013: Technology Management in the IT-Driven Services"</f>
        <v>2013 Proceedings of PICMET 2013: Technology Management in the IT-Driven Services</v>
      </c>
      <c r="B3700" s="8" t="str">
        <f>"9781890843274"</f>
        <v>9781890843274</v>
      </c>
      <c r="C3700" s="8" t="s">
        <v>9</v>
      </c>
    </row>
    <row r="3701" spans="1:3" x14ac:dyDescent="0.25">
      <c r="A3701" s="8" t="str">
        <f>"2013 Proceedings of the International Conference on Embedded Software, EMSOFT 2013"</f>
        <v>2013 Proceedings of the International Conference on Embedded Software, EMSOFT 2013</v>
      </c>
      <c r="B3701" s="8" t="str">
        <f>"9781479914432"</f>
        <v>9781479914432</v>
      </c>
      <c r="C3701" s="8" t="s">
        <v>9</v>
      </c>
    </row>
    <row r="3702" spans="1:3" x14ac:dyDescent="0.25">
      <c r="A3702" s="8" t="str">
        <f>"2013 Saudi International Electronics, Communications and Photonics Conference, SIECPC 2013"</f>
        <v>2013 Saudi International Electronics, Communications and Photonics Conference, SIECPC 2013</v>
      </c>
      <c r="B3702" s="8" t="str">
        <f>"9781467361958"</f>
        <v>9781467361958</v>
      </c>
      <c r="C3702" s="8" t="s">
        <v>9</v>
      </c>
    </row>
    <row r="3703" spans="1:3" x14ac:dyDescent="0.25">
      <c r="A3703" s="8" t="str">
        <f>"2013 Signal Processing Symposium, SPS 2013"</f>
        <v>2013 Signal Processing Symposium, SPS 2013</v>
      </c>
      <c r="B3703" s="8" t="str">
        <f>"9781467363198"</f>
        <v>9781467363198</v>
      </c>
      <c r="C3703" s="8" t="s">
        <v>9</v>
      </c>
    </row>
    <row r="3704" spans="1:3" x14ac:dyDescent="0.25">
      <c r="A3704" s="8" t="str">
        <f>"2013 SME Annual Meeting and Exhibit, SME 2013 and CMA 115th National Western Mining Conference - Mining: It's About the People"</f>
        <v>2013 SME Annual Meeting and Exhibit, SME 2013 and CMA 115th National Western Mining Conference - Mining: It's About the People</v>
      </c>
      <c r="B3704" s="8" t="str">
        <f>"9781627486279"</f>
        <v>9781627486279</v>
      </c>
      <c r="C3704" s="8" t="s">
        <v>877</v>
      </c>
    </row>
    <row r="3705" spans="1:3" x14ac:dyDescent="0.25">
      <c r="A3705" s="8" t="str">
        <f>"2013 Students Conference on Engineering and Systems, SCES 2013"</f>
        <v>2013 Students Conference on Engineering and Systems, SCES 2013</v>
      </c>
      <c r="B3705" s="8" t="str">
        <f>"9781467356305"</f>
        <v>9781467356305</v>
      </c>
      <c r="C3705" s="8" t="s">
        <v>9</v>
      </c>
    </row>
    <row r="3706" spans="1:3" x14ac:dyDescent="0.25">
      <c r="A3706" s="8" t="str">
        <f>"2013 Sustainable Internet and ICT for Sustainability, SustainIT 2013"</f>
        <v>2013 Sustainable Internet and ICT for Sustainability, SustainIT 2013</v>
      </c>
      <c r="B3706" s="8" t="str">
        <f>"9783901882562"</f>
        <v>9783901882562</v>
      </c>
      <c r="C3706" s="8" t="s">
        <v>9</v>
      </c>
    </row>
    <row r="3707" spans="1:3" x14ac:dyDescent="0.25">
      <c r="A3707" s="8" t="str">
        <f>"2013 Symposium on Design, Test, Integration and Packaging of MEMS/MOEMS, DTIP 2013"</f>
        <v>2013 Symposium on Design, Test, Integration and Packaging of MEMS/MOEMS, DTIP 2013</v>
      </c>
      <c r="B3707" s="8" t="str">
        <f>"9781467344777"</f>
        <v>9781467344777</v>
      </c>
      <c r="C3707" s="8" t="s">
        <v>9</v>
      </c>
    </row>
    <row r="3708" spans="1:3" x14ac:dyDescent="0.25">
      <c r="A3708" s="8" t="str">
        <f>"2013 TAC Conference and Exhibition - Transportation: Better - Faster - Safer, TAC/ATC 2013"</f>
        <v>2013 TAC Conference and Exhibition - Transportation: Better - Faster - Safer, TAC/ATC 2013</v>
      </c>
      <c r="B3708" s="8" t="str">
        <f>"-"</f>
        <v>-</v>
      </c>
      <c r="C3708" s="8" t="s">
        <v>1365</v>
      </c>
    </row>
    <row r="3709" spans="1:3" x14ac:dyDescent="0.25">
      <c r="A3709" s="8" t="str">
        <f>"2013 The International Conference on Technological Advances in Electrical, Electronics and Computer Engineering, TAEECE 2013"</f>
        <v>2013 The International Conference on Technological Advances in Electrical, Electronics and Computer Engineering, TAEECE 2013</v>
      </c>
      <c r="B3709" s="8" t="str">
        <f>"9781467356121"</f>
        <v>9781467356121</v>
      </c>
      <c r="C3709" s="8" t="s">
        <v>9</v>
      </c>
    </row>
    <row r="3710" spans="1:3" x14ac:dyDescent="0.25">
      <c r="A3710" s="8" t="str">
        <f>"2013 Transducers and Eurosensors XXVII: The 17th International Conference on Solid-State Sensors, Actuators and Microsystems, TRANSDUCERS and EUROSENSORS 2013"</f>
        <v>2013 Transducers and Eurosensors XXVII: The 17th International Conference on Solid-State Sensors, Actuators and Microsystems, TRANSDUCERS and EUROSENSORS 2013</v>
      </c>
      <c r="B3710" s="8" t="str">
        <f>"9781467359818"</f>
        <v>9781467359818</v>
      </c>
      <c r="C3710" s="8" t="s">
        <v>9</v>
      </c>
    </row>
    <row r="3711" spans="1:3" x14ac:dyDescent="0.25">
      <c r="A3711" s="8" t="str">
        <f>"2013 US National Committee of URSI National Radio Science Meeting, USNC-URSI NRSM 2013"</f>
        <v>2013 US National Committee of URSI National Radio Science Meeting, USNC-URSI NRSM 2013</v>
      </c>
      <c r="B3711" s="8" t="str">
        <f>"9781467347761"</f>
        <v>9781467347761</v>
      </c>
      <c r="C3711" s="8" t="s">
        <v>9</v>
      </c>
    </row>
    <row r="3712" spans="1:3" x14ac:dyDescent="0.25">
      <c r="A3712" s="8" t="str">
        <f>"2013 USNC-URSI Radio Science Meeting (Joint with AP-S Symposium), USNC-URSI 2013 - Proceedings"</f>
        <v>2013 USNC-URSI Radio Science Meeting (Joint with AP-S Symposium), USNC-URSI 2013 - Proceedings</v>
      </c>
      <c r="B3712" s="8" t="str">
        <f>"9781479911295"</f>
        <v>9781479911295</v>
      </c>
      <c r="C3712" s="8" t="s">
        <v>9</v>
      </c>
    </row>
    <row r="3713" spans="1:3" x14ac:dyDescent="0.25">
      <c r="A3713" s="8" t="str">
        <f>"2013 Water Quality Technology Conference and Exposition, WQTC 2013"</f>
        <v>2013 Water Quality Technology Conference and Exposition, WQTC 2013</v>
      </c>
      <c r="B3713" s="8" t="str">
        <f>"-"</f>
        <v>-</v>
      </c>
      <c r="C3713" s="8" t="s">
        <v>651</v>
      </c>
    </row>
    <row r="3714" spans="1:3" x14ac:dyDescent="0.25">
      <c r="A3714" s="8" t="str">
        <f>"2013 Workshop on Modeling and Simulation of Cyber-Physical Energy Systems, MSCPES 2013"</f>
        <v>2013 Workshop on Modeling and Simulation of Cyber-Physical Energy Systems, MSCPES 2013</v>
      </c>
      <c r="B3714" s="8" t="str">
        <f>"9781149913077"</f>
        <v>9781149913077</v>
      </c>
      <c r="C3714" s="8" t="s">
        <v>9</v>
      </c>
    </row>
    <row r="3715" spans="1:3" x14ac:dyDescent="0.25">
      <c r="A3715" s="8" t="str">
        <f>"2013 Workshop on Sensor Data Fusion: Trends, Solutions, Applications, SDF 2013"</f>
        <v>2013 Workshop on Sensor Data Fusion: Trends, Solutions, Applications, SDF 2013</v>
      </c>
      <c r="B3715" s="8" t="str">
        <f>"9781479907786"</f>
        <v>9781479907786</v>
      </c>
      <c r="C3715" s="8" t="s">
        <v>9</v>
      </c>
    </row>
    <row r="3716" spans="1:3" x14ac:dyDescent="0.25">
      <c r="A3716" s="8" t="str">
        <f>"2013 World Congress on Computer and Information Technology, WCCIT 2013"</f>
        <v>2013 World Congress on Computer and Information Technology, WCCIT 2013</v>
      </c>
      <c r="B3716" s="8" t="str">
        <f>"9781479904600"</f>
        <v>9781479904600</v>
      </c>
      <c r="C3716" s="8" t="s">
        <v>9</v>
      </c>
    </row>
    <row r="3717" spans="1:3" x14ac:dyDescent="0.25">
      <c r="A3717" s="8" t="str">
        <f>"2013 World Congress on Internet Security, WorldCIS 2013"</f>
        <v>2013 World Congress on Internet Security, WorldCIS 2013</v>
      </c>
      <c r="B3717" s="8" t="str">
        <f>"9781908320223"</f>
        <v>9781908320223</v>
      </c>
      <c r="C3717" s="8" t="s">
        <v>9</v>
      </c>
    </row>
    <row r="3718" spans="1:3" x14ac:dyDescent="0.25">
      <c r="A3718" s="8" t="str">
        <f>"2013 World Congress on Nature and Biologically Inspired Computing, NaBIC 2013"</f>
        <v>2013 World Congress on Nature and Biologically Inspired Computing, NaBIC 2013</v>
      </c>
      <c r="B3718" s="8" t="str">
        <f>"9781479914159"</f>
        <v>9781479914159</v>
      </c>
      <c r="C3718" s="8" t="s">
        <v>9</v>
      </c>
    </row>
    <row r="3719" spans="1:3" x14ac:dyDescent="0.25">
      <c r="A3719" s="8" t="str">
        <f>"2013 World Congress on Sustainable Technologies, WCST 2013"</f>
        <v>2013 World Congress on Sustainable Technologies, WCST 2013</v>
      </c>
      <c r="B3719" s="8" t="str">
        <f>"9781908320216"</f>
        <v>9781908320216</v>
      </c>
      <c r="C3719" s="8" t="s">
        <v>9</v>
      </c>
    </row>
    <row r="3720" spans="1:3" x14ac:dyDescent="0.25">
      <c r="A3720" s="8" t="str">
        <f>"2013 World Cyberspace Cooperation Summit IV, WCC4 2013"</f>
        <v>2013 World Cyberspace Cooperation Summit IV, WCC4 2013</v>
      </c>
      <c r="B3720" s="8" t="str">
        <f>"9781479951277"</f>
        <v>9781479951277</v>
      </c>
      <c r="C3720" s="8" t="s">
        <v>105</v>
      </c>
    </row>
    <row r="3721" spans="1:3" x14ac:dyDescent="0.25">
      <c r="A3721" s="8" t="str">
        <f>"2013 World Electric Vehicle Symposium and Exhibition, EVS 2014"</f>
        <v>2013 World Electric Vehicle Symposium and Exhibition, EVS 2014</v>
      </c>
      <c r="B3721" s="8" t="str">
        <f>"9781479938322"</f>
        <v>9781479938322</v>
      </c>
      <c r="C3721" s="8" t="s">
        <v>105</v>
      </c>
    </row>
    <row r="3722" spans="1:3" x14ac:dyDescent="0.25">
      <c r="A3722" s="8" t="str">
        <f>"2013 World Haptics Conference, WHC 2013"</f>
        <v>2013 World Haptics Conference, WHC 2013</v>
      </c>
      <c r="B3722" s="8" t="str">
        <f>"9781479900886"</f>
        <v>9781479900886</v>
      </c>
      <c r="C3722" s="8" t="s">
        <v>9</v>
      </c>
    </row>
    <row r="3723" spans="1:3" x14ac:dyDescent="0.25">
      <c r="A3723" s="8" t="str">
        <f>"2013, 7th International Conference on Signal Processing and Communication Systems, ICSPCS 2013 - Proceedings"</f>
        <v>2013, 7th International Conference on Signal Processing and Communication Systems, ICSPCS 2013 - Proceedings</v>
      </c>
      <c r="B3723" s="8" t="str">
        <f>"9781479913190"</f>
        <v>9781479913190</v>
      </c>
      <c r="C3723" s="8" t="s">
        <v>9</v>
      </c>
    </row>
    <row r="3724" spans="1:3" x14ac:dyDescent="0.25">
      <c r="A3724" s="8" t="str">
        <f>"2014 10th International Computer Engineering Conference: Today Information Society What's Next?, ICENCO 2014"</f>
        <v>2014 10th International Computer Engineering Conference: Today Information Society What's Next?, ICENCO 2014</v>
      </c>
      <c r="B3724" s="8" t="str">
        <f>"9781479952410"</f>
        <v>9781479952410</v>
      </c>
      <c r="C3724" s="8" t="s">
        <v>105</v>
      </c>
    </row>
    <row r="3725" spans="1:3" x14ac:dyDescent="0.25">
      <c r="A3725" s="8" t="str">
        <f>"2014 10th International Conference on Information Assurance and Security, IAS 2014"</f>
        <v>2014 10th International Conference on Information Assurance and Security, IAS 2014</v>
      </c>
      <c r="B3725" s="8" t="str">
        <f>"9781479980994"</f>
        <v>9781479980994</v>
      </c>
      <c r="C3725" s="8" t="s">
        <v>105</v>
      </c>
    </row>
    <row r="3726" spans="1:3" x14ac:dyDescent="0.25">
      <c r="A3726" s="8" t="str">
        <f>"2014 10th International Conference on Innovations in Information Technology, IIT 2014"</f>
        <v>2014 10th International Conference on Innovations in Information Technology, IIT 2014</v>
      </c>
      <c r="B3726" s="8" t="str">
        <f>"9781479972128"</f>
        <v>9781479972128</v>
      </c>
      <c r="C3726" s="8" t="s">
        <v>105</v>
      </c>
    </row>
    <row r="3727" spans="1:3" x14ac:dyDescent="0.25">
      <c r="A3727" s="8" t="str">
        <f>"2014 10th International Conference on Natural Computation, ICNC 2014"</f>
        <v>2014 10th International Conference on Natural Computation, ICNC 2014</v>
      </c>
      <c r="B3727" s="8" t="str">
        <f>"9781479951505"</f>
        <v>9781479951505</v>
      </c>
      <c r="C3727" s="8" t="s">
        <v>105</v>
      </c>
    </row>
    <row r="3728" spans="1:3" x14ac:dyDescent="0.25">
      <c r="A3728" s="8" t="str">
        <f>"2014 10th International Vacuum Electron Sources Conference, IVESC 2014 and 2nd International Conference on Emission Electronics, ICEE 2014 - Proceedings"</f>
        <v>2014 10th International Vacuum Electron Sources Conference, IVESC 2014 and 2nd International Conference on Emission Electronics, ICEE 2014 - Proceedings</v>
      </c>
      <c r="B3728" s="8" t="str">
        <f>"9781479957729"</f>
        <v>9781479957729</v>
      </c>
      <c r="C3728" s="8" t="s">
        <v>105</v>
      </c>
    </row>
    <row r="3729" spans="1:3" x14ac:dyDescent="0.25">
      <c r="A3729" s="8" t="str">
        <f>"2014 11th Annual High Capacity Optical Networks and Emerging/Enabling Technologies (Photonics for Energy), HONET-PfE 2014"</f>
        <v>2014 11th Annual High Capacity Optical Networks and Emerging/Enabling Technologies (Photonics for Energy), HONET-PfE 2014</v>
      </c>
      <c r="B3729" s="8" t="str">
        <f>"9781479969401"</f>
        <v>9781479969401</v>
      </c>
      <c r="C3729" s="8" t="s">
        <v>105</v>
      </c>
    </row>
    <row r="3730" spans="1:3" x14ac:dyDescent="0.25">
      <c r="A3730" s="8" t="str">
        <f>"2014 11th Annual IEEE International Conference on Sensing, Communication, and Networking Workshops, SECON Workshops 2014"</f>
        <v>2014 11th Annual IEEE International Conference on Sensing, Communication, and Networking Workshops, SECON Workshops 2014</v>
      </c>
      <c r="B3730" s="8" t="str">
        <f>"9781479956746"</f>
        <v>9781479956746</v>
      </c>
      <c r="C3730" s="8" t="s">
        <v>105</v>
      </c>
    </row>
    <row r="3731" spans="1:3" x14ac:dyDescent="0.25">
      <c r="A3731" s="8" t="str">
        <f>"2014 11th Annual IEEE International Conference on Sensing, Communication, and Networking, SECON 2014"</f>
        <v>2014 11th Annual IEEE International Conference on Sensing, Communication, and Networking, SECON 2014</v>
      </c>
      <c r="B3731" s="8" t="str">
        <f>"9781479946570"</f>
        <v>9781479946570</v>
      </c>
      <c r="C3731" s="8" t="s">
        <v>105</v>
      </c>
    </row>
    <row r="3732" spans="1:3" x14ac:dyDescent="0.25">
      <c r="A3732" s="8" t="str">
        <f>"2014 11th China International Forum on Solid State Lighting, SSLCHINA 2014"</f>
        <v>2014 11th China International Forum on Solid State Lighting, SSLCHINA 2014</v>
      </c>
      <c r="B3732" s="8" t="str">
        <f>"9781479966974"</f>
        <v>9781479966974</v>
      </c>
      <c r="C3732" s="8" t="s">
        <v>105</v>
      </c>
    </row>
    <row r="3733" spans="1:3" x14ac:dyDescent="0.25">
      <c r="A3733" s="8" t="str">
        <f>"2014 11th IEEE/IAS International Conference on Industry Applications, IEEE INDUSCON 2014 - Electronic Proceedings"</f>
        <v>2014 11th IEEE/IAS International Conference on Industry Applications, IEEE INDUSCON 2014 - Electronic Proceedings</v>
      </c>
      <c r="B3733" s="8" t="str">
        <f>"9781479955510"</f>
        <v>9781479955510</v>
      </c>
      <c r="C3733" s="8" t="s">
        <v>105</v>
      </c>
    </row>
    <row r="3734" spans="1:3" x14ac:dyDescent="0.25">
      <c r="A3734" s="8" t="str">
        <f>"2014 11th International Computer Conference on Wavelet Active Media Technology and Information Processing, ICCWAMTIP 2014"</f>
        <v>2014 11th International Computer Conference on Wavelet Active Media Technology and Information Processing, ICCWAMTIP 2014</v>
      </c>
      <c r="B3734" s="8" t="str">
        <f>"9781479972081"</f>
        <v>9781479972081</v>
      </c>
      <c r="C3734" s="8" t="s">
        <v>105</v>
      </c>
    </row>
    <row r="3735" spans="1:3" x14ac:dyDescent="0.25">
      <c r="A3735" s="8" t="str">
        <f>"2014 11th International Conference and Expo on Emerging Technologies for a Smarter World, CEWIT 2014"</f>
        <v>2014 11th International Conference and Expo on Emerging Technologies for a Smarter World, CEWIT 2014</v>
      </c>
      <c r="B3735" s="8" t="str">
        <f>"9781479967407"</f>
        <v>9781479967407</v>
      </c>
      <c r="C3735" s="8" t="s">
        <v>105</v>
      </c>
    </row>
    <row r="3736" spans="1:3" x14ac:dyDescent="0.25">
      <c r="A3736" s="8" t="str">
        <f>"2014 11th International Conference on Electrical Engineering, Computing Science and Automatic Control, CCE 2014"</f>
        <v>2014 11th International Conference on Electrical Engineering, Computing Science and Automatic Control, CCE 2014</v>
      </c>
      <c r="B3736" s="8" t="str">
        <f>"9781479962310"</f>
        <v>9781479962310</v>
      </c>
      <c r="C3736" s="8" t="s">
        <v>105</v>
      </c>
    </row>
    <row r="3737" spans="1:3" x14ac:dyDescent="0.25">
      <c r="A3737" s="8" t="str">
        <f>"2014 11th International Conference on Fuzzy Systems and Knowledge Discovery, FSKD 2014"</f>
        <v>2014 11th International Conference on Fuzzy Systems and Knowledge Discovery, FSKD 2014</v>
      </c>
      <c r="B3737" s="8" t="str">
        <f>"9781479951482"</f>
        <v>9781479951482</v>
      </c>
      <c r="C3737" s="8" t="s">
        <v>105</v>
      </c>
    </row>
    <row r="3738" spans="1:3" x14ac:dyDescent="0.25">
      <c r="A3738" s="8" t="str">
        <f>"2014 11th International Conference on Ubiquitous Robots and Ambient Intelligence, URAI 2014"</f>
        <v>2014 11th International Conference on Ubiquitous Robots and Ambient Intelligence, URAI 2014</v>
      </c>
      <c r="B3738" s="8" t="str">
        <f>"9781479953325"</f>
        <v>9781479953325</v>
      </c>
      <c r="C3738" s="8" t="s">
        <v>105</v>
      </c>
    </row>
    <row r="3739" spans="1:3" x14ac:dyDescent="0.25">
      <c r="A3739" s="8" t="str">
        <f>"2014 11th International ISC Conference on Information Security and Cryptology, ISCISC 2014"</f>
        <v>2014 11th International ISC Conference on Information Security and Cryptology, ISCISC 2014</v>
      </c>
      <c r="B3739" s="8" t="str">
        <f>"9781479953837"</f>
        <v>9781479953837</v>
      </c>
      <c r="C3739" s="8" t="s">
        <v>105</v>
      </c>
    </row>
    <row r="3740" spans="1:3" x14ac:dyDescent="0.25">
      <c r="A3740" s="8" t="str">
        <f>"2014 11th International Symposium on Electronics and Telecommunications, ISETC 2014 - Conference Proceedings"</f>
        <v>2014 11th International Symposium on Electronics and Telecommunications, ISETC 2014 - Conference Proceedings</v>
      </c>
      <c r="B3740" s="8" t="str">
        <f>"9781479972654"</f>
        <v>9781479972654</v>
      </c>
      <c r="C3740" s="8" t="s">
        <v>105</v>
      </c>
    </row>
    <row r="3741" spans="1:3" x14ac:dyDescent="0.25">
      <c r="A3741" s="8" t="str">
        <f>"2014 11th International Symposium on Wireless Communications Systems, ISWCS 2014 - Proceedings"</f>
        <v>2014 11th International Symposium on Wireless Communications Systems, ISWCS 2014 - Proceedings</v>
      </c>
      <c r="B3741" s="8" t="str">
        <f>"9781479958634"</f>
        <v>9781479958634</v>
      </c>
      <c r="C3741" s="8" t="s">
        <v>105</v>
      </c>
    </row>
    <row r="3742" spans="1:3" x14ac:dyDescent="0.25">
      <c r="A3742" s="8" t="str">
        <f>"2014 12th Annual Conference on Privacy, Security and Trust, PST 2014"</f>
        <v>2014 12th Annual Conference on Privacy, Security and Trust, PST 2014</v>
      </c>
      <c r="B3742" s="8" t="str">
        <f>"9781479935031"</f>
        <v>9781479935031</v>
      </c>
      <c r="C3742" s="8" t="s">
        <v>105</v>
      </c>
    </row>
    <row r="3743" spans="1:3" x14ac:dyDescent="0.25">
      <c r="A3743" s="8" t="str">
        <f>"2014 12th International Conference on Actual Problems of Electronic Instrument Engineering, APEIE 2014 - Proceedings"</f>
        <v>2014 12th International Conference on Actual Problems of Electronic Instrument Engineering, APEIE 2014 - Proceedings</v>
      </c>
      <c r="B3743" s="8" t="str">
        <f>"9785778225060"</f>
        <v>9785778225060</v>
      </c>
      <c r="C3743" s="8" t="s">
        <v>105</v>
      </c>
    </row>
    <row r="3744" spans="1:3" x14ac:dyDescent="0.25">
      <c r="A3744" s="8" t="str">
        <f>"2014 13th International Conference on Control Automation Robotics and Vision, ICARCV 2014"</f>
        <v>2014 13th International Conference on Control Automation Robotics and Vision, ICARCV 2014</v>
      </c>
      <c r="B3744" s="8" t="str">
        <f>"9781479951994"</f>
        <v>9781479951994</v>
      </c>
      <c r="C3744" s="8" t="s">
        <v>105</v>
      </c>
    </row>
    <row r="3745" spans="1:3" x14ac:dyDescent="0.25">
      <c r="A3745" s="8" t="str">
        <f>"2014 13th International Conference on Optical Communications and Networks, ICOCN 2014"</f>
        <v>2014 13th International Conference on Optical Communications and Networks, ICOCN 2014</v>
      </c>
      <c r="B3745" s="8" t="str">
        <f>"9781479972180"</f>
        <v>9781479972180</v>
      </c>
      <c r="C3745" s="8" t="s">
        <v>105</v>
      </c>
    </row>
    <row r="3746" spans="1:3" x14ac:dyDescent="0.25">
      <c r="A3746" s="8" t="str">
        <f>"2014 13th Workshop on Information Optics, WIO 2014"</f>
        <v>2014 13th Workshop on Information Optics, WIO 2014</v>
      </c>
      <c r="B3746" s="8" t="str">
        <f>"9781479959730"</f>
        <v>9781479959730</v>
      </c>
      <c r="C3746" s="8" t="s">
        <v>105</v>
      </c>
    </row>
    <row r="3747" spans="1:3" x14ac:dyDescent="0.25">
      <c r="A3747" s="8" t="str">
        <f>"2014 14th Annual Non-Volatile Memory Technology Symposium, NVMTS 2014"</f>
        <v>2014 14th Annual Non-Volatile Memory Technology Symposium, NVMTS 2014</v>
      </c>
      <c r="B3747" s="8" t="str">
        <f>"9781479942039"</f>
        <v>9781479942039</v>
      </c>
      <c r="C3747" s="8" t="s">
        <v>105</v>
      </c>
    </row>
    <row r="3748" spans="1:3" x14ac:dyDescent="0.25">
      <c r="A3748" s="8" t="str">
        <f>"2014 14th International Conference on Advances in ICT for Emerging Regions, ICTer 2014 - Conference Proceedings"</f>
        <v>2014 14th International Conference on Advances in ICT for Emerging Regions, ICTer 2014 - Conference Proceedings</v>
      </c>
      <c r="B3748" s="8" t="str">
        <f>"9781479977321"</f>
        <v>9781479977321</v>
      </c>
      <c r="C3748" s="8" t="s">
        <v>105</v>
      </c>
    </row>
    <row r="3749" spans="1:3" x14ac:dyDescent="0.25">
      <c r="A3749" s="8" t="str">
        <f>"2014 14th International Conference on Environment and Electrical Engineering, EEEIC 2014 - Conference Proceedings"</f>
        <v>2014 14th International Conference on Environment and Electrical Engineering, EEEIC 2014 - Conference Proceedings</v>
      </c>
      <c r="B3749" s="8" t="str">
        <f>"9781479946617"</f>
        <v>9781479946617</v>
      </c>
      <c r="C3749" s="8" t="s">
        <v>9</v>
      </c>
    </row>
    <row r="3750" spans="1:3" x14ac:dyDescent="0.25">
      <c r="A3750" s="8" t="str">
        <f>"2014 14th International Conference on Hybrid Intelligent Systems, HIS 2014"</f>
        <v>2014 14th International Conference on Hybrid Intelligent Systems, HIS 2014</v>
      </c>
      <c r="B3750" s="8" t="str">
        <f>"9781479976331"</f>
        <v>9781479976331</v>
      </c>
      <c r="C3750" s="8" t="s">
        <v>105</v>
      </c>
    </row>
    <row r="3751" spans="1:3" x14ac:dyDescent="0.25">
      <c r="A3751" s="8" t="str">
        <f>"2014 14th UK Workshop on Computational Intelligence, UKCI 2014 - Proceedings"</f>
        <v>2014 14th UK Workshop on Computational Intelligence, UKCI 2014 - Proceedings</v>
      </c>
      <c r="B3751" s="8" t="str">
        <f>"9781479955381"</f>
        <v>9781479955381</v>
      </c>
      <c r="C3751" s="8" t="s">
        <v>105</v>
      </c>
    </row>
    <row r="3752" spans="1:3" x14ac:dyDescent="0.25">
      <c r="A3752" s="8" t="str">
        <f>"2014 15th International Conference on Thermal, Mechanical and Multi-Physics Simulation and Experiments in Microelectronics and Microsystems, EuroSimE 2014"</f>
        <v>2014 15th International Conference on Thermal, Mechanical and Multi-Physics Simulation and Experiments in Microelectronics and Microsystems, EuroSimE 2014</v>
      </c>
      <c r="B3752" s="8" t="str">
        <f>"9781479947904"</f>
        <v>9781479947904</v>
      </c>
      <c r="C3752" s="8" t="s">
        <v>9</v>
      </c>
    </row>
    <row r="3753" spans="1:3" x14ac:dyDescent="0.25">
      <c r="A3753" s="8" t="str">
        <f>"2014 15th International Workshop on Research and Education in Mechatronics, REM 2014"</f>
        <v>2014 15th International Workshop on Research and Education in Mechatronics, REM 2014</v>
      </c>
      <c r="B3753" s="8" t="str">
        <f>"9781479930296"</f>
        <v>9781479930296</v>
      </c>
      <c r="C3753" s="8" t="s">
        <v>105</v>
      </c>
    </row>
    <row r="3754" spans="1:3" x14ac:dyDescent="0.25">
      <c r="A3754" s="8" t="str">
        <f>"2014 16th European Conference on Power Electronics and Applications, EPE-ECCE Europe 2014"</f>
        <v>2014 16th European Conference on Power Electronics and Applications, EPE-ECCE Europe 2014</v>
      </c>
      <c r="B3754" s="8" t="str">
        <f>"9781479930159"</f>
        <v>9781479930159</v>
      </c>
      <c r="C3754" s="8" t="s">
        <v>105</v>
      </c>
    </row>
    <row r="3755" spans="1:3" x14ac:dyDescent="0.25">
      <c r="A3755" s="8" t="str">
        <f>"2014 16th International Telecommunications Network Strategy and Planning Symposium, Networks 2014"</f>
        <v>2014 16th International Telecommunications Network Strategy and Planning Symposium, Networks 2014</v>
      </c>
      <c r="B3755" s="8" t="str">
        <f>"9781479965151"</f>
        <v>9781479965151</v>
      </c>
      <c r="C3755" s="8" t="s">
        <v>105</v>
      </c>
    </row>
    <row r="3756" spans="1:3" x14ac:dyDescent="0.25">
      <c r="A3756" s="8" t="str">
        <f>"2014 17th IEEE International Conference on Intelligent Transportation Systems, ITSC 2014"</f>
        <v>2014 17th IEEE International Conference on Intelligent Transportation Systems, ITSC 2014</v>
      </c>
      <c r="B3756" s="8" t="str">
        <f>"9781479960781"</f>
        <v>9781479960781</v>
      </c>
      <c r="C3756" s="8" t="s">
        <v>105</v>
      </c>
    </row>
    <row r="3757" spans="1:3" x14ac:dyDescent="0.25">
      <c r="A3757" s="8" t="str">
        <f>"2014 17th International Conference on Computer and Information Technology, ICCIT 2014"</f>
        <v>2014 17th International Conference on Computer and Information Technology, ICCIT 2014</v>
      </c>
      <c r="B3757" s="8" t="str">
        <f>"9781479962884"</f>
        <v>9781479962884</v>
      </c>
      <c r="C3757" s="8" t="s">
        <v>105</v>
      </c>
    </row>
    <row r="3758" spans="1:3" x14ac:dyDescent="0.25">
      <c r="A3758" s="8" t="str">
        <f>"2014 17th International Conference on Electrical Machines and Systems, ICEMS 2014"</f>
        <v>2014 17th International Conference on Electrical Machines and Systems, ICEMS 2014</v>
      </c>
      <c r="B3758" s="8" t="str">
        <f>"9781479951611"</f>
        <v>9781479951611</v>
      </c>
      <c r="C3758" s="8" t="s">
        <v>105</v>
      </c>
    </row>
    <row r="3759" spans="1:3" x14ac:dyDescent="0.25">
      <c r="A3759" s="8" t="str">
        <f>"2014 18th International Conference on System Theory, Control and Computing, ICSTCC 2014"</f>
        <v>2014 18th International Conference on System Theory, Control and Computing, ICSTCC 2014</v>
      </c>
      <c r="B3759" s="8" t="str">
        <f>"9781479946013"</f>
        <v>9781479946013</v>
      </c>
      <c r="C3759" s="8" t="s">
        <v>105</v>
      </c>
    </row>
    <row r="3760" spans="1:3" x14ac:dyDescent="0.25">
      <c r="A3760" s="8" t="str">
        <f>"2014 18th National Biomedical Engineering Meeting, BIYOMUT 2014"</f>
        <v>2014 18th National Biomedical Engineering Meeting, BIYOMUT 2014</v>
      </c>
      <c r="B3760" s="8" t="str">
        <f>"9781479975723"</f>
        <v>9781479975723</v>
      </c>
      <c r="C3760" s="8" t="s">
        <v>105</v>
      </c>
    </row>
    <row r="3761" spans="1:3" x14ac:dyDescent="0.25">
      <c r="A3761" s="8" t="str">
        <f>"2014 18th National Power Systems Conference, NPSC 2014"</f>
        <v>2014 18th National Power Systems Conference, NPSC 2014</v>
      </c>
      <c r="B3761" s="8" t="str">
        <f>"9781479951413"</f>
        <v>9781479951413</v>
      </c>
      <c r="C3761" s="8" t="s">
        <v>105</v>
      </c>
    </row>
    <row r="3762" spans="1:3" x14ac:dyDescent="0.25">
      <c r="A3762" s="8" t="str">
        <f>"2014 19th Conference on Electrical Power Distribution Networks, EPDC 2014"</f>
        <v>2014 19th Conference on Electrical Power Distribution Networks, EPDC 2014</v>
      </c>
      <c r="B3762" s="8" t="str">
        <f>"9781479956364"</f>
        <v>9781479956364</v>
      </c>
      <c r="C3762" s="8" t="s">
        <v>105</v>
      </c>
    </row>
    <row r="3763" spans="1:3" x14ac:dyDescent="0.25">
      <c r="A3763" s="8" t="str">
        <f>"2014 19th European Conference on Networks and Optical Communications, NOC 2014"</f>
        <v>2014 19th European Conference on Networks and Optical Communications, NOC 2014</v>
      </c>
      <c r="B3763" s="8" t="str">
        <f>"9781479938728"</f>
        <v>9781479938728</v>
      </c>
      <c r="C3763" s="8" t="s">
        <v>105</v>
      </c>
    </row>
    <row r="3764" spans="1:3" x14ac:dyDescent="0.25">
      <c r="A3764" s="8" t="str">
        <f>"2014 19th IEEE-NPSS Real Time Conference, RT 2014 - Conference Records"</f>
        <v>2014 19th IEEE-NPSS Real Time Conference, RT 2014 - Conference Records</v>
      </c>
      <c r="B3764" s="8" t="str">
        <f>"9781479936595"</f>
        <v>9781479936595</v>
      </c>
      <c r="C3764" s="8" t="s">
        <v>105</v>
      </c>
    </row>
    <row r="3765" spans="1:3" x14ac:dyDescent="0.25">
      <c r="A3765" s="8" t="str">
        <f>"2014 19th International Conference on Methods and Models in Automation and Robotics, MMAR 2014"</f>
        <v>2014 19th International Conference on Methods and Models in Automation and Robotics, MMAR 2014</v>
      </c>
      <c r="B3765" s="8" t="str">
        <f>"9781479950812"</f>
        <v>9781479950812</v>
      </c>
      <c r="C3765" s="8" t="s">
        <v>105</v>
      </c>
    </row>
    <row r="3766" spans="1:3" x14ac:dyDescent="0.25">
      <c r="A3766" s="8" t="str">
        <f>"2014 19th Symposium on Image, Signal Processing and Artificial Vision, STSIVA 2014"</f>
        <v>2014 19th Symposium on Image, Signal Processing and Artificial Vision, STSIVA 2014</v>
      </c>
      <c r="B3766" s="8" t="str">
        <f>"9781479976669"</f>
        <v>9781479976669</v>
      </c>
      <c r="C3766" s="8" t="s">
        <v>105</v>
      </c>
    </row>
    <row r="3767" spans="1:3" x14ac:dyDescent="0.25">
      <c r="A3767" s="8" t="str">
        <f>"2014 1st International Conference on Computational Systems and Communications, ICCSC 2014"</f>
        <v>2014 1st International Conference on Computational Systems and Communications, ICCSC 2014</v>
      </c>
      <c r="B3767" s="8" t="str">
        <f>"9781479960132"</f>
        <v>9781479960132</v>
      </c>
      <c r="C3767" s="8" t="s">
        <v>105</v>
      </c>
    </row>
    <row r="3768" spans="1:3" x14ac:dyDescent="0.25">
      <c r="A3768" s="8" t="str">
        <f>"2014 1st International Conference on Information and Communication Technologies for Disaster Management, ICT-DM 2014"</f>
        <v>2014 1st International Conference on Information and Communication Technologies for Disaster Management, ICT-DM 2014</v>
      </c>
      <c r="B3768" s="8" t="str">
        <f>"9781479947676"</f>
        <v>9781479947676</v>
      </c>
      <c r="C3768" s="8" t="s">
        <v>105</v>
      </c>
    </row>
    <row r="3769" spans="1:3" x14ac:dyDescent="0.25">
      <c r="A3769" s="8" t="str">
        <f>"2014 1st International Conference on Information Technology, Computer, and Electrical Engineering: Green Technology and Its Applications for a Better Future, ICITACEE 2014 - Proceedings"</f>
        <v>2014 1st International Conference on Information Technology, Computer, and Electrical Engineering: Green Technology and Its Applications for a Better Future, ICITACEE 2014 - Proceedings</v>
      </c>
      <c r="B3769" s="8" t="str">
        <f>"9781479964314"</f>
        <v>9781479964314</v>
      </c>
      <c r="C3769" s="8" t="s">
        <v>105</v>
      </c>
    </row>
    <row r="3770" spans="1:3" x14ac:dyDescent="0.25">
      <c r="A3770" s="8" t="str">
        <f>"2014 1st International Workshop on Cognitive Cellular Systems, CCS 2014"</f>
        <v>2014 1st International Workshop on Cognitive Cellular Systems, CCS 2014</v>
      </c>
      <c r="B3770" s="8" t="str">
        <f>"9781479941391"</f>
        <v>9781479941391</v>
      </c>
      <c r="C3770" s="8" t="s">
        <v>105</v>
      </c>
    </row>
    <row r="3771" spans="1:3" x14ac:dyDescent="0.25">
      <c r="A3771" s="8" t="str">
        <f>"2014 20th Annual International Conference on Advanced Computing and Communications, ADCOM 2014 - Proceedings"</f>
        <v>2014 20th Annual International Conference on Advanced Computing and Communications, ADCOM 2014 - Proceedings</v>
      </c>
      <c r="B3771" s="8" t="str">
        <f>"9781467365093"</f>
        <v>9781467365093</v>
      </c>
      <c r="C3771" s="8" t="s">
        <v>105</v>
      </c>
    </row>
    <row r="3772" spans="1:3" x14ac:dyDescent="0.25">
      <c r="A3772" s="8" t="str">
        <f>"2014 20th International Conference on Microwaves, Radar and Wireless Communications, MIKON 2014"</f>
        <v>2014 20th International Conference on Microwaves, Radar and Wireless Communications, MIKON 2014</v>
      </c>
      <c r="B3772" s="8" t="str">
        <f>"9788393152520"</f>
        <v>9788393152520</v>
      </c>
      <c r="C3772" s="8" t="s">
        <v>105</v>
      </c>
    </row>
    <row r="3773" spans="1:3" x14ac:dyDescent="0.25">
      <c r="A3773" s="8" t="str">
        <f>"2014 20th International Workshop on Beam Dynamics and Optimization, BDO 2014"</f>
        <v>2014 20th International Workshop on Beam Dynamics and Optimization, BDO 2014</v>
      </c>
      <c r="B3773" s="8" t="str">
        <f>"9781479953219"</f>
        <v>9781479953219</v>
      </c>
      <c r="C3773" s="8" t="s">
        <v>105</v>
      </c>
    </row>
    <row r="3774" spans="1:3" x14ac:dyDescent="0.25">
      <c r="A3774" s="8" t="str">
        <f>"2014 20th National Conference on Communications, NCC 2014"</f>
        <v>2014 20th National Conference on Communications, NCC 2014</v>
      </c>
      <c r="B3774" s="8" t="str">
        <f>"9781479923618"</f>
        <v>9781479923618</v>
      </c>
      <c r="C3774" s="8" t="s">
        <v>9</v>
      </c>
    </row>
    <row r="3775" spans="1:3" x14ac:dyDescent="0.25">
      <c r="A3775" s="8" t="str">
        <f>"2014 21st IEEE International Conference on Electronics, Circuits and Systems, ICECS 2014"</f>
        <v>2014 21st IEEE International Conference on Electronics, Circuits and Systems, ICECS 2014</v>
      </c>
      <c r="B3775" s="8" t="str">
        <f>"9781479942428"</f>
        <v>9781479942428</v>
      </c>
      <c r="C3775" s="8" t="s">
        <v>105</v>
      </c>
    </row>
    <row r="3776" spans="1:3" x14ac:dyDescent="0.25">
      <c r="A3776" s="8" t="str">
        <f>"2014 21st International Conference on High Performance Computing, HiPC 2014"</f>
        <v>2014 21st International Conference on High Performance Computing, HiPC 2014</v>
      </c>
      <c r="B3776" s="8" t="str">
        <f>"9781479959761"</f>
        <v>9781479959761</v>
      </c>
      <c r="C3776" s="8" t="s">
        <v>105</v>
      </c>
    </row>
    <row r="3777" spans="1:3" x14ac:dyDescent="0.25">
      <c r="A3777" s="8" t="str">
        <f>"2014 21st Iranian Conference on Biomedical Engineering, ICBME 2014"</f>
        <v>2014 21st Iranian Conference on Biomedical Engineering, ICBME 2014</v>
      </c>
      <c r="B3777" s="8" t="str">
        <f>"9781479974177"</f>
        <v>9781479974177</v>
      </c>
      <c r="C3777" s="8" t="s">
        <v>105</v>
      </c>
    </row>
    <row r="3778" spans="1:3" x14ac:dyDescent="0.25">
      <c r="A3778" s="8" t="str">
        <f>"2014 22nd International Conference on Software, Telecommunications and Computer Networks, SoftCOM 2014"</f>
        <v>2014 22nd International Conference on Software, Telecommunications and Computer Networks, SoftCOM 2014</v>
      </c>
      <c r="B3778" s="8" t="str">
        <f>"9789532900521"</f>
        <v>9789532900521</v>
      </c>
      <c r="C3778" s="8" t="s">
        <v>105</v>
      </c>
    </row>
    <row r="3779" spans="1:3" x14ac:dyDescent="0.25">
      <c r="A3779" s="8" t="str">
        <f>"2014 22nd Mediterranean Conference on Control and Automation, MED 2014"</f>
        <v>2014 22nd Mediterranean Conference on Control and Automation, MED 2014</v>
      </c>
      <c r="B3779" s="8" t="str">
        <f>"9781479959006"</f>
        <v>9781479959006</v>
      </c>
      <c r="C3779" s="8" t="s">
        <v>105</v>
      </c>
    </row>
    <row r="3780" spans="1:3" x14ac:dyDescent="0.25">
      <c r="A3780" s="8" t="str">
        <f>"2014 24th International Workshop on Power and Timing Modeling, Optimization and Simulation, PATMOS 2014"</f>
        <v>2014 24th International Workshop on Power and Timing Modeling, Optimization and Simulation, PATMOS 2014</v>
      </c>
      <c r="B3780" s="8" t="str">
        <f>"9781479954124"</f>
        <v>9781479954124</v>
      </c>
      <c r="C3780" s="8" t="s">
        <v>105</v>
      </c>
    </row>
    <row r="3781" spans="1:3" x14ac:dyDescent="0.25">
      <c r="A3781" s="8" t="str">
        <f>"2014 26th International Teletraffic Congress, ITC 2014"</f>
        <v>2014 26th International Teletraffic Congress, ITC 2014</v>
      </c>
      <c r="B3781" s="8" t="str">
        <f>"9780988304505"</f>
        <v>9780988304505</v>
      </c>
      <c r="C3781" s="8" t="s">
        <v>105</v>
      </c>
    </row>
    <row r="3782" spans="1:3" x14ac:dyDescent="0.25">
      <c r="A3782" s="8" t="str">
        <f>"2014 29th Symposium on Microelectronics Technology and Devices: Chip in Aracaju, SBMicro 2014"</f>
        <v>2014 29th Symposium on Microelectronics Technology and Devices: Chip in Aracaju, SBMicro 2014</v>
      </c>
      <c r="B3782" s="8" t="str">
        <f>"9781479946969"</f>
        <v>9781479946969</v>
      </c>
      <c r="C3782" s="8" t="s">
        <v>105</v>
      </c>
    </row>
    <row r="3783" spans="1:3" x14ac:dyDescent="0.25">
      <c r="A3783" s="8" t="str">
        <f>"2014 2nd International Conference on Business and Information Management, ICBIM 2014"</f>
        <v>2014 2nd International Conference on Business and Information Management, ICBIM 2014</v>
      </c>
      <c r="B3783" s="8" t="str">
        <f>"9781479932641"</f>
        <v>9781479932641</v>
      </c>
      <c r="C3783" s="8" t="s">
        <v>105</v>
      </c>
    </row>
    <row r="3784" spans="1:3" x14ac:dyDescent="0.25">
      <c r="A3784" s="8" t="str">
        <f>"2014 2nd International Conference on Electrical, Electronics and System Engineering, ICEESE 2014"</f>
        <v>2014 2nd International Conference on Electrical, Electronics and System Engineering, ICEESE 2014</v>
      </c>
      <c r="B3784" s="8" t="str">
        <f>"9781479972012"</f>
        <v>9781479972012</v>
      </c>
      <c r="C3784" s="8" t="s">
        <v>105</v>
      </c>
    </row>
    <row r="3785" spans="1:3" x14ac:dyDescent="0.25">
      <c r="A3785" s="8" t="str">
        <f>"2014 2nd International Conference on Electronic Design, ICED 2014"</f>
        <v>2014 2nd International Conference on Electronic Design, ICED 2014</v>
      </c>
      <c r="B3785" s="8" t="str">
        <f>"9781479961030"</f>
        <v>9781479961030</v>
      </c>
      <c r="C3785" s="8" t="s">
        <v>105</v>
      </c>
    </row>
    <row r="3786" spans="1:3" x14ac:dyDescent="0.25">
      <c r="A3786" s="8" t="s">
        <v>1382</v>
      </c>
      <c r="B3786" s="8" t="str">
        <f>"9781479956074"</f>
        <v>9781479956074</v>
      </c>
      <c r="C3786" s="8" t="s">
        <v>105</v>
      </c>
    </row>
    <row r="3787" spans="1:3" x14ac:dyDescent="0.25">
      <c r="A3787" s="8" t="str">
        <f>"2014 2nd International Conference on Green Energy and Technology, ICGET 2014"</f>
        <v>2014 2nd International Conference on Green Energy and Technology, ICGET 2014</v>
      </c>
      <c r="B3787" s="8" t="str">
        <f>"9781479966400"</f>
        <v>9781479966400</v>
      </c>
      <c r="C3787" s="8" t="s">
        <v>105</v>
      </c>
    </row>
    <row r="3788" spans="1:3" x14ac:dyDescent="0.25">
      <c r="A3788" s="8" t="str">
        <f>"2014 2nd International Conference on Information and Communication Technology, ICoICT 2014"</f>
        <v>2014 2nd International Conference on Information and Communication Technology, ICoICT 2014</v>
      </c>
      <c r="B3788" s="8" t="str">
        <f>"9781479935819"</f>
        <v>9781479935819</v>
      </c>
      <c r="C3788" s="8" t="s">
        <v>105</v>
      </c>
    </row>
    <row r="3789" spans="1:3" x14ac:dyDescent="0.25">
      <c r="A3789" s="8" t="str">
        <f>"2014 2nd International Conference on Systems and Informatics, ICSAI 2014"</f>
        <v>2014 2nd International Conference on Systems and Informatics, ICSAI 2014</v>
      </c>
      <c r="B3789" s="8" t="str">
        <f>"9781479954582"</f>
        <v>9781479954582</v>
      </c>
      <c r="C3789" s="8" t="s">
        <v>105</v>
      </c>
    </row>
    <row r="3790" spans="1:3" x14ac:dyDescent="0.25">
      <c r="A3790" s="8" t="str">
        <f>"2014 2nd RSI/ISM International Conference on Robotics and Mechatronics, ICRoM 2014"</f>
        <v>2014 2nd RSI/ISM International Conference on Robotics and Mechatronics, ICRoM 2014</v>
      </c>
      <c r="B3790" s="8" t="str">
        <f>"9781479967438"</f>
        <v>9781479967438</v>
      </c>
      <c r="C3790" s="8" t="s">
        <v>105</v>
      </c>
    </row>
    <row r="3791" spans="1:3" x14ac:dyDescent="0.25">
      <c r="A3791" s="8" t="str">
        <f>"2014 2nd Workshop on Virtual and Augmented Assistive Technology, VAAT 2014; Co-located with the 2014 Virtual Reality Conference - Proceedings"</f>
        <v>2014 2nd Workshop on Virtual and Augmented Assistive Technology, VAAT 2014; Co-located with the 2014 Virtual Reality Conference - Proceedings</v>
      </c>
      <c r="B3791" s="8" t="str">
        <f>"9781479940707"</f>
        <v>9781479940707</v>
      </c>
      <c r="C3791" s="8" t="s">
        <v>9</v>
      </c>
    </row>
    <row r="3792" spans="1:3" x14ac:dyDescent="0.25">
      <c r="A3792" s="8" t="str">
        <f>"2014 2nd World Conference on Complex Systems, WCCS 2014"</f>
        <v>2014 2nd World Conference on Complex Systems, WCCS 2014</v>
      </c>
      <c r="B3792" s="8" t="str">
        <f>"9781479946471"</f>
        <v>9781479946471</v>
      </c>
      <c r="C3792" s="8" t="s">
        <v>105</v>
      </c>
    </row>
    <row r="3793" spans="1:3" x14ac:dyDescent="0.25">
      <c r="A3793" s="8" t="str">
        <f>"2014 31th URSI General Assembly and Scientific Symposium, URSI GASS 2014"</f>
        <v>2014 31th URSI General Assembly and Scientific Symposium, URSI GASS 2014</v>
      </c>
      <c r="B3793" s="8" t="str">
        <f>"9781467352253"</f>
        <v>9781467352253</v>
      </c>
      <c r="C3793" s="8" t="s">
        <v>105</v>
      </c>
    </row>
    <row r="3794" spans="1:3" x14ac:dyDescent="0.25">
      <c r="A3794" s="8" t="str">
        <f>"2014 32nd IEEE International Conference on Computer Design, ICCD 2014"</f>
        <v>2014 32nd IEEE International Conference on Computer Design, ICCD 2014</v>
      </c>
      <c r="B3794" s="8" t="str">
        <f>"9781479964925"</f>
        <v>9781479964925</v>
      </c>
      <c r="C3794" s="8" t="s">
        <v>105</v>
      </c>
    </row>
    <row r="3795" spans="1:3" x14ac:dyDescent="0.25">
      <c r="A3795" s="8" t="str">
        <f>"2014 36th Annual International Conference of the IEEE Engineering in Medicine and Biology Society, EMBC 2014"</f>
        <v>2014 36th Annual International Conference of the IEEE Engineering in Medicine and Biology Society, EMBC 2014</v>
      </c>
      <c r="B3795" s="8" t="str">
        <f>"9781424479290"</f>
        <v>9781424479290</v>
      </c>
      <c r="C3795" s="8" t="s">
        <v>105</v>
      </c>
    </row>
    <row r="3796" spans="1:3" x14ac:dyDescent="0.25">
      <c r="A3796" s="8" t="str">
        <f>"2014 3rd International Conference on Cyber Security, Cyber Warfare and Digital Forensic, CyberSec 2014"</f>
        <v>2014 3rd International Conference on Cyber Security, Cyber Warfare and Digital Forensic, CyberSec 2014</v>
      </c>
      <c r="B3796" s="8" t="str">
        <f>"9781479939060"</f>
        <v>9781479939060</v>
      </c>
      <c r="C3796" s="8" t="s">
        <v>105</v>
      </c>
    </row>
    <row r="3797" spans="1:3" x14ac:dyDescent="0.25">
      <c r="A3797" s="8" t="str">
        <f>"2014 3rd International Conference on e-Technologies and Networks for Development, ICeND 2014"</f>
        <v>2014 3rd International Conference on e-Technologies and Networks for Development, ICeND 2014</v>
      </c>
      <c r="B3797" s="8" t="str">
        <f>"9781479931668"</f>
        <v>9781479931668</v>
      </c>
      <c r="C3797" s="8" t="s">
        <v>105</v>
      </c>
    </row>
    <row r="3798" spans="1:3" x14ac:dyDescent="0.25">
      <c r="A3798" s="8" t="str">
        <f>"2014 3rd International Congress of Engineering Mechatronics and Automation, CIIMA 2014 - Conference Proceedings"</f>
        <v>2014 3rd International Congress of Engineering Mechatronics and Automation, CIIMA 2014 - Conference Proceedings</v>
      </c>
      <c r="B3798" s="8" t="str">
        <f>"9781479979325"</f>
        <v>9781479979325</v>
      </c>
      <c r="C3798" s="8" t="s">
        <v>105</v>
      </c>
    </row>
    <row r="3799" spans="1:3" x14ac:dyDescent="0.25">
      <c r="A3799" s="8" t="str">
        <f>"2014 3rd International Workshop in Optical Wireless Communications, IWOW 2014"</f>
        <v>2014 3rd International Workshop in Optical Wireless Communications, IWOW 2014</v>
      </c>
      <c r="B3799" s="8" t="str">
        <f>"9781479966769"</f>
        <v>9781479966769</v>
      </c>
      <c r="C3799" s="8" t="s">
        <v>105</v>
      </c>
    </row>
    <row r="3800" spans="1:3" x14ac:dyDescent="0.25">
      <c r="A3800" s="8" t="str">
        <f>"2014 48th Annual Conference on Information Sciences and Systems, CISS 2014"</f>
        <v>2014 48th Annual Conference on Information Sciences and Systems, CISS 2014</v>
      </c>
      <c r="B3800" s="8" t="str">
        <f>"9781479930012"</f>
        <v>9781479930012</v>
      </c>
      <c r="C3800" s="8" t="s">
        <v>9</v>
      </c>
    </row>
    <row r="3801" spans="1:3" x14ac:dyDescent="0.25">
      <c r="A3801" s="8" t="str">
        <f>"2014 4th IEEE Workshop on Mining Unstructured Data, MUD 2014"</f>
        <v>2014 4th IEEE Workshop on Mining Unstructured Data, MUD 2014</v>
      </c>
      <c r="B3801" s="8" t="str">
        <f>"9781479967933"</f>
        <v>9781479967933</v>
      </c>
      <c r="C3801" s="8" t="s">
        <v>105</v>
      </c>
    </row>
    <row r="3802" spans="1:3" x14ac:dyDescent="0.25">
      <c r="A3802" s="8" t="str">
        <f>"2014 4th International Conference on Engineering Technology and Technopreneuship, ICE2T 2014"</f>
        <v>2014 4th International Conference on Engineering Technology and Technopreneuship, ICE2T 2014</v>
      </c>
      <c r="B3802" s="8" t="str">
        <f>"9781479946211"</f>
        <v>9781479946211</v>
      </c>
      <c r="C3802" s="8" t="s">
        <v>105</v>
      </c>
    </row>
    <row r="3803" spans="1:3" x14ac:dyDescent="0.25">
      <c r="A3803" s="8" t="str">
        <f>"2014 4th International Conference on Image Processing Theory, Tools and Applications, IPTA 2014"</f>
        <v>2014 4th International Conference on Image Processing Theory, Tools and Applications, IPTA 2014</v>
      </c>
      <c r="B3803" s="8" t="str">
        <f>"9781479964611"</f>
        <v>9781479964611</v>
      </c>
      <c r="C3803" s="8" t="s">
        <v>105</v>
      </c>
    </row>
    <row r="3804" spans="1:3" x14ac:dyDescent="0.25">
      <c r="A3804" s="8" t="str">
        <f>"2014 4th International Conference on Wireless Communications, Vehicular Technology, Information Theory and Aerospace and Electronic Systems, VITAE 2014 - Co-located with Global Wireless Summit"</f>
        <v>2014 4th International Conference on Wireless Communications, Vehicular Technology, Information Theory and Aerospace and Electronic Systems, VITAE 2014 - Co-located with Global Wireless Summit</v>
      </c>
      <c r="B3804" s="8" t="str">
        <f>"9781479946266"</f>
        <v>9781479946266</v>
      </c>
      <c r="C3804" s="8" t="s">
        <v>105</v>
      </c>
    </row>
    <row r="3805" spans="1:3" x14ac:dyDescent="0.25">
      <c r="A3805" s="8" t="str">
        <f>"2014 4th International Electric Drives Production Conference, EDPC 2014 - Proceedings"</f>
        <v>2014 4th International Electric Drives Production Conference, EDPC 2014 - Proceedings</v>
      </c>
      <c r="B3805" s="8" t="str">
        <f>"9781479950089"</f>
        <v>9781479950089</v>
      </c>
      <c r="C3805" s="8" t="s">
        <v>105</v>
      </c>
    </row>
    <row r="3806" spans="1:3" x14ac:dyDescent="0.25">
      <c r="A3806" s="8" t="str">
        <f>"2014 4th International Symposium ISKO-Maghreb: Concepts and Tools for Knowledge Management, ISKO-Maghreb 2014"</f>
        <v>2014 4th International Symposium ISKO-Maghreb: Concepts and Tools for Knowledge Management, ISKO-Maghreb 2014</v>
      </c>
      <c r="B3806" s="8" t="str">
        <f>"9781479975082"</f>
        <v>9781479975082</v>
      </c>
      <c r="C3806" s="8" t="s">
        <v>105</v>
      </c>
    </row>
    <row r="3807" spans="1:3" x14ac:dyDescent="0.25">
      <c r="A3807" s="8" t="str">
        <f>"2014 4th World Congress on Information and Communication Technologies, WICT 2014"</f>
        <v>2014 4th World Congress on Information and Communication Technologies, WICT 2014</v>
      </c>
      <c r="B3807" s="8" t="str">
        <f>"9781479981151"</f>
        <v>9781479981151</v>
      </c>
      <c r="C3807" s="8" t="s">
        <v>105</v>
      </c>
    </row>
    <row r="3808" spans="1:3" x14ac:dyDescent="0.25">
      <c r="A3808" s="8" t="str">
        <f>"2014 52nd Annual Allerton Conference on Communication, Control, and Computing, Allerton 2014"</f>
        <v>2014 52nd Annual Allerton Conference on Communication, Control, and Computing, Allerton 2014</v>
      </c>
      <c r="B3808" s="8" t="str">
        <f>"9781479980093"</f>
        <v>9781479980093</v>
      </c>
      <c r="C3808" s="8" t="s">
        <v>105</v>
      </c>
    </row>
    <row r="3809" spans="1:3" x14ac:dyDescent="0.25">
      <c r="A3809" s="8" t="str">
        <f>"2014 55th International Scientific Conference on Power and Electrical Engineering of Riga Technical University, RTUCON 2014"</f>
        <v>2014 55th International Scientific Conference on Power and Electrical Engineering of Riga Technical University, RTUCON 2014</v>
      </c>
      <c r="B3809" s="8" t="str">
        <f>"9781479974627"</f>
        <v>9781479974627</v>
      </c>
      <c r="C3809" s="8" t="s">
        <v>105</v>
      </c>
    </row>
    <row r="3810" spans="1:3" x14ac:dyDescent="0.25">
      <c r="A3810" s="8" t="str">
        <f>"2014 5th Argentine Symposium and Conference on Embedded Systems, SASE/CASE 2014"</f>
        <v>2014 5th Argentine Symposium and Conference on Embedded Systems, SASE/CASE 2014</v>
      </c>
      <c r="B3810" s="8" t="str">
        <f>"9789874552303"</f>
        <v>9789874552303</v>
      </c>
      <c r="C3810" s="8" t="s">
        <v>105</v>
      </c>
    </row>
    <row r="3811" spans="1:3" x14ac:dyDescent="0.25">
      <c r="A3811" s="8" t="str">
        <f>"2014 5th Conference on Thermal Power Plants, CTPP 2014"</f>
        <v>2014 5th Conference on Thermal Power Plants, CTPP 2014</v>
      </c>
      <c r="B3811" s="8" t="str">
        <f>"9781479956500"</f>
        <v>9781479956500</v>
      </c>
      <c r="C3811" s="8" t="s">
        <v>105</v>
      </c>
    </row>
    <row r="3812" spans="1:3" x14ac:dyDescent="0.25">
      <c r="A3812" s="8" t="str">
        <f>"2014 5th European Workshop on CMOS Variability, VARI 2014"</f>
        <v>2014 5th European Workshop on CMOS Variability, VARI 2014</v>
      </c>
      <c r="B3812" s="8" t="str">
        <f>"9781479953998"</f>
        <v>9781479953998</v>
      </c>
      <c r="C3812" s="8" t="s">
        <v>105</v>
      </c>
    </row>
    <row r="3813" spans="1:3" x14ac:dyDescent="0.25">
      <c r="A3813" s="8" t="str">
        <f>"2014 5th International Conference on Game Theory for Networks, GameNets 2014"</f>
        <v>2014 5th International Conference on Game Theory for Networks, GameNets 2014</v>
      </c>
      <c r="B3813" s="8" t="str">
        <f>"9780990994305"</f>
        <v>9780990994305</v>
      </c>
      <c r="C3813" s="8" t="s">
        <v>105</v>
      </c>
    </row>
    <row r="3814" spans="1:3" x14ac:dyDescent="0.25">
      <c r="A3814" s="8" t="str">
        <f>"2014 67th Annual Conference for Protective Relay Engineers, CPRE 2014"</f>
        <v>2014 67th Annual Conference for Protective Relay Engineers, CPRE 2014</v>
      </c>
      <c r="B3814" s="8" t="str">
        <f>"9781479947393"</f>
        <v>9781479947393</v>
      </c>
      <c r="C3814" s="8" t="s">
        <v>9</v>
      </c>
    </row>
    <row r="3815" spans="1:3" x14ac:dyDescent="0.25">
      <c r="A3815" s="8" t="str">
        <f>"2014 6th Computer Science and Electronic Engineering Conference, CEEC 2014 - Conference Proceedings"</f>
        <v>2014 6th Computer Science and Electronic Engineering Conference, CEEC 2014 - Conference Proceedings</v>
      </c>
      <c r="B3815" s="8" t="str">
        <f>"9781479966912"</f>
        <v>9781479966912</v>
      </c>
      <c r="C3815" s="8" t="s">
        <v>105</v>
      </c>
    </row>
    <row r="3816" spans="1:3" x14ac:dyDescent="0.25">
      <c r="A3816" s="8" t="str">
        <f>"2014 6th Conference on Information and Knowledge Technology, IKT 2014"</f>
        <v>2014 6th Conference on Information and Knowledge Technology, IKT 2014</v>
      </c>
      <c r="B3816" s="8" t="str">
        <f>"9781479956609"</f>
        <v>9781479956609</v>
      </c>
      <c r="C3816" s="8" t="s">
        <v>105</v>
      </c>
    </row>
    <row r="3817" spans="1:3" x14ac:dyDescent="0.25">
      <c r="A3817" s="8" t="str">
        <f>"2014 6th International Conference on Communication Systems and Networks, COMSNETS 2014"</f>
        <v>2014 6th International Conference on Communication Systems and Networks, COMSNETS 2014</v>
      </c>
      <c r="B3817" s="8" t="str">
        <f>"9781479936359"</f>
        <v>9781479936359</v>
      </c>
      <c r="C3817" s="8" t="s">
        <v>9</v>
      </c>
    </row>
    <row r="3818" spans="1:3" x14ac:dyDescent="0.25">
      <c r="A3818" s="8" t="str">
        <f>"2014 6th International Conference on Computational Aspects of Social Networks, CASoN 2014"</f>
        <v>2014 6th International Conference on Computational Aspects of Social Networks, CASoN 2014</v>
      </c>
      <c r="B3818" s="8" t="str">
        <f>"9781479959402"</f>
        <v>9781479959402</v>
      </c>
      <c r="C3818" s="8" t="s">
        <v>105</v>
      </c>
    </row>
    <row r="3819" spans="1:3" x14ac:dyDescent="0.25">
      <c r="A3819" s="8" t="str">
        <f>"2014 6th International Conference on Computer Science and Information Technology, CSIT 2014 - Proceedings"</f>
        <v>2014 6th International Conference on Computer Science and Information Technology, CSIT 2014 - Proceedings</v>
      </c>
      <c r="B3819" s="8" t="str">
        <f>"9781479939992"</f>
        <v>9781479939992</v>
      </c>
      <c r="C3819" s="8" t="s">
        <v>9</v>
      </c>
    </row>
    <row r="3820" spans="1:3" x14ac:dyDescent="0.25">
      <c r="A3820" s="8" t="str">
        <f>"2014 6th International Conference on Electronic Voting: Verifying the Vote - IEEE Proceedings EVOTE 2014"</f>
        <v>2014 6th International Conference on Electronic Voting: Verifying the Vote - IEEE Proceedings EVOTE 2014</v>
      </c>
      <c r="B3820" s="8" t="str">
        <f>"9783200036970"</f>
        <v>9783200036970</v>
      </c>
      <c r="C3820" s="8" t="s">
        <v>105</v>
      </c>
    </row>
    <row r="3821" spans="1:3" x14ac:dyDescent="0.25">
      <c r="A3821" s="8" t="str">
        <f>"2014 6th International Conference on Games and Virtual Worlds for Serious Applications, VS-GAMES 2014"</f>
        <v>2014 6th International Conference on Games and Virtual Worlds for Serious Applications, VS-GAMES 2014</v>
      </c>
      <c r="B3821" s="8" t="str">
        <f>"9781479940561"</f>
        <v>9781479940561</v>
      </c>
      <c r="C3821" s="8" t="s">
        <v>105</v>
      </c>
    </row>
    <row r="3822" spans="1:3" x14ac:dyDescent="0.25">
      <c r="A3822" s="8" t="str">
        <f>"2014 6th International Conference on New Technologies, Mobility and Security - Proceedings of NTMS 2014 Conference and Workshops"</f>
        <v>2014 6th International Conference on New Technologies, Mobility and Security - Proceedings of NTMS 2014 Conference and Workshops</v>
      </c>
      <c r="B3822" s="8" t="str">
        <f>"9781479932238"</f>
        <v>9781479932238</v>
      </c>
      <c r="C3822" s="8" t="s">
        <v>9</v>
      </c>
    </row>
    <row r="3823" spans="1:3" x14ac:dyDescent="0.25">
      <c r="A3823" s="8" t="str">
        <f>"2014 6th International Conference on Wireless Communications and Signal Processing, WCSP 2014"</f>
        <v>2014 6th International Conference on Wireless Communications and Signal Processing, WCSP 2014</v>
      </c>
      <c r="B3823" s="8" t="str">
        <f>"9781479973392"</f>
        <v>9781479973392</v>
      </c>
      <c r="C3823" s="8" t="s">
        <v>105</v>
      </c>
    </row>
    <row r="3824" spans="1:3" x14ac:dyDescent="0.25">
      <c r="A3824" s="8" t="str">
        <f>"2014 6th International Workshop on Quality of Multimedia Experience, QoMEX 2014"</f>
        <v>2014 6th International Workshop on Quality of Multimedia Experience, QoMEX 2014</v>
      </c>
      <c r="B3824" s="8" t="str">
        <f>"9781479965366"</f>
        <v>9781479965366</v>
      </c>
      <c r="C3824" s="8" t="s">
        <v>105</v>
      </c>
    </row>
    <row r="3825" spans="1:3" x14ac:dyDescent="0.25">
      <c r="A3825" s="8" t="str">
        <f>"2014 6th World Congress on Nature and Biologically Inspired Computing, NaBIC 2014"</f>
        <v>2014 6th World Congress on Nature and Biologically Inspired Computing, NaBIC 2014</v>
      </c>
      <c r="B3825" s="8" t="str">
        <f>"9781479959372"</f>
        <v>9781479959372</v>
      </c>
      <c r="C3825" s="8" t="s">
        <v>105</v>
      </c>
    </row>
    <row r="3826" spans="1:3" x14ac:dyDescent="0.25">
      <c r="A3826" s="8" t="str">
        <f>"2014 7th Advanced Satellite Multimedia Systems Conference and the 13th Signal Processing for Space Communications Workshop, ASMS/SPSC 2014"</f>
        <v>2014 7th Advanced Satellite Multimedia Systems Conference and the 13th Signal Processing for Space Communications Workshop, ASMS/SPSC 2014</v>
      </c>
      <c r="B3826" s="8" t="str">
        <f>"9781479958931"</f>
        <v>9781479958931</v>
      </c>
      <c r="C3826" s="8" t="s">
        <v>105</v>
      </c>
    </row>
    <row r="3827" spans="1:3" x14ac:dyDescent="0.25">
      <c r="A3827" s="8" t="str">
        <f>"2014 7th International Conference on Contemporary Computing, IC3 2014"</f>
        <v>2014 7th International Conference on Contemporary Computing, IC3 2014</v>
      </c>
      <c r="B3827" s="8" t="str">
        <f>"9781479951734"</f>
        <v>9781479951734</v>
      </c>
      <c r="C3827" s="8" t="s">
        <v>105</v>
      </c>
    </row>
    <row r="3828" spans="1:3" x14ac:dyDescent="0.25">
      <c r="A3828" s="8" t="s">
        <v>1383</v>
      </c>
      <c r="B3828" s="8" t="str">
        <f>"9781479945986"</f>
        <v>9781479945986</v>
      </c>
      <c r="C3828" s="8" t="s">
        <v>105</v>
      </c>
    </row>
    <row r="3829" spans="1:3" x14ac:dyDescent="0.25">
      <c r="A3829" s="8" t="str">
        <f>"2014 7th International Conference on Mobile Computing and Ubiquitous Networking, ICMU 2014"</f>
        <v>2014 7th International Conference on Mobile Computing and Ubiquitous Networking, ICMU 2014</v>
      </c>
      <c r="B3829" s="8" t="str">
        <f>"9781479922314"</f>
        <v>9781479922314</v>
      </c>
      <c r="C3829" s="8" t="s">
        <v>9</v>
      </c>
    </row>
    <row r="3830" spans="1:3" x14ac:dyDescent="0.25">
      <c r="A3830" s="8" t="str">
        <f>"2014 7th International Symposium on Telecommunications, IST 2014"</f>
        <v>2014 7th International Symposium on Telecommunications, IST 2014</v>
      </c>
      <c r="B3830" s="8" t="str">
        <f>"9781479953592"</f>
        <v>9781479953592</v>
      </c>
      <c r="C3830" s="8" t="s">
        <v>105</v>
      </c>
    </row>
    <row r="3831" spans="1:3" x14ac:dyDescent="0.25">
      <c r="A3831" s="8" t="str">
        <f>"2014 7th International Workshop on Communication Technologies for Vehicles, Nets4Cars-Fall 2014"</f>
        <v>2014 7th International Workshop on Communication Technologies for Vehicles, Nets4Cars-Fall 2014</v>
      </c>
      <c r="B3831" s="8" t="str">
        <f>"9781479952700"</f>
        <v>9781479952700</v>
      </c>
      <c r="C3831" s="8" t="s">
        <v>105</v>
      </c>
    </row>
    <row r="3832" spans="1:3" x14ac:dyDescent="0.25">
      <c r="A3832" s="8" t="str">
        <f>"2014 8th IAPR Workshop on Pattern Recognition in Remote Sensing, PRRS 2014"</f>
        <v>2014 8th IAPR Workshop on Pattern Recognition in Remote Sensing, PRRS 2014</v>
      </c>
      <c r="B3832" s="8" t="str">
        <f>"9781479972760"</f>
        <v>9781479972760</v>
      </c>
      <c r="C3832" s="8" t="s">
        <v>105</v>
      </c>
    </row>
    <row r="3833" spans="1:3" x14ac:dyDescent="0.25">
      <c r="A3833" s="8" t="str">
        <f>"2014 8th International Congress on Advanced Electromagnetic Materials in Microwaves and Optics, METAMATERIALS 2014"</f>
        <v>2014 8th International Congress on Advanced Electromagnetic Materials in Microwaves and Optics, METAMATERIALS 2014</v>
      </c>
      <c r="B3833" s="8" t="str">
        <f>"9781479934522"</f>
        <v>9781479934522</v>
      </c>
      <c r="C3833" s="8" t="s">
        <v>105</v>
      </c>
    </row>
    <row r="3834" spans="1:3" x14ac:dyDescent="0.25">
      <c r="A3834" s="8" t="str">
        <f>"2014 8th Malaysian Software Engineering Conference, MySEC 2014"</f>
        <v>2014 8th Malaysian Software Engineering Conference, MySEC 2014</v>
      </c>
      <c r="B3834" s="8" t="str">
        <f>"9781479954391"</f>
        <v>9781479954391</v>
      </c>
      <c r="C3834" s="8" t="s">
        <v>105</v>
      </c>
    </row>
    <row r="3835" spans="1:3" x14ac:dyDescent="0.25">
      <c r="A3835" s="8" t="str">
        <f>"2014 9th Computing Colombian Conference, 9CCC 2014"</f>
        <v>2014 9th Computing Colombian Conference, 9CCC 2014</v>
      </c>
      <c r="B3835" s="8" t="str">
        <f>"9781479967179"</f>
        <v>9781479967179</v>
      </c>
      <c r="C3835" s="8" t="s">
        <v>105</v>
      </c>
    </row>
    <row r="3836" spans="1:3" x14ac:dyDescent="0.25">
      <c r="A3836" s="8" t="str">
        <f>"2014 9th International Conference for Internet Technology and Secured Transactions, ICITST 2014"</f>
        <v>2014 9th International Conference for Internet Technology and Secured Transactions, ICITST 2014</v>
      </c>
      <c r="B3836" s="8" t="str">
        <f>"9781908320391"</f>
        <v>9781908320391</v>
      </c>
      <c r="C3836" s="8" t="s">
        <v>105</v>
      </c>
    </row>
    <row r="3837" spans="1:3" x14ac:dyDescent="0.25">
      <c r="A3837" s="8" t="str">
        <f>"2014 9th International Conference on Digital Information Management, ICDIM 2014"</f>
        <v>2014 9th International Conference on Digital Information Management, ICDIM 2014</v>
      </c>
      <c r="B3837" s="8" t="str">
        <f>"9781479954209"</f>
        <v>9781479954209</v>
      </c>
      <c r="C3837" s="8" t="s">
        <v>105</v>
      </c>
    </row>
    <row r="3838" spans="1:3" x14ac:dyDescent="0.25">
      <c r="A3838" s="8" t="str">
        <f>"2014 9th International Conference on Informatics and Systems, INFOS 2014"</f>
        <v>2014 9th International Conference on Informatics and Systems, INFOS 2014</v>
      </c>
      <c r="B3838" s="8" t="str">
        <f>"9789774036897"</f>
        <v>9789774036897</v>
      </c>
      <c r="C3838" s="8" t="s">
        <v>105</v>
      </c>
    </row>
    <row r="3839" spans="1:3" x14ac:dyDescent="0.25">
      <c r="A3839" s="8" t="str">
        <f>"2014 9th International Forum on Strategic Technology, IFOST 2014"</f>
        <v>2014 9th International Forum on Strategic Technology, IFOST 2014</v>
      </c>
      <c r="B3839" s="8" t="str">
        <f>"9781479960620"</f>
        <v>9781479960620</v>
      </c>
      <c r="C3839" s="8" t="s">
        <v>105</v>
      </c>
    </row>
    <row r="3840" spans="1:3" x14ac:dyDescent="0.25">
      <c r="A3840" s="8" t="str">
        <f>"2014 9th International Microsystems, Packaging, Assembly and Circuits Technology Conference: Challenges of Change - Shaping the Future, IMPACT 2014 - Proceedings"</f>
        <v>2014 9th International Microsystems, Packaging, Assembly and Circuits Technology Conference: Challenges of Change - Shaping the Future, IMPACT 2014 - Proceedings</v>
      </c>
      <c r="B3840" s="8" t="str">
        <f>"9781479977277"</f>
        <v>9781479977277</v>
      </c>
      <c r="C3840" s="8" t="s">
        <v>105</v>
      </c>
    </row>
    <row r="3841" spans="1:3" x14ac:dyDescent="0.25">
      <c r="A3841" s="8" t="str">
        <f>"2014 9th International Symposium on Communication Systems, Networks and Digital Signal Processing, CSNDSP 2014"</f>
        <v>2014 9th International Symposium on Communication Systems, Networks and Digital Signal Processing, CSNDSP 2014</v>
      </c>
      <c r="B3841" s="8" t="str">
        <f>"9781479925810"</f>
        <v>9781479925810</v>
      </c>
      <c r="C3841" s="8" t="s">
        <v>105</v>
      </c>
    </row>
    <row r="3842" spans="1:3" x14ac:dyDescent="0.25">
      <c r="A3842" s="8" t="str">
        <f>"2014 9th Southern Conference on Programmable Logic, SPL 2014"</f>
        <v>2014 9th Southern Conference on Programmable Logic, SPL 2014</v>
      </c>
      <c r="B3842" s="8" t="str">
        <f>"9781479968480"</f>
        <v>9781479968480</v>
      </c>
      <c r="C3842" s="8" t="s">
        <v>105</v>
      </c>
    </row>
    <row r="3843" spans="1:3" x14ac:dyDescent="0.25">
      <c r="A3843" s="8" t="str">
        <f>"2014 ACM/IEEE International Workshop on System Level Interconnect Prediction, SLIP 2014"</f>
        <v>2014 ACM/IEEE International Workshop on System Level Interconnect Prediction, SLIP 2014</v>
      </c>
      <c r="B3843" s="8" t="str">
        <f>"9781450330534"</f>
        <v>9781450330534</v>
      </c>
      <c r="C3843" s="8" t="s">
        <v>105</v>
      </c>
    </row>
    <row r="3844" spans="1:3" x14ac:dyDescent="0.25">
      <c r="A3844" s="8" t="str">
        <f>"2014 AEIT Annual Conference - From Research to Industry: The Need for a More Effective Technology Transfer, AEIT 2014"</f>
        <v>2014 AEIT Annual Conference - From Research to Industry: The Need for a More Effective Technology Transfer, AEIT 2014</v>
      </c>
      <c r="B3844" s="8" t="str">
        <f>"9788887237238"</f>
        <v>9788887237238</v>
      </c>
      <c r="C3844" s="8" t="s">
        <v>105</v>
      </c>
    </row>
    <row r="3845" spans="1:3" x14ac:dyDescent="0.25">
      <c r="A3845" s="8" t="str">
        <f>"2014 Annual International Conference on Emerging Research Areas: Magnetics, Machines and Drives, AICERA/iCMMD 2014 - Proceedings"</f>
        <v>2014 Annual International Conference on Emerging Research Areas: Magnetics, Machines and Drives, AICERA/iCMMD 2014 - Proceedings</v>
      </c>
      <c r="B3845" s="8" t="str">
        <f>"9781479952021"</f>
        <v>9781479952021</v>
      </c>
      <c r="C3845" s="8" t="s">
        <v>105</v>
      </c>
    </row>
    <row r="3846" spans="1:3" x14ac:dyDescent="0.25">
      <c r="A3846" s="8" t="str">
        <f>"2014 ASHRAE/IBPSA-USA Building Simulation Conference"</f>
        <v>2014 ASHRAE/IBPSA-USA Building Simulation Conference</v>
      </c>
      <c r="B3846" s="8" t="str">
        <f>"-"</f>
        <v>-</v>
      </c>
      <c r="C3846" s="8" t="s">
        <v>1325</v>
      </c>
    </row>
    <row r="3847" spans="1:3" x14ac:dyDescent="0.25">
      <c r="A3847" s="8" t="str">
        <f>"2014 Asia-Pacific Conference on Computer Aided System Engineering, APCASE 2014"</f>
        <v>2014 Asia-Pacific Conference on Computer Aided System Engineering, APCASE 2014</v>
      </c>
      <c r="B3847" s="8" t="str">
        <f>"9781479945689"</f>
        <v>9781479945689</v>
      </c>
      <c r="C3847" s="8" t="s">
        <v>105</v>
      </c>
    </row>
    <row r="3848" spans="1:3" x14ac:dyDescent="0.25">
      <c r="A3848" s="8" t="str">
        <f>"2014 Asia-Pacific Microwave Conference Proceedings, APMC 2014"</f>
        <v>2014 Asia-Pacific Microwave Conference Proceedings, APMC 2014</v>
      </c>
      <c r="B3848" s="8" t="str">
        <f>"9784902339314"</f>
        <v>9784902339314</v>
      </c>
      <c r="C3848" s="8" t="s">
        <v>105</v>
      </c>
    </row>
    <row r="3849" spans="1:3" x14ac:dyDescent="0.25">
      <c r="A3849" s="8" t="str">
        <f>"2014 Asia-Pacific Signal and Information Processing Association Annual Summit and Conference, APSIPA 2014"</f>
        <v>2014 Asia-Pacific Signal and Information Processing Association Annual Summit and Conference, APSIPA 2014</v>
      </c>
      <c r="B3849" s="8" t="str">
        <f>"9786163618238"</f>
        <v>9786163618238</v>
      </c>
      <c r="C3849" s="8" t="s">
        <v>105</v>
      </c>
    </row>
    <row r="3850" spans="1:3" x14ac:dyDescent="0.25">
      <c r="A3850" s="8" t="str">
        <f>"2014 Australasian Telecommunication Networks and Applications Conference, ATNAC 2014"</f>
        <v>2014 Australasian Telecommunication Networks and Applications Conference, ATNAC 2014</v>
      </c>
      <c r="B3850" s="8" t="str">
        <f>"9781479950447"</f>
        <v>9781479950447</v>
      </c>
      <c r="C3850" s="8" t="s">
        <v>105</v>
      </c>
    </row>
    <row r="3851" spans="1:3" x14ac:dyDescent="0.25">
      <c r="A3851" s="8" t="str">
        <f>"2014 Australasian Universities Power Engineering Conference, AUPEC 2014 - Proceedings"</f>
        <v>2014 Australasian Universities Power Engineering Conference, AUPEC 2014 - Proceedings</v>
      </c>
      <c r="B3851" s="8" t="str">
        <f>"9780646923758"</f>
        <v>9780646923758</v>
      </c>
      <c r="C3851" s="8" t="s">
        <v>105</v>
      </c>
    </row>
    <row r="3852" spans="1:3" x14ac:dyDescent="0.25">
      <c r="A3852" s="8" t="str">
        <f>"2014 Australian Communications Theory Workshop, AusCTW 2014"</f>
        <v>2014 Australian Communications Theory Workshop, AusCTW 2014</v>
      </c>
      <c r="B3852" s="8" t="str">
        <f>"9781479933549"</f>
        <v>9781479933549</v>
      </c>
      <c r="C3852" s="8" t="s">
        <v>9</v>
      </c>
    </row>
    <row r="3853" spans="1:3" x14ac:dyDescent="0.25">
      <c r="A3853" s="8" t="str">
        <f>"2014 Clemson University Power Systems Conference, PSC 2014"</f>
        <v>2014 Clemson University Power Systems Conference, PSC 2014</v>
      </c>
      <c r="B3853" s="8" t="str">
        <f>"9781479939602"</f>
        <v>9781479939602</v>
      </c>
      <c r="C3853" s="8" t="s">
        <v>9</v>
      </c>
    </row>
    <row r="3854" spans="1:3" x14ac:dyDescent="0.25">
      <c r="A3854" s="8" t="str">
        <f>"2014 Conference on Optoelectronic and Microelectronic Materials and Devices, COMMAD 2014"</f>
        <v>2014 Conference on Optoelectronic and Microelectronic Materials and Devices, COMMAD 2014</v>
      </c>
      <c r="B3854" s="8" t="str">
        <f>"9781479968671"</f>
        <v>9781479968671</v>
      </c>
      <c r="C3854" s="8" t="s">
        <v>105</v>
      </c>
    </row>
    <row r="3855" spans="1:3" x14ac:dyDescent="0.25">
      <c r="A3855" s="8" t="str">
        <f>"2014 DGON Inertial Sensors and Systems, ISS 2014 - Proceedings"</f>
        <v>2014 DGON Inertial Sensors and Systems, ISS 2014 - Proceedings</v>
      </c>
      <c r="B3855" s="8" t="str">
        <f>"9781479946631"</f>
        <v>9781479946631</v>
      </c>
      <c r="C3855" s="8" t="s">
        <v>105</v>
      </c>
    </row>
    <row r="3856" spans="1:3" x14ac:dyDescent="0.25">
      <c r="A3856" s="8" t="str">
        <f>"2014 Dynamics of Systems, Mechanisms and Machines, Dynamics 2014 - Proceedings"</f>
        <v>2014 Dynamics of Systems, Mechanisms and Machines, Dynamics 2014 - Proceedings</v>
      </c>
      <c r="B3856" s="8" t="str">
        <f>"9781479964055"</f>
        <v>9781479964055</v>
      </c>
      <c r="C3856" s="8" t="s">
        <v>105</v>
      </c>
    </row>
    <row r="3857" spans="1:3" x14ac:dyDescent="0.25">
      <c r="A3857" s="8" t="str">
        <f>"2014 e-Manufacturing and Design Collaboration Symposium, eMDC 2014"</f>
        <v>2014 e-Manufacturing and Design Collaboration Symposium, eMDC 2014</v>
      </c>
      <c r="B3857" s="8" t="str">
        <f>"9789869171502"</f>
        <v>9789869171502</v>
      </c>
      <c r="C3857" s="8" t="s">
        <v>105</v>
      </c>
    </row>
    <row r="3858" spans="1:3" x14ac:dyDescent="0.25">
      <c r="A3858" s="8" t="str">
        <f>"2014 Euro Med Telco Conference - From Network Infrastructures to Network Fabric: Revolution at the Edges, EMTC 2014"</f>
        <v>2014 Euro Med Telco Conference - From Network Infrastructures to Network Fabric: Revolution at the Edges, EMTC 2014</v>
      </c>
      <c r="B3858" s="8" t="str">
        <f>"9788887237207"</f>
        <v>9788887237207</v>
      </c>
      <c r="C3858" s="8" t="s">
        <v>105</v>
      </c>
    </row>
    <row r="3859" spans="1:3" x14ac:dyDescent="0.25">
      <c r="A3859" s="8" t="str">
        <f>"2014 European Control Conference, ECC 2014"</f>
        <v>2014 European Control Conference, ECC 2014</v>
      </c>
      <c r="B3859" s="8" t="str">
        <f>"9783952426913"</f>
        <v>9783952426913</v>
      </c>
      <c r="C3859" s="8" t="s">
        <v>105</v>
      </c>
    </row>
    <row r="3860" spans="1:3" x14ac:dyDescent="0.25">
      <c r="A3860" s="8" t="str">
        <f>"2014 Federated Conference on Computer Science and Information Systems, FedCSIS 2014"</f>
        <v>2014 Federated Conference on Computer Science and Information Systems, FedCSIS 2014</v>
      </c>
      <c r="B3860" s="8" t="str">
        <f>"9788360810583"</f>
        <v>9788360810583</v>
      </c>
      <c r="C3860" s="8" t="s">
        <v>105</v>
      </c>
    </row>
    <row r="3861" spans="1:3" x14ac:dyDescent="0.25">
      <c r="A3861" s="8" t="str">
        <f>"2014 Formal Methods in Computer-Aided Design, FMCAD 2014"</f>
        <v>2014 Formal Methods in Computer-Aided Design, FMCAD 2014</v>
      </c>
      <c r="B3861" s="8" t="str">
        <f>"9780983567844"</f>
        <v>9780983567844</v>
      </c>
      <c r="C3861" s="8" t="s">
        <v>105</v>
      </c>
    </row>
    <row r="3862" spans="1:3" x14ac:dyDescent="0.25">
      <c r="A3862" s="8" t="str">
        <f>"2014 Global Information Infrastructure and Networking Symposium, GIIS 2014"</f>
        <v>2014 Global Information Infrastructure and Networking Symposium, GIIS 2014</v>
      </c>
      <c r="B3862" s="8" t="str">
        <f>"9781479954902"</f>
        <v>9781479954902</v>
      </c>
      <c r="C3862" s="8" t="s">
        <v>105</v>
      </c>
    </row>
    <row r="3863" spans="1:3" x14ac:dyDescent="0.25">
      <c r="A3863" s="8" t="str">
        <f>"2014 IEEE 11th Consumer Communications and Networking Conference, CCNC 2014"</f>
        <v>2014 IEEE 11th Consumer Communications and Networking Conference, CCNC 2014</v>
      </c>
      <c r="B3863" s="8" t="str">
        <f>"9781479923557"</f>
        <v>9781479923557</v>
      </c>
      <c r="C3863" s="8" t="s">
        <v>9</v>
      </c>
    </row>
    <row r="3864" spans="1:3" x14ac:dyDescent="0.25">
      <c r="A3864" s="8" t="str">
        <f>"2014 IEEE 11th International Multi-Conference on Systems, Signals and Devices, SSD 2014"</f>
        <v>2014 IEEE 11th International Multi-Conference on Systems, Signals and Devices, SSD 2014</v>
      </c>
      <c r="B3864" s="8" t="str">
        <f>"9781479938667"</f>
        <v>9781479938667</v>
      </c>
      <c r="C3864" s="8" t="s">
        <v>9</v>
      </c>
    </row>
    <row r="3865" spans="1:3" x14ac:dyDescent="0.25">
      <c r="A3865" s="8" t="str">
        <f>"2014 IEEE 11th International Symposium on Biomedical Imaging, ISBI 2014"</f>
        <v>2014 IEEE 11th International Symposium on Biomedical Imaging, ISBI 2014</v>
      </c>
      <c r="B3865" s="8" t="str">
        <f>"9781467319591"</f>
        <v>9781467319591</v>
      </c>
      <c r="C3865" s="8" t="s">
        <v>105</v>
      </c>
    </row>
    <row r="3866" spans="1:3" x14ac:dyDescent="0.25">
      <c r="A3866" s="8" t="str">
        <f>"2014 IEEE 12th International New Circuits and Systems Conference, NEWCAS 2014"</f>
        <v>2014 IEEE 12th International New Circuits and Systems Conference, NEWCAS 2014</v>
      </c>
      <c r="B3866" s="8" t="str">
        <f>"9781479948857"</f>
        <v>9781479948857</v>
      </c>
      <c r="C3866" s="8" t="s">
        <v>105</v>
      </c>
    </row>
    <row r="3867" spans="1:3" x14ac:dyDescent="0.25">
      <c r="A3867" s="8" t="str">
        <f>"2014 IEEE 12th Symposium on Embedded Systems for Real-Time Multimedia, ESTIMedia 2014"</f>
        <v>2014 IEEE 12th Symposium on Embedded Systems for Real-Time Multimedia, ESTIMedia 2014</v>
      </c>
      <c r="B3867" s="8" t="str">
        <f>"9781479963072"</f>
        <v>9781479963072</v>
      </c>
      <c r="C3867" s="8" t="s">
        <v>105</v>
      </c>
    </row>
    <row r="3868" spans="1:3" x14ac:dyDescent="0.25">
      <c r="A3868" s="8" t="str">
        <f>"2014 IEEE 15th International Conference on High Performance Switching and Routing, HPSR 2014"</f>
        <v>2014 IEEE 15th International Conference on High Performance Switching and Routing, HPSR 2014</v>
      </c>
      <c r="B3868" s="8" t="str">
        <f>"9781479916337"</f>
        <v>9781479916337</v>
      </c>
      <c r="C3868" s="8" t="s">
        <v>105</v>
      </c>
    </row>
    <row r="3869" spans="1:3" x14ac:dyDescent="0.25">
      <c r="A3869" s="8" t="str">
        <f>"2014 IEEE 16th International Conference on e-Health Networking, Applications and Services, Healthcom 2014"</f>
        <v>2014 IEEE 16th International Conference on e-Health Networking, Applications and Services, Healthcom 2014</v>
      </c>
      <c r="B3869" s="8" t="str">
        <f>"9781479966448"</f>
        <v>9781479966448</v>
      </c>
      <c r="C3869" s="8" t="s">
        <v>105</v>
      </c>
    </row>
    <row r="3870" spans="1:3" x14ac:dyDescent="0.25">
      <c r="A3870" s="8" t="str">
        <f>"2014 IEEE 19th International Functional Electrical Stimulation Society Annual Conference, IFESS 2014 - Conference Proceedings"</f>
        <v>2014 IEEE 19th International Functional Electrical Stimulation Society Annual Conference, IFESS 2014 - Conference Proceedings</v>
      </c>
      <c r="B3870" s="8" t="str">
        <f>"9781479964833"</f>
        <v>9781479964833</v>
      </c>
      <c r="C3870" s="8" t="s">
        <v>105</v>
      </c>
    </row>
    <row r="3871" spans="1:3" x14ac:dyDescent="0.25">
      <c r="A3871" s="8" t="str">
        <f>"2014 IEEE 19th International Workshop on Computer Aided Modeling and Design of Communication Links and Networks, CAMAD 2014"</f>
        <v>2014 IEEE 19th International Workshop on Computer Aided Modeling and Design of Communication Links and Networks, CAMAD 2014</v>
      </c>
      <c r="B3871" s="8" t="str">
        <f>"9781479957255"</f>
        <v>9781479957255</v>
      </c>
      <c r="C3871" s="8" t="s">
        <v>105</v>
      </c>
    </row>
    <row r="3872" spans="1:3" x14ac:dyDescent="0.25">
      <c r="A3872" s="8" t="str">
        <f>"2014 IEEE 1st International Workshop on Artificial Intelligence for Requirements Engineering, AIRE 2014 - Proceedings"</f>
        <v>2014 IEEE 1st International Workshop on Artificial Intelligence for Requirements Engineering, AIRE 2014 - Proceedings</v>
      </c>
      <c r="B3872" s="8" t="str">
        <f>"9781479963553"</f>
        <v>9781479963553</v>
      </c>
      <c r="C3872" s="8" t="s">
        <v>105</v>
      </c>
    </row>
    <row r="3873" spans="1:3" x14ac:dyDescent="0.25">
      <c r="A3873" s="8" t="str">
        <f>"2014 IEEE 1st International Workshop on Evolving Security and Privacy Requirements Engineering, ESPRE 2014 - Proceedings"</f>
        <v>2014 IEEE 1st International Workshop on Evolving Security and Privacy Requirements Engineering, ESPRE 2014 - Proceedings</v>
      </c>
      <c r="B3873" s="8" t="str">
        <f>"9781479963409"</f>
        <v>9781479963409</v>
      </c>
      <c r="C3873" s="8" t="s">
        <v>105</v>
      </c>
    </row>
    <row r="3874" spans="1:3" x14ac:dyDescent="0.25">
      <c r="A3874" s="8" t="str">
        <f>"2014 IEEE 1st International Workshop on Requirements Engineering and Testing, RET 2014 - Proceedings"</f>
        <v>2014 IEEE 1st International Workshop on Requirements Engineering and Testing, RET 2014 - Proceedings</v>
      </c>
      <c r="B3874" s="8" t="str">
        <f>"9781479963348"</f>
        <v>9781479963348</v>
      </c>
      <c r="C3874" s="8" t="s">
        <v>105</v>
      </c>
    </row>
    <row r="3875" spans="1:3" x14ac:dyDescent="0.25">
      <c r="A3875" s="8" t="str">
        <f>"2014 IEEE 1st International Workshop on the Interrelations Between Requirements Engineering and Business Process Management, REBPM 2014 - Proceedings"</f>
        <v>2014 IEEE 1st International Workshop on the Interrelations Between Requirements Engineering and Business Process Management, REBPM 2014 - Proceedings</v>
      </c>
      <c r="B3875" s="8" t="str">
        <f>"9781479963461"</f>
        <v>9781479963461</v>
      </c>
      <c r="C3875" s="8" t="s">
        <v>105</v>
      </c>
    </row>
    <row r="3876" spans="1:3" x14ac:dyDescent="0.25">
      <c r="A3876" s="8" t="str">
        <f>"2014 IEEE 20th International Symposium for Design and Technology in Electronic Packaging, SIITME 2014"</f>
        <v>2014 IEEE 20th International Symposium for Design and Technology in Electronic Packaging, SIITME 2014</v>
      </c>
      <c r="B3876" s="8" t="str">
        <f>"9781479969623"</f>
        <v>9781479969623</v>
      </c>
      <c r="C3876" s="8" t="s">
        <v>105</v>
      </c>
    </row>
    <row r="3877" spans="1:3" x14ac:dyDescent="0.25">
      <c r="A3877" s="8" t="str">
        <f>"2014 IEEE 20th International Workshop on Local and Metropolitan Area Networks, LANMAN 2014"</f>
        <v>2014 IEEE 20th International Workshop on Local and Metropolitan Area Networks, LANMAN 2014</v>
      </c>
      <c r="B3877" s="8" t="str">
        <f>"9781479948949"</f>
        <v>9781479948949</v>
      </c>
      <c r="C3877" s="8" t="s">
        <v>105</v>
      </c>
    </row>
    <row r="3878" spans="1:3" x14ac:dyDescent="0.25">
      <c r="A3878" s="8" t="str">
        <f>"2014 IEEE 22nd International Requirements Engineering Conference, RE 2014 - Proceedings"</f>
        <v>2014 IEEE 22nd International Requirements Engineering Conference, RE 2014 - Proceedings</v>
      </c>
      <c r="B3878" s="8" t="str">
        <f>"9781479930333"</f>
        <v>9781479930333</v>
      </c>
      <c r="C3878" s="8" t="s">
        <v>105</v>
      </c>
    </row>
    <row r="3879" spans="1:3" x14ac:dyDescent="0.25">
      <c r="A3879" s="8" t="str">
        <f>"2014 IEEE 23rd Conference on Electrical Performance of Electronic Packaging and Systems, EPEPS 2014"</f>
        <v>2014 IEEE 23rd Conference on Electrical Performance of Electronic Packaging and Systems, EPEPS 2014</v>
      </c>
      <c r="B3879" s="8" t="str">
        <f>"9781479936410"</f>
        <v>9781479936410</v>
      </c>
      <c r="C3879" s="8" t="s">
        <v>105</v>
      </c>
    </row>
    <row r="3880" spans="1:3" x14ac:dyDescent="0.25">
      <c r="A3880" s="8" t="str">
        <f>"2014 IEEE 28th Convention of Electrical and Electronics Engineers in Israel, IEEEI 2014"</f>
        <v>2014 IEEE 28th Convention of Electrical and Electronics Engineers in Israel, IEEEI 2014</v>
      </c>
      <c r="B3880" s="8" t="str">
        <f>"9781479959877"</f>
        <v>9781479959877</v>
      </c>
      <c r="C3880" s="8" t="s">
        <v>105</v>
      </c>
    </row>
    <row r="3881" spans="1:3" x14ac:dyDescent="0.25">
      <c r="A3881" s="8" t="str">
        <f>"2014 IEEE 2nd International Conference on Emerging Electronics: Materials to Devices, ICEE 2014 - Conference Proceedings"</f>
        <v>2014 IEEE 2nd International Conference on Emerging Electronics: Materials to Devices, ICEE 2014 - Conference Proceedings</v>
      </c>
      <c r="B3881" s="8" t="str">
        <f>"9781467365277"</f>
        <v>9781467365277</v>
      </c>
      <c r="C3881" s="8" t="s">
        <v>105</v>
      </c>
    </row>
    <row r="3882" spans="1:3" x14ac:dyDescent="0.25">
      <c r="A3882" s="8" t="str">
        <f>"2014 IEEE 2nd International Symposium on Wireless Systems,  within the Conferences on Intelligent Data Acquisition and Advanced Computing Systems, IDAACS-SWS 2014"</f>
        <v>2014 IEEE 2nd International Symposium on Wireless Systems,  within the Conferences on Intelligent Data Acquisition and Advanced Computing Systems, IDAACS-SWS 2014</v>
      </c>
      <c r="B3882" s="8" t="str">
        <f>"9781479967216"</f>
        <v>9781479967216</v>
      </c>
      <c r="C3882" s="8" t="s">
        <v>105</v>
      </c>
    </row>
    <row r="3883" spans="1:3" x14ac:dyDescent="0.25">
      <c r="A3883" s="8" t="str">
        <f>"2014 IEEE 2nd International Workshop on Usability and Accessibility Focused Requirements Engineering, UsARE 2014 - Proceedings"</f>
        <v>2014 IEEE 2nd International Workshop on Usability and Accessibility Focused Requirements Engineering, UsARE 2014 - Proceedings</v>
      </c>
      <c r="B3883" s="8" t="str">
        <f>"9781479963522"</f>
        <v>9781479963522</v>
      </c>
      <c r="C3883" s="8" t="s">
        <v>105</v>
      </c>
    </row>
    <row r="3884" spans="1:3" x14ac:dyDescent="0.25">
      <c r="A3884" s="8" t="str">
        <f>"2014 IEEE 2nd Workshop on Advances in Information, Electronic and Electrical Engineering, AIEEE 2014 - Proceedings"</f>
        <v>2014 IEEE 2nd Workshop on Advances in Information, Electronic and Electrical Engineering, AIEEE 2014 - Proceedings</v>
      </c>
      <c r="B3884" s="8" t="str">
        <f>"9781479971220"</f>
        <v>9781479971220</v>
      </c>
      <c r="C3884" s="8" t="s">
        <v>105</v>
      </c>
    </row>
    <row r="3885" spans="1:3" x14ac:dyDescent="0.25">
      <c r="A3885" s="8" t="str">
        <f>"2014 IEEE 33rd International Performance Computing and Communications Conference, IPCCC 2014"</f>
        <v>2014 IEEE 33rd International Performance Computing and Communications Conference, IPCCC 2014</v>
      </c>
      <c r="B3885" s="8" t="str">
        <f>"9781479975754"</f>
        <v>9781479975754</v>
      </c>
      <c r="C3885" s="8" t="s">
        <v>105</v>
      </c>
    </row>
    <row r="3886" spans="1:3" x14ac:dyDescent="0.25">
      <c r="A3886" s="8" t="str">
        <f>"2014 IEEE 3rd Global Conference on Consumer Electronics, GCCE 2014"</f>
        <v>2014 IEEE 3rd Global Conference on Consumer Electronics, GCCE 2014</v>
      </c>
      <c r="B3886" s="8" t="str">
        <f>"9781479951451"</f>
        <v>9781479951451</v>
      </c>
      <c r="C3886" s="8" t="s">
        <v>105</v>
      </c>
    </row>
    <row r="3887" spans="1:3" x14ac:dyDescent="0.25">
      <c r="A3887" s="8" t="str">
        <f>"2014 IEEE 3rd International Conference on Cloud Networking, CloudNet 2014"</f>
        <v>2014 IEEE 3rd International Conference on Cloud Networking, CloudNet 2014</v>
      </c>
      <c r="B3887" s="8" t="str">
        <f>"9781479927302"</f>
        <v>9781479927302</v>
      </c>
      <c r="C3887" s="8" t="s">
        <v>105</v>
      </c>
    </row>
    <row r="3888" spans="1:3" x14ac:dyDescent="0.25">
      <c r="A3888" s="8" t="str">
        <f>"2014 IEEE 3rd International Conference on Methods and Systems of Navigation and Motion Control, MSNMC 2014 - Proceedings"</f>
        <v>2014 IEEE 3rd International Conference on Methods and Systems of Navigation and Motion Control, MSNMC 2014 - Proceedings</v>
      </c>
      <c r="B3888" s="8" t="str">
        <f>"9781479965793"</f>
        <v>9781479965793</v>
      </c>
      <c r="C3888" s="8" t="s">
        <v>105</v>
      </c>
    </row>
    <row r="3889" spans="1:3" x14ac:dyDescent="0.25">
      <c r="A3889" s="8" t="str">
        <f>"2014 IEEE 40th Photovoltaic Specialist Conference, PVSC 2014"</f>
        <v>2014 IEEE 40th Photovoltaic Specialist Conference, PVSC 2014</v>
      </c>
      <c r="B3889" s="8" t="str">
        <f>"9781479943982"</f>
        <v>9781479943982</v>
      </c>
      <c r="C3889" s="8" t="s">
        <v>105</v>
      </c>
    </row>
    <row r="3890" spans="1:3" x14ac:dyDescent="0.25">
      <c r="A3890" s="8" t="str">
        <f>"2014 IEEE 4th International Conference on Computational Advances in Bio and Medical Sciences, ICCABS 2014"</f>
        <v>2014 IEEE 4th International Conference on Computational Advances in Bio and Medical Sciences, ICCABS 2014</v>
      </c>
      <c r="B3890" s="8" t="str">
        <f>"9781479957866"</f>
        <v>9781479957866</v>
      </c>
      <c r="C3890" s="8" t="s">
        <v>105</v>
      </c>
    </row>
    <row r="3891" spans="1:3" x14ac:dyDescent="0.25">
      <c r="A3891" s="8" t="str">
        <f>"2014 IEEE 4th International Model-Driven Requirements Engineering Workshop, MoDRE 2014 - Proceedings"</f>
        <v>2014 IEEE 4th International Model-Driven Requirements Engineering Workshop, MoDRE 2014 - Proceedings</v>
      </c>
      <c r="B3891" s="8" t="str">
        <f>"9781479963430"</f>
        <v>9781479963430</v>
      </c>
      <c r="C3891" s="8" t="s">
        <v>105</v>
      </c>
    </row>
    <row r="3892" spans="1:3" x14ac:dyDescent="0.25">
      <c r="A3892" s="8" t="str">
        <f>"2014 IEEE 4th International Workshop on Empirical Requirements Engineering, EmpiRE 2014 - Proceedings"</f>
        <v>2014 IEEE 4th International Workshop on Empirical Requirements Engineering, EmpiRE 2014 - Proceedings</v>
      </c>
      <c r="B3892" s="8" t="str">
        <f>"9781479963379"</f>
        <v>9781479963379</v>
      </c>
      <c r="C3892" s="8" t="s">
        <v>105</v>
      </c>
    </row>
    <row r="3893" spans="1:3" x14ac:dyDescent="0.25">
      <c r="A3893" s="8" t="str">
        <f>"2014 IEEE 4th International Workshop on Requirements Patterns, RePa 2014 - Proceedings"</f>
        <v>2014 IEEE 4th International Workshop on Requirements Patterns, RePa 2014 - Proceedings</v>
      </c>
      <c r="B3893" s="8" t="str">
        <f>"9781479963287"</f>
        <v>9781479963287</v>
      </c>
      <c r="C3893" s="8" t="s">
        <v>105</v>
      </c>
    </row>
    <row r="3894" spans="1:3" x14ac:dyDescent="0.25">
      <c r="A3894" s="8" t="str">
        <f>"2014 IEEE 5th Colombian Workshop on Circuits and Systems, CWCAS 2014 - Conference Proceedings"</f>
        <v>2014 IEEE 5th Colombian Workshop on Circuits and Systems, CWCAS 2014 - Conference Proceedings</v>
      </c>
      <c r="B3894" s="8" t="str">
        <f>"9781479968381"</f>
        <v>9781479968381</v>
      </c>
      <c r="C3894" s="8" t="s">
        <v>105</v>
      </c>
    </row>
    <row r="3895" spans="1:3" x14ac:dyDescent="0.25">
      <c r="A3895" s="8" t="str">
        <f>"2014 IEEE 5th International Conference on Communications and Electronics, IEEE ICCE 2014"</f>
        <v>2014 IEEE 5th International Conference on Communications and Electronics, IEEE ICCE 2014</v>
      </c>
      <c r="B3895" s="8" t="str">
        <f>"9781479950515"</f>
        <v>9781479950515</v>
      </c>
      <c r="C3895" s="8" t="s">
        <v>105</v>
      </c>
    </row>
    <row r="3896" spans="1:3" x14ac:dyDescent="0.25">
      <c r="A3896" s="8" t="str">
        <f>"2014 IEEE 5th International Workshop on Requirements Prioritization and Communication, RePriCo 2014 - Proceedings"</f>
        <v>2014 IEEE 5th International Workshop on Requirements Prioritization and Communication, RePriCo 2014 - Proceedings</v>
      </c>
      <c r="B3896" s="8" t="str">
        <f>"9781479963317"</f>
        <v>9781479963317</v>
      </c>
      <c r="C3896" s="8" t="s">
        <v>105</v>
      </c>
    </row>
    <row r="3897" spans="1:3" x14ac:dyDescent="0.25">
      <c r="A3897" s="8" t="str">
        <f>"2014 IEEE 6th International Conference on Awareness Science and Technology, iCAST 2014"</f>
        <v>2014 IEEE 6th International Conference on Awareness Science and Technology, iCAST 2014</v>
      </c>
      <c r="B3897" s="8" t="str">
        <f>"9781479973736"</f>
        <v>9781479973736</v>
      </c>
      <c r="C3897" s="8" t="s">
        <v>105</v>
      </c>
    </row>
    <row r="3898" spans="1:3" x14ac:dyDescent="0.25">
      <c r="A3898" s="8" t="str">
        <f>"2014 IEEE 6th International Symposium on Wireless Vehicular Communications, WiVeC 2014 - Proceedings"</f>
        <v>2014 IEEE 6th International Symposium on Wireless Vehicular Communications, WiVeC 2014 - Proceedings</v>
      </c>
      <c r="B3898" s="8" t="str">
        <f>"9781479944521"</f>
        <v>9781479944521</v>
      </c>
      <c r="C3898" s="8" t="s">
        <v>105</v>
      </c>
    </row>
    <row r="3899" spans="1:3" x14ac:dyDescent="0.25">
      <c r="A3899" s="8" t="str">
        <f>"2014 IEEE 7th International Workshop on Computational Intelligence and Applications, IWCIA 2014 - Proceedings"</f>
        <v>2014 IEEE 7th International Workshop on Computational Intelligence and Applications, IWCIA 2014 - Proceedings</v>
      </c>
      <c r="B3899" s="8" t="str">
        <f>"9781479947706"</f>
        <v>9781479947706</v>
      </c>
      <c r="C3899" s="8" t="s">
        <v>105</v>
      </c>
    </row>
    <row r="3900" spans="1:3" x14ac:dyDescent="0.25">
      <c r="A3900" s="8" t="str">
        <f>"2014 IEEE 7th International Workshop on Requirements Engineering and Law, RELAW 2014 - Proceedings"</f>
        <v>2014 IEEE 7th International Workshop on Requirements Engineering and Law, RELAW 2014 - Proceedings</v>
      </c>
      <c r="B3900" s="8" t="str">
        <f>"9781479963256"</f>
        <v>9781479963256</v>
      </c>
      <c r="C3900" s="8" t="s">
        <v>105</v>
      </c>
    </row>
    <row r="3901" spans="1:3" x14ac:dyDescent="0.25">
      <c r="A3901" s="8" t="str">
        <f>"2014 IEEE 7th Joint International Information Technology and Artificial Intelligence Conference, ITAIC 2014"</f>
        <v>2014 IEEE 7th Joint International Information Technology and Artificial Intelligence Conference, ITAIC 2014</v>
      </c>
      <c r="B3901" s="8" t="str">
        <f>"9781479944200"</f>
        <v>9781479944200</v>
      </c>
      <c r="C3901" s="8" t="s">
        <v>105</v>
      </c>
    </row>
    <row r="3902" spans="1:3" x14ac:dyDescent="0.25">
      <c r="A3902" s="8" t="str">
        <f>"2014 IEEE 7th Workshop on Software Engineering and Architectures for Realtime Interactive Systems, SEARIS 2014"</f>
        <v>2014 IEEE 7th Workshop on Software Engineering and Architectures for Realtime Interactive Systems, SEARIS 2014</v>
      </c>
      <c r="B3902" s="8" t="str">
        <f>"9781479999552"</f>
        <v>9781479999552</v>
      </c>
      <c r="C3902" s="8" t="s">
        <v>105</v>
      </c>
    </row>
    <row r="3903" spans="1:3" x14ac:dyDescent="0.25">
      <c r="A3903" s="8" t="str">
        <f>"2014 IEEE 8th International Conference on Intelligent Systems and Control: Green Challenges and Smart Solutions, ISCO 2014 - Proceedings"</f>
        <v>2014 IEEE 8th International Conference on Intelligent Systems and Control: Green Challenges and Smart Solutions, ISCO 2014 - Proceedings</v>
      </c>
      <c r="B3903" s="8" t="str">
        <f>"9781479938377"</f>
        <v>9781479938377</v>
      </c>
      <c r="C3903" s="8" t="s">
        <v>105</v>
      </c>
    </row>
    <row r="3904" spans="1:3" x14ac:dyDescent="0.25">
      <c r="A3904" s="8" t="str">
        <f>"2014 IEEE 8th International Workshop on Software ProductManagement, IWSPM 2014 - Proceedings"</f>
        <v>2014 IEEE 8th International Workshop on Software ProductManagement, IWSPM 2014 - Proceedings</v>
      </c>
      <c r="B3904" s="8" t="str">
        <f>"9781479963584"</f>
        <v>9781479963584</v>
      </c>
      <c r="C3904" s="8" t="s">
        <v>105</v>
      </c>
    </row>
    <row r="3905" spans="1:3" x14ac:dyDescent="0.25">
      <c r="A3905" s="8" t="str">
        <f>"2014 IEEE 9th IberoAmerican Congress on Sensors, IBERSENSOR 2014 - Conference Proceedings"</f>
        <v>2014 IEEE 9th IberoAmerican Congress on Sensors, IBERSENSOR 2014 - Conference Proceedings</v>
      </c>
      <c r="B3905" s="8" t="str">
        <f>"9781479968350"</f>
        <v>9781479968350</v>
      </c>
      <c r="C3905" s="8" t="s">
        <v>105</v>
      </c>
    </row>
    <row r="3906" spans="1:3" x14ac:dyDescent="0.25">
      <c r="A3906" s="8" t="str">
        <f>"2014 IEEE 9th Nanotechnology Materials and Devices Conference, NMDC 2014"</f>
        <v>2014 IEEE 9th Nanotechnology Materials and Devices Conference, NMDC 2014</v>
      </c>
      <c r="B3906" s="8" t="str">
        <f>"9781479980604"</f>
        <v>9781479980604</v>
      </c>
      <c r="C3906" s="8" t="s">
        <v>105</v>
      </c>
    </row>
    <row r="3907" spans="1:3" x14ac:dyDescent="0.25">
      <c r="A3907" s="8" t="str">
        <f>"2014 IEEE Asian Solid-State Circuits Conference, A-SSCC - Proceedings of Technical Papers"</f>
        <v>2014 IEEE Asian Solid-State Circuits Conference, A-SSCC - Proceedings of Technical Papers</v>
      </c>
      <c r="B3907" s="8" t="str">
        <f>"9781479940905"</f>
        <v>9781479940905</v>
      </c>
      <c r="C3907" s="8" t="s">
        <v>105</v>
      </c>
    </row>
    <row r="3908" spans="1:3" x14ac:dyDescent="0.25">
      <c r="A3908" s="8" t="str">
        <f>"2014 IEEE Asia-Pacific Conference on Applied Electromagnetics, APACE 2014 - Proceeding"</f>
        <v>2014 IEEE Asia-Pacific Conference on Applied Electromagnetics, APACE 2014 - Proceeding</v>
      </c>
      <c r="B3908" s="8" t="str">
        <f>"9781479966035"</f>
        <v>9781479966035</v>
      </c>
      <c r="C3908" s="8" t="s">
        <v>105</v>
      </c>
    </row>
    <row r="3909" spans="1:3" x14ac:dyDescent="0.25">
      <c r="A3909" s="8" t="str">
        <f>"2014 IEEE Avionics, Fiber-Optics and Photonics Technology Conference, AVFOP 2014"</f>
        <v>2014 IEEE Avionics, Fiber-Optics and Photonics Technology Conference, AVFOP 2014</v>
      </c>
      <c r="B3909" s="8" t="str">
        <f>"9781479924745"</f>
        <v>9781479924745</v>
      </c>
      <c r="C3909" s="8" t="s">
        <v>105</v>
      </c>
    </row>
    <row r="3910" spans="1:3" x14ac:dyDescent="0.25">
      <c r="A3910" s="8" t="str">
        <f>"2014 IEEE Canada International Humanitarian Technology Conference, IHTC 2014"</f>
        <v>2014 IEEE Canada International Humanitarian Technology Conference, IHTC 2014</v>
      </c>
      <c r="B3910" s="8" t="str">
        <f>"9781479939961"</f>
        <v>9781479939961</v>
      </c>
      <c r="C3910" s="8" t="s">
        <v>105</v>
      </c>
    </row>
    <row r="3911" spans="1:3" x14ac:dyDescent="0.25">
      <c r="A3911" s="8" t="str">
        <f>"2014 IEEE China Summit and International Conference on Signal and Information Processing, IEEE ChinaSIP 2014 - Proceedings"</f>
        <v>2014 IEEE China Summit and International Conference on Signal and Information Processing, IEEE ChinaSIP 2014 - Proceedings</v>
      </c>
      <c r="B3911" s="8" t="str">
        <f>"9781479954032"</f>
        <v>9781479954032</v>
      </c>
      <c r="C3911" s="8" t="s">
        <v>105</v>
      </c>
    </row>
    <row r="3912" spans="1:3" x14ac:dyDescent="0.25">
      <c r="A3912" s="8" t="str">
        <f>"2014 IEEE Chinese Guidance, Navigation and Control Conference, CGNCC 2014"</f>
        <v>2014 IEEE Chinese Guidance, Navigation and Control Conference, CGNCC 2014</v>
      </c>
      <c r="B3912" s="8" t="str">
        <f>"9781479946990"</f>
        <v>9781479946990</v>
      </c>
      <c r="C3912" s="8" t="s">
        <v>105</v>
      </c>
    </row>
    <row r="3913" spans="1:3" x14ac:dyDescent="0.25">
      <c r="A3913" s="8" t="str">
        <f>"2014 IEEE Conference on Antenna Measurements and Applications, CAMA 2014"</f>
        <v>2014 IEEE Conference on Antenna Measurements and Applications, CAMA 2014</v>
      </c>
      <c r="B3913" s="8" t="str">
        <f>"9781479936786"</f>
        <v>9781479936786</v>
      </c>
      <c r="C3913" s="8" t="s">
        <v>105</v>
      </c>
    </row>
    <row r="3914" spans="1:3" x14ac:dyDescent="0.25">
      <c r="A3914" s="8" t="str">
        <f>"2014 IEEE Conference on Communications and Network Security, CNS 2014"</f>
        <v>2014 IEEE Conference on Communications and Network Security, CNS 2014</v>
      </c>
      <c r="B3914" s="8" t="str">
        <f>"9781479958900"</f>
        <v>9781479958900</v>
      </c>
      <c r="C3914" s="8" t="s">
        <v>105</v>
      </c>
    </row>
    <row r="3915" spans="1:3" x14ac:dyDescent="0.25">
      <c r="A3915" s="8" t="str">
        <f>"2014 IEEE Conference on Control Applications, CCA. Part of 2014 IEEE Multi-conference on Systems and Control, MSC 2014"</f>
        <v>2014 IEEE Conference on Control Applications, CCA. Part of 2014 IEEE Multi-conference on Systems and Control, MSC 2014</v>
      </c>
      <c r="B3915" s="8" t="str">
        <f>"9781479974092"</f>
        <v>9781479974092</v>
      </c>
      <c r="C3915" s="8" t="s">
        <v>105</v>
      </c>
    </row>
    <row r="3916" spans="1:3" x14ac:dyDescent="0.25">
      <c r="A3916" s="8" t="str">
        <f>"2014 IEEE Conference on Electrical Insulation and Dielectric Phenomena, CEIDP 2014"</f>
        <v>2014 IEEE Conference on Electrical Insulation and Dielectric Phenomena, CEIDP 2014</v>
      </c>
      <c r="B3916" s="8" t="str">
        <f>"9781479975235"</f>
        <v>9781479975235</v>
      </c>
      <c r="C3916" s="8" t="s">
        <v>105</v>
      </c>
    </row>
    <row r="3917" spans="1:3" x14ac:dyDescent="0.25">
      <c r="A3917" s="8" t="str">
        <f>"2014 IEEE Conference on Energy Conversion, CENCON 2014"</f>
        <v>2014 IEEE Conference on Energy Conversion, CENCON 2014</v>
      </c>
      <c r="B3917" s="8" t="str">
        <f>"9781479948482"</f>
        <v>9781479948482</v>
      </c>
      <c r="C3917" s="8" t="s">
        <v>105</v>
      </c>
    </row>
    <row r="3918" spans="1:3" x14ac:dyDescent="0.25">
      <c r="A3918" s="8" t="str">
        <f>"2014 IEEE Conference on Evolving and Adaptive Intelligent Systems, EAIS 2014 - Conference Proceedings"</f>
        <v>2014 IEEE Conference on Evolving and Adaptive Intelligent Systems, EAIS 2014 - Conference Proceedings</v>
      </c>
      <c r="B3918" s="8" t="str">
        <f>"9781479933471"</f>
        <v>9781479933471</v>
      </c>
      <c r="C3918" s="8" t="s">
        <v>105</v>
      </c>
    </row>
    <row r="3919" spans="1:3" x14ac:dyDescent="0.25">
      <c r="A3919" s="8" t="str">
        <f>"2014 IEEE Conference on Norbert Wiener in the 21st Century: Driving Technology's Future, 21CW 2014 - Incorporating the Proceedings of the 2014 North American Fuzzy Information Processing Society Conference, NAFIPS 2014, Conference Proceedings"</f>
        <v>2014 IEEE Conference on Norbert Wiener in the 21st Century: Driving Technology's Future, 21CW 2014 - Incorporating the Proceedings of the 2014 North American Fuzzy Information Processing Society Conference, NAFIPS 2014, Conference Proceedings</v>
      </c>
      <c r="B3919" s="8" t="str">
        <f>"9781479945627"</f>
        <v>9781479945627</v>
      </c>
      <c r="C3919" s="8" t="s">
        <v>105</v>
      </c>
    </row>
    <row r="3920" spans="1:3" x14ac:dyDescent="0.25">
      <c r="A3920" s="8" t="str">
        <f>"2014 IEEE Conference on Technologies for Sustainability, SusTech 2014"</f>
        <v>2014 IEEE Conference on Technologies for Sustainability, SusTech 2014</v>
      </c>
      <c r="B3920" s="8" t="str">
        <f>"9781479952380"</f>
        <v>9781479952380</v>
      </c>
      <c r="C3920" s="8" t="s">
        <v>105</v>
      </c>
    </row>
    <row r="3921" spans="1:3" x14ac:dyDescent="0.25">
      <c r="A3921" s="8" t="str">
        <f>"2014 IEEE Conference on Visual Analytics Science and Technology, VAST 2014 - Proceedings"</f>
        <v>2014 IEEE Conference on Visual Analytics Science and Technology, VAST 2014 - Proceedings</v>
      </c>
      <c r="B3921" s="8" t="str">
        <f>"9781479962273"</f>
        <v>9781479962273</v>
      </c>
      <c r="C3921" s="8" t="s">
        <v>105</v>
      </c>
    </row>
    <row r="3922" spans="1:3" x14ac:dyDescent="0.25">
      <c r="A3922" s="8" t="str">
        <f>"2014 IEEE Dallas Circuits and Systems Conference: Enabling an Internet of Things - From Sensors to Servers, DCAS 2014"</f>
        <v>2014 IEEE Dallas Circuits and Systems Conference: Enabling an Internet of Things - From Sensors to Servers, DCAS 2014</v>
      </c>
      <c r="B3922" s="8" t="str">
        <f>"9781479959235"</f>
        <v>9781479959235</v>
      </c>
      <c r="C3922" s="8" t="s">
        <v>105</v>
      </c>
    </row>
    <row r="3923" spans="1:3" x14ac:dyDescent="0.25">
      <c r="A3923" s="8" t="str">
        <f>"2014 IEEE Electrical Design of Advanced Packaging and Systems Symposium, EDAPS 2014"</f>
        <v>2014 IEEE Electrical Design of Advanced Packaging and Systems Symposium, EDAPS 2014</v>
      </c>
      <c r="B3923" s="8" t="str">
        <f>"9781479962570"</f>
        <v>9781479962570</v>
      </c>
      <c r="C3923" s="8" t="s">
        <v>105</v>
      </c>
    </row>
    <row r="3924" spans="1:3" x14ac:dyDescent="0.25">
      <c r="A3924" s="8" t="str">
        <f>"2014 IEEE Energy Conversion Congress and Exposition, ECCE 2014"</f>
        <v>2014 IEEE Energy Conversion Congress and Exposition, ECCE 2014</v>
      </c>
      <c r="B3924" s="8" t="str">
        <f>"9781479956982"</f>
        <v>9781479956982</v>
      </c>
      <c r="C3924" s="8" t="s">
        <v>105</v>
      </c>
    </row>
    <row r="3925" spans="1:3" x14ac:dyDescent="0.25">
      <c r="A3925" s="8" t="str">
        <f>"2014 IEEE Global Communications Conference, GLOBECOM 2014"</f>
        <v>2014 IEEE Global Communications Conference, GLOBECOM 2014</v>
      </c>
      <c r="B3925" s="8" t="str">
        <f>"9781479935116"</f>
        <v>9781479935116</v>
      </c>
      <c r="C3925" s="8" t="s">
        <v>105</v>
      </c>
    </row>
    <row r="3926" spans="1:3" x14ac:dyDescent="0.25">
      <c r="A3926" s="8" t="str">
        <f>"2014 IEEE Global Conference on Signal and Information Processing, GlobalSIP 2014"</f>
        <v>2014 IEEE Global Conference on Signal and Information Processing, GlobalSIP 2014</v>
      </c>
      <c r="B3926" s="8" t="str">
        <f>"9781479970889"</f>
        <v>9781479970889</v>
      </c>
      <c r="C3926" s="8" t="s">
        <v>105</v>
      </c>
    </row>
    <row r="3927" spans="1:3" x14ac:dyDescent="0.25">
      <c r="A3927" s="8" t="str">
        <f>"2014 IEEE Global Humanitarian Technology Conference - South Asia Satellite, GHTC-SAS 2014"</f>
        <v>2014 IEEE Global Humanitarian Technology Conference - South Asia Satellite, GHTC-SAS 2014</v>
      </c>
      <c r="B3927" s="8" t="str">
        <f>"9781479940974"</f>
        <v>9781479940974</v>
      </c>
      <c r="C3927" s="8" t="s">
        <v>105</v>
      </c>
    </row>
    <row r="3928" spans="1:3" x14ac:dyDescent="0.25">
      <c r="A3928" s="8" t="str">
        <f>"2014 IEEE Globecom Workshops, GC Wkshps 2014"</f>
        <v>2014 IEEE Globecom Workshops, GC Wkshps 2014</v>
      </c>
      <c r="B3928" s="8" t="str">
        <f>"9781479974702"</f>
        <v>9781479974702</v>
      </c>
      <c r="C3928" s="8" t="s">
        <v>105</v>
      </c>
    </row>
    <row r="3929" spans="1:3" x14ac:dyDescent="0.25">
      <c r="A3929" s="8" t="str">
        <f>"2014 IEEE Green Energy and Systems Conference, IGESC 2014"</f>
        <v>2014 IEEE Green Energy and Systems Conference, IGESC 2014</v>
      </c>
      <c r="B3929" s="8" t="str">
        <f>"9781479973330"</f>
        <v>9781479973330</v>
      </c>
      <c r="C3929" s="8" t="s">
        <v>105</v>
      </c>
    </row>
    <row r="3930" spans="1:3" x14ac:dyDescent="0.25">
      <c r="A3930" s="8" t="str">
        <f>"2014 IEEE Healthcare Innovation Conference, HIC 2014"</f>
        <v>2014 IEEE Healthcare Innovation Conference, HIC 2014</v>
      </c>
      <c r="B3930" s="8" t="str">
        <f>"9781467363648"</f>
        <v>9781467363648</v>
      </c>
      <c r="C3930" s="8" t="s">
        <v>105</v>
      </c>
    </row>
    <row r="3931" spans="1:3" x14ac:dyDescent="0.25">
      <c r="A3931" s="8" t="str">
        <f>"2014 IEEE High Performance Extreme Computing Conference, HPEC 2014"</f>
        <v>2014 IEEE High Performance Extreme Computing Conference, HPEC 2014</v>
      </c>
      <c r="B3931" s="8" t="str">
        <f>"9781479962334"</f>
        <v>9781479962334</v>
      </c>
      <c r="C3931" s="8" t="s">
        <v>105</v>
      </c>
    </row>
    <row r="3932" spans="1:3" x14ac:dyDescent="0.25">
      <c r="A3932" s="8" t="str">
        <f>"2014 IEEE Industry Application Society Annual Meeting, IAS 2014"</f>
        <v>2014 IEEE Industry Application Society Annual Meeting, IAS 2014</v>
      </c>
      <c r="B3932" s="8" t="str">
        <f>"9781479922888"</f>
        <v>9781479922888</v>
      </c>
      <c r="C3932" s="8" t="s">
        <v>105</v>
      </c>
    </row>
    <row r="3933" spans="1:3" x14ac:dyDescent="0.25">
      <c r="A3933" s="8" t="str">
        <f>"2014 IEEE Information Theory Workshop, ITW 2014"</f>
        <v>2014 IEEE Information Theory Workshop, ITW 2014</v>
      </c>
      <c r="B3933" s="8" t="str">
        <f>"9781479959990"</f>
        <v>9781479959990</v>
      </c>
      <c r="C3933" s="8" t="s">
        <v>105</v>
      </c>
    </row>
    <row r="3934" spans="1:3" x14ac:dyDescent="0.25">
      <c r="A3934" s="8" t="str">
        <f>"2014 IEEE International Autumn Meeting on Power, Electronics and Computing, ROPEC 2014"</f>
        <v>2014 IEEE International Autumn Meeting on Power, Electronics and Computing, ROPEC 2014</v>
      </c>
      <c r="B3934" s="8" t="str">
        <f>"9781479956838"</f>
        <v>9781479956838</v>
      </c>
      <c r="C3934" s="8" t="s">
        <v>105</v>
      </c>
    </row>
    <row r="3935" spans="1:3" x14ac:dyDescent="0.25">
      <c r="A3935" s="8" t="str">
        <f>"2014 IEEE International Conference on Advanced Networks and Telecommunication Systems, ANTS 2014"</f>
        <v>2014 IEEE International Conference on Advanced Networks and Telecommunication Systems, ANTS 2014</v>
      </c>
      <c r="B3935" s="8" t="str">
        <f>"9781479958689"</f>
        <v>9781479958689</v>
      </c>
      <c r="C3935" s="8" t="s">
        <v>105</v>
      </c>
    </row>
    <row r="3936" spans="1:3" x14ac:dyDescent="0.25">
      <c r="A3936" s="8" t="str">
        <f>"2014 IEEE International Conference on Cloud Computing in Emerging Markets, CCEM 2014"</f>
        <v>2014 IEEE International Conference on Cloud Computing in Emerging Markets, CCEM 2014</v>
      </c>
      <c r="B3936" s="8" t="str">
        <f>"9781479961412"</f>
        <v>9781479961412</v>
      </c>
      <c r="C3936" s="8" t="s">
        <v>105</v>
      </c>
    </row>
    <row r="3937" spans="1:3" x14ac:dyDescent="0.25">
      <c r="A3937" s="8" t="str">
        <f>"2014 IEEE International Conference on Cluster Computing, CLUSTER 2014"</f>
        <v>2014 IEEE International Conference on Cluster Computing, CLUSTER 2014</v>
      </c>
      <c r="B3937" s="8" t="str">
        <f>"9781479955480"</f>
        <v>9781479955480</v>
      </c>
      <c r="C3937" s="8" t="s">
        <v>105</v>
      </c>
    </row>
    <row r="3938" spans="1:3" x14ac:dyDescent="0.25">
      <c r="A3938" s="8" t="str">
        <f>"2014 IEEE International Conference on Communication Problem-Solving, ICCP 2014"</f>
        <v>2014 IEEE International Conference on Communication Problem-Solving, ICCP 2014</v>
      </c>
      <c r="B3938" s="8" t="str">
        <f>"9781479942466"</f>
        <v>9781479942466</v>
      </c>
      <c r="C3938" s="8" t="s">
        <v>105</v>
      </c>
    </row>
    <row r="3939" spans="1:3" x14ac:dyDescent="0.25">
      <c r="A3939" s="8" t="str">
        <f>"2014 IEEE International Conference on Communication Systems, IEEE ICCS 2014"</f>
        <v>2014 IEEE International Conference on Communication Systems, IEEE ICCS 2014</v>
      </c>
      <c r="B3939" s="8" t="str">
        <f>"9781479958320"</f>
        <v>9781479958320</v>
      </c>
      <c r="C3939" s="8" t="s">
        <v>105</v>
      </c>
    </row>
    <row r="3940" spans="1:3" x14ac:dyDescent="0.25">
      <c r="A3940" s="8" t="str">
        <f>"2014 IEEE International Conference on Electron Devices and Solid-State Circuits, EDSSC 2014"</f>
        <v>2014 IEEE International Conference on Electron Devices and Solid-State Circuits, EDSSC 2014</v>
      </c>
      <c r="B3940" s="8" t="str">
        <f>"9781479923342"</f>
        <v>9781479923342</v>
      </c>
      <c r="C3940" s="8" t="s">
        <v>105</v>
      </c>
    </row>
    <row r="3941" spans="1:3" x14ac:dyDescent="0.25">
      <c r="A3941" s="8" t="str">
        <f>"2014 IEEE International Conference on Image Processing, ICIP 2014"</f>
        <v>2014 IEEE International Conference on Image Processing, ICIP 2014</v>
      </c>
      <c r="B3941" s="8" t="str">
        <f>"9781479957514"</f>
        <v>9781479957514</v>
      </c>
      <c r="C3941" s="8" t="s">
        <v>105</v>
      </c>
    </row>
    <row r="3942" spans="1:3" x14ac:dyDescent="0.25">
      <c r="A3942" s="8" t="str">
        <f>"2014 IEEE International Conference on Information and Automation, ICIA 2014"</f>
        <v>2014 IEEE International Conference on Information and Automation, ICIA 2014</v>
      </c>
      <c r="B3942" s="8" t="str">
        <f>"9781479941001"</f>
        <v>9781479941001</v>
      </c>
      <c r="C3942" s="8" t="s">
        <v>105</v>
      </c>
    </row>
    <row r="3943" spans="1:3" x14ac:dyDescent="0.25">
      <c r="A3943" s="8" t="str">
        <f>"2014 IEEE International Conference on Multimedia and Expo Workshops, ICMEW 2014"</f>
        <v>2014 IEEE International Conference on Multimedia and Expo Workshops, ICMEW 2014</v>
      </c>
      <c r="B3943" s="8" t="str">
        <f>"9781479947171"</f>
        <v>9781479947171</v>
      </c>
      <c r="C3943" s="8" t="s">
        <v>105</v>
      </c>
    </row>
    <row r="3944" spans="1:3" x14ac:dyDescent="0.25">
      <c r="A3944" s="8" t="str">
        <f>"2014 IEEE International Conference on Pervasive Computing and Communication Workshops, PERCOM WORKSHOPS 2014"</f>
        <v>2014 IEEE International Conference on Pervasive Computing and Communication Workshops, PERCOM WORKSHOPS 2014</v>
      </c>
      <c r="B3944" s="8" t="str">
        <f>"9781479927364"</f>
        <v>9781479927364</v>
      </c>
      <c r="C3944" s="8" t="s">
        <v>9</v>
      </c>
    </row>
    <row r="3945" spans="1:3" x14ac:dyDescent="0.25">
      <c r="A3945" s="8" t="str">
        <f>"2014 IEEE International Conference on Pervasive Computing and Communications, PerCom 2014"</f>
        <v>2014 IEEE International Conference on Pervasive Computing and Communications, PerCom 2014</v>
      </c>
      <c r="B3945" s="8" t="str">
        <f>"9781479934454"</f>
        <v>9781479934454</v>
      </c>
      <c r="C3945" s="8" t="s">
        <v>9</v>
      </c>
    </row>
    <row r="3946" spans="1:3" x14ac:dyDescent="0.25">
      <c r="A3946" s="8" t="str">
        <f>"2014 IEEE International Conference on Power Electronics, Drives and Energy Systems, PEDES 2014"</f>
        <v>2014 IEEE International Conference on Power Electronics, Drives and Energy Systems, PEDES 2014</v>
      </c>
      <c r="B3946" s="8" t="str">
        <f>"9781479963737"</f>
        <v>9781479963737</v>
      </c>
      <c r="C3946" s="8" t="s">
        <v>105</v>
      </c>
    </row>
    <row r="3947" spans="1:3" x14ac:dyDescent="0.25">
      <c r="A3947" s="8" t="str">
        <f>"2014 IEEE International Conference on RFID, IEEE RFID 2014"</f>
        <v>2014 IEEE International Conference on RFID, IEEE RFID 2014</v>
      </c>
      <c r="B3947" s="8" t="str">
        <f>"9781479935871"</f>
        <v>9781479935871</v>
      </c>
      <c r="C3947" s="8" t="s">
        <v>9</v>
      </c>
    </row>
    <row r="3948" spans="1:3" x14ac:dyDescent="0.25">
      <c r="A3948" s="8" t="str">
        <f>"2014 IEEE International Conference on Robotics and Biomimetics, IEEE ROBIO 2014"</f>
        <v>2014 IEEE International Conference on Robotics and Biomimetics, IEEE ROBIO 2014</v>
      </c>
      <c r="B3948" s="8" t="str">
        <f>"9781479973965"</f>
        <v>9781479973965</v>
      </c>
      <c r="C3948" s="8" t="s">
        <v>105</v>
      </c>
    </row>
    <row r="3949" spans="1:3" x14ac:dyDescent="0.25">
      <c r="A3949" s="8" t="str">
        <f>"2014 IEEE International Conference on Signal Processing, Communications and Computing, ICSPCC 2014"</f>
        <v>2014 IEEE International Conference on Signal Processing, Communications and Computing, ICSPCC 2014</v>
      </c>
      <c r="B3949" s="8" t="str">
        <f>"9781479952748"</f>
        <v>9781479952748</v>
      </c>
      <c r="C3949" s="8" t="s">
        <v>105</v>
      </c>
    </row>
    <row r="3950" spans="1:3" x14ac:dyDescent="0.25">
      <c r="A3950" s="8" t="str">
        <f>"2014 IEEE International Conference on Smart Grid Communications, SmartGridComm 2014"</f>
        <v>2014 IEEE International Conference on Smart Grid Communications, SmartGridComm 2014</v>
      </c>
      <c r="B3950" s="8" t="str">
        <f>"9781479949342"</f>
        <v>9781479949342</v>
      </c>
      <c r="C3950" s="8" t="s">
        <v>105</v>
      </c>
    </row>
    <row r="3951" spans="1:3" x14ac:dyDescent="0.25">
      <c r="A3951" s="8" t="str">
        <f>"2014 IEEE International Conference on Smart Instrumentation, Measurement and Applications, ICSIMA 2014"</f>
        <v>2014 IEEE International Conference on Smart Instrumentation, Measurement and Applications, ICSIMA 2014</v>
      </c>
      <c r="B3951" s="8" t="str">
        <f>"9781479980413"</f>
        <v>9781479980413</v>
      </c>
      <c r="C3951" s="8" t="s">
        <v>105</v>
      </c>
    </row>
    <row r="3952" spans="1:3" x14ac:dyDescent="0.25">
      <c r="A3952" s="8" t="s">
        <v>1384</v>
      </c>
      <c r="B3952" s="8" t="str">
        <f>"9781479965069"</f>
        <v>9781479965069</v>
      </c>
      <c r="C3952" s="8" t="s">
        <v>105</v>
      </c>
    </row>
    <row r="3953" spans="1:3" x14ac:dyDescent="0.25">
      <c r="A3953" s="8" t="str">
        <f>"2014 IEEE International Conference on Vehicular Electronics and Safety, ICVES 2014"</f>
        <v>2014 IEEE International Conference on Vehicular Electronics and Safety, ICVES 2014</v>
      </c>
      <c r="B3953" s="8" t="str">
        <f>"9781479918829"</f>
        <v>9781479918829</v>
      </c>
      <c r="C3953" s="8" t="s">
        <v>105</v>
      </c>
    </row>
    <row r="3954" spans="1:3" x14ac:dyDescent="0.25">
      <c r="A3954" s="8" t="str">
        <f>"2014 IEEE International Electric Vehicle Conference, IEVC 2014"</f>
        <v>2014 IEEE International Electric Vehicle Conference, IEVC 2014</v>
      </c>
      <c r="B3954" s="8" t="str">
        <f>"9781479960750"</f>
        <v>9781479960750</v>
      </c>
      <c r="C3954" s="8" t="s">
        <v>105</v>
      </c>
    </row>
    <row r="3955" spans="1:3" x14ac:dyDescent="0.25">
      <c r="A3955" s="8" t="str">
        <f>"2014 IEEE International Inter-Disciplinary Conference on Cognitive Methods in Situation Awareness and Decision Support, CogSIMA 2014"</f>
        <v>2014 IEEE International Inter-Disciplinary Conference on Cognitive Methods in Situation Awareness and Decision Support, CogSIMA 2014</v>
      </c>
      <c r="B3955" s="8" t="str">
        <f>"9781479935642"</f>
        <v>9781479935642</v>
      </c>
      <c r="C3955" s="8" t="s">
        <v>9</v>
      </c>
    </row>
    <row r="3956" spans="1:3" x14ac:dyDescent="0.25">
      <c r="A3956" s="8" t="str">
        <f>"2014 IEEE International Symposium on Ethics in Science, Technology and Engineering, ETHICS 2014"</f>
        <v>2014 IEEE International Symposium on Ethics in Science, Technology and Engineering, ETHICS 2014</v>
      </c>
      <c r="B3956" s="8" t="str">
        <f>"9781479949922"</f>
        <v>9781479949922</v>
      </c>
      <c r="C3956" s="8" t="s">
        <v>105</v>
      </c>
    </row>
    <row r="3957" spans="1:3" x14ac:dyDescent="0.25">
      <c r="A3957" s="8" t="str">
        <f>"2014 IEEE International Symposium on Haptic, Audio and Visual Environments and Games, HAVE 2014 - Proceedings"</f>
        <v>2014 IEEE International Symposium on Haptic, Audio and Visual Environments and Games, HAVE 2014 - Proceedings</v>
      </c>
      <c r="B3957" s="8" t="str">
        <f>"9781479959631"</f>
        <v>9781479959631</v>
      </c>
      <c r="C3957" s="8" t="s">
        <v>105</v>
      </c>
    </row>
    <row r="3958" spans="1:3" x14ac:dyDescent="0.25">
      <c r="A3958" s="8" t="str">
        <f>"2014 IEEE International Symposium on Intelligent Control, ISIC 2014"</f>
        <v>2014 IEEE International Symposium on Intelligent Control, ISIC 2014</v>
      </c>
      <c r="B3958" s="8" t="str">
        <f>"9781479974061"</f>
        <v>9781479974061</v>
      </c>
      <c r="C3958" s="8" t="s">
        <v>105</v>
      </c>
    </row>
    <row r="3959" spans="1:3" x14ac:dyDescent="0.25">
      <c r="A3959" s="8" t="str">
        <f>"2014 IEEE International Technology Management Conference, ITMC 2014"</f>
        <v>2014 IEEE International Technology Management Conference, ITMC 2014</v>
      </c>
      <c r="B3959" s="8" t="str">
        <f>"9781479933129"</f>
        <v>9781479933129</v>
      </c>
      <c r="C3959" s="8" t="s">
        <v>105</v>
      </c>
    </row>
    <row r="3960" spans="1:3" x14ac:dyDescent="0.25">
      <c r="A3960" s="8" t="str">
        <f>"2014 IEEE International Workshop on Applied Measurements for Power Systems, AMPS 2014 - Proceedings"</f>
        <v>2014 IEEE International Workshop on Applied Measurements for Power Systems, AMPS 2014 - Proceedings</v>
      </c>
      <c r="B3960" s="8" t="str">
        <f>"9781479968237"</f>
        <v>9781479968237</v>
      </c>
      <c r="C3960" s="8" t="s">
        <v>105</v>
      </c>
    </row>
    <row r="3961" spans="1:3" x14ac:dyDescent="0.25">
      <c r="A3961" s="8" t="str">
        <f>"2014 IEEE International Workshop on Information Forensics and Security, WIFS 2014"</f>
        <v>2014 IEEE International Workshop on Information Forensics and Security, WIFS 2014</v>
      </c>
      <c r="B3961" s="8" t="str">
        <f>"9781479988822"</f>
        <v>9781479988822</v>
      </c>
      <c r="C3961" s="8" t="s">
        <v>105</v>
      </c>
    </row>
    <row r="3962" spans="1:3" x14ac:dyDescent="0.25">
      <c r="A3962" s="8" t="str">
        <f>"2014 IEEE International Workshop on Multimedia Signal Processing, MMSP 2014"</f>
        <v>2014 IEEE International Workshop on Multimedia Signal Processing, MMSP 2014</v>
      </c>
      <c r="B3962" s="8" t="str">
        <f>"9781479958962"</f>
        <v>9781479958962</v>
      </c>
      <c r="C3962" s="8" t="s">
        <v>105</v>
      </c>
    </row>
    <row r="3963" spans="1:3" x14ac:dyDescent="0.25">
      <c r="A3963" s="8" t="str">
        <f>"2014 IEEE Latin-America Conference on Communications, IEEE LATINCOM 2014"</f>
        <v>2014 IEEE Latin-America Conference on Communications, IEEE LATINCOM 2014</v>
      </c>
      <c r="B3963" s="8" t="str">
        <f>"9781479971626"</f>
        <v>9781479971626</v>
      </c>
      <c r="C3963" s="8" t="s">
        <v>105</v>
      </c>
    </row>
    <row r="3964" spans="1:3" x14ac:dyDescent="0.25">
      <c r="A3964" s="8" t="str">
        <f>"2014 IEEE Microwaves, Radar and Remote Sensing Symposium, MRRS 2014 - Proceedings"</f>
        <v>2014 IEEE Microwaves, Radar and Remote Sensing Symposium, MRRS 2014 - Proceedings</v>
      </c>
      <c r="B3964" s="8" t="str">
        <f>"9781479960736"</f>
        <v>9781479960736</v>
      </c>
      <c r="C3964" s="8" t="s">
        <v>105</v>
      </c>
    </row>
    <row r="3965" spans="1:3" x14ac:dyDescent="0.25">
      <c r="A3965" s="8" t="str">
        <f>"2014 IEEE National Conference on Communication, Signal Processing and Networking, NCCSN 2014"</f>
        <v>2014 IEEE National Conference on Communication, Signal Processing and Networking, NCCSN 2014</v>
      </c>
      <c r="B3965" s="8" t="str">
        <f>"9781479966462"</f>
        <v>9781479966462</v>
      </c>
      <c r="C3965" s="8" t="s">
        <v>105</v>
      </c>
    </row>
    <row r="3966" spans="1:3" x14ac:dyDescent="0.25">
      <c r="A3966" s="8" t="str">
        <f>"2014 IEEE Non-Volatile Memory Systems and Applications Symposium, NVMSA 2014"</f>
        <v>2014 IEEE Non-Volatile Memory Systems and Applications Symposium, NVMSA 2014</v>
      </c>
      <c r="B3966" s="8" t="str">
        <f>"9781479955763"</f>
        <v>9781479955763</v>
      </c>
      <c r="C3966" s="8" t="s">
        <v>105</v>
      </c>
    </row>
    <row r="3967" spans="1:3" x14ac:dyDescent="0.25">
      <c r="A3967" s="8" t="str">
        <f>"2014 IEEE Online Conference on Green Communications, OnlineGreenComm 2014"</f>
        <v>2014 IEEE Online Conference on Green Communications, OnlineGreenComm 2014</v>
      </c>
      <c r="B3967" s="8" t="str">
        <f>"9781479973842"</f>
        <v>9781479973842</v>
      </c>
      <c r="C3967" s="8" t="s">
        <v>105</v>
      </c>
    </row>
    <row r="3968" spans="1:3" x14ac:dyDescent="0.25">
      <c r="A3968" s="8" t="str">
        <f>"2014 IEEE PES Transmission and Distribution Conference and Exposition, PES T and D-LA 2014 - Conference Proceedings"</f>
        <v>2014 IEEE PES Transmission and Distribution Conference and Exposition, PES T and D-LA 2014 - Conference Proceedings</v>
      </c>
      <c r="B3968" s="8" t="str">
        <f>"9781479962501"</f>
        <v>9781479962501</v>
      </c>
      <c r="C3968" s="8" t="s">
        <v>105</v>
      </c>
    </row>
    <row r="3969" spans="1:3" x14ac:dyDescent="0.25">
      <c r="A3969" s="8" t="str">
        <f>"2014 IEEE Petroleum and Chemical Industry Conference - Brasil, PCIC Brasil 2014"</f>
        <v>2014 IEEE Petroleum and Chemical Industry Conference - Brasil, PCIC Brasil 2014</v>
      </c>
      <c r="B3969" s="8" t="str">
        <f>"9781479966615"</f>
        <v>9781479966615</v>
      </c>
      <c r="C3969" s="8" t="s">
        <v>105</v>
      </c>
    </row>
    <row r="3970" spans="1:3" x14ac:dyDescent="0.25">
      <c r="A3970" s="8" t="str">
        <f>"2014 IEEE Photonics Conference, IPC 2014"</f>
        <v>2014 IEEE Photonics Conference, IPC 2014</v>
      </c>
      <c r="B3970" s="8" t="str">
        <f>"9781457715044"</f>
        <v>9781457715044</v>
      </c>
      <c r="C3970" s="8" t="s">
        <v>105</v>
      </c>
    </row>
    <row r="3971" spans="1:3" x14ac:dyDescent="0.25">
      <c r="A3971" s="8" t="str">
        <f>"2014 IEEE Power and Energy Conference at Illinois, PECI 2014"</f>
        <v>2014 IEEE Power and Energy Conference at Illinois, PECI 2014</v>
      </c>
      <c r="B3971" s="8" t="str">
        <f>"9781479948819"</f>
        <v>9781479948819</v>
      </c>
      <c r="C3971" s="8" t="s">
        <v>9</v>
      </c>
    </row>
    <row r="3972" spans="1:3" x14ac:dyDescent="0.25">
      <c r="A3972" s="8" t="str">
        <f>"2014 IEEE RFID Technology and Applications Conference, RFID-TA 2014"</f>
        <v>2014 IEEE RFID Technology and Applications Conference, RFID-TA 2014</v>
      </c>
      <c r="B3972" s="8" t="str">
        <f>"9781479946808"</f>
        <v>9781479946808</v>
      </c>
      <c r="C3972" s="8" t="s">
        <v>105</v>
      </c>
    </row>
    <row r="3973" spans="1:3" x14ac:dyDescent="0.25">
      <c r="A3973" s="8" t="str">
        <f>"2014 IEEE Sensor Systems for a Changing Ocean, SSCO 2014"</f>
        <v>2014 IEEE Sensor Systems for a Changing Ocean, SSCO 2014</v>
      </c>
      <c r="B3973" s="8" t="str">
        <f>"9781479959488"</f>
        <v>9781479959488</v>
      </c>
      <c r="C3973" s="8" t="s">
        <v>105</v>
      </c>
    </row>
    <row r="3974" spans="1:3" x14ac:dyDescent="0.25">
      <c r="A3974" s="8" t="str">
        <f>"2014 IEEE Sensors Applications Symposium, SAS 2014 - Proceedings"</f>
        <v>2014 IEEE Sensors Applications Symposium, SAS 2014 - Proceedings</v>
      </c>
      <c r="B3974" s="8" t="str">
        <f>"9781479921805"</f>
        <v>9781479921805</v>
      </c>
      <c r="C3974" s="8" t="s">
        <v>9</v>
      </c>
    </row>
    <row r="3975" spans="1:3" x14ac:dyDescent="0.25">
      <c r="A3975" s="8" t="str">
        <f>"2014 IEEE Signal Processing in Medicine and Biology Symposium, IEEE SPMB 2014 - Proceedings"</f>
        <v>2014 IEEE Signal Processing in Medicine and Biology Symposium, IEEE SPMB 2014 - Proceedings</v>
      </c>
      <c r="B3975" s="8" t="str">
        <f>"9781479981847"</f>
        <v>9781479981847</v>
      </c>
      <c r="C3975" s="8" t="s">
        <v>105</v>
      </c>
    </row>
    <row r="3976" spans="1:3" x14ac:dyDescent="0.25">
      <c r="A3976" s="8" t="str">
        <f>"2014 IEEE Student Conference on Research and Development, SCOReD 2014"</f>
        <v>2014 IEEE Student Conference on Research and Development, SCOReD 2014</v>
      </c>
      <c r="B3976" s="8" t="str">
        <f>"9781479964284"</f>
        <v>9781479964284</v>
      </c>
      <c r="C3976" s="8" t="s">
        <v>105</v>
      </c>
    </row>
    <row r="3977" spans="1:3" x14ac:dyDescent="0.25">
      <c r="A3977" s="8" t="str">
        <f>"2014 IEEE Students' Conference on Electrical, Electronics and Computer Science, SCEECS 2014"</f>
        <v>2014 IEEE Students' Conference on Electrical, Electronics and Computer Science, SCEECS 2014</v>
      </c>
      <c r="B3977" s="8" t="str">
        <f>"9781479925261"</f>
        <v>9781479925261</v>
      </c>
      <c r="C3977" s="8" t="s">
        <v>9</v>
      </c>
    </row>
    <row r="3978" spans="1:3" x14ac:dyDescent="0.25">
      <c r="A3978" s="8" t="str">
        <f>"2014 IEEE Transportation Electrification Conference and Expo: Components, Systems, and Power Electronics - From Technology to Business and Public Policy, ITEC 2014"</f>
        <v>2014 IEEE Transportation Electrification Conference and Expo: Components, Systems, and Power Electronics - From Technology to Business and Public Policy, ITEC 2014</v>
      </c>
      <c r="B3978" s="8" t="str">
        <f>"9781479922628"</f>
        <v>9781479922628</v>
      </c>
      <c r="C3978" s="8" t="s">
        <v>105</v>
      </c>
    </row>
    <row r="3979" spans="1:3" x14ac:dyDescent="0.25">
      <c r="A3979" s="8" t="str">
        <f>"2014 IEEE Vehicle Power and Propulsion Conference, VPPC 2014"</f>
        <v>2014 IEEE Vehicle Power and Propulsion Conference, VPPC 2014</v>
      </c>
      <c r="B3979" s="8" t="str">
        <f>"9781479967834"</f>
        <v>9781479967834</v>
      </c>
      <c r="C3979" s="8" t="s">
        <v>105</v>
      </c>
    </row>
    <row r="3980" spans="1:3" x14ac:dyDescent="0.25">
      <c r="A3980" s="8" t="str">
        <f>"2014 IEEE Visual Communications and Image Processing Conference, VCIP 2014"</f>
        <v>2014 IEEE Visual Communications and Image Processing Conference, VCIP 2014</v>
      </c>
      <c r="B3980" s="8" t="str">
        <f>"9781479961399"</f>
        <v>9781479961399</v>
      </c>
      <c r="C3980" s="8" t="s">
        <v>105</v>
      </c>
    </row>
    <row r="3981" spans="1:3" x14ac:dyDescent="0.25">
      <c r="A3981" s="8" t="str">
        <f>"2014 IEEE VR Workshop: Sonic Interaction in Virtual Environments, SIVE 2014"</f>
        <v>2014 IEEE VR Workshop: Sonic Interaction in Virtual Environments, SIVE 2014</v>
      </c>
      <c r="B3981" s="8" t="str">
        <f>"9781479957811"</f>
        <v>9781479957811</v>
      </c>
      <c r="C3981" s="8" t="s">
        <v>105</v>
      </c>
    </row>
    <row r="3982" spans="1:3" x14ac:dyDescent="0.25">
      <c r="A3982" s="8" t="str">
        <f>"2014 IEEE Western New York Image and Signal Processing Workshop, WNYISPW 2014 - Proceedings"</f>
        <v>2014 IEEE Western New York Image and Signal Processing Workshop, WNYISPW 2014 - Proceedings</v>
      </c>
      <c r="B3982" s="8" t="str">
        <f>"9781479930265"</f>
        <v>9781479930265</v>
      </c>
      <c r="C3982" s="8" t="s">
        <v>105</v>
      </c>
    </row>
    <row r="3983" spans="1:3" x14ac:dyDescent="0.25">
      <c r="A3983" s="8" t="str">
        <f>"2014 IEEE Wireless Communications and Networking Conference Workshops, WCNCW 2014"</f>
        <v>2014 IEEE Wireless Communications and Networking Conference Workshops, WCNCW 2014</v>
      </c>
      <c r="B3983" s="8" t="str">
        <f>"9781479930869"</f>
        <v>9781479930869</v>
      </c>
      <c r="C3983" s="8" t="s">
        <v>105</v>
      </c>
    </row>
    <row r="3984" spans="1:3" x14ac:dyDescent="0.25">
      <c r="A3984" s="8" t="str">
        <f>"2014 IEEE Workshop on Spoken Language Technology, SLT 2014 - Proceedings"</f>
        <v>2014 IEEE Workshop on Spoken Language Technology, SLT 2014 - Proceedings</v>
      </c>
      <c r="B3984" s="8" t="str">
        <f>"9781479971299"</f>
        <v>9781479971299</v>
      </c>
      <c r="C3984" s="8" t="s">
        <v>105</v>
      </c>
    </row>
    <row r="3985" spans="1:3" x14ac:dyDescent="0.25">
      <c r="A3985" s="8" t="str">
        <f>"2014 IEEE World Forum on Internet of Things, WF-IoT 2014"</f>
        <v>2014 IEEE World Forum on Internet of Things, WF-IoT 2014</v>
      </c>
      <c r="B3985" s="8" t="str">
        <f>"9781479934591"</f>
        <v>9781479934591</v>
      </c>
      <c r="C3985" s="8" t="s">
        <v>9</v>
      </c>
    </row>
    <row r="3986" spans="1:3" x14ac:dyDescent="0.25">
      <c r="A3986" s="8" t="str">
        <f>"2014 IEEE/ACIS 13th International Conference on Computer and Information Science, ICIS 2014 - Proceedings"</f>
        <v>2014 IEEE/ACIS 13th International Conference on Computer and Information Science, ICIS 2014 - Proceedings</v>
      </c>
      <c r="B3986" s="8" t="str">
        <f>"9781479948604"</f>
        <v>9781479948604</v>
      </c>
      <c r="C3986" s="8" t="s">
        <v>105</v>
      </c>
    </row>
    <row r="3987" spans="1:3" x14ac:dyDescent="0.25">
      <c r="A3987" s="8" t="str">
        <f>"2014 IEEE/ACIS 15th International Conference on Software Engineering, Artificial Intelligence, Networking and Parallel/Distributed Computing, SNPD 2014 - Proceedings"</f>
        <v>2014 IEEE/ACIS 15th International Conference on Software Engineering, Artificial Intelligence, Networking and Parallel/Distributed Computing, SNPD 2014 - Proceedings</v>
      </c>
      <c r="B3987" s="8" t="str">
        <f>"9781479956043"</f>
        <v>9781479956043</v>
      </c>
      <c r="C3987" s="8" t="s">
        <v>105</v>
      </c>
    </row>
    <row r="3988" spans="1:3" x14ac:dyDescent="0.25">
      <c r="A3988" s="8" t="str">
        <f>"2014 IEEE/CIC International Conference on Communications in China, ICCC 2014"</f>
        <v>2014 IEEE/CIC International Conference on Communications in China, ICCC 2014</v>
      </c>
      <c r="B3988" s="8" t="str">
        <f>"9781479941469"</f>
        <v>9781479941469</v>
      </c>
      <c r="C3988" s="8" t="s">
        <v>105</v>
      </c>
    </row>
    <row r="3989" spans="1:3" x14ac:dyDescent="0.25">
      <c r="A3989" s="8" t="str">
        <f>"2014 IEEE/OES Autonomous Underwater Vehicles, AUV 2014"</f>
        <v>2014 IEEE/OES Autonomous Underwater Vehicles, AUV 2014</v>
      </c>
      <c r="B3989" s="8" t="str">
        <f>"9781479943449"</f>
        <v>9781479943449</v>
      </c>
      <c r="C3989" s="8" t="s">
        <v>105</v>
      </c>
    </row>
    <row r="3990" spans="1:3" x14ac:dyDescent="0.25">
      <c r="A3990" s="8" t="str">
        <f>"2014 IEEE/SICE International Symposium on System Integration, SII 2014"</f>
        <v>2014 IEEE/SICE International Symposium on System Integration, SII 2014</v>
      </c>
      <c r="B3990" s="8" t="str">
        <f>"9781479969449"</f>
        <v>9781479969449</v>
      </c>
      <c r="C3990" s="8" t="s">
        <v>105</v>
      </c>
    </row>
    <row r="3991" spans="1:3" x14ac:dyDescent="0.25">
      <c r="A3991" s="8" t="str">
        <f>"2014 Information Security for South Africa - Proceedings of the ISSA 2014 Conference"</f>
        <v>2014 Information Security for South Africa - Proceedings of the ISSA 2014 Conference</v>
      </c>
      <c r="B3991" s="8" t="str">
        <f>"9781479933846"</f>
        <v>9781479933846</v>
      </c>
      <c r="C3991" s="8" t="s">
        <v>105</v>
      </c>
    </row>
    <row r="3992" spans="1:3" x14ac:dyDescent="0.25">
      <c r="A3992" s="8" t="str">
        <f>"2014 Information Theory and Applications Workshop, ITA 2014 - Conference Proceedings"</f>
        <v>2014 Information Theory and Applications Workshop, ITA 2014 - Conference Proceedings</v>
      </c>
      <c r="B3992" s="8" t="str">
        <f>"9781479935895"</f>
        <v>9781479935895</v>
      </c>
      <c r="C3992" s="8" t="s">
        <v>9</v>
      </c>
    </row>
    <row r="3993" spans="1:3" x14ac:dyDescent="0.25">
      <c r="A3993" s="8" t="str">
        <f>"2014 International Annual Conference of the American Society for Engineering Management - Entrepreneurship Engineering: Harnessing Innovation, ASEM 2014"</f>
        <v>2014 International Annual Conference of the American Society for Engineering Management - Entrepreneurship Engineering: Harnessing Innovation, ASEM 2014</v>
      </c>
      <c r="B3993" s="8" t="str">
        <f>"-"</f>
        <v>-</v>
      </c>
      <c r="C3993" s="8" t="s">
        <v>1385</v>
      </c>
    </row>
    <row r="3994" spans="1:3" x14ac:dyDescent="0.25">
      <c r="A3994" s="8" t="str">
        <f>"2014 International Caribbean Conference on Devices, Circuits and Systems, ICCDCS 2014 - Conference Proceedings"</f>
        <v>2014 International Caribbean Conference on Devices, Circuits and Systems, ICCDCS 2014 - Conference Proceedings</v>
      </c>
      <c r="B3994" s="8" t="str">
        <f>"9781479946839"</f>
        <v>9781479946839</v>
      </c>
      <c r="C3994" s="8" t="s">
        <v>105</v>
      </c>
    </row>
    <row r="3995" spans="1:3" x14ac:dyDescent="0.25">
      <c r="A3995" s="8" t="str">
        <f>"2014 International Computer Science and Engineering Conference, ICSEC 2014"</f>
        <v>2014 International Computer Science and Engineering Conference, ICSEC 2014</v>
      </c>
      <c r="B3995" s="8" t="str">
        <f>"9781479949632"</f>
        <v>9781479949632</v>
      </c>
      <c r="C3995" s="8" t="s">
        <v>105</v>
      </c>
    </row>
    <row r="3996" spans="1:3" x14ac:dyDescent="0.25">
      <c r="A3996" s="8" t="str">
        <f>"2014 International Conference for Convergence of Technology, I2CT 2014"</f>
        <v>2014 International Conference for Convergence of Technology, I2CT 2014</v>
      </c>
      <c r="B3996" s="8" t="str">
        <f>"9781479937592"</f>
        <v>9781479937592</v>
      </c>
      <c r="C3996" s="8" t="s">
        <v>105</v>
      </c>
    </row>
    <row r="3997" spans="1:3" x14ac:dyDescent="0.25">
      <c r="A3997" s="8" t="str">
        <f>"2014 International Conference on 3D Imaging, IC3D 2014 - Proceedings"</f>
        <v>2014 International Conference on 3D Imaging, IC3D 2014 - Proceedings</v>
      </c>
      <c r="B3997" s="8" t="str">
        <f>"9781479980239"</f>
        <v>9781479980239</v>
      </c>
      <c r="C3997" s="8" t="s">
        <v>105</v>
      </c>
    </row>
    <row r="3998" spans="1:3" x14ac:dyDescent="0.25">
      <c r="A3998" s="8" t="str">
        <f>"2014 International Conference on Advances in Electronics, Computers and Communications, ICAECC 2014"</f>
        <v>2014 International Conference on Advances in Electronics, Computers and Communications, ICAECC 2014</v>
      </c>
      <c r="B3998" s="8" t="str">
        <f>"9781479954964"</f>
        <v>9781479954964</v>
      </c>
      <c r="C3998" s="8" t="s">
        <v>105</v>
      </c>
    </row>
    <row r="3999" spans="1:3" x14ac:dyDescent="0.25">
      <c r="A3999" s="8" t="str">
        <f>"2014 International Conference on Advances in Engineering and Technology Research, ICAETR 2014"</f>
        <v>2014 International Conference on Advances in Engineering and Technology Research, ICAETR 2014</v>
      </c>
      <c r="B3999" s="8" t="str">
        <f>"9781479963935"</f>
        <v>9781479963935</v>
      </c>
      <c r="C3999" s="8" t="s">
        <v>105</v>
      </c>
    </row>
    <row r="4000" spans="1:3" x14ac:dyDescent="0.25">
      <c r="A4000" s="8" t="str">
        <f>"2014 International Conference on Advances in Engineering and Technology, ICAET 2014"</f>
        <v>2014 International Conference on Advances in Engineering and Technology, ICAET 2014</v>
      </c>
      <c r="B4000" s="8" t="str">
        <f>"9781479949496"</f>
        <v>9781479949496</v>
      </c>
      <c r="C4000" s="8" t="s">
        <v>105</v>
      </c>
    </row>
    <row r="4001" spans="1:3" x14ac:dyDescent="0.25">
      <c r="A4001" s="8" t="str">
        <f>"2014 International Conference on Advances in Green Energy, ICAGE 2014"</f>
        <v>2014 International Conference on Advances in Green Energy, ICAGE 2014</v>
      </c>
      <c r="B4001" s="8" t="str">
        <f>"9781479980505"</f>
        <v>9781479980505</v>
      </c>
      <c r="C4001" s="8" t="s">
        <v>105</v>
      </c>
    </row>
    <row r="4002" spans="1:3" x14ac:dyDescent="0.25">
      <c r="A4002" s="8" t="str">
        <f>"2014 International Conference on Applied and Theoretical Electricity, ICATE 2014 - Proceedings"</f>
        <v>2014 International Conference on Applied and Theoretical Electricity, ICATE 2014 - Proceedings</v>
      </c>
      <c r="B4002" s="8" t="str">
        <f>"9781479941612"</f>
        <v>9781479941612</v>
      </c>
      <c r="C4002" s="8" t="s">
        <v>105</v>
      </c>
    </row>
    <row r="4003" spans="1:3" x14ac:dyDescent="0.25">
      <c r="A4003" s="8" t="str">
        <f>"2014 International Conference on Big Data and Smart Computing, BIGCOMP 2014"</f>
        <v>2014 International Conference on Big Data and Smart Computing, BIGCOMP 2014</v>
      </c>
      <c r="B4003" s="8" t="str">
        <f>"9781479939190"</f>
        <v>9781479939190</v>
      </c>
      <c r="C4003" s="8" t="s">
        <v>9</v>
      </c>
    </row>
    <row r="4004" spans="1:3" x14ac:dyDescent="0.25">
      <c r="A4004" s="8" t="str">
        <f>"2014 International Conference on Circuits, Power and Computing Technologies, ICCPCT 2014"</f>
        <v>2014 International Conference on Circuits, Power and Computing Technologies, ICCPCT 2014</v>
      </c>
      <c r="B4004" s="8" t="str">
        <f>"9781479923977"</f>
        <v>9781479923977</v>
      </c>
      <c r="C4004" s="8" t="s">
        <v>105</v>
      </c>
    </row>
    <row r="4005" spans="1:3" x14ac:dyDescent="0.25">
      <c r="A4005" s="8" t="str">
        <f>"2014 International Conference on Communication and Network Technologies, ICCNT 2014"</f>
        <v>2014 International Conference on Communication and Network Technologies, ICCNT 2014</v>
      </c>
      <c r="B4005" s="8" t="str">
        <f>"9781479962662"</f>
        <v>9781479962662</v>
      </c>
      <c r="C4005" s="8" t="s">
        <v>105</v>
      </c>
    </row>
    <row r="4006" spans="1:3" x14ac:dyDescent="0.25">
      <c r="A4006" s="8" t="str">
        <f>"2014 International Conference on Compilers, Architecture and Synthesis for Embedded Systems, CASES 2014"</f>
        <v>2014 International Conference on Compilers, Architecture and Synthesis for Embedded Systems, CASES 2014</v>
      </c>
      <c r="B4006" s="8" t="str">
        <f>"9781450330503"</f>
        <v>9781450330503</v>
      </c>
      <c r="C4006" s="8" t="s">
        <v>1235</v>
      </c>
    </row>
    <row r="4007" spans="1:3" x14ac:dyDescent="0.25">
      <c r="A4007" s="8" t="str">
        <f>"2014 International Conference on Computation of Power, Energy, Information and Communication, ICCPEIC 2014"</f>
        <v>2014 International Conference on Computation of Power, Energy, Information and Communication, ICCPEIC 2014</v>
      </c>
      <c r="B4007" s="8" t="str">
        <f>"9781479938278"</f>
        <v>9781479938278</v>
      </c>
      <c r="C4007" s="8" t="s">
        <v>105</v>
      </c>
    </row>
    <row r="4008" spans="1:3" x14ac:dyDescent="0.25">
      <c r="A4008" s="8" t="str">
        <f>"2014 International Conference on Computational Science and Technology, ICCST 2014"</f>
        <v>2014 International Conference on Computational Science and Technology, ICCST 2014</v>
      </c>
      <c r="B4008" s="8" t="str">
        <f>"9781479932412"</f>
        <v>9781479932412</v>
      </c>
      <c r="C4008" s="8" t="s">
        <v>105</v>
      </c>
    </row>
    <row r="4009" spans="1:3" x14ac:dyDescent="0.25">
      <c r="A4009" s="8" t="str">
        <f>"2014 International Conference on Computer and Information Sciences, ICCOINS 2014 - A Conference of World Engineering, Science and Technology Congress, ESTCON 2014 - Proceedings"</f>
        <v>2014 International Conference on Computer and Information Sciences, ICCOINS 2014 - A Conference of World Engineering, Science and Technology Congress, ESTCON 2014 - Proceedings</v>
      </c>
      <c r="B4009" s="8" t="str">
        <f>"9781479943913"</f>
        <v>9781479943913</v>
      </c>
      <c r="C4009" s="8" t="s">
        <v>105</v>
      </c>
    </row>
    <row r="4010" spans="1:3" x14ac:dyDescent="0.25">
      <c r="A4010" s="8" t="str">
        <f>"2014 International Conference on Computer Communication and Informatics: Ushering in Technologies of Tomorrow, Today, ICCCI 2014"</f>
        <v>2014 International Conference on Computer Communication and Informatics: Ushering in Technologies of Tomorrow, Today, ICCCI 2014</v>
      </c>
      <c r="B4010" s="8" t="str">
        <f>"9781479923526"</f>
        <v>9781479923526</v>
      </c>
      <c r="C4010" s="8" t="s">
        <v>105</v>
      </c>
    </row>
    <row r="4011" spans="1:3" x14ac:dyDescent="0.25">
      <c r="A4011" s="8" t="str">
        <f>"2014 International Conference on Computer Technologies in Physical and Engineering Applications, ICCTPEA 2014 - Proceedings"</f>
        <v>2014 International Conference on Computer Technologies in Physical and Engineering Applications, ICCTPEA 2014 - Proceedings</v>
      </c>
      <c r="B4011" s="8" t="str">
        <f>"9781479953172"</f>
        <v>9781479953172</v>
      </c>
      <c r="C4011" s="8" t="s">
        <v>105</v>
      </c>
    </row>
    <row r="4012" spans="1:3" x14ac:dyDescent="0.25">
      <c r="A4012" s="8" t="str">
        <f>"2014 International Conference on Computing, Networking and Communications, ICNC 2014"</f>
        <v>2014 International Conference on Computing, Networking and Communications, ICNC 2014</v>
      </c>
      <c r="B4012" s="8" t="str">
        <f>"9781479923588"</f>
        <v>9781479923588</v>
      </c>
      <c r="C4012" s="8" t="s">
        <v>9</v>
      </c>
    </row>
    <row r="4013" spans="1:3" x14ac:dyDescent="0.25">
      <c r="A4013" s="8" t="str">
        <f>"2014 International Conference on Control, Automation and Information Sciences, ICCAIS 2014"</f>
        <v>2014 International Conference on Control, Automation and Information Sciences, ICCAIS 2014</v>
      </c>
      <c r="B4013" s="8" t="str">
        <f>"9781479972043"</f>
        <v>9781479972043</v>
      </c>
      <c r="C4013" s="8" t="s">
        <v>105</v>
      </c>
    </row>
    <row r="4014" spans="1:3" x14ac:dyDescent="0.25">
      <c r="A4014" s="8" t="str">
        <f>"2014 International Conference on Control, Instrumentation, Communication and Computational Technologies, ICCICCT 2014"</f>
        <v>2014 International Conference on Control, Instrumentation, Communication and Computational Technologies, ICCICCT 2014</v>
      </c>
      <c r="B4014" s="8" t="str">
        <f>"9781479941902"</f>
        <v>9781479941902</v>
      </c>
      <c r="C4014" s="8" t="s">
        <v>105</v>
      </c>
    </row>
    <row r="4015" spans="1:3" x14ac:dyDescent="0.25">
      <c r="A4015" s="8" t="str">
        <f>"2014 International Conference on Cyber and IT Service Management, CITSM 2014"</f>
        <v>2014 International Conference on Cyber and IT Service Management, CITSM 2014</v>
      </c>
      <c r="B4015" s="8" t="str">
        <f>"9781479979752"</f>
        <v>9781479979752</v>
      </c>
      <c r="C4015" s="8" t="s">
        <v>105</v>
      </c>
    </row>
    <row r="4016" spans="1:3" x14ac:dyDescent="0.25">
      <c r="A4016" s="8" t="str">
        <f>"2014 International Conference on Data Mining and Intelligent Computing, ICDMIC 2014"</f>
        <v>2014 International Conference on Data Mining and Intelligent Computing, ICDMIC 2014</v>
      </c>
      <c r="B4016" s="8" t="str">
        <f>"9781479946754"</f>
        <v>9781479946754</v>
      </c>
      <c r="C4016" s="8" t="s">
        <v>105</v>
      </c>
    </row>
    <row r="4017" spans="1:3" x14ac:dyDescent="0.25">
      <c r="A4017" s="8" t="str">
        <f>"2014 International Conference on Devices, Circuits and Communications, ICDCCom 2014 - Proceedings"</f>
        <v>2014 International Conference on Devices, Circuits and Communications, ICDCCom 2014 - Proceedings</v>
      </c>
      <c r="B4017" s="8" t="str">
        <f>"9781479960521"</f>
        <v>9781479960521</v>
      </c>
      <c r="C4017" s="8" t="s">
        <v>105</v>
      </c>
    </row>
    <row r="4018" spans="1:3" x14ac:dyDescent="0.25">
      <c r="A4018" s="8" t="str">
        <f>"2014 International Conference on Digital Image Computing: Techniques and Applications, DICTA 2014"</f>
        <v>2014 International Conference on Digital Image Computing: Techniques and Applications, DICTA 2014</v>
      </c>
      <c r="B4018" s="8" t="str">
        <f>"9781479954094"</f>
        <v>9781479954094</v>
      </c>
      <c r="C4018" s="8" t="s">
        <v>105</v>
      </c>
    </row>
    <row r="4019" spans="1:3" x14ac:dyDescent="0.25">
      <c r="A4019" s="8" t="str">
        <f>"2014 International Conference on Education Technologies and Computers, ICETC 2014"</f>
        <v>2014 International Conference on Education Technologies and Computers, ICETC 2014</v>
      </c>
      <c r="B4019" s="8" t="str">
        <f>"9781479962488"</f>
        <v>9781479962488</v>
      </c>
      <c r="C4019" s="8" t="s">
        <v>105</v>
      </c>
    </row>
    <row r="4020" spans="1:3" x14ac:dyDescent="0.25">
      <c r="A4020" s="8" t="str">
        <f>"2014 International Conference on Efficient Building Design: Materials and HVAC Equipment Technologies, ICEBD-MET 2014"</f>
        <v>2014 International Conference on Efficient Building Design: Materials and HVAC Equipment Technologies, ICEBD-MET 2014</v>
      </c>
      <c r="B4020" s="8" t="str">
        <f>"-"</f>
        <v>-</v>
      </c>
      <c r="C4020" s="8" t="s">
        <v>1325</v>
      </c>
    </row>
    <row r="4021" spans="1:3" x14ac:dyDescent="0.25">
      <c r="A4021" s="8" t="str">
        <f>"2014 International Conference on Electrical Sciences and Technologies in Maghreb, CISTEM 2014"</f>
        <v>2014 International Conference on Electrical Sciences and Technologies in Maghreb, CISTEM 2014</v>
      </c>
      <c r="B4021" s="8" t="str">
        <f>"9781479973002"</f>
        <v>9781479973002</v>
      </c>
      <c r="C4021" s="8" t="s">
        <v>105</v>
      </c>
    </row>
    <row r="4022" spans="1:3" x14ac:dyDescent="0.25">
      <c r="A4022" s="8" t="str">
        <f>"2014 International Conference on Electronics and Communication Systems, ICECS 2014"</f>
        <v>2014 International Conference on Electronics and Communication Systems, ICECS 2014</v>
      </c>
      <c r="B4022" s="8" t="str">
        <f>"9781479923205"</f>
        <v>9781479923205</v>
      </c>
      <c r="C4022" s="8" t="s">
        <v>105</v>
      </c>
    </row>
    <row r="4023" spans="1:3" x14ac:dyDescent="0.25">
      <c r="A4023" s="8" t="str">
        <f>"2014 International Conference on Electronics, Communication and Computational Engineering, ICECCE 2014"</f>
        <v>2014 International Conference on Electronics, Communication and Computational Engineering, ICECCE 2014</v>
      </c>
      <c r="B4023" s="8" t="str">
        <f>"9781479957484"</f>
        <v>9781479957484</v>
      </c>
      <c r="C4023" s="8" t="s">
        <v>105</v>
      </c>
    </row>
    <row r="4024" spans="1:3" x14ac:dyDescent="0.25">
      <c r="A4024" s="8" t="str">
        <f>"2014 International Conference on Fractional Differentiation and Its Applications, ICFDA 2014"</f>
        <v>2014 International Conference on Fractional Differentiation and Its Applications, ICFDA 2014</v>
      </c>
      <c r="B4024" s="8" t="str">
        <f>"9781479925919"</f>
        <v>9781479925919</v>
      </c>
      <c r="C4024" s="8" t="s">
        <v>105</v>
      </c>
    </row>
    <row r="4025" spans="1:3" x14ac:dyDescent="0.25">
      <c r="A4025" s="8" t="str">
        <f>"2014 International Conference on Hardware/Software Codesign and System Synthesis, CODES+ISSS 2014"</f>
        <v>2014 International Conference on Hardware/Software Codesign and System Synthesis, CODES+ISSS 2014</v>
      </c>
      <c r="B4025" s="8" t="str">
        <f>"9781450330510"</f>
        <v>9781450330510</v>
      </c>
      <c r="C4025" s="8" t="s">
        <v>1235</v>
      </c>
    </row>
    <row r="4026" spans="1:3" x14ac:dyDescent="0.25">
      <c r="A4026" s="8" t="str">
        <f>"2014 International Conference on High Performance Computing and Applications, ICHPCA 2014"</f>
        <v>2014 International Conference on High Performance Computing and Applications, ICHPCA 2014</v>
      </c>
      <c r="B4026" s="8" t="str">
        <f>"9781479959587"</f>
        <v>9781479959587</v>
      </c>
      <c r="C4026" s="8" t="s">
        <v>105</v>
      </c>
    </row>
    <row r="4027" spans="1:3" x14ac:dyDescent="0.25">
      <c r="A4027" s="8" t="s">
        <v>1386</v>
      </c>
      <c r="B4027" s="8" t="str">
        <f>"9781479940219"</f>
        <v>9781479940219</v>
      </c>
      <c r="C4027" s="8" t="s">
        <v>105</v>
      </c>
    </row>
    <row r="4028" spans="1:3" x14ac:dyDescent="0.25">
      <c r="A4028" s="8" t="str">
        <f>"2014 International Conference on Information Communication and Embedded Systems, ICICES 2014"</f>
        <v>2014 International Conference on Information Communication and Embedded Systems, ICICES 2014</v>
      </c>
      <c r="B4028" s="8" t="str">
        <f>"9781479938346"</f>
        <v>9781479938346</v>
      </c>
      <c r="C4028" s="8" t="s">
        <v>105</v>
      </c>
    </row>
    <row r="4029" spans="1:3" x14ac:dyDescent="0.25">
      <c r="A4029" s="8" t="str">
        <f>"2014 International Conference on Information Technology Systems and Innovation, ICITSI 2014 - Proceedings"</f>
        <v>2014 International Conference on Information Technology Systems and Innovation, ICITSI 2014 - Proceedings</v>
      </c>
      <c r="B4029" s="8" t="str">
        <f>"9781479965274"</f>
        <v>9781479965274</v>
      </c>
      <c r="C4029" s="8" t="s">
        <v>105</v>
      </c>
    </row>
    <row r="4030" spans="1:3" x14ac:dyDescent="0.25">
      <c r="A4030" s="8" t="str">
        <f>"2014 International Conference on IT Convergence and Security, ICITCS 2014"</f>
        <v>2014 International Conference on IT Convergence and Security, ICITCS 2014</v>
      </c>
      <c r="B4030" s="8" t="str">
        <f>"9781479965410"</f>
        <v>9781479965410</v>
      </c>
      <c r="C4030" s="8" t="s">
        <v>105</v>
      </c>
    </row>
    <row r="4031" spans="1:3" x14ac:dyDescent="0.25">
      <c r="A4031" s="8" t="str">
        <f>"2014 International Conference on Lightning Protection, ICLP 2014"</f>
        <v>2014 International Conference on Lightning Protection, ICLP 2014</v>
      </c>
      <c r="B4031" s="8" t="str">
        <f>"9781479935444"</f>
        <v>9781479935444</v>
      </c>
      <c r="C4031" s="8" t="s">
        <v>105</v>
      </c>
    </row>
    <row r="4032" spans="1:3" x14ac:dyDescent="0.25">
      <c r="A4032" s="8" t="str">
        <f>"2014 International Conference on Manipulation, Manufacturing and Measurement on the Nanoscale, 3M-NANO 2014 - Conference Proceedings"</f>
        <v>2014 International Conference on Manipulation, Manufacturing and Measurement on the Nanoscale, 3M-NANO 2014 - Conference Proceedings</v>
      </c>
      <c r="B4032" s="8" t="str">
        <f>"9781479979233"</f>
        <v>9781479979233</v>
      </c>
      <c r="C4032" s="8" t="s">
        <v>105</v>
      </c>
    </row>
    <row r="4033" spans="1:3" x14ac:dyDescent="0.25">
      <c r="A4033" s="8" t="str">
        <f>"2014 International Conference on Mechatronics, Electronic, Industrial and Control Engineering, MEIC 2014"</f>
        <v>2014 International Conference on Mechatronics, Electronic, Industrial and Control Engineering, MEIC 2014</v>
      </c>
      <c r="B4033" s="8" t="str">
        <f>"9789462520424"</f>
        <v>9789462520424</v>
      </c>
      <c r="C4033" s="8" t="s">
        <v>1380</v>
      </c>
    </row>
    <row r="4034" spans="1:3" x14ac:dyDescent="0.25">
      <c r="A4034" s="8" t="str">
        <f>"2014 International Conference on Medical Imaging, m-Health and Emerging Communication Systems, MedCom 2014"</f>
        <v>2014 International Conference on Medical Imaging, m-Health and Emerging Communication Systems, MedCom 2014</v>
      </c>
      <c r="B4034" s="8" t="str">
        <f>"9781479950973"</f>
        <v>9781479950973</v>
      </c>
      <c r="C4034" s="8" t="s">
        <v>105</v>
      </c>
    </row>
    <row r="4035" spans="1:3" x14ac:dyDescent="0.25">
      <c r="A4035" s="8" t="str">
        <f>"2014 International Conference on Numerical Electromagnetic Modeling and Optimization for RF, Microwave, and Terahertz Applications, NEMO 2014"</f>
        <v>2014 International Conference on Numerical Electromagnetic Modeling and Optimization for RF, Microwave, and Terahertz Applications, NEMO 2014</v>
      </c>
      <c r="B4035" s="8" t="str">
        <f>"9781479928200"</f>
        <v>9781479928200</v>
      </c>
      <c r="C4035" s="8" t="s">
        <v>105</v>
      </c>
    </row>
    <row r="4036" spans="1:3" x14ac:dyDescent="0.25">
      <c r="A4036" s="8" t="str">
        <f>"2014 International Conference on Physics, ICP 2014"</f>
        <v>2014 International Conference on Physics, ICP 2014</v>
      </c>
      <c r="B4036" s="8" t="str">
        <f>"9789462520387"</f>
        <v>9789462520387</v>
      </c>
      <c r="C4036" s="8" t="s">
        <v>1380</v>
      </c>
    </row>
    <row r="4037" spans="1:3" x14ac:dyDescent="0.25">
      <c r="A4037" s="8" t="str">
        <f>"2014 International Conference on Power Signals Control and Computations, EPSCICON 2014"</f>
        <v>2014 International Conference on Power Signals Control and Computations, EPSCICON 2014</v>
      </c>
      <c r="B4037" s="8" t="str">
        <f>"9781479936120"</f>
        <v>9781479936120</v>
      </c>
      <c r="C4037" s="8" t="s">
        <v>105</v>
      </c>
    </row>
    <row r="4038" spans="1:3" x14ac:dyDescent="0.25">
      <c r="A4038" s="8" t="str">
        <f>"2014 International Conference on Power, Automation and Communication, INPAC 2014"</f>
        <v>2014 International Conference on Power, Automation and Communication, INPAC 2014</v>
      </c>
      <c r="B4038" s="8" t="str">
        <f>"9781479971688"</f>
        <v>9781479971688</v>
      </c>
      <c r="C4038" s="8" t="s">
        <v>105</v>
      </c>
    </row>
    <row r="4039" spans="1:3" x14ac:dyDescent="0.25">
      <c r="A4039" s="8" t="str">
        <f>"2014 International Conference on Power, Control and Embedded Systems, ICPCES 2014"</f>
        <v>2014 International Conference on Power, Control and Embedded Systems, ICPCES 2014</v>
      </c>
      <c r="B4039" s="8" t="str">
        <f>"9781479959129"</f>
        <v>9781479959129</v>
      </c>
      <c r="C4039" s="8" t="s">
        <v>105</v>
      </c>
    </row>
    <row r="4040" spans="1:3" x14ac:dyDescent="0.25">
      <c r="A4040" s="8" t="str">
        <f>"2014 International Conference on Privacy and Security in Mobile Systems, PRISMS 2014 - Co-located with Global Wireless Summit"</f>
        <v>2014 International Conference on Privacy and Security in Mobile Systems, PRISMS 2014 - Co-located with Global Wireless Summit</v>
      </c>
      <c r="B4040" s="8" t="str">
        <f>"9781479946303"</f>
        <v>9781479946303</v>
      </c>
      <c r="C4040" s="8" t="s">
        <v>105</v>
      </c>
    </row>
    <row r="4041" spans="1:3" x14ac:dyDescent="0.25">
      <c r="A4041" s="8" t="str">
        <f>"2014 International Conference on Probabilistic Methods Applied to Power Systems, PMAPS 2014 - Conference Proceedings"</f>
        <v>2014 International Conference on Probabilistic Methods Applied to Power Systems, PMAPS 2014 - Conference Proceedings</v>
      </c>
      <c r="B4041" s="8" t="str">
        <f>"9781479935611"</f>
        <v>9781479935611</v>
      </c>
      <c r="C4041" s="8" t="s">
        <v>105</v>
      </c>
    </row>
    <row r="4042" spans="1:3" x14ac:dyDescent="0.25">
      <c r="A4042" s="8" t="str">
        <f>"2014 International Conference on Prognostics and Health Management, PHM 2014"</f>
        <v>2014 International Conference on Prognostics and Health Management, PHM 2014</v>
      </c>
      <c r="B4042" s="8" t="str">
        <f>"9781479959426"</f>
        <v>9781479959426</v>
      </c>
      <c r="C4042" s="8" t="s">
        <v>105</v>
      </c>
    </row>
    <row r="4043" spans="1:3" x14ac:dyDescent="0.25">
      <c r="A4043" s="8" t="str">
        <f>"2014 International Conference on Recent Trends in Information Technology, ICRTIT 2014"</f>
        <v>2014 International Conference on Recent Trends in Information Technology, ICRTIT 2014</v>
      </c>
      <c r="B4043" s="8" t="str">
        <f>"9781479949892"</f>
        <v>9781479949892</v>
      </c>
      <c r="C4043" s="8" t="s">
        <v>105</v>
      </c>
    </row>
    <row r="4044" spans="1:3" x14ac:dyDescent="0.25">
      <c r="A4044" s="8" t="str">
        <f>"2014 International Conference on Reconfigurable Computing and FPGAs, ReConFig 2014"</f>
        <v>2014 International Conference on Reconfigurable Computing and FPGAs, ReConFig 2014</v>
      </c>
      <c r="B4044" s="8" t="str">
        <f>"9781479959440"</f>
        <v>9781479959440</v>
      </c>
      <c r="C4044" s="8" t="s">
        <v>105</v>
      </c>
    </row>
    <row r="4045" spans="1:3" x14ac:dyDescent="0.25">
      <c r="A4045" s="8" t="str">
        <f>"2014 International Conference on Renewable Energies for Developing Countries, REDEC 2014"</f>
        <v>2014 International Conference on Renewable Energies for Developing Countries, REDEC 2014</v>
      </c>
      <c r="B4045" s="8" t="str">
        <f>"9781479919147"</f>
        <v>9781479919147</v>
      </c>
      <c r="C4045" s="8" t="s">
        <v>105</v>
      </c>
    </row>
    <row r="4046" spans="1:3" x14ac:dyDescent="0.25">
      <c r="A4046" s="8" t="str">
        <f>"2014 International Conference on Science Engineering and Management Research, ICSEMR 2014"</f>
        <v>2014 International Conference on Science Engineering and Management Research, ICSEMR 2014</v>
      </c>
      <c r="B4046" s="8" t="str">
        <f>"9781479976133"</f>
        <v>9781479976133</v>
      </c>
      <c r="C4046" s="8" t="s">
        <v>105</v>
      </c>
    </row>
    <row r="4047" spans="1:3" x14ac:dyDescent="0.25">
      <c r="A4047" s="8" t="str">
        <f>"2014 International Conference on Signal Processing and Communications, SPCOM 2014"</f>
        <v>2014 International Conference on Signal Processing and Communications, SPCOM 2014</v>
      </c>
      <c r="B4047" s="8" t="str">
        <f>"9781479946655"</f>
        <v>9781479946655</v>
      </c>
      <c r="C4047" s="8" t="s">
        <v>105</v>
      </c>
    </row>
    <row r="4048" spans="1:3" x14ac:dyDescent="0.25">
      <c r="A4048" s="8" t="str">
        <f>"2014 International Conference on Signals and Electronic Systems, ICSES 2014"</f>
        <v>2014 International Conference on Signals and Electronic Systems, ICSES 2014</v>
      </c>
      <c r="B4048" s="8" t="str">
        <f>"9781479970094"</f>
        <v>9781479970094</v>
      </c>
      <c r="C4048" s="8" t="s">
        <v>105</v>
      </c>
    </row>
    <row r="4049" spans="1:3" x14ac:dyDescent="0.25">
      <c r="A4049" s="8" t="str">
        <f>"2014 International Conference on Smart Electric Grid, ISEG 2014"</f>
        <v>2014 International Conference on Smart Electric Grid, ISEG 2014</v>
      </c>
      <c r="B4049" s="8" t="str">
        <f>"9781479941032"</f>
        <v>9781479941032</v>
      </c>
      <c r="C4049" s="8" t="s">
        <v>105</v>
      </c>
    </row>
    <row r="4050" spans="1:3" x14ac:dyDescent="0.25">
      <c r="A4050" s="8" t="str">
        <f>"2014 International Conference on Telecommunications and Multimedia, TEMU 2014"</f>
        <v>2014 International Conference on Telecommunications and Multimedia, TEMU 2014</v>
      </c>
      <c r="B4050" s="8" t="str">
        <f>"9781479932009"</f>
        <v>9781479932009</v>
      </c>
      <c r="C4050" s="8" t="s">
        <v>105</v>
      </c>
    </row>
    <row r="4051" spans="1:3" x14ac:dyDescent="0.25">
      <c r="A4051" s="8" t="str">
        <f>"2014 International Conference on the IMpact of E-Technology on US, IMPETUS 2014"</f>
        <v>2014 International Conference on the IMpact of E-Technology on US, IMPETUS 2014</v>
      </c>
      <c r="B4051" s="8" t="str">
        <f>"9789332902640"</f>
        <v>9789332902640</v>
      </c>
      <c r="C4051" s="8" t="s">
        <v>9</v>
      </c>
    </row>
    <row r="4052" spans="1:3" x14ac:dyDescent="0.25">
      <c r="A4052" s="8" t="str">
        <f>"2014 International Conference on the Internet of Things, IOT 2014"</f>
        <v>2014 International Conference on the Internet of Things, IOT 2014</v>
      </c>
      <c r="B4052" s="8" t="str">
        <f>"9781479951543"</f>
        <v>9781479951543</v>
      </c>
      <c r="C4052" s="8" t="s">
        <v>105</v>
      </c>
    </row>
    <row r="4053" spans="1:3" x14ac:dyDescent="0.25">
      <c r="A4053" s="8" t="str">
        <f>"2014 International Conference on the Network of the Future, NOF 2014"</f>
        <v>2014 International Conference on the Network of the Future, NOF 2014</v>
      </c>
      <c r="B4053" s="8" t="str">
        <f>"9781479975310"</f>
        <v>9781479975310</v>
      </c>
      <c r="C4053" s="8" t="s">
        <v>105</v>
      </c>
    </row>
    <row r="4054" spans="1:3" x14ac:dyDescent="0.25">
      <c r="A4054" s="8" t="str">
        <f>"2014 International Conference on the Network of the Future, NOF 2014 - Workshop on Smart Cloud Networks and Systems, SCNS 2014"</f>
        <v>2014 International Conference on the Network of the Future, NOF 2014 - Workshop on Smart Cloud Networks and Systems, SCNS 2014</v>
      </c>
      <c r="B4054" s="8" t="str">
        <f>"9781479975310"</f>
        <v>9781479975310</v>
      </c>
      <c r="C4054" s="8" t="s">
        <v>105</v>
      </c>
    </row>
    <row r="4055" spans="1:3" x14ac:dyDescent="0.25">
      <c r="A4055" s="8" t="str">
        <f>"2014 International Conference on Web and Open Access to Learning, ICWOAL 2014"</f>
        <v>2014 International Conference on Web and Open Access to Learning, ICWOAL 2014</v>
      </c>
      <c r="B4055" s="8" t="str">
        <f>"9781479957392"</f>
        <v>9781479957392</v>
      </c>
      <c r="C4055" s="8" t="s">
        <v>105</v>
      </c>
    </row>
    <row r="4056" spans="1:3" x14ac:dyDescent="0.25">
      <c r="A4056" s="8" t="str">
        <f>"2014 International Congress on Technology, Communication and Knowledge, ICTCK 2014"</f>
        <v>2014 International Congress on Technology, Communication and Knowledge, ICTCK 2014</v>
      </c>
      <c r="B4056" s="8" t="str">
        <f>"9781479980215"</f>
        <v>9781479980215</v>
      </c>
      <c r="C4056" s="8" t="s">
        <v>105</v>
      </c>
    </row>
    <row r="4057" spans="1:3" x14ac:dyDescent="0.25">
      <c r="A4057" s="8" t="str">
        <f>"2014 International Electrical Engineering Congress, iEECON 2014"</f>
        <v>2014 International Electrical Engineering Congress, iEECON 2014</v>
      </c>
      <c r="B4057" s="8" t="str">
        <f>"9781479931743"</f>
        <v>9781479931743</v>
      </c>
      <c r="C4057" s="8" t="s">
        <v>105</v>
      </c>
    </row>
    <row r="4058" spans="1:3" x14ac:dyDescent="0.25">
      <c r="A4058" s="8" t="str">
        <f>"2014 International Green Computing Conference, IGCC 2014"</f>
        <v>2014 International Green Computing Conference, IGCC 2014</v>
      </c>
      <c r="B4058" s="8" t="str">
        <f>"9781479961771"</f>
        <v>9781479961771</v>
      </c>
      <c r="C4058" s="8" t="s">
        <v>105</v>
      </c>
    </row>
    <row r="4059" spans="1:3" x14ac:dyDescent="0.25">
      <c r="A4059" s="8" t="str">
        <f>"2014 International Radar Conference, Radar 2014"</f>
        <v>2014 International Radar Conference, Radar 2014</v>
      </c>
      <c r="B4059" s="8" t="str">
        <f>"9781479941957"</f>
        <v>9781479941957</v>
      </c>
      <c r="C4059" s="8" t="s">
        <v>105</v>
      </c>
    </row>
    <row r="4060" spans="1:3" x14ac:dyDescent="0.25">
      <c r="A4060" s="8" t="str">
        <f>"2014 International SPIN Symposium on Model Checking of Software, SPIN 2014 - Proceedings"</f>
        <v>2014 International SPIN Symposium on Model Checking of Software, SPIN 2014 - Proceedings</v>
      </c>
      <c r="B4060" s="8" t="str">
        <f>"9781450324526"</f>
        <v>9781450324526</v>
      </c>
      <c r="C4060" s="8" t="s">
        <v>1235</v>
      </c>
    </row>
    <row r="4061" spans="1:3" x14ac:dyDescent="0.25">
      <c r="A4061" s="8" t="str">
        <f>"2014 International Symposium on Computers in Education, SIIE 2014"</f>
        <v>2014 International Symposium on Computers in Education, SIIE 2014</v>
      </c>
      <c r="B4061" s="8" t="str">
        <f>"9781479944286"</f>
        <v>9781479944286</v>
      </c>
      <c r="C4061" s="8" t="s">
        <v>105</v>
      </c>
    </row>
    <row r="4062" spans="1:3" x14ac:dyDescent="0.25">
      <c r="A4062" s="8" t="str">
        <f>"2014 International Symposium on Fundamentals of Electrical Engineering, ISFEE 2014"</f>
        <v>2014 International Symposium on Fundamentals of Electrical Engineering, ISFEE 2014</v>
      </c>
      <c r="B4062" s="8" t="str">
        <f>"9781479968213"</f>
        <v>9781479968213</v>
      </c>
      <c r="C4062" s="8" t="s">
        <v>105</v>
      </c>
    </row>
    <row r="4063" spans="1:3" x14ac:dyDescent="0.25">
      <c r="A4063" s="8" t="str">
        <f>"2014 International Symposium on Intelligent Signal Processing and Communication Systems, ISPACS 2014"</f>
        <v>2014 International Symposium on Intelligent Signal Processing and Communication Systems, ISPACS 2014</v>
      </c>
      <c r="B4063" s="8" t="str">
        <f>"9781479961207"</f>
        <v>9781479961207</v>
      </c>
      <c r="C4063" s="8" t="s">
        <v>105</v>
      </c>
    </row>
    <row r="4064" spans="1:3" x14ac:dyDescent="0.25">
      <c r="A4064" s="8" t="str">
        <f>"2014 International Symposium on Micro-NanoMechatronics and Human Science, MHS 2014"</f>
        <v>2014 International Symposium on Micro-NanoMechatronics and Human Science, MHS 2014</v>
      </c>
      <c r="B4064" s="8" t="str">
        <f>"9781479966790"</f>
        <v>9781479966790</v>
      </c>
      <c r="C4064" s="8" t="s">
        <v>105</v>
      </c>
    </row>
    <row r="4065" spans="1:3" x14ac:dyDescent="0.25">
      <c r="A4065" s="8" t="str">
        <f>"2014 International Symposium on Network Coding, NetCod 2014 - Conference Proceedings"</f>
        <v>2014 International Symposium on Network Coding, NetCod 2014 - Conference Proceedings</v>
      </c>
      <c r="B4065" s="8" t="str">
        <f>"9781479962174"</f>
        <v>9781479962174</v>
      </c>
      <c r="C4065" s="8" t="s">
        <v>105</v>
      </c>
    </row>
    <row r="4066" spans="1:3" x14ac:dyDescent="0.25">
      <c r="A4066" s="8" t="str">
        <f>"2014 International Symposium on Optomechatronic Technologies, ISOT 2014"</f>
        <v>2014 International Symposium on Optomechatronic Technologies, ISOT 2014</v>
      </c>
      <c r="B4066" s="8" t="str">
        <f>"9781467367523"</f>
        <v>9781467367523</v>
      </c>
      <c r="C4066" s="8" t="s">
        <v>105</v>
      </c>
    </row>
    <row r="4067" spans="1:3" x14ac:dyDescent="0.25">
      <c r="A4067" s="8" t="str">
        <f>"2014 International Symposium on Power Electronics, Electrical Drives, Automation and Motion, SPEEDAM 2014"</f>
        <v>2014 International Symposium on Power Electronics, Electrical Drives, Automation and Motion, SPEEDAM 2014</v>
      </c>
      <c r="B4067" s="8" t="str">
        <f>"9781479947492"</f>
        <v>9781479947492</v>
      </c>
      <c r="C4067" s="8" t="s">
        <v>9</v>
      </c>
    </row>
    <row r="4068" spans="1:3" x14ac:dyDescent="0.25">
      <c r="A4068" s="8" t="str">
        <f>"2014 International Symposium on Software Testing and Analysis, ISSTA 2014 - Proceedings"</f>
        <v>2014 International Symposium on Software Testing and Analysis, ISSTA 2014 - Proceedings</v>
      </c>
      <c r="B4068" s="8" t="str">
        <f>"9781450326452"</f>
        <v>9781450326452</v>
      </c>
      <c r="C4068" s="8" t="s">
        <v>1235</v>
      </c>
    </row>
    <row r="4069" spans="1:3" x14ac:dyDescent="0.25">
      <c r="A4069" s="8" t="str">
        <f>"2014 International Symposium on System-on-Chip, SoC 2014"</f>
        <v>2014 International Symposium on System-on-Chip, SoC 2014</v>
      </c>
      <c r="B4069" s="8" t="str">
        <f>"9781479968909"</f>
        <v>9781479968909</v>
      </c>
      <c r="C4069" s="8" t="s">
        <v>105</v>
      </c>
    </row>
    <row r="4070" spans="1:3" x14ac:dyDescent="0.25">
      <c r="A4070" s="8" t="str">
        <f>"2014 International Telecommunications Symposium, ITS 2014 - Proceedings"</f>
        <v>2014 International Telecommunications Symposium, ITS 2014 - Proceedings</v>
      </c>
      <c r="B4070" s="8" t="str">
        <f>"9781479937431"</f>
        <v>9781479937431</v>
      </c>
      <c r="C4070" s="8" t="s">
        <v>105</v>
      </c>
    </row>
    <row r="4071" spans="1:3" x14ac:dyDescent="0.25">
      <c r="A4071" s="8" t="str">
        <f>"2014 International Topical Meeting on Microwave Photonics / the 9th Asia-Pacific Microwave Photonics Conference, MWP/APMP 2014 - Proceedings"</f>
        <v>2014 International Topical Meeting on Microwave Photonics / the 9th Asia-Pacific Microwave Photonics Conference, MWP/APMP 2014 - Proceedings</v>
      </c>
      <c r="B4071" s="8" t="str">
        <f>"9784885522901"</f>
        <v>9784885522901</v>
      </c>
      <c r="C4071" s="8" t="s">
        <v>105</v>
      </c>
    </row>
    <row r="4072" spans="1:3" x14ac:dyDescent="0.25">
      <c r="A4072" s="8" t="str">
        <f>"2014 International Winter Workshop on Brain-Computer Interface, BCI 2014"</f>
        <v>2014 International Winter Workshop on Brain-Computer Interface, BCI 2014</v>
      </c>
      <c r="B4072" s="8" t="str">
        <f>"9781479925889"</f>
        <v>9781479925889</v>
      </c>
      <c r="C4072" s="8" t="s">
        <v>9</v>
      </c>
    </row>
    <row r="4073" spans="1:3" x14ac:dyDescent="0.25">
      <c r="A4073" s="8" t="str">
        <f>"2014 International Work Conference on Bio-Inspired Intelligence: Intelligent Systems for Biodiversity Conservation, IWOBI 2014 - Proceedings"</f>
        <v>2014 International Work Conference on Bio-Inspired Intelligence: Intelligent Systems for Biodiversity Conservation, IWOBI 2014 - Proceedings</v>
      </c>
      <c r="B4073" s="8" t="str">
        <f>"9781479961740"</f>
        <v>9781479961740</v>
      </c>
      <c r="C4073" s="8" t="s">
        <v>105</v>
      </c>
    </row>
    <row r="4074" spans="1:3" x14ac:dyDescent="0.25">
      <c r="A4074" s="8" t="str">
        <f>"2014 International Workshop on Antenna Technology: Small Antennas, Novel EM Structures and Materials, and Applications, iWAT 2014"</f>
        <v>2014 International Workshop on Antenna Technology: Small Antennas, Novel EM Structures and Materials, and Applications, iWAT 2014</v>
      </c>
      <c r="B4074" s="8" t="str">
        <f>"9781479923298"</f>
        <v>9781479923298</v>
      </c>
      <c r="C4074" s="8" t="s">
        <v>105</v>
      </c>
    </row>
    <row r="4075" spans="1:3" x14ac:dyDescent="0.25">
      <c r="A4075" s="8" t="str">
        <f>"2014 International Workshop on Computational Intelligence for Multimedia Understanding, IWCIM 2014"</f>
        <v>2014 International Workshop on Computational Intelligence for Multimedia Understanding, IWCIM 2014</v>
      </c>
      <c r="B4075" s="8" t="str">
        <f>"9781479979714"</f>
        <v>9781479979714</v>
      </c>
      <c r="C4075" s="8" t="s">
        <v>105</v>
      </c>
    </row>
    <row r="4076" spans="1:3" x14ac:dyDescent="0.25">
      <c r="A4076" s="8" t="str">
        <f>"2014 International Workshop on High Mobility Wireless Communications, HMWC 2014"</f>
        <v>2014 International Workshop on High Mobility Wireless Communications, HMWC 2014</v>
      </c>
      <c r="B4076" s="8" t="str">
        <f>"9781479956463"</f>
        <v>9781479956463</v>
      </c>
      <c r="C4076" s="8" t="s">
        <v>105</v>
      </c>
    </row>
    <row r="4077" spans="1:3" x14ac:dyDescent="0.25">
      <c r="A4077" s="8" t="str">
        <f>"2014 Iranian Conference on Intelligent Systems, ICIS 2014"</f>
        <v>2014 Iranian Conference on Intelligent Systems, ICIS 2014</v>
      </c>
      <c r="B4077" s="8" t="str">
        <f>"9781479933518"</f>
        <v>9781479933518</v>
      </c>
      <c r="C4077" s="8" t="s">
        <v>9</v>
      </c>
    </row>
    <row r="4078" spans="1:3" x14ac:dyDescent="0.25">
      <c r="A4078" s="8" t="str">
        <f>"2014 IRCOBI Conference Proceedings - International Research Council on the Biomechanics of Injury"</f>
        <v>2014 IRCOBI Conference Proceedings - International Research Council on the Biomechanics of Injury</v>
      </c>
      <c r="B4078" s="8" t="str">
        <f>"-"</f>
        <v>-</v>
      </c>
      <c r="C4078" s="8" t="s">
        <v>1372</v>
      </c>
    </row>
    <row r="4079" spans="1:3" x14ac:dyDescent="0.25">
      <c r="A4079" s="8" t="str">
        <f>"2014 Joint 7th International Conference on Soft Computing and Intelligent Systems, SCIS 2014 and 15th International Symposium on Advanced Intelligent Systems, ISIS 2014"</f>
        <v>2014 Joint 7th International Conference on Soft Computing and Intelligent Systems, SCIS 2014 and 15th International Symposium on Advanced Intelligent Systems, ISIS 2014</v>
      </c>
      <c r="B4079" s="8" t="str">
        <f>"9781479959556"</f>
        <v>9781479959556</v>
      </c>
      <c r="C4079" s="8" t="s">
        <v>105</v>
      </c>
    </row>
    <row r="4080" spans="1:3" x14ac:dyDescent="0.25">
      <c r="A4080" s="8" t="str">
        <f>"2014 Joint IEEE International Symposium on the Applications of Ferroelectric, International Workshop on Acoustic Transduction Materials and Devices and Workshop on Piezoresponse Force Microscopy, ISAF/IWATMD/PFM 2014"</f>
        <v>2014 Joint IEEE International Symposium on the Applications of Ferroelectric, International Workshop on Acoustic Transduction Materials and Devices and Workshop on Piezoresponse Force Microscopy, ISAF/IWATMD/PFM 2014</v>
      </c>
      <c r="B4080" s="8" t="str">
        <f>"9781479938605"</f>
        <v>9781479938605</v>
      </c>
      <c r="C4080" s="8" t="s">
        <v>105</v>
      </c>
    </row>
    <row r="4081" spans="1:3" x14ac:dyDescent="0.25">
      <c r="A4081" s="8" t="str">
        <f>"2014 Loughborough Antennas and Propagation Conference, LAPC 2014"</f>
        <v>2014 Loughborough Antennas and Propagation Conference, LAPC 2014</v>
      </c>
      <c r="B4081" s="8" t="str">
        <f>"9781479936625"</f>
        <v>9781479936625</v>
      </c>
      <c r="C4081" s="8" t="s">
        <v>105</v>
      </c>
    </row>
    <row r="4082" spans="1:3" x14ac:dyDescent="0.25">
      <c r="A4082" s="8" t="str">
        <f>"2014 Microelectronic Systems Symposium, MESS 2014 - Conference Proceedings"</f>
        <v>2014 Microelectronic Systems Symposium, MESS 2014 - Conference Proceedings</v>
      </c>
      <c r="B4082" s="8" t="str">
        <f>"9781479953264"</f>
        <v>9781479953264</v>
      </c>
      <c r="C4082" s="8" t="s">
        <v>105</v>
      </c>
    </row>
    <row r="4083" spans="1:3" x14ac:dyDescent="0.25">
      <c r="A4083" s="8" t="str">
        <f>"2014 Military Communications and Information Systems Conference, MilCIS 2014 - Proceedings"</f>
        <v>2014 Military Communications and Information Systems Conference, MilCIS 2014 - Proceedings</v>
      </c>
      <c r="B4083" s="8" t="str">
        <f>"9781479940585"</f>
        <v>9781479940585</v>
      </c>
      <c r="C4083" s="8" t="s">
        <v>105</v>
      </c>
    </row>
    <row r="4084" spans="1:3" x14ac:dyDescent="0.25">
      <c r="A4084" s="8" t="str">
        <f>"2014 North African Workshop on Dielectric Materials for Photovoltaic Systems, NAWDMPV 2014"</f>
        <v>2014 North African Workshop on Dielectric Materials for Photovoltaic Systems, NAWDMPV 2014</v>
      </c>
      <c r="B4084" s="8" t="str">
        <f>"9781479965038"</f>
        <v>9781479965038</v>
      </c>
      <c r="C4084" s="8" t="s">
        <v>105</v>
      </c>
    </row>
    <row r="4085" spans="1:3" x14ac:dyDescent="0.25">
      <c r="A4085" s="8" t="str">
        <f>"2014 North American Power Symposium, NAPS 2014"</f>
        <v>2014 North American Power Symposium, NAPS 2014</v>
      </c>
      <c r="B4085" s="8" t="str">
        <f>"9781479959044"</f>
        <v>9781479959044</v>
      </c>
      <c r="C4085" s="8" t="s">
        <v>105</v>
      </c>
    </row>
    <row r="4086" spans="1:3" x14ac:dyDescent="0.25">
      <c r="A4086" s="8" t="str">
        <f>"2014 Oceans - St. John's, OCEANS 2014"</f>
        <v>2014 Oceans - St. John's, OCEANS 2014</v>
      </c>
      <c r="B4086" s="8" t="str">
        <f>"9781479949182"</f>
        <v>9781479949182</v>
      </c>
      <c r="C4086" s="8" t="s">
        <v>105</v>
      </c>
    </row>
    <row r="4087" spans="1:3" x14ac:dyDescent="0.25">
      <c r="A4087" s="8" t="str">
        <f>"2014 Operational Research Society Simulation Workshop, SW 2014"</f>
        <v>2014 Operational Research Society Simulation Workshop, SW 2014</v>
      </c>
      <c r="B4087" s="8" t="str">
        <f>"9780000000002"</f>
        <v>9780000000002</v>
      </c>
      <c r="C4087" s="8" t="s">
        <v>1377</v>
      </c>
    </row>
    <row r="4088" spans="1:3" x14ac:dyDescent="0.25">
      <c r="A4088" s="8" t="str">
        <f>"2014 Power and Energy Systems Conference: Towards Sustainable Energy, PESTSE 2014"</f>
        <v>2014 Power and Energy Systems Conference: Towards Sustainable Energy, PESTSE 2014</v>
      </c>
      <c r="B4088" s="8" t="str">
        <f>"9781479934201"</f>
        <v>9781479934201</v>
      </c>
      <c r="C4088" s="8" t="s">
        <v>9</v>
      </c>
    </row>
    <row r="4089" spans="1:3" x14ac:dyDescent="0.25">
      <c r="A4089" s="8" t="str">
        <f>"2014 Proceedings of the International Conference on Embedded Software, EMSOFT 2014"</f>
        <v>2014 Proceedings of the International Conference on Embedded Software, EMSOFT 2014</v>
      </c>
      <c r="B4089" s="8" t="str">
        <f>"9781450330527"</f>
        <v>9781450330527</v>
      </c>
      <c r="C4089" s="8" t="s">
        <v>1235</v>
      </c>
    </row>
    <row r="4090" spans="1:3" x14ac:dyDescent="0.25">
      <c r="A4090" s="8" t="str">
        <f>"2014 Recent Advances in Engineering and Computational Sciences, RAECS 2014"</f>
        <v>2014 Recent Advances in Engineering and Computational Sciences, RAECS 2014</v>
      </c>
      <c r="B4090" s="8" t="str">
        <f>"9781479922918"</f>
        <v>9781479922918</v>
      </c>
      <c r="C4090" s="8" t="s">
        <v>9</v>
      </c>
    </row>
    <row r="4091" spans="1:3" x14ac:dyDescent="0.25">
      <c r="A4091" s="8" t="str">
        <f>"2014 Sensor Signal Processing for Defence, SSPD 2014"</f>
        <v>2014 Sensor Signal Processing for Defence, SSPD 2014</v>
      </c>
      <c r="B4091" s="8" t="str">
        <f>"9781479952946"</f>
        <v>9781479952946</v>
      </c>
      <c r="C4091" s="8" t="s">
        <v>105</v>
      </c>
    </row>
    <row r="4092" spans="1:3" x14ac:dyDescent="0.25">
      <c r="A4092" s="8" t="str">
        <f>"2014 Software Evolution Week - IEEE Conference on Software Maintenance, Reengineering, and Reverse Engineering, CSMR-WCRE 2014 - Proceedings"</f>
        <v>2014 Software Evolution Week - IEEE Conference on Software Maintenance, Reengineering, and Reverse Engineering, CSMR-WCRE 2014 - Proceedings</v>
      </c>
      <c r="B4092" s="8" t="str">
        <f>"9781479937523"</f>
        <v>9781479937523</v>
      </c>
      <c r="C4092" s="8" t="s">
        <v>9</v>
      </c>
    </row>
    <row r="4093" spans="1:3" x14ac:dyDescent="0.25">
      <c r="A4093" s="8" t="str">
        <f>"2014 SOI-3D-Subthreshold Microelectronics Technology Unified Conference, S3S 2014"</f>
        <v>2014 SOI-3D-Subthreshold Microelectronics Technology Unified Conference, S3S 2014</v>
      </c>
      <c r="B4093" s="8" t="str">
        <f>"9781479974382"</f>
        <v>9781479974382</v>
      </c>
      <c r="C4093" s="8" t="s">
        <v>105</v>
      </c>
    </row>
    <row r="4094" spans="1:3" x14ac:dyDescent="0.25">
      <c r="A4094" s="8" t="str">
        <f>"2014 Texas Symposium on Wireless and Microwave Circuits and Systems, WMCS 2014"</f>
        <v>2014 Texas Symposium on Wireless and Microwave Circuits and Systems, WMCS 2014</v>
      </c>
      <c r="B4094" s="8" t="str">
        <f>"9781479973095"</f>
        <v>9781479973095</v>
      </c>
      <c r="C4094" s="8" t="s">
        <v>105</v>
      </c>
    </row>
    <row r="4095" spans="1:3" x14ac:dyDescent="0.25">
      <c r="A4095" s="8" t="str">
        <f>"2014 The 3rd International Conference on Agro-Geoinformatics, Agro-Geoinformatics 2014"</f>
        <v>2014 The 3rd International Conference on Agro-Geoinformatics, Agro-Geoinformatics 2014</v>
      </c>
      <c r="B4095" s="8" t="str">
        <f>"9781479941575"</f>
        <v>9781479941575</v>
      </c>
      <c r="C4095" s="8" t="s">
        <v>105</v>
      </c>
    </row>
    <row r="4096" spans="1:3" x14ac:dyDescent="0.25">
      <c r="A4096" s="8" t="str">
        <f>"2014 the 4th International Workshop on Computer Science and Engineering - Summer, WCSE 2014"</f>
        <v>2014 the 4th International Workshop on Computer Science and Engineering - Summer, WCSE 2014</v>
      </c>
      <c r="B4096" s="8" t="str">
        <f>"-"</f>
        <v>-</v>
      </c>
      <c r="C4096" s="8" t="s">
        <v>1387</v>
      </c>
    </row>
    <row r="4097" spans="1:3" x14ac:dyDescent="0.25">
      <c r="A4097" s="8" t="str">
        <f>"2014 the 4th International Workshop on Computer Science and Engineering-Winter, WCSE 2014"</f>
        <v>2014 the 4th International Workshop on Computer Science and Engineering-Winter, WCSE 2014</v>
      </c>
      <c r="B4097" s="8" t="str">
        <f>"-"</f>
        <v>-</v>
      </c>
      <c r="C4097" s="8" t="s">
        <v>1387</v>
      </c>
    </row>
    <row r="4098" spans="1:3" x14ac:dyDescent="0.25">
      <c r="A4098" s="8" t="str">
        <f>"2014 the 5th International Conference on Information and Communication Technology for the Muslim World, ICT4M 2014"</f>
        <v>2014 the 5th International Conference on Information and Communication Technology for the Muslim World, ICT4M 2014</v>
      </c>
      <c r="B4098" s="8" t="str">
        <f>"9781479962426"</f>
        <v>9781479962426</v>
      </c>
      <c r="C4098" s="8" t="s">
        <v>105</v>
      </c>
    </row>
    <row r="4099" spans="1:3" x14ac:dyDescent="0.25">
      <c r="A4099" s="8" t="str">
        <f>"2014 Tyrrhenian International Workshop on Digital Communications - Enhanced Surveillance of Aircraft and Vehicles, TIWDC/ESAV 2014"</f>
        <v>2014 Tyrrhenian International Workshop on Digital Communications - Enhanced Surveillance of Aircraft and Vehicles, TIWDC/ESAV 2014</v>
      </c>
      <c r="B4099" s="8" t="str">
        <f>"9781479930944"</f>
        <v>9781479930944</v>
      </c>
      <c r="C4099" s="8" t="s">
        <v>105</v>
      </c>
    </row>
    <row r="4100" spans="1:3" x14ac:dyDescent="0.25">
      <c r="A4100" s="8" t="str">
        <f>"2014 Ubiquitous Positioning Indoor Navigation and Location Based Service, UPINLBS 2014 - Conference Proceedings"</f>
        <v>2014 Ubiquitous Positioning Indoor Navigation and Location Based Service, UPINLBS 2014 - Conference Proceedings</v>
      </c>
      <c r="B4100" s="8" t="str">
        <f>"9781479960040"</f>
        <v>9781479960040</v>
      </c>
      <c r="C4100" s="8" t="s">
        <v>105</v>
      </c>
    </row>
    <row r="4101" spans="1:3" x14ac:dyDescent="0.25">
      <c r="A4101" s="8" t="str">
        <f>"2014 UKACC International Conference on Control, CONTROL 2014 - Proceedings"</f>
        <v>2014 UKACC International Conference on Control, CONTROL 2014 - Proceedings</v>
      </c>
      <c r="B4101" s="8" t="str">
        <f>"9781479950119"</f>
        <v>9781479950119</v>
      </c>
      <c r="C4101" s="8" t="s">
        <v>105</v>
      </c>
    </row>
    <row r="4102" spans="1:3" x14ac:dyDescent="0.25">
      <c r="A4102" s="8" t="str">
        <f>"2014 Underwater Communications and Networking, UComms 2014"</f>
        <v>2014 Underwater Communications and Networking, UComms 2014</v>
      </c>
      <c r="B4102" s="8" t="str">
        <f>"9781479975785"</f>
        <v>9781479975785</v>
      </c>
      <c r="C4102" s="8" t="s">
        <v>105</v>
      </c>
    </row>
    <row r="4103" spans="1:3" x14ac:dyDescent="0.25">
      <c r="A4103" s="8" t="str">
        <f>"2014 United States National Committee of URSI National Radio Science Meeting, USNC-URSI NRSM 2014"</f>
        <v>2014 United States National Committee of URSI National Radio Science Meeting, USNC-URSI NRSM 2014</v>
      </c>
      <c r="B4103" s="8" t="str">
        <f>"9781479931200"</f>
        <v>9781479931200</v>
      </c>
      <c r="C4103" s="8" t="s">
        <v>105</v>
      </c>
    </row>
    <row r="4104" spans="1:3" x14ac:dyDescent="0.25">
      <c r="A4104" s="8" t="str">
        <f>"2014 USNC-URSI Radio Science Meeting (Joint with AP-S Symposium), USNC-URSI 2014 - Proceedings"</f>
        <v>2014 USNC-URSI Radio Science Meeting (Joint with AP-S Symposium), USNC-URSI 2014 - Proceedings</v>
      </c>
      <c r="B4104" s="8" t="str">
        <f>"9781479937462"</f>
        <v>9781479937462</v>
      </c>
      <c r="C4104" s="8" t="s">
        <v>105</v>
      </c>
    </row>
    <row r="4105" spans="1:3" x14ac:dyDescent="0.25">
      <c r="A4105" s="8" t="str">
        <f>"2014 Workshop on Complexity in Engineering, COMPENG 2014"</f>
        <v>2014 Workshop on Complexity in Engineering, COMPENG 2014</v>
      </c>
      <c r="B4105" s="8" t="str">
        <f>"9781479940806"</f>
        <v>9781479940806</v>
      </c>
      <c r="C4105" s="8" t="s">
        <v>105</v>
      </c>
    </row>
    <row r="4106" spans="1:3" x14ac:dyDescent="0.25">
      <c r="A4106" s="8" t="str">
        <f>"2014 Workshop on Joining AcadeMiA and Industry Contributions to Test Automation and Model-Based Testing, JAMAICA 2014 - Proceedings"</f>
        <v>2014 Workshop on Joining AcadeMiA and Industry Contributions to Test Automation and Model-Based Testing, JAMAICA 2014 - Proceedings</v>
      </c>
      <c r="B4106" s="8" t="str">
        <f>"9781450329330"</f>
        <v>9781450329330</v>
      </c>
      <c r="C4106" s="8" t="s">
        <v>1235</v>
      </c>
    </row>
    <row r="4107" spans="1:3" x14ac:dyDescent="0.25">
      <c r="A4107" s="8" t="str">
        <f>"2014 Workshop on Sensor Data Fusion: Trends, Solutions, Applications, SDF 2014"</f>
        <v>2014 Workshop on Sensor Data Fusion: Trends, Solutions, Applications, SDF 2014</v>
      </c>
      <c r="B4107" s="8" t="str">
        <f>"9781479973873"</f>
        <v>9781479973873</v>
      </c>
      <c r="C4107" s="8" t="s">
        <v>105</v>
      </c>
    </row>
    <row r="4108" spans="1:3" x14ac:dyDescent="0.25">
      <c r="A4108" s="8" t="str">
        <f>"2014 World Congress on Computer Applications and Information Systems, WCCAIS 2014"</f>
        <v>2014 World Congress on Computer Applications and Information Systems, WCCAIS 2014</v>
      </c>
      <c r="B4108" s="8" t="str">
        <f>"9781479933518"</f>
        <v>9781479933518</v>
      </c>
      <c r="C4108" s="8" t="s">
        <v>105</v>
      </c>
    </row>
    <row r="4109" spans="1:3" x14ac:dyDescent="0.25">
      <c r="A4109" s="8" t="str">
        <f>"2014 World Congress on Internet Security, WorldCIS 2014"</f>
        <v>2014 World Congress on Internet Security, WorldCIS 2014</v>
      </c>
      <c r="B4109" s="8" t="str">
        <f>"9781908320421"</f>
        <v>9781908320421</v>
      </c>
      <c r="C4109" s="8" t="s">
        <v>105</v>
      </c>
    </row>
    <row r="4110" spans="1:3" x14ac:dyDescent="0.25">
      <c r="A4110" s="8" t="str">
        <f>"2014 World Congress on Sustainable Technologies, WCST 2014"</f>
        <v>2014 World Congress on Sustainable Technologies, WCST 2014</v>
      </c>
      <c r="B4110" s="8" t="str">
        <f>"9781908320445"</f>
        <v>9781908320445</v>
      </c>
      <c r="C4110" s="8" t="s">
        <v>105</v>
      </c>
    </row>
    <row r="4111" spans="1:3" x14ac:dyDescent="0.25">
      <c r="A4111" s="8" t="str">
        <f>"2014 World Symposium on Computer Applications and Research, WSCAR 2014"</f>
        <v>2014 World Symposium on Computer Applications and Research, WSCAR 2014</v>
      </c>
      <c r="B4111" s="8" t="str">
        <f>"9781479928057"</f>
        <v>9781479928057</v>
      </c>
      <c r="C4111" s="8" t="s">
        <v>105</v>
      </c>
    </row>
    <row r="4112" spans="1:3" x14ac:dyDescent="0.25">
      <c r="A4112" s="8" t="str">
        <f>"2014, 8th International Conference on Signal Processing and Communication Systems, ICSPCS 2014 - Proceedings"</f>
        <v>2014, 8th International Conference on Signal Processing and Communication Systems, ICSPCS 2014 - Proceedings</v>
      </c>
      <c r="B4112" s="8" t="str">
        <f>"9781479952557"</f>
        <v>9781479952557</v>
      </c>
      <c r="C4112" s="8" t="s">
        <v>105</v>
      </c>
    </row>
    <row r="4113" spans="1:3" x14ac:dyDescent="0.25">
      <c r="A4113" s="8" t="str">
        <f>"2015 10th Iberian Conference on Information Systems and Technologies, CISTI 2015"</f>
        <v>2015 10th Iberian Conference on Information Systems and Technologies, CISTI 2015</v>
      </c>
      <c r="B4113" s="8" t="str">
        <f>"9789899843455"</f>
        <v>9789899843455</v>
      </c>
      <c r="C4113" s="8" t="s">
        <v>105</v>
      </c>
    </row>
    <row r="4114" spans="1:3" x14ac:dyDescent="0.25">
      <c r="A4114" s="8" t="str">
        <f>"2015 10th International Conference on Ecological Vehicles and Renewable Energies, EVER 2015"</f>
        <v>2015 10th International Conference on Ecological Vehicles and Renewable Energies, EVER 2015</v>
      </c>
      <c r="B4114" s="8" t="str">
        <f>"9781467367844"</f>
        <v>9781467367844</v>
      </c>
      <c r="C4114" s="8" t="s">
        <v>105</v>
      </c>
    </row>
    <row r="4115" spans="1:3" x14ac:dyDescent="0.25">
      <c r="A4115" s="8" t="str">
        <f>"2015 10th System of Systems Engineering Conference, SoSE 2015"</f>
        <v>2015 10th System of Systems Engineering Conference, SoSE 2015</v>
      </c>
      <c r="B4115" s="8" t="str">
        <f>"9781479976119"</f>
        <v>9781479976119</v>
      </c>
      <c r="C4115" s="8" t="s">
        <v>105</v>
      </c>
    </row>
    <row r="4116" spans="1:3" x14ac:dyDescent="0.25">
      <c r="A4116" s="8" t="str">
        <f>"2015 11th International Conference on the Design of Reliable Communication Networks, DRCN 2015"</f>
        <v>2015 11th International Conference on the Design of Reliable Communication Networks, DRCN 2015</v>
      </c>
      <c r="B4116" s="8" t="str">
        <f>"9781479977956"</f>
        <v>9781479977956</v>
      </c>
      <c r="C4116" s="8" t="s">
        <v>105</v>
      </c>
    </row>
    <row r="4117" spans="1:3" x14ac:dyDescent="0.25">
      <c r="A4117" s="8" t="str">
        <f>"2015 12th Annual IEEE Consumer Communications and Networking Conference, CCNC 2015"</f>
        <v>2015 12th Annual IEEE Consumer Communications and Networking Conference, CCNC 2015</v>
      </c>
      <c r="B4117" s="8" t="str">
        <f>"9781479963904"</f>
        <v>9781479963904</v>
      </c>
      <c r="C4117" s="8" t="s">
        <v>105</v>
      </c>
    </row>
    <row r="4118" spans="1:3" x14ac:dyDescent="0.25">
      <c r="A4118" s="8" t="str">
        <f>"2015 12th International Conference on Service Systems and Service Management, ICSSSM 2015"</f>
        <v>2015 12th International Conference on Service Systems and Service Management, ICSSSM 2015</v>
      </c>
      <c r="B4118" s="8" t="str">
        <f>"9781479983285"</f>
        <v>9781479983285</v>
      </c>
      <c r="C4118" s="8" t="s">
        <v>105</v>
      </c>
    </row>
    <row r="4119" spans="1:3" x14ac:dyDescent="0.25">
      <c r="A4119" s="8" t="str">
        <f>"2015 13th International Conference on Engineering of Modern Electric Systems, EMES 2015"</f>
        <v>2015 13th International Conference on Engineering of Modern Electric Systems, EMES 2015</v>
      </c>
      <c r="B4119" s="8" t="str">
        <f>"9781479976508"</f>
        <v>9781479976508</v>
      </c>
      <c r="C4119" s="8" t="s">
        <v>105</v>
      </c>
    </row>
    <row r="4120" spans="1:3" x14ac:dyDescent="0.25">
      <c r="A4120" s="8" t="str">
        <f>"2015 13th International Symposium on Modeling and Optimization in Mobile, Ad Hoc, and Wireless Networks, WiOpt 2015"</f>
        <v>2015 13th International Symposium on Modeling and Optimization in Mobile, Ad Hoc, and Wireless Networks, WiOpt 2015</v>
      </c>
      <c r="B4120" s="8" t="str">
        <f>"9783901882746"</f>
        <v>9783901882746</v>
      </c>
      <c r="C4120" s="8" t="s">
        <v>105</v>
      </c>
    </row>
    <row r="4121" spans="1:3" x14ac:dyDescent="0.25">
      <c r="A4121" s="8" t="str">
        <f>"2015 16th International Conference on Thermal, Mechanical and Multi-Physics Simulation and Experiments in Microelectronics and Microsystems, EuroSimE 2015"</f>
        <v>2015 16th International Conference on Thermal, Mechanical and Multi-Physics Simulation and Experiments in Microelectronics and Microsystems, EuroSimE 2015</v>
      </c>
      <c r="B4121" s="8" t="str">
        <f>"9781479999507"</f>
        <v>9781479999507</v>
      </c>
      <c r="C4121" s="8" t="s">
        <v>105</v>
      </c>
    </row>
    <row r="4122" spans="1:3" x14ac:dyDescent="0.25">
      <c r="A4122" s="8" t="str">
        <f>"2015 16th Latin-American Test Symposium, LATS 2015"</f>
        <v>2015 16th Latin-American Test Symposium, LATS 2015</v>
      </c>
      <c r="B4122" s="8" t="str">
        <f>"9781467367103"</f>
        <v>9781467367103</v>
      </c>
      <c r="C4122" s="8" t="s">
        <v>105</v>
      </c>
    </row>
    <row r="4123" spans="1:3" x14ac:dyDescent="0.25">
      <c r="A4123" s="8" t="str">
        <f>"2015 18th International Conference on Intelligence in Next Generation Networks, ICIN 2015"</f>
        <v>2015 18th International Conference on Intelligence in Next Generation Networks, ICIN 2015</v>
      </c>
      <c r="B4123" s="8" t="str">
        <f>"9781479918669"</f>
        <v>9781479918669</v>
      </c>
      <c r="C4123" s="8" t="s">
        <v>105</v>
      </c>
    </row>
    <row r="4124" spans="1:3" x14ac:dyDescent="0.25">
      <c r="A4124" s="8" t="str">
        <f>"2015 1st Conference on Mobile and Secure Services, MOBISECSERV 2015"</f>
        <v>2015 1st Conference on Mobile and Secure Services, MOBISECSERV 2015</v>
      </c>
      <c r="B4124" s="8" t="str">
        <f>"9781479974283"</f>
        <v>9781479974283</v>
      </c>
      <c r="C4124" s="8" t="s">
        <v>105</v>
      </c>
    </row>
    <row r="4125" spans="1:3" x14ac:dyDescent="0.25">
      <c r="A4125" s="8" t="str">
        <f>"2015 1st Conference on Power, Dielectric and Energy Management at NERIST, ICPDEN 2015"</f>
        <v>2015 1st Conference on Power, Dielectric and Energy Management at NERIST, ICPDEN 2015</v>
      </c>
      <c r="B4125" s="8" t="str">
        <f>"9781479964598"</f>
        <v>9781479964598</v>
      </c>
      <c r="C4125" s="8" t="s">
        <v>105</v>
      </c>
    </row>
    <row r="4126" spans="1:3" x14ac:dyDescent="0.25">
      <c r="A4126" s="8" t="str">
        <f>"2015 1st International Conference on Futuristic Trends in Computational Analysis and Knowledge Management, ABLAZE 2015"</f>
        <v>2015 1st International Conference on Futuristic Trends in Computational Analysis and Knowledge Management, ABLAZE 2015</v>
      </c>
      <c r="B4126" s="8" t="str">
        <f>"9781479984336"</f>
        <v>9781479984336</v>
      </c>
      <c r="C4126" s="8" t="s">
        <v>105</v>
      </c>
    </row>
    <row r="4127" spans="1:3" x14ac:dyDescent="0.25">
      <c r="A4127" s="8" t="str">
        <f>"2015 21st National Conference on Communications, NCC 2015"</f>
        <v>2015 21st National Conference on Communications, NCC 2015</v>
      </c>
      <c r="B4127" s="8" t="str">
        <f>"9781479966196"</f>
        <v>9781479966196</v>
      </c>
      <c r="C4127" s="8" t="s">
        <v>105</v>
      </c>
    </row>
    <row r="4128" spans="1:3" x14ac:dyDescent="0.25">
      <c r="A4128" s="8" t="str">
        <f>"2015 22nd International Conference on Telecommunications, ICT 2015"</f>
        <v>2015 22nd International Conference on Telecommunications, ICT 2015</v>
      </c>
      <c r="B4128" s="8" t="str">
        <f>"9781479980789"</f>
        <v>9781479980789</v>
      </c>
      <c r="C4128" s="8" t="s">
        <v>105</v>
      </c>
    </row>
    <row r="4129" spans="1:3" x14ac:dyDescent="0.25">
      <c r="A4129" s="8" t="str">
        <f>"2015 23rd Signal Processing and Communications Applications Conference, SIU 2015 - Proceedings"</f>
        <v>2015 23rd Signal Processing and Communications Applications Conference, SIU 2015 - Proceedings</v>
      </c>
      <c r="B4129" s="8" t="str">
        <f>"9781467373869"</f>
        <v>9781467373869</v>
      </c>
      <c r="C4129" s="8" t="s">
        <v>105</v>
      </c>
    </row>
    <row r="4130" spans="1:3" x14ac:dyDescent="0.25">
      <c r="A4130" s="8" t="str">
        <f>"2015 2nd International Conference on eDemocracy and eGovernment, ICEDEG 2015"</f>
        <v>2015 2nd International Conference on eDemocracy and eGovernment, ICEDEG 2015</v>
      </c>
      <c r="B4130" s="8" t="str">
        <f>"9783907589137"</f>
        <v>9783907589137</v>
      </c>
      <c r="C4130" s="8" t="s">
        <v>105</v>
      </c>
    </row>
    <row r="4131" spans="1:3" x14ac:dyDescent="0.25">
      <c r="A4131" s="8" t="str">
        <f>"2015 2nd International Conference on Pattern Recognition and Image Analysis, IPRIA 2015"</f>
        <v>2015 2nd International Conference on Pattern Recognition and Image Analysis, IPRIA 2015</v>
      </c>
      <c r="B4131" s="8" t="str">
        <f>"9781479984459"</f>
        <v>9781479984459</v>
      </c>
      <c r="C4131" s="8" t="s">
        <v>105</v>
      </c>
    </row>
    <row r="4132" spans="1:3" x14ac:dyDescent="0.25">
      <c r="A4132" s="8" t="str">
        <f>"2015 2nd World Symposium on Web Applications and Networking, WSWAN 2015"</f>
        <v>2015 2nd World Symposium on Web Applications and Networking, WSWAN 2015</v>
      </c>
      <c r="B4132" s="8" t="str">
        <f>"9781479981717"</f>
        <v>9781479981717</v>
      </c>
      <c r="C4132" s="8" t="s">
        <v>105</v>
      </c>
    </row>
    <row r="4133" spans="1:3" x14ac:dyDescent="0.25">
      <c r="A4133" s="8" t="str">
        <f>"2015 3rd IEEE VR International Workshop on Virtual and Augmented Assistive Technology, VAAT 2015"</f>
        <v>2015 3rd IEEE VR International Workshop on Virtual and Augmented Assistive Technology, VAAT 2015</v>
      </c>
      <c r="B4133" s="8" t="str">
        <f>"9781467365185"</f>
        <v>9781467365185</v>
      </c>
      <c r="C4133" s="8" t="s">
        <v>105</v>
      </c>
    </row>
    <row r="4134" spans="1:3" x14ac:dyDescent="0.25">
      <c r="A4134" s="8" t="str">
        <f>"2015 3rd International Conference on Digital Information, Networking, and Wireless Communications, DINWC 2015"</f>
        <v>2015 3rd International Conference on Digital Information, Networking, and Wireless Communications, DINWC 2015</v>
      </c>
      <c r="B4134" s="8" t="str">
        <f>"9781479963768"</f>
        <v>9781479963768</v>
      </c>
      <c r="C4134" s="8" t="s">
        <v>105</v>
      </c>
    </row>
    <row r="4135" spans="1:3" x14ac:dyDescent="0.25">
      <c r="A4135" s="8" t="str">
        <f>"2015 3rd International Conference on Technological Advances in Electrical, Electronics and Computer Engineering, TAEECE 2015"</f>
        <v>2015 3rd International Conference on Technological Advances in Electrical, Electronics and Computer Engineering, TAEECE 2015</v>
      </c>
      <c r="B4135" s="8" t="str">
        <f>"9781479956807"</f>
        <v>9781479956807</v>
      </c>
      <c r="C4135" s="8" t="s">
        <v>105</v>
      </c>
    </row>
    <row r="4136" spans="1:3" x14ac:dyDescent="0.25">
      <c r="A4136" s="8" t="str">
        <f>"2015 41st Annual Northeast Biomedical Engineering Conference, NEBEC 2015"</f>
        <v>2015 41st Annual Northeast Biomedical Engineering Conference, NEBEC 2015</v>
      </c>
      <c r="B4136" s="8" t="str">
        <f>"9781479983605"</f>
        <v>9781479983605</v>
      </c>
      <c r="C4136" s="8" t="s">
        <v>105</v>
      </c>
    </row>
    <row r="4137" spans="1:3" x14ac:dyDescent="0.25">
      <c r="A4137" s="8" t="str">
        <f>"2015 49th Annual Conference on Information Sciences and Systems, CISS 2015"</f>
        <v>2015 49th Annual Conference on Information Sciences and Systems, CISS 2015</v>
      </c>
      <c r="B4137" s="8" t="str">
        <f>"9781479984282"</f>
        <v>9781479984282</v>
      </c>
      <c r="C4137" s="8" t="s">
        <v>105</v>
      </c>
    </row>
    <row r="4138" spans="1:3" x14ac:dyDescent="0.25">
      <c r="A4138" s="8" t="str">
        <f>"2015 4th IEEE International Conference on Advanced Logistics and Transport, IEEE ICALT 2015"</f>
        <v>2015 4th IEEE International Conference on Advanced Logistics and Transport, IEEE ICALT 2015</v>
      </c>
      <c r="B4138" s="8" t="str">
        <f>"9781479984008"</f>
        <v>9781479984008</v>
      </c>
      <c r="C4138" s="8" t="s">
        <v>105</v>
      </c>
    </row>
    <row r="4139" spans="1:3" x14ac:dyDescent="0.25">
      <c r="A4139" s="8" t="str">
        <f>"2015 4th International Symposium on Emerging Trends and Technologies in Libraries and Information Services, ETTLIS 2015 - Proceedings"</f>
        <v>2015 4th International Symposium on Emerging Trends and Technologies in Libraries and Information Services, ETTLIS 2015 - Proceedings</v>
      </c>
      <c r="B4139" s="8" t="str">
        <f>"9781479979998"</f>
        <v>9781479979998</v>
      </c>
      <c r="C4139" s="8" t="s">
        <v>105</v>
      </c>
    </row>
    <row r="4140" spans="1:3" x14ac:dyDescent="0.25">
      <c r="A4140" s="8" t="str">
        <f>"2015 5th International Conference on Digital Information and Communication Technology and Its Applications, DICTAP 2015"</f>
        <v>2015 5th International Conference on Digital Information and Communication Technology and Its Applications, DICTAP 2015</v>
      </c>
      <c r="B4140" s="8" t="str">
        <f>"9781479941292"</f>
        <v>9781479941292</v>
      </c>
      <c r="C4140" s="8" t="s">
        <v>105</v>
      </c>
    </row>
    <row r="4141" spans="1:3" x14ac:dyDescent="0.25">
      <c r="A4141" s="8" t="str">
        <f>"2015 5th International Workshop on Computer Science and Engineering: Information Processing and Control Engineering, WCSE 2015-IPCE"</f>
        <v>2015 5th International Workshop on Computer Science and Engineering: Information Processing and Control Engineering, WCSE 2015-IPCE</v>
      </c>
      <c r="B4141" s="8" t="str">
        <f>"-"</f>
        <v>-</v>
      </c>
      <c r="C4141" s="8" t="s">
        <v>1387</v>
      </c>
    </row>
    <row r="4142" spans="1:3" x14ac:dyDescent="0.25">
      <c r="A4142" s="8" t="str">
        <f>"2015 68th Annual Conference for Protective Relay Engineers, CPRE 2015"</f>
        <v>2015 68th Annual Conference for Protective Relay Engineers, CPRE 2015</v>
      </c>
      <c r="B4142" s="8" t="str">
        <f>"9781479987221"</f>
        <v>9781479987221</v>
      </c>
      <c r="C4142" s="8" t="s">
        <v>105</v>
      </c>
    </row>
    <row r="4143" spans="1:3" x14ac:dyDescent="0.25">
      <c r="A4143" s="8" t="str">
        <f>"2015 6th International Conference on Information and Communication Systems, ICICS 2015"</f>
        <v>2015 6th International Conference on Information and Communication Systems, ICICS 2015</v>
      </c>
      <c r="B4143" s="8" t="str">
        <f>"9781479973491"</f>
        <v>9781479973491</v>
      </c>
      <c r="C4143" s="8" t="s">
        <v>105</v>
      </c>
    </row>
    <row r="4144" spans="1:3" x14ac:dyDescent="0.25">
      <c r="A4144" s="8" t="str">
        <f>"2015 6th International Conference on Information and Communication Technology for Embedded Systems, IC-ICTES 2015"</f>
        <v>2015 6th International Conference on Information and Communication Technology for Embedded Systems, IC-ICTES 2015</v>
      </c>
      <c r="B4144" s="8" t="str">
        <f>"9781479985647"</f>
        <v>9781479985647</v>
      </c>
      <c r="C4144" s="8" t="s">
        <v>105</v>
      </c>
    </row>
    <row r="4145" spans="1:3" x14ac:dyDescent="0.25">
      <c r="A4145" s="8" t="str">
        <f>"2015 6th International Renewable Energy Congress, IREC 2015"</f>
        <v>2015 6th International Renewable Energy Congress, IREC 2015</v>
      </c>
      <c r="B4145" s="8" t="str">
        <f>"9781479979479"</f>
        <v>9781479979479</v>
      </c>
      <c r="C4145" s="8" t="s">
        <v>105</v>
      </c>
    </row>
    <row r="4146" spans="1:3" x14ac:dyDescent="0.25">
      <c r="A4146" s="8" t="str">
        <f>"2015 7th International Conference on Communication Systems and Networks, COMSNETS 2015 - Proceedings"</f>
        <v>2015 7th International Conference on Communication Systems and Networks, COMSNETS 2015 - Proceedings</v>
      </c>
      <c r="B4146" s="8" t="str">
        <f>"9781479984398"</f>
        <v>9781479984398</v>
      </c>
      <c r="C4146" s="8" t="s">
        <v>105</v>
      </c>
    </row>
    <row r="4147" spans="1:3" x14ac:dyDescent="0.25">
      <c r="A4147" s="8" t="str">
        <f>"2015 7th International Workshop on Quality of Multimedia Experience, QoMEX 2015"</f>
        <v>2015 7th International Workshop on Quality of Multimedia Experience, QoMEX 2015</v>
      </c>
      <c r="B4147" s="8" t="str">
        <f>"9781479989584"</f>
        <v>9781479989584</v>
      </c>
      <c r="C4147" s="8" t="s">
        <v>105</v>
      </c>
    </row>
    <row r="4148" spans="1:3" x14ac:dyDescent="0.25">
      <c r="A4148" s="8" t="str">
        <f>"2015 8th International Conference on Mobile Computing and Ubiquitous Networking, ICMU 2015"</f>
        <v>2015 8th International Conference on Mobile Computing and Ubiquitous Networking, ICMU 2015</v>
      </c>
      <c r="B4148" s="8" t="str">
        <f>"9784907626129"</f>
        <v>9784907626129</v>
      </c>
      <c r="C4148" s="8" t="s">
        <v>105</v>
      </c>
    </row>
    <row r="4149" spans="1:3" x14ac:dyDescent="0.25">
      <c r="A4149" s="8" t="str">
        <f>"2015 9th European Conference on Antennas and Propagation, EuCAP 2015"</f>
        <v>2015 9th European Conference on Antennas and Propagation, EuCAP 2015</v>
      </c>
      <c r="B4149" s="8" t="str">
        <f>"9788890701856"</f>
        <v>9788890701856</v>
      </c>
      <c r="C4149" s="8" t="s">
        <v>105</v>
      </c>
    </row>
    <row r="4150" spans="1:3" x14ac:dyDescent="0.25">
      <c r="A4150" s="8" t="str">
        <f>"2015 9th International Conference on e-Commerce in Developing Countries: With Focus on e-Business, ECDC 2015"</f>
        <v>2015 9th International Conference on e-Commerce in Developing Countries: With Focus on e-Business, ECDC 2015</v>
      </c>
      <c r="B4150" s="8" t="str">
        <f>"9781479986545"</f>
        <v>9781479986545</v>
      </c>
      <c r="C4150" s="8" t="s">
        <v>105</v>
      </c>
    </row>
    <row r="4151" spans="1:3" x14ac:dyDescent="0.25">
      <c r="A4151" s="8" t="str">
        <f>"2015 9th International Symposium on Advanced Topics in Electrical Engineering, ATEE 2015"</f>
        <v>2015 9th International Symposium on Advanced Topics in Electrical Engineering, ATEE 2015</v>
      </c>
      <c r="B4151" s="8" t="str">
        <f>"9781479975143"</f>
        <v>9781479975143</v>
      </c>
      <c r="C4151" s="8" t="s">
        <v>105</v>
      </c>
    </row>
    <row r="4152" spans="1:3" x14ac:dyDescent="0.25">
      <c r="A4152" s="8" t="str">
        <f>"2015 Clemson University Power Systems Conference, PSC 2015"</f>
        <v>2015 Clemson University Power Systems Conference, PSC 2015</v>
      </c>
      <c r="B4152" s="8" t="str">
        <f>"9781479919512"</f>
        <v>9781479919512</v>
      </c>
      <c r="C4152" s="8" t="s">
        <v>105</v>
      </c>
    </row>
    <row r="4153" spans="1:3" x14ac:dyDescent="0.25">
      <c r="A4153" s="8" t="str">
        <f>"2015 Frontiers of Computer Vision, FCV 2015"</f>
        <v>2015 Frontiers of Computer Vision, FCV 2015</v>
      </c>
      <c r="B4153" s="8" t="str">
        <f>"9781479917204"</f>
        <v>9781479917204</v>
      </c>
      <c r="C4153" s="8" t="s">
        <v>105</v>
      </c>
    </row>
    <row r="4154" spans="1:3" x14ac:dyDescent="0.25">
      <c r="A4154" s="8" t="str">
        <f>"2015 German Microwave Conference, GeMiC 2015"</f>
        <v>2015 German Microwave Conference, GeMiC 2015</v>
      </c>
      <c r="B4154" s="8" t="str">
        <f>"9783981266863"</f>
        <v>9783981266863</v>
      </c>
      <c r="C4154" s="8" t="s">
        <v>105</v>
      </c>
    </row>
    <row r="4155" spans="1:3" x14ac:dyDescent="0.25">
      <c r="A4155" s="8" t="str">
        <f>"2015 IEEE 10th International Conference on Intelligent Sensors, Sensor Networks and Information Processing, ISSNIP 2015"</f>
        <v>2015 IEEE 10th International Conference on Intelligent Sensors, Sensor Networks and Information Processing, ISSNIP 2015</v>
      </c>
      <c r="B4155" s="8" t="str">
        <f>"9781479980550"</f>
        <v>9781479980550</v>
      </c>
      <c r="C4155" s="8" t="s">
        <v>105</v>
      </c>
    </row>
    <row r="4156" spans="1:3" x14ac:dyDescent="0.25">
      <c r="A4156" s="8" t="str">
        <f>"2015 IEEE 10th International Conference on Nano/Micro Engineered and Molecular Systems, NEMS 2015"</f>
        <v>2015 IEEE 10th International Conference on Nano/Micro Engineered and Molecular Systems, NEMS 2015</v>
      </c>
      <c r="B4156" s="8" t="str">
        <f>"9781467366953"</f>
        <v>9781467366953</v>
      </c>
      <c r="C4156" s="8" t="s">
        <v>105</v>
      </c>
    </row>
    <row r="4157" spans="1:3" x14ac:dyDescent="0.25">
      <c r="A4157" s="8" t="str">
        <f>"2015 IEEE 15th International Conference on Environment and Electrical Engineering, EEEIC 2015 - Conference Proceedings"</f>
        <v>2015 IEEE 15th International Conference on Environment and Electrical Engineering, EEEIC 2015 - Conference Proceedings</v>
      </c>
      <c r="B4157" s="8" t="str">
        <f>"9781479979936"</f>
        <v>9781479979936</v>
      </c>
      <c r="C4157" s="8" t="s">
        <v>105</v>
      </c>
    </row>
    <row r="4158" spans="1:3" x14ac:dyDescent="0.25">
      <c r="A4158" s="8" t="str">
        <f>"2015 IEEE 15th Topical Meeting on Silicon Monolithic Integrated Circuits in RF Systems, SiRF 2015"</f>
        <v>2015 IEEE 15th Topical Meeting on Silicon Monolithic Integrated Circuits in RF Systems, SiRF 2015</v>
      </c>
      <c r="B4158" s="8" t="str">
        <f>"9781479981960"</f>
        <v>9781479981960</v>
      </c>
      <c r="C4158" s="8" t="s">
        <v>105</v>
      </c>
    </row>
    <row r="4159" spans="1:3" x14ac:dyDescent="0.25">
      <c r="A4159" s="8" t="str">
        <f>"2015 IEEE 16th Annual Wireless and Microwave Technology Conference, WAMICON 2015"</f>
        <v>2015 IEEE 16th Annual Wireless and Microwave Technology Conference, WAMICON 2015</v>
      </c>
      <c r="B4159" s="8" t="str">
        <f>"9781479975211"</f>
        <v>9781479975211</v>
      </c>
      <c r="C4159" s="8" t="s">
        <v>105</v>
      </c>
    </row>
    <row r="4160" spans="1:3" x14ac:dyDescent="0.25">
      <c r="A4160" s="8" t="str">
        <f>"2015 IEEE 1st International Conference on Direct Current Microgrids, ICDCM 2015"</f>
        <v>2015 IEEE 1st International Conference on Direct Current Microgrids, ICDCM 2015</v>
      </c>
      <c r="B4160" s="8" t="str">
        <f>"9781479998791"</f>
        <v>9781479998791</v>
      </c>
      <c r="C4160" s="8" t="s">
        <v>105</v>
      </c>
    </row>
    <row r="4161" spans="1:3" x14ac:dyDescent="0.25">
      <c r="A4161" s="8" t="str">
        <f>"2015 IEEE 1st International Workshop on Software Analytics, SWAN 2015 - Proceedings"</f>
        <v>2015 IEEE 1st International Workshop on Software Analytics, SWAN 2015 - Proceedings</v>
      </c>
      <c r="B4161" s="8" t="str">
        <f>"9781467369237"</f>
        <v>9781467369237</v>
      </c>
      <c r="C4161" s="8" t="s">
        <v>105</v>
      </c>
    </row>
    <row r="4162" spans="1:3" x14ac:dyDescent="0.25">
      <c r="A4162" s="8" t="str">
        <f>"2015 IEEE 1st International Workshop on Virtual and Augmented Reality for Molecular Science, VARMS@IEEEVR 2015"</f>
        <v>2015 IEEE 1st International Workshop on Virtual and Augmented Reality for Molecular Science, VARMS@IEEEVR 2015</v>
      </c>
      <c r="B4162" s="8" t="str">
        <f>"9781467369268"</f>
        <v>9781467369268</v>
      </c>
      <c r="C4162" s="8" t="s">
        <v>105</v>
      </c>
    </row>
    <row r="4163" spans="1:3" x14ac:dyDescent="0.25">
      <c r="A4163" s="8" t="str">
        <f>"2015 IEEE 1st Workshop on Everyday Virtual Reality, WEVR 2015"</f>
        <v>2015 IEEE 1st Workshop on Everyday Virtual Reality, WEVR 2015</v>
      </c>
      <c r="B4163" s="8" t="str">
        <f>"9781479917259"</f>
        <v>9781479917259</v>
      </c>
      <c r="C4163" s="8" t="s">
        <v>105</v>
      </c>
    </row>
    <row r="4164" spans="1:3" x14ac:dyDescent="0.25">
      <c r="A4164" s="8" t="str">
        <f>"2015 IEEE 21st International Symposium on High Performance Computer Architecture, HPCA 2015"</f>
        <v>2015 IEEE 21st International Symposium on High Performance Computer Architecture, HPCA 2015</v>
      </c>
      <c r="B4164" s="8" t="str">
        <f>"9781479989300"</f>
        <v>9781479989300</v>
      </c>
      <c r="C4164" s="8" t="s">
        <v>105</v>
      </c>
    </row>
    <row r="4165" spans="1:3" x14ac:dyDescent="0.25">
      <c r="A4165" s="8" t="str">
        <f>"2015 IEEE 22nd International Conference on Software Analysis, Evolution, and Reengineering, SANER 2015 - Proceedings"</f>
        <v>2015 IEEE 22nd International Conference on Software Analysis, Evolution, and Reengineering, SANER 2015 - Proceedings</v>
      </c>
      <c r="B4165" s="8" t="str">
        <f>"9781479984695"</f>
        <v>9781479984695</v>
      </c>
      <c r="C4165" s="8" t="s">
        <v>105</v>
      </c>
    </row>
    <row r="4166" spans="1:3" x14ac:dyDescent="0.25">
      <c r="A4166" s="8" t="str">
        <f>"2015 IEEE 2nd International Workshop on Patterns Promotion and Anti-Patterns Prevention, PPAP 2015 - Proceedings"</f>
        <v>2015 IEEE 2nd International Workshop on Patterns Promotion and Anti-Patterns Prevention, PPAP 2015 - Proceedings</v>
      </c>
      <c r="B4166" s="8" t="str">
        <f>"9781467369206"</f>
        <v>9781467369206</v>
      </c>
      <c r="C4166" s="8" t="s">
        <v>105</v>
      </c>
    </row>
    <row r="4167" spans="1:3" x14ac:dyDescent="0.25">
      <c r="A4167" s="8" t="str">
        <f>"2015 IEEE 35th International Conference on Electronics and Nanotechnology, ELNANO 2015 - Conference Proceedings"</f>
        <v>2015 IEEE 35th International Conference on Electronics and Nanotechnology, ELNANO 2015 - Conference Proceedings</v>
      </c>
      <c r="B4167" s="8" t="str">
        <f>"9781467365345"</f>
        <v>9781467365345</v>
      </c>
      <c r="C4167" s="8" t="s">
        <v>105</v>
      </c>
    </row>
    <row r="4168" spans="1:3" x14ac:dyDescent="0.25">
      <c r="A4168" s="8" t="str">
        <f>"2015 IEEE 6th International Workshop on Program Comprehension Through Dynamic Analysis, PCODA 2015 - Proceedings"</f>
        <v>2015 IEEE 6th International Workshop on Program Comprehension Through Dynamic Analysis, PCODA 2015 - Proceedings</v>
      </c>
      <c r="B4168" s="8" t="str">
        <f>"9781467369176"</f>
        <v>9781467369176</v>
      </c>
      <c r="C4168" s="8" t="s">
        <v>105</v>
      </c>
    </row>
    <row r="4169" spans="1:3" x14ac:dyDescent="0.25">
      <c r="A4169" s="8" t="str">
        <f>"2015 IEEE 6th Latin American Symposium on Circuits and Systems, LASCAS 2015 - Conference Proceedings"</f>
        <v>2015 IEEE 6th Latin American Symposium on Circuits and Systems, LASCAS 2015 - Conference Proceedings</v>
      </c>
      <c r="B4169" s="8" t="str">
        <f>"9781479983322"</f>
        <v>9781479983322</v>
      </c>
      <c r="C4169" s="8" t="s">
        <v>105</v>
      </c>
    </row>
    <row r="4170" spans="1:3" x14ac:dyDescent="0.25">
      <c r="A4170" s="8" t="str">
        <f>"2015 IEEE 7th International Memory Workshop, IMW 2015"</f>
        <v>2015 IEEE 7th International Memory Workshop, IMW 2015</v>
      </c>
      <c r="B4170" s="8" t="str">
        <f>"9781467369312"</f>
        <v>9781467369312</v>
      </c>
      <c r="C4170" s="8" t="s">
        <v>105</v>
      </c>
    </row>
    <row r="4171" spans="1:3" x14ac:dyDescent="0.25">
      <c r="A4171" s="8" t="str">
        <f>"2015 IEEE 8th GCC Conference and Exhibition, GCCCE 2015"</f>
        <v>2015 IEEE 8th GCC Conference and Exhibition, GCCCE 2015</v>
      </c>
      <c r="B4171" s="8" t="str">
        <f>"9781479984220"</f>
        <v>9781479984220</v>
      </c>
      <c r="C4171" s="8" t="s">
        <v>105</v>
      </c>
    </row>
    <row r="4172" spans="1:3" x14ac:dyDescent="0.25">
      <c r="A4172" s="8" t="str">
        <f>"2015 IEEE 8th International Conference on Software Testing, Verification and Validation Workshops, ICSTW 2015 - Proceedings"</f>
        <v>2015 IEEE 8th International Conference on Software Testing, Verification and Validation Workshops, ICSTW 2015 - Proceedings</v>
      </c>
      <c r="B4172" s="8" t="str">
        <f>"9781479918850"</f>
        <v>9781479918850</v>
      </c>
      <c r="C4172" s="8" t="s">
        <v>105</v>
      </c>
    </row>
    <row r="4173" spans="1:3" x14ac:dyDescent="0.25">
      <c r="A4173" s="8" t="str">
        <f>"2015 IEEE 8th International Conference on Software Testing, Verification and Validation, ICST 2015 - Proceedings"</f>
        <v>2015 IEEE 8th International Conference on Software Testing, Verification and Validation, ICST 2015 - Proceedings</v>
      </c>
      <c r="B4173" s="8" t="str">
        <f>"9781479971251"</f>
        <v>9781479971251</v>
      </c>
      <c r="C4173" s="8" t="s">
        <v>105</v>
      </c>
    </row>
    <row r="4174" spans="1:3" x14ac:dyDescent="0.25">
      <c r="A4174" s="8" t="str">
        <f>"2015 IEEE 9th International Workshop on Software Clones, IWSC 2015 - Proceedings"</f>
        <v>2015 IEEE 9th International Workshop on Software Clones, IWSC 2015 - Proceedings</v>
      </c>
      <c r="B4174" s="8" t="str">
        <f>"9781467369145"</f>
        <v>9781467369145</v>
      </c>
      <c r="C4174" s="8" t="s">
        <v>105</v>
      </c>
    </row>
    <row r="4175" spans="1:3" x14ac:dyDescent="0.25">
      <c r="A4175" s="8" t="str">
        <f>"2015 IEEE Colombian Conference on Communications and Computing, COLCOM 2015 - Conference Proceedings"</f>
        <v>2015 IEEE Colombian Conference on Communications and Computing, COLCOM 2015 - Conference Proceedings</v>
      </c>
      <c r="B4175" s="8" t="str">
        <f>"9781479988341"</f>
        <v>9781479988341</v>
      </c>
      <c r="C4175" s="8" t="s">
        <v>105</v>
      </c>
    </row>
    <row r="4176" spans="1:3" x14ac:dyDescent="0.25">
      <c r="A4176" s="8" t="str">
        <f>"2015 IEEE Eindhoven PowerTech, PowerTech 2015"</f>
        <v>2015 IEEE Eindhoven PowerTech, PowerTech 2015</v>
      </c>
      <c r="B4176" s="8" t="str">
        <f>"9781479976935"</f>
        <v>9781479976935</v>
      </c>
      <c r="C4176" s="8" t="s">
        <v>105</v>
      </c>
    </row>
    <row r="4177" spans="1:3" x14ac:dyDescent="0.25">
      <c r="A4177" s="8" t="str">
        <f>"2015 IEEE Electric Ship Technologies Symposium, ESTS 2015"</f>
        <v>2015 IEEE Electric Ship Technologies Symposium, ESTS 2015</v>
      </c>
      <c r="B4177" s="8" t="str">
        <f>"9781479918577"</f>
        <v>9781479918577</v>
      </c>
      <c r="C4177" s="8" t="s">
        <v>105</v>
      </c>
    </row>
    <row r="4178" spans="1:3" x14ac:dyDescent="0.25">
      <c r="A4178" s="8" t="str">
        <f>"2015 IEEE Great Lakes Biomedical Conference, GLBC 2015 - Proceedings"</f>
        <v>2015 IEEE Great Lakes Biomedical Conference, GLBC 2015 - Proceedings</v>
      </c>
      <c r="B4178" s="8" t="str">
        <f>"9781479917921"</f>
        <v>9781479917921</v>
      </c>
      <c r="C4178" s="8" t="s">
        <v>105</v>
      </c>
    </row>
    <row r="4179" spans="1:3" x14ac:dyDescent="0.25">
      <c r="A4179" s="8" t="str">
        <f>"2015 IEEE Information Theory Workshop, ITW 2015"</f>
        <v>2015 IEEE Information Theory Workshop, ITW 2015</v>
      </c>
      <c r="B4179" s="8" t="str">
        <f>"9781479955268"</f>
        <v>9781479955268</v>
      </c>
      <c r="C4179" s="8" t="s">
        <v>105</v>
      </c>
    </row>
    <row r="4180" spans="1:3" x14ac:dyDescent="0.25">
      <c r="A4180" s="8" t="str">
        <f>"2015 IEEE International Black Sea Conference on Communications and Networking, BlackSeaCom 2015"</f>
        <v>2015 IEEE International Black Sea Conference on Communications and Networking, BlackSeaCom 2015</v>
      </c>
      <c r="B4180" s="8" t="str">
        <f>"9781479985050"</f>
        <v>9781479985050</v>
      </c>
      <c r="C4180" s="8" t="s">
        <v>105</v>
      </c>
    </row>
    <row r="4181" spans="1:3" x14ac:dyDescent="0.25">
      <c r="A4181" s="8" t="str">
        <f>"2015 IEEE International Conference on Communication Workshop, ICCW 2015"</f>
        <v>2015 IEEE International Conference on Communication Workshop, ICCW 2015</v>
      </c>
      <c r="B4181" s="8" t="str">
        <f>"9781467363051"</f>
        <v>9781467363051</v>
      </c>
      <c r="C4181" s="8" t="s">
        <v>105</v>
      </c>
    </row>
    <row r="4182" spans="1:3" x14ac:dyDescent="0.25">
      <c r="A4182" s="8" t="str">
        <f>"2015 IEEE International Conference on Computational Intelligence and Virtual Environments for Measurement Systems and Applications, CIVEMSA 2015"</f>
        <v>2015 IEEE International Conference on Computational Intelligence and Virtual Environments for Measurement Systems and Applications, CIVEMSA 2015</v>
      </c>
      <c r="B4182" s="8" t="str">
        <f>"9781479960910"</f>
        <v>9781479960910</v>
      </c>
      <c r="C4182" s="8" t="s">
        <v>105</v>
      </c>
    </row>
    <row r="4183" spans="1:3" x14ac:dyDescent="0.25">
      <c r="A4183" s="8" t="str">
        <f>"2015 IEEE International Conference on Computational Photography, ICCP 2015 - Proceedings"</f>
        <v>2015 IEEE International Conference on Computational Photography, ICCP 2015 - Proceedings</v>
      </c>
      <c r="B4183" s="8" t="str">
        <f>"9781479986675"</f>
        <v>9781479986675</v>
      </c>
      <c r="C4183" s="8" t="s">
        <v>105</v>
      </c>
    </row>
    <row r="4184" spans="1:3" x14ac:dyDescent="0.25">
      <c r="A4184" s="8" t="str">
        <f>"2015 IEEE International Conference on Consumer Electronics, ICCE 2015"</f>
        <v>2015 IEEE International Conference on Consumer Electronics, ICCE 2015</v>
      </c>
      <c r="B4184" s="8" t="str">
        <f>"9781479975426"</f>
        <v>9781479975426</v>
      </c>
      <c r="C4184" s="8" t="s">
        <v>105</v>
      </c>
    </row>
    <row r="4185" spans="1:3" x14ac:dyDescent="0.25">
      <c r="A4185" s="8" t="str">
        <f>"2015 IEEE International Conference on Identity, Security and Behavior Analysis, ISBA 2015"</f>
        <v>2015 IEEE International Conference on Identity, Security and Behavior Analysis, ISBA 2015</v>
      </c>
      <c r="B4185" s="8" t="str">
        <f>"9781479919741"</f>
        <v>9781479919741</v>
      </c>
      <c r="C4185" s="8" t="s">
        <v>105</v>
      </c>
    </row>
    <row r="4186" spans="1:3" x14ac:dyDescent="0.25">
      <c r="A4186" s="8" t="str">
        <f>"2015 IEEE International Conference on Microelectronics Systems Education, MSE 2015"</f>
        <v>2015 IEEE International Conference on Microelectronics Systems Education, MSE 2015</v>
      </c>
      <c r="B4186" s="8" t="str">
        <f>"9781479999132"</f>
        <v>9781479999132</v>
      </c>
      <c r="C4186" s="8" t="s">
        <v>105</v>
      </c>
    </row>
    <row r="4187" spans="1:3" x14ac:dyDescent="0.25">
      <c r="A4187" s="8" t="str">
        <f>"2015 IEEE International Conference on Pervasive Computing and Communications, PerCom 2015"</f>
        <v>2015 IEEE International Conference on Pervasive Computing and Communications, PerCom 2015</v>
      </c>
      <c r="B4187" s="8" t="str">
        <f>"9781479980338"</f>
        <v>9781479980338</v>
      </c>
      <c r="C4187" s="8" t="s">
        <v>105</v>
      </c>
    </row>
    <row r="4188" spans="1:3" x14ac:dyDescent="0.25">
      <c r="A4188" s="8" t="str">
        <f>"2015 IEEE International Conference on RFID, RFID 2015"</f>
        <v>2015 IEEE International Conference on RFID, RFID 2015</v>
      </c>
      <c r="B4188" s="8" t="str">
        <f>"9781479919376"</f>
        <v>9781479919376</v>
      </c>
      <c r="C4188" s="8" t="s">
        <v>105</v>
      </c>
    </row>
    <row r="4189" spans="1:3" x14ac:dyDescent="0.25">
      <c r="A4189" s="8" t="str">
        <f>"2015 IEEE International Conference on Signal Processing, Informatics, Communication and Energy Systems, SPICES 2015"</f>
        <v>2015 IEEE International Conference on Signal Processing, Informatics, Communication and Energy Systems, SPICES 2015</v>
      </c>
      <c r="B4189" s="8" t="str">
        <f>"9781479918232"</f>
        <v>9781479918232</v>
      </c>
      <c r="C4189" s="8" t="s">
        <v>105</v>
      </c>
    </row>
    <row r="4190" spans="1:3" x14ac:dyDescent="0.25">
      <c r="A4190" s="8" t="str">
        <f>"2015 IEEE International Magnetics Conference, INTERMAG 2015"</f>
        <v>2015 IEEE International Magnetics Conference, INTERMAG 2015</v>
      </c>
      <c r="B4190" s="8" t="str">
        <f>"9781479973224"</f>
        <v>9781479973224</v>
      </c>
      <c r="C4190" s="8" t="s">
        <v>105</v>
      </c>
    </row>
    <row r="4191" spans="1:3" x14ac:dyDescent="0.25">
      <c r="A4191" s="8" t="str">
        <f>"2015 IEEE International Multi-Disciplinary Conference on Cognitive Methods in Situation Awareness and Decision, CogSIMA 2015"</f>
        <v>2015 IEEE International Multi-Disciplinary Conference on Cognitive Methods in Situation Awareness and Decision, CogSIMA 2015</v>
      </c>
      <c r="B4191" s="8" t="str">
        <f>"9781479980154"</f>
        <v>9781479980154</v>
      </c>
      <c r="C4191" s="8" t="s">
        <v>105</v>
      </c>
    </row>
    <row r="4192" spans="1:3" x14ac:dyDescent="0.25">
      <c r="A4192" s="8" t="str">
        <f>"2015 IEEE International Symposium on Medical Measurements and Applications, MeMeA 2015 - Proceedings"</f>
        <v>2015 IEEE International Symposium on Medical Measurements and Applications, MeMeA 2015 - Proceedings</v>
      </c>
      <c r="B4192" s="8" t="str">
        <f>"9781479964765"</f>
        <v>9781479964765</v>
      </c>
      <c r="C4192" s="8" t="s">
        <v>105</v>
      </c>
    </row>
    <row r="4193" spans="1:3" x14ac:dyDescent="0.25">
      <c r="A4193" s="8" t="str">
        <f>"2015 IEEE International Symposium on Power Line Communications and Its Applications, ISPLC 2015"</f>
        <v>2015 IEEE International Symposium on Power Line Communications and Its Applications, ISPLC 2015</v>
      </c>
      <c r="B4193" s="8" t="str">
        <f>"9781479984138"</f>
        <v>9781479984138</v>
      </c>
      <c r="C4193" s="8" t="s">
        <v>105</v>
      </c>
    </row>
    <row r="4194" spans="1:3" x14ac:dyDescent="0.25">
      <c r="A4194" s="8" t="str">
        <f>"2015 IEEE International Wireless Symposium, IWS 2015"</f>
        <v>2015 IEEE International Wireless Symposium, IWS 2015</v>
      </c>
      <c r="B4194" s="8" t="str">
        <f>"9781479919284"</f>
        <v>9781479919284</v>
      </c>
      <c r="C4194" s="8" t="s">
        <v>105</v>
      </c>
    </row>
    <row r="4195" spans="1:3" x14ac:dyDescent="0.25">
      <c r="A4195" s="8" t="str">
        <f>"2015 IEEE Long Island Systems, Applications and Technology Conference, LISAT 2015"</f>
        <v>2015 IEEE Long Island Systems, Applications and Technology Conference, LISAT 2015</v>
      </c>
      <c r="B4195" s="8" t="str">
        <f>"9781479986439"</f>
        <v>9781479986439</v>
      </c>
      <c r="C4195" s="8" t="s">
        <v>105</v>
      </c>
    </row>
    <row r="4196" spans="1:3" x14ac:dyDescent="0.25">
      <c r="A4196" s="8" t="str">
        <f>"2015 IEEE MTT-S International Conference on Microwaves for Intelligent Mobility, ICMIM 2015"</f>
        <v>2015 IEEE MTT-S International Conference on Microwaves for Intelligent Mobility, ICMIM 2015</v>
      </c>
      <c r="B4196" s="8" t="str">
        <f>"9781479972159"</f>
        <v>9781479972159</v>
      </c>
      <c r="C4196" s="8" t="s">
        <v>105</v>
      </c>
    </row>
    <row r="4197" spans="1:3" x14ac:dyDescent="0.25">
      <c r="A4197" s="8" t="str">
        <f>"2015 IEEE Optical Interconnects Conference, OI 2015"</f>
        <v>2015 IEEE Optical Interconnects Conference, OI 2015</v>
      </c>
      <c r="B4197" s="8" t="str">
        <f>"9781479981793"</f>
        <v>9781479981793</v>
      </c>
      <c r="C4197" s="8" t="s">
        <v>105</v>
      </c>
    </row>
    <row r="4198" spans="1:3" x14ac:dyDescent="0.25">
      <c r="A4198" s="8" t="str">
        <f>"2015 IEEE Power and Energy Conference at Illinois, PECI 2015"</f>
        <v>2015 IEEE Power and Energy Conference at Illinois, PECI 2015</v>
      </c>
      <c r="B4198" s="8" t="str">
        <f>"9781479979493"</f>
        <v>9781479979493</v>
      </c>
      <c r="C4198" s="8" t="s">
        <v>105</v>
      </c>
    </row>
    <row r="4199" spans="1:3" x14ac:dyDescent="0.25">
      <c r="A4199" s="8" t="str">
        <f>"2015 IEEE Power and Energy Society Innovative Smart Grid Technologies Conference, ISGT 2015"</f>
        <v>2015 IEEE Power and Energy Society Innovative Smart Grid Technologies Conference, ISGT 2015</v>
      </c>
      <c r="B4199" s="8" t="str">
        <f>"9781479917853"</f>
        <v>9781479917853</v>
      </c>
      <c r="C4199" s="8" t="s">
        <v>105</v>
      </c>
    </row>
    <row r="4200" spans="1:3" x14ac:dyDescent="0.25">
      <c r="A4200" s="8" t="str">
        <f>"2015 IEEE Symposium on 3D User Interfaces, 3DUI 2015 - Proceedings"</f>
        <v>2015 IEEE Symposium on 3D User Interfaces, 3DUI 2015 - Proceedings</v>
      </c>
      <c r="B4200" s="8" t="str">
        <f>"9781467368865"</f>
        <v>9781467368865</v>
      </c>
      <c r="C4200" s="8" t="s">
        <v>105</v>
      </c>
    </row>
    <row r="4201" spans="1:3" x14ac:dyDescent="0.25">
      <c r="A4201" s="8" t="str">
        <f>"2015 IEEE Symposium on Electromagnetic Compatibility and Signal Integrity, EMCSI 2015"</f>
        <v>2015 IEEE Symposium on Electromagnetic Compatibility and Signal Integrity, EMCSI 2015</v>
      </c>
      <c r="B4201" s="8" t="str">
        <f>"9781479919918"</f>
        <v>9781479919918</v>
      </c>
      <c r="C4201" s="8" t="s">
        <v>105</v>
      </c>
    </row>
    <row r="4202" spans="1:3" x14ac:dyDescent="0.25">
      <c r="A4202" s="8" t="str">
        <f>"2015 IEEE Topical Conference on Biomedical Wireless Technologies, Networks, and Sensing Systems, BioWireleSS 2015"</f>
        <v>2015 IEEE Topical Conference on Biomedical Wireless Technologies, Networks, and Sensing Systems, BioWireleSS 2015</v>
      </c>
      <c r="B4202" s="8" t="str">
        <f>"9781479955114"</f>
        <v>9781479955114</v>
      </c>
      <c r="C4202" s="8" t="s">
        <v>105</v>
      </c>
    </row>
    <row r="4203" spans="1:3" x14ac:dyDescent="0.25">
      <c r="A4203" s="8" t="str">
        <f>"2015 IEEE Topical Conference on Wireless Sensors and Sensor Networks, WiSNet 2015"</f>
        <v>2015 IEEE Topical Conference on Wireless Sensors and Sensor Networks, WiSNet 2015</v>
      </c>
      <c r="B4203" s="8" t="str">
        <f>"9781479955060"</f>
        <v>9781479955060</v>
      </c>
      <c r="C4203" s="8" t="s">
        <v>105</v>
      </c>
    </row>
    <row r="4204" spans="1:3" x14ac:dyDescent="0.25">
      <c r="A4204" s="8" t="str">
        <f>"2015 IEEE Underwater Technology, UT 2015"</f>
        <v>2015 IEEE Underwater Technology, UT 2015</v>
      </c>
      <c r="B4204" s="8" t="str">
        <f>"9781479983001"</f>
        <v>9781479983001</v>
      </c>
      <c r="C4204" s="8" t="s">
        <v>105</v>
      </c>
    </row>
    <row r="4205" spans="1:3" x14ac:dyDescent="0.25">
      <c r="A4205" s="8" t="str">
        <f>"2015 IEEE Wireless Communications and Networking Conference Workshops, WCNCW 2015"</f>
        <v>2015 IEEE Wireless Communications and Networking Conference Workshops, WCNCW 2015</v>
      </c>
      <c r="B4205" s="8" t="str">
        <f>"9781479987603"</f>
        <v>9781479987603</v>
      </c>
      <c r="C4205" s="8" t="s">
        <v>105</v>
      </c>
    </row>
    <row r="4206" spans="1:3" x14ac:dyDescent="0.25">
      <c r="A4206" s="8" t="str">
        <f>"2015 IEEE Wireless Communications and Networking Conference, WCNC 2015"</f>
        <v>2015 IEEE Wireless Communications and Networking Conference, WCNC 2015</v>
      </c>
      <c r="B4206" s="8" t="str">
        <f>"9781479984060"</f>
        <v>9781479984060</v>
      </c>
      <c r="C4206" s="8" t="s">
        <v>105</v>
      </c>
    </row>
    <row r="4207" spans="1:3" x14ac:dyDescent="0.25">
      <c r="A4207" s="8" t="str">
        <f>"2015 IEEE Wireless Power Transfer Conference, WPTC 2015"</f>
        <v>2015 IEEE Wireless Power Transfer Conference, WPTC 2015</v>
      </c>
      <c r="B4207" s="8" t="str">
        <f>"9781467374477"</f>
        <v>9781467374477</v>
      </c>
      <c r="C4207" s="8" t="s">
        <v>105</v>
      </c>
    </row>
    <row r="4208" spans="1:3" x14ac:dyDescent="0.25">
      <c r="A4208" s="8" t="str">
        <f>"2015 IEEE Workshop on Environmental, Energy, and Structural Monitoring Systems, EESMS 2015 - Proceedings"</f>
        <v>2015 IEEE Workshop on Environmental, Energy, and Structural Monitoring Systems, EESMS 2015 - Proceedings</v>
      </c>
      <c r="B4208" s="8" t="str">
        <f>"9781479982141"</f>
        <v>9781479982141</v>
      </c>
      <c r="C4208" s="8" t="s">
        <v>105</v>
      </c>
    </row>
    <row r="4209" spans="1:3" x14ac:dyDescent="0.25">
      <c r="A4209" s="8" t="str">
        <f>"2015 IEEE/OES 11th Current, Waves and Turbulence Measurement, CWTM 2015"</f>
        <v>2015 IEEE/OES 11th Current, Waves and Turbulence Measurement, CWTM 2015</v>
      </c>
      <c r="B4209" s="8" t="str">
        <f>"9781479984190"</f>
        <v>9781479984190</v>
      </c>
      <c r="C4209" s="8" t="s">
        <v>105</v>
      </c>
    </row>
    <row r="4210" spans="1:3" x14ac:dyDescent="0.25">
      <c r="A4210" s="8" t="str">
        <f>"2015 Intelligent Systems and Computer Vision, ISCV 2015"</f>
        <v>2015 Intelligent Systems and Computer Vision, ISCV 2015</v>
      </c>
      <c r="B4210" s="8" t="str">
        <f>"9781479975112"</f>
        <v>9781479975112</v>
      </c>
      <c r="C4210" s="8" t="s">
        <v>105</v>
      </c>
    </row>
    <row r="4211" spans="1:3" x14ac:dyDescent="0.25">
      <c r="A4211" s="8" t="str">
        <f>"2015 International Conference on Advances in Computing, Communications and Informatics, ICACCI 2015"</f>
        <v>2015 International Conference on Advances in Computing, Communications and Informatics, ICACCI 2015</v>
      </c>
      <c r="B4211" s="8" t="str">
        <f>"9781479987917"</f>
        <v>9781479987917</v>
      </c>
      <c r="C4211" s="8" t="s">
        <v>105</v>
      </c>
    </row>
    <row r="4212" spans="1:3" x14ac:dyDescent="0.25">
      <c r="A4212" s="8" t="str">
        <f>"2015 International Conference on Antenna Theory and Techniques: Dedicated to 95 Year Jubilee of Prof. Yakov S. Shifrin, ICATT 2015 - Proceedings"</f>
        <v>2015 International Conference on Antenna Theory and Techniques: Dedicated to 95 Year Jubilee of Prof. Yakov S. Shifrin, ICATT 2015 - Proceedings</v>
      </c>
      <c r="B4212" s="8" t="str">
        <f>"9781479985579"</f>
        <v>9781479985579</v>
      </c>
      <c r="C4212" s="8" t="s">
        <v>105</v>
      </c>
    </row>
    <row r="4213" spans="1:3" x14ac:dyDescent="0.25">
      <c r="A4213" s="8" t="str">
        <f>"2015 International Conference on Big Data and Smart Computing, BIGCOMP 2015"</f>
        <v>2015 International Conference on Big Data and Smart Computing, BIGCOMP 2015</v>
      </c>
      <c r="B4213" s="8" t="str">
        <f>"9781479973033"</f>
        <v>9781479973033</v>
      </c>
      <c r="C4213" s="8" t="s">
        <v>105</v>
      </c>
    </row>
    <row r="4214" spans="1:3" x14ac:dyDescent="0.25">
      <c r="A4214" s="8" t="str">
        <f>"2015 International Conference on Cloud Computing, ICCC 2015"</f>
        <v>2015 International Conference on Cloud Computing, ICCC 2015</v>
      </c>
      <c r="B4214" s="8" t="str">
        <f>"9781467366175"</f>
        <v>9781467366175</v>
      </c>
      <c r="C4214" s="8" t="s">
        <v>105</v>
      </c>
    </row>
    <row r="4215" spans="1:3" x14ac:dyDescent="0.25">
      <c r="A4215" s="8" t="str">
        <f>"2015 International Conference on Communications, Signal Processing, and Their Applications, ICCSPA 2015"</f>
        <v>2015 International Conference on Communications, Signal Processing, and Their Applications, ICCSPA 2015</v>
      </c>
      <c r="B4215" s="8" t="str">
        <f>"9781479965328"</f>
        <v>9781479965328</v>
      </c>
      <c r="C4215" s="8" t="s">
        <v>105</v>
      </c>
    </row>
    <row r="4216" spans="1:3" x14ac:dyDescent="0.25">
      <c r="A4216" s="8" t="str">
        <f>"2015 International Conference on Computing, Networking and Communications, ICNC 2015"</f>
        <v>2015 International Conference on Computing, Networking and Communications, ICNC 2015</v>
      </c>
      <c r="B4216" s="8" t="str">
        <f>"9781479969593"</f>
        <v>9781479969593</v>
      </c>
      <c r="C4216" s="8" t="s">
        <v>105</v>
      </c>
    </row>
    <row r="4217" spans="1:3" x14ac:dyDescent="0.25">
      <c r="A4217" s="8" t="str">
        <f>"2015 International Conference on Electronic Design, Computer Networks and Automated Verification, EDCAV 2015"</f>
        <v>2015 International Conference on Electronic Design, Computer Networks and Automated Verification, EDCAV 2015</v>
      </c>
      <c r="B4217" s="8" t="str">
        <f>"9781479962082"</f>
        <v>9781479962082</v>
      </c>
      <c r="C4217" s="8" t="s">
        <v>105</v>
      </c>
    </row>
    <row r="4218" spans="1:3" x14ac:dyDescent="0.25">
      <c r="A4218" s="8" t="str">
        <f>"2015 International Conference on Industrial Instrumentation and Control, ICIC 2015"</f>
        <v>2015 International Conference on Industrial Instrumentation and Control, ICIC 2015</v>
      </c>
      <c r="B4218" s="8" t="str">
        <f>"9781479971657"</f>
        <v>9781479971657</v>
      </c>
      <c r="C4218" s="8" t="s">
        <v>105</v>
      </c>
    </row>
    <row r="4219" spans="1:3" x14ac:dyDescent="0.25">
      <c r="A4219" s="8" t="str">
        <f>"2015 International Conference on Information and Communication Technology Research, ICTRC 2015"</f>
        <v>2015 International Conference on Information and Communication Technology Research, ICTRC 2015</v>
      </c>
      <c r="B4219" s="8" t="str">
        <f>"9781479989669"</f>
        <v>9781479989669</v>
      </c>
      <c r="C4219" s="8" t="s">
        <v>105</v>
      </c>
    </row>
    <row r="4220" spans="1:3" x14ac:dyDescent="0.25">
      <c r="A4220" s="8" t="str">
        <f>"2015 International Conference on Mechanics - Seventh Polyakhov's Reading"</f>
        <v>2015 International Conference on Mechanics - Seventh Polyakhov's Reading</v>
      </c>
      <c r="B4220" s="8" t="str">
        <f>"9781479968244"</f>
        <v>9781479968244</v>
      </c>
      <c r="C4220" s="8" t="s">
        <v>105</v>
      </c>
    </row>
    <row r="4221" spans="1:3" x14ac:dyDescent="0.25">
      <c r="A4221" s="8" t="str">
        <f>"2015 International Conference on Military Communications and Information Systems, ICMCIS 2015"</f>
        <v>2015 International Conference on Military Communications and Information Systems, ICMCIS 2015</v>
      </c>
      <c r="B4221" s="8" t="str">
        <f>"9788393484812"</f>
        <v>9788393484812</v>
      </c>
      <c r="C4221" s="8" t="s">
        <v>105</v>
      </c>
    </row>
    <row r="4222" spans="1:3" x14ac:dyDescent="0.25">
      <c r="A4222" s="8" t="str">
        <f>"2015 International Conference on Models and Technologies for Intelligent Transportation Systems, MT-ITS 2015"</f>
        <v>2015 International Conference on Models and Technologies for Intelligent Transportation Systems, MT-ITS 2015</v>
      </c>
      <c r="B4222" s="8" t="str">
        <f>"9789633131428"</f>
        <v>9789633131428</v>
      </c>
      <c r="C4222" s="8" t="s">
        <v>105</v>
      </c>
    </row>
    <row r="4223" spans="1:3" x14ac:dyDescent="0.25">
      <c r="A4223" s="8" t="str">
        <f>"2015 International Conference on Nascent Technologies in the Engineering Field, ICNTE 2015 - Proceedings"</f>
        <v>2015 International Conference on Nascent Technologies in the Engineering Field, ICNTE 2015 - Proceedings</v>
      </c>
      <c r="B4223" s="8" t="str">
        <f>"9781479972630"</f>
        <v>9781479972630</v>
      </c>
      <c r="C4223" s="8" t="s">
        <v>105</v>
      </c>
    </row>
    <row r="4224" spans="1:3" x14ac:dyDescent="0.25">
      <c r="A4224" s="8" t="str">
        <f>"2015 International Conference on Pervasive Computing: Advance Communication Technology and Application for Society, ICPC 2015"</f>
        <v>2015 International Conference on Pervasive Computing: Advance Communication Technology and Application for Society, ICPC 2015</v>
      </c>
      <c r="B4224" s="8" t="str">
        <f>"9781479962723"</f>
        <v>9781479962723</v>
      </c>
      <c r="C4224" s="8" t="s">
        <v>105</v>
      </c>
    </row>
    <row r="4225" spans="1:3" x14ac:dyDescent="0.25">
      <c r="A4225" s="8" t="str">
        <f>"2015 International Conference on Recent Advances in Internet of Things, RIoT 2015"</f>
        <v>2015 International Conference on Recent Advances in Internet of Things, RIoT 2015</v>
      </c>
      <c r="B4225" s="8" t="str">
        <f>"9781479983254"</f>
        <v>9781479983254</v>
      </c>
      <c r="C4225" s="8" t="s">
        <v>105</v>
      </c>
    </row>
    <row r="4226" spans="1:3" x14ac:dyDescent="0.25">
      <c r="A4226" s="8" t="str">
        <f>"2015 International Conference on Sampling Theory and Applications, SampTA 2015"</f>
        <v>2015 International Conference on Sampling Theory and Applications, SampTA 2015</v>
      </c>
      <c r="B4226" s="8" t="str">
        <f>"9781467373531"</f>
        <v>9781467373531</v>
      </c>
      <c r="C4226" s="8" t="s">
        <v>105</v>
      </c>
    </row>
    <row r="4227" spans="1:3" x14ac:dyDescent="0.25">
      <c r="A4227" s="8" t="str">
        <f>"2015 International Conference on Signal Processing and Communication, ICSC 2015"</f>
        <v>2015 International Conference on Signal Processing and Communication, ICSC 2015</v>
      </c>
      <c r="B4227" s="8" t="str">
        <f>"9781479967612"</f>
        <v>9781479967612</v>
      </c>
      <c r="C4227" s="8" t="s">
        <v>105</v>
      </c>
    </row>
    <row r="4228" spans="1:3" x14ac:dyDescent="0.25">
      <c r="A4228" s="8" t="str">
        <f>"2015 International Conference on Synthesis, Modeling, Analysis and Simulation Methods and Applications to Circuit Design, SMACD 2015"</f>
        <v>2015 International Conference on Synthesis, Modeling, Analysis and Simulation Methods and Applications to Circuit Design, SMACD 2015</v>
      </c>
      <c r="B4228" s="8" t="str">
        <f>"9781467391849"</f>
        <v>9781467391849</v>
      </c>
      <c r="C4228" s="8" t="s">
        <v>105</v>
      </c>
    </row>
    <row r="4229" spans="1:3" x14ac:dyDescent="0.25">
      <c r="A4229" s="8" t="str">
        <f>"2015 International Conference on Unmanned Aircraft Systems, ICUAS 2015"</f>
        <v>2015 International Conference on Unmanned Aircraft Systems, ICUAS 2015</v>
      </c>
      <c r="B4229" s="8" t="str">
        <f>"9781479960101"</f>
        <v>9781479960101</v>
      </c>
      <c r="C4229" s="8" t="s">
        <v>105</v>
      </c>
    </row>
    <row r="4230" spans="1:3" x14ac:dyDescent="0.25">
      <c r="A4230" s="8" t="str">
        <f>"2015 International Conference on VLSI Systems, Architecture, Technology and Applications, VLSI-SATA 2015"</f>
        <v>2015 International Conference on VLSI Systems, Architecture, Technology and Applications, VLSI-SATA 2015</v>
      </c>
      <c r="B4230" s="8" t="str">
        <f>"9781479979264"</f>
        <v>9781479979264</v>
      </c>
      <c r="C4230" s="8" t="s">
        <v>105</v>
      </c>
    </row>
    <row r="4231" spans="1:3" x14ac:dyDescent="0.25">
      <c r="A4231" s="8" t="str">
        <f>"2015 International Siberian Conference on Control and Communications, SIBCON 2015 - Proceedings"</f>
        <v>2015 International Siberian Conference on Control and Communications, SIBCON 2015 - Proceedings</v>
      </c>
      <c r="B4231" s="8" t="str">
        <f>"9781479971022"</f>
        <v>9781479971022</v>
      </c>
      <c r="C4231" s="8" t="s">
        <v>105</v>
      </c>
    </row>
    <row r="4232" spans="1:3" x14ac:dyDescent="0.25">
      <c r="A4232" s="8" t="str">
        <f>"2015 International Symposium on VLSI Design, Automation and Test, VLSI-DAT 2015"</f>
        <v>2015 International Symposium on VLSI Design, Automation and Test, VLSI-DAT 2015</v>
      </c>
      <c r="B4232" s="8" t="str">
        <f>"9781479962754"</f>
        <v>9781479962754</v>
      </c>
      <c r="C4232" s="8" t="s">
        <v>105</v>
      </c>
    </row>
    <row r="4233" spans="1:3" x14ac:dyDescent="0.25">
      <c r="A4233" s="8" t="str">
        <f>"2015 IST-Africa Conference, IST-Africa 2015"</f>
        <v>2015 IST-Africa Conference, IST-Africa 2015</v>
      </c>
      <c r="B4233" s="8" t="str">
        <f>"9781905824519"</f>
        <v>9781905824519</v>
      </c>
      <c r="C4233" s="8" t="s">
        <v>105</v>
      </c>
    </row>
    <row r="4234" spans="1:3" x14ac:dyDescent="0.25">
      <c r="A4234" s="8" t="str">
        <f>"2015 Joint Conference of the IEEE International Frequency Control Symposium and the European Frequency and Time Forum, FCS 2015 - Proceedings"</f>
        <v>2015 Joint Conference of the IEEE International Frequency Control Symposium and the European Frequency and Time Forum, FCS 2015 - Proceedings</v>
      </c>
      <c r="B4234" s="8" t="str">
        <f>"9781479988662"</f>
        <v>9781479988662</v>
      </c>
      <c r="C4234" s="8" t="s">
        <v>105</v>
      </c>
    </row>
    <row r="4235" spans="1:3" x14ac:dyDescent="0.25">
      <c r="A4235" s="8" t="str">
        <f>"2015 Joint IEEE International Symposium on the Applications of Ferroelectric, International Symposium on Integrated Functionalities and Piezoelectric Force Microscopy Workshop, ISAF/ISIF/PFM 2015"</f>
        <v>2015 Joint IEEE International Symposium on the Applications of Ferroelectric, International Symposium on Integrated Functionalities and Piezoelectric Force Microscopy Workshop, ISAF/ISIF/PFM 2015</v>
      </c>
      <c r="B4235" s="8" t="str">
        <f>"9781479999743"</f>
        <v>9781479999743</v>
      </c>
      <c r="C4235" s="8" t="s">
        <v>105</v>
      </c>
    </row>
    <row r="4236" spans="1:3" x14ac:dyDescent="0.25">
      <c r="A4236" s="8" t="str">
        <f>"2015 Joint Rail Conference, JRC 2015"</f>
        <v>2015 Joint Rail Conference, JRC 2015</v>
      </c>
      <c r="B4236" s="8" t="str">
        <f>"9780791856451"</f>
        <v>9780791856451</v>
      </c>
      <c r="C4236" s="8" t="s">
        <v>1308</v>
      </c>
    </row>
    <row r="4237" spans="1:3" x14ac:dyDescent="0.25">
      <c r="A4237" s="8" t="str">
        <f>"2015 Joint Urban Remote Sensing Event, JURSE 2015"</f>
        <v>2015 Joint Urban Remote Sensing Event, JURSE 2015</v>
      </c>
      <c r="B4237" s="8" t="str">
        <f>"9781479966523"</f>
        <v>9781479966523</v>
      </c>
      <c r="C4237" s="8" t="s">
        <v>105</v>
      </c>
    </row>
    <row r="4238" spans="1:3" x14ac:dyDescent="0.25">
      <c r="A4238" s="8" t="str">
        <f>"2015 National Conference on Parallel Computing Technologies, PARCOMPTECH 2015"</f>
        <v>2015 National Conference on Parallel Computing Technologies, PARCOMPTECH 2015</v>
      </c>
      <c r="B4238" s="8" t="str">
        <f>"9781479969166"</f>
        <v>9781479969166</v>
      </c>
      <c r="C4238" s="8" t="s">
        <v>105</v>
      </c>
    </row>
    <row r="4239" spans="1:3" x14ac:dyDescent="0.25">
      <c r="A4239" s="8" t="str">
        <f>"2015 Open Conference of Electrical, Electronic and Information Sciences, eStream 2015 - Proceedings"</f>
        <v>2015 Open Conference of Electrical, Electronic and Information Sciences, eStream 2015 - Proceedings</v>
      </c>
      <c r="B4239" s="8" t="str">
        <f>"9781467374453"</f>
        <v>9781467374453</v>
      </c>
      <c r="C4239" s="8" t="s">
        <v>105</v>
      </c>
    </row>
    <row r="4240" spans="1:3" x14ac:dyDescent="0.25">
      <c r="A4240" s="8" t="str">
        <f>"2015 Signal Processing Symposium, SPSympo 2015"</f>
        <v>2015 Signal Processing Symposium, SPSympo 2015</v>
      </c>
      <c r="B4240" s="8" t="str">
        <f>"9788377981603"</f>
        <v>9788377981603</v>
      </c>
      <c r="C4240" s="8" t="s">
        <v>105</v>
      </c>
    </row>
    <row r="4241" spans="1:3" x14ac:dyDescent="0.25">
      <c r="A4241" s="8" t="str">
        <f>"2015 SME Annual Conference and Expo and CMA 117th National Western Mining Conference - Mining: Navigating the Global Waters"</f>
        <v>2015 SME Annual Conference and Expo and CMA 117th National Western Mining Conference - Mining: Navigating the Global Waters</v>
      </c>
      <c r="B4241" s="8" t="str">
        <f>"9781510801240"</f>
        <v>9781510801240</v>
      </c>
      <c r="C4241" s="8" t="s">
        <v>877</v>
      </c>
    </row>
    <row r="4242" spans="1:3" x14ac:dyDescent="0.25">
      <c r="A4242" s="8" t="str">
        <f>"2015 Sustainable Internet and ICT for Sustainability, SustainIT 2015"</f>
        <v>2015 Sustainable Internet and ICT for Sustainability, SustainIT 2015</v>
      </c>
      <c r="B4242" s="8" t="str">
        <f>"9783901882708"</f>
        <v>9783901882708</v>
      </c>
      <c r="C4242" s="8" t="s">
        <v>105</v>
      </c>
    </row>
    <row r="4243" spans="1:3" x14ac:dyDescent="0.25">
      <c r="A4243" s="8" t="str">
        <f>"2015 Systems and Information Engineering Design Symposium, SIEDS 2015"</f>
        <v>2015 Systems and Information Engineering Design Symposium, SIEDS 2015</v>
      </c>
      <c r="B4243" s="8" t="str">
        <f>"9781479918324"</f>
        <v>9781479918324</v>
      </c>
      <c r="C4243" s="8" t="s">
        <v>105</v>
      </c>
    </row>
    <row r="4244" spans="1:3" x14ac:dyDescent="0.25">
      <c r="A4244" s="8" t="str">
        <f>"2015 Workshop on Modeling and Simulation of Cyber-Physical Energy Systems, MSCPES 2015 - Held as Part of CPS Week, Proceedings"</f>
        <v>2015 Workshop on Modeling and Simulation of Cyber-Physical Energy Systems, MSCPES 2015 - Held as Part of CPS Week, Proceedings</v>
      </c>
      <c r="B4244" s="8" t="str">
        <f>"9781479973583"</f>
        <v>9781479973583</v>
      </c>
      <c r="C4244" s="8" t="s">
        <v>105</v>
      </c>
    </row>
    <row r="4245" spans="1:3" x14ac:dyDescent="0.25">
      <c r="A4245" s="8" t="str">
        <f>"20th 2001 ASME Wind Energy Symposium"</f>
        <v>20th 2001 ASME Wind Energy Symposium</v>
      </c>
      <c r="B4245" s="8" t="str">
        <f>"-"</f>
        <v>-</v>
      </c>
      <c r="C4245" s="8" t="s">
        <v>104</v>
      </c>
    </row>
    <row r="4246" spans="1:3" x14ac:dyDescent="0.25">
      <c r="A4246" s="8" t="str">
        <f>"20th AIAA Aerodynamic Decelerator Systems Technology Conference"</f>
        <v>20th AIAA Aerodynamic Decelerator Systems Technology Conference</v>
      </c>
      <c r="B4246" s="8" t="str">
        <f>"9781563479724"</f>
        <v>9781563479724</v>
      </c>
      <c r="C4246" s="8" t="s">
        <v>104</v>
      </c>
    </row>
    <row r="4247" spans="1:3" x14ac:dyDescent="0.25">
      <c r="A4247" s="8" t="str">
        <f>"20th AIAA Applied Aerodynamics Conference"</f>
        <v>20th AIAA Applied Aerodynamics Conference</v>
      </c>
      <c r="B4247" s="8" t="str">
        <f>"9781624101106"</f>
        <v>9781624101106</v>
      </c>
      <c r="C4247" s="8" t="s">
        <v>104</v>
      </c>
    </row>
    <row r="4248" spans="1:3" x14ac:dyDescent="0.25">
      <c r="A4248" s="8" t="str">
        <f>"20th AIAA Computational Fluid Dynamics Conference 2011"</f>
        <v>20th AIAA Computational Fluid Dynamics Conference 2011</v>
      </c>
      <c r="B4248" s="8" t="str">
        <f>"9781624101489"</f>
        <v>9781624101489</v>
      </c>
      <c r="C4248" s="8" t="s">
        <v>104</v>
      </c>
    </row>
    <row r="4249" spans="1:3" x14ac:dyDescent="0.25">
      <c r="A4249" s="8" t="str">
        <f>"20th AIAA International Communication Satellite Systems Conference and Exhibit"</f>
        <v>20th AIAA International Communication Satellite Systems Conference and Exhibit</v>
      </c>
      <c r="B4249" s="8" t="str">
        <f>"9781624101113"</f>
        <v>9781624101113</v>
      </c>
      <c r="C4249" s="8" t="s">
        <v>104</v>
      </c>
    </row>
    <row r="4250" spans="1:3" x14ac:dyDescent="0.25">
      <c r="A4250" s="8" t="str">
        <f>"20th AIAA International Space Planes and Hypersonic Systems and Technologies Conference, 2015"</f>
        <v>20th AIAA International Space Planes and Hypersonic Systems and Technologies Conference, 2015</v>
      </c>
      <c r="B4250" s="8" t="str">
        <f>"9781624103209"</f>
        <v>9781624103209</v>
      </c>
      <c r="C4250" s="8" t="s">
        <v>1388</v>
      </c>
    </row>
    <row r="4251" spans="1:3" x14ac:dyDescent="0.25">
      <c r="A4251" s="8" t="str">
        <f>"20th Analysis and Computation Specialty Conference - Proceedings of the Conference"</f>
        <v>20th Analysis and Computation Specialty Conference - Proceedings of the Conference</v>
      </c>
      <c r="B4251" s="8" t="str">
        <f>"9780784412374"</f>
        <v>9780784412374</v>
      </c>
      <c r="C4251" s="8" t="s">
        <v>111</v>
      </c>
    </row>
    <row r="4252" spans="1:3" x14ac:dyDescent="0.25">
      <c r="A4252" s="8" t="str">
        <f>"20th Anniversary MHS 2009 and Micro-Nano Global COE - 2009 International Symposium on Micro-NanoMechatronics and Human Science"</f>
        <v>20th Anniversary MHS 2009 and Micro-Nano Global COE - 2009 International Symposium on Micro-NanoMechatronics and Human Science</v>
      </c>
      <c r="B4252" s="8" t="str">
        <f>"9781424450954"</f>
        <v>9781424450954</v>
      </c>
      <c r="C4252" s="8" t="s">
        <v>9</v>
      </c>
    </row>
    <row r="4253" spans="1:3" x14ac:dyDescent="0.25">
      <c r="A4253" s="8" t="str">
        <f>"20th Annual Brake Colloquium and Exhibition"</f>
        <v>20th Annual Brake Colloquium and Exhibition</v>
      </c>
      <c r="B4253" s="8" t="str">
        <f>"-"</f>
        <v>-</v>
      </c>
      <c r="C4253" s="8" t="s">
        <v>1040</v>
      </c>
    </row>
    <row r="4254" spans="1:3" x14ac:dyDescent="0.25">
      <c r="A4254" s="8" t="str">
        <f>"20th Annual Conference on Behavior Representation in Modeling and Simulation 2011, BRiMS 2011"</f>
        <v>20th Annual Conference on Behavior Representation in Modeling and Simulation 2011, BRiMS 2011</v>
      </c>
      <c r="B4254" s="8" t="str">
        <f>"9781618390745"</f>
        <v>9781618390745</v>
      </c>
      <c r="C4254" s="8" t="s">
        <v>1389</v>
      </c>
    </row>
    <row r="4255" spans="1:3" x14ac:dyDescent="0.25">
      <c r="A4255" s="8" t="str">
        <f>"20th Annual Conference on Recent Advances in Flame Retardancy of Polymeric Materials 2009"</f>
        <v>20th Annual Conference on Recent Advances in Flame Retardancy of Polymeric Materials 2009</v>
      </c>
      <c r="B4255" s="8" t="str">
        <f>"9781615679461"</f>
        <v>9781615679461</v>
      </c>
      <c r="C4255" s="8" t="s">
        <v>1390</v>
      </c>
    </row>
    <row r="4256" spans="1:3" x14ac:dyDescent="0.25">
      <c r="A4256" s="8" t="str">
        <f>"20th Annual International Conference on High Performance Computing, HiPC 2013"</f>
        <v>20th Annual International Conference on High Performance Computing, HiPC 2013</v>
      </c>
      <c r="B4256" s="8" t="str">
        <f>"9781479907298"</f>
        <v>9781479907298</v>
      </c>
      <c r="C4256" s="8" t="s">
        <v>9</v>
      </c>
    </row>
    <row r="4257" spans="1:3" x14ac:dyDescent="0.25">
      <c r="A4257" s="8" t="str">
        <f>"20th Annual International Conference on Mechatronics and Machine Vision in Practice, M2VIP 2013"</f>
        <v>20th Annual International Conference on Mechatronics and Machine Vision in Practice, M2VIP 2013</v>
      </c>
      <c r="B4257" s="8" t="str">
        <f>"9781629933139"</f>
        <v>9781629933139</v>
      </c>
      <c r="C4257" s="8" t="s">
        <v>1282</v>
      </c>
    </row>
    <row r="4258" spans="1:3" x14ac:dyDescent="0.25">
      <c r="A4258" s="8" t="str">
        <f>"20th Annual International Solid Freeform Fabrication Symposium, SFF 2009"</f>
        <v>20th Annual International Solid Freeform Fabrication Symposium, SFF 2009</v>
      </c>
      <c r="B4258" s="8" t="str">
        <f>"-"</f>
        <v>-</v>
      </c>
      <c r="C4258" s="8" t="s">
        <v>1289</v>
      </c>
    </row>
    <row r="4259" spans="1:3" x14ac:dyDescent="0.25">
      <c r="A4259" s="8" t="str">
        <f>"20th Annual International Symposium of the International Council on Systems Engineering, INCOSE 2010"</f>
        <v>20th Annual International Symposium of the International Council on Systems Engineering, INCOSE 2010</v>
      </c>
      <c r="B4259" s="8" t="str">
        <f>"9781617388873"</f>
        <v>9781617388873</v>
      </c>
      <c r="C4259" s="8" t="s">
        <v>1274</v>
      </c>
    </row>
    <row r="4260" spans="1:3" x14ac:dyDescent="0.25">
      <c r="A4260" s="8" t="str">
        <f>"20th Annual Meeting of the North American Membrane Society and 11th International Conference on Inorganic Membranes 2010, NAMS/ICIM 2010"</f>
        <v>20th Annual Meeting of the North American Membrane Society and 11th International Conference on Inorganic Membranes 2010, NAMS/ICIM 2010</v>
      </c>
      <c r="B4260" s="8" t="str">
        <f>"9781617388514"</f>
        <v>9781617388514</v>
      </c>
      <c r="C4260" s="8" t="s">
        <v>1294</v>
      </c>
    </row>
    <row r="4261" spans="1:3" x14ac:dyDescent="0.25">
      <c r="A4261" s="8" t="str">
        <f>"20th Annual North American Waste-to-Energy Conference, NAWTEC 2012"</f>
        <v>20th Annual North American Waste-to-Energy Conference, NAWTEC 2012</v>
      </c>
      <c r="B4261" s="8" t="str">
        <f>"9780791844830"</f>
        <v>9780791844830</v>
      </c>
      <c r="C4261" s="8" t="s">
        <v>73</v>
      </c>
    </row>
    <row r="4262" spans="1:3" x14ac:dyDescent="0.25">
      <c r="A4262" s="8" t="str">
        <f>"20th Asia and South Pacific Design Automation Conference, ASP-DAC 2015"</f>
        <v>20th Asia and South Pacific Design Automation Conference, ASP-DAC 2015</v>
      </c>
      <c r="B4262" s="8" t="str">
        <f>"9781479977925"</f>
        <v>9781479977925</v>
      </c>
      <c r="C4262" s="8" t="s">
        <v>105</v>
      </c>
    </row>
    <row r="4263" spans="1:3" x14ac:dyDescent="0.25">
      <c r="A4263" s="8" t="str">
        <f>"20th Australasian Coastal and Ocean Engineering Conference 2011 and the 13th Australasian Port and Harbour Conference 2011, COASTS and PORTS 2011"</f>
        <v>20th Australasian Coastal and Ocean Engineering Conference 2011 and the 13th Australasian Port and Harbour Conference 2011, COASTS and PORTS 2011</v>
      </c>
      <c r="B4263" s="8" t="str">
        <f>"9781622764303"</f>
        <v>9781622764303</v>
      </c>
      <c r="C4263" s="8" t="s">
        <v>1271</v>
      </c>
    </row>
    <row r="4264" spans="1:3" x14ac:dyDescent="0.25">
      <c r="A4264" s="8" t="str">
        <f>"20th Bled eConference - eMergence: Merging and Emerging Technologies, Processes, and Institutions - Conference Proceedings"</f>
        <v>20th Bled eConference - eMergence: Merging and Emerging Technologies, Processes, and Institutions - Conference Proceedings</v>
      </c>
      <c r="B4264" s="8" t="str">
        <f>"9789612322045"</f>
        <v>9789612322045</v>
      </c>
      <c r="C4264" s="8" t="s">
        <v>1309</v>
      </c>
    </row>
    <row r="4265" spans="1:3" x14ac:dyDescent="0.25">
      <c r="A4265" s="8" t="str">
        <f>"20th EAEEIE Annual Conference, EAEEIE 2009 - Formal Proceedings"</f>
        <v>20th EAEEIE Annual Conference, EAEEIE 2009 - Formal Proceedings</v>
      </c>
      <c r="B4265" s="8" t="str">
        <f>"9781424453863"</f>
        <v>9781424453863</v>
      </c>
      <c r="C4265" s="8" t="s">
        <v>9</v>
      </c>
    </row>
    <row r="4266" spans="1:3" x14ac:dyDescent="0.25">
      <c r="A4266" s="8" t="str">
        <f>"20th European Concurrent Engineering Conference 2014, ECEC 2014 - 10th Future Business Technology Conference, FUBUTEC 2014"</f>
        <v>20th European Concurrent Engineering Conference 2014, ECEC 2014 - 10th Future Business Technology Conference, FUBUTEC 2014</v>
      </c>
      <c r="B4266" s="8" t="str">
        <f>"9789077381823"</f>
        <v>9789077381823</v>
      </c>
      <c r="C4266" s="8" t="s">
        <v>1206</v>
      </c>
    </row>
    <row r="4267" spans="1:3" x14ac:dyDescent="0.25">
      <c r="A4267" s="8" t="str">
        <f>"20th European Conference on Modelling and Simulation: Modelling Methodologies and Simulation Key Technologies in Academia and Industry, ECMS 2006"</f>
        <v>20th European Conference on Modelling and Simulation: Modelling Methodologies and Simulation Key Technologies in Academia and Industry, ECMS 2006</v>
      </c>
      <c r="B4267" s="8" t="str">
        <f>"9780955301803"</f>
        <v>9780955301803</v>
      </c>
      <c r="C4267" s="8" t="s">
        <v>1391</v>
      </c>
    </row>
    <row r="4268" spans="1:3" x14ac:dyDescent="0.25">
      <c r="A4268" s="8" t="str">
        <f>"20th European Modeling and Simulation Symposium, EMSS 2008"</f>
        <v>20th European Modeling and Simulation Symposium, EMSS 2008</v>
      </c>
      <c r="B4268" s="8" t="str">
        <f>"9788890073267"</f>
        <v>9788890073267</v>
      </c>
      <c r="C4268" s="8" t="s">
        <v>1392</v>
      </c>
    </row>
    <row r="4269" spans="1:3" x14ac:dyDescent="0.25">
      <c r="A4269" s="8" t="str">
        <f>"20th European Wireless Conference, EW 2014"</f>
        <v>20th European Wireless Conference, EW 2014</v>
      </c>
      <c r="B4269" s="8" t="str">
        <f>"9783800736218"</f>
        <v>9783800736218</v>
      </c>
      <c r="C4269" s="8" t="s">
        <v>1393</v>
      </c>
    </row>
    <row r="4270" spans="1:3" x14ac:dyDescent="0.25">
      <c r="A4270" s="8" t="str">
        <f>"20th IEEE/ACM International Conference on Automated Software Engineering, ASE 2005"</f>
        <v>20th IEEE/ACM International Conference on Automated Software Engineering, ASE 2005</v>
      </c>
      <c r="B4270" s="8" t="str">
        <f>"-"</f>
        <v>-</v>
      </c>
      <c r="C4270" s="8" t="s">
        <v>21</v>
      </c>
    </row>
    <row r="4271" spans="1:3" x14ac:dyDescent="0.25">
      <c r="A4271" s="8" t="str">
        <f>"20th IFIP/IEEE International Conference on Very Large Scale Integration, VLSI-SoC 2012 - Proceedings"</f>
        <v>20th IFIP/IEEE International Conference on Very Large Scale Integration, VLSI-SoC 2012 - Proceedings</v>
      </c>
      <c r="B4271" s="8" t="str">
        <f>"9781467326568"</f>
        <v>9781467326568</v>
      </c>
      <c r="C4271" s="8" t="s">
        <v>9</v>
      </c>
    </row>
    <row r="4272" spans="1:3" x14ac:dyDescent="0.25">
      <c r="A4272" s="8" t="str">
        <f>"20th IMEKO TC3 International Conference on Measurement of Force, Mass and Torque 2007"</f>
        <v>20th IMEKO TC3 International Conference on Measurement of Force, Mass and Torque 2007</v>
      </c>
      <c r="B4272" s="8" t="str">
        <f>"9781615676347"</f>
        <v>9781615676347</v>
      </c>
      <c r="C4272" s="8" t="s">
        <v>1198</v>
      </c>
    </row>
    <row r="4273" spans="1:3" x14ac:dyDescent="0.25">
      <c r="A4273" s="8" t="str">
        <f>"20th IMEKO TC4 Symposium on Measurements of Electrical Quantities: Research on Electrical and Electronic Measurement for the Economic Upturn, Together with 18th TC4 International Workshop on ADC and DCA Modeling and Testing, IWADC 2014"</f>
        <v>20th IMEKO TC4 Symposium on Measurements of Electrical Quantities: Research on Electrical and Electronic Measurement for the Economic Upturn, Together with 18th TC4 International Workshop on ADC and DCA Modeling and Testing, IWADC 2014</v>
      </c>
      <c r="B4273" s="8" t="str">
        <f>"9789299007327"</f>
        <v>9789299007327</v>
      </c>
      <c r="C4273" s="8" t="s">
        <v>1198</v>
      </c>
    </row>
    <row r="4274" spans="1:3" x14ac:dyDescent="0.25">
      <c r="A4274" s="8" t="str">
        <f>"20th IMEKO World Congress 2012"</f>
        <v>20th IMEKO World Congress 2012</v>
      </c>
      <c r="B4274" s="8" t="str">
        <f>"9781627481908"</f>
        <v>9781627481908</v>
      </c>
      <c r="C4274" s="8" t="s">
        <v>1198</v>
      </c>
    </row>
    <row r="4275" spans="1:3" x14ac:dyDescent="0.25">
      <c r="A4275" s="8" t="s">
        <v>1394</v>
      </c>
      <c r="B4275" s="8" t="str">
        <f>"9789955282839"</f>
        <v>9789955282839</v>
      </c>
      <c r="C4275" s="8" t="s">
        <v>1201</v>
      </c>
    </row>
    <row r="4276" spans="1:3" x14ac:dyDescent="0.25">
      <c r="A4276" s="8" t="str">
        <f>"20th International Conference in Central Europe on Computer Graphics, Visualization and Computer Vision, WSCG 2012 - Conference Proceedings"</f>
        <v>20th International Conference in Central Europe on Computer Graphics, Visualization and Computer Vision, WSCG 2012 - Conference Proceedings</v>
      </c>
      <c r="B4276" s="8" t="str">
        <f>"9788086943794"</f>
        <v>9788086943794</v>
      </c>
      <c r="C4276" s="8" t="s">
        <v>1276</v>
      </c>
    </row>
    <row r="4277" spans="1:3" x14ac:dyDescent="0.25">
      <c r="A4277" s="8" t="str">
        <f>"20th International Conference in Central Europe on Computer Graphics, Visualization and Computer Vision, WSCG 2012 - Poster Papers Proceedings"</f>
        <v>20th International Conference in Central Europe on Computer Graphics, Visualization and Computer Vision, WSCG 2012 - Poster Papers Proceedings</v>
      </c>
      <c r="B4277" s="8" t="str">
        <f>"9788086943800"</f>
        <v>9788086943800</v>
      </c>
      <c r="C4277" s="8" t="s">
        <v>1276</v>
      </c>
    </row>
    <row r="4278" spans="1:3" x14ac:dyDescent="0.25">
      <c r="A4278" s="8" t="str">
        <f>"20th International Conference on Computer Applications in Industry and Engineering 2007, CAINE 2007"</f>
        <v>20th International Conference on Computer Applications in Industry and Engineering 2007, CAINE 2007</v>
      </c>
      <c r="B4278" s="8" t="str">
        <f>"9781604239867"</f>
        <v>9781604239867</v>
      </c>
      <c r="C4278" s="8" t="s">
        <v>1287</v>
      </c>
    </row>
    <row r="4279" spans="1:3" x14ac:dyDescent="0.25">
      <c r="A4279" s="8" t="str">
        <f>"20th International Conference on Computer Graphics and Vision, GraphiCon'2010 - Conference Proceedings"</f>
        <v>20th International Conference on Computer Graphics and Vision, GraphiCon'2010 - Conference Proceedings</v>
      </c>
      <c r="B4279" s="8" t="str">
        <f>"-"</f>
        <v>-</v>
      </c>
      <c r="C4279" s="8" t="s">
        <v>1318</v>
      </c>
    </row>
    <row r="4280" spans="1:3" x14ac:dyDescent="0.25">
      <c r="A4280" s="8" t="str">
        <f>"20th International Conference on Computers and Their Applications 2005, CATA 2005"</f>
        <v>20th International Conference on Computers and Their Applications 2005, CATA 2005</v>
      </c>
      <c r="B4280" s="8" t="str">
        <f>"9781618395528"</f>
        <v>9781618395528</v>
      </c>
      <c r="C4280" s="8" t="s">
        <v>1287</v>
      </c>
    </row>
    <row r="4281" spans="1:3" x14ac:dyDescent="0.25">
      <c r="A4281" s="8" t="str">
        <f>"20th International Conference on Software Engineering and Knowledge Engineering, SEKE 2008"</f>
        <v>20th International Conference on Software Engineering and Knowledge Engineering, SEKE 2008</v>
      </c>
      <c r="B4281" s="8" t="str">
        <f>"9781627486620"</f>
        <v>9781627486620</v>
      </c>
      <c r="C4281" s="8" t="s">
        <v>986</v>
      </c>
    </row>
    <row r="4282" spans="1:3" x14ac:dyDescent="0.25">
      <c r="A4282" s="8" t="str">
        <f>"20th International Congres of Theoretical and Applied Mechanics"</f>
        <v>20th International Congres of Theoretical and Applied Mechanics</v>
      </c>
      <c r="B4282" s="8" t="str">
        <f>"9789026518126"</f>
        <v>9789026518126</v>
      </c>
      <c r="C4282" s="8" t="s">
        <v>1395</v>
      </c>
    </row>
    <row r="4283" spans="1:3" x14ac:dyDescent="0.25">
      <c r="A4283" s="8" t="str">
        <f>"20th International Congress on Acoustics 2010, ICA 2010 - Incorporating Proceedings of the 2010 Annual Conference of the Australian Acoustical Society"</f>
        <v>20th International Congress on Acoustics 2010, ICA 2010 - Incorporating Proceedings of the 2010 Annual Conference of the Australian Acoustical Society</v>
      </c>
      <c r="B4283" s="8" t="str">
        <f>"9781617827457"</f>
        <v>9781617827457</v>
      </c>
      <c r="C4283" s="8" t="s">
        <v>1396</v>
      </c>
    </row>
    <row r="4284" spans="1:3" x14ac:dyDescent="0.25">
      <c r="A4284" s="8" t="str">
        <f>"20th International Congress on Sound and Vibration 2013, ICSV 2013"</f>
        <v>20th International Congress on Sound and Vibration 2013, ICSV 2013</v>
      </c>
      <c r="B4284" s="8" t="str">
        <f>"9781629931500"</f>
        <v>9781629931500</v>
      </c>
      <c r="C4284" s="8" t="s">
        <v>559</v>
      </c>
    </row>
    <row r="4285" spans="1:3" x14ac:dyDescent="0.25">
      <c r="A4285" s="8" t="str">
        <f>"20th International Metrology Symposium and 1st Regional Metrology Organisations Symposium 2008, RMO 2008"</f>
        <v>20th International Metrology Symposium and 1st Regional Metrology Organisations Symposium 2008, RMO 2008</v>
      </c>
      <c r="B4285" s="8" t="str">
        <f>"9781615670925"</f>
        <v>9781615670925</v>
      </c>
      <c r="C4285" s="8" t="s">
        <v>1397</v>
      </c>
    </row>
    <row r="4286" spans="1:3" x14ac:dyDescent="0.25">
      <c r="A4286" s="8" t="str">
        <f>"20th International Parallel and Distributed Processing Symposium, IPDPS 2006"</f>
        <v>20th International Parallel and Distributed Processing Symposium, IPDPS 2006</v>
      </c>
      <c r="B4286" s="8" t="str">
        <f>"-"</f>
        <v>-</v>
      </c>
      <c r="C4286" s="8" t="s">
        <v>9</v>
      </c>
    </row>
    <row r="4287" spans="1:3" x14ac:dyDescent="0.25">
      <c r="A4287" s="8" t="str">
        <f>"20th International Pipeline Pigging and Integrity Management - Conference"</f>
        <v>20th International Pipeline Pigging and Integrity Management - Conference</v>
      </c>
      <c r="B4287" s="8" t="str">
        <f>"-"</f>
        <v>-</v>
      </c>
      <c r="C4287" s="8" t="s">
        <v>1398</v>
      </c>
    </row>
    <row r="4288" spans="1:3" x14ac:dyDescent="0.25">
      <c r="A4288" s="8" t="str">
        <f>"20th International Specialty Conference on Cold-Formed Steel Structures - Recent Research and Developments in Cold-Formed Steel Design and Construction"</f>
        <v>20th International Specialty Conference on Cold-Formed Steel Structures - Recent Research and Developments in Cold-Formed Steel Design and Construction</v>
      </c>
      <c r="B4288" s="8" t="str">
        <f>"-"</f>
        <v>-</v>
      </c>
      <c r="C4288" s="8" t="s">
        <v>1399</v>
      </c>
    </row>
    <row r="4289" spans="1:3" x14ac:dyDescent="0.25">
      <c r="A4289" s="8" t="str">
        <f>"20th International Symposium on High-Performance Computing in an Advanced Collaborative Environment, 2006. HPCS 2006"</f>
        <v>20th International Symposium on High-Performance Computing in an Advanced Collaborative Environment, 2006. HPCS 2006</v>
      </c>
      <c r="B4289" s="8" t="str">
        <f>"-"</f>
        <v>-</v>
      </c>
      <c r="C4289" s="8" t="s">
        <v>9</v>
      </c>
    </row>
    <row r="4290" spans="1:3" x14ac:dyDescent="0.25">
      <c r="A4290" s="8" t="str">
        <f>"20th International Symposium on Human Factors in Telecommunication, HFT 2006"</f>
        <v>20th International Symposium on Human Factors in Telecommunication, HFT 2006</v>
      </c>
      <c r="B4290" s="8" t="str">
        <f>"-"</f>
        <v>-</v>
      </c>
      <c r="C4290" s="8" t="s">
        <v>1400</v>
      </c>
    </row>
    <row r="4291" spans="1:3" x14ac:dyDescent="0.25">
      <c r="A4291" s="8" t="str">
        <f>"20th International Symposium on Space Terahertz Technology 2009, ISSTT 2009"</f>
        <v>20th International Symposium on Space Terahertz Technology 2009, ISSTT 2009</v>
      </c>
      <c r="B4291" s="8" t="str">
        <f>"9781617384011"</f>
        <v>9781617384011</v>
      </c>
      <c r="C4291" s="8" t="s">
        <v>1303</v>
      </c>
    </row>
    <row r="4292" spans="1:3" x14ac:dyDescent="0.25">
      <c r="A4292" s="8" t="str">
        <f>"20th International Technical Meeting of the Satellite Division of The Institute of Navigation 2007 ION GNSS 2007"</f>
        <v>20th International Technical Meeting of the Satellite Division of The Institute of Navigation 2007 ION GNSS 2007</v>
      </c>
      <c r="B4292" s="8" t="str">
        <f>"9781605600697"</f>
        <v>9781605600697</v>
      </c>
      <c r="C4292" s="8" t="s">
        <v>394</v>
      </c>
    </row>
    <row r="4293" spans="1:3" x14ac:dyDescent="0.25">
      <c r="A4293" s="8" t="str">
        <f>"20th International Technical Meeting of the Satellite Division of The Institute of Navigation 2007, ION GNSS 2007"</f>
        <v>20th International Technical Meeting of the Satellite Division of The Institute of Navigation 2007, ION GNSS 2007</v>
      </c>
      <c r="B4293" s="8" t="str">
        <f>"9781605600697"</f>
        <v>9781605600697</v>
      </c>
    </row>
    <row r="4294" spans="1:3" x14ac:dyDescent="0.25">
      <c r="A4294" s="8" t="str">
        <f>"20th International Workshop on Deep-Inelastic Scattering and Related Subjects, DIS 2012"</f>
        <v>20th International Workshop on Deep-Inelastic Scattering and Related Subjects, DIS 2012</v>
      </c>
      <c r="B4294" s="8" t="str">
        <f>"-"</f>
        <v>-</v>
      </c>
      <c r="C4294" s="8" t="s">
        <v>1279</v>
      </c>
    </row>
    <row r="4295" spans="1:3" x14ac:dyDescent="0.25">
      <c r="A4295" s="8" t="str">
        <f>"20th ISPE International Conference on Concurrent Engineering, CE 2013 - Proceedings"</f>
        <v>20th ISPE International Conference on Concurrent Engineering, CE 2013 - Proceedings</v>
      </c>
      <c r="B4295" s="8" t="str">
        <f>"9781614993018"</f>
        <v>9781614993018</v>
      </c>
      <c r="C4295" s="8" t="s">
        <v>103</v>
      </c>
    </row>
    <row r="4296" spans="1:3" x14ac:dyDescent="0.25">
      <c r="A4296" s="8" t="str">
        <f>"20th ITS World Congress Tokyo 2013"</f>
        <v>20th ITS World Congress Tokyo 2013</v>
      </c>
      <c r="B4296" s="8" t="str">
        <f>"-"</f>
        <v>-</v>
      </c>
      <c r="C4296" s="8" t="s">
        <v>1281</v>
      </c>
    </row>
    <row r="4297" spans="1:3" x14ac:dyDescent="0.25">
      <c r="A4297" s="8" t="str">
        <f>"20th Saint Petersburg International Conference on Integrated Navigation Systems, ICINS 2013 - Proceedings"</f>
        <v>20th Saint Petersburg International Conference on Integrated Navigation Systems, ICINS 2013 - Proceedings</v>
      </c>
      <c r="B4297" s="8" t="str">
        <f>"9785919950202"</f>
        <v>9785919950202</v>
      </c>
      <c r="C4297" s="8" t="s">
        <v>1248</v>
      </c>
    </row>
    <row r="4298" spans="1:3" x14ac:dyDescent="0.25">
      <c r="A4298" s="8" t="str">
        <f>"20th Technical Conference of the American Society for Composites 2005"</f>
        <v>20th Technical Conference of the American Society for Composites 2005</v>
      </c>
      <c r="B4298" s="8" t="str">
        <f>"9781622762828"</f>
        <v>9781622762828</v>
      </c>
      <c r="C4298" s="8" t="s">
        <v>1313</v>
      </c>
    </row>
    <row r="4299" spans="1:3" x14ac:dyDescent="0.25">
      <c r="A4299" s="8" t="str">
        <f>"20th World Hydrogen Energy Conference, WHEC 2014"</f>
        <v>20th World Hydrogen Energy Conference, WHEC 2014</v>
      </c>
      <c r="B4299" s="8" t="str">
        <f>"-"</f>
        <v>-</v>
      </c>
      <c r="C4299" s="8" t="s">
        <v>1401</v>
      </c>
    </row>
    <row r="4300" spans="1:3" x14ac:dyDescent="0.25">
      <c r="A4300" s="8" t="str">
        <f>"213th ECS meeting Abstracts 2008"</f>
        <v>213th ECS meeting Abstracts 2008</v>
      </c>
      <c r="B4300" s="8" t="str">
        <f>"9781605605456"</f>
        <v>9781605605456</v>
      </c>
      <c r="C4300" s="8" t="s">
        <v>354</v>
      </c>
    </row>
    <row r="4301" spans="1:3" x14ac:dyDescent="0.25">
      <c r="A4301" s="8" t="str">
        <f>"21es Journees Francophones d'Ingenierie des Connaissances, IC 2010"</f>
        <v>21es Journees Francophones d'Ingenierie des Connaissances, IC 2010</v>
      </c>
      <c r="B4301" s="8" t="str">
        <f>"9782911256257"</f>
        <v>9782911256257</v>
      </c>
      <c r="C4301" s="8" t="s">
        <v>1402</v>
      </c>
    </row>
    <row r="4302" spans="1:3" x14ac:dyDescent="0.25">
      <c r="A4302" s="8" t="str">
        <f>"21st Aerodynamic Measurement Technology and Ground Testing Conference"</f>
        <v>21st Aerodynamic Measurement Technology and Ground Testing Conference</v>
      </c>
      <c r="B4302" s="8" t="str">
        <f>"-"</f>
        <v>-</v>
      </c>
      <c r="C4302" s="8" t="s">
        <v>104</v>
      </c>
    </row>
    <row r="4303" spans="1:3" x14ac:dyDescent="0.25">
      <c r="A4303" s="8" t="str">
        <f>"21st AIAA Aerodynamic Decelerator Systems Technology Conference and Seminar 2011"</f>
        <v>21st AIAA Aerodynamic Decelerator Systems Technology Conference and Seminar 2011</v>
      </c>
      <c r="B4303" s="8" t="str">
        <f>"9781600869457"</f>
        <v>9781600869457</v>
      </c>
      <c r="C4303" s="8" t="s">
        <v>104</v>
      </c>
    </row>
    <row r="4304" spans="1:3" x14ac:dyDescent="0.25">
      <c r="A4304" s="8" t="str">
        <f>"21st AIAA Applied Aerodynamics Conference"</f>
        <v>21st AIAA Applied Aerodynamics Conference</v>
      </c>
      <c r="B4304" s="8" t="str">
        <f>"9781624100925"</f>
        <v>9781624100925</v>
      </c>
      <c r="C4304" s="8" t="s">
        <v>104</v>
      </c>
    </row>
    <row r="4305" spans="1:3" x14ac:dyDescent="0.25">
      <c r="A4305" s="8" t="str">
        <f>"21st AIAA Computational Fluid Dynamics Conference"</f>
        <v>21st AIAA Computational Fluid Dynamics Conference</v>
      </c>
      <c r="B4305" s="8" t="str">
        <f>"-"</f>
        <v>-</v>
      </c>
      <c r="C4305" s="8" t="s">
        <v>104</v>
      </c>
    </row>
    <row r="4306" spans="1:3" x14ac:dyDescent="0.25">
      <c r="A4306" s="8" t="str">
        <f>"21st AIAA Lighter-Than-Air Systems Technology Conference"</f>
        <v>21st AIAA Lighter-Than-Air Systems Technology Conference</v>
      </c>
      <c r="B4306" s="8" t="str">
        <f>"9781624102868"</f>
        <v>9781624102868</v>
      </c>
      <c r="C4306" s="8" t="s">
        <v>104</v>
      </c>
    </row>
    <row r="4307" spans="1:3" x14ac:dyDescent="0.25">
      <c r="A4307" s="8" t="str">
        <f>"21st AIAA/CEAS Aeroacoustics Conference"</f>
        <v>21st AIAA/CEAS Aeroacoustics Conference</v>
      </c>
      <c r="B4307" s="8" t="str">
        <f>"9781624103674"</f>
        <v>9781624103674</v>
      </c>
      <c r="C4307" s="8" t="s">
        <v>1258</v>
      </c>
    </row>
    <row r="4308" spans="1:3" x14ac:dyDescent="0.25">
      <c r="A4308" s="8" t="str">
        <f>"21st Annual Brake Colloquium and Exhibition"</f>
        <v>21st Annual Brake Colloquium and Exhibition</v>
      </c>
      <c r="B4308" s="8" t="str">
        <f>"-"</f>
        <v>-</v>
      </c>
      <c r="C4308" s="8" t="s">
        <v>1040</v>
      </c>
    </row>
    <row r="4309" spans="1:3" x14ac:dyDescent="0.25">
      <c r="A4309" s="8" t="str">
        <f>"21st Annual Conference on Behavior Representation in Modeling and Simulation 2012, BRiMS 2012"</f>
        <v>21st Annual Conference on Behavior Representation in Modeling and Simulation 2012, BRiMS 2012</v>
      </c>
      <c r="B4309" s="8" t="str">
        <f>"9781622761739"</f>
        <v>9781622761739</v>
      </c>
      <c r="C4309" s="8" t="s">
        <v>1307</v>
      </c>
    </row>
    <row r="4310" spans="1:3" x14ac:dyDescent="0.25">
      <c r="A4310" s="8" t="str">
        <f>"21st Annual Conference on Learning Theory, COLT 2008"</f>
        <v>21st Annual Conference on Learning Theory, COLT 2008</v>
      </c>
      <c r="B4310" s="8" t="str">
        <f>"-"</f>
        <v>-</v>
      </c>
      <c r="C4310" s="8" t="s">
        <v>1403</v>
      </c>
    </row>
    <row r="4311" spans="1:3" x14ac:dyDescent="0.25">
      <c r="A4311" s="8" t="str">
        <f>"21st Annual Conference on Recent Advances in Flame Retardancy of Polymeric Materials 2010"</f>
        <v>21st Annual Conference on Recent Advances in Flame Retardancy of Polymeric Materials 2010</v>
      </c>
      <c r="B4311" s="8" t="str">
        <f>"9781617823282"</f>
        <v>9781617823282</v>
      </c>
      <c r="C4311" s="8" t="s">
        <v>1390</v>
      </c>
    </row>
    <row r="4312" spans="1:3" x14ac:dyDescent="0.25">
      <c r="A4312" s="8" t="str">
        <f>"21st Annual International Solid Freeform Fabrication Symposium - An Additive Manufacturing Conference, SFF 2010"</f>
        <v>21st Annual International Solid Freeform Fabrication Symposium - An Additive Manufacturing Conference, SFF 2010</v>
      </c>
      <c r="B4312" s="8" t="str">
        <f>"-"</f>
        <v>-</v>
      </c>
      <c r="C4312" s="8" t="s">
        <v>1289</v>
      </c>
    </row>
    <row r="4313" spans="1:3" x14ac:dyDescent="0.25">
      <c r="A4313" s="8" t="str">
        <f>"21st Annual International Symposium of the International Council on Systems Engineering, INCOSE 2011"</f>
        <v>21st Annual International Symposium of the International Council on Systems Engineering, INCOSE 2011</v>
      </c>
      <c r="B4313" s="8" t="str">
        <f>"9781618391155"</f>
        <v>9781618391155</v>
      </c>
      <c r="C4313" s="8" t="s">
        <v>1274</v>
      </c>
    </row>
    <row r="4314" spans="1:3" x14ac:dyDescent="0.25">
      <c r="A4314" s="8" t="str">
        <f>"21st Annual Meeting of the North American Membrane Society 2011, NAMS 2011"</f>
        <v>21st Annual Meeting of the North American Membrane Society 2011, NAMS 2011</v>
      </c>
      <c r="B4314" s="8" t="str">
        <f>"9781627481106"</f>
        <v>9781627481106</v>
      </c>
      <c r="C4314" s="8" t="s">
        <v>1294</v>
      </c>
    </row>
    <row r="4315" spans="1:3" x14ac:dyDescent="0.25">
      <c r="A4315" s="8" t="s">
        <v>1404</v>
      </c>
      <c r="B4315" s="8" t="str">
        <f>"-"</f>
        <v>-</v>
      </c>
      <c r="C4315" s="8" t="s">
        <v>1309</v>
      </c>
    </row>
    <row r="4316" spans="1:3" x14ac:dyDescent="0.25">
      <c r="A4316" s="8" t="str">
        <f>"21st Conference on Measurement of Force, Mass and Torque Together with HARDMEKO 2010 and 2nd Meeting on Vibration Measurement, IMEKO TC3, TC5 and TC22 Conferences"</f>
        <v>21st Conference on Measurement of Force, Mass and Torque Together with HARDMEKO 2010 and 2nd Meeting on Vibration Measurement, IMEKO TC3, TC5 and TC22 Conferences</v>
      </c>
      <c r="B4316" s="8" t="str">
        <f>"9781618390219"</f>
        <v>9781618390219</v>
      </c>
      <c r="C4316" s="8" t="s">
        <v>1198</v>
      </c>
    </row>
    <row r="4317" spans="1:3" x14ac:dyDescent="0.25">
      <c r="A4317" s="8" t="str">
        <f>"21st European Conference on Modelling and Simulation: Simulations in United Europe, ECMS 2007"</f>
        <v>21st European Conference on Modelling and Simulation: Simulations in United Europe, ECMS 2007</v>
      </c>
      <c r="B4317" s="8" t="str">
        <f>"9780955301827"</f>
        <v>9780955301827</v>
      </c>
      <c r="C4317" s="8" t="s">
        <v>1391</v>
      </c>
    </row>
    <row r="4318" spans="1:3" x14ac:dyDescent="0.25">
      <c r="A4318" s="8" t="str">
        <f>"21st European Modeling and Simulation Symposium, EMSS 2009"</f>
        <v>21st European Modeling and Simulation Symposium, EMSS 2009</v>
      </c>
      <c r="B4318" s="8" t="str">
        <f>"-"</f>
        <v>-</v>
      </c>
      <c r="C4318" s="8" t="s">
        <v>1405</v>
      </c>
    </row>
    <row r="4319" spans="1:3" x14ac:dyDescent="0.25">
      <c r="A4319" s="8" t="str">
        <f>"21st IEEE Convention of the Electrical and Electronic Engineers in Israel, Proceedings"</f>
        <v>21st IEEE Convention of the Electrical and Electronic Engineers in Israel, Proceedings</v>
      </c>
      <c r="B4319" s="8" t="str">
        <f>"9780780358423"</f>
        <v>9780780358423</v>
      </c>
      <c r="C4319" s="8" t="s">
        <v>105</v>
      </c>
    </row>
    <row r="4320" spans="1:3" x14ac:dyDescent="0.25">
      <c r="A4320" s="8" t="str">
        <f>"21st IEEE Non-Volatile Semiconductor Memory Workshop 2006, NVSMW 2006"</f>
        <v>21st IEEE Non-Volatile Semiconductor Memory Workshop 2006, NVSMW 2006</v>
      </c>
      <c r="B4320" s="8" t="str">
        <f>"-"</f>
        <v>-</v>
      </c>
      <c r="C4320" s="8" t="s">
        <v>9</v>
      </c>
    </row>
    <row r="4321" spans="1:3" x14ac:dyDescent="0.25">
      <c r="A4321" s="8" t="str">
        <f>"21st International Battery, Hybrid and Fuel Cell Electric Vehicle Symposium and Exhibition 2005, EVS 2005"</f>
        <v>21st International Battery, Hybrid and Fuel Cell Electric Vehicle Symposium and Exhibition 2005, EVS 2005</v>
      </c>
      <c r="B4321" s="8" t="str">
        <f>"9781632668394"</f>
        <v>9781632668394</v>
      </c>
      <c r="C4321" s="8" t="s">
        <v>1406</v>
      </c>
    </row>
    <row r="4322" spans="1:3" x14ac:dyDescent="0.25">
      <c r="A4322" s="8" t="str">
        <f>"21st International Communications Satellite Systems Conference and Exhibit"</f>
        <v>21st International Communications Satellite Systems Conference and Exhibit</v>
      </c>
      <c r="B4322" s="8" t="str">
        <f>"9781624100932"</f>
        <v>9781624100932</v>
      </c>
      <c r="C4322" s="8" t="s">
        <v>104</v>
      </c>
    </row>
    <row r="4323" spans="1:3" x14ac:dyDescent="0.25">
      <c r="A4323" s="8" t="str">
        <f>"21st International Conference in Central Europe on Computer Graphics, Visualization and Computer Vision, WSCG 2013 - Communication Papers Proceedings"</f>
        <v>21st International Conference in Central Europe on Computer Graphics, Visualization and Computer Vision, WSCG 2013 - Communication Papers Proceedings</v>
      </c>
      <c r="B4323" s="8" t="str">
        <f>"9788086943756"</f>
        <v>9788086943756</v>
      </c>
      <c r="C4323" s="8" t="s">
        <v>1276</v>
      </c>
    </row>
    <row r="4324" spans="1:3" x14ac:dyDescent="0.25">
      <c r="A4324" s="8" t="str">
        <f>"21st International Conference in Central Europe on Computer Graphics, Visualization and Computer Vision, WSCG 2013 - Full Papers Proceedings"</f>
        <v>21st International Conference in Central Europe on Computer Graphics, Visualization and Computer Vision, WSCG 2013 - Full Papers Proceedings</v>
      </c>
      <c r="B4324" s="8" t="str">
        <f>"9788086943749"</f>
        <v>9788086943749</v>
      </c>
      <c r="C4324" s="8" t="s">
        <v>1276</v>
      </c>
    </row>
    <row r="4325" spans="1:3" x14ac:dyDescent="0.25">
      <c r="A4325" s="8" t="str">
        <f>"21st International Conference in Central Europe on Computer Graphics, Visualization and Computer Vision, WSCG 2013 - Poster Proceedings"</f>
        <v>21st International Conference in Central Europe on Computer Graphics, Visualization and Computer Vision, WSCG 2013 - Poster Proceedings</v>
      </c>
      <c r="B4325" s="8" t="str">
        <f>"9788086943763"</f>
        <v>9788086943763</v>
      </c>
      <c r="C4325" s="8" t="s">
        <v>1276</v>
      </c>
    </row>
    <row r="4326" spans="1:3" x14ac:dyDescent="0.25">
      <c r="A4326" s="8" t="str">
        <f>"21st International Conference on Adaptive Structures and Technologies 2010, ICAST 2010"</f>
        <v>21st International Conference on Adaptive Structures and Technologies 2010, ICAST 2010</v>
      </c>
      <c r="B4326" s="8" t="str">
        <f>"9781622763184"</f>
        <v>9781622763184</v>
      </c>
      <c r="C4326" s="8" t="s">
        <v>1407</v>
      </c>
    </row>
    <row r="4327" spans="1:3" x14ac:dyDescent="0.25">
      <c r="A4327" s="8" t="str">
        <f>"21st International Conference on Computer Applications in Industry and Engineering, CAINE 2008"</f>
        <v>21st International Conference on Computer Applications in Industry and Engineering, CAINE 2008</v>
      </c>
      <c r="B4327" s="8" t="str">
        <f>"9781605606170"</f>
        <v>9781605606170</v>
      </c>
      <c r="C4327" s="8" t="s">
        <v>1287</v>
      </c>
    </row>
    <row r="4328" spans="1:3" x14ac:dyDescent="0.25">
      <c r="A4328" s="8" t="str">
        <f>"21st International Conference on Computer Graphics and Vision, GraphiCon'2011 - Conference Proceedings"</f>
        <v>21st International Conference on Computer Graphics and Vision, GraphiCon'2011 - Conference Proceedings</v>
      </c>
      <c r="B4328" s="8" t="str">
        <f>"-"</f>
        <v>-</v>
      </c>
      <c r="C4328" s="8" t="s">
        <v>1318</v>
      </c>
    </row>
    <row r="4329" spans="1:3" x14ac:dyDescent="0.25">
      <c r="A4329" s="8" t="str">
        <f>"21st International Conference on Computers and Their Applications, CATA 2006"</f>
        <v>21st International Conference on Computers and Their Applications, CATA 2006</v>
      </c>
      <c r="B4329" s="8" t="str">
        <f>"9781604234961"</f>
        <v>9781604234961</v>
      </c>
      <c r="C4329" s="8" t="s">
        <v>1287</v>
      </c>
    </row>
    <row r="4330" spans="1:3" x14ac:dyDescent="0.25">
      <c r="A4330" s="8" t="str">
        <f>"21st International Conference on Production Research: Innovation in Product and Production, ICPR 2011 - Conference Proceedings"</f>
        <v>21st International Conference on Production Research: Innovation in Product and Production, ICPR 2011 - Conference Proceedings</v>
      </c>
      <c r="B4330" s="8" t="str">
        <f>"9783839602935"</f>
        <v>9783839602935</v>
      </c>
      <c r="C4330" s="8" t="s">
        <v>1408</v>
      </c>
    </row>
    <row r="4331" spans="1:3" x14ac:dyDescent="0.25">
      <c r="A4331" s="8" t="str">
        <f>"21st International Congress on Sound and Vibration 2014, ICSV 2014"</f>
        <v>21st International Congress on Sound and Vibration 2014, ICSV 2014</v>
      </c>
      <c r="B4331" s="8" t="str">
        <f>"-"</f>
        <v>-</v>
      </c>
      <c r="C4331" s="8" t="s">
        <v>559</v>
      </c>
    </row>
    <row r="4332" spans="1:3" x14ac:dyDescent="0.25">
      <c r="A4332" s="8" t="str">
        <f>"21st International Scientific Conference: Wood is Good - Transfer of Knowledge in Practice as a Way Out of the Crisis, Proceedings"</f>
        <v>21st International Scientific Conference: Wood is Good - Transfer of Knowledge in Practice as a Way Out of the Crisis, Proceedings</v>
      </c>
      <c r="B4332" s="8" t="str">
        <f>"9789532920185"</f>
        <v>9789532920185</v>
      </c>
      <c r="C4332" s="8" t="s">
        <v>1409</v>
      </c>
    </row>
    <row r="4333" spans="1:3" x14ac:dyDescent="0.25">
      <c r="A4333" s="8" t="str">
        <f>"21st International Specialty Conference on Cold-Formed Steel Structures - Recent Research and Developments in Cold-Formed Steel Design and Construction"</f>
        <v>21st International Specialty Conference on Cold-Formed Steel Structures - Recent Research and Developments in Cold-Formed Steel Design and Construction</v>
      </c>
      <c r="B4333" s="8" t="str">
        <f>"-"</f>
        <v>-</v>
      </c>
      <c r="C4333" s="8" t="s">
        <v>1410</v>
      </c>
    </row>
    <row r="4334" spans="1:3" x14ac:dyDescent="0.25">
      <c r="A4334" s="8" t="str">
        <f>"21st International Symposium on Human Factors in Telecommunication, HFT 2008"</f>
        <v>21st International Symposium on Human Factors in Telecommunication, HFT 2008</v>
      </c>
      <c r="B4334" s="8" t="str">
        <f>"9789833927722"</f>
        <v>9789833927722</v>
      </c>
      <c r="C4334" s="8" t="s">
        <v>1400</v>
      </c>
    </row>
    <row r="4335" spans="1:3" x14ac:dyDescent="0.25">
      <c r="A4335" s="8" t="str">
        <f>"21st International Symposium on Space Terahertz Technology 2010, ISSTT 2010"</f>
        <v>21st International Symposium on Space Terahertz Technology 2010, ISSTT 2010</v>
      </c>
      <c r="B4335" s="8" t="str">
        <f>"9781617823626"</f>
        <v>9781617823626</v>
      </c>
      <c r="C4335" s="8" t="s">
        <v>1303</v>
      </c>
    </row>
    <row r="4336" spans="1:3" x14ac:dyDescent="0.25">
      <c r="A4336" s="8" t="str">
        <f>"21st International Technical Meeting of the Satellite Division of the Institute of Navigation, ION GNSS 2008"</f>
        <v>21st International Technical Meeting of the Satellite Division of the Institute of Navigation, ION GNSS 2008</v>
      </c>
      <c r="B4336" s="8" t="str">
        <f>"9781605606897"</f>
        <v>9781605606897</v>
      </c>
      <c r="C4336" s="8" t="s">
        <v>1411</v>
      </c>
    </row>
    <row r="4337" spans="1:3" x14ac:dyDescent="0.25">
      <c r="A4337" s="8" t="str">
        <f>"21st International Technical Meeting of the Satellite Division of the Institute of Navigation, ION GNSS 2008"</f>
        <v>21st International Technical Meeting of the Satellite Division of the Institute of Navigation, ION GNSS 2008</v>
      </c>
      <c r="B4337" s="8" t="str">
        <f>"9781605606897"</f>
        <v>9781605606897</v>
      </c>
      <c r="C4337" s="8" t="s">
        <v>1411</v>
      </c>
    </row>
    <row r="4338" spans="1:3" x14ac:dyDescent="0.25">
      <c r="A4338" s="8" t="str">
        <f>"21st International Teletraffic Congress, ITC 21: Traffic and Performance Issues in Networks of the Future - Final Programme"</f>
        <v>21st International Teletraffic Congress, ITC 21: Traffic and Performance Issues in Networks of the Future - Final Programme</v>
      </c>
      <c r="B4338" s="8" t="str">
        <f>"9781424447442"</f>
        <v>9781424447442</v>
      </c>
      <c r="C4338" s="8" t="s">
        <v>9</v>
      </c>
    </row>
    <row r="4339" spans="1:3" x14ac:dyDescent="0.25">
      <c r="A4339" s="8" t="str">
        <f>"21st Saint Petersburg International Conference on Integrated Navigation Systems, ICINS 2014 - Proceedings"</f>
        <v>21st Saint Petersburg International Conference on Integrated Navigation Systems, ICINS 2014 - Proceedings</v>
      </c>
      <c r="B4339" s="8" t="str">
        <f>"9785919950325"</f>
        <v>9785919950325</v>
      </c>
      <c r="C4339" s="8" t="s">
        <v>1248</v>
      </c>
    </row>
    <row r="4340" spans="1:3" x14ac:dyDescent="0.25">
      <c r="A4340" s="8" t="str">
        <f>"21st World Congress on Intelligent Transport Systems, ITSWC 2014: Reinventing Transportation in Our Connected World"</f>
        <v>21st World Congress on Intelligent Transport Systems, ITSWC 2014: Reinventing Transportation in Our Connected World</v>
      </c>
      <c r="B4340" s="8" t="str">
        <f>"-"</f>
        <v>-</v>
      </c>
      <c r="C4340" s="8" t="s">
        <v>1261</v>
      </c>
    </row>
    <row r="4341" spans="1:3" x14ac:dyDescent="0.25">
      <c r="A4341" s="8" t="str">
        <f>"22emes Journees Francophones d'Ingenierie des Connaissances, IC 2011"</f>
        <v>22emes Journees Francophones d'Ingenierie des Connaissances, IC 2011</v>
      </c>
      <c r="B4341" s="8" t="str">
        <f>"-"</f>
        <v>-</v>
      </c>
      <c r="C4341" s="8" t="s">
        <v>1412</v>
      </c>
    </row>
    <row r="4342" spans="1:3" x14ac:dyDescent="0.25">
      <c r="A4342" s="8" t="str">
        <f>"22nd AIAA Aerodynamic Measurement Technology and Ground Testing Conference"</f>
        <v>22nd AIAA Aerodynamic Measurement Technology and Ground Testing Conference</v>
      </c>
      <c r="B4342" s="8" t="str">
        <f>"9781624101120"</f>
        <v>9781624101120</v>
      </c>
      <c r="C4342" s="8" t="s">
        <v>104</v>
      </c>
    </row>
    <row r="4343" spans="1:3" x14ac:dyDescent="0.25">
      <c r="A4343" s="8" t="str">
        <f>"22nd AIAA Computational Fluid Dynamics Conference"</f>
        <v>22nd AIAA Computational Fluid Dynamics Conference</v>
      </c>
      <c r="B4343" s="8" t="str">
        <f>"9781624103667"</f>
        <v>9781624103667</v>
      </c>
      <c r="C4343" s="8" t="s">
        <v>1258</v>
      </c>
    </row>
    <row r="4344" spans="1:3" x14ac:dyDescent="0.25">
      <c r="A4344" s="8" t="str">
        <f>"22nd AIAA Lighter-Than-Air Systems Technology Conference, 2015"</f>
        <v>22nd AIAA Lighter-Than-Air Systems Technology Conference, 2015</v>
      </c>
      <c r="B4344" s="8" t="str">
        <f>"9781624103650"</f>
        <v>9781624103650</v>
      </c>
      <c r="C4344" s="8" t="s">
        <v>1388</v>
      </c>
    </row>
    <row r="4345" spans="1:3" x14ac:dyDescent="0.25">
      <c r="A4345" s="8" t="str">
        <f>"22nd AIAA/ASME/AHS Adaptive Structures Conference"</f>
        <v>22nd AIAA/ASME/AHS Adaptive Structures Conference</v>
      </c>
      <c r="B4345" s="8" t="str">
        <f>"-"</f>
        <v>-</v>
      </c>
      <c r="C4345" s="8" t="s">
        <v>104</v>
      </c>
    </row>
    <row r="4346" spans="1:3" x14ac:dyDescent="0.25">
      <c r="A4346" s="8" t="str">
        <f>"22nd American Society of Mining and Reclamation Annual National Conference 2005"</f>
        <v>22nd American Society of Mining and Reclamation Annual National Conference 2005</v>
      </c>
      <c r="B4346" s="8" t="str">
        <f>"9781622760862"</f>
        <v>9781622760862</v>
      </c>
      <c r="C4346" s="8" t="s">
        <v>1413</v>
      </c>
    </row>
    <row r="4347" spans="1:3" x14ac:dyDescent="0.25">
      <c r="A4347" s="8" t="str">
        <f>"22nd Annual Brake Colloquium and Exhibition"</f>
        <v>22nd Annual Brake Colloquium and Exhibition</v>
      </c>
      <c r="B4347" s="8" t="str">
        <f>"-"</f>
        <v>-</v>
      </c>
      <c r="C4347" s="8" t="s">
        <v>1040</v>
      </c>
    </row>
    <row r="4348" spans="1:3" x14ac:dyDescent="0.25">
      <c r="A4348" s="8" t="str">
        <f>"22nd Annual Conference of the International Group for Lean Construction: Understanding and Improving Project Based Production, IGLC 2014"</f>
        <v>22nd Annual Conference of the International Group for Lean Construction: Understanding and Improving Project Based Production, IGLC 2014</v>
      </c>
      <c r="B4348" s="8" t="str">
        <f>"-"</f>
        <v>-</v>
      </c>
      <c r="C4348" s="8" t="s">
        <v>1259</v>
      </c>
    </row>
    <row r="4349" spans="1:3" x14ac:dyDescent="0.25">
      <c r="A4349" s="8" t="str">
        <f>"22nd Annual Conference on Behavior Representation in Modeling and Simulation, BRiMS 2013 - Co-located with the International Conference on Cognitive Modeling"</f>
        <v>22nd Annual Conference on Behavior Representation in Modeling and Simulation, BRiMS 2013 - Co-located with the International Conference on Cognitive Modeling</v>
      </c>
      <c r="B4349" s="8" t="str">
        <f>"9781627484701"</f>
        <v>9781627484701</v>
      </c>
      <c r="C4349" s="8" t="s">
        <v>1307</v>
      </c>
    </row>
    <row r="4350" spans="1:3" x14ac:dyDescent="0.25">
      <c r="A4350" s="8" t="str">
        <f>"22nd Annual Conference on Recent Advances in Flame Retardancy of Polymeric Materials 2011"</f>
        <v>22nd Annual Conference on Recent Advances in Flame Retardancy of Polymeric Materials 2011</v>
      </c>
      <c r="B4350" s="8" t="str">
        <f>"9781618394699"</f>
        <v>9781618394699</v>
      </c>
      <c r="C4350" s="8" t="s">
        <v>1390</v>
      </c>
    </row>
    <row r="4351" spans="1:3" x14ac:dyDescent="0.25">
      <c r="A4351" s="8" t="str">
        <f>"22nd Annual International Pittsburgh Coal Conference 2005, PCC 2005"</f>
        <v>22nd Annual International Pittsburgh Coal Conference 2005, PCC 2005</v>
      </c>
      <c r="B4351" s="8" t="str">
        <f>"9781627480949"</f>
        <v>9781627480949</v>
      </c>
      <c r="C4351" s="8" t="s">
        <v>1414</v>
      </c>
    </row>
    <row r="4352" spans="1:3" x14ac:dyDescent="0.25">
      <c r="A4352" s="8" t="str">
        <f>"22nd Annual International Solid Freeform Fabrication Symposium - An Additive Manufacturing Conference, SFF 2011"</f>
        <v>22nd Annual International Solid Freeform Fabrication Symposium - An Additive Manufacturing Conference, SFF 2011</v>
      </c>
      <c r="B4352" s="8" t="str">
        <f>"-"</f>
        <v>-</v>
      </c>
      <c r="C4352" s="8" t="s">
        <v>1289</v>
      </c>
    </row>
    <row r="4353" spans="1:3" x14ac:dyDescent="0.25">
      <c r="A4353" s="8" t="str">
        <f>"22nd Annual International Symposium of the International Council on Systems Engineering, INCOSE 2012 and the 8th Biennial European Systems Engineering Conference 2012, EuSEC 2012"</f>
        <v>22nd Annual International Symposium of the International Council on Systems Engineering, INCOSE 2012 and the 8th Biennial European Systems Engineering Conference 2012, EuSEC 2012</v>
      </c>
      <c r="B4353" s="8" t="str">
        <f>"9781622769162"</f>
        <v>9781622769162</v>
      </c>
      <c r="C4353" s="8" t="s">
        <v>1274</v>
      </c>
    </row>
    <row r="4354" spans="1:3" x14ac:dyDescent="0.25">
      <c r="A4354" s="8" t="str">
        <f>"22nd Annual Meeting of the North American Membrane Society 2012, NAMS 2012"</f>
        <v>22nd Annual Meeting of the North American Membrane Society 2012, NAMS 2012</v>
      </c>
      <c r="B4354" s="8" t="str">
        <f>"9781627481090"</f>
        <v>9781627481090</v>
      </c>
      <c r="C4354" s="8" t="s">
        <v>1294</v>
      </c>
    </row>
    <row r="4355" spans="1:3" x14ac:dyDescent="0.25">
      <c r="A4355" s="8" t="str">
        <f>"22nd Austrian Workshop on Microelectronics, Austrochip 2014 - Proceedings"</f>
        <v>22nd Austrian Workshop on Microelectronics, Austrochip 2014 - Proceedings</v>
      </c>
      <c r="B4355" s="8" t="str">
        <f>"9781479972432"</f>
        <v>9781479972432</v>
      </c>
      <c r="C4355" s="8" t="s">
        <v>105</v>
      </c>
    </row>
    <row r="4356" spans="1:3" x14ac:dyDescent="0.25">
      <c r="A4356" s="8" t="str">
        <f>"22nd Bled eConference eEnablement: Facilitating an Open, Effective and Representative eSociety - Proceedings"</f>
        <v>22nd Bled eConference eEnablement: Facilitating an Open, Effective and Representative eSociety - Proceedings</v>
      </c>
      <c r="B4356" s="8" t="str">
        <f>"-"</f>
        <v>-</v>
      </c>
      <c r="C4356" s="8" t="s">
        <v>1309</v>
      </c>
    </row>
    <row r="4357" spans="1:3" x14ac:dyDescent="0.25">
      <c r="A4357" s="8" t="str">
        <f>"22nd European Conference on Biomaterials - Annual Conference of the European Society for Biomaterials, ESB 2009"</f>
        <v>22nd European Conference on Biomaterials - Annual Conference of the European Society for Biomaterials, ESB 2009</v>
      </c>
      <c r="B4357" s="8" t="str">
        <f>"-"</f>
        <v>-</v>
      </c>
      <c r="C4357" s="8" t="s">
        <v>1415</v>
      </c>
    </row>
    <row r="4358" spans="1:3" x14ac:dyDescent="0.25">
      <c r="A4358" s="8" t="str">
        <f>"22nd IEEE International Symposium on Intelligent Control, ISIC 2007. Part of IEEE Multi-conference on Systems and Control"</f>
        <v>22nd IEEE International Symposium on Intelligent Control, ISIC 2007. Part of IEEE Multi-conference on Systems and Control</v>
      </c>
      <c r="B4358" s="8" t="str">
        <f>"9781424404414"</f>
        <v>9781424404414</v>
      </c>
      <c r="C4358" s="8" t="s">
        <v>9</v>
      </c>
    </row>
    <row r="4359" spans="1:3" x14ac:dyDescent="0.25">
      <c r="A4359" s="8" t="str">
        <f>"22nd International Battery, Hybrid and Fuel Cell Electric Vehicle Symposium and Exposition, EVS 2006"</f>
        <v>22nd International Battery, Hybrid and Fuel Cell Electric Vehicle Symposium and Exposition, EVS 2006</v>
      </c>
      <c r="B4359" s="8" t="str">
        <f>"-"</f>
        <v>-</v>
      </c>
      <c r="C4359" s="8" t="s">
        <v>1406</v>
      </c>
    </row>
    <row r="4360" spans="1:3" x14ac:dyDescent="0.25">
      <c r="A4360" s="8" t="str">
        <f>"22nd International Conference on Computer Applications in Industry and Engineering 2009, CAINE 2009"</f>
        <v>22nd International Conference on Computer Applications in Industry and Engineering 2009, CAINE 2009</v>
      </c>
      <c r="B4360" s="8" t="str">
        <f>"9781615676668"</f>
        <v>9781615676668</v>
      </c>
      <c r="C4360" s="8" t="s">
        <v>1287</v>
      </c>
    </row>
    <row r="4361" spans="1:3" x14ac:dyDescent="0.25">
      <c r="A4361" s="8" t="str">
        <f>"22nd International Conference on Computers and Their Applications 2007, CATA 2007"</f>
        <v>22nd International Conference on Computers and Their Applications 2007, CATA 2007</v>
      </c>
      <c r="B4361" s="8" t="str">
        <f>"9781604237559"</f>
        <v>9781604237559</v>
      </c>
      <c r="C4361" s="8" t="s">
        <v>1287</v>
      </c>
    </row>
    <row r="4362" spans="1:3" x14ac:dyDescent="0.25">
      <c r="A4362" s="8" t="str">
        <f>"22nd International Conference on Production Research, ICPR 2013"</f>
        <v>22nd International Conference on Production Research, ICPR 2013</v>
      </c>
      <c r="B4362" s="8" t="str">
        <f>"-"</f>
        <v>-</v>
      </c>
      <c r="C4362" s="8" t="s">
        <v>1416</v>
      </c>
    </row>
    <row r="4363" spans="1:3" x14ac:dyDescent="0.25">
      <c r="A4363" s="8" t="str">
        <f>"22nd International Conference on Program Comprehension, ICPC 2014 - Proceedings"</f>
        <v>22nd International Conference on Program Comprehension, ICPC 2014 - Proceedings</v>
      </c>
      <c r="B4363" s="8" t="str">
        <f>"9781450328791"</f>
        <v>9781450328791</v>
      </c>
      <c r="C4363" s="8" t="s">
        <v>1235</v>
      </c>
    </row>
    <row r="4364" spans="1:3" x14ac:dyDescent="0.25">
      <c r="A4364" s="8" t="str">
        <f>"22nd International Conference on Software Engineering and Data Engineering, SEDE 2013"</f>
        <v>22nd International Conference on Software Engineering and Data Engineering, SEDE 2013</v>
      </c>
      <c r="B4364" s="8" t="str">
        <f>"9781629933115"</f>
        <v>9781629933115</v>
      </c>
      <c r="C4364" s="8" t="s">
        <v>1287</v>
      </c>
    </row>
    <row r="4365" spans="1:3" x14ac:dyDescent="0.25">
      <c r="A4365" s="8" t="str">
        <f>"22nd International Conference, PLEA 2005: Passive and Low Energy Architecture - Environmental Sustainability: The Challenge of Awareness in Developing Societies, Proceedings"</f>
        <v>22nd International Conference, PLEA 2005: Passive and Low Energy Architecture - Environmental Sustainability: The Challenge of Awareness in Developing Societies, Proceedings</v>
      </c>
      <c r="B4365" s="8" t="str">
        <f>"9789953418698"</f>
        <v>9789953418698</v>
      </c>
      <c r="C4365" s="8" t="s">
        <v>1417</v>
      </c>
    </row>
    <row r="4366" spans="1:3" x14ac:dyDescent="0.25">
      <c r="A4366" s="8" t="str">
        <f>"22nd International Specialty Conference on Recent Research and Developments in Cold-Formed Steel Design and Construction"</f>
        <v>22nd International Specialty Conference on Recent Research and Developments in Cold-Formed Steel Design and Construction</v>
      </c>
      <c r="B4366" s="8" t="str">
        <f>"-"</f>
        <v>-</v>
      </c>
      <c r="C4366" s="8" t="s">
        <v>1320</v>
      </c>
    </row>
    <row r="4367" spans="1:3" x14ac:dyDescent="0.25">
      <c r="A4367" s="8" t="str">
        <f>"22nd International Symposium on Automation and Robotics in Construction, ISARC 2005"</f>
        <v>22nd International Symposium on Automation and Robotics in Construction, ISARC 2005</v>
      </c>
      <c r="B4367" s="8" t="str">
        <f>"-"</f>
        <v>-</v>
      </c>
      <c r="C4367" s="8" t="s">
        <v>1418</v>
      </c>
    </row>
    <row r="4368" spans="1:3" x14ac:dyDescent="0.25">
      <c r="A4368" s="8" t="str">
        <f>"22nd International Symposium on Computer and Information Sciences, ISCIS 2007 - Proceedings"</f>
        <v>22nd International Symposium on Computer and Information Sciences, ISCIS 2007 - Proceedings</v>
      </c>
      <c r="B4368" s="8" t="str">
        <f>"9781424413645"</f>
        <v>9781424413645</v>
      </c>
      <c r="C4368" s="8" t="s">
        <v>9</v>
      </c>
    </row>
    <row r="4369" spans="1:3" x14ac:dyDescent="0.25">
      <c r="A4369" s="8" t="str">
        <f>"22nd International Symposium on Human Factors in Telecommunication, HFT 2013"</f>
        <v>22nd International Symposium on Human Factors in Telecommunication, HFT 2013</v>
      </c>
      <c r="B4369" s="8" t="str">
        <f>"-"</f>
        <v>-</v>
      </c>
      <c r="C4369" s="8" t="s">
        <v>1419</v>
      </c>
    </row>
    <row r="4370" spans="1:3" x14ac:dyDescent="0.25">
      <c r="A4370" s="8" t="str">
        <f>"22nd International Symposium on Space Terahertz Technology 2011, ISSTT 2011"</f>
        <v>22nd International Symposium on Space Terahertz Technology 2011, ISSTT 2011</v>
      </c>
      <c r="B4370" s="8" t="str">
        <f>"9781618394156"</f>
        <v>9781618394156</v>
      </c>
      <c r="C4370" s="8" t="s">
        <v>1303</v>
      </c>
    </row>
    <row r="4371" spans="1:3" x14ac:dyDescent="0.25">
      <c r="A4371" s="8" t="str">
        <f>"22nd International Technical Meeting of the Satellite Division of the Institute of Navigation 2009, ION GNSS 2009"</f>
        <v>22nd International Technical Meeting of the Satellite Division of the Institute of Navigation 2009, ION GNSS 2009</v>
      </c>
      <c r="B4371" s="8" t="str">
        <f>"9781615677481"</f>
        <v>9781615677481</v>
      </c>
      <c r="C4371" s="8" t="s">
        <v>969</v>
      </c>
    </row>
    <row r="4372" spans="1:3" x14ac:dyDescent="0.25">
      <c r="A4372" s="8" t="str">
        <f>"22nd Iranian Conference on Electrical Engineering, ICEE 2014"</f>
        <v>22nd Iranian Conference on Electrical Engineering, ICEE 2014</v>
      </c>
      <c r="B4372" s="8" t="str">
        <f>"9781479944095"</f>
        <v>9781479944095</v>
      </c>
      <c r="C4372" s="8" t="s">
        <v>105</v>
      </c>
    </row>
    <row r="4373" spans="1:3" x14ac:dyDescent="0.25">
      <c r="A4373" s="8" t="str">
        <f>"22nd Italian Symposium on Advanced Database Systems, SEBD 2014"</f>
        <v>22nd Italian Symposium on Advanced Database Systems, SEBD 2014</v>
      </c>
      <c r="B4373" s="8" t="str">
        <f>"9781634391450"</f>
        <v>9781634391450</v>
      </c>
      <c r="C4373" s="8" t="s">
        <v>1420</v>
      </c>
    </row>
    <row r="4374" spans="1:3" x14ac:dyDescent="0.25">
      <c r="A4374" s="8" t="str">
        <f>"22nd Picture Coding Symposium"</f>
        <v>22nd Picture Coding Symposium</v>
      </c>
      <c r="B4374" s="8" t="str">
        <f>"-"</f>
        <v>-</v>
      </c>
      <c r="C4374" s="8" t="s">
        <v>105</v>
      </c>
    </row>
    <row r="4375" spans="1:3" x14ac:dyDescent="0.25">
      <c r="A4375" s="8" t="str">
        <f>"22nd Saint Petersburg International Conference on Integrated Navigation Systems, ICINS 2015 - Proceedings"</f>
        <v>22nd Saint Petersburg International Conference on Integrated Navigation Systems, ICINS 2015 - Proceedings</v>
      </c>
      <c r="B4375" s="8" t="str">
        <f>"9785919950233"</f>
        <v>9785919950233</v>
      </c>
      <c r="C4375" s="8" t="s">
        <v>1248</v>
      </c>
    </row>
    <row r="4376" spans="1:3" x14ac:dyDescent="0.25">
      <c r="A4376" s="8" t="str">
        <f>"22nd Workshop on (Constraint) Logic Programming, WLP 2008"</f>
        <v>22nd Workshop on (Constraint) Logic Programming, WLP 2008</v>
      </c>
      <c r="B4376" s="8" t="str">
        <f>"-"</f>
        <v>-</v>
      </c>
      <c r="C4376" s="8" t="s">
        <v>900</v>
      </c>
    </row>
    <row r="4377" spans="1:3" x14ac:dyDescent="0.25">
      <c r="A4377" s="8" t="str">
        <f>"22nd Workshop on Logic-Based Programming Environments, WLPE 2012"</f>
        <v>22nd Workshop on Logic-Based Programming Environments, WLPE 2012</v>
      </c>
      <c r="B4377" s="8" t="str">
        <f>"-"</f>
        <v>-</v>
      </c>
      <c r="C4377" s="8" t="s">
        <v>1314</v>
      </c>
    </row>
    <row r="4378" spans="1:3" x14ac:dyDescent="0.25">
      <c r="A4378" s="8" t="str">
        <f>"22th European Modeling and Simulation Symposium, EMSS 2010"</f>
        <v>22th European Modeling and Simulation Symposium, EMSS 2010</v>
      </c>
      <c r="B4378" s="8" t="str">
        <f>"9782952474788"</f>
        <v>9782952474788</v>
      </c>
      <c r="C4378" s="8" t="s">
        <v>1392</v>
      </c>
    </row>
    <row r="4379" spans="1:3" x14ac:dyDescent="0.25">
      <c r="A4379" s="8" t="str">
        <f>"23rd AIAA/AHS Adaptive Structures Conference"</f>
        <v>23rd AIAA/AHS Adaptive Structures Conference</v>
      </c>
      <c r="B4379" s="8" t="str">
        <f>"9781624103469"</f>
        <v>9781624103469</v>
      </c>
      <c r="C4379" s="8" t="s">
        <v>104</v>
      </c>
    </row>
    <row r="4380" spans="1:3" x14ac:dyDescent="0.25">
      <c r="A4380" s="8" t="str">
        <f>"23rd AMS Conference on Severe Local Storms, SLS 2006"</f>
        <v>23rd AMS Conference on Severe Local Storms, SLS 2006</v>
      </c>
      <c r="B4380" s="8" t="str">
        <f>"-"</f>
        <v>-</v>
      </c>
      <c r="C4380" s="8" t="s">
        <v>225</v>
      </c>
    </row>
    <row r="4381" spans="1:3" x14ac:dyDescent="0.25">
      <c r="A4381" s="8" t="str">
        <f>"23rd Annual Brake Colloquium and Exhibition"</f>
        <v>23rd Annual Brake Colloquium and Exhibition</v>
      </c>
      <c r="B4381" s="8" t="str">
        <f>"-"</f>
        <v>-</v>
      </c>
      <c r="C4381" s="8" t="s">
        <v>1040</v>
      </c>
    </row>
    <row r="4382" spans="1:3" x14ac:dyDescent="0.25">
      <c r="A4382" s="8" t="str">
        <f>"23rd Annual Conference on Recent Advances in Flame Retardancy of Polymeric Materials 2012"</f>
        <v>23rd Annual Conference on Recent Advances in Flame Retardancy of Polymeric Materials 2012</v>
      </c>
      <c r="B4382" s="8" t="str">
        <f>"9781622769414"</f>
        <v>9781622769414</v>
      </c>
      <c r="C4382" s="8" t="s">
        <v>1390</v>
      </c>
    </row>
    <row r="4383" spans="1:3" x14ac:dyDescent="0.25">
      <c r="A4383" s="8" t="str">
        <f>"23rd Annual International Pittsburgh Coal Conference, PCC - Coal-Energy, Environment and Sustainable Development"</f>
        <v>23rd Annual International Pittsburgh Coal Conference, PCC - Coal-Energy, Environment and Sustainable Development</v>
      </c>
      <c r="B4383" s="8" t="str">
        <f>"9781890977238"</f>
        <v>9781890977238</v>
      </c>
      <c r="C4383" s="8" t="s">
        <v>1414</v>
      </c>
    </row>
    <row r="4384" spans="1:3" x14ac:dyDescent="0.25">
      <c r="A4384" s="8" t="str">
        <f>"23rd Annual International Solid Freeform Fabrication Symposium - An Additive Manufacturing Conference, SFF 2012"</f>
        <v>23rd Annual International Solid Freeform Fabrication Symposium - An Additive Manufacturing Conference, SFF 2012</v>
      </c>
      <c r="B4384" s="8" t="str">
        <f>"-"</f>
        <v>-</v>
      </c>
      <c r="C4384" s="8" t="s">
        <v>1289</v>
      </c>
    </row>
    <row r="4385" spans="1:3" x14ac:dyDescent="0.25">
      <c r="A4385" s="8" t="str">
        <f>"23rd Annual International Symposium of the International Council on Systems Engineering, INCOSE 2013"</f>
        <v>23rd Annual International Symposium of the International Council on Systems Engineering, INCOSE 2013</v>
      </c>
      <c r="B4385" s="8" t="str">
        <f>"9781629933054"</f>
        <v>9781629933054</v>
      </c>
      <c r="C4385" s="8" t="s">
        <v>1274</v>
      </c>
    </row>
    <row r="4386" spans="1:3" x14ac:dyDescent="0.25">
      <c r="A4386" s="8" t="str">
        <f>"23rd Annual Meeting of the North American Membrane Society, NAMS 2013"</f>
        <v>23rd Annual Meeting of the North American Membrane Society, NAMS 2013</v>
      </c>
      <c r="B4386" s="8" t="str">
        <f>"9781629930008"</f>
        <v>9781629930008</v>
      </c>
      <c r="C4386" s="8" t="s">
        <v>1294</v>
      </c>
    </row>
    <row r="4387" spans="1:3" x14ac:dyDescent="0.25">
      <c r="A4387" s="8" t="str">
        <f>"23rd Annual Southern African Transport Conference, SATC 2004: Getting Recognition for the Importance of Transport"</f>
        <v>23rd Annual Southern African Transport Conference, SATC 2004: Getting Recognition for the Importance of Transport</v>
      </c>
      <c r="B4387" s="8" t="str">
        <f>"9781920017231"</f>
        <v>9781920017231</v>
      </c>
      <c r="C4387" s="8" t="s">
        <v>1421</v>
      </c>
    </row>
    <row r="4388" spans="1:3" x14ac:dyDescent="0.25">
      <c r="A4388" s="8" t="str">
        <f>"23rd Biennial Symposium on Communications"</f>
        <v>23rd Biennial Symposium on Communications</v>
      </c>
      <c r="B4388" s="8" t="str">
        <f>"-"</f>
        <v>-</v>
      </c>
      <c r="C4388" s="8" t="s">
        <v>9</v>
      </c>
    </row>
    <row r="4389" spans="1:3" x14ac:dyDescent="0.25">
      <c r="A4389" s="8" t="str">
        <f>"23rd Bled eConference eTrust: Implications for the Individual, Enterprises and Society - Proceedings"</f>
        <v>23rd Bled eConference eTrust: Implications for the Individual, Enterprises and Society - Proceedings</v>
      </c>
      <c r="B4389" s="8" t="str">
        <f>"-"</f>
        <v>-</v>
      </c>
      <c r="C4389" s="8" t="s">
        <v>1309</v>
      </c>
    </row>
    <row r="4390" spans="1:3" x14ac:dyDescent="0.25">
      <c r="A4390" s="8" t="str">
        <f>"23rd DAAAM International Symposium on Intelligent Manufacturing and Automation 2012"</f>
        <v>23rd DAAAM International Symposium on Intelligent Manufacturing and Automation 2012</v>
      </c>
      <c r="B4390" s="8" t="str">
        <f>"9781629936574"</f>
        <v>9781629936574</v>
      </c>
      <c r="C4390" s="8" t="s">
        <v>125</v>
      </c>
    </row>
    <row r="4391" spans="1:3" x14ac:dyDescent="0.25">
      <c r="A4391" s="8" t="str">
        <f>"23rd European Conference on Biomaterials 2010, ESB 2010"</f>
        <v>23rd European Conference on Biomaterials 2010, ESB 2010</v>
      </c>
      <c r="B4391" s="8" t="str">
        <f>"9781617820861"</f>
        <v>9781617820861</v>
      </c>
      <c r="C4391" s="8" t="s">
        <v>1415</v>
      </c>
    </row>
    <row r="4392" spans="1:3" x14ac:dyDescent="0.25">
      <c r="A4392" s="8" t="str">
        <f>"23rd European Modeling and Simulation Symposium, EMSS 2011"</f>
        <v>23rd European Modeling and Simulation Symposium, EMSS 2011</v>
      </c>
      <c r="B4392" s="8" t="str">
        <f>"9788890372445"</f>
        <v>9788890372445</v>
      </c>
      <c r="C4392" s="8" t="s">
        <v>1392</v>
      </c>
    </row>
    <row r="4393" spans="1:3" x14ac:dyDescent="0.25">
      <c r="A4393" s="8" t="str">
        <f>"23rd International Conference for Production Research, ICPR 2015"</f>
        <v>23rd International Conference for Production Research, ICPR 2015</v>
      </c>
      <c r="B4393" s="8" t="str">
        <f>"-"</f>
        <v>-</v>
      </c>
      <c r="C4393" s="8" t="s">
        <v>1416</v>
      </c>
    </row>
    <row r="4394" spans="1:3" x14ac:dyDescent="0.25">
      <c r="A4394" s="8" t="str">
        <f>"23rd International Conference on Adaptive Structures and Technologies, ICAST 2012"</f>
        <v>23rd International Conference on Adaptive Structures and Technologies, ICAST 2012</v>
      </c>
      <c r="B4394" s="8" t="str">
        <f>"-"</f>
        <v>-</v>
      </c>
      <c r="C4394" s="8" t="s">
        <v>1407</v>
      </c>
    </row>
    <row r="4395" spans="1:3" x14ac:dyDescent="0.25">
      <c r="A4395" s="8" t="str">
        <f>"23rd International Conference on Computer Applications in Industry and Engineering 2010, CAINE 2010 - Including SNA 2010 Workshop"</f>
        <v>23rd International Conference on Computer Applications in Industry and Engineering 2010, CAINE 2010 - Including SNA 2010 Workshop</v>
      </c>
      <c r="B4395" s="8" t="str">
        <f>"9781617820267"</f>
        <v>9781617820267</v>
      </c>
      <c r="C4395" s="8" t="s">
        <v>1287</v>
      </c>
    </row>
    <row r="4396" spans="1:3" x14ac:dyDescent="0.25">
      <c r="A4396" s="8" t="str">
        <f>"23rd International Conference on Computers and Their Applications, CATA 2008"</f>
        <v>23rd International Conference on Computers and Their Applications, CATA 2008</v>
      </c>
      <c r="B4396" s="8" t="str">
        <f>"9781604232356"</f>
        <v>9781604232356</v>
      </c>
      <c r="C4396" s="8" t="s">
        <v>1287</v>
      </c>
    </row>
    <row r="4397" spans="1:3" x14ac:dyDescent="0.25">
      <c r="A4397" s="8" t="str">
        <f>"23rd International Conference on Electrical Contacts, ICEC 2006 - together with the 6th International Session on Electromechanical Devices, IS-EMD 2006"</f>
        <v>23rd International Conference on Electrical Contacts, ICEC 2006 - together with the 6th International Session on Electromechanical Devices, IS-EMD 2006</v>
      </c>
      <c r="B4397" s="8" t="str">
        <f>"9784885522178"</f>
        <v>9784885522178</v>
      </c>
      <c r="C4397" s="8" t="s">
        <v>1422</v>
      </c>
    </row>
    <row r="4398" spans="1:3" x14ac:dyDescent="0.25">
      <c r="A4398" s="8" t="str">
        <f>"23rd International Conference on Electronics, Communications and Computing, CONIELECOMP 2013"</f>
        <v>23rd International Conference on Electronics, Communications and Computing, CONIELECOMP 2013</v>
      </c>
      <c r="B4398" s="8" t="str">
        <f>"9781467361545"</f>
        <v>9781467361545</v>
      </c>
      <c r="C4398" s="8" t="s">
        <v>9</v>
      </c>
    </row>
    <row r="4399" spans="1:3" x14ac:dyDescent="0.25">
      <c r="A4399" s="8" t="str">
        <f>"23rd International Conference on Robotics in Alpe-Adria-Danube Region, IEEE RAAD 2014 - Conference Proceedings"</f>
        <v>23rd International Conference on Robotics in Alpe-Adria-Danube Region, IEEE RAAD 2014 - Conference Proceedings</v>
      </c>
      <c r="B4399" s="8" t="str">
        <f>"9781479967988"</f>
        <v>9781479967988</v>
      </c>
      <c r="C4399" s="8" t="s">
        <v>105</v>
      </c>
    </row>
    <row r="4400" spans="1:3" x14ac:dyDescent="0.25">
      <c r="A4400" s="8" t="str">
        <f>"23rd International Conference on Software Engineering and Data Engineering, SEDE 2014"</f>
        <v>23rd International Conference on Software Engineering and Data Engineering, SEDE 2014</v>
      </c>
      <c r="B4400" s="8" t="str">
        <f>"9781880843963"</f>
        <v>9781880843963</v>
      </c>
      <c r="C4400" s="8" t="s">
        <v>1423</v>
      </c>
    </row>
    <row r="4401" spans="1:3" x14ac:dyDescent="0.25">
      <c r="A4401" s="8" t="str">
        <f>"23rd International Linear Accelerator Conference, LINAC 2006 - Proceedings"</f>
        <v>23rd International Linear Accelerator Conference, LINAC 2006 - Proceedings</v>
      </c>
      <c r="B4401" s="8" t="str">
        <f>"-"</f>
        <v>-</v>
      </c>
      <c r="C4401" s="8" t="s">
        <v>1359</v>
      </c>
    </row>
    <row r="4402" spans="1:3" x14ac:dyDescent="0.25">
      <c r="A4402" s="8" t="str">
        <f>"23rd International Scientific Conference: Wood is Good - With Knowledge and Technology to a Competitive Forestry and Wood Technology Sector, Proceedings"</f>
        <v>23rd International Scientific Conference: Wood is Good - With Knowledge and Technology to a Competitive Forestry and Wood Technology Sector, Proceedings</v>
      </c>
      <c r="B4402" s="8" t="str">
        <f>"9789532920260"</f>
        <v>9789532920260</v>
      </c>
      <c r="C4402" s="8" t="s">
        <v>1424</v>
      </c>
    </row>
    <row r="4403" spans="1:3" x14ac:dyDescent="0.25">
      <c r="A4403" s="8" t="str">
        <f>"23rd International Symposium on Lepton-Photon Interactions at High Energy, LP 2007"</f>
        <v>23rd International Symposium on Lepton-Photon Interactions at High Energy, LP 2007</v>
      </c>
      <c r="B4403" s="8" t="str">
        <f>"-"</f>
        <v>-</v>
      </c>
      <c r="C4403" s="8" t="s">
        <v>259</v>
      </c>
    </row>
    <row r="4404" spans="1:3" x14ac:dyDescent="0.25">
      <c r="A4404" s="8" t="str">
        <f>"23rd International Symposium on Space Terahertz Technology 2012, ISSTT 2012"</f>
        <v>23rd International Symposium on Space Terahertz Technology 2012, ISSTT 2012</v>
      </c>
      <c r="B4404" s="8" t="str">
        <f>"9781627481113"</f>
        <v>9781627481113</v>
      </c>
      <c r="C4404" s="8" t="s">
        <v>1303</v>
      </c>
    </row>
    <row r="4405" spans="1:3" x14ac:dyDescent="0.25">
      <c r="A4405" s="8" t="str">
        <f>"23rd International Technical Meeting of the Satellite Division of the Institute of Navigation 2010, ION GNSS 2010"</f>
        <v>23rd International Technical Meeting of the Satellite Division of the Institute of Navigation 2010, ION GNSS 2010</v>
      </c>
      <c r="B4405" s="8" t="str">
        <f>"9781617827358"</f>
        <v>9781617827358</v>
      </c>
      <c r="C4405" s="8" t="s">
        <v>969</v>
      </c>
    </row>
    <row r="4406" spans="1:3" x14ac:dyDescent="0.25">
      <c r="A4406" s="8" t="str">
        <f>"23rd International Vacuum Nanoelectronics Conference, IVNC 2010"</f>
        <v>23rd International Vacuum Nanoelectronics Conference, IVNC 2010</v>
      </c>
      <c r="B4406" s="8" t="str">
        <f>"9781424478873"</f>
        <v>9781424478873</v>
      </c>
      <c r="C4406" s="8" t="s">
        <v>21</v>
      </c>
    </row>
    <row r="4407" spans="1:3" x14ac:dyDescent="0.25">
      <c r="A4407" s="8" t="str">
        <f>"23rd NORCHIP Conference 2005"</f>
        <v>23rd NORCHIP Conference 2005</v>
      </c>
      <c r="B4407" s="8" t="str">
        <f>"-"</f>
        <v>-</v>
      </c>
      <c r="C4407" s="8" t="s">
        <v>9</v>
      </c>
    </row>
    <row r="4408" spans="1:3" x14ac:dyDescent="0.25">
      <c r="A4408" s="8" t="str">
        <f>"23rd West Coast Energy Management Congress 2005, EMC 2005"</f>
        <v>23rd West Coast Energy Management Congress 2005, EMC 2005</v>
      </c>
      <c r="B4408" s="8" t="str">
        <f>"9781622760527"</f>
        <v>9781622760527</v>
      </c>
      <c r="C4408" s="8" t="s">
        <v>1425</v>
      </c>
    </row>
    <row r="4409" spans="1:3" x14ac:dyDescent="0.25">
      <c r="A4409" s="8" t="str">
        <f>"24th AIAA Aerodynamic Measurement Technology and Ground Testing Conference"</f>
        <v>24th AIAA Aerodynamic Measurement Technology and Ground Testing Conference</v>
      </c>
      <c r="B4409" s="8" t="str">
        <f>"9781624100260"</f>
        <v>9781624100260</v>
      </c>
      <c r="C4409" s="8" t="s">
        <v>104</v>
      </c>
    </row>
    <row r="4410" spans="1:3" x14ac:dyDescent="0.25">
      <c r="A4410" s="8" t="str">
        <f>"24th Annual Brake Colloquium and Exhibition"</f>
        <v>24th Annual Brake Colloquium and Exhibition</v>
      </c>
      <c r="B4410" s="8" t="str">
        <f>"-"</f>
        <v>-</v>
      </c>
      <c r="C4410" s="8" t="s">
        <v>1040</v>
      </c>
    </row>
    <row r="4411" spans="1:3" x14ac:dyDescent="0.25">
      <c r="A4411" s="8" t="str">
        <f>"24th Annual International Pittsburgh Coal Conference 2007, PCC 2007"</f>
        <v>24th Annual International Pittsburgh Coal Conference 2007, PCC 2007</v>
      </c>
      <c r="B4411" s="8" t="str">
        <f>"9781604238617"</f>
        <v>9781604238617</v>
      </c>
      <c r="C4411" s="8" t="s">
        <v>1414</v>
      </c>
    </row>
    <row r="4412" spans="1:3" x14ac:dyDescent="0.25">
      <c r="A4412" s="8" t="str">
        <f>"24th Annual Meeting of the North American Membrane Society, NAMS 2014"</f>
        <v>24th Annual Meeting of the North American Membrane Society, NAMS 2014</v>
      </c>
      <c r="B4412" s="8" t="str">
        <f>"9781634391702"</f>
        <v>9781634391702</v>
      </c>
      <c r="C4412" s="8" t="s">
        <v>1294</v>
      </c>
    </row>
    <row r="4413" spans="1:3" x14ac:dyDescent="0.25">
      <c r="A4413" s="8" t="str">
        <f>"24th Annual Southern African Transport Conference, SATC 2005: Transport Challenges for 2010"</f>
        <v>24th Annual Southern African Transport Conference, SATC 2005: Transport Challenges for 2010</v>
      </c>
      <c r="B4413" s="8" t="str">
        <f>"9781920017125"</f>
        <v>9781920017125</v>
      </c>
      <c r="C4413" s="8" t="s">
        <v>1421</v>
      </c>
    </row>
    <row r="4414" spans="1:3" x14ac:dyDescent="0.25">
      <c r="A4414" s="8" t="str">
        <f>"24th Annual Technical Conference of the American Society for Composites 2009 and 1st Joint Canadian-American Technical Conference on Composites"</f>
        <v>24th Annual Technical Conference of the American Society for Composites 2009 and 1st Joint Canadian-American Technical Conference on Composites</v>
      </c>
      <c r="B4414" s="8" t="str">
        <f>"9781615676033"</f>
        <v>9781615676033</v>
      </c>
      <c r="C4414" s="8" t="s">
        <v>1313</v>
      </c>
    </row>
    <row r="4415" spans="1:3" x14ac:dyDescent="0.25">
      <c r="A4415" s="8" t="str">
        <f>"24th Biennial Symposium on Communications, BSC 2008"</f>
        <v>24th Biennial Symposium on Communications, BSC 2008</v>
      </c>
      <c r="B4415" s="8" t="str">
        <f>"9781424419456"</f>
        <v>9781424419456</v>
      </c>
      <c r="C4415" s="8" t="s">
        <v>9</v>
      </c>
    </row>
    <row r="4416" spans="1:3" x14ac:dyDescent="0.25">
      <c r="A4416" s="8" t="str">
        <f>"24th Bled eConference - eFuture: Creating Solutions for the Individual, Organisations and Society, Proceedings"</f>
        <v>24th Bled eConference - eFuture: Creating Solutions for the Individual, Organisations and Society, Proceedings</v>
      </c>
      <c r="B4416" s="8" t="str">
        <f>"-"</f>
        <v>-</v>
      </c>
      <c r="C4416" s="8" t="s">
        <v>1309</v>
      </c>
    </row>
    <row r="4417" spans="1:3" x14ac:dyDescent="0.25">
      <c r="A4417" s="8" t="str">
        <f>"24th European Conference on Biomaterials - Annual Conference of the European Society for Biomaterials"</f>
        <v>24th European Conference on Biomaterials - Annual Conference of the European Society for Biomaterials</v>
      </c>
      <c r="B4417" s="8" t="str">
        <f>"-"</f>
        <v>-</v>
      </c>
      <c r="C4417" s="8" t="s">
        <v>1415</v>
      </c>
    </row>
    <row r="4418" spans="1:3" x14ac:dyDescent="0.25">
      <c r="A4418" s="8" t="str">
        <f>"24th European Conference on Object-Oriented Programming, ECOOP 2010 Workshop Proceedings - Workshop 1: Workshop on Advances in Functional Size Measurement and Effort Estimation, FSM'10"</f>
        <v>24th European Conference on Object-Oriented Programming, ECOOP 2010 Workshop Proceedings - Workshop 1: Workshop on Advances in Functional Size Measurement and Effort Estimation, FSM'10</v>
      </c>
      <c r="B4418" s="8" t="str">
        <f>"9781450305396"</f>
        <v>9781450305396</v>
      </c>
      <c r="C4418" s="8" t="s">
        <v>21</v>
      </c>
    </row>
    <row r="4419" spans="1:3" x14ac:dyDescent="0.25">
      <c r="A4419" s="8" t="str">
        <f>"24th European Conference on Object-Oriented Programming, ECOOP 2010 Workshop Proceedings - Workshop 4:2nd International Workshop on Context-Oriented Programming, COP'10"</f>
        <v>24th European Conference on Object-Oriented Programming, ECOOP 2010 Workshop Proceedings - Workshop 4:2nd International Workshop on Context-Oriented Programming, COP'10</v>
      </c>
      <c r="B4419" s="8" t="str">
        <f>"9781450305310"</f>
        <v>9781450305310</v>
      </c>
      <c r="C4419" s="8" t="s">
        <v>21</v>
      </c>
    </row>
    <row r="4420" spans="1:3" x14ac:dyDescent="0.25">
      <c r="A4420" s="8" t="str">
        <f>"24th European Conference on Object-Oriented Programming, ECOOP 2010 Workshop Proceedings - Workshop 5:12th Workshop on Formal Techniques for Java-Like Programs, FTFJP'10"</f>
        <v>24th European Conference on Object-Oriented Programming, ECOOP 2010 Workshop Proceedings - Workshop 5:12th Workshop on Formal Techniques for Java-Like Programs, FTFJP'10</v>
      </c>
      <c r="B4420" s="8" t="str">
        <f>"9781450305402"</f>
        <v>9781450305402</v>
      </c>
      <c r="C4420" s="8" t="s">
        <v>21</v>
      </c>
    </row>
    <row r="4421" spans="1:3" x14ac:dyDescent="0.25">
      <c r="A4421" s="8" t="str">
        <f>"24th European Modeling and Simulation Symposium, EMSS 2012"</f>
        <v>24th European Modeling and Simulation Symposium, EMSS 2012</v>
      </c>
      <c r="B4421" s="8" t="str">
        <f>"9788897999096"</f>
        <v>9788897999096</v>
      </c>
      <c r="C4421" s="8" t="s">
        <v>1405</v>
      </c>
    </row>
    <row r="4422" spans="1:3" x14ac:dyDescent="0.25">
      <c r="A4422" s="8" t="str">
        <f>"24th IEEE International Conference on Advanced Information Networking and Applications Workshops, WAINA 2010"</f>
        <v>24th IEEE International Conference on Advanced Information Networking and Applications Workshops, WAINA 2010</v>
      </c>
      <c r="B4422" s="8" t="str">
        <f>"9780769540191"</f>
        <v>9780769540191</v>
      </c>
      <c r="C4422" s="8" t="s">
        <v>9</v>
      </c>
    </row>
    <row r="4423" spans="1:3" x14ac:dyDescent="0.25">
      <c r="A4423" s="8" t="str">
        <f>"24th International Battery, Hybrid and Fuel Cell Electric Vehicle Symposium and Exhibition 2009, EVS 24"</f>
        <v>24th International Battery, Hybrid and Fuel Cell Electric Vehicle Symposium and Exhibition 2009, EVS 24</v>
      </c>
      <c r="B4423" s="8" t="str">
        <f>"9781615674558"</f>
        <v>9781615674558</v>
      </c>
      <c r="C4423" s="8" t="s">
        <v>1426</v>
      </c>
    </row>
    <row r="4424" spans="1:3" x14ac:dyDescent="0.25">
      <c r="A4424" s="8" t="str">
        <f>"24th International Conference of the Center for Chemical Process Safety 2009 - Topical Conference at the 2009 AIChE Spring National Meeting"</f>
        <v>24th International Conference of the Center for Chemical Process Safety 2009 - Topical Conference at the 2009 AIChE Spring National Meeting</v>
      </c>
      <c r="B4424" s="8" t="str">
        <f>"9781615672554"</f>
        <v>9781615672554</v>
      </c>
      <c r="C4424" s="8" t="s">
        <v>106</v>
      </c>
    </row>
    <row r="4425" spans="1:3" x14ac:dyDescent="0.25">
      <c r="A4425" s="8" t="str">
        <f>"24th International Conference on Computational Linguistics - Proceedings of COLING 2012: Technical Papers"</f>
        <v>24th International Conference on Computational Linguistics - Proceedings of COLING 2012: Technical Papers</v>
      </c>
      <c r="B4425" s="8" t="str">
        <f>"-"</f>
        <v>-</v>
      </c>
      <c r="C4425" s="8" t="s">
        <v>1427</v>
      </c>
    </row>
    <row r="4426" spans="1:3" x14ac:dyDescent="0.25">
      <c r="A4426" s="8" t="str">
        <f>"24th International Conference on Computers and Their Applications 2009, CATA 2009"</f>
        <v>24th International Conference on Computers and Their Applications 2009, CATA 2009</v>
      </c>
      <c r="B4426" s="8" t="str">
        <f>"9781615670147"</f>
        <v>9781615670147</v>
      </c>
      <c r="C4426" s="8" t="s">
        <v>1287</v>
      </c>
    </row>
    <row r="4427" spans="1:3" x14ac:dyDescent="0.25">
      <c r="A4427" s="8" t="str">
        <f>"24th International Congress on Applications of Lasers and Electro-Optics, ICALEO 2005 - Congress Proceedings"</f>
        <v>24th International Congress on Applications of Lasers and Electro-Optics, ICALEO 2005 - Congress Proceedings</v>
      </c>
      <c r="B4427" s="8" t="str">
        <f>"-"</f>
        <v>-</v>
      </c>
      <c r="C4427" s="8" t="s">
        <v>723</v>
      </c>
    </row>
    <row r="4428" spans="1:3" x14ac:dyDescent="0.25">
      <c r="A4428" s="8" t="s">
        <v>1428</v>
      </c>
      <c r="B4428" s="8" t="str">
        <f>"9781605601113"</f>
        <v>9781605601113</v>
      </c>
      <c r="C4428" s="8" t="s">
        <v>1429</v>
      </c>
    </row>
    <row r="4429" spans="1:3" x14ac:dyDescent="0.25">
      <c r="A4429" s="8" t="str">
        <f>"24th International SFF Symposium - An Additive Manufacturing Conference, SFF 2013"</f>
        <v>24th International SFF Symposium - An Additive Manufacturing Conference, SFF 2013</v>
      </c>
      <c r="B4429" s="8" t="str">
        <f>"-"</f>
        <v>-</v>
      </c>
      <c r="C4429" s="8" t="s">
        <v>1289</v>
      </c>
    </row>
    <row r="4430" spans="1:3" x14ac:dyDescent="0.25">
      <c r="A4430" s="8" t="str">
        <f>"24th International Technical Meeting of the Satellite Division of the Institute of Navigation 2011, ION GNSS 2011"</f>
        <v>24th International Technical Meeting of the Satellite Division of the Institute of Navigation 2011, ION GNSS 2011</v>
      </c>
      <c r="B4430" s="8" t="str">
        <f>"9781618394750"</f>
        <v>9781618394750</v>
      </c>
      <c r="C4430" s="8" t="s">
        <v>969</v>
      </c>
    </row>
    <row r="4431" spans="1:3" x14ac:dyDescent="0.25">
      <c r="A4431" s="8" t="str">
        <f>"24th National Conference on Noise Control Engineering 2010, Noise-Con 10, Held Jointly with the 159th Meeting of the Acoustical Society of America"</f>
        <v>24th National Conference on Noise Control Engineering 2010, Noise-Con 10, Held Jointly with the 159th Meeting of the Acoustical Society of America</v>
      </c>
      <c r="B4431" s="8" t="str">
        <f>"9781617382949"</f>
        <v>9781617382949</v>
      </c>
      <c r="C4431" s="8" t="s">
        <v>1430</v>
      </c>
    </row>
    <row r="4432" spans="1:3" x14ac:dyDescent="0.25">
      <c r="A4432" s="8" t="str">
        <f>"24th Norchip Conference, 2006"</f>
        <v>24th Norchip Conference, 2006</v>
      </c>
      <c r="B4432" s="8" t="str">
        <f>"9781424407729"</f>
        <v>9781424407729</v>
      </c>
      <c r="C4432" s="8" t="s">
        <v>9</v>
      </c>
    </row>
    <row r="4433" spans="1:3" x14ac:dyDescent="0.25">
      <c r="A4433" s="8" t="str">
        <f>"24th Space Simulation Conference 2006"</f>
        <v>24th Space Simulation Conference 2006</v>
      </c>
      <c r="B4433" s="8" t="str">
        <f>"9781622769476"</f>
        <v>9781622769476</v>
      </c>
      <c r="C4433" s="8" t="s">
        <v>784</v>
      </c>
    </row>
    <row r="4434" spans="1:3" x14ac:dyDescent="0.25">
      <c r="A4434" s="8" t="str">
        <f>"24th West Coast Energy Management Congress 2006, EMC 2006"</f>
        <v>24th West Coast Energy Management Congress 2006, EMC 2006</v>
      </c>
      <c r="B4434" s="8" t="str">
        <f>"9781622760534"</f>
        <v>9781622760534</v>
      </c>
      <c r="C4434" s="8" t="s">
        <v>1425</v>
      </c>
    </row>
    <row r="4435" spans="1:3" x14ac:dyDescent="0.25">
      <c r="A4435" s="8" t="str">
        <f>"24th Workshop on Information Technology and Systems"</f>
        <v>24th Workshop on Information Technology and Systems</v>
      </c>
      <c r="B4435" s="8" t="str">
        <f>"-"</f>
        <v>-</v>
      </c>
      <c r="C4435" s="8" t="s">
        <v>1431</v>
      </c>
    </row>
    <row r="4436" spans="1:3" x14ac:dyDescent="0.25">
      <c r="A4436" s="8" t="str">
        <f>"25th AIAA International Communications Satellite Systems Conference"</f>
        <v>25th AIAA International Communications Satellite Systems Conference</v>
      </c>
      <c r="B4436" s="8" t="str">
        <f>"9781624100079"</f>
        <v>9781624100079</v>
      </c>
      <c r="C4436" s="8" t="s">
        <v>104</v>
      </c>
    </row>
    <row r="4437" spans="1:3" x14ac:dyDescent="0.25">
      <c r="A4437" s="8" t="str">
        <f>"25th Annual Brake Colloquium and Exhibition"</f>
        <v>25th Annual Brake Colloquium and Exhibition</v>
      </c>
      <c r="B4437" s="8" t="str">
        <f>"-"</f>
        <v>-</v>
      </c>
      <c r="C4437" s="8" t="s">
        <v>1040</v>
      </c>
    </row>
    <row r="4438" spans="1:3" x14ac:dyDescent="0.25">
      <c r="A4438" s="8" t="str">
        <f>"25th Annual Conference on Recent Advances in Flame Retardancy of Polymeric Materials"</f>
        <v>25th Annual Conference on Recent Advances in Flame Retardancy of Polymeric Materials</v>
      </c>
      <c r="B4438" s="8" t="str">
        <f>"-"</f>
        <v>-</v>
      </c>
      <c r="C4438" s="8" t="s">
        <v>1390</v>
      </c>
    </row>
    <row r="4439" spans="1:3" x14ac:dyDescent="0.25">
      <c r="A4439" s="8" t="str">
        <f>"25th Annual International Pittsburgh Coal Conference, PCC - Proceedings"</f>
        <v>25th Annual International Pittsburgh Coal Conference, PCC - Proceedings</v>
      </c>
      <c r="B4439" s="8" t="str">
        <f>"9781890977252"</f>
        <v>9781890977252</v>
      </c>
      <c r="C4439" s="8" t="s">
        <v>1432</v>
      </c>
    </row>
    <row r="4440" spans="1:3" x14ac:dyDescent="0.25">
      <c r="A4440" s="8" t="str">
        <f>"25th Annual Meetings of the American Society of Mining and Reclamation and 10th Meeting of IALR 2008"</f>
        <v>25th Annual Meetings of the American Society of Mining and Reclamation and 10th Meeting of IALR 2008</v>
      </c>
      <c r="B4440" s="8" t="str">
        <f>"9781605605487"</f>
        <v>9781605605487</v>
      </c>
      <c r="C4440" s="8" t="s">
        <v>1413</v>
      </c>
    </row>
    <row r="4441" spans="1:3" x14ac:dyDescent="0.25">
      <c r="A4441" s="8" t="str">
        <f>"25th Annual Southern African Transport Conference, SATC 2006 - 2010: Will Transport Infrastructure and Systems be Ready"</f>
        <v>25th Annual Southern African Transport Conference, SATC 2006 - 2010: Will Transport Infrastructure and Systems be Ready</v>
      </c>
      <c r="B4441" s="8" t="str">
        <f>"-"</f>
        <v>-</v>
      </c>
      <c r="C4441" s="8" t="s">
        <v>1421</v>
      </c>
    </row>
    <row r="4442" spans="1:3" x14ac:dyDescent="0.25">
      <c r="A4442" s="8" t="str">
        <f>"25th Bled eConference - eDependability: Reliable and Trustworthy eStructures, eProcesses, eOperations and eServices for the Future, Proceedings"</f>
        <v>25th Bled eConference - eDependability: Reliable and Trustworthy eStructures, eProcesses, eOperations and eServices for the Future, Proceedings</v>
      </c>
      <c r="B4442" s="8" t="str">
        <f>"-"</f>
        <v>-</v>
      </c>
      <c r="C4442" s="8" t="s">
        <v>1309</v>
      </c>
    </row>
    <row r="4443" spans="1:3" x14ac:dyDescent="0.25">
      <c r="A4443" s="8" t="str">
        <f>"25th Bled eConference - The First 25 Years of the Bled eConference"</f>
        <v>25th Bled eConference - The First 25 Years of the Bled eConference</v>
      </c>
      <c r="B4443" s="8" t="str">
        <f>"-"</f>
        <v>-</v>
      </c>
      <c r="C4443" s="8" t="s">
        <v>1309</v>
      </c>
    </row>
    <row r="4444" spans="1:3" x14ac:dyDescent="0.25">
      <c r="A4444" s="8" t="str">
        <f>"25th Bled eConference: Graduate Student Consortium"</f>
        <v>25th Bled eConference: Graduate Student Consortium</v>
      </c>
      <c r="B4444" s="8" t="str">
        <f>"9789612322663"</f>
        <v>9789612322663</v>
      </c>
      <c r="C4444" s="8" t="s">
        <v>1309</v>
      </c>
    </row>
    <row r="4445" spans="1:3" x14ac:dyDescent="0.25">
      <c r="A4445" s="8" t="str">
        <f>"25th European Modeling and Simulation Symposium, EMSS 2013"</f>
        <v>25th European Modeling and Simulation Symposium, EMSS 2013</v>
      </c>
      <c r="B4445" s="8" t="str">
        <f>"9788897999225"</f>
        <v>9788897999225</v>
      </c>
      <c r="C4445" s="8" t="s">
        <v>1392</v>
      </c>
    </row>
    <row r="4446" spans="1:3" x14ac:dyDescent="0.25">
      <c r="A4446" s="8" t="str">
        <f>"25th International Conference of the Center for Chemical Process Safety 2010 - Topical Conference at the 2010 AIChE Spring Meeting and 6th Global Conference on Process Safety"</f>
        <v>25th International Conference of the Center for Chemical Process Safety 2010 - Topical Conference at the 2010 AIChE Spring Meeting and 6th Global Conference on Process Safety</v>
      </c>
      <c r="B4446" s="8" t="str">
        <f>"9781617384356"</f>
        <v>9781617384356</v>
      </c>
      <c r="C4446" s="8" t="s">
        <v>106</v>
      </c>
    </row>
    <row r="4447" spans="1:3" x14ac:dyDescent="0.25">
      <c r="A4447" s="8" t="str">
        <f>"25th International Conference on Computer Applications in Industry and Engineering, CAINE 2012 and 4th International Symposium on Sensor Network and Application, SNA 2012"</f>
        <v>25th International Conference on Computer Applications in Industry and Engineering, CAINE 2012 and 4th International Symposium on Sensor Network and Application, SNA 2012</v>
      </c>
      <c r="B4447" s="8" t="str">
        <f>"9781880843888"</f>
        <v>9781880843888</v>
      </c>
      <c r="C4447" s="8" t="s">
        <v>1433</v>
      </c>
    </row>
    <row r="4448" spans="1:3" x14ac:dyDescent="0.25">
      <c r="A4448" s="8" t="str">
        <f>"25th International Conference on Computers and Their Applications 2010, CATA 2010"</f>
        <v>25th International Conference on Computers and Their Applications 2010, CATA 2010</v>
      </c>
      <c r="B4448" s="8" t="str">
        <f>"9781617381102"</f>
        <v>9781617381102</v>
      </c>
      <c r="C4448" s="8" t="s">
        <v>1287</v>
      </c>
    </row>
    <row r="4449" spans="1:3" x14ac:dyDescent="0.25">
      <c r="A4449" s="8" t="str">
        <f>"25th International Conference on Electronics, Communications and Computers, CONIELECOMP 2015"</f>
        <v>25th International Conference on Electronics, Communications and Computers, CONIELECOMP 2015</v>
      </c>
      <c r="B4449" s="8" t="str">
        <f>"9781479974368"</f>
        <v>9781479974368</v>
      </c>
      <c r="C4449" s="8" t="s">
        <v>105</v>
      </c>
    </row>
    <row r="4450" spans="1:3" x14ac:dyDescent="0.25">
      <c r="A4450" s="8" t="str">
        <f>"25th International Power Sources Symposium and Exhibition 2007, IPSS 2007"</f>
        <v>25th International Power Sources Symposium and Exhibition 2007, IPSS 2007</v>
      </c>
      <c r="B4450" s="8" t="str">
        <f>"9781605601090"</f>
        <v>9781605601090</v>
      </c>
      <c r="C4450" s="8" t="s">
        <v>1429</v>
      </c>
    </row>
    <row r="4451" spans="1:3" x14ac:dyDescent="0.25">
      <c r="A4451" s="8" t="str">
        <f>"25th International Scientific Conference: New Materials and Technologies in the Function of Wooden Products, Proceedings"</f>
        <v>25th International Scientific Conference: New Materials and Technologies in the Function of Wooden Products, Proceedings</v>
      </c>
      <c r="B4451" s="8" t="str">
        <f>"9789532920345"</f>
        <v>9789532920345</v>
      </c>
      <c r="C4451" s="8" t="s">
        <v>1409</v>
      </c>
    </row>
    <row r="4452" spans="1:3" x14ac:dyDescent="0.25">
      <c r="A4452" s="8" t="str">
        <f>"25th International Symposium on Ballistics, ISB 2010"</f>
        <v>25th International Symposium on Ballistics, ISB 2010</v>
      </c>
      <c r="B4452" s="8" t="str">
        <f>"9787504656025"</f>
        <v>9787504656025</v>
      </c>
      <c r="C4452" s="8" t="s">
        <v>1434</v>
      </c>
    </row>
    <row r="4453" spans="1:3" x14ac:dyDescent="0.25">
      <c r="A4453" s="8" t="str">
        <f>"25th International Technical Meeting of the Satellite Division of the Institute of Navigation 2012, ION GNSS 2012"</f>
        <v>25th International Technical Meeting of the Satellite Division of the Institute of Navigation 2012, ION GNSS 2012</v>
      </c>
      <c r="B4453" s="8" t="str">
        <f>"9781622769803"</f>
        <v>9781622769803</v>
      </c>
      <c r="C4453" s="8" t="s">
        <v>969</v>
      </c>
    </row>
    <row r="4454" spans="1:3" x14ac:dyDescent="0.25">
      <c r="A4454" s="8" t="str">
        <f>"25th KI Workshop on Planen, Scheduling und Konfigurieren, Entwerfen 2010"</f>
        <v>25th KI Workshop on Planen, Scheduling und Konfigurieren, Entwerfen 2010</v>
      </c>
      <c r="B4454" s="8" t="str">
        <f>"9781629936123"</f>
        <v>9781629936123</v>
      </c>
      <c r="C4454" s="8" t="s">
        <v>1435</v>
      </c>
    </row>
    <row r="4455" spans="1:3" x14ac:dyDescent="0.25">
      <c r="A4455" s="8" t="str">
        <f>"25th Norchip Conference, NORCHIP"</f>
        <v>25th Norchip Conference, NORCHIP</v>
      </c>
      <c r="B4455" s="8" t="str">
        <f>"9781424415175"</f>
        <v>9781424415175</v>
      </c>
      <c r="C4455" s="8" t="s">
        <v>9</v>
      </c>
    </row>
    <row r="4456" spans="1:3" x14ac:dyDescent="0.25">
      <c r="A4456" s="8" t="str">
        <f>"25th PCS Proceedings: Picture Coding Symposium 2006, PCS2006"</f>
        <v>25th PCS Proceedings: Picture Coding Symposium 2006, PCS2006</v>
      </c>
      <c r="B4456" s="8" t="str">
        <f>"-"</f>
        <v>-</v>
      </c>
      <c r="C4456" s="8" t="s">
        <v>1436</v>
      </c>
    </row>
    <row r="4457" spans="1:3" x14ac:dyDescent="0.25">
      <c r="A4457" s="8" t="str">
        <f>"25th Reproduced Sound Conference 2009, REPRODUCED SOUND 2009: The Audio Explosion - Proceedings of the Institute of Acoustics"</f>
        <v>25th Reproduced Sound Conference 2009, REPRODUCED SOUND 2009: The Audio Explosion - Proceedings of the Institute of Acoustics</v>
      </c>
      <c r="B4457" s="8" t="str">
        <f>"9781615676859"</f>
        <v>9781615676859</v>
      </c>
      <c r="C4457" s="8" t="s">
        <v>27</v>
      </c>
    </row>
    <row r="4458" spans="1:3" x14ac:dyDescent="0.25">
      <c r="A4458" s="8" t="str">
        <f>"25th Space Simulation Conference 2008"</f>
        <v>25th Space Simulation Conference 2008</v>
      </c>
      <c r="B4458" s="8" t="str">
        <f>"9781622769483"</f>
        <v>9781622769483</v>
      </c>
      <c r="C4458" s="8" t="s">
        <v>784</v>
      </c>
    </row>
    <row r="4459" spans="1:3" x14ac:dyDescent="0.25">
      <c r="A4459" s="8" t="str">
        <f>"25th Technical Conference of the American Society for Composites and 14th US-Japan Conference on Composite Materials 2010"</f>
        <v>25th Technical Conference of the American Society for Composites and 14th US-Japan Conference on Composite Materials 2010</v>
      </c>
      <c r="B4459" s="8" t="str">
        <f>"9781617820137"</f>
        <v>9781617820137</v>
      </c>
      <c r="C4459" s="8" t="s">
        <v>757</v>
      </c>
    </row>
    <row r="4460" spans="1:3" x14ac:dyDescent="0.25">
      <c r="A4460" s="8" t="str">
        <f>"25th West Coast Energy Management Congress 2007, EMC 2007"</f>
        <v>25th West Coast Energy Management Congress 2007, EMC 2007</v>
      </c>
      <c r="B4460" s="8" t="str">
        <f>"9781622760541"</f>
        <v>9781622760541</v>
      </c>
      <c r="C4460" s="8" t="s">
        <v>1425</v>
      </c>
    </row>
    <row r="4461" spans="1:3" x14ac:dyDescent="0.25">
      <c r="A4461" s="8" t="str">
        <f>"26th AIAA Aerodynamic Measurement Technology and Ground Testing Conference"</f>
        <v>26th AIAA Aerodynamic Measurement Technology and Ground Testing Conference</v>
      </c>
      <c r="B4461" s="8" t="str">
        <f>"9781563479427"</f>
        <v>9781563479427</v>
      </c>
      <c r="C4461" s="8" t="s">
        <v>104</v>
      </c>
    </row>
    <row r="4462" spans="1:3" x14ac:dyDescent="0.25">
      <c r="A4462" s="8" t="str">
        <f>"26th AIAA International Communications Satellite Systems Conference, ICSSC"</f>
        <v>26th AIAA International Communications Satellite Systems Conference, ICSSC</v>
      </c>
      <c r="B4462" s="8" t="str">
        <f>"9781563479410"</f>
        <v>9781563479410</v>
      </c>
      <c r="C4462" s="8" t="s">
        <v>104</v>
      </c>
    </row>
    <row r="4463" spans="1:3" x14ac:dyDescent="0.25">
      <c r="A4463" s="8" t="str">
        <f>"26th Annual Canadian Nuclear Society Conference and 29th CNS/CNA Student Conference"</f>
        <v>26th Annual Canadian Nuclear Society Conference and 29th CNS/CNA Student Conference</v>
      </c>
      <c r="B4463" s="8" t="str">
        <f>"9780919784826"</f>
        <v>9780919784826</v>
      </c>
      <c r="C4463" s="8" t="s">
        <v>1437</v>
      </c>
    </row>
    <row r="4464" spans="1:3" x14ac:dyDescent="0.25">
      <c r="A4464" s="8" t="str">
        <f>"26th Annual International Pittsburgh Coal Conference 2009, PCC 2009"</f>
        <v>26th Annual International Pittsburgh Coal Conference 2009, PCC 2009</v>
      </c>
      <c r="B4464" s="8" t="str">
        <f>"9781615677979"</f>
        <v>9781615677979</v>
      </c>
      <c r="C4464" s="8" t="s">
        <v>1414</v>
      </c>
    </row>
    <row r="4465" spans="1:3" x14ac:dyDescent="0.25">
      <c r="A4465" s="8" t="str">
        <f>"26th Annual Meetings of the American Society of Mining and Reclamation and 11th Billings Land Reclamation Symposium 2009"</f>
        <v>26th Annual Meetings of the American Society of Mining and Reclamation and 11th Billings Land Reclamation Symposium 2009</v>
      </c>
      <c r="B4465" s="8" t="str">
        <f>"9781615673735"</f>
        <v>9781615673735</v>
      </c>
      <c r="C4465" s="8" t="s">
        <v>1413</v>
      </c>
    </row>
    <row r="4466" spans="1:3" x14ac:dyDescent="0.25">
      <c r="A4466" s="8" t="str">
        <f>"26th Annual National Conference of the American Society for Engineering Management 2005 - Organizational Transformation: Opportunities and Challenges, ASEM 2005"</f>
        <v>26th Annual National Conference of the American Society for Engineering Management 2005 - Organizational Transformation: Opportunities and Challenges, ASEM 2005</v>
      </c>
      <c r="B4466" s="8" t="str">
        <f>"9781604237139"</f>
        <v>9781604237139</v>
      </c>
      <c r="C4466" s="8" t="s">
        <v>1385</v>
      </c>
    </row>
    <row r="4467" spans="1:3" x14ac:dyDescent="0.25">
      <c r="A4467" s="8" t="str">
        <f>"26th Annual Technical Conference of the American Society for Composites 2011 and the 2nd Joint US-Canada Conference on Composites"</f>
        <v>26th Annual Technical Conference of the American Society for Composites 2011 and the 2nd Joint US-Canada Conference on Composites</v>
      </c>
      <c r="B4467" s="8" t="str">
        <f>"9781618391964"</f>
        <v>9781618391964</v>
      </c>
      <c r="C4467" s="8" t="s">
        <v>757</v>
      </c>
    </row>
    <row r="4468" spans="1:3" x14ac:dyDescent="0.25">
      <c r="A4468" s="8" t="str">
        <f>"26th Bled eConference - eInnovations: Challenges and Impacts for Individuals, Organizations and Society, Proceedings"</f>
        <v>26th Bled eConference - eInnovations: Challenges and Impacts for Individuals, Organizations and Society, Proceedings</v>
      </c>
      <c r="B4468" s="8" t="str">
        <f>"-"</f>
        <v>-</v>
      </c>
      <c r="C4468" s="8" t="s">
        <v>1309</v>
      </c>
    </row>
    <row r="4469" spans="1:3" x14ac:dyDescent="0.25">
      <c r="A4469" s="8" t="str">
        <f>"26th Bled eConference: Graduate Student Consortium"</f>
        <v>26th Bled eConference: Graduate Student Consortium</v>
      </c>
      <c r="B4469" s="8" t="str">
        <f>"9789612322724"</f>
        <v>9789612322724</v>
      </c>
      <c r="C4469" s="8" t="s">
        <v>1309</v>
      </c>
    </row>
    <row r="4470" spans="1:3" x14ac:dyDescent="0.25">
      <c r="A4470" s="8" t="str">
        <f>"26th Brake Colloquium and Exhibition, BRAKE 2008"</f>
        <v>26th Brake Colloquium and Exhibition, BRAKE 2008</v>
      </c>
      <c r="B4470" s="8" t="str">
        <f>"-"</f>
        <v>-</v>
      </c>
      <c r="C4470" s="8" t="s">
        <v>1040</v>
      </c>
    </row>
    <row r="4471" spans="1:3" x14ac:dyDescent="0.25">
      <c r="A4471" s="8" t="str">
        <f>"26th Canadian Conference on Computational Geometry, CCCG 2014"</f>
        <v>26th Canadian Conference on Computational Geometry, CCCG 2014</v>
      </c>
      <c r="B4471" s="8" t="str">
        <f>"-"</f>
        <v>-</v>
      </c>
      <c r="C4471" s="8" t="s">
        <v>1438</v>
      </c>
    </row>
    <row r="4472" spans="1:3" x14ac:dyDescent="0.25">
      <c r="A4472" s="8" t="str">
        <f>"26th Center for Chemical Process Safety International Conference 2011, CCPS - Topical Conference at the 2011 AIChE Spring Meeting and 7th Global Congress on Process Safety"</f>
        <v>26th Center for Chemical Process Safety International Conference 2011, CCPS - Topical Conference at the 2011 AIChE Spring Meeting and 7th Global Congress on Process Safety</v>
      </c>
      <c r="B4472" s="8" t="str">
        <f>"9781617828881"</f>
        <v>9781617828881</v>
      </c>
      <c r="C4472" s="8" t="s">
        <v>106</v>
      </c>
    </row>
    <row r="4473" spans="1:3" x14ac:dyDescent="0.25">
      <c r="A4473" s="8" t="str">
        <f>"26th Conference on Agricultural and Forest Meteorology"</f>
        <v>26th Conference on Agricultural and Forest Meteorology</v>
      </c>
      <c r="B4473" s="8" t="str">
        <f>"-"</f>
        <v>-</v>
      </c>
      <c r="C4473" s="8" t="s">
        <v>225</v>
      </c>
    </row>
    <row r="4474" spans="1:3" x14ac:dyDescent="0.25">
      <c r="A4474" s="8" t="str">
        <f>"26th Conference on Hurricanes and Tropical Meteorology"</f>
        <v>26th Conference on Hurricanes and Tropical Meteorology</v>
      </c>
      <c r="B4474" s="8" t="str">
        <f>"-"</f>
        <v>-</v>
      </c>
      <c r="C4474" s="8" t="s">
        <v>225</v>
      </c>
    </row>
    <row r="4475" spans="1:3" x14ac:dyDescent="0.25">
      <c r="A4475" s="8" t="str">
        <f>"26th Danubia-Adria Symposium on Advances in Experimental Mechanics"</f>
        <v>26th Danubia-Adria Symposium on Advances in Experimental Mechanics</v>
      </c>
      <c r="B4475" s="8" t="str">
        <f>"9783902544025"</f>
        <v>9783902544025</v>
      </c>
      <c r="C4475" s="8" t="s">
        <v>1439</v>
      </c>
    </row>
    <row r="4476" spans="1:3" x14ac:dyDescent="0.25">
      <c r="A4476" s="8" t="str">
        <f>"26th Electric Vehicle Symposium 2012"</f>
        <v>26th Electric Vehicle Symposium 2012</v>
      </c>
      <c r="B4476" s="8" t="str">
        <f>"9781622764211"</f>
        <v>9781622764211</v>
      </c>
      <c r="C4476" s="8" t="s">
        <v>1406</v>
      </c>
    </row>
    <row r="4477" spans="1:3" x14ac:dyDescent="0.25">
      <c r="A4477" s="8" t="str">
        <f>"26th Electric Vehicle Symposium 2012, EVS 2012"</f>
        <v>26th Electric Vehicle Symposium 2012, EVS 2012</v>
      </c>
      <c r="B4477" s="8" t="str">
        <f>"9781622764211"</f>
        <v>9781622764211</v>
      </c>
      <c r="C4477" s="8" t="s">
        <v>1406</v>
      </c>
    </row>
    <row r="4478" spans="1:3" x14ac:dyDescent="0.25">
      <c r="A4478" s="8" t="str">
        <f>"26th European Conference on Modelling and Simulation, ECMS 2012"</f>
        <v>26th European Conference on Modelling and Simulation, ECMS 2012</v>
      </c>
      <c r="B4478" s="8" t="str">
        <f>"9780956494443"</f>
        <v>9780956494443</v>
      </c>
      <c r="C4478" s="8" t="s">
        <v>1391</v>
      </c>
    </row>
    <row r="4479" spans="1:3" x14ac:dyDescent="0.25">
      <c r="A4479" s="8" t="str">
        <f>"26th European Modeling and Simulation Symposium, EMSS 2014"</f>
        <v>26th European Modeling and Simulation Symposium, EMSS 2014</v>
      </c>
      <c r="B4479" s="8" t="str">
        <f>"9788897999324"</f>
        <v>9788897999324</v>
      </c>
      <c r="C4479" s="8" t="s">
        <v>1256</v>
      </c>
    </row>
    <row r="4480" spans="1:3" x14ac:dyDescent="0.25">
      <c r="A4480" s="8" t="str">
        <f>"26th IEEE Conference on Computer Vision and Pattern Recognition, CVPR"</f>
        <v>26th IEEE Conference on Computer Vision and Pattern Recognition, CVPR</v>
      </c>
      <c r="B4480" s="8" t="str">
        <f>"9781424422432"</f>
        <v>9781424422432</v>
      </c>
      <c r="C4480" s="8" t="s">
        <v>9</v>
      </c>
    </row>
    <row r="4481" spans="1:3" x14ac:dyDescent="0.25">
      <c r="A4481" s="8" t="str">
        <f>"26th IEEE International Conference on Computer Design 2008, ICCD"</f>
        <v>26th IEEE International Conference on Computer Design 2008, ICCD</v>
      </c>
      <c r="B4481" s="8" t="str">
        <f>"9781424426584"</f>
        <v>9781424426584</v>
      </c>
      <c r="C4481" s="8" t="s">
        <v>9</v>
      </c>
    </row>
    <row r="4482" spans="1:3" x14ac:dyDescent="0.25">
      <c r="A4482" s="8" t="str">
        <f>"26th International Battery Seminar and Exhibit 2009: Primary and Secondary Batteries - Other Technologies"</f>
        <v>26th International Battery Seminar and Exhibit 2009: Primary and Secondary Batteries - Other Technologies</v>
      </c>
      <c r="B4482" s="8" t="str">
        <f>"9781615670680"</f>
        <v>9781615670680</v>
      </c>
      <c r="C4482" s="8" t="s">
        <v>1440</v>
      </c>
    </row>
    <row r="4483" spans="1:3" x14ac:dyDescent="0.25">
      <c r="A4483" s="8" t="str">
        <f>"26th International Conference on Computer Applications in Industry and Engineering, CAINE 2013"</f>
        <v>26th International Conference on Computer Applications in Industry and Engineering, CAINE 2013</v>
      </c>
      <c r="B4483" s="8" t="str">
        <f>"9781629933122"</f>
        <v>9781629933122</v>
      </c>
      <c r="C4483" s="8" t="s">
        <v>1287</v>
      </c>
    </row>
    <row r="4484" spans="1:3" x14ac:dyDescent="0.25">
      <c r="A4484" s="8" t="str">
        <f>"26th International Congress on Applications of Lasers and Electro-Optics, ICALEO 2007 - Congress Proceedings"</f>
        <v>26th International Congress on Applications of Lasers and Electro-Optics, ICALEO 2007 - Congress Proceedings</v>
      </c>
      <c r="B4484" s="8" t="str">
        <f>"9780912035888"</f>
        <v>9780912035888</v>
      </c>
      <c r="C4484" s="8" t="s">
        <v>723</v>
      </c>
    </row>
    <row r="4485" spans="1:3" x14ac:dyDescent="0.25">
      <c r="A4485" s="8" t="str">
        <f>"26th International Mineral Processing Congress, IMPC 2012: Innovative Processing for Sustainable Growth - Conference Proceedings"</f>
        <v>26th International Mineral Processing Congress, IMPC 2012: Innovative Processing for Sustainable Growth - Conference Proceedings</v>
      </c>
      <c r="B4485" s="8" t="str">
        <f>"9788190171434"</f>
        <v>9788190171434</v>
      </c>
      <c r="C4485" s="8" t="s">
        <v>1441</v>
      </c>
    </row>
    <row r="4486" spans="1:3" x14ac:dyDescent="0.25">
      <c r="A4486" s="8" t="str">
        <f>"26th International Symposium on BALLISTICS"</f>
        <v>26th International Symposium on BALLISTICS</v>
      </c>
      <c r="B4486" s="8" t="str">
        <f>"-"</f>
        <v>-</v>
      </c>
      <c r="C4486" s="8" t="s">
        <v>757</v>
      </c>
    </row>
    <row r="4487" spans="1:3" x14ac:dyDescent="0.25">
      <c r="A4487" s="8" t="str">
        <f>"26th International Technical Meeting of the Satellite Division of the Institute of Navigation, ION GNSS 2013"</f>
        <v>26th International Technical Meeting of the Satellite Division of the Institute of Navigation, ION GNSS 2013</v>
      </c>
      <c r="B4487" s="8" t="str">
        <f>"9781629935782"</f>
        <v>9781629935782</v>
      </c>
      <c r="C4487" s="8" t="s">
        <v>969</v>
      </c>
    </row>
    <row r="4488" spans="1:3" x14ac:dyDescent="0.25">
      <c r="A4488" s="8" t="str">
        <f>"26th KI Workshop on Planen, Scheduling und Konfigurieren, Entwerfen 2011"</f>
        <v>26th KI Workshop on Planen, Scheduling und Konfigurieren, Entwerfen 2011</v>
      </c>
      <c r="B4488" s="8" t="str">
        <f>"9781629936116"</f>
        <v>9781629936116</v>
      </c>
      <c r="C4488" s="8" t="s">
        <v>1435</v>
      </c>
    </row>
    <row r="4489" spans="1:3" x14ac:dyDescent="0.25">
      <c r="A4489" s="8" t="str">
        <f>"26th Space Simulation Conference 2010"</f>
        <v>26th Space Simulation Conference 2010</v>
      </c>
      <c r="B4489" s="8" t="str">
        <f>"9781618390172"</f>
        <v>9781618390172</v>
      </c>
      <c r="C4489" s="8" t="s">
        <v>784</v>
      </c>
    </row>
    <row r="4490" spans="1:3" x14ac:dyDescent="0.25">
      <c r="A4490" s="8" t="str">
        <f>"26th Symposium on the Application of Geophysics to Engineering and Environmental Problems 2013, SAGEEP 2013"</f>
        <v>26th Symposium on the Application of Geophysics to Engineering and Environmental Problems 2013, SAGEEP 2013</v>
      </c>
      <c r="B4490" s="8" t="str">
        <f>"9781627483810"</f>
        <v>9781627483810</v>
      </c>
      <c r="C4490" s="8" t="s">
        <v>59</v>
      </c>
    </row>
    <row r="4491" spans="1:3" x14ac:dyDescent="0.25">
      <c r="A4491" s="8" t="str">
        <f>"26th West Coast Energy Management Congress 2008, EMC 2008"</f>
        <v>26th West Coast Energy Management Congress 2008, EMC 2008</v>
      </c>
      <c r="B4491" s="8" t="str">
        <f>"9781622760558"</f>
        <v>9781622760558</v>
      </c>
      <c r="C4491" s="8" t="s">
        <v>1425</v>
      </c>
    </row>
    <row r="4492" spans="1:3" x14ac:dyDescent="0.25">
      <c r="A4492" s="8" t="str">
        <f>"27th AIAA Aerodynamic Measurement Technology and Ground Testing Conference 2010"</f>
        <v>27th AIAA Aerodynamic Measurement Technology and Ground Testing Conference 2010</v>
      </c>
      <c r="B4492" s="8" t="str">
        <f>"9781617389276"</f>
        <v>9781617389276</v>
      </c>
      <c r="C4492" s="8" t="s">
        <v>104</v>
      </c>
    </row>
    <row r="4493" spans="1:3" x14ac:dyDescent="0.25">
      <c r="A4493" s="8" t="str">
        <f>"27th Annual Conference of the Canadian Nuclear Society and 30th Canadian Nuclear Society - Nuclear Energy A World of Service to Humanity"</f>
        <v>27th Annual Conference of the Canadian Nuclear Society and 30th Canadian Nuclear Society - Nuclear Energy A World of Service to Humanity</v>
      </c>
      <c r="B4493" s="8" t="str">
        <f>"-"</f>
        <v>-</v>
      </c>
      <c r="C4493" s="8" t="s">
        <v>1442</v>
      </c>
    </row>
    <row r="4494" spans="1:3" x14ac:dyDescent="0.25">
      <c r="A4494" s="8" t="str">
        <f>"27th Annual International Pittsburgh Coal Conference 2010, PCC 2010"</f>
        <v>27th Annual International Pittsburgh Coal Conference 2010, PCC 2010</v>
      </c>
      <c r="B4494" s="8" t="str">
        <f>"9781617823213"</f>
        <v>9781617823213</v>
      </c>
      <c r="C4494" s="8" t="s">
        <v>1414</v>
      </c>
    </row>
    <row r="4495" spans="1:3" x14ac:dyDescent="0.25">
      <c r="A4495" s="8" t="str">
        <f>"27th Annual National Conference of the American Society for Engineering Management 2006 - Managing Change: Managing People and Technology in a Rapidly Changing World, ASEM 2006"</f>
        <v>27th Annual National Conference of the American Society for Engineering Management 2006 - Managing Change: Managing People and Technology in a Rapidly Changing World, ASEM 2006</v>
      </c>
      <c r="B4495" s="8" t="str">
        <f>"9781604237146"</f>
        <v>9781604237146</v>
      </c>
      <c r="C4495" s="8" t="s">
        <v>1385</v>
      </c>
    </row>
    <row r="4496" spans="1:3" x14ac:dyDescent="0.25">
      <c r="A4496" s="8" t="str">
        <f>"27th Annual Technical Conference of the American Society for Composites 2012, Held Jointly with 15th Joint US-Japan Conference on Composite Materials and ASTM-D30 Meeting"</f>
        <v>27th Annual Technical Conference of the American Society for Composites 2012, Held Jointly with 15th Joint US-Japan Conference on Composite Materials and ASTM-D30 Meeting</v>
      </c>
      <c r="B4496" s="8" t="str">
        <f>"9781622764389"</f>
        <v>9781622764389</v>
      </c>
      <c r="C4496" s="8" t="s">
        <v>757</v>
      </c>
    </row>
    <row r="4497" spans="1:3" x14ac:dyDescent="0.25">
      <c r="A4497" s="8" t="str">
        <f>"27th Bled eConference: eEcosystems - Proceedings"</f>
        <v>27th Bled eConference: eEcosystems - Proceedings</v>
      </c>
      <c r="B4497" s="8" t="str">
        <f>"-"</f>
        <v>-</v>
      </c>
      <c r="C4497" s="8" t="s">
        <v>1309</v>
      </c>
    </row>
    <row r="4498" spans="1:3" x14ac:dyDescent="0.25">
      <c r="A4498" s="8" t="str">
        <f>"27th Conference on Hurricanes and Tropical Meteorology"</f>
        <v>27th Conference on Hurricanes and Tropical Meteorology</v>
      </c>
      <c r="B4498" s="8" t="str">
        <f>"-"</f>
        <v>-</v>
      </c>
      <c r="C4498" s="8" t="s">
        <v>225</v>
      </c>
    </row>
    <row r="4499" spans="1:3" x14ac:dyDescent="0.25">
      <c r="A4499" s="8" t="str">
        <f>"27th Congress of the International Council of the Aeronautical Sciences 2010, ICAS 2010"</f>
        <v>27th Congress of the International Council of the Aeronautical Sciences 2010, ICAS 2010</v>
      </c>
      <c r="B4499" s="8" t="str">
        <f>"9781617820496"</f>
        <v>9781617820496</v>
      </c>
      <c r="C4499" s="8" t="s">
        <v>1443</v>
      </c>
    </row>
    <row r="4500" spans="1:3" x14ac:dyDescent="0.25">
      <c r="A4500" s="8" t="str">
        <f>"27th European Modeling and Simulation Symposium, EMSS 2015"</f>
        <v>27th European Modeling and Simulation Symposium, EMSS 2015</v>
      </c>
      <c r="B4500" s="8" t="str">
        <f>"9788897999485"</f>
        <v>9788897999485</v>
      </c>
      <c r="C4500" s="8" t="s">
        <v>1256</v>
      </c>
    </row>
    <row r="4501" spans="1:3" x14ac:dyDescent="0.25">
      <c r="A4501" s="8" t="str">
        <f>"27th International Battery Seminar and Exhibit 2010"</f>
        <v>27th International Battery Seminar and Exhibit 2010</v>
      </c>
      <c r="B4501" s="8" t="str">
        <f>"9781617381164"</f>
        <v>9781617381164</v>
      </c>
      <c r="C4501" s="8" t="s">
        <v>1440</v>
      </c>
    </row>
    <row r="4502" spans="1:3" x14ac:dyDescent="0.25">
      <c r="A4502" s="8" t="str">
        <f>"27th International Conference on Cement Microscopy 2005"</f>
        <v>27th International Conference on Cement Microscopy 2005</v>
      </c>
      <c r="B4502" s="8" t="str">
        <f>"9781627481854"</f>
        <v>9781627481854</v>
      </c>
      <c r="C4502" s="8" t="s">
        <v>1444</v>
      </c>
    </row>
    <row r="4503" spans="1:3" x14ac:dyDescent="0.25">
      <c r="A4503" s="8" t="str">
        <f>"27th International Conference on Computer Applications in Industry and Engineering, CAINE 2014"</f>
        <v>27th International Conference on Computer Applications in Industry and Engineering, CAINE 2014</v>
      </c>
      <c r="B4503" s="8" t="str">
        <f>"9781880843970"</f>
        <v>9781880843970</v>
      </c>
      <c r="C4503" s="8" t="s">
        <v>1423</v>
      </c>
    </row>
    <row r="4504" spans="1:3" x14ac:dyDescent="0.25">
      <c r="A4504" s="8" t="str">
        <f>"27th International Conference on Efficiency, Cost, Optimization, Simulation and Environmental Impact of Energy Systems, ECOS 2014"</f>
        <v>27th International Conference on Efficiency, Cost, Optimization, Simulation and Environmental Impact of Energy Systems, ECOS 2014</v>
      </c>
      <c r="B4504" s="8" t="str">
        <f>"9781634391344"</f>
        <v>9781634391344</v>
      </c>
      <c r="C4504" s="8" t="s">
        <v>1445</v>
      </c>
    </row>
    <row r="4505" spans="1:3" x14ac:dyDescent="0.25">
      <c r="A4505" s="8" t="str">
        <f>"27th International Conference on Ground Control in Mining, ICGCM"</f>
        <v>27th International Conference on Ground Control in Mining, ICGCM</v>
      </c>
      <c r="B4505" s="8" t="str">
        <f>"-"</f>
        <v>-</v>
      </c>
      <c r="C4505" s="8" t="s">
        <v>1446</v>
      </c>
    </row>
    <row r="4506" spans="1:3" x14ac:dyDescent="0.25">
      <c r="A4506" s="8" t="str">
        <f>"27th International Technical Meeting of the Satellite Division of the Institute of Navigation, ION GNSS 2014"</f>
        <v>27th International Technical Meeting of the Satellite Division of the Institute of Navigation, ION GNSS 2014</v>
      </c>
      <c r="B4506" s="8" t="str">
        <f>"-"</f>
        <v>-</v>
      </c>
      <c r="C4506" s="8" t="s">
        <v>969</v>
      </c>
    </row>
    <row r="4507" spans="1:3" x14ac:dyDescent="0.25">
      <c r="A4507" s="8" t="str">
        <f>"27th KI Workshop on Planen, Scheduling und Konfigurieren, Entwerfen 2013, KI 2013"</f>
        <v>27th KI Workshop on Planen, Scheduling und Konfigurieren, Entwerfen 2013, KI 2013</v>
      </c>
      <c r="B4507" s="8" t="str">
        <f>"9781629936109"</f>
        <v>9781629936109</v>
      </c>
      <c r="C4507" s="8" t="s">
        <v>1435</v>
      </c>
    </row>
    <row r="4508" spans="1:3" x14ac:dyDescent="0.25">
      <c r="A4508" s="8" t="str">
        <f>"27th Pacific Asia Conference on Language, Information, and Computation, PACLIC 27"</f>
        <v>27th Pacific Asia Conference on Language, Information, and Computation, PACLIC 27</v>
      </c>
      <c r="B4508" s="8" t="str">
        <f>"9789860385670"</f>
        <v>9789860385670</v>
      </c>
      <c r="C4508" s="8" t="s">
        <v>1447</v>
      </c>
    </row>
    <row r="4509" spans="1:3" x14ac:dyDescent="0.25">
      <c r="A4509" s="8" t="str">
        <f>"27th Space Simulation Conference 2012"</f>
        <v>27th Space Simulation Conference 2012</v>
      </c>
      <c r="B4509" s="8" t="str">
        <f>"9781622769469"</f>
        <v>9781622769469</v>
      </c>
      <c r="C4509" s="8" t="s">
        <v>784</v>
      </c>
    </row>
    <row r="4510" spans="1:3" x14ac:dyDescent="0.25">
      <c r="A4510" s="8" t="str">
        <f>"27th West Coast Energy Management Congress 2009, EMC 2009"</f>
        <v>27th West Coast Energy Management Congress 2009, EMC 2009</v>
      </c>
      <c r="B4510" s="8" t="str">
        <f>"9781617387463"</f>
        <v>9781617387463</v>
      </c>
      <c r="C4510" s="8" t="s">
        <v>1425</v>
      </c>
    </row>
    <row r="4511" spans="1:3" x14ac:dyDescent="0.25">
      <c r="A4511" s="8" t="str">
        <f>"28th AIAA Aerodynamic Measurement Technology, Ground Testing, and Flight Testing Conference 2012"</f>
        <v>28th AIAA Aerodynamic Measurement Technology, Ground Testing, and Flight Testing Conference 2012</v>
      </c>
      <c r="B4511" s="8" t="str">
        <f>"9781624101892"</f>
        <v>9781624101892</v>
      </c>
      <c r="C4511" s="8" t="s">
        <v>104</v>
      </c>
    </row>
    <row r="4512" spans="1:3" x14ac:dyDescent="0.25">
      <c r="A4512" s="8" t="str">
        <f>"28th AIAA Applied Aerodynamics Conference"</f>
        <v>28th AIAA Applied Aerodynamics Conference</v>
      </c>
      <c r="B4512" s="8" t="str">
        <f>"9781600867453"</f>
        <v>9781600867453</v>
      </c>
      <c r="C4512" s="8" t="s">
        <v>104</v>
      </c>
    </row>
    <row r="4513" spans="1:3" x14ac:dyDescent="0.25">
      <c r="A4513" s="8" t="str">
        <f>"28th AIAA International Communications Satellite Systems Conference, ICSSC 2010"</f>
        <v>28th AIAA International Communications Satellite Systems Conference, ICSSC 2010</v>
      </c>
      <c r="B4513" s="8" t="str">
        <f>"9781617825163"</f>
        <v>9781617825163</v>
      </c>
      <c r="C4513" s="8" t="s">
        <v>104</v>
      </c>
    </row>
    <row r="4514" spans="1:3" x14ac:dyDescent="0.25">
      <c r="A4514" s="8" t="str">
        <f>"28th Annual International Pittsburgh Coal Conference 2011, PCC 2011"</f>
        <v>28th Annual International Pittsburgh Coal Conference 2011, PCC 2011</v>
      </c>
      <c r="B4514" s="8" t="str">
        <f>"9781618393982"</f>
        <v>9781618393982</v>
      </c>
      <c r="C4514" s="8" t="s">
        <v>1414</v>
      </c>
    </row>
    <row r="4515" spans="1:3" x14ac:dyDescent="0.25">
      <c r="A4515" s="8" t="str">
        <f>"28th Annual Meeting of the American Society of Mining and Reclamation 2011"</f>
        <v>28th Annual Meeting of the American Society of Mining and Reclamation 2011</v>
      </c>
      <c r="B4515" s="8" t="str">
        <f>"9781618393463"</f>
        <v>9781618393463</v>
      </c>
      <c r="C4515" s="8" t="s">
        <v>1413</v>
      </c>
    </row>
    <row r="4516" spans="1:3" x14ac:dyDescent="0.25">
      <c r="A4516" s="8" t="str">
        <f>"28th Annual National Conference of the American Society for Engineering Management 2007 - Innovation Management: Innovation in a Flattened World, ASEM 2007"</f>
        <v>28th Annual National Conference of the American Society for Engineering Management 2007 - Innovation Management: Innovation in a Flattened World, ASEM 2007</v>
      </c>
      <c r="B4516" s="8" t="str">
        <f>"9781605609997"</f>
        <v>9781605609997</v>
      </c>
      <c r="C4516" s="8" t="s">
        <v>1385</v>
      </c>
    </row>
    <row r="4517" spans="1:3" x14ac:dyDescent="0.25">
      <c r="A4517" s="8" t="str">
        <f>"28th Annual Technical Conference of the American Society for Composites 2013, ASC 2013"</f>
        <v>28th Annual Technical Conference of the American Society for Composites 2013, ASC 2013</v>
      </c>
      <c r="B4517" s="8" t="str">
        <f>"9781629931432"</f>
        <v>9781629931432</v>
      </c>
      <c r="C4517" s="8" t="s">
        <v>1313</v>
      </c>
    </row>
    <row r="4518" spans="1:3" x14ac:dyDescent="0.25">
      <c r="A4518" s="8" t="str">
        <f>"28th Asian Conference on Remote Sensing 2007, ACRS 2007"</f>
        <v>28th Asian Conference on Remote Sensing 2007, ACRS 2007</v>
      </c>
      <c r="B4518" s="8" t="str">
        <f>"9781615673650"</f>
        <v>9781615673650</v>
      </c>
      <c r="C4518" s="8" t="s">
        <v>1448</v>
      </c>
    </row>
    <row r="4519" spans="1:3" x14ac:dyDescent="0.25">
      <c r="A4519" s="8" t="str">
        <f>"28th Australasian Transport Research Forum, ATRF 05"</f>
        <v>28th Australasian Transport Research Forum, ATRF 05</v>
      </c>
      <c r="B4519" s="8" t="str">
        <f>"9781877040429"</f>
        <v>9781877040429</v>
      </c>
      <c r="C4519" s="8" t="s">
        <v>1449</v>
      </c>
    </row>
    <row r="4520" spans="1:3" x14ac:dyDescent="0.25">
      <c r="A4520" s="8" t="str">
        <f>"28th Center for Chemical Process Safety International Conference 2013, CCPS - Topical Conference at the 2013 AIChE Spring Meeting and 9th Global Congress on Process Safety"</f>
        <v>28th Center for Chemical Process Safety International Conference 2013, CCPS - Topical Conference at the 2013 AIChE Spring Meeting and 9th Global Congress on Process Safety</v>
      </c>
      <c r="B4520" s="8" t="str">
        <f>"9781627484466"</f>
        <v>9781627484466</v>
      </c>
      <c r="C4520" s="8" t="s">
        <v>1219</v>
      </c>
    </row>
    <row r="4521" spans="1:3" x14ac:dyDescent="0.25">
      <c r="A4521" s="8" t="str">
        <f>"28th Congress of the International Council of the Aeronautical Sciences 2012, ICAS 2012"</f>
        <v>28th Congress of the International Council of the Aeronautical Sciences 2012, ICAS 2012</v>
      </c>
      <c r="B4521" s="8" t="str">
        <f>"9781622767540"</f>
        <v>9781622767540</v>
      </c>
      <c r="C4521" s="8" t="s">
        <v>1443</v>
      </c>
    </row>
    <row r="4522" spans="1:3" x14ac:dyDescent="0.25">
      <c r="A4522" s="8" t="str">
        <f>"28th International Battery Seminar and Exhibit 2011"</f>
        <v>28th International Battery Seminar and Exhibit 2011</v>
      </c>
      <c r="B4522" s="8" t="str">
        <f>"9781617826450"</f>
        <v>9781617826450</v>
      </c>
      <c r="C4522" s="8" t="s">
        <v>1440</v>
      </c>
    </row>
    <row r="4523" spans="1:3" x14ac:dyDescent="0.25">
      <c r="A4523" s="8" t="str">
        <f>"28th International Conference on Computers and Their Applications 2013, CATA 2013"</f>
        <v>28th International Conference on Computers and Their Applications 2013, CATA 2013</v>
      </c>
      <c r="B4523" s="8" t="str">
        <f>"9781622769728"</f>
        <v>9781622769728</v>
      </c>
      <c r="C4523" s="8" t="s">
        <v>1287</v>
      </c>
    </row>
    <row r="4524" spans="1:3" x14ac:dyDescent="0.25">
      <c r="A4524" s="8" t="str">
        <f>"28th International Free Electron Laser Conference, FEL 2006"</f>
        <v>28th International Free Electron Laser Conference, FEL 2006</v>
      </c>
      <c r="B4524" s="8" t="str">
        <f>"-"</f>
        <v>-</v>
      </c>
      <c r="C4524" s="8" t="s">
        <v>1359</v>
      </c>
    </row>
    <row r="4525" spans="1:3" x14ac:dyDescent="0.25">
      <c r="A4525" s="8" t="str">
        <f>"28th International No-Dig Conference and Exhibition 2010, NO-DIG 2010"</f>
        <v>28th International No-Dig Conference and Exhibition 2010, NO-DIG 2010</v>
      </c>
      <c r="B4525" s="8" t="str">
        <f>"9781617821899"</f>
        <v>9781617821899</v>
      </c>
      <c r="C4525" s="8" t="s">
        <v>1381</v>
      </c>
    </row>
    <row r="4526" spans="1:3" x14ac:dyDescent="0.25">
      <c r="A4526" s="8" t="str">
        <f>"28th International North Sea Flow Measurement Workshop 2010"</f>
        <v>28th International North Sea Flow Measurement Workshop 2010</v>
      </c>
      <c r="B4526" s="8" t="str">
        <f>"9781617822940"</f>
        <v>9781617822940</v>
      </c>
      <c r="C4526" s="8" t="s">
        <v>1450</v>
      </c>
    </row>
    <row r="4527" spans="1:3" x14ac:dyDescent="0.25">
      <c r="A4527" s="8" t="str">
        <f>"28th International Spring Seminar on Electronics Technology: Meeting the Challenges of Electronics Technology Progress, 2005"</f>
        <v>28th International Spring Seminar on Electronics Technology: Meeting the Challenges of Electronics Technology Progress, 2005</v>
      </c>
      <c r="B4527" s="8" t="str">
        <f>"-"</f>
        <v>-</v>
      </c>
      <c r="C4527" s="8" t="s">
        <v>9</v>
      </c>
    </row>
    <row r="4528" spans="1:3" x14ac:dyDescent="0.25">
      <c r="A4528" s="8" t="str">
        <f>"28th Norchip Conference, NORCHIP 2010"</f>
        <v>28th Norchip Conference, NORCHIP 2010</v>
      </c>
      <c r="B4528" s="8" t="str">
        <f>"9781424489732"</f>
        <v>9781424489732</v>
      </c>
      <c r="C4528" s="8" t="s">
        <v>9</v>
      </c>
    </row>
    <row r="4529" spans="1:3" x14ac:dyDescent="0.25">
      <c r="A4529" s="8" t="str">
        <f>"28th Physics in Collisions, PIC 2008 - Proceedings of the International Symposium"</f>
        <v>28th Physics in Collisions, PIC 2008 - Proceedings of the International Symposium</v>
      </c>
      <c r="B4529" s="8" t="str">
        <f>"-"</f>
        <v>-</v>
      </c>
      <c r="C4529" s="8" t="s">
        <v>1359</v>
      </c>
    </row>
    <row r="4530" spans="1:3" x14ac:dyDescent="0.25">
      <c r="A4530" s="8" t="str">
        <f>"28th Picture Coding Symposium, PCS 2010"</f>
        <v>28th Picture Coding Symposium, PCS 2010</v>
      </c>
      <c r="B4530" s="8" t="str">
        <f>"9781424471348"</f>
        <v>9781424471348</v>
      </c>
      <c r="C4530" s="8" t="s">
        <v>9</v>
      </c>
    </row>
    <row r="4531" spans="1:3" x14ac:dyDescent="0.25">
      <c r="A4531" s="8" t="str">
        <f>"28th Space Simulation Conference - Extreme Environments: Pushing the Boundaries"</f>
        <v>28th Space Simulation Conference - Extreme Environments: Pushing the Boundaries</v>
      </c>
      <c r="B4531" s="8" t="str">
        <f>"-"</f>
        <v>-</v>
      </c>
      <c r="C4531" s="8" t="s">
        <v>784</v>
      </c>
    </row>
    <row r="4532" spans="1:3" x14ac:dyDescent="0.25">
      <c r="A4532" s="8" t="str">
        <f>"28th Symposium on the Application of Geophysics to Engineering and Environmental Problems 2015, SAGEEP 2015"</f>
        <v>28th Symposium on the Application of Geophysics to Engineering and Environmental Problems 2015, SAGEEP 2015</v>
      </c>
      <c r="B4532" s="8" t="str">
        <f>"9781510802483"</f>
        <v>9781510802483</v>
      </c>
      <c r="C4532" s="8" t="s">
        <v>59</v>
      </c>
    </row>
    <row r="4533" spans="1:3" x14ac:dyDescent="0.25">
      <c r="A4533" s="8" t="str">
        <f>"28th West Coast Energy Management Congress 2010, EMC 2010"</f>
        <v>28th West Coast Energy Management Congress 2010, EMC 2010</v>
      </c>
      <c r="B4533" s="8" t="str">
        <f>"9781617387791"</f>
        <v>9781617387791</v>
      </c>
      <c r="C4533" s="8" t="s">
        <v>1425</v>
      </c>
    </row>
    <row r="4534" spans="1:3" x14ac:dyDescent="0.25">
      <c r="A4534" s="8" t="str">
        <f>"29th AIAA Applied Aerodynamics Conference 2011"</f>
        <v>29th AIAA Applied Aerodynamics Conference 2011</v>
      </c>
      <c r="B4534" s="8" t="str">
        <f>"9781624101458"</f>
        <v>9781624101458</v>
      </c>
      <c r="C4534" s="8" t="s">
        <v>104</v>
      </c>
    </row>
    <row r="4535" spans="1:3" x14ac:dyDescent="0.25">
      <c r="A4535" s="8" t="str">
        <f>"29th AIAA Fluid Dynamics Conference"</f>
        <v>29th AIAA Fluid Dynamics Conference</v>
      </c>
      <c r="B4535" s="8" t="str">
        <f>"9780000000002"</f>
        <v>9780000000002</v>
      </c>
      <c r="C4535" s="8" t="s">
        <v>104</v>
      </c>
    </row>
    <row r="4536" spans="1:3" x14ac:dyDescent="0.25">
      <c r="A4536" s="8" t="str">
        <f>"29th AIAA International Communications Satellite Systems Conference 2011, ICSSC-2011"</f>
        <v>29th AIAA International Communications Satellite Systems Conference 2011, ICSSC-2011</v>
      </c>
      <c r="B4536" s="8" t="str">
        <f>"9781600869464"</f>
        <v>9781600869464</v>
      </c>
      <c r="C4536" s="8" t="s">
        <v>104</v>
      </c>
    </row>
    <row r="4537" spans="1:3" x14ac:dyDescent="0.25">
      <c r="A4537" s="8" t="str">
        <f>"29th Annual IEEE/NASA Goddard Software Engineering Workshop - Tutorial Notes"</f>
        <v>29th Annual IEEE/NASA Goddard Software Engineering Workshop - Tutorial Notes</v>
      </c>
      <c r="B4537" s="8" t="str">
        <f>"-"</f>
        <v>-</v>
      </c>
      <c r="C4537" s="8" t="s">
        <v>9</v>
      </c>
    </row>
    <row r="4538" spans="1:3" x14ac:dyDescent="0.25">
      <c r="A4538" s="8" t="str">
        <f>"29th Annual International Conference of IEEE-EMBS, Engineering in Medicine and Biology Society, EMBC'07"</f>
        <v>29th Annual International Conference of IEEE-EMBS, Engineering in Medicine and Biology Society, EMBC'07</v>
      </c>
      <c r="B4538" s="8" t="str">
        <f>"9781424407880"</f>
        <v>9781424407880</v>
      </c>
      <c r="C4538" s="8" t="s">
        <v>9</v>
      </c>
    </row>
    <row r="4539" spans="1:3" x14ac:dyDescent="0.25">
      <c r="A4539" s="8" t="str">
        <f>"29th Annual International Pittsburgh Coal Conference 2012, PCC 2012"</f>
        <v>29th Annual International Pittsburgh Coal Conference 2012, PCC 2012</v>
      </c>
      <c r="B4539" s="8" t="str">
        <f>"9781622767861"</f>
        <v>9781622767861</v>
      </c>
      <c r="C4539" s="8" t="s">
        <v>1414</v>
      </c>
    </row>
    <row r="4540" spans="1:3" x14ac:dyDescent="0.25">
      <c r="A4540" s="8" t="str">
        <f>"29th Annual National Conference of the American Society for Engineering Management 2008, ASEM 2008"</f>
        <v>29th Annual National Conference of the American Society for Engineering Management 2008, ASEM 2008</v>
      </c>
      <c r="B4540" s="8" t="str">
        <f>"9781615670581"</f>
        <v>9781615670581</v>
      </c>
      <c r="C4540" s="8" t="s">
        <v>1385</v>
      </c>
    </row>
    <row r="4541" spans="1:3" x14ac:dyDescent="0.25">
      <c r="A4541" s="8" t="str">
        <f>"29th Annual National Conference of the American Society of Mining and Reclamation 2012, ASMR 2012"</f>
        <v>29th Annual National Conference of the American Society of Mining and Reclamation 2012, ASMR 2012</v>
      </c>
      <c r="B4541" s="8" t="str">
        <f>"9781622769339"</f>
        <v>9781622769339</v>
      </c>
      <c r="C4541" s="8" t="s">
        <v>1413</v>
      </c>
    </row>
    <row r="4542" spans="1:3" x14ac:dyDescent="0.25">
      <c r="A4542" s="8" t="str">
        <f>"29th Asian Conference on Remote Sensing 2008, ACRS 2008"</f>
        <v>29th Asian Conference on Remote Sensing 2008, ACRS 2008</v>
      </c>
      <c r="B4542" s="8" t="str">
        <f>"9781615676156"</f>
        <v>9781615676156</v>
      </c>
      <c r="C4542" s="8" t="s">
        <v>1448</v>
      </c>
    </row>
    <row r="4543" spans="1:3" x14ac:dyDescent="0.25">
      <c r="A4543" s="8" t="str">
        <f>"29th Australasian Transport Research Forum, ATRF 06"</f>
        <v>29th Australasian Transport Research Forum, ATRF 06</v>
      </c>
      <c r="B4543" s="8" t="str">
        <f>"9781877040566"</f>
        <v>9781877040566</v>
      </c>
      <c r="C4543" s="8" t="s">
        <v>1451</v>
      </c>
    </row>
    <row r="4544" spans="1:3" x14ac:dyDescent="0.25">
      <c r="A4544" s="8" t="str">
        <f>"29th Center for Chemical Process Safety International Conference 2014, CCPS 2014 - Topical Conference at the 2014 AIChE Spring Meeting and 10th Global Congress on Process Safety"</f>
        <v>29th Center for Chemical Process Safety International Conference 2014, CCPS 2014 - Topical Conference at the 2014 AIChE Spring Meeting and 10th Global Congress on Process Safety</v>
      </c>
      <c r="B4544" s="8" t="str">
        <f>"9781634391597"</f>
        <v>9781634391597</v>
      </c>
      <c r="C4544" s="8" t="s">
        <v>1219</v>
      </c>
    </row>
    <row r="4545" spans="1:3" x14ac:dyDescent="0.25">
      <c r="A4545" s="8" t="str">
        <f>"29th Congress of the International Council of the Aeronautical Sciences, ICAS 2014"</f>
        <v>29th Congress of the International Council of the Aeronautical Sciences, ICAS 2014</v>
      </c>
      <c r="B4545" s="8" t="str">
        <f>"-"</f>
        <v>-</v>
      </c>
      <c r="C4545" s="8" t="s">
        <v>1452</v>
      </c>
    </row>
    <row r="4546" spans="1:3" x14ac:dyDescent="0.25">
      <c r="A4546" s="8" t="str">
        <f>"29th International Battery Seminar and Exhibit 2012: Primary and Secondary Batteries - Other Technologies"</f>
        <v>29th International Battery Seminar and Exhibit 2012: Primary and Secondary Batteries - Other Technologies</v>
      </c>
      <c r="B4546" s="8" t="str">
        <f>"9781622761159"</f>
        <v>9781622761159</v>
      </c>
      <c r="C4546" s="8" t="s">
        <v>1440</v>
      </c>
    </row>
    <row r="4547" spans="1:3" x14ac:dyDescent="0.25">
      <c r="A4547" s="8" t="str">
        <f>"29th International Congress on Applications of Lasers and Electro-Optics, ICALEO 2010 - Congress Proceedings"</f>
        <v>29th International Congress on Applications of Lasers and Electro-Optics, ICALEO 2010 - Congress Proceedings</v>
      </c>
      <c r="B4547" s="8" t="str">
        <f>"9780912035611"</f>
        <v>9780912035611</v>
      </c>
      <c r="C4547" s="8" t="s">
        <v>723</v>
      </c>
    </row>
    <row r="4548" spans="1:3" x14ac:dyDescent="0.25">
      <c r="A4548" s="8" t="str">
        <f>"29th International Cosmic Ray Conference, ICRC 2005"</f>
        <v>29th International Cosmic Ray Conference, ICRC 2005</v>
      </c>
      <c r="B4548" s="8" t="str">
        <f>"-"</f>
        <v>-</v>
      </c>
      <c r="C4548" s="8" t="s">
        <v>1453</v>
      </c>
    </row>
    <row r="4549" spans="1:3" x14ac:dyDescent="0.25">
      <c r="A4549" s="8" t="str">
        <f>"29th International Free Electron Laser Conference, FEL 2007"</f>
        <v>29th International Free Electron Laser Conference, FEL 2007</v>
      </c>
      <c r="B4549" s="8" t="str">
        <f>"-"</f>
        <v>-</v>
      </c>
      <c r="C4549" s="8" t="s">
        <v>1359</v>
      </c>
    </row>
    <row r="4550" spans="1:3" x14ac:dyDescent="0.25">
      <c r="A4550" s="8" t="str">
        <f>"29th International No-Dig Conference and Exhibition 2011, NO-DIG BERLIN 2011"</f>
        <v>29th International No-Dig Conference and Exhibition 2011, NO-DIG BERLIN 2011</v>
      </c>
      <c r="B4550" s="8" t="str">
        <f>"9781618391063"</f>
        <v>9781618391063</v>
      </c>
      <c r="C4550" s="8" t="s">
        <v>1381</v>
      </c>
    </row>
    <row r="4551" spans="1:3" x14ac:dyDescent="0.25">
      <c r="A4551" s="8" t="str">
        <f>"29th IPMI Annual Precious Metals Conference 2005"</f>
        <v>29th IPMI Annual Precious Metals Conference 2005</v>
      </c>
      <c r="B4551" s="8" t="str">
        <f>"9781622763061"</f>
        <v>9781622763061</v>
      </c>
      <c r="C4551" s="8" t="s">
        <v>1454</v>
      </c>
    </row>
    <row r="4552" spans="1:3" x14ac:dyDescent="0.25">
      <c r="A4552" s="8" t="str">
        <f>"29th ISES Biennial Solar World Congress 2009, ISES 2009"</f>
        <v>29th ISES Biennial Solar World Congress 2009, ISES 2009</v>
      </c>
      <c r="B4552" s="8" t="str">
        <f>"9781617388521"</f>
        <v>9781617388521</v>
      </c>
      <c r="C4552" s="8" t="s">
        <v>1455</v>
      </c>
    </row>
    <row r="4553" spans="1:3" x14ac:dyDescent="0.25">
      <c r="A4553" s="8" t="str">
        <f>"29th West Coast Energy Management Congress 2011, EMC 2011"</f>
        <v>29th West Coast Energy Management Congress 2011, EMC 2011</v>
      </c>
      <c r="B4553" s="8" t="str">
        <f>"9781618391742"</f>
        <v>9781618391742</v>
      </c>
      <c r="C4553" s="8" t="s">
        <v>1456</v>
      </c>
    </row>
    <row r="4554" spans="1:3" x14ac:dyDescent="0.25">
      <c r="A4554" s="8" t="str">
        <f>"2nd AIAA Flow Control Conference"</f>
        <v>2nd AIAA Flow Control Conference</v>
      </c>
      <c r="B4554" s="8" t="str">
        <f>"9781624100307"</f>
        <v>9781624100307</v>
      </c>
      <c r="C4554" s="8" t="s">
        <v>104</v>
      </c>
    </row>
    <row r="4555" spans="1:3" x14ac:dyDescent="0.25">
      <c r="A4555" s="8" t="str">
        <f>"2nd AIAA Spacecraft Structures Conference"</f>
        <v>2nd AIAA Spacecraft Structures Conference</v>
      </c>
      <c r="B4555" s="8" t="str">
        <f>"9781624103452"</f>
        <v>9781624103452</v>
      </c>
      <c r="C4555" s="8" t="s">
        <v>104</v>
      </c>
    </row>
    <row r="4556" spans="1:3" x14ac:dyDescent="0.25">
      <c r="A4556" s="8" t="s">
        <v>1457</v>
      </c>
      <c r="B4556" s="8" t="str">
        <f>"9781624100949"</f>
        <v>9781624100949</v>
      </c>
      <c r="C4556" s="8" t="s">
        <v>104</v>
      </c>
    </row>
    <row r="4557" spans="1:3" x14ac:dyDescent="0.25">
      <c r="A4557" s="8" t="str">
        <f>"2nd Annual Conference on Wireless On-Demand Network Systems and Services, WONS 2005"</f>
        <v>2nd Annual Conference on Wireless On-Demand Network Systems and Services, WONS 2005</v>
      </c>
      <c r="B4557" s="8" t="str">
        <f>"-"</f>
        <v>-</v>
      </c>
      <c r="C4557" s="8" t="s">
        <v>9</v>
      </c>
    </row>
    <row r="4558" spans="1:3" x14ac:dyDescent="0.25">
      <c r="A4558" s="8" t="str">
        <f>"2nd Annual International IEEE-EMBS Special Topic Conference on Microtechnologies in Medicine and Biology - Proceedings"</f>
        <v>2nd Annual International IEEE-EMBS Special Topic Conference on Microtechnologies in Medicine and Biology - Proceedings</v>
      </c>
      <c r="B4558" s="8" t="str">
        <f>"9780780374805"</f>
        <v>9780780374805</v>
      </c>
      <c r="C4558" s="8" t="s">
        <v>105</v>
      </c>
    </row>
    <row r="4559" spans="1:3" x14ac:dyDescent="0.25">
      <c r="A4559" s="8" t="str">
        <f>"2nd Arabian Plate Geology Workshop 2010: Albian/Cenomanian/Turonian Carbonate-Siliciclastic Systems of the Arabian Plate"</f>
        <v>2nd Arabian Plate Geology Workshop 2010: Albian/Cenomanian/Turonian Carbonate-Siliciclastic Systems of the Arabian Plate</v>
      </c>
      <c r="B4559" s="8" t="str">
        <f>"-"</f>
        <v>-</v>
      </c>
      <c r="C4559" s="8" t="s">
        <v>1251</v>
      </c>
    </row>
    <row r="4560" spans="1:3" x14ac:dyDescent="0.25">
      <c r="A4560" s="8" t="str">
        <f>"2nd Asian Conference on Intelligent Games and Simulation, GAME-ON ASIA 2010 - 2nd Asian Simulation Technology Conference, ASTEC 2010"</f>
        <v>2nd Asian Conference on Intelligent Games and Simulation, GAME-ON ASIA 2010 - 2nd Asian Simulation Technology Conference, ASTEC 2010</v>
      </c>
      <c r="B4560" s="8" t="str">
        <f>"9789077381540"</f>
        <v>9789077381540</v>
      </c>
      <c r="C4560" s="8" t="s">
        <v>1206</v>
      </c>
    </row>
    <row r="4561" spans="1:3" x14ac:dyDescent="0.25">
      <c r="A4561" s="8" t="str">
        <f>"2nd ASM-IEEE EMBS Conference on Bio-, Micro- and Nanosystems"</f>
        <v>2nd ASM-IEEE EMBS Conference on Bio-, Micro- and Nanosystems</v>
      </c>
      <c r="B4561" s="8" t="str">
        <f>"9781424400560"</f>
        <v>9781424400560</v>
      </c>
      <c r="C4561" s="8" t="s">
        <v>9</v>
      </c>
    </row>
    <row r="4562" spans="1:3" x14ac:dyDescent="0.25">
      <c r="A4562" s="8" t="str">
        <f>"2nd Biennial Conference on Innovative Data Systems Research, CIDR 2005"</f>
        <v>2nd Biennial Conference on Innovative Data Systems Research, CIDR 2005</v>
      </c>
      <c r="B4562" s="8" t="str">
        <f>"-"</f>
        <v>-</v>
      </c>
      <c r="C4562" s="8" t="s">
        <v>1458</v>
      </c>
    </row>
    <row r="4563" spans="1:3" x14ac:dyDescent="0.25">
      <c r="A4563" s="8" t="str">
        <f>"2nd Chesapeake Power Boat Symposium 2010"</f>
        <v>2nd Chesapeake Power Boat Symposium 2010</v>
      </c>
      <c r="B4563" s="8" t="str">
        <f>"9781617385940"</f>
        <v>9781617385940</v>
      </c>
      <c r="C4563" s="8" t="s">
        <v>762</v>
      </c>
    </row>
    <row r="4564" spans="1:3" x14ac:dyDescent="0.25">
      <c r="A4564" s="8" t="str">
        <f>"2nd Conference Francophone sur les Architectures Logicielles, CAL 2008"</f>
        <v>2nd Conference Francophone sur les Architectures Logicielles, CAL 2008</v>
      </c>
      <c r="B4564" s="8" t="str">
        <f t="shared" ref="B4564:B4571" si="6">"-"</f>
        <v>-</v>
      </c>
      <c r="C4564" s="8" t="s">
        <v>1459</v>
      </c>
    </row>
    <row r="4565" spans="1:3" x14ac:dyDescent="0.25">
      <c r="A4565" s="8" t="str">
        <f>"2nd Conference on Foundations of Nanoscience: Self-Assembled Architectures and Devices, FNANO 2005"</f>
        <v>2nd Conference on Foundations of Nanoscience: Self-Assembled Architectures and Devices, FNANO 2005</v>
      </c>
      <c r="B4565" s="8" t="str">
        <f t="shared" si="6"/>
        <v>-</v>
      </c>
      <c r="C4565" s="8" t="s">
        <v>1460</v>
      </c>
    </row>
    <row r="4566" spans="1:3" x14ac:dyDescent="0.25">
      <c r="A4566" s="8" t="str">
        <f>"2nd EAGE CO2 Geological Storage Workshop: From Laboratory to Deployment"</f>
        <v>2nd EAGE CO2 Geological Storage Workshop: From Laboratory to Deployment</v>
      </c>
      <c r="B4566" s="8" t="str">
        <f t="shared" si="6"/>
        <v>-</v>
      </c>
      <c r="C4566" s="8" t="s">
        <v>1251</v>
      </c>
    </row>
    <row r="4567" spans="1:3" x14ac:dyDescent="0.25">
      <c r="A4567" s="8" t="str">
        <f>"2nd EAGE Integrated Reservoir Modelling Conference - Uncertainty Management: Are we Doing it Right?"</f>
        <v>2nd EAGE Integrated Reservoir Modelling Conference - Uncertainty Management: Are we Doing it Right?</v>
      </c>
      <c r="B4567" s="8" t="str">
        <f t="shared" si="6"/>
        <v>-</v>
      </c>
      <c r="C4567" s="8" t="s">
        <v>1251</v>
      </c>
    </row>
    <row r="4568" spans="1:3" x14ac:dyDescent="0.25">
      <c r="A4568" s="8" t="str">
        <f>"2nd EAGE Workshop Naturally Fractured Reservoirs: Naturally Fractured Reservoirs in Real Life"</f>
        <v>2nd EAGE Workshop Naturally Fractured Reservoirs: Naturally Fractured Reservoirs in Real Life</v>
      </c>
      <c r="B4568" s="8" t="str">
        <f t="shared" si="6"/>
        <v>-</v>
      </c>
      <c r="C4568" s="8" t="s">
        <v>1251</v>
      </c>
    </row>
    <row r="4569" spans="1:3" x14ac:dyDescent="0.25">
      <c r="A4569" s="8" t="str">
        <f>"2nd EAGE Workshop on Geosteering and Well Placement: Geosteering and the Benefits it Brings to Subsurface Understanding"</f>
        <v>2nd EAGE Workshop on Geosteering and Well Placement: Geosteering and the Benefits it Brings to Subsurface Understanding</v>
      </c>
      <c r="B4569" s="8" t="str">
        <f t="shared" si="6"/>
        <v>-</v>
      </c>
      <c r="C4569" s="8" t="s">
        <v>1251</v>
      </c>
    </row>
    <row r="4570" spans="1:3" x14ac:dyDescent="0.25">
      <c r="A4570" s="8" t="str">
        <f>"2nd EAGE Workshop on Iraq: Field Development and Emerging Technologies"</f>
        <v>2nd EAGE Workshop on Iraq: Field Development and Emerging Technologies</v>
      </c>
      <c r="B4570" s="8" t="str">
        <f t="shared" si="6"/>
        <v>-</v>
      </c>
      <c r="C4570" s="8" t="s">
        <v>1251</v>
      </c>
    </row>
    <row r="4571" spans="1:3" x14ac:dyDescent="0.25">
      <c r="A4571" s="8" t="str">
        <f>"2nd EAGE Workshop on Permanent Reservoir Monitoring: Current and Future Trends"</f>
        <v>2nd EAGE Workshop on Permanent Reservoir Monitoring: Current and Future Trends</v>
      </c>
      <c r="B4571" s="8" t="str">
        <f t="shared" si="6"/>
        <v>-</v>
      </c>
      <c r="C4571" s="8" t="s">
        <v>1251</v>
      </c>
    </row>
    <row r="4572" spans="1:3" x14ac:dyDescent="0.25">
      <c r="A4572" s="8" t="str">
        <f>"2nd EAGE Workshop on Rock Physics 2014 - Rock Physics: Integration and Beyond"</f>
        <v>2nd EAGE Workshop on Rock Physics 2014 - Rock Physics: Integration and Beyond</v>
      </c>
      <c r="B4572" s="8" t="str">
        <f>"9781632660503"</f>
        <v>9781632660503</v>
      </c>
      <c r="C4572" s="8" t="s">
        <v>1251</v>
      </c>
    </row>
    <row r="4573" spans="1:3" x14ac:dyDescent="0.25">
      <c r="A4573" s="8" t="str">
        <f>"2nd EAGE/SBGf Workshop 2014 - Broadband Seismic: From Theory to Real Examples and the Road Ahead"</f>
        <v>2nd EAGE/SBGf Workshop 2014 - Broadband Seismic: From Theory to Real Examples and the Road Ahead</v>
      </c>
      <c r="B4573" s="8" t="str">
        <f>"-"</f>
        <v>-</v>
      </c>
      <c r="C4573" s="8" t="s">
        <v>1251</v>
      </c>
    </row>
    <row r="4574" spans="1:3" x14ac:dyDescent="0.25">
      <c r="A4574" s="8" t="str">
        <f>"2nd EAGE/SPE/AAPG Shale Gas Workshop in the Middle East: Moving Forward to the Next Level"</f>
        <v>2nd EAGE/SPE/AAPG Shale Gas Workshop in the Middle East: Moving Forward to the Next Level</v>
      </c>
      <c r="B4574" s="8" t="str">
        <f>"9789073834989"</f>
        <v>9789073834989</v>
      </c>
      <c r="C4574" s="8" t="s">
        <v>1323</v>
      </c>
    </row>
    <row r="4575" spans="1:3" x14ac:dyDescent="0.25">
      <c r="A4575" s="8" t="str">
        <f>"2nd Environmental Considerations in Energy Production Conference"</f>
        <v>2nd Environmental Considerations in Energy Production Conference</v>
      </c>
      <c r="B4575" s="8" t="str">
        <f>"9781510811744"</f>
        <v>9781510811744</v>
      </c>
      <c r="C4575" s="8" t="s">
        <v>1461</v>
      </c>
    </row>
    <row r="4576" spans="1:3" x14ac:dyDescent="0.25">
      <c r="A4576" s="8" t="str">
        <f>"2nd European Conference on Information Management and Evaluation, ECIME 2008"</f>
        <v>2nd European Conference on Information Management and Evaluation, ECIME 2008</v>
      </c>
      <c r="B4576" s="8" t="str">
        <f>"9781906638122"</f>
        <v>9781906638122</v>
      </c>
      <c r="C4576" s="8" t="s">
        <v>973</v>
      </c>
    </row>
    <row r="4577" spans="1:3" x14ac:dyDescent="0.25">
      <c r="A4577" s="8" t="str">
        <f>"2nd European Conference on Universal Multiservice Networks, ECUMN 2002"</f>
        <v>2nd European Conference on Universal Multiservice Networks, ECUMN 2002</v>
      </c>
      <c r="B4577" s="8" t="str">
        <f>"9780780374225"</f>
        <v>9780780374225</v>
      </c>
      <c r="C4577" s="8" t="s">
        <v>105</v>
      </c>
    </row>
    <row r="4578" spans="1:3" x14ac:dyDescent="0.25">
      <c r="A4578" s="8" t="str">
        <f>"2nd FME Workshop on Formal Methods in Software Engineering, FormaliSE 2014 - Proceedings"</f>
        <v>2nd FME Workshop on Formal Methods in Software Engineering, FormaliSE 2014 - Proceedings</v>
      </c>
      <c r="B4578" s="8" t="str">
        <f>"9781450328531"</f>
        <v>9781450328531</v>
      </c>
      <c r="C4578" s="8" t="s">
        <v>1235</v>
      </c>
    </row>
    <row r="4579" spans="1:3" x14ac:dyDescent="0.25">
      <c r="A4579" s="8" t="str">
        <f>"2nd GRSS/ISPRS Joint Workshop on Remote Sensing and Data Fusion over Urban Areas, URBAN 2003"</f>
        <v>2nd GRSS/ISPRS Joint Workshop on Remote Sensing and Data Fusion over Urban Areas, URBAN 2003</v>
      </c>
      <c r="B4579" s="8" t="str">
        <f>"9780780377196"</f>
        <v>9780780377196</v>
      </c>
      <c r="C4579" s="8" t="s">
        <v>105</v>
      </c>
    </row>
    <row r="4580" spans="1:3" x14ac:dyDescent="0.25">
      <c r="A4580" s="8" t="str">
        <f>"2nd High Performance Yacht Design Conference 2006"</f>
        <v>2nd High Performance Yacht Design Conference 2006</v>
      </c>
      <c r="B4580" s="8" t="str">
        <f>"9781622761852"</f>
        <v>9781622761852</v>
      </c>
      <c r="C4580" s="8" t="s">
        <v>1137</v>
      </c>
    </row>
    <row r="4581" spans="1:3" x14ac:dyDescent="0.25">
      <c r="A4581" s="8" t="str">
        <f>"2nd IASTED International Symposium on Modern Nonlinear Theory, MNT 2008"</f>
        <v>2nd IASTED International Symposium on Modern Nonlinear Theory, MNT 2008</v>
      </c>
      <c r="B4581" s="8" t="str">
        <f>"9780889867741"</f>
        <v>9780889867741</v>
      </c>
      <c r="C4581" s="8" t="s">
        <v>305</v>
      </c>
    </row>
    <row r="4582" spans="1:3" x14ac:dyDescent="0.25">
      <c r="A4582" s="8" t="str">
        <f>"2nd IEEE International Conference on Industrial Informatics, INDIN'04"</f>
        <v>2nd IEEE International Conference on Industrial Informatics, INDIN'04</v>
      </c>
      <c r="B4582" s="8" t="str">
        <f>"9780780385139"</f>
        <v>9780780385139</v>
      </c>
      <c r="C4582" s="8" t="s">
        <v>9</v>
      </c>
    </row>
    <row r="4583" spans="1:3" x14ac:dyDescent="0.25">
      <c r="A4583" s="8" t="str">
        <f>"2nd IEEE International Conference on Mobile Ad-hoc and Sensor Systems, MASS 2005"</f>
        <v>2nd IEEE International Conference on Mobile Ad-hoc and Sensor Systems, MASS 2005</v>
      </c>
      <c r="B4583" s="8" t="str">
        <f>"-"</f>
        <v>-</v>
      </c>
      <c r="C4583" s="8" t="s">
        <v>9</v>
      </c>
    </row>
    <row r="4584" spans="1:3" x14ac:dyDescent="0.25">
      <c r="A4584" s="8" t="str">
        <f>"2nd IEEE International Conference on Wireless for Space and Extreme Environments, WiSEE 2014"</f>
        <v>2nd IEEE International Conference on Wireless for Space and Extreme Environments, WiSEE 2014</v>
      </c>
      <c r="B4584" s="8" t="str">
        <f>"9781479956531"</f>
        <v>9781479956531</v>
      </c>
      <c r="C4584" s="8" t="s">
        <v>105</v>
      </c>
    </row>
    <row r="4585" spans="1:3" x14ac:dyDescent="0.25">
      <c r="A4585" s="8" t="str">
        <f>"2nd IEEE International Security in Storage Workshop, SISW 2003"</f>
        <v>2nd IEEE International Security in Storage Workshop, SISW 2003</v>
      </c>
      <c r="B4585" s="8" t="str">
        <f>"9780769520599"</f>
        <v>9780769520599</v>
      </c>
      <c r="C4585" s="8" t="s">
        <v>105</v>
      </c>
    </row>
    <row r="4586" spans="1:3" x14ac:dyDescent="0.25">
      <c r="A4586" s="8" t="str">
        <f>"2nd IEEE International Symposium on Inertial Sensors and Systems, IEEE ISISS 2015 - Proceedings"</f>
        <v>2nd IEEE International Symposium on Inertial Sensors and Systems, IEEE ISISS 2015 - Proceedings</v>
      </c>
      <c r="B4586" s="8" t="str">
        <f>"9781479959143"</f>
        <v>9781479959143</v>
      </c>
      <c r="C4586" s="8" t="s">
        <v>105</v>
      </c>
    </row>
    <row r="4587" spans="1:3" x14ac:dyDescent="0.25">
      <c r="A4587" s="8" t="str">
        <f>"2nd IEEE International Workshop on Metrology for Aerospace, MetroAeroSpace 2015 - Proceedings"</f>
        <v>2nd IEEE International Workshop on Metrology for Aerospace, MetroAeroSpace 2015 - Proceedings</v>
      </c>
      <c r="B4587" s="8" t="str">
        <f>"9781479975693"</f>
        <v>9781479975693</v>
      </c>
      <c r="C4587" s="8" t="s">
        <v>105</v>
      </c>
    </row>
    <row r="4588" spans="1:3" x14ac:dyDescent="0.25">
      <c r="A4588" s="8" t="str">
        <f>"2nd IEEE LEOS Winter Topicals, WTM 2009"</f>
        <v>2nd IEEE LEOS Winter Topicals, WTM 2009</v>
      </c>
      <c r="B4588" s="8" t="str">
        <f>"9781424426119"</f>
        <v>9781424426119</v>
      </c>
      <c r="C4588" s="8" t="s">
        <v>9</v>
      </c>
    </row>
    <row r="4589" spans="1:3" x14ac:dyDescent="0.25">
      <c r="A4589" s="8" t="str">
        <f>"2nd IEEE Workshop on Wide Bandgap Power Devices and Applications, WiPDA 2014"</f>
        <v>2nd IEEE Workshop on Wide Bandgap Power Devices and Applications, WiPDA 2014</v>
      </c>
      <c r="B4589" s="8" t="str">
        <f>"9781479954933"</f>
        <v>9781479954933</v>
      </c>
      <c r="C4589" s="8" t="s">
        <v>105</v>
      </c>
    </row>
    <row r="4590" spans="1:3" x14ac:dyDescent="0.25">
      <c r="A4590" s="8" t="str">
        <f>"2nd IEEE/ACM International Symposium on Cluster Computing and the Grid, CCGrid 2002"</f>
        <v>2nd IEEE/ACM International Symposium on Cluster Computing and the Grid, CCGrid 2002</v>
      </c>
      <c r="B4590" s="8" t="str">
        <f>"9780769515823"</f>
        <v>9780769515823</v>
      </c>
      <c r="C4590" s="8" t="s">
        <v>9</v>
      </c>
    </row>
    <row r="4591" spans="1:3" x14ac:dyDescent="0.25">
      <c r="A4591" s="8" t="str">
        <f>"2nd International Conference on Advanced Geographic Information Systems, Applications, and Services, GEOProcessing 2010"</f>
        <v>2nd International Conference on Advanced Geographic Information Systems, Applications, and Services, GEOProcessing 2010</v>
      </c>
      <c r="B4591" s="8" t="str">
        <f>"9780769539515"</f>
        <v>9780769539515</v>
      </c>
      <c r="C4591" s="8" t="s">
        <v>9</v>
      </c>
    </row>
    <row r="4592" spans="1:3" x14ac:dyDescent="0.25">
      <c r="A4592" s="8" t="str">
        <f>"2nd International Conference on Advances in Circuits, Electronics and Micro-electronics - CENICS 2009"</f>
        <v>2nd International Conference on Advances in Circuits, Electronics and Micro-electronics - CENICS 2009</v>
      </c>
      <c r="B4592" s="8" t="str">
        <f>"9780769538327"</f>
        <v>9780769538327</v>
      </c>
      <c r="C4592" s="8" t="s">
        <v>9</v>
      </c>
    </row>
    <row r="4593" spans="1:3" x14ac:dyDescent="0.25">
      <c r="A4593" s="8" t="str">
        <f>"2nd International Conference on Advances in Databases, Knowledge, and Data Applications, DBKDA 2010"</f>
        <v>2nd International Conference on Advances in Databases, Knowledge, and Data Applications, DBKDA 2010</v>
      </c>
      <c r="B4593" s="8" t="str">
        <f>"9780769539812"</f>
        <v>9780769539812</v>
      </c>
      <c r="C4593" s="8" t="s">
        <v>9</v>
      </c>
    </row>
    <row r="4594" spans="1:3" x14ac:dyDescent="0.25">
      <c r="A4594" s="8" t="str">
        <f>"2nd International Conference on Advances in Human-Oriented and Personalized Mechanisms, Technologies, and Services - CENTRIC 2009"</f>
        <v>2nd International Conference on Advances in Human-Oriented and Personalized Mechanisms, Technologies, and Services - CENTRIC 2009</v>
      </c>
      <c r="B4594" s="8" t="str">
        <f>"9780769537764"</f>
        <v>9780769537764</v>
      </c>
      <c r="C4594" s="8" t="s">
        <v>9</v>
      </c>
    </row>
    <row r="4595" spans="1:3" x14ac:dyDescent="0.25">
      <c r="A4595" s="8" t="str">
        <f>"2nd International Conference on Advances in Multimedia, MMEDIA 2010"</f>
        <v>2nd International Conference on Advances in Multimedia, MMEDIA 2010</v>
      </c>
      <c r="B4595" s="8" t="str">
        <f>"9780769540689"</f>
        <v>9780769540689</v>
      </c>
      <c r="C4595" s="8" t="s">
        <v>9</v>
      </c>
    </row>
    <row r="4596" spans="1:3" x14ac:dyDescent="0.25">
      <c r="A4596" s="8" t="str">
        <f>"2nd International Conference on Advances in Satellite and Space Communications, SPACOMM 2010"</f>
        <v>2nd International Conference on Advances in Satellite and Space Communications, SPACOMM 2010</v>
      </c>
      <c r="B4596" s="8" t="str">
        <f>"9780769540672"</f>
        <v>9780769540672</v>
      </c>
      <c r="C4596" s="8" t="s">
        <v>9</v>
      </c>
    </row>
    <row r="4597" spans="1:3" x14ac:dyDescent="0.25">
      <c r="A4597" s="8" t="str">
        <f>"2nd International Conference on Anti-counterfeiting, Security and Identification, ASID 2008"</f>
        <v>2nd International Conference on Anti-counterfeiting, Security and Identification, ASID 2008</v>
      </c>
      <c r="B4597" s="8" t="str">
        <f>"9781424425846"</f>
        <v>9781424425846</v>
      </c>
      <c r="C4597" s="8" t="s">
        <v>9</v>
      </c>
    </row>
    <row r="4598" spans="1:3" x14ac:dyDescent="0.25">
      <c r="A4598" s="8" t="str">
        <f>"2nd International Conference on Aspect-Oriented Software Development"</f>
        <v>2nd International Conference on Aspect-Oriented Software Development</v>
      </c>
      <c r="B4598" s="8" t="str">
        <f>"9781581136609"</f>
        <v>9781581136609</v>
      </c>
      <c r="C4598" s="8" t="s">
        <v>21</v>
      </c>
    </row>
    <row r="4599" spans="1:3" x14ac:dyDescent="0.25">
      <c r="A4599" s="8" t="str">
        <f>"2nd International Conference on Bioinformatics and Biomedical Engineering, iCBBE 2008"</f>
        <v>2nd International Conference on Bioinformatics and Biomedical Engineering, iCBBE 2008</v>
      </c>
      <c r="B4599" s="8" t="str">
        <f>"9781424417483"</f>
        <v>9781424417483</v>
      </c>
      <c r="C4599" s="8" t="s">
        <v>9</v>
      </c>
    </row>
    <row r="4600" spans="1:3" x14ac:dyDescent="0.25">
      <c r="A4600" s="8" t="str">
        <f>"2nd International Conference on Bioinformatics and Computational Biology 2010, BICoB 2010"</f>
        <v>2nd International Conference on Bioinformatics and Computational Biology 2010, BICoB 2010</v>
      </c>
      <c r="B4600" s="8" t="str">
        <f>"9781617381119"</f>
        <v>9781617381119</v>
      </c>
      <c r="C4600" s="8" t="s">
        <v>1287</v>
      </c>
    </row>
    <row r="4601" spans="1:3" x14ac:dyDescent="0.25">
      <c r="A4601" s="8" t="str">
        <f>"2nd International Conference on Biomedical and Pharmaceutical Engineering, ICBPE 2009 - Conference Proceedings"</f>
        <v>2nd International Conference on Biomedical and Pharmaceutical Engineering, ICBPE 2009 - Conference Proceedings</v>
      </c>
      <c r="B4601" s="8" t="str">
        <f>"9781424447640"</f>
        <v>9781424447640</v>
      </c>
      <c r="C4601" s="8" t="s">
        <v>9</v>
      </c>
    </row>
    <row r="4602" spans="1:3" x14ac:dyDescent="0.25">
      <c r="A4602" s="8" t="str">
        <f>"2nd International Conference on Broadband Networks, BROADNETS 2005"</f>
        <v>2nd International Conference on Broadband Networks, BROADNETS 2005</v>
      </c>
      <c r="B4602" s="8" t="str">
        <f>"-"</f>
        <v>-</v>
      </c>
      <c r="C4602" s="8" t="s">
        <v>9</v>
      </c>
    </row>
    <row r="4603" spans="1:3" x14ac:dyDescent="0.25">
      <c r="A4603" s="8" t="str">
        <f>"2nd International Conference on Communication Software and Networks, ICCSN 2010"</f>
        <v>2nd International Conference on Communication Software and Networks, ICCSN 2010</v>
      </c>
      <c r="B4603" s="8" t="str">
        <f>"9780769539614"</f>
        <v>9780769539614</v>
      </c>
      <c r="C4603" s="8" t="s">
        <v>9</v>
      </c>
    </row>
    <row r="4604" spans="1:3" x14ac:dyDescent="0.25">
      <c r="A4604" s="8" t="str">
        <f>"2nd International Conference on Communications Computing and Control Applications, CCCA 2012"</f>
        <v>2nd International Conference on Communications Computing and Control Applications, CCCA 2012</v>
      </c>
      <c r="B4604" s="8" t="str">
        <f>"9781467346955"</f>
        <v>9781467346955</v>
      </c>
      <c r="C4604" s="8" t="s">
        <v>9</v>
      </c>
    </row>
    <row r="4605" spans="1:3" x14ac:dyDescent="0.25">
      <c r="A4605" s="8" t="str">
        <f>"2nd International Conference on Computer and Network Technology, ICCNT 2010"</f>
        <v>2nd International Conference on Computer and Network Technology, ICCNT 2010</v>
      </c>
      <c r="B4605" s="8" t="str">
        <f>"9780769540429"</f>
        <v>9780769540429</v>
      </c>
      <c r="C4605" s="8" t="s">
        <v>9</v>
      </c>
    </row>
    <row r="4606" spans="1:3" x14ac:dyDescent="0.25">
      <c r="A4606" s="8" t="str">
        <f>"2nd International Conference on Computer Research and Development, ICCRD 2010"</f>
        <v>2nd International Conference on Computer Research and Development, ICCRD 2010</v>
      </c>
      <c r="B4606" s="8" t="str">
        <f>"9780769540436"</f>
        <v>9780769540436</v>
      </c>
      <c r="C4606" s="8" t="s">
        <v>9</v>
      </c>
    </row>
    <row r="4607" spans="1:3" x14ac:dyDescent="0.25">
      <c r="A4607" s="8" t="str">
        <f>"2nd International Conference on Current Problems in Nuclear Physics and Atomic Energy, NPAE 2008 - Proceedings"</f>
        <v>2nd International Conference on Current Problems in Nuclear Physics and Atomic Energy, NPAE 2008 - Proceedings</v>
      </c>
      <c r="B4607" s="8" t="str">
        <f>"-"</f>
        <v>-</v>
      </c>
      <c r="C4607" s="8" t="s">
        <v>1462</v>
      </c>
    </row>
    <row r="4608" spans="1:3" x14ac:dyDescent="0.25">
      <c r="A4608" s="8" t="str">
        <f>"2nd International Conference on Current Trends in Engineering and Technology, ICCTET 2014"</f>
        <v>2nd International Conference on Current Trends in Engineering and Technology, ICCTET 2014</v>
      </c>
      <c r="B4608" s="8" t="str">
        <f>"9781479979875"</f>
        <v>9781479979875</v>
      </c>
      <c r="C4608" s="8" t="s">
        <v>105</v>
      </c>
    </row>
    <row r="4609" spans="1:3" x14ac:dyDescent="0.25">
      <c r="A4609" s="8" t="str">
        <f>"2nd International Conference on eHealth, Telemedicine, and Social Medicine, eTELEMED 2010, Includes MLMB 2010; BUSMMed 2010"</f>
        <v>2nd International Conference on eHealth, Telemedicine, and Social Medicine, eTELEMED 2010, Includes MLMB 2010; BUSMMed 2010</v>
      </c>
      <c r="B4609" s="8" t="str">
        <f>"9780769539508"</f>
        <v>9780769539508</v>
      </c>
      <c r="C4609" s="8" t="s">
        <v>9</v>
      </c>
    </row>
    <row r="4610" spans="1:3" x14ac:dyDescent="0.25">
      <c r="A4610" s="8" t="str">
        <f>"2nd International Conference on Electrical and Electronics Engineering, ICEEE and XI Conference on Electrical Engineering, CIE 2005"</f>
        <v>2nd International Conference on Electrical and Electronics Engineering, ICEEE and XI Conference on Electrical Engineering, CIE 2005</v>
      </c>
      <c r="B4610" s="8" t="str">
        <f>"-"</f>
        <v>-</v>
      </c>
      <c r="C4610" s="8" t="s">
        <v>9</v>
      </c>
    </row>
    <row r="4611" spans="1:3" x14ac:dyDescent="0.25">
      <c r="A4611" s="8" t="str">
        <f>"2nd International Conference on Electrical Engineering, ICEE"</f>
        <v>2nd International Conference on Electrical Engineering, ICEE</v>
      </c>
      <c r="B4611" s="8" t="str">
        <f>"9781424422937"</f>
        <v>9781424422937</v>
      </c>
      <c r="C4611" s="8" t="s">
        <v>9</v>
      </c>
    </row>
    <row r="4612" spans="1:3" x14ac:dyDescent="0.25">
      <c r="A4612" s="8" t="str">
        <f>"2nd International Conference on Electronics and Communication Systems, ICECS 2015"</f>
        <v>2nd International Conference on Electronics and Communication Systems, ICECS 2015</v>
      </c>
      <c r="B4612" s="8" t="str">
        <f>"9781479972241"</f>
        <v>9781479972241</v>
      </c>
      <c r="C4612" s="8" t="s">
        <v>105</v>
      </c>
    </row>
    <row r="4613" spans="1:3" x14ac:dyDescent="0.25">
      <c r="A4613" s="8" t="str">
        <f>"2nd International Conference on Emerging and Sustainable Technologies for Power and ICT in a Developing Society, IEEE NIGERCON 2013 - Proceedings"</f>
        <v>2nd International Conference on Emerging and Sustainable Technologies for Power and ICT in a Developing Society, IEEE NIGERCON 2013 - Proceedings</v>
      </c>
      <c r="B4613" s="8" t="str">
        <f>"9781479920174"</f>
        <v>9781479920174</v>
      </c>
      <c r="C4613" s="8" t="s">
        <v>9</v>
      </c>
    </row>
    <row r="4614" spans="1:3" x14ac:dyDescent="0.25">
      <c r="A4614" s="8" t="str">
        <f>"2nd International Conference on Engineering Geophysics"</f>
        <v>2nd International Conference on Engineering Geophysics</v>
      </c>
      <c r="B4614" s="8" t="str">
        <f>"-"</f>
        <v>-</v>
      </c>
      <c r="C4614" s="8" t="s">
        <v>1251</v>
      </c>
    </row>
    <row r="4615" spans="1:3" x14ac:dyDescent="0.25">
      <c r="A4615" s="8" t="str">
        <f>"2nd International Conference on Environmental and Computer Science, ICECS 2009"</f>
        <v>2nd International Conference on Environmental and Computer Science, ICECS 2009</v>
      </c>
      <c r="B4615" s="8" t="str">
        <f>"9780769539379"</f>
        <v>9780769539379</v>
      </c>
      <c r="C4615" s="8" t="s">
        <v>9</v>
      </c>
    </row>
    <row r="4616" spans="1:3" x14ac:dyDescent="0.25">
      <c r="A4616" s="8" t="str">
        <f>"2nd International Conference on Future Generation Communication Technologies, FGCT 2013"</f>
        <v>2nd International Conference on Future Generation Communication Technologies, FGCT 2013</v>
      </c>
      <c r="B4616" s="8" t="str">
        <f>"9781479929757"</f>
        <v>9781479929757</v>
      </c>
      <c r="C4616" s="8" t="s">
        <v>9</v>
      </c>
    </row>
    <row r="4617" spans="1:3" x14ac:dyDescent="0.25">
      <c r="A4617" s="8" t="str">
        <f>"2nd International Conference on Future Networks, ICFN 2010"</f>
        <v>2nd International Conference on Future Networks, ICFN 2010</v>
      </c>
      <c r="B4617" s="8" t="str">
        <f>"9780769539409"</f>
        <v>9780769539409</v>
      </c>
      <c r="C4617" s="8" t="s">
        <v>9</v>
      </c>
    </row>
    <row r="4618" spans="1:3" x14ac:dyDescent="0.25">
      <c r="A4618" s="8" t="str">
        <f>"2nd International Conference on Games and Virtual Worlds for Serious Applications, VS-GAMES 2010"</f>
        <v>2nd International Conference on Games and Virtual Worlds for Serious Applications, VS-GAMES 2010</v>
      </c>
      <c r="B4618" s="8" t="str">
        <f>"9780769539867"</f>
        <v>9780769539867</v>
      </c>
      <c r="C4618" s="8" t="s">
        <v>9</v>
      </c>
    </row>
    <row r="4619" spans="1:3" x14ac:dyDescent="0.25">
      <c r="A4619" s="8" t="str">
        <f>"2nd International Conference on Information and Automation, ICIA 2006"</f>
        <v>2nd International Conference on Information and Automation, ICIA 2006</v>
      </c>
      <c r="B4619" s="8" t="str">
        <f>"9781424405558"</f>
        <v>9781424405558</v>
      </c>
      <c r="C4619" s="8" t="s">
        <v>9</v>
      </c>
    </row>
    <row r="4620" spans="1:3" x14ac:dyDescent="0.25">
      <c r="A4620" s="8" t="str">
        <f>"2nd International Conference on Information Engineering and Computer Science - Proceedings, ICIECS 2010"</f>
        <v>2nd International Conference on Information Engineering and Computer Science - Proceedings, ICIECS 2010</v>
      </c>
      <c r="B4620" s="8" t="str">
        <f>"9781424479412"</f>
        <v>9781424479412</v>
      </c>
      <c r="C4620" s="8" t="s">
        <v>9</v>
      </c>
    </row>
    <row r="4621" spans="1:3" x14ac:dyDescent="0.25">
      <c r="A4621" s="8" t="str">
        <f>"2nd International Conference on Information Science and Engineering, ICISE2010 - Proceedings"</f>
        <v>2nd International Conference on Information Science and Engineering, ICISE2010 - Proceedings</v>
      </c>
      <c r="B4621" s="8" t="str">
        <f>"9781424480968"</f>
        <v>9781424480968</v>
      </c>
      <c r="C4621" s="8" t="s">
        <v>9</v>
      </c>
    </row>
    <row r="4622" spans="1:3" x14ac:dyDescent="0.25">
      <c r="A4622" s="8" t="str">
        <f>"2nd International Conference on Information, Process, and Knowledge Management, eKNOW 2010"</f>
        <v>2nd International Conference on Information, Process, and Knowledge Management, eKNOW 2010</v>
      </c>
      <c r="B4622" s="8" t="str">
        <f>"9780769539560"</f>
        <v>9780769539560</v>
      </c>
      <c r="C4622" s="8" t="s">
        <v>9</v>
      </c>
    </row>
    <row r="4623" spans="1:3" x14ac:dyDescent="0.25">
      <c r="A4623" s="8" t="str">
        <f>"2nd International Conference on Innovative Computing Technology, INTECH 2012"</f>
        <v>2nd International Conference on Innovative Computing Technology, INTECH 2012</v>
      </c>
      <c r="B4623" s="8" t="str">
        <f>"9781467326780"</f>
        <v>9781467326780</v>
      </c>
      <c r="C4623" s="8" t="s">
        <v>9</v>
      </c>
    </row>
    <row r="4624" spans="1:3" x14ac:dyDescent="0.25">
      <c r="A4624" s="8" t="str">
        <f>"2nd International Conference on Mobile, Hybrid, and On-Line Learning, eL and mL 2010"</f>
        <v>2nd International Conference on Mobile, Hybrid, and On-Line Learning, eL and mL 2010</v>
      </c>
      <c r="B4624" s="8" t="str">
        <f>"9780769539553"</f>
        <v>9780769539553</v>
      </c>
      <c r="C4624" s="8" t="s">
        <v>9</v>
      </c>
    </row>
    <row r="4625" spans="1:3" x14ac:dyDescent="0.25">
      <c r="A4625" s="8" t="str">
        <f>"2nd International Conference on Semantics, Knowledge, and Grid, SKG 2006"</f>
        <v>2nd International Conference on Semantics, Knowledge, and Grid, SKG 2006</v>
      </c>
      <c r="B4625" s="8" t="str">
        <f>"9780769526737"</f>
        <v>9780769526737</v>
      </c>
      <c r="C4625" s="8" t="s">
        <v>9</v>
      </c>
    </row>
    <row r="4626" spans="1:3" x14ac:dyDescent="0.25">
      <c r="A4626" s="8" t="str">
        <f>"2nd International Conference on Signal Processing and Communication Systems, ICSPCS 2008 - Proceedings"</f>
        <v>2nd International Conference on Signal Processing and Communication Systems, ICSPCS 2008 - Proceedings</v>
      </c>
      <c r="B4626" s="8" t="str">
        <f>"9781424442423"</f>
        <v>9781424442423</v>
      </c>
      <c r="C4626" s="8" t="s">
        <v>9</v>
      </c>
    </row>
    <row r="4627" spans="1:3" x14ac:dyDescent="0.25">
      <c r="A4627" s="8" t="str">
        <f>"2nd International Conference on Signal Processing and Integrated Networks, SPIN 2015"</f>
        <v>2nd International Conference on Signal Processing and Integrated Networks, SPIN 2015</v>
      </c>
      <c r="B4627" s="8" t="str">
        <f>"9781479959914"</f>
        <v>9781479959914</v>
      </c>
      <c r="C4627" s="8" t="s">
        <v>105</v>
      </c>
    </row>
    <row r="4628" spans="1:3" x14ac:dyDescent="0.25">
      <c r="A4628" s="8" t="str">
        <f>"2nd International Conference on Software Engineering Advances - ICSEA 2007"</f>
        <v>2nd International Conference on Software Engineering Advances - ICSEA 2007</v>
      </c>
      <c r="B4628" s="8" t="str">
        <f>"9780769529370"</f>
        <v>9780769529370</v>
      </c>
      <c r="C4628" s="8" t="s">
        <v>9</v>
      </c>
    </row>
    <row r="4629" spans="1:3" x14ac:dyDescent="0.25">
      <c r="A4629" s="8" t="str">
        <f>"2nd International Conference on Software Engineering and Data Mining, SEDM 2010"</f>
        <v>2nd International Conference on Software Engineering and Data Mining, SEDM 2010</v>
      </c>
      <c r="B4629" s="8" t="str">
        <f>"9788988678213"</f>
        <v>9788988678213</v>
      </c>
      <c r="C4629" s="8" t="s">
        <v>9</v>
      </c>
    </row>
    <row r="4630" spans="1:3" x14ac:dyDescent="0.25">
      <c r="A4630" s="8" t="str">
        <f>"2nd International Conference on Space Technology, ICST 2011"</f>
        <v>2nd International Conference on Space Technology, ICST 2011</v>
      </c>
      <c r="B4630" s="8" t="str">
        <f>"9781457718748"</f>
        <v>9781457718748</v>
      </c>
      <c r="C4630" s="8" t="s">
        <v>9</v>
      </c>
    </row>
    <row r="4631" spans="1:3" x14ac:dyDescent="0.25">
      <c r="A4631" s="8" t="str">
        <f>"2nd International Conference on Sustainable Construction Materials and Technologies"</f>
        <v>2nd International Conference on Sustainable Construction Materials and Technologies</v>
      </c>
      <c r="B4631" s="8" t="str">
        <f>"9781450714907"</f>
        <v>9781450714907</v>
      </c>
      <c r="C4631" s="8" t="s">
        <v>1463</v>
      </c>
    </row>
    <row r="4632" spans="1:3" x14ac:dyDescent="0.25">
      <c r="A4632" s="8" t="str">
        <f>"2nd International Conference on Systems, ICONS 2007"</f>
        <v>2nd International Conference on Systems, ICONS 2007</v>
      </c>
      <c r="B4632" s="8" t="str">
        <f>"9780769528076"</f>
        <v>9780769528076</v>
      </c>
      <c r="C4632" s="8" t="s">
        <v>9</v>
      </c>
    </row>
    <row r="4633" spans="1:3" x14ac:dyDescent="0.25">
      <c r="A4633" s="8" t="str">
        <f>"2nd International Conference on Testbeds and Research Infrastructures for the Development of Networks and Communities, TRIDENTCOM 2006"</f>
        <v>2nd International Conference on Testbeds and Research Infrastructures for the Development of Networks and Communities, TRIDENTCOM 2006</v>
      </c>
      <c r="B4633" s="8" t="str">
        <f>"-"</f>
        <v>-</v>
      </c>
      <c r="C4633" s="8" t="s">
        <v>9</v>
      </c>
    </row>
    <row r="4634" spans="1:3" x14ac:dyDescent="0.25">
      <c r="A4634" s="8" t="str">
        <f>"2nd International Conference on the Applications of Digital Information and Web Technologies, ICADIWT 2009"</f>
        <v>2nd International Conference on the Applications of Digital Information and Web Technologies, ICADIWT 2009</v>
      </c>
      <c r="B4634" s="8" t="str">
        <f>"9781424444571"</f>
        <v>9781424444571</v>
      </c>
      <c r="C4634" s="8" t="s">
        <v>9</v>
      </c>
    </row>
    <row r="4635" spans="1:3" x14ac:dyDescent="0.25">
      <c r="A4635" s="8" t="str">
        <f>"2nd International Conference on Upstream Engineering and Flow Assurance 2014 - Topical Conference at the 2014 AIChE Spring Meeting and 10th Global Congress on Process Safety"</f>
        <v>2nd International Conference on Upstream Engineering and Flow Assurance 2014 - Topical Conference at the 2014 AIChE Spring Meeting and 10th Global Congress on Process Safety</v>
      </c>
      <c r="B4635" s="8" t="str">
        <f>"9781634390668"</f>
        <v>9781634390668</v>
      </c>
      <c r="C4635" s="8" t="s">
        <v>1219</v>
      </c>
    </row>
    <row r="4636" spans="1:3" x14ac:dyDescent="0.25">
      <c r="A4636" s="8" t="str">
        <f>"2nd International EtaMesonNet Workshop, ETA 2007"</f>
        <v>2nd International EtaMesonNet Workshop, ETA 2007</v>
      </c>
      <c r="B4636" s="8" t="str">
        <f>"-"</f>
        <v>-</v>
      </c>
      <c r="C4636" s="8" t="s">
        <v>259</v>
      </c>
    </row>
    <row r="4637" spans="1:3" x14ac:dyDescent="0.25">
      <c r="A4637" s="8" t="str">
        <f>"2nd International IEEE Conference on Polymers and Adhesives in Microelectronics and Photonics, POLYTRONIC 2002 - Conference Proceedings"</f>
        <v>2nd International IEEE Conference on Polymers and Adhesives in Microelectronics and Photonics, POLYTRONIC 2002 - Conference Proceedings</v>
      </c>
      <c r="B4637" s="8" t="str">
        <f>"9780780375673"</f>
        <v>9780780375673</v>
      </c>
      <c r="C4637" s="8" t="s">
        <v>105</v>
      </c>
    </row>
    <row r="4638" spans="1:3" x14ac:dyDescent="0.25">
      <c r="A4638" s="8" t="str">
        <f>"2nd International IEEE Consumer Electronic Society Games Innovation Conference, ICE-GIC 2010"</f>
        <v>2nd International IEEE Consumer Electronic Society Games Innovation Conference, ICE-GIC 2010</v>
      </c>
      <c r="B4638" s="8" t="str">
        <f>"9781424471805"</f>
        <v>9781424471805</v>
      </c>
      <c r="C4638" s="8" t="s">
        <v>9</v>
      </c>
    </row>
    <row r="4639" spans="1:3" x14ac:dyDescent="0.25">
      <c r="A4639" s="8" t="str">
        <f>"2nd International IEEE EMBS Conference on Neural Engineering"</f>
        <v>2nd International IEEE EMBS Conference on Neural Engineering</v>
      </c>
      <c r="B4639" s="8" t="str">
        <f>"-"</f>
        <v>-</v>
      </c>
      <c r="C4639" s="8" t="s">
        <v>9</v>
      </c>
    </row>
    <row r="4640" spans="1:3" x14ac:dyDescent="0.25">
      <c r="A4640" s="8" t="str">
        <f>"2nd International Meeting on Ironmaking and 1st International Symposium on Iron Ore and Parallel Event- 5th Japan-Brazil Symposium on Dust Processing-Energy-Environment on Metallurgical Industries"</f>
        <v>2nd International Meeting on Ironmaking and 1st International Symposium on Iron Ore and Parallel Event- 5th Japan-Brazil Symposium on Dust Processing-Energy-Environment on Metallurgical Industries</v>
      </c>
      <c r="B4640" s="8" t="str">
        <f>"9788586778759"</f>
        <v>9788586778759</v>
      </c>
      <c r="C4640" s="8" t="s">
        <v>872</v>
      </c>
    </row>
    <row r="4641" spans="1:3" x14ac:dyDescent="0.25">
      <c r="A4641" s="8" t="str">
        <f>"2nd International North-American Conference on Intelligent Games and Simulation, Game-On 'NA 2006"</f>
        <v>2nd International North-American Conference on Intelligent Games and Simulation, Game-On 'NA 2006</v>
      </c>
      <c r="B4641" s="8" t="str">
        <f>"9789077381298"</f>
        <v>9789077381298</v>
      </c>
      <c r="C4641" s="8" t="s">
        <v>1206</v>
      </c>
    </row>
    <row r="4642" spans="1:3" x14ac:dyDescent="0.25">
      <c r="A4642" s="8" t="str">
        <f>"2nd International Students Conference on Electrodynamic and Mechatronics, SCE 11 '09 - Conference Proceedings"</f>
        <v>2nd International Students Conference on Electrodynamic and Mechatronics, SCE 11 '09 - Conference Proceedings</v>
      </c>
      <c r="B4642" s="8" t="str">
        <f>"9781424438983"</f>
        <v>9781424438983</v>
      </c>
      <c r="C4642" s="8" t="s">
        <v>9</v>
      </c>
    </row>
    <row r="4643" spans="1:3" x14ac:dyDescent="0.25">
      <c r="A4643" s="8" t="str">
        <f>"2nd International Symposium on Applied Sciences in Biomedical and Communication Technologies, ISABEL 2009"</f>
        <v>2nd International Symposium on Applied Sciences in Biomedical and Communication Technologies, ISABEL 2009</v>
      </c>
      <c r="B4643" s="8" t="str">
        <f>"9781424446414"</f>
        <v>9781424446414</v>
      </c>
      <c r="C4643" s="8" t="s">
        <v>9</v>
      </c>
    </row>
    <row r="4644" spans="1:3" x14ac:dyDescent="0.25">
      <c r="A4644" s="8" t="str">
        <f>"2nd International Symposium on Electronic Commerce and Security, ISECS 2009"</f>
        <v>2nd International Symposium on Electronic Commerce and Security, ISECS 2009</v>
      </c>
      <c r="B4644" s="8" t="str">
        <f>"9780769536439"</f>
        <v>9780769536439</v>
      </c>
      <c r="C4644" s="8" t="s">
        <v>9</v>
      </c>
    </row>
    <row r="4645" spans="1:3" x14ac:dyDescent="0.25">
      <c r="A4645" s="8" t="str">
        <f>"2nd International Symposium on Environment Friendly Energies and Applications, EFEA 2012"</f>
        <v>2nd International Symposium on Environment Friendly Energies and Applications, EFEA 2012</v>
      </c>
      <c r="B4645" s="8" t="str">
        <f>"9781467329095"</f>
        <v>9781467329095</v>
      </c>
      <c r="C4645" s="8" t="s">
        <v>9</v>
      </c>
    </row>
    <row r="4646" spans="1:3" x14ac:dyDescent="0.25">
      <c r="A4646" s="8" t="str">
        <f>"2nd International Symposium on Information Science and Engineering, ISISE 2009"</f>
        <v>2nd International Symposium on Information Science and Engineering, ISISE 2009</v>
      </c>
      <c r="B4646" s="8" t="str">
        <f>"9780769539911"</f>
        <v>9780769539911</v>
      </c>
      <c r="C4646" s="8" t="s">
        <v>9</v>
      </c>
    </row>
    <row r="4647" spans="1:3" x14ac:dyDescent="0.25">
      <c r="A4647" s="8" t="str">
        <f>"2nd International Symposium on Power Electronics for Distributed Generation Systems, PEDG 2010"</f>
        <v>2nd International Symposium on Power Electronics for Distributed Generation Systems, PEDG 2010</v>
      </c>
      <c r="B4647" s="8" t="str">
        <f>"9781424456703"</f>
        <v>9781424456703</v>
      </c>
      <c r="C4647" s="8" t="s">
        <v>9</v>
      </c>
    </row>
    <row r="4648" spans="1:3" x14ac:dyDescent="0.25">
      <c r="A4648" s="8" t="str">
        <f>"2nd International Symposium on Ship Operations, Management and Economics 2008"</f>
        <v>2nd International Symposium on Ship Operations, Management and Economics 2008</v>
      </c>
      <c r="B4648" s="8" t="str">
        <f>"9781617386459"</f>
        <v>9781617386459</v>
      </c>
      <c r="C4648" s="8" t="s">
        <v>762</v>
      </c>
    </row>
    <row r="4649" spans="1:3" x14ac:dyDescent="0.25">
      <c r="A4649" s="8" t="str">
        <f>"2nd International Symposium on Test Automation and Instrumentation, ISTAI 2008"</f>
        <v>2nd International Symposium on Test Automation and Instrumentation, ISTAI 2008</v>
      </c>
      <c r="B4649" s="8" t="str">
        <f>"-"</f>
        <v>-</v>
      </c>
      <c r="C4649" s="8" t="s">
        <v>991</v>
      </c>
    </row>
    <row r="4650" spans="1:3" x14ac:dyDescent="0.25">
      <c r="A4650" s="8" t="str">
        <f>"2nd International Symposium on Wireless Communications Systems 2005, ISWCS 2005 - Conference Proceedings"</f>
        <v>2nd International Symposium on Wireless Communications Systems 2005, ISWCS 2005 - Conference Proceedings</v>
      </c>
      <c r="B4650" s="8" t="str">
        <f>"-"</f>
        <v>-</v>
      </c>
      <c r="C4650" s="8" t="s">
        <v>9</v>
      </c>
    </row>
    <row r="4651" spans="1:3" x14ac:dyDescent="0.25">
      <c r="A4651" s="8" t="str">
        <f>"2nd International Topical Meeting on Safety and Technology of Nuclear Hydrogen Production, Control, and Management 2010"</f>
        <v>2nd International Topical Meeting on Safety and Technology of Nuclear Hydrogen Production, Control, and Management 2010</v>
      </c>
      <c r="B4651" s="8" t="str">
        <f>"9781617388460"</f>
        <v>9781617388460</v>
      </c>
      <c r="C4651" s="8" t="s">
        <v>453</v>
      </c>
    </row>
    <row r="4652" spans="1:3" x14ac:dyDescent="0.25">
      <c r="A4652" s="8" t="str">
        <f>"2nd International Workshop Networking with Ultra Wide Band Workshop on Ultra Wide Band for Sensor Networks - Workshop Proceedings"</f>
        <v>2nd International Workshop Networking with Ultra Wide Band Workshop on Ultra Wide Band for Sensor Networks - Workshop Proceedings</v>
      </c>
      <c r="B4652" s="8" t="str">
        <f>"-"</f>
        <v>-</v>
      </c>
      <c r="C4652" s="8" t="s">
        <v>9</v>
      </c>
    </row>
    <row r="4653" spans="1:3" x14ac:dyDescent="0.25">
      <c r="A4653" s="8" t="str">
        <f>"2nd International Workshop on Biometrics and Forensics, IWBF 2014"</f>
        <v>2nd International Workshop on Biometrics and Forensics, IWBF 2014</v>
      </c>
      <c r="B4653" s="8" t="str">
        <f>"9781479943708"</f>
        <v>9781479943708</v>
      </c>
      <c r="C4653" s="8" t="s">
        <v>105</v>
      </c>
    </row>
    <row r="4654" spans="1:3" x14ac:dyDescent="0.25">
      <c r="A4654" s="8" t="str">
        <f>"2nd International Workshop on Computer Graphics, Computer Vision and Mathematics, GraVisMa 2010 - Workshop Proceedings"</f>
        <v>2nd International Workshop on Computer Graphics, Computer Vision and Mathematics, GraVisMa 2010 - Workshop Proceedings</v>
      </c>
      <c r="B4654" s="8" t="str">
        <f>"9788086943855"</f>
        <v>9788086943855</v>
      </c>
      <c r="C4654" s="8" t="s">
        <v>1276</v>
      </c>
    </row>
    <row r="4655" spans="1:3" x14ac:dyDescent="0.25">
      <c r="A4655" s="8" t="str">
        <f>"2nd International Workshop on Computer Science and Engineering, WCSE 2009"</f>
        <v>2nd International Workshop on Computer Science and Engineering, WCSE 2009</v>
      </c>
      <c r="B4655" s="8" t="str">
        <f>"9780769538815"</f>
        <v>9780769538815</v>
      </c>
      <c r="C4655" s="8" t="s">
        <v>9</v>
      </c>
    </row>
    <row r="4656" spans="1:3" x14ac:dyDescent="0.25">
      <c r="A4656" s="8" t="str">
        <f>"2nd International Workshop on Conducting Empirical Studies in Industry, CESI 2014 - Proceedings"</f>
        <v>2nd International Workshop on Conducting Empirical Studies in Industry, CESI 2014 - Proceedings</v>
      </c>
      <c r="B4656" s="8" t="str">
        <f>"9781450328432"</f>
        <v>9781450328432</v>
      </c>
      <c r="C4656" s="8" t="s">
        <v>1235</v>
      </c>
    </row>
    <row r="4657" spans="1:3" x14ac:dyDescent="0.25">
      <c r="A4657" s="8" t="str">
        <f>"2nd International Workshop on Education Technology and Computer Science, ETCS 2010"</f>
        <v>2nd International Workshop on Education Technology and Computer Science, ETCS 2010</v>
      </c>
      <c r="B4657" s="8" t="str">
        <f>"9780769539874"</f>
        <v>9780769539874</v>
      </c>
      <c r="C4657" s="8" t="s">
        <v>9</v>
      </c>
    </row>
    <row r="4658" spans="1:3" x14ac:dyDescent="0.25">
      <c r="A4658" s="8" t="str">
        <f>"2nd International Workshop on Formal Ontologies Meet Industry, FOMI 2006"</f>
        <v>2nd International Workshop on Formal Ontologies Meet Industry, FOMI 2006</v>
      </c>
      <c r="B4658" s="8" t="str">
        <f>"-"</f>
        <v>-</v>
      </c>
      <c r="C4658" s="8" t="s">
        <v>1464</v>
      </c>
    </row>
    <row r="4659" spans="1:3" x14ac:dyDescent="0.25">
      <c r="A4659" s="8" t="str">
        <f>"2nd International Workshop on Innovative Simulation for Health Innovative Simulation for Health, IWISH 2013, Held at the Int. Multidisciplinary Modeling and Simulation Multiconference, I3M 2012"</f>
        <v>2nd International Workshop on Innovative Simulation for Health Innovative Simulation for Health, IWISH 2013, Held at the Int. Multidisciplinary Modeling and Simulation Multiconference, I3M 2012</v>
      </c>
      <c r="B4659" s="8" t="str">
        <f>"9781629934891"</f>
        <v>9781629934891</v>
      </c>
      <c r="C4659" s="8" t="s">
        <v>1200</v>
      </c>
    </row>
    <row r="4660" spans="1:3" x14ac:dyDescent="0.25">
      <c r="A4660" s="8" t="str">
        <f>"2nd International Workshop on Mobile Opportunistic Networking, MobiOpp 2010"</f>
        <v>2nd International Workshop on Mobile Opportunistic Networking, MobiOpp 2010</v>
      </c>
      <c r="B4660" s="8" t="str">
        <f>"9781605589251"</f>
        <v>9781605589251</v>
      </c>
      <c r="C4660" s="8" t="s">
        <v>21</v>
      </c>
    </row>
    <row r="4661" spans="1:3" x14ac:dyDescent="0.25">
      <c r="A4661" s="8" t="str">
        <f>"2nd International Workshop on Network on Chip Architectures, NoCArc 2009, In conjunction with the 42nd Annual IEEE/ACM International Symposium on Microarchitecture, MICRO42"</f>
        <v>2nd International Workshop on Network on Chip Architectures, NoCArc 2009, In conjunction with the 42nd Annual IEEE/ACM International Symposium on Microarchitecture, MICRO42</v>
      </c>
      <c r="B4661" s="8" t="str">
        <f>"9781605587745"</f>
        <v>9781605587745</v>
      </c>
      <c r="C4661" s="8" t="s">
        <v>21</v>
      </c>
    </row>
    <row r="4662" spans="1:3" x14ac:dyDescent="0.25">
      <c r="A4662" s="8" t="str">
        <f>"2nd International Workshop on Requirements Engineering Visualization, REV 2007"</f>
        <v>2nd International Workshop on Requirements Engineering Visualization, REV 2007</v>
      </c>
      <c r="B4662" s="8" t="str">
        <f>"9780769532486"</f>
        <v>9780769532486</v>
      </c>
      <c r="C4662" s="8" t="s">
        <v>9</v>
      </c>
    </row>
    <row r="4663" spans="1:3" x14ac:dyDescent="0.25">
      <c r="A4663" s="8" t="str">
        <f>"2nd International Workshop on Service-Oriented Computing: Consequences for Engineering Requirements, SOCCER'06"</f>
        <v>2nd International Workshop on Service-Oriented Computing: Consequences for Engineering Requirements, SOCCER'06</v>
      </c>
      <c r="B4663" s="8" t="str">
        <f>"9780769527154"</f>
        <v>9780769527154</v>
      </c>
      <c r="C4663" s="8" t="s">
        <v>9</v>
      </c>
    </row>
    <row r="4664" spans="1:3" x14ac:dyDescent="0.25">
      <c r="A4664" s="8" t="str">
        <f>"2nd International Workshop on Simulation for Energy, Sustainable Development and Environment, SESDE 2014"</f>
        <v>2nd International Workshop on Simulation for Energy, Sustainable Development and Environment, SESDE 2014</v>
      </c>
      <c r="B4664" s="8" t="str">
        <f>"9788897999362"</f>
        <v>9788897999362</v>
      </c>
      <c r="C4664" s="8" t="s">
        <v>1256</v>
      </c>
    </row>
    <row r="4665" spans="1:3" x14ac:dyDescent="0.25">
      <c r="A4665" s="8" t="str">
        <f>"2nd International Workshop on XQuery Implementation, Experience and Perspectives, XIME-P 2005"</f>
        <v>2nd International Workshop on XQuery Implementation, Experience and Perspectives, XIME-P 2005</v>
      </c>
      <c r="B4665" s="8" t="str">
        <f>"-"</f>
        <v>-</v>
      </c>
      <c r="C4665" s="8" t="s">
        <v>1235</v>
      </c>
    </row>
    <row r="4666" spans="1:3" x14ac:dyDescent="0.25">
      <c r="A4666" s="8" t="str">
        <f>"2nd Int'l. Workshop on Automated Specification and Verification of Web Systems, WWV'06"</f>
        <v>2nd Int'l. Workshop on Automated Specification and Verification of Web Systems, WWV'06</v>
      </c>
      <c r="B4666" s="8" t="str">
        <f>"9780769528267"</f>
        <v>9780769528267</v>
      </c>
      <c r="C4666" s="8" t="s">
        <v>9</v>
      </c>
    </row>
    <row r="4667" spans="1:3" x14ac:dyDescent="0.25">
      <c r="A4667" s="8" t="str">
        <f>"2nd Joint US-Canada Conference on Composites - American Society for Composites, 26th Annual Technical Conference: Canadian Association for Composite Structures and Materials"</f>
        <v>2nd Joint US-Canada Conference on Composites - American Society for Composites, 26th Annual Technical Conference: Canadian Association for Composite Structures and Materials</v>
      </c>
      <c r="B4667" s="8" t="str">
        <f>"-"</f>
        <v>-</v>
      </c>
      <c r="C4667" s="8" t="s">
        <v>757</v>
      </c>
    </row>
    <row r="4668" spans="1:3" x14ac:dyDescent="0.25">
      <c r="A4668" s="8" t="str">
        <f>"2nd Linguistic Annotation Workshop, LAW 2008 - Held in Conjunction with LREC 2008"</f>
        <v>2nd Linguistic Annotation Workshop, LAW 2008 - Held in Conjunction with LREC 2008</v>
      </c>
      <c r="B4668" s="8" t="str">
        <f>"-"</f>
        <v>-</v>
      </c>
      <c r="C4668" s="8" t="s">
        <v>554</v>
      </c>
    </row>
    <row r="4669" spans="1:3" x14ac:dyDescent="0.25">
      <c r="A4669" s="8" t="str">
        <f>"2nd Microwave and Radar Week in Poland - International Radar Symposium, IRS 2006, Proceedings"</f>
        <v>2nd Microwave and Radar Week in Poland - International Radar Symposium, IRS 2006, Proceedings</v>
      </c>
      <c r="B4669" s="8" t="str">
        <f>"9788372076212"</f>
        <v>9788372076212</v>
      </c>
      <c r="C4669" s="8" t="s">
        <v>9</v>
      </c>
    </row>
    <row r="4670" spans="1:3" x14ac:dyDescent="0.25">
      <c r="A4670" s="8" t="str">
        <f>"2nd Middle East Conference on Antennas and Propagation, MECAP 2013"</f>
        <v>2nd Middle East Conference on Antennas and Propagation, MECAP 2013</v>
      </c>
      <c r="B4670" s="8" t="str">
        <f>"9781479912780"</f>
        <v>9781479912780</v>
      </c>
      <c r="C4670" s="8" t="s">
        <v>9</v>
      </c>
    </row>
    <row r="4671" spans="1:3" x14ac:dyDescent="0.25">
      <c r="A4671" s="8" t="str">
        <f>"2nd North African/ Mediterranean Petroleum and Geosciences Conference and Exhibition"</f>
        <v>2nd North African/ Mediterranean Petroleum and Geosciences Conference and Exhibition</v>
      </c>
      <c r="B4671" s="8" t="str">
        <f>"-"</f>
        <v>-</v>
      </c>
      <c r="C4671" s="8" t="s">
        <v>1251</v>
      </c>
    </row>
    <row r="4672" spans="1:3" x14ac:dyDescent="0.25">
      <c r="A4672" s="8" t="str">
        <f>"2nd Region 8 IEEE Conference on the History of Telecommunications: A Century of Broadcasting, HISTELCON 2010 - Conference Proceedings"</f>
        <v>2nd Region 8 IEEE Conference on the History of Telecommunications: A Century of Broadcasting, HISTELCON 2010 - Conference Proceedings</v>
      </c>
      <c r="B4672" s="8" t="str">
        <f>"9781424474516"</f>
        <v>9781424474516</v>
      </c>
      <c r="C4672" s="8" t="s">
        <v>9</v>
      </c>
    </row>
    <row r="4673" spans="1:3" x14ac:dyDescent="0.25">
      <c r="A4673" s="8" t="str">
        <f>"2nd SIGMOD PhD Workshop on Innovative Database Research, IDAR"</f>
        <v>2nd SIGMOD PhD Workshop on Innovative Database Research, IDAR</v>
      </c>
      <c r="B4673" s="8" t="str">
        <f>"9781605582115"</f>
        <v>9781605582115</v>
      </c>
      <c r="C4673" s="8" t="s">
        <v>21</v>
      </c>
    </row>
    <row r="4674" spans="1:3" x14ac:dyDescent="0.25">
      <c r="A4674" s="8" t="str">
        <f>"2nd Symposium on Nature-Inspired Computing and Applications, NICA 2013 - AISB Convention 2013"</f>
        <v>2nd Symposium on Nature-Inspired Computing and Applications, NICA 2013 - AISB Convention 2013</v>
      </c>
      <c r="B4674" s="8" t="str">
        <f>"9781908187376"</f>
        <v>9781908187376</v>
      </c>
      <c r="C4674" s="8" t="s">
        <v>1465</v>
      </c>
    </row>
    <row r="4675" spans="1:3" x14ac:dyDescent="0.25">
      <c r="A4675" s="8" t="str">
        <f>"2nd Twente Data Management Workshop on Uncertainty in Databases, TDM'06"</f>
        <v>2nd Twente Data Management Workshop on Uncertainty in Databases, TDM'06</v>
      </c>
      <c r="B4675" s="8" t="str">
        <f>"-"</f>
        <v>-</v>
      </c>
      <c r="C4675" s="8" t="s">
        <v>314</v>
      </c>
    </row>
    <row r="4676" spans="1:3" x14ac:dyDescent="0.25">
      <c r="A4676" s="8" t="str">
        <f>"2nd Workshop on Dependable Distributed Data Management, WDDDM'08 - Affiliated with EuroSys 2008"</f>
        <v>2nd Workshop on Dependable Distributed Data Management, WDDDM'08 - Affiliated with EuroSys 2008</v>
      </c>
      <c r="B4676" s="8" t="str">
        <f>"9781605581217"</f>
        <v>9781605581217</v>
      </c>
      <c r="C4676" s="8" t="s">
        <v>21</v>
      </c>
    </row>
    <row r="4677" spans="1:3" x14ac:dyDescent="0.25">
      <c r="A4677" s="8" t="str">
        <f>"2nd Workshop on Human Aspects of Software Engineering, HAoSE 2010 - SPLASH 2010 Workshop Summary"</f>
        <v>2nd Workshop on Human Aspects of Software Engineering, HAoSE 2010 - SPLASH 2010 Workshop Summary</v>
      </c>
      <c r="B4677" s="8" t="str">
        <f>"9781450305433"</f>
        <v>9781450305433</v>
      </c>
      <c r="C4677" s="8" t="s">
        <v>21</v>
      </c>
    </row>
    <row r="4678" spans="1:3" x14ac:dyDescent="0.25">
      <c r="A4678" s="8" t="str">
        <f>"2nd Workshop on Hyperspectral Image and Signal Processing: Evolution in Remote Sensing, WHISPERS 2010 - Workshop Program"</f>
        <v>2nd Workshop on Hyperspectral Image and Signal Processing: Evolution in Remote Sensing, WHISPERS 2010 - Workshop Program</v>
      </c>
      <c r="B4678" s="8" t="str">
        <f>"9781424489077"</f>
        <v>9781424489077</v>
      </c>
      <c r="C4678" s="8" t="s">
        <v>9</v>
      </c>
    </row>
    <row r="4679" spans="1:3" x14ac:dyDescent="0.25">
      <c r="A4679" s="8" t="str">
        <f>"2nd Workshop on Mutation Analysis (Mutation 2006 - ISSRE Workshops 2006), MUTATION'06"</f>
        <v>2nd Workshop on Mutation Analysis (Mutation 2006 - ISSRE Workshops 2006), MUTATION'06</v>
      </c>
      <c r="B4679" s="8" t="str">
        <f>"9780769528977"</f>
        <v>9780769528977</v>
      </c>
      <c r="C4679" s="8" t="s">
        <v>9</v>
      </c>
    </row>
    <row r="4680" spans="1:3" x14ac:dyDescent="0.25">
      <c r="A4680" s="8" t="str">
        <f>"2nd Workshop on Parallel Programming for Analytics Applications, PPAA 2015 - Proceedings"</f>
        <v>2nd Workshop on Parallel Programming for Analytics Applications, PPAA 2015 - Proceedings</v>
      </c>
      <c r="B4680" s="8" t="str">
        <f>"9781450334051"</f>
        <v>9781450334051</v>
      </c>
      <c r="C4680" s="8" t="s">
        <v>1235</v>
      </c>
    </row>
    <row r="4681" spans="1:3" x14ac:dyDescent="0.25">
      <c r="A4681" s="8" t="str">
        <f>"2nd Workshop on Secure Network Protocols, NPSec"</f>
        <v>2nd Workshop on Secure Network Protocols, NPSec</v>
      </c>
      <c r="B4681" s="8" t="str">
        <f>"9781424407736"</f>
        <v>9781424407736</v>
      </c>
      <c r="C4681" s="8" t="s">
        <v>9</v>
      </c>
    </row>
    <row r="4682" spans="1:3" x14ac:dyDescent="0.25">
      <c r="A4682" s="8" t="str">
        <f>"2nd Workshop on System-level Virtualization for High Performance Computing, HPCVirt 2008, held in conjunction with EuroSys 2008"</f>
        <v>2nd Workshop on System-level Virtualization for High Performance Computing, HPCVirt 2008, held in conjunction with EuroSys 2008</v>
      </c>
      <c r="B4682" s="8" t="str">
        <f>"9781605581200"</f>
        <v>9781605581200</v>
      </c>
      <c r="C4682" s="8" t="s">
        <v>21</v>
      </c>
    </row>
    <row r="4683" spans="1:3" x14ac:dyDescent="0.25">
      <c r="A4683" s="8" t="str">
        <f>"2nd Workshop on Tar Mats and Heavy Oil: Nuisance or Resources?"</f>
        <v>2nd Workshop on Tar Mats and Heavy Oil: Nuisance or Resources?</v>
      </c>
      <c r="B4683" s="8" t="str">
        <f>"-"</f>
        <v>-</v>
      </c>
      <c r="C4683" s="8" t="s">
        <v>1251</v>
      </c>
    </row>
    <row r="4684" spans="1:3" x14ac:dyDescent="0.25">
      <c r="A4684" s="8" t="str">
        <f>"2nd Workshop on Teaching Photonics at Egyptian Engineering Faculties and Institutes"</f>
        <v>2nd Workshop on Teaching Photonics at Egyptian Engineering Faculties and Institutes</v>
      </c>
      <c r="B4684" s="8" t="str">
        <f>"9780780362567"</f>
        <v>9780780362567</v>
      </c>
      <c r="C4684" s="8" t="s">
        <v>105</v>
      </c>
    </row>
    <row r="4685" spans="1:3" x14ac:dyDescent="0.25">
      <c r="A4685" s="8" t="str">
        <f>"2nd World Congress on Industrial Process Tomography"</f>
        <v>2nd World Congress on Industrial Process Tomography</v>
      </c>
      <c r="B4685" s="8" t="str">
        <f>"9780853163183"</f>
        <v>9780853163183</v>
      </c>
      <c r="C4685" s="8" t="s">
        <v>1328</v>
      </c>
    </row>
    <row r="4686" spans="1:3" x14ac:dyDescent="0.25">
      <c r="A4686" s="8" t="s">
        <v>1466</v>
      </c>
      <c r="B4686" s="8" t="str">
        <f>"9783885791935"</f>
        <v>9783885791935</v>
      </c>
      <c r="C4686" s="8" t="s">
        <v>833</v>
      </c>
    </row>
    <row r="4687" spans="1:3" x14ac:dyDescent="0.25">
      <c r="A4687" s="8" t="str">
        <f>"30th AIAA Applied Aerodynamics Conference 2012"</f>
        <v>30th AIAA Applied Aerodynamics Conference 2012</v>
      </c>
      <c r="B4687" s="8" t="str">
        <f>"9781624101854"</f>
        <v>9781624101854</v>
      </c>
      <c r="C4687" s="8" t="s">
        <v>104</v>
      </c>
    </row>
    <row r="4688" spans="1:3" x14ac:dyDescent="0.25">
      <c r="A4688" s="8" t="str">
        <f>"30th Annual conference on Australian Society for Computers in Learning in Tertiary Education, ASCILITE 2013"</f>
        <v>30th Annual conference on Australian Society for Computers in Learning in Tertiary Education, ASCILITE 2013</v>
      </c>
      <c r="B4688" s="8" t="str">
        <f>"9781741384031"</f>
        <v>9781741384031</v>
      </c>
      <c r="C4688" s="8" t="s">
        <v>1467</v>
      </c>
    </row>
    <row r="4689" spans="1:3" x14ac:dyDescent="0.25">
      <c r="A4689" s="8" t="str">
        <f>"30th Annual International Pittsburgh Coal Conference 2013, PCC 2013"</f>
        <v>30th Annual International Pittsburgh Coal Conference 2013, PCC 2013</v>
      </c>
      <c r="B4689" s="8" t="str">
        <f>"9781629934389"</f>
        <v>9781629934389</v>
      </c>
      <c r="C4689" s="8" t="s">
        <v>1414</v>
      </c>
    </row>
    <row r="4690" spans="1:3" x14ac:dyDescent="0.25">
      <c r="A4690" s="8" t="str">
        <f>"30th Annual National Conference of the American Society for Engineering Management 2009, ASEM 2009"</f>
        <v>30th Annual National Conference of the American Society for Engineering Management 2009, ASEM 2009</v>
      </c>
      <c r="B4690" s="8" t="str">
        <f>"9781617381058"</f>
        <v>9781617381058</v>
      </c>
      <c r="C4690" s="8" t="s">
        <v>1385</v>
      </c>
    </row>
    <row r="4691" spans="1:3" x14ac:dyDescent="0.25">
      <c r="A4691" s="8" t="str">
        <f>"30th Asian Conference on Remote Sensing 2009, ACRS 2009"</f>
        <v>30th Asian Conference on Remote Sensing 2009, ACRS 2009</v>
      </c>
      <c r="B4691" s="8" t="str">
        <f>"9781615679843"</f>
        <v>9781615679843</v>
      </c>
      <c r="C4691" s="8" t="s">
        <v>1448</v>
      </c>
    </row>
    <row r="4692" spans="1:3" x14ac:dyDescent="0.25">
      <c r="A4692" s="8" t="str">
        <f>"30th Australasian Transport Research Forum"</f>
        <v>30th Australasian Transport Research Forum</v>
      </c>
      <c r="B4692" s="8" t="str">
        <f>"-"</f>
        <v>-</v>
      </c>
      <c r="C4692" s="8" t="s">
        <v>1451</v>
      </c>
    </row>
    <row r="4693" spans="1:3" x14ac:dyDescent="0.25">
      <c r="A4693" s="8" t="str">
        <f>"30th Center for Chemical Process Safety International Conference 2015 - Topical Conference at the 2015 AIChE Spring Meeting and 11th Global Congress on Process Safety"</f>
        <v>30th Center for Chemical Process Safety International Conference 2015 - Topical Conference at the 2015 AIChE Spring Meeting and 11th Global Congress on Process Safety</v>
      </c>
      <c r="B4693" s="8" t="str">
        <f>"9781510806849"</f>
        <v>9781510806849</v>
      </c>
      <c r="C4693" s="8" t="s">
        <v>1219</v>
      </c>
    </row>
    <row r="4694" spans="1:3" x14ac:dyDescent="0.25">
      <c r="A4694" s="8" t="str">
        <f>"30th Conference of the International Precious Metals Institute 2006 - Precious Metals a Global View: Innovation, Technology, Regulatory Compliance and Metal Markets"</f>
        <v>30th Conference of the International Precious Metals Institute 2006 - Precious Metals a Global View: Innovation, Technology, Regulatory Compliance and Metal Markets</v>
      </c>
      <c r="B4694" s="8" t="str">
        <f>"9781604237443"</f>
        <v>9781604237443</v>
      </c>
      <c r="C4694" s="8" t="s">
        <v>1454</v>
      </c>
    </row>
    <row r="4695" spans="1:3" x14ac:dyDescent="0.25">
      <c r="A4695" s="8" t="str">
        <f>"30th European Rotorcraft Forum"</f>
        <v>30th European Rotorcraft Forum</v>
      </c>
      <c r="B4695" s="8" t="str">
        <f>"-"</f>
        <v>-</v>
      </c>
      <c r="C4695" s="8" t="s">
        <v>1468</v>
      </c>
    </row>
    <row r="4696" spans="1:3" x14ac:dyDescent="0.25">
      <c r="A4696" s="8" t="str">
        <f>"30th International Battery Seminar and Exhibit 2013: Primary and Secondary Batteries - Other Technologies"</f>
        <v>30th International Battery Seminar and Exhibit 2013: Primary and Secondary Batteries - Other Technologies</v>
      </c>
      <c r="B4696" s="8" t="str">
        <f>"9781627489584"</f>
        <v>9781627489584</v>
      </c>
      <c r="C4696" s="8" t="s">
        <v>1469</v>
      </c>
    </row>
    <row r="4697" spans="1:3" x14ac:dyDescent="0.25">
      <c r="A4697" s="8" t="str">
        <f>"30th International Conference on Machine Learning, ICML 2013"</f>
        <v>30th International Conference on Machine Learning, ICML 2013</v>
      </c>
      <c r="B4697" s="8" t="str">
        <f>"9781629933061"</f>
        <v>9781629933061</v>
      </c>
      <c r="C4697" s="8" t="s">
        <v>1470</v>
      </c>
    </row>
    <row r="4698" spans="1:3" x14ac:dyDescent="0.25">
      <c r="A4698" s="8" t="str">
        <f>"30th International Congress on Applications of Lasers and Electro-Optics, ICALEO 2011"</f>
        <v>30th International Congress on Applications of Lasers and Electro-Optics, ICALEO 2011</v>
      </c>
      <c r="B4698" s="8" t="str">
        <f>"-"</f>
        <v>-</v>
      </c>
      <c r="C4698" s="8" t="s">
        <v>723</v>
      </c>
    </row>
    <row r="4699" spans="1:3" x14ac:dyDescent="0.25">
      <c r="A4699" s="8" t="str">
        <f>"30th International Free Electron Laser Conference, FEL 2008"</f>
        <v>30th International Free Electron Laser Conference, FEL 2008</v>
      </c>
      <c r="B4699" s="8" t="str">
        <f>"-"</f>
        <v>-</v>
      </c>
      <c r="C4699" s="8" t="s">
        <v>1359</v>
      </c>
    </row>
    <row r="4700" spans="1:3" x14ac:dyDescent="0.25">
      <c r="A4700" s="8" t="str">
        <f>"30th International No-Dig Conference and Exhibition 2012, No-Dig Sao Paulo 2012"</f>
        <v>30th International No-Dig Conference and Exhibition 2012, No-Dig Sao Paulo 2012</v>
      </c>
      <c r="B4700" s="8" t="str">
        <f>"9781622769056"</f>
        <v>9781622769056</v>
      </c>
      <c r="C4700" s="8" t="s">
        <v>1381</v>
      </c>
    </row>
    <row r="4701" spans="1:3" x14ac:dyDescent="0.25">
      <c r="A4701" s="8" t="str">
        <f>"30th ISES Biennial Solar World Congress 2011, SWC 2011"</f>
        <v>30th ISES Biennial Solar World Congress 2011, SWC 2011</v>
      </c>
      <c r="B4701" s="8" t="str">
        <f>"9781618393647"</f>
        <v>9781618393647</v>
      </c>
      <c r="C4701" s="8" t="s">
        <v>1455</v>
      </c>
    </row>
    <row r="4702" spans="1:3" x14ac:dyDescent="0.25">
      <c r="A4702" s="8" t="str">
        <f>"30th Physics in Collision Symposium, PIC 2010"</f>
        <v>30th Physics in Collision Symposium, PIC 2010</v>
      </c>
      <c r="B4702" s="8" t="str">
        <f>"-"</f>
        <v>-</v>
      </c>
      <c r="C4702" s="8" t="s">
        <v>1471</v>
      </c>
    </row>
    <row r="4703" spans="1:3" x14ac:dyDescent="0.25">
      <c r="A4703" s="8" t="str">
        <f>"30th West Coast Energy Management Congress 2012, EMC 2012"</f>
        <v>30th West Coast Energy Management Congress 2012, EMC 2012</v>
      </c>
      <c r="B4703" s="8" t="str">
        <f>"9781622760954"</f>
        <v>9781622760954</v>
      </c>
      <c r="C4703" s="8" t="s">
        <v>1456</v>
      </c>
    </row>
    <row r="4704" spans="1:3" x14ac:dyDescent="0.25">
      <c r="A4704" s="8" t="str">
        <f>"31st AIAA Aerodynamic Measurement Technology and Ground Testing Conference"</f>
        <v>31st AIAA Aerodynamic Measurement Technology and Ground Testing Conference</v>
      </c>
      <c r="B4704" s="8" t="str">
        <f>"9781624103643"</f>
        <v>9781624103643</v>
      </c>
      <c r="C4704" s="8" t="s">
        <v>1258</v>
      </c>
    </row>
    <row r="4705" spans="1:3" x14ac:dyDescent="0.25">
      <c r="A4705" s="8" t="str">
        <f>"31st AIAA Applied Aerodynamics Conference"</f>
        <v>31st AIAA Applied Aerodynamics Conference</v>
      </c>
      <c r="B4705" s="8" t="str">
        <f>"-"</f>
        <v>-</v>
      </c>
      <c r="C4705" s="8" t="s">
        <v>104</v>
      </c>
    </row>
    <row r="4706" spans="1:3" x14ac:dyDescent="0.25">
      <c r="A4706" s="8" t="str">
        <f>"31st AIAA International Communications Satellite Systems Conference, ICSSC 2013"</f>
        <v>31st AIAA International Communications Satellite Systems Conference, ICSSC 2013</v>
      </c>
      <c r="B4706" s="8" t="str">
        <f>"9781624102448"</f>
        <v>9781624102448</v>
      </c>
      <c r="C4706" s="8" t="s">
        <v>104</v>
      </c>
    </row>
    <row r="4707" spans="1:3" x14ac:dyDescent="0.25">
      <c r="A4707" s="8" t="str">
        <f>"31st Annual ACM SIGUCCS Fall Conference (SIGUSS Conference Proceedings"</f>
        <v>31st Annual ACM SIGUCCS Fall Conference (SIGUSS Conference Proceedings</v>
      </c>
      <c r="B4707" s="8" t="str">
        <f>"9781581136654"</f>
        <v>9781581136654</v>
      </c>
      <c r="C4707" s="8" t="s">
        <v>21</v>
      </c>
    </row>
    <row r="4708" spans="1:3" x14ac:dyDescent="0.25">
      <c r="A4708" s="8" t="str">
        <f>"31st Annual Australian Society of Sugar Cane Technologists Conference 2009, ASSCT 2009"</f>
        <v>31st Annual Australian Society of Sugar Cane Technologists Conference 2009, ASSCT 2009</v>
      </c>
      <c r="B4708" s="8" t="str">
        <f>"9781615674022"</f>
        <v>9781615674022</v>
      </c>
      <c r="C4708" s="8" t="s">
        <v>1472</v>
      </c>
    </row>
    <row r="4709" spans="1:3" x14ac:dyDescent="0.25">
      <c r="A4709" s="8" t="str">
        <f>"31st Annual Conference of the International Precious Metals Institute 2007 and Petroleum Refining Seminar 2006"</f>
        <v>31st Annual Conference of the International Precious Metals Institute 2007 and Petroleum Refining Seminar 2006</v>
      </c>
      <c r="B4709" s="8" t="str">
        <f>"9781604233940"</f>
        <v>9781604233940</v>
      </c>
      <c r="C4709" s="8" t="s">
        <v>1454</v>
      </c>
    </row>
    <row r="4710" spans="1:3" x14ac:dyDescent="0.25">
      <c r="A4710" s="8" t="str">
        <f>"31st Annual International Pittsburgh Coal Conference: Coal - Energy, Environment and Sustainable Development, PCC 2014"</f>
        <v>31st Annual International Pittsburgh Coal Conference: Coal - Energy, Environment and Sustainable Development, PCC 2014</v>
      </c>
      <c r="B4710" s="8" t="str">
        <f>"-"</f>
        <v>-</v>
      </c>
      <c r="C4710" s="8" t="s">
        <v>1414</v>
      </c>
    </row>
    <row r="4711" spans="1:3" x14ac:dyDescent="0.25">
      <c r="A4711" s="8" t="str">
        <f>"31st Annual National Conference of the American Society for Engineering Management 2010, ASEM 2010"</f>
        <v>31st Annual National Conference of the American Society for Engineering Management 2010, ASEM 2010</v>
      </c>
      <c r="B4711" s="8" t="str">
        <f>"9781617824449"</f>
        <v>9781617824449</v>
      </c>
      <c r="C4711" s="8" t="s">
        <v>1385</v>
      </c>
    </row>
    <row r="4712" spans="1:3" x14ac:dyDescent="0.25">
      <c r="A4712" s="8" t="str">
        <f>"31st Asian Conference on Remote Sensing 2010, ACRS 2010"</f>
        <v>31st Asian Conference on Remote Sensing 2010, ACRS 2010</v>
      </c>
      <c r="B4712" s="8" t="str">
        <f>"9781617823978"</f>
        <v>9781617823978</v>
      </c>
      <c r="C4712" s="8" t="s">
        <v>1448</v>
      </c>
    </row>
    <row r="4713" spans="1:3" x14ac:dyDescent="0.25">
      <c r="A4713" s="8" t="str">
        <f>"31st Australasian Transport Research Forum, ATRF 2008"</f>
        <v>31st Australasian Transport Research Forum, ATRF 2008</v>
      </c>
      <c r="B4713" s="8" t="str">
        <f>"-"</f>
        <v>-</v>
      </c>
      <c r="C4713" s="8" t="s">
        <v>1451</v>
      </c>
    </row>
    <row r="4714" spans="1:3" x14ac:dyDescent="0.25">
      <c r="A4714" s="8" t="str">
        <f>"31st European Rotorcraft Forum"</f>
        <v>31st European Rotorcraft Forum</v>
      </c>
      <c r="B4714" s="8" t="str">
        <f>"-"</f>
        <v>-</v>
      </c>
      <c r="C4714" s="8" t="s">
        <v>1468</v>
      </c>
    </row>
    <row r="4715" spans="1:3" x14ac:dyDescent="0.25">
      <c r="A4715" s="8" t="str">
        <f>"31st Hydrology and Water Resources Symposium 2008 and the 4th International Conference on Water Resources and Environment Research 2008, WATER DOWN UNDER 2008"</f>
        <v>31st Hydrology and Water Resources Symposium 2008 and the 4th International Conference on Water Resources and Environment Research 2008, WATER DOWN UNDER 2008</v>
      </c>
      <c r="B4715" s="8" t="str">
        <f>"9781622764310"</f>
        <v>9781622764310</v>
      </c>
      <c r="C4715" s="8" t="s">
        <v>1271</v>
      </c>
    </row>
    <row r="4716" spans="1:3" x14ac:dyDescent="0.25">
      <c r="A4716" s="8" t="str">
        <f>"31st International Battery Seminar and Exhibit 2014: Primary and Secondary Batteries - Other Technologies"</f>
        <v>31st International Battery Seminar and Exhibit 2014: Primary and Secondary Batteries - Other Technologies</v>
      </c>
      <c r="B4716" s="8" t="str">
        <f>"9781634391399"</f>
        <v>9781634391399</v>
      </c>
      <c r="C4716" s="8" t="s">
        <v>1440</v>
      </c>
    </row>
    <row r="4717" spans="1:3" x14ac:dyDescent="0.25">
      <c r="A4717" s="8" t="str">
        <f>"31st International Conference Computer Measurement Group"</f>
        <v>31st International Conference Computer Measurement Group</v>
      </c>
      <c r="B4717" s="8" t="str">
        <f>"-"</f>
        <v>-</v>
      </c>
      <c r="C4717" s="8" t="s">
        <v>1473</v>
      </c>
    </row>
    <row r="4718" spans="1:3" x14ac:dyDescent="0.25">
      <c r="A4718" s="8" t="str">
        <f>"31st International Conference on Cement Microscopy 2009"</f>
        <v>31st International Conference on Cement Microscopy 2009</v>
      </c>
      <c r="B4718" s="8" t="str">
        <f>"9781615670864"</f>
        <v>9781615670864</v>
      </c>
      <c r="C4718" s="8" t="s">
        <v>1444</v>
      </c>
    </row>
    <row r="4719" spans="1:3" x14ac:dyDescent="0.25">
      <c r="A4719" s="8" t="str">
        <f>"31st International Conference on Machine Learning, ICML 2014"</f>
        <v>31st International Conference on Machine Learning, ICML 2014</v>
      </c>
      <c r="B4719" s="8" t="str">
        <f>"-"</f>
        <v>-</v>
      </c>
      <c r="C4719" s="8" t="s">
        <v>1470</v>
      </c>
    </row>
    <row r="4720" spans="1:3" x14ac:dyDescent="0.25">
      <c r="A4720" s="8" t="str">
        <f>"31st International Cosmic Ray Conference, ICRC 2009"</f>
        <v>31st International Cosmic Ray Conference, ICRC 2009</v>
      </c>
      <c r="B4720" s="8" t="str">
        <f>"9788392905714"</f>
        <v>9788392905714</v>
      </c>
      <c r="C4720" s="8" t="s">
        <v>1474</v>
      </c>
    </row>
    <row r="4721" spans="1:3" x14ac:dyDescent="0.25">
      <c r="A4721" s="8" t="str">
        <f>"31st International Symposium on Automation and Robotics in Construction and Mining, ISARC 2014 - Proceedings"</f>
        <v>31st International Symposium on Automation and Robotics in Construction and Mining, ISARC 2014 - Proceedings</v>
      </c>
      <c r="B4721" s="8" t="str">
        <f>"9780646597119"</f>
        <v>9780646597119</v>
      </c>
      <c r="C4721" s="8" t="s">
        <v>1475</v>
      </c>
    </row>
    <row r="4722" spans="1:3" x14ac:dyDescent="0.25">
      <c r="A4722" s="8" t="str">
        <f>"31st IULTCS Congress"</f>
        <v>31st IULTCS Congress</v>
      </c>
      <c r="B4722" s="8" t="str">
        <f>"-"</f>
        <v>-</v>
      </c>
      <c r="C4722" s="8" t="s">
        <v>1476</v>
      </c>
    </row>
    <row r="4723" spans="1:3" x14ac:dyDescent="0.25">
      <c r="A4723" s="8" t="str">
        <f>"31st Plasmadynamics and Lasers Conference"</f>
        <v>31st Plasmadynamics and Lasers Conference</v>
      </c>
      <c r="B4723" s="8" t="str">
        <f>"-"</f>
        <v>-</v>
      </c>
      <c r="C4723" s="8" t="s">
        <v>104</v>
      </c>
    </row>
    <row r="4724" spans="1:3" x14ac:dyDescent="0.25">
      <c r="A4724" s="8" t="str">
        <f>"31st West Coast Energy Management Congress, EMC 2013"</f>
        <v>31st West Coast Energy Management Congress, EMC 2013</v>
      </c>
      <c r="B4724" s="8" t="str">
        <f>"9781627488136"</f>
        <v>9781627488136</v>
      </c>
      <c r="C4724" s="8" t="s">
        <v>1425</v>
      </c>
    </row>
    <row r="4725" spans="1:3" x14ac:dyDescent="0.25">
      <c r="A4725" s="8" t="str">
        <f>"32nd AIAA Fluid Dynamics Conference and Exhibit"</f>
        <v>32nd AIAA Fluid Dynamics Conference and Exhibit</v>
      </c>
      <c r="B4725" s="8" t="str">
        <f>"9781624101137"</f>
        <v>9781624101137</v>
      </c>
      <c r="C4725" s="8" t="s">
        <v>104</v>
      </c>
    </row>
    <row r="4726" spans="1:3" x14ac:dyDescent="0.25">
      <c r="A4726" s="8" t="str">
        <f>"32nd AIAA Plasmadynamics and Lasers Conference"</f>
        <v>32nd AIAA Plasmadynamics and Lasers Conference</v>
      </c>
      <c r="B4726" s="8" t="str">
        <f>"-"</f>
        <v>-</v>
      </c>
      <c r="C4726" s="8" t="s">
        <v>104</v>
      </c>
    </row>
    <row r="4727" spans="1:3" x14ac:dyDescent="0.25">
      <c r="A4727" s="8" t="str">
        <f>"32nd Annual Conference of the Australian Society of Sugar Cane Technologists 2010, ASSCT 2010"</f>
        <v>32nd Annual Conference of the Australian Society of Sugar Cane Technologists 2010, ASSCT 2010</v>
      </c>
      <c r="B4727" s="8" t="str">
        <f>"9781617388279"</f>
        <v>9781617388279</v>
      </c>
      <c r="C4727" s="8" t="s">
        <v>1472</v>
      </c>
    </row>
    <row r="4728" spans="1:3" x14ac:dyDescent="0.25">
      <c r="A4728" s="8" t="str">
        <f>"32nd Annual IEEE Software Engineering Workshop, SEW-32 2008"</f>
        <v>32nd Annual IEEE Software Engineering Workshop, SEW-32 2008</v>
      </c>
      <c r="B4728" s="8" t="str">
        <f>"9780769536170"</f>
        <v>9780769536170</v>
      </c>
      <c r="C4728" s="8" t="s">
        <v>9</v>
      </c>
    </row>
    <row r="4729" spans="1:3" x14ac:dyDescent="0.25">
      <c r="A4729" s="8" t="str">
        <f>"32nd Asian Conference on Remote Sensing 2011, ACRS 2011"</f>
        <v>32nd Asian Conference on Remote Sensing 2011, ACRS 2011</v>
      </c>
      <c r="B4729" s="8" t="str">
        <f>"9781618394972"</f>
        <v>9781618394972</v>
      </c>
      <c r="C4729" s="8" t="s">
        <v>1448</v>
      </c>
    </row>
    <row r="4730" spans="1:3" x14ac:dyDescent="0.25">
      <c r="A4730" s="8" t="str">
        <f>"32nd ASME Wind Energy Symposium"</f>
        <v>32nd ASME Wind Energy Symposium</v>
      </c>
      <c r="B4730" s="8" t="str">
        <f>"-"</f>
        <v>-</v>
      </c>
      <c r="C4730" s="8" t="s">
        <v>104</v>
      </c>
    </row>
    <row r="4731" spans="1:3" x14ac:dyDescent="0.25">
      <c r="A4731" s="8" t="str">
        <f>"32nd Australasian Transport Research Forum, ATRF 2009"</f>
        <v>32nd Australasian Transport Research Forum, ATRF 2009</v>
      </c>
      <c r="B4731" s="8" t="str">
        <f>"-"</f>
        <v>-</v>
      </c>
      <c r="C4731" s="8" t="s">
        <v>1451</v>
      </c>
    </row>
    <row r="4732" spans="1:3" x14ac:dyDescent="0.25">
      <c r="A4732" s="8" t="str">
        <f>"32nd Congress of the International Union of Leather Technologists and Chemist Societies, IULTCS 2013"</f>
        <v>32nd Congress of the International Union of Leather Technologists and Chemist Societies, IULTCS 2013</v>
      </c>
      <c r="B4732" s="8" t="str">
        <f>"9786056402302"</f>
        <v>9786056402302</v>
      </c>
      <c r="C4732" s="8" t="s">
        <v>1477</v>
      </c>
    </row>
    <row r="4733" spans="1:3" x14ac:dyDescent="0.25">
      <c r="A4733" s="8" t="str">
        <f>"32nd EPS Conference on Plasma Physics 2005, EPS 2005, Held with the 8th International Workshop on Fast Ignition of Fusion Targets - Europhysics Conference Abstracts"</f>
        <v>32nd EPS Conference on Plasma Physics 2005, EPS 2005, Held with the 8th International Workshop on Fast Ignition of Fusion Targets - Europhysics Conference Abstracts</v>
      </c>
      <c r="B4733" s="8" t="str">
        <f>"9781622763320"</f>
        <v>9781622763320</v>
      </c>
      <c r="C4733" s="8" t="s">
        <v>1478</v>
      </c>
    </row>
    <row r="4734" spans="1:3" x14ac:dyDescent="0.25">
      <c r="A4734" s="8" t="str">
        <f>"32nd International Conference Computer Measurement Group"</f>
        <v>32nd International Conference Computer Measurement Group</v>
      </c>
      <c r="B4734" s="8" t="str">
        <f>"-"</f>
        <v>-</v>
      </c>
      <c r="C4734" s="8" t="s">
        <v>1473</v>
      </c>
    </row>
    <row r="4735" spans="1:3" x14ac:dyDescent="0.25">
      <c r="A4735" s="8" t="str">
        <f>"32nd International Conference on Cement Microscopy 2010"</f>
        <v>32nd International Conference on Cement Microscopy 2010</v>
      </c>
      <c r="B4735" s="8" t="str">
        <f>"9781617384202"</f>
        <v>9781617384202</v>
      </c>
      <c r="C4735" s="8" t="s">
        <v>1444</v>
      </c>
    </row>
    <row r="4736" spans="1:3" x14ac:dyDescent="0.25">
      <c r="A4736" s="8" t="str">
        <f>"32nd International Precious Metals Institute Annual Conference 2008: Precious Metals and Technology During Volatile Times"</f>
        <v>32nd International Precious Metals Institute Annual Conference 2008: Precious Metals and Technology During Volatile Times</v>
      </c>
      <c r="B4736" s="8" t="str">
        <f>"9781605606095"</f>
        <v>9781605606095</v>
      </c>
      <c r="C4736" s="8" t="s">
        <v>1454</v>
      </c>
    </row>
    <row r="4737" spans="1:3" x14ac:dyDescent="0.25">
      <c r="A4737" s="8" t="str">
        <f>"32nd West Coast Energy Management Congress, EMC 2014"</f>
        <v>32nd West Coast Energy Management Congress, EMC 2014</v>
      </c>
      <c r="B4737" s="8" t="str">
        <f>"9781634391559"</f>
        <v>9781634391559</v>
      </c>
      <c r="C4737" s="8" t="s">
        <v>1425</v>
      </c>
    </row>
    <row r="4738" spans="1:3" x14ac:dyDescent="0.25">
      <c r="A4738" s="8" t="str">
        <f>"33rd AIAA Applied Aerodynamics Conference"</f>
        <v>33rd AIAA Applied Aerodynamics Conference</v>
      </c>
      <c r="B4738" s="8" t="str">
        <f>"9781624103636"</f>
        <v>9781624103636</v>
      </c>
      <c r="C4738" s="8" t="s">
        <v>1258</v>
      </c>
    </row>
    <row r="4739" spans="1:3" x14ac:dyDescent="0.25">
      <c r="A4739" s="8" t="str">
        <f>"33rd AIAA Fluid Dynamics Conference and Exhibit"</f>
        <v>33rd AIAA Fluid Dynamics Conference and Exhibit</v>
      </c>
      <c r="B4739" s="8" t="str">
        <f>"9781624100956"</f>
        <v>9781624100956</v>
      </c>
      <c r="C4739" s="8" t="s">
        <v>104</v>
      </c>
    </row>
    <row r="4740" spans="1:3" x14ac:dyDescent="0.25">
      <c r="A4740" s="8" t="str">
        <f>"33rd AIAA International Communications Satellite Systems Conference and Exhibition, ICSSC 2015"</f>
        <v>33rd AIAA International Communications Satellite Systems Conference and Exhibition, ICSSC 2015</v>
      </c>
      <c r="B4740" s="8" t="str">
        <f>"9781624103759"</f>
        <v>9781624103759</v>
      </c>
      <c r="C4740" s="8" t="s">
        <v>1258</v>
      </c>
    </row>
    <row r="4741" spans="1:3" x14ac:dyDescent="0.25">
      <c r="A4741" s="8" t="str">
        <f>"33rd Annual Conference of the Australian Society of Sugar Cane Technologists 2011, ASSCT 2011"</f>
        <v>33rd Annual Conference of the Australian Society of Sugar Cane Technologists 2011, ASSCT 2011</v>
      </c>
      <c r="B4741" s="8" t="str">
        <f>"9781617829215"</f>
        <v>9781617829215</v>
      </c>
      <c r="C4741" s="8" t="s">
        <v>1472</v>
      </c>
    </row>
    <row r="4742" spans="1:3" x14ac:dyDescent="0.25">
      <c r="A4742" s="8" t="str">
        <f>"33rd Asian Conference on Remote Sensing 2012, ACRS 2012"</f>
        <v>33rd Asian Conference on Remote Sensing 2012, ACRS 2012</v>
      </c>
      <c r="B4742" s="8" t="str">
        <f>"9781622769742"</f>
        <v>9781622769742</v>
      </c>
      <c r="C4742" s="8" t="s">
        <v>1448</v>
      </c>
    </row>
    <row r="4743" spans="1:3" x14ac:dyDescent="0.25">
      <c r="A4743" s="8" t="str">
        <f>"33rd EPS Conference on Plasma Physics 2006, EPS 2006"</f>
        <v>33rd EPS Conference on Plasma Physics 2006, EPS 2006</v>
      </c>
      <c r="B4743" s="8" t="str">
        <f>"9781622763337"</f>
        <v>9781622763337</v>
      </c>
      <c r="C4743" s="8" t="s">
        <v>1478</v>
      </c>
    </row>
    <row r="4744" spans="1:3" x14ac:dyDescent="0.25">
      <c r="A4744" s="8" t="str">
        <f>"33rd European Rotorcraft Forum 2007, ERF33"</f>
        <v>33rd European Rotorcraft Forum 2007, ERF33</v>
      </c>
      <c r="B4744" s="8" t="str">
        <f>"9781617384530"</f>
        <v>9781617384530</v>
      </c>
      <c r="C4744" s="8" t="s">
        <v>1479</v>
      </c>
    </row>
    <row r="4745" spans="1:3" x14ac:dyDescent="0.25">
      <c r="A4745" s="8" t="str">
        <f>"33rd IEEE Sarnoff Symposium 2010, Conference Proceedings"</f>
        <v>33rd IEEE Sarnoff Symposium 2010, Conference Proceedings</v>
      </c>
      <c r="B4745" s="8" t="str">
        <f>"9781424455935"</f>
        <v>9781424455935</v>
      </c>
      <c r="C4745" s="8" t="s">
        <v>9</v>
      </c>
    </row>
    <row r="4746" spans="1:3" x14ac:dyDescent="0.25">
      <c r="A4746" s="8" t="str">
        <f>"33rd International Conference Computer Measurement Group"</f>
        <v>33rd International Conference Computer Measurement Group</v>
      </c>
      <c r="B4746" s="8" t="str">
        <f>"-"</f>
        <v>-</v>
      </c>
      <c r="C4746" s="8" t="s">
        <v>1473</v>
      </c>
    </row>
    <row r="4747" spans="1:3" x14ac:dyDescent="0.25">
      <c r="A4747" s="8" t="str">
        <f>"33rd International Conference on Cement Microscopy 2011"</f>
        <v>33rd International Conference on Cement Microscopy 2011</v>
      </c>
      <c r="B4747" s="8" t="str">
        <f>"9781618390257"</f>
        <v>9781618390257</v>
      </c>
      <c r="C4747" s="8" t="s">
        <v>1444</v>
      </c>
    </row>
    <row r="4748" spans="1:3" x14ac:dyDescent="0.25">
      <c r="A4748" s="8" t="str">
        <f>"33rd International Conference on Environmental Systems, ICES 2003"</f>
        <v>33rd International Conference on Environmental Systems, ICES 2003</v>
      </c>
      <c r="B4748" s="8" t="str">
        <f>"-"</f>
        <v>-</v>
      </c>
      <c r="C4748" s="8" t="s">
        <v>1040</v>
      </c>
    </row>
    <row r="4749" spans="1:3" x14ac:dyDescent="0.25">
      <c r="A4749" s="8" t="str">
        <f>"33rd International Conference on Infrared and Millimeter Waves and the 16th International Conference on Terahertz Electronics, 2008, IRMMW-THz 2008"</f>
        <v>33rd International Conference on Infrared and Millimeter Waves and the 16th International Conference on Terahertz Electronics, 2008, IRMMW-THz 2008</v>
      </c>
      <c r="B4749" s="8" t="str">
        <f>"9781424421206"</f>
        <v>9781424421206</v>
      </c>
      <c r="C4749" s="8" t="s">
        <v>9</v>
      </c>
    </row>
    <row r="4750" spans="1:3" x14ac:dyDescent="0.25">
      <c r="A4750" s="8" t="str">
        <f>"33rd International Precious Metals Institute Annual Conference 2009"</f>
        <v>33rd International Precious Metals Institute Annual Conference 2009</v>
      </c>
      <c r="B4750" s="8" t="str">
        <f>"9781615676170"</f>
        <v>9781615676170</v>
      </c>
      <c r="C4750" s="8" t="s">
        <v>1454</v>
      </c>
    </row>
    <row r="4751" spans="1:3" x14ac:dyDescent="0.25">
      <c r="A4751" s="8" t="str">
        <f>"33rd Plasmadynamics and Lasers Conference"</f>
        <v>33rd Plasmadynamics and Lasers Conference</v>
      </c>
      <c r="B4751" s="8" t="str">
        <f>"9781624101144"</f>
        <v>9781624101144</v>
      </c>
      <c r="C4751" s="8" t="s">
        <v>104</v>
      </c>
    </row>
    <row r="4752" spans="1:3" x14ac:dyDescent="0.25">
      <c r="A4752" s="8" t="str">
        <f>"33rd SLAC Summer Institute on Particle Physics: Gravity in the Quantum World and the Cosmos, SSI 2005"</f>
        <v>33rd SLAC Summer Institute on Particle Physics: Gravity in the Quantum World and the Cosmos, SSI 2005</v>
      </c>
      <c r="B4752" s="8" t="str">
        <f>"-"</f>
        <v>-</v>
      </c>
      <c r="C4752" s="8" t="s">
        <v>1480</v>
      </c>
    </row>
    <row r="4753" spans="1:3" x14ac:dyDescent="0.25">
      <c r="A4753" s="8" t="str">
        <f>"33rd Wind Energy Symposium"</f>
        <v>33rd Wind Energy Symposium</v>
      </c>
      <c r="B4753" s="8" t="str">
        <f>"9781624103445"</f>
        <v>9781624103445</v>
      </c>
      <c r="C4753" s="8" t="s">
        <v>104</v>
      </c>
    </row>
    <row r="4754" spans="1:3" x14ac:dyDescent="0.25">
      <c r="A4754" s="8" t="str">
        <f>"34th AIAA Fluid Dynamics Conference and Exhibit"</f>
        <v>34th AIAA Fluid Dynamics Conference and Exhibit</v>
      </c>
      <c r="B4754" s="8" t="str">
        <f>"9781624100314"</f>
        <v>9781624100314</v>
      </c>
      <c r="C4754" s="8" t="s">
        <v>104</v>
      </c>
    </row>
    <row r="4755" spans="1:3" x14ac:dyDescent="0.25">
      <c r="A4755" s="8" t="str">
        <f>"34th AIAA Plasmadynamics and Lasers Conference"</f>
        <v>34th AIAA Plasmadynamics and Lasers Conference</v>
      </c>
      <c r="B4755" s="8" t="str">
        <f>"9781624100963"</f>
        <v>9781624100963</v>
      </c>
      <c r="C4755" s="8" t="s">
        <v>104</v>
      </c>
    </row>
    <row r="4756" spans="1:3" x14ac:dyDescent="0.25">
      <c r="A4756" s="8" t="str">
        <f>"34th Annual Conference of the Australian Society of Sugar Cane Technologists 2012, ASSCT 2012"</f>
        <v>34th Annual Conference of the Australian Society of Sugar Cane Technologists 2012, ASSCT 2012</v>
      </c>
      <c r="B4756" s="8" t="str">
        <f>"9781622764051"</f>
        <v>9781622764051</v>
      </c>
      <c r="C4756" s="8" t="s">
        <v>1472</v>
      </c>
    </row>
    <row r="4757" spans="1:3" x14ac:dyDescent="0.25">
      <c r="A4757" s="8" t="str">
        <f>"34th EPS Conference on Plasma Physics 2007, EPS 2007 - Europhysics Conference Abstracts"</f>
        <v>34th EPS Conference on Plasma Physics 2007, EPS 2007 - Europhysics Conference Abstracts</v>
      </c>
      <c r="B4757" s="8" t="str">
        <f>"9781622763344"</f>
        <v>9781622763344</v>
      </c>
      <c r="C4757" s="8" t="s">
        <v>1478</v>
      </c>
    </row>
    <row r="4758" spans="1:3" x14ac:dyDescent="0.25">
      <c r="A4758" s="8" t="str">
        <f>"34th European Rotorcraft Forum 2008, ERF34"</f>
        <v>34th European Rotorcraft Forum 2008, ERF34</v>
      </c>
      <c r="B4758" s="8" t="str">
        <f>"9781617821998"</f>
        <v>9781617821998</v>
      </c>
      <c r="C4758" s="8" t="s">
        <v>94</v>
      </c>
    </row>
    <row r="4759" spans="1:3" x14ac:dyDescent="0.25">
      <c r="A4759" s="8" t="str">
        <f>"34th International Conference Computer Measurement Group"</f>
        <v>34th International Conference Computer Measurement Group</v>
      </c>
      <c r="B4759" s="8" t="str">
        <f>"-"</f>
        <v>-</v>
      </c>
      <c r="C4759" s="8" t="s">
        <v>1473</v>
      </c>
    </row>
    <row r="4760" spans="1:3" x14ac:dyDescent="0.25">
      <c r="A4760" s="8" t="str">
        <f>"34th International Conference on Cement Microscopy 2012"</f>
        <v>34th International Conference on Cement Microscopy 2012</v>
      </c>
      <c r="B4760" s="8" t="str">
        <f>"9781622765164"</f>
        <v>9781622765164</v>
      </c>
      <c r="C4760" s="8" t="s">
        <v>1444</v>
      </c>
    </row>
    <row r="4761" spans="1:3" x14ac:dyDescent="0.25">
      <c r="A4761" s="8" t="str">
        <f>"34th International Conference on Environmental Systems, ICES 2004"</f>
        <v>34th International Conference on Environmental Systems, ICES 2004</v>
      </c>
      <c r="B4761" s="8" t="str">
        <f>"-"</f>
        <v>-</v>
      </c>
      <c r="C4761" s="8" t="s">
        <v>1040</v>
      </c>
    </row>
    <row r="4762" spans="1:3" x14ac:dyDescent="0.25">
      <c r="A4762" s="8" t="str">
        <f>"34th International Conference on Infrared, Millimeter, and Terahertz Waves, IRMMW-THz 2009"</f>
        <v>34th International Conference on Infrared, Millimeter, and Terahertz Waves, IRMMW-THz 2009</v>
      </c>
      <c r="B4762" s="8" t="str">
        <f>"9781424454174"</f>
        <v>9781424454174</v>
      </c>
      <c r="C4762" s="8" t="s">
        <v>9</v>
      </c>
    </row>
    <row r="4763" spans="1:3" x14ac:dyDescent="0.25">
      <c r="A4763" s="8" t="str">
        <f>"34th International Meeting on Fundamental Physics from HERA and TEVATRON to the LHC, IMFP 2006"</f>
        <v>34th International Meeting on Fundamental Physics from HERA and TEVATRON to the LHC, IMFP 2006</v>
      </c>
      <c r="B4763" s="8" t="str">
        <f>"-"</f>
        <v>-</v>
      </c>
      <c r="C4763" s="8" t="s">
        <v>259</v>
      </c>
    </row>
    <row r="4764" spans="1:3" x14ac:dyDescent="0.25">
      <c r="A4764" s="8" t="str">
        <f>"34th International Precious Metals Institute Annual Conference 2010"</f>
        <v>34th International Precious Metals Institute Annual Conference 2010</v>
      </c>
      <c r="B4764" s="8" t="str">
        <f>"9781617389788"</f>
        <v>9781617389788</v>
      </c>
      <c r="C4764" s="8" t="s">
        <v>1454</v>
      </c>
    </row>
    <row r="4765" spans="1:3" x14ac:dyDescent="0.25">
      <c r="A4765" s="8" t="str">
        <f>"34th International Symposium on Remote Sensing of Environment - The GEOSS Era: Towards Operational Environmental Monitoring"</f>
        <v>34th International Symposium on Remote Sensing of Environment - The GEOSS Era: Towards Operational Environmental Monitoring</v>
      </c>
      <c r="B4765" s="8" t="str">
        <f>"-"</f>
        <v>-</v>
      </c>
      <c r="C4765" s="8" t="s">
        <v>1481</v>
      </c>
    </row>
    <row r="4766" spans="1:3" x14ac:dyDescent="0.25">
      <c r="A4766" s="8" t="str">
        <f>"34th SLAC Summer Institute on Particle Physics - The Next Frontier: Exploring with the LHC, SSI 2006"</f>
        <v>34th SLAC Summer Institute on Particle Physics - The Next Frontier: Exploring with the LHC, SSI 2006</v>
      </c>
      <c r="B4766" s="8" t="str">
        <f>"-"</f>
        <v>-</v>
      </c>
      <c r="C4766" s="8" t="s">
        <v>1480</v>
      </c>
    </row>
    <row r="4767" spans="1:3" x14ac:dyDescent="0.25">
      <c r="A4767" s="8" t="str">
        <f>"34th Thermophysics Conference"</f>
        <v>34th Thermophysics Conference</v>
      </c>
      <c r="B4767" s="8" t="str">
        <f>"-"</f>
        <v>-</v>
      </c>
      <c r="C4767" s="8" t="s">
        <v>104</v>
      </c>
    </row>
    <row r="4768" spans="1:3" x14ac:dyDescent="0.25">
      <c r="A4768" s="8" t="str">
        <f>"35th AIAA Fluid Dynamics Conference and Exhibit"</f>
        <v>35th AIAA Fluid Dynamics Conference and Exhibit</v>
      </c>
      <c r="B4768" s="8" t="str">
        <f>"9781624100598"</f>
        <v>9781624100598</v>
      </c>
      <c r="C4768" s="8" t="s">
        <v>104</v>
      </c>
    </row>
    <row r="4769" spans="1:3" x14ac:dyDescent="0.25">
      <c r="A4769" s="8" t="str">
        <f>"35th AIAA Plasmadynamics and Lasers Conference"</f>
        <v>35th AIAA Plasmadynamics and Lasers Conference</v>
      </c>
      <c r="B4769" s="8" t="str">
        <f>"9781624100321"</f>
        <v>9781624100321</v>
      </c>
      <c r="C4769" s="8" t="s">
        <v>104</v>
      </c>
    </row>
    <row r="4770" spans="1:3" x14ac:dyDescent="0.25">
      <c r="A4770" s="8" t="str">
        <f>"35th AIAA Thermophysics Conference"</f>
        <v>35th AIAA Thermophysics Conference</v>
      </c>
      <c r="B4770" s="8" t="str">
        <f>"-"</f>
        <v>-</v>
      </c>
      <c r="C4770" s="8" t="s">
        <v>104</v>
      </c>
    </row>
    <row r="4771" spans="1:3" x14ac:dyDescent="0.25">
      <c r="A4771" s="8" t="str">
        <f>"35th Annual Conference of the Australian Society of Sugar Cane Technologists 2013, ASSCT 2013"</f>
        <v>35th Annual Conference of the Australian Society of Sugar Cane Technologists 2013, ASSCT 2013</v>
      </c>
      <c r="B4771" s="8" t="str">
        <f>"9781629939155"</f>
        <v>9781629939155</v>
      </c>
      <c r="C4771" s="8" t="s">
        <v>1472</v>
      </c>
    </row>
    <row r="4772" spans="1:3" x14ac:dyDescent="0.25">
      <c r="A4772" s="8" t="str">
        <f>"35th APCOM Symposium - Application of Computers and Operations Research in the Minerals Industry, Proceedings"</f>
        <v>35th APCOM Symposium - Application of Computers and Operations Research in the Minerals Industry, Proceedings</v>
      </c>
      <c r="B4772" s="8" t="str">
        <f>"9781921522512"</f>
        <v>9781921522512</v>
      </c>
      <c r="C4772" s="8" t="s">
        <v>167</v>
      </c>
    </row>
    <row r="4773" spans="1:3" x14ac:dyDescent="0.25">
      <c r="A4773" s="8" t="str">
        <f>"35th Asian Conference on Remote Sensing 2014, ACRS 2014: Sensing for Reintegration of Societies"</f>
        <v>35th Asian Conference on Remote Sensing 2014, ACRS 2014: Sensing for Reintegration of Societies</v>
      </c>
      <c r="B4773" s="8" t="str">
        <f>"-"</f>
        <v>-</v>
      </c>
      <c r="C4773" s="8" t="s">
        <v>1448</v>
      </c>
    </row>
    <row r="4774" spans="1:3" x14ac:dyDescent="0.25">
      <c r="A4774" s="8" t="str">
        <f>"35th Australian Conference on Optical Fibre Technology, ACOFT 2010"</f>
        <v>35th Australian Conference on Optical Fibre Technology, ACOFT 2010</v>
      </c>
      <c r="B4774" s="8" t="str">
        <f>"9780977565764"</f>
        <v>9780977565764</v>
      </c>
      <c r="C4774" s="8" t="s">
        <v>9</v>
      </c>
    </row>
    <row r="4775" spans="1:3" x14ac:dyDescent="0.25">
      <c r="A4775" s="8" t="str">
        <f>"35th EPS Conference on Plasma Physics 2008, EPS 2008 - Europhysics Conference Abstracts"</f>
        <v>35th EPS Conference on Plasma Physics 2008, EPS 2008 - Europhysics Conference Abstracts</v>
      </c>
      <c r="B4775" s="8" t="str">
        <f>"9781622763351"</f>
        <v>9781622763351</v>
      </c>
      <c r="C4775" s="8" t="s">
        <v>1478</v>
      </c>
    </row>
    <row r="4776" spans="1:3" x14ac:dyDescent="0.25">
      <c r="A4776" s="8" t="str">
        <f>"35th European Microwave Conference 2005 - Conference Proceedings"</f>
        <v>35th European Microwave Conference 2005 - Conference Proceedings</v>
      </c>
      <c r="B4776" s="8" t="str">
        <f>"9782960055122"</f>
        <v>9782960055122</v>
      </c>
      <c r="C4776" s="8" t="s">
        <v>9</v>
      </c>
    </row>
    <row r="4777" spans="1:3" x14ac:dyDescent="0.25">
      <c r="A4777" s="8" t="str">
        <f>"35th European Rotorcraft Forum 2009, ERF 2009"</f>
        <v>35th European Rotorcraft Forum 2009, ERF 2009</v>
      </c>
      <c r="B4777" s="8" t="str">
        <f>"9781615678747"</f>
        <v>9781615678747</v>
      </c>
      <c r="C4777" s="8" t="s">
        <v>1482</v>
      </c>
    </row>
    <row r="4778" spans="1:3" x14ac:dyDescent="0.25">
      <c r="A4778" s="8" t="str">
        <f>"35th IEEE Sarnoff Symposium, SARNOFF 2012 - Conference Proceedings"</f>
        <v>35th IEEE Sarnoff Symposium, SARNOFF 2012 - Conference Proceedings</v>
      </c>
      <c r="B4778" s="8" t="str">
        <f>"9781467314640"</f>
        <v>9781467314640</v>
      </c>
      <c r="C4778" s="8" t="s">
        <v>9</v>
      </c>
    </row>
    <row r="4779" spans="1:3" x14ac:dyDescent="0.25">
      <c r="A4779" s="8" t="str">
        <f>"35th International Conference Computer Measurement Group"</f>
        <v>35th International Conference Computer Measurement Group</v>
      </c>
      <c r="B4779" s="8" t="str">
        <f>"-"</f>
        <v>-</v>
      </c>
      <c r="C4779" s="8" t="s">
        <v>1473</v>
      </c>
    </row>
    <row r="4780" spans="1:3" x14ac:dyDescent="0.25">
      <c r="A4780" s="8" t="str">
        <f>"35th International Conference on Cement Microscopy 2013"</f>
        <v>35th International Conference on Cement Microscopy 2013</v>
      </c>
      <c r="B4780" s="8" t="str">
        <f>"9781627486873"</f>
        <v>9781627486873</v>
      </c>
      <c r="C4780" s="8" t="s">
        <v>1444</v>
      </c>
    </row>
    <row r="4781" spans="1:3" x14ac:dyDescent="0.25">
      <c r="A4781" s="8" t="str">
        <f>"35th International Conference on Environmental Systems, ICES 2005"</f>
        <v>35th International Conference on Environmental Systems, ICES 2005</v>
      </c>
      <c r="B4781" s="8" t="str">
        <f>"-"</f>
        <v>-</v>
      </c>
      <c r="C4781" s="8" t="s">
        <v>1040</v>
      </c>
    </row>
    <row r="4782" spans="1:3" x14ac:dyDescent="0.25">
      <c r="A4782" s="8" t="s">
        <v>1483</v>
      </c>
      <c r="B4782" s="8" t="str">
        <f>"-"</f>
        <v>-</v>
      </c>
      <c r="C4782" s="8" t="s">
        <v>289</v>
      </c>
    </row>
    <row r="4783" spans="1:3" x14ac:dyDescent="0.25">
      <c r="A4783" s="8" t="str">
        <f>"35th International Precious Metals Institute Annual Conference 2011"</f>
        <v>35th International Precious Metals Institute Annual Conference 2011</v>
      </c>
      <c r="B4783" s="8" t="str">
        <f>"9781618391735"</f>
        <v>9781618391735</v>
      </c>
      <c r="C4783" s="8" t="s">
        <v>1454</v>
      </c>
    </row>
    <row r="4784" spans="1:3" x14ac:dyDescent="0.25">
      <c r="A4784" s="8" t="str">
        <f>"35th Intersociety Energy Conversion Engineering Conference and Exhibit"</f>
        <v>35th Intersociety Energy Conversion Engineering Conference and Exhibit</v>
      </c>
      <c r="B4784" s="8" t="str">
        <f>"-"</f>
        <v>-</v>
      </c>
      <c r="C4784" s="8" t="s">
        <v>104</v>
      </c>
    </row>
    <row r="4785" spans="1:3" x14ac:dyDescent="0.25">
      <c r="A4785" s="8" t="str">
        <f>"35th Northeast Regional Meeting of the American Chemical Society, NERM 2008"</f>
        <v>35th Northeast Regional Meeting of the American Chemical Society, NERM 2008</v>
      </c>
      <c r="B4785" s="8" t="str">
        <f>"9781605605067"</f>
        <v>9781605605067</v>
      </c>
      <c r="C4785" s="8" t="s">
        <v>1484</v>
      </c>
    </row>
    <row r="4786" spans="1:3" x14ac:dyDescent="0.25">
      <c r="A4786" s="8" t="str">
        <f>"36th AIAA Plasmadynamics and Lasers Conference"</f>
        <v>36th AIAA Plasmadynamics and Lasers Conference</v>
      </c>
      <c r="B4786" s="8" t="str">
        <f>"9781624100604"</f>
        <v>9781624100604</v>
      </c>
      <c r="C4786" s="8" t="s">
        <v>104</v>
      </c>
    </row>
    <row r="4787" spans="1:3" x14ac:dyDescent="0.25">
      <c r="A4787" s="8" t="str">
        <f>"36th AIAA Thermophysics Conference"</f>
        <v>36th AIAA Thermophysics Conference</v>
      </c>
      <c r="B4787" s="8" t="str">
        <f>"9781624100970"</f>
        <v>9781624100970</v>
      </c>
      <c r="C4787" s="8" t="s">
        <v>104</v>
      </c>
    </row>
    <row r="4788" spans="1:3" x14ac:dyDescent="0.25">
      <c r="A4788" s="8" t="str">
        <f>"36th AIAA/ASME/SAE/ASEE Joint Propulsion Conference and Exhibit"</f>
        <v>36th AIAA/ASME/SAE/ASEE Joint Propulsion Conference and Exhibit</v>
      </c>
      <c r="B4788" s="8" t="str">
        <f>"-"</f>
        <v>-</v>
      </c>
      <c r="C4788" s="8" t="s">
        <v>104</v>
      </c>
    </row>
    <row r="4789" spans="1:3" x14ac:dyDescent="0.25">
      <c r="A4789" s="8" t="str">
        <f>"36th EPS Conference on Plasma Physics 2009, EPS 2009 - Europhysics Conference Abstracts"</f>
        <v>36th EPS Conference on Plasma Physics 2009, EPS 2009 - Europhysics Conference Abstracts</v>
      </c>
      <c r="B4789" s="8" t="str">
        <f>"9781622763368"</f>
        <v>9781622763368</v>
      </c>
      <c r="C4789" s="8" t="s">
        <v>1478</v>
      </c>
    </row>
    <row r="4790" spans="1:3" x14ac:dyDescent="0.25">
      <c r="A4790" s="8" t="str">
        <f>"36th International Conference Computer Measurement Group"</f>
        <v>36th International Conference Computer Measurement Group</v>
      </c>
      <c r="B4790" s="8" t="str">
        <f>"-"</f>
        <v>-</v>
      </c>
      <c r="C4790" s="8" t="s">
        <v>1473</v>
      </c>
    </row>
    <row r="4791" spans="1:3" x14ac:dyDescent="0.25">
      <c r="A4791" s="8" t="str">
        <f>"36th International Conference on Cement Microscopy 2014"</f>
        <v>36th International Conference on Cement Microscopy 2014</v>
      </c>
      <c r="B4791" s="8" t="str">
        <f>"9781632668905"</f>
        <v>9781632668905</v>
      </c>
      <c r="C4791" s="8" t="s">
        <v>1444</v>
      </c>
    </row>
    <row r="4792" spans="1:3" x14ac:dyDescent="0.25">
      <c r="A4792" s="8" t="str">
        <f>"36th International Conference on Computers and Industrial Engineering, ICC and IE 2006"</f>
        <v>36th International Conference on Computers and Industrial Engineering, ICC and IE 2006</v>
      </c>
      <c r="B4792" s="8" t="str">
        <f>"-"</f>
        <v>-</v>
      </c>
      <c r="C4792" s="8" t="s">
        <v>1485</v>
      </c>
    </row>
    <row r="4793" spans="1:3" x14ac:dyDescent="0.25">
      <c r="A4793" s="8" t="str">
        <f>"36th International Conference on Environmental Systems, ICES 2006"</f>
        <v>36th International Conference on Environmental Systems, ICES 2006</v>
      </c>
      <c r="B4793" s="8" t="str">
        <f>"-"</f>
        <v>-</v>
      </c>
      <c r="C4793" s="8" t="s">
        <v>1040</v>
      </c>
    </row>
    <row r="4794" spans="1:3" x14ac:dyDescent="0.25">
      <c r="A4794" s="8" t="str">
        <f>"36th International Precious Metals Institute Annual Conference 2012: A Sure Bet-World Economics Affect Precious Metals, IPMI 2012"</f>
        <v>36th International Precious Metals Institute Annual Conference 2012: A Sure Bet-World Economics Affect Precious Metals, IPMI 2012</v>
      </c>
      <c r="B4794" s="8" t="str">
        <f>"9781622764228"</f>
        <v>9781622764228</v>
      </c>
      <c r="C4794" s="8" t="s">
        <v>1454</v>
      </c>
    </row>
    <row r="4795" spans="1:3" x14ac:dyDescent="0.25">
      <c r="A4795" s="8" t="str">
        <f>"36th WEDC International Conference: Delivering Water, Sanitation and Hygiene Services in an Uncertain Environment"</f>
        <v>36th WEDC International Conference: Delivering Water, Sanitation and Hygiene Services in an Uncertain Environment</v>
      </c>
      <c r="B4795" s="8" t="str">
        <f>"-"</f>
        <v>-</v>
      </c>
      <c r="C4795" s="8" t="s">
        <v>1486</v>
      </c>
    </row>
    <row r="4796" spans="1:3" x14ac:dyDescent="0.25">
      <c r="A4796" s="8" t="str">
        <f>"36th World Nuclear Association Annual Symposium 2011"</f>
        <v>36th World Nuclear Association Annual Symposium 2011</v>
      </c>
      <c r="B4796" s="8" t="str">
        <f>"9781622762811"</f>
        <v>9781622762811</v>
      </c>
      <c r="C4796" s="8" t="s">
        <v>1487</v>
      </c>
    </row>
    <row r="4797" spans="1:3" x14ac:dyDescent="0.25">
      <c r="A4797" s="8" t="str">
        <f>"37th AIAA Thermophysics Conference"</f>
        <v>37th AIAA Thermophysics Conference</v>
      </c>
      <c r="B4797" s="8" t="str">
        <f>"9781624100352"</f>
        <v>9781624100352</v>
      </c>
      <c r="C4797" s="8" t="s">
        <v>104</v>
      </c>
    </row>
    <row r="4798" spans="1:3" x14ac:dyDescent="0.25">
      <c r="A4798" s="8" t="str">
        <f>"37th EPS Conference on Plasma Physics 2010, EPS 2010"</f>
        <v>37th EPS Conference on Plasma Physics 2010, EPS 2010</v>
      </c>
      <c r="B4798" s="8" t="str">
        <f>"9781622763313"</f>
        <v>9781622763313</v>
      </c>
      <c r="C4798" s="8" t="s">
        <v>1478</v>
      </c>
    </row>
    <row r="4799" spans="1:3" x14ac:dyDescent="0.25">
      <c r="A4799" s="8" t="str">
        <f>"37th European Rotorcraft Forum 2011, ERF 2011"</f>
        <v>37th European Rotorcraft Forum 2011, ERF 2011</v>
      </c>
      <c r="B4799" s="8" t="str">
        <f>"9781618396266"</f>
        <v>9781618396266</v>
      </c>
      <c r="C4799" s="8" t="s">
        <v>1488</v>
      </c>
    </row>
    <row r="4800" spans="1:3" x14ac:dyDescent="0.25">
      <c r="A4800" s="8" t="str">
        <f>"37th German Conference on Artificial Intelligence, KI 2014 - 28. PuK-Workshop: Planung/Scheduling und Konfigurieren/Entwerfen, PuK 2014"</f>
        <v>37th German Conference on Artificial Intelligence, KI 2014 - 28. PuK-Workshop: Planung/Scheduling und Konfigurieren/Entwerfen, PuK 2014</v>
      </c>
      <c r="B4800" s="8" t="str">
        <f>"-"</f>
        <v>-</v>
      </c>
      <c r="C4800" s="8" t="s">
        <v>833</v>
      </c>
    </row>
    <row r="4801" spans="1:3" x14ac:dyDescent="0.25">
      <c r="A4801" s="8" t="str">
        <f>"37th International Conference Computer Measurement Group"</f>
        <v>37th International Conference Computer Measurement Group</v>
      </c>
      <c r="B4801" s="8" t="str">
        <f>"-"</f>
        <v>-</v>
      </c>
      <c r="C4801" s="8" t="s">
        <v>1473</v>
      </c>
    </row>
    <row r="4802" spans="1:3" x14ac:dyDescent="0.25">
      <c r="A4802" s="8" t="str">
        <f>"37th International Conference on Computers and Industrial Engineering 2007"</f>
        <v>37th International Conference on Computers and Industrial Engineering 2007</v>
      </c>
      <c r="B4802" s="8" t="str">
        <f>"9781627486811"</f>
        <v>9781627486811</v>
      </c>
      <c r="C4802" s="8" t="s">
        <v>1489</v>
      </c>
    </row>
    <row r="4803" spans="1:3" x14ac:dyDescent="0.25">
      <c r="A4803" s="8" t="str">
        <f>"37th International Conference on Environmental Systems, ICES 2007"</f>
        <v>37th International Conference on Environmental Systems, ICES 2007</v>
      </c>
      <c r="B4803" s="8" t="str">
        <f>"-"</f>
        <v>-</v>
      </c>
      <c r="C4803" s="8" t="s">
        <v>1040</v>
      </c>
    </row>
    <row r="4804" spans="1:3" x14ac:dyDescent="0.25">
      <c r="A4804" s="8" t="str">
        <f>"37th International Precious Metals Institute Annual Conference, IPMI 2013 - Out of the Ashes the Golden Phoenix Rises: Staying Compliant by Rising Above the Regulations"</f>
        <v>37th International Precious Metals Institute Annual Conference, IPMI 2013 - Out of the Ashes the Golden Phoenix Rises: Staying Compliant by Rising Above the Regulations</v>
      </c>
      <c r="B4804" s="8" t="str">
        <f>"9781629931319"</f>
        <v>9781629931319</v>
      </c>
      <c r="C4804" s="8" t="s">
        <v>1454</v>
      </c>
    </row>
    <row r="4805" spans="1:3" x14ac:dyDescent="0.25">
      <c r="A4805" s="8" t="str">
        <f>"37th Joint Propulsion Conference and Exhibit"</f>
        <v>37th Joint Propulsion Conference and Exhibit</v>
      </c>
      <c r="B4805" s="8" t="str">
        <f>"-"</f>
        <v>-</v>
      </c>
      <c r="C4805" s="8" t="s">
        <v>104</v>
      </c>
    </row>
    <row r="4806" spans="1:3" x14ac:dyDescent="0.25">
      <c r="A4806" s="8" t="str">
        <f>"37th World Nuclear Association Annual Symposium 2012"</f>
        <v>37th World Nuclear Association Annual Symposium 2012</v>
      </c>
      <c r="B4806" s="8" t="str">
        <f>"9781629932873"</f>
        <v>9781629932873</v>
      </c>
      <c r="C4806" s="8" t="s">
        <v>1487</v>
      </c>
    </row>
    <row r="4807" spans="1:3" x14ac:dyDescent="0.25">
      <c r="A4807" s="8" t="str">
        <f>"38th Aerospace Sciences Meeting and Exhibit"</f>
        <v>38th Aerospace Sciences Meeting and Exhibit</v>
      </c>
      <c r="B4807" s="8" t="str">
        <f>"-"</f>
        <v>-</v>
      </c>
      <c r="C4807" s="8" t="s">
        <v>104</v>
      </c>
    </row>
    <row r="4808" spans="1:3" x14ac:dyDescent="0.25">
      <c r="A4808" s="8" t="str">
        <f>"38th AIAA Fluid Dynamics Conference and Exhibit"</f>
        <v>38th AIAA Fluid Dynamics Conference and Exhibit</v>
      </c>
      <c r="B4808" s="8" t="str">
        <f>"9781563479427"</f>
        <v>9781563479427</v>
      </c>
      <c r="C4808" s="8" t="s">
        <v>104</v>
      </c>
    </row>
    <row r="4809" spans="1:3" x14ac:dyDescent="0.25">
      <c r="A4809" s="8" t="str">
        <f>"38th AIAA Thermophysics Conference"</f>
        <v>38th AIAA Thermophysics Conference</v>
      </c>
      <c r="B4809" s="8" t="str">
        <f>"9781624100611"</f>
        <v>9781624100611</v>
      </c>
      <c r="C4809" s="8" t="s">
        <v>104</v>
      </c>
    </row>
    <row r="4810" spans="1:3" x14ac:dyDescent="0.25">
      <c r="A4810" s="8" t="str">
        <f>"38th AIAA/ASME/SAE/ASEE Joint Propulsion Conference and Exhibit"</f>
        <v>38th AIAA/ASME/SAE/ASEE Joint Propulsion Conference and Exhibit</v>
      </c>
      <c r="B4810" s="8" t="str">
        <f>"9781624101151"</f>
        <v>9781624101151</v>
      </c>
      <c r="C4810" s="8" t="s">
        <v>104</v>
      </c>
    </row>
    <row r="4811" spans="1:3" x14ac:dyDescent="0.25">
      <c r="A4811" s="8" t="str">
        <f>"38th Annual International Symposium of the Society of Flight Test Engineers, SFTE"</f>
        <v>38th Annual International Symposium of the Society of Flight Test Engineers, SFTE</v>
      </c>
      <c r="B4811" s="8" t="str">
        <f>"-"</f>
        <v>-</v>
      </c>
      <c r="C4811" s="8" t="s">
        <v>1490</v>
      </c>
    </row>
    <row r="4812" spans="1:3" x14ac:dyDescent="0.25">
      <c r="A4812" s="8" t="str">
        <f>"38th Annual Precise Time and Time Interval (PTTI) Systems and Applications Meeting 2006"</f>
        <v>38th Annual Precise Time and Time Interval (PTTI) Systems and Applications Meeting 2006</v>
      </c>
      <c r="B4812" s="8" t="str">
        <f>"9781604239973"</f>
        <v>9781604239973</v>
      </c>
      <c r="C4812" s="8" t="s">
        <v>969</v>
      </c>
    </row>
    <row r="4813" spans="1:3" x14ac:dyDescent="0.25">
      <c r="A4813" s="8" t="str">
        <f>"38th ASES National Solar Conference 2009, SOLAR 2009"</f>
        <v>38th ASES National Solar Conference 2009, SOLAR 2009</v>
      </c>
      <c r="B4813" s="8" t="str">
        <f>"9781615673636"</f>
        <v>9781615673636</v>
      </c>
      <c r="C4813" s="8" t="s">
        <v>1491</v>
      </c>
    </row>
    <row r="4814" spans="1:3" x14ac:dyDescent="0.25">
      <c r="A4814" s="8" t="str">
        <f>"38th EPS Conference on Plasma Physics 2011, EPS 2011 - Europhysics Conference Abstracts"</f>
        <v>38th EPS Conference on Plasma Physics 2011, EPS 2011 - Europhysics Conference Abstracts</v>
      </c>
      <c r="B4814" s="8" t="str">
        <f>"9781618395931"</f>
        <v>9781618395931</v>
      </c>
      <c r="C4814" s="8" t="s">
        <v>1478</v>
      </c>
    </row>
    <row r="4815" spans="1:3" x14ac:dyDescent="0.25">
      <c r="A4815" s="8" t="str">
        <f>"38th European Rotorcraft Forum 2012, ERF 2012"</f>
        <v>38th European Rotorcraft Forum 2012, ERF 2012</v>
      </c>
      <c r="B4815" s="8" t="str">
        <f>"9781627480611"</f>
        <v>9781627480611</v>
      </c>
      <c r="C4815" s="8" t="s">
        <v>1492</v>
      </c>
    </row>
    <row r="4816" spans="1:3" x14ac:dyDescent="0.25">
      <c r="A4816" s="8" t="str">
        <f>"38th International Conference on Computers and Industrial Engineering 2008"</f>
        <v>38th International Conference on Computers and Industrial Engineering 2008</v>
      </c>
      <c r="B4816" s="8" t="str">
        <f>"9781627486828"</f>
        <v>9781627486828</v>
      </c>
      <c r="C4816" s="8" t="s">
        <v>1489</v>
      </c>
    </row>
    <row r="4817" spans="1:3" x14ac:dyDescent="0.25">
      <c r="A4817" s="8" t="str">
        <f>"38th International Conference on Environmental Systems, ICES 2008"</f>
        <v>38th International Conference on Environmental Systems, ICES 2008</v>
      </c>
      <c r="B4817" s="8" t="str">
        <f>"-"</f>
        <v>-</v>
      </c>
      <c r="C4817" s="8" t="s">
        <v>1040</v>
      </c>
    </row>
    <row r="4818" spans="1:3" x14ac:dyDescent="0.25">
      <c r="A4818" s="8" t="str">
        <f>"38th International Congress and Exposition on Noise Control Engineering 2009, INTER-NOISE 2009"</f>
        <v>38th International Congress and Exposition on Noise Control Engineering 2009, INTER-NOISE 2009</v>
      </c>
      <c r="B4818" s="8" t="str">
        <f>"9781615676903"</f>
        <v>9781615676903</v>
      </c>
      <c r="C4818" s="8" t="s">
        <v>1430</v>
      </c>
    </row>
    <row r="4819" spans="1:3" x14ac:dyDescent="0.25">
      <c r="A4819" s="8" t="str">
        <f>"38th Latin America Conference on Informatics, CLEI 2012 - Conference Proceedings"</f>
        <v>38th Latin America Conference on Informatics, CLEI 2012 - Conference Proceedings</v>
      </c>
      <c r="B4819" s="8" t="str">
        <f>"9781467307932"</f>
        <v>9781467307932</v>
      </c>
      <c r="C4819" s="8" t="s">
        <v>9</v>
      </c>
    </row>
    <row r="4820" spans="1:3" x14ac:dyDescent="0.25">
      <c r="A4820" s="8" t="str">
        <f>"38th Nigeria Annual International Conference and Exhibition, NAICE 2014 - Africa's Energy Corridor: Opportunities for Oil and Gas Value Maximization Through Integration and Global Approach"</f>
        <v>38th Nigeria Annual International Conference and Exhibition, NAICE 2014 - Africa's Energy Corridor: Opportunities for Oil and Gas Value Maximization Through Integration and Global Approach</v>
      </c>
      <c r="B4820" s="8" t="str">
        <f>"-"</f>
        <v>-</v>
      </c>
      <c r="C4820" s="8" t="s">
        <v>671</v>
      </c>
    </row>
    <row r="4821" spans="1:3" x14ac:dyDescent="0.25">
      <c r="A4821" s="8" t="str">
        <f>"39th Aerospace Sciences Meeting and Exhibit"</f>
        <v>39th Aerospace Sciences Meeting and Exhibit</v>
      </c>
      <c r="B4821" s="8" t="str">
        <f>"-"</f>
        <v>-</v>
      </c>
      <c r="C4821" s="8" t="s">
        <v>104</v>
      </c>
    </row>
    <row r="4822" spans="1:3" x14ac:dyDescent="0.25">
      <c r="A4822" s="8" t="str">
        <f>"39th AIAA Fluid Dynamics Conference"</f>
        <v>39th AIAA Fluid Dynamics Conference</v>
      </c>
      <c r="B4822" s="8" t="str">
        <f>"9781563479755"</f>
        <v>9781563479755</v>
      </c>
      <c r="C4822" s="8" t="s">
        <v>104</v>
      </c>
    </row>
    <row r="4823" spans="1:3" x14ac:dyDescent="0.25">
      <c r="A4823" s="8" t="str">
        <f>"39th AIAA Plasmadynamics and Lasers Conference"</f>
        <v>39th AIAA Plasmadynamics and Lasers Conference</v>
      </c>
      <c r="B4823" s="8" t="str">
        <f>"9781563479427"</f>
        <v>9781563479427</v>
      </c>
      <c r="C4823" s="8" t="s">
        <v>104</v>
      </c>
    </row>
    <row r="4824" spans="1:3" x14ac:dyDescent="0.25">
      <c r="A4824" s="8" t="str">
        <f>"39th AIAA/ASME/SAE/ASEE Joint Propulsion Conference and Exhibit"</f>
        <v>39th AIAA/ASME/SAE/ASEE Joint Propulsion Conference and Exhibit</v>
      </c>
      <c r="B4824" s="8" t="str">
        <f>"9781624100987"</f>
        <v>9781624100987</v>
      </c>
      <c r="C4824" s="8" t="s">
        <v>104</v>
      </c>
    </row>
    <row r="4825" spans="1:3" x14ac:dyDescent="0.25">
      <c r="A4825" s="8" t="str">
        <f>"39th Annual International Symposium of the Society of Flight Test Engineers 2008"</f>
        <v>39th Annual International Symposium of the Society of Flight Test Engineers 2008</v>
      </c>
      <c r="B4825" s="8" t="str">
        <f>"9781617386060"</f>
        <v>9781617386060</v>
      </c>
      <c r="C4825" s="8" t="s">
        <v>1490</v>
      </c>
    </row>
    <row r="4826" spans="1:3" x14ac:dyDescent="0.25">
      <c r="A4826" s="8" t="str">
        <f>"39th Annual Precise Time and Time Interval (PTTI) Systems and Applications Meeting 2007"</f>
        <v>39th Annual Precise Time and Time Interval (PTTI) Systems and Applications Meeting 2007</v>
      </c>
      <c r="B4826" s="8" t="str">
        <f>"9781605603995"</f>
        <v>9781605603995</v>
      </c>
      <c r="C4826" s="8" t="s">
        <v>969</v>
      </c>
    </row>
    <row r="4827" spans="1:3" x14ac:dyDescent="0.25">
      <c r="A4827" s="8" t="str">
        <f>"39th ASES National Solar Conference 2010, SOLAR 2010"</f>
        <v>39th ASES National Solar Conference 2010, SOLAR 2010</v>
      </c>
      <c r="B4827" s="8" t="str">
        <f>"9781617822698"</f>
        <v>9781617822698</v>
      </c>
      <c r="C4827" s="8" t="s">
        <v>1491</v>
      </c>
    </row>
    <row r="4828" spans="1:3" x14ac:dyDescent="0.25">
      <c r="A4828" s="8" t="str">
        <f>"39th EPS Conference on Plasma Physics 2012, EPS 2012 and the 16th International Congress on Plasma Physics"</f>
        <v>39th EPS Conference on Plasma Physics 2012, EPS 2012 and the 16th International Congress on Plasma Physics</v>
      </c>
      <c r="B4828" s="8" t="str">
        <f>"9781622769810"</f>
        <v>9781622769810</v>
      </c>
      <c r="C4828" s="8" t="s">
        <v>1478</v>
      </c>
    </row>
    <row r="4829" spans="1:3" x14ac:dyDescent="0.25">
      <c r="A4829" s="8" t="str">
        <f>"39th International Conference on Environmental Systems - Towards Permanent Lunar Habitation: The Journey Continues, ICES 2009"</f>
        <v>39th International Conference on Environmental Systems - Towards Permanent Lunar Habitation: The Journey Continues, ICES 2009</v>
      </c>
      <c r="B4829" s="8" t="str">
        <f>"-"</f>
        <v>-</v>
      </c>
      <c r="C4829" s="8" t="s">
        <v>1040</v>
      </c>
    </row>
    <row r="4830" spans="1:3" x14ac:dyDescent="0.25">
      <c r="A4830" s="8" t="str">
        <f>"39th International Congress on Noise Control Engineering 2010, INTER-NOISE 2010"</f>
        <v>39th International Congress on Noise Control Engineering 2010, INTER-NOISE 2010</v>
      </c>
      <c r="B4830" s="8" t="str">
        <f>"9781617823961"</f>
        <v>9781617823961</v>
      </c>
      <c r="C4830" s="8" t="s">
        <v>1493</v>
      </c>
    </row>
    <row r="4831" spans="1:3" x14ac:dyDescent="0.25">
      <c r="A4831" s="8" t="str">
        <f>"39th International Symposium on Robotics, ISR 2008"</f>
        <v>39th International Symposium on Robotics, ISR 2008</v>
      </c>
      <c r="B4831" s="8" t="str">
        <f>"-"</f>
        <v>-</v>
      </c>
      <c r="C4831" s="8" t="s">
        <v>1494</v>
      </c>
    </row>
    <row r="4832" spans="1:3" x14ac:dyDescent="0.25">
      <c r="A4832" s="8" t="str">
        <f>"39th International Universities Power Engineering Conference, UPEC 2004 - Conference Proceedings"</f>
        <v>39th International Universities Power Engineering Conference, UPEC 2004 - Conference Proceedings</v>
      </c>
      <c r="B4832" s="8" t="str">
        <f>"9781860433658"</f>
        <v>9781860433658</v>
      </c>
      <c r="C4832" s="8" t="s">
        <v>1495</v>
      </c>
    </row>
    <row r="4833" spans="1:3" x14ac:dyDescent="0.25">
      <c r="A4833" s="8" t="str">
        <f>"3CA 2010 - 2010 International Symposium on Computer, Communication, Control and Automation"</f>
        <v>3CA 2010 - 2010 International Symposium on Computer, Communication, Control and Automation</v>
      </c>
      <c r="B4833" s="8" t="str">
        <f>"9781424455669"</f>
        <v>9781424455669</v>
      </c>
      <c r="C4833" s="8" t="s">
        <v>9</v>
      </c>
    </row>
    <row r="4834" spans="1:3" x14ac:dyDescent="0.25">
      <c r="A4834" s="8" t="str">
        <f>"3DAPAS'11 - Proceedings of the Workshop on Dynamic Distributed Data-Intensive Applications, Programming Abstractions and Systems"</f>
        <v>3DAPAS'11 - Proceedings of the Workshop on Dynamic Distributed Data-Intensive Applications, Programming Abstractions and Systems</v>
      </c>
      <c r="B4834" s="8" t="str">
        <f>"9781450307055"</f>
        <v>9781450307055</v>
      </c>
      <c r="C4834" s="8" t="s">
        <v>21</v>
      </c>
    </row>
    <row r="4835" spans="1:3" x14ac:dyDescent="0.25">
      <c r="A4835" s="8" t="str">
        <f>"3DIM 2007 - Proceedings 6th International Conference on 3-D Digital Imaging and Modeling"</f>
        <v>3DIM 2007 - Proceedings 6th International Conference on 3-D Digital Imaging and Modeling</v>
      </c>
      <c r="B4835" s="8" t="str">
        <f>"9780769529394"</f>
        <v>9780769529394</v>
      </c>
      <c r="C4835" s="8" t="s">
        <v>9</v>
      </c>
    </row>
    <row r="4836" spans="1:3" x14ac:dyDescent="0.25">
      <c r="A4836" s="8" t="str">
        <f>"3DMS 2014 - Proceedings of the 2nd International Congress on 3D Materials Science"</f>
        <v>3DMS 2014 - Proceedings of the 2nd International Congress on 3D Materials Science</v>
      </c>
      <c r="B4836" s="8" t="str">
        <f>"9781118945452"</f>
        <v>9781118945452</v>
      </c>
      <c r="C4836" s="8" t="s">
        <v>87</v>
      </c>
    </row>
    <row r="4837" spans="1:3" x14ac:dyDescent="0.25">
      <c r="A4837" s="8" t="str">
        <f>"3DOR'10 - Proceedings of the 2010 ACM Workshop on 3D Object Retrieval, Co-located with ACM Multimedia 2010"</f>
        <v>3DOR'10 - Proceedings of the 2010 ACM Workshop on 3D Object Retrieval, Co-located with ACM Multimedia 2010</v>
      </c>
      <c r="B4837" s="8" t="str">
        <f>"9781450301602"</f>
        <v>9781450301602</v>
      </c>
      <c r="C4837" s="8" t="s">
        <v>21</v>
      </c>
    </row>
    <row r="4838" spans="1:3" x14ac:dyDescent="0.25">
      <c r="A4838" s="8" t="str">
        <f>"3DTV Conference: The True Vision - Capture, Transmission and Display of 3D Video, 3DTV-CON 2011 - Proceedings"</f>
        <v>3DTV Conference: The True Vision - Capture, Transmission and Display of 3D Video, 3DTV-CON 2011 - Proceedings</v>
      </c>
      <c r="B4838" s="8" t="str">
        <f>"9781612841625"</f>
        <v>9781612841625</v>
      </c>
      <c r="C4838" s="8" t="s">
        <v>9</v>
      </c>
    </row>
    <row r="4839" spans="1:3" x14ac:dyDescent="0.25">
      <c r="A4839" s="8" t="str">
        <f>"3DTV-CON 2009 - 3rd 3DTV-Conference: The True Vision - Capture, Transmission and Display of 3D Video, Proceedings"</f>
        <v>3DTV-CON 2009 - 3rd 3DTV-Conference: The True Vision - Capture, Transmission and Display of 3D Video, Proceedings</v>
      </c>
      <c r="B4839" s="8" t="str">
        <f>"9781424443185"</f>
        <v>9781424443185</v>
      </c>
      <c r="C4839" s="8" t="s">
        <v>9</v>
      </c>
    </row>
    <row r="4840" spans="1:3" x14ac:dyDescent="0.25">
      <c r="A4840" s="8" t="str">
        <f>"3DTV-CON 2010: The True Vision - Capture, Transmission and Display of 3D Video"</f>
        <v>3DTV-CON 2010: The True Vision - Capture, Transmission and Display of 3D Video</v>
      </c>
      <c r="B4840" s="8" t="str">
        <f>"9781424463794"</f>
        <v>9781424463794</v>
      </c>
      <c r="C4840" s="8" t="s">
        <v>9</v>
      </c>
    </row>
    <row r="4841" spans="1:3" x14ac:dyDescent="0.25">
      <c r="A4841" s="8" t="str">
        <f>"3DUI - IEEE Symposium on 3D User Interfaces 2008"</f>
        <v>3DUI - IEEE Symposium on 3D User Interfaces 2008</v>
      </c>
      <c r="B4841" s="8" t="str">
        <f>"9781424420476"</f>
        <v>9781424420476</v>
      </c>
      <c r="C4841" s="8" t="s">
        <v>9</v>
      </c>
    </row>
    <row r="4842" spans="1:3" x14ac:dyDescent="0.25">
      <c r="A4842" s="8" t="str">
        <f>"3DUI - IEEE Symposium on 3D User Interfaces 2009 - Proceedings"</f>
        <v>3DUI - IEEE Symposium on 3D User Interfaces 2009 - Proceedings</v>
      </c>
      <c r="B4842" s="8" t="str">
        <f>"9781424439652"</f>
        <v>9781424439652</v>
      </c>
      <c r="C4842" s="8" t="s">
        <v>9</v>
      </c>
    </row>
    <row r="4843" spans="1:3" x14ac:dyDescent="0.25">
      <c r="A4843" s="8" t="str">
        <f>"3DUI 2006: IEEE Symposium on 3D User Interfaces 2006 - Proceedings"</f>
        <v>3DUI 2006: IEEE Symposium on 3D User Interfaces 2006 - Proceedings</v>
      </c>
      <c r="B4843" s="8" t="str">
        <f>"-"</f>
        <v>-</v>
      </c>
      <c r="C4843" s="8" t="s">
        <v>9</v>
      </c>
    </row>
    <row r="4844" spans="1:3" x14ac:dyDescent="0.25">
      <c r="A4844" s="8" t="str">
        <f>"3DUI 2010 - IEEE Symposium on 3D User Interfaces 2010, Proceedings"</f>
        <v>3DUI 2010 - IEEE Symposium on 3D User Interfaces 2010, Proceedings</v>
      </c>
      <c r="B4844" s="8" t="str">
        <f>"9781424468447"</f>
        <v>9781424468447</v>
      </c>
      <c r="C4844" s="8" t="s">
        <v>9</v>
      </c>
    </row>
    <row r="4845" spans="1:3" x14ac:dyDescent="0.25">
      <c r="A4845" s="8" t="str">
        <f>"3DUI 2011 - IEEE Symposium on 3D User Interfaces 2011, Proceedings"</f>
        <v>3DUI 2011 - IEEE Symposium on 3D User Interfaces 2011, Proceedings</v>
      </c>
      <c r="B4845" s="8" t="str">
        <f>"9781457700620"</f>
        <v>9781457700620</v>
      </c>
      <c r="C4845" s="8" t="s">
        <v>9</v>
      </c>
    </row>
    <row r="4846" spans="1:3" x14ac:dyDescent="0.25">
      <c r="A4846" s="8" t="str">
        <f>"3DVP'10 - Proceedings of the 2010 ACM Workshop on 3D Video Processing, Co-located with ACM Multimedia 2010"</f>
        <v>3DVP'10 - Proceedings of the 2010 ACM Workshop on 3D Video Processing, Co-located with ACM Multimedia 2010</v>
      </c>
      <c r="B4846" s="8" t="str">
        <f>"9781450301596"</f>
        <v>9781450301596</v>
      </c>
      <c r="C4846" s="8" t="s">
        <v>21</v>
      </c>
    </row>
    <row r="4847" spans="1:3" x14ac:dyDescent="0.25">
      <c r="A4847" s="8" t="str">
        <f>"3rd ACM SIGSPATIAL International Workshop on Location-Based Social Networks, LBSN 2011 - Held in Conjunction with the 19th ACM SIGSPATIAL GIS 2011"</f>
        <v>3rd ACM SIGSPATIAL International Workshop on Location-Based Social Networks, LBSN 2011 - Held in Conjunction with the 19th ACM SIGSPATIAL GIS 2011</v>
      </c>
      <c r="B4847" s="8" t="str">
        <f>"9781450310338"</f>
        <v>9781450310338</v>
      </c>
      <c r="C4847" s="8" t="s">
        <v>21</v>
      </c>
    </row>
    <row r="4848" spans="1:3" x14ac:dyDescent="0.25">
      <c r="A4848" s="8" t="str">
        <f>"3rd ACS/IEEE International Conference on Computer Systems and Applications, 2005"</f>
        <v>3rd ACS/IEEE International Conference on Computer Systems and Applications, 2005</v>
      </c>
      <c r="B4848" s="8" t="str">
        <f>"-"</f>
        <v>-</v>
      </c>
      <c r="C4848" s="8" t="s">
        <v>9</v>
      </c>
    </row>
    <row r="4849" spans="1:3" x14ac:dyDescent="0.25">
      <c r="A4849" s="8" t="str">
        <f>"3rd AIAA Atmospheric Space Environments Conference"</f>
        <v>3rd AIAA Atmospheric Space Environments Conference</v>
      </c>
      <c r="B4849" s="8" t="str">
        <f>"9781624101434"</f>
        <v>9781624101434</v>
      </c>
      <c r="C4849" s="8" t="s">
        <v>104</v>
      </c>
    </row>
    <row r="4850" spans="1:3" x14ac:dyDescent="0.25">
      <c r="A4850" s="8" t="str">
        <f>"3rd Annual Australasian Housing Researchers' Conference, AHRC08"</f>
        <v>3rd Annual Australasian Housing Researchers' Conference, AHRC08</v>
      </c>
      <c r="B4850" s="8" t="str">
        <f>"-"</f>
        <v>-</v>
      </c>
      <c r="C4850" s="8" t="s">
        <v>1496</v>
      </c>
    </row>
    <row r="4851" spans="1:3" x14ac:dyDescent="0.25">
      <c r="A4851" s="8" t="str">
        <f>"3rd Annual World Congress on Sustainable Engineering 2013 - Topical Conference at the 2013 AIChE Annual Meeting: Global Challenges for Engineering a Sustainable Future"</f>
        <v>3rd Annual World Congress on Sustainable Engineering 2013 - Topical Conference at the 2013 AIChE Annual Meeting: Global Challenges for Engineering a Sustainable Future</v>
      </c>
      <c r="B4851" s="8" t="str">
        <f>"9781634390286"</f>
        <v>9781634390286</v>
      </c>
      <c r="C4851" s="8" t="s">
        <v>1219</v>
      </c>
    </row>
    <row r="4852" spans="1:3" x14ac:dyDescent="0.25">
      <c r="A4852" s="8" t="str">
        <f>"3rd Arabian Plate Geology Workshop: Permo-Triassic (Khuff) Petroleum System of the Arabian Plate"</f>
        <v>3rd Arabian Plate Geology Workshop: Permo-Triassic (Khuff) Petroleum System of the Arabian Plate</v>
      </c>
      <c r="B4852" s="8" t="str">
        <f>"-"</f>
        <v>-</v>
      </c>
      <c r="C4852" s="8" t="s">
        <v>1251</v>
      </c>
    </row>
    <row r="4853" spans="1:3" x14ac:dyDescent="0.25">
      <c r="A4853" s="8" t="str">
        <f>"3rd Asian Conference on Intelligent Games and Simulation, GAME-ON ASIA 2011 - 3rd Asian Simulation Technology Conference, ASTEC 2011"</f>
        <v>3rd Asian Conference on Intelligent Games and Simulation, GAME-ON ASIA 2011 - 3rd Asian Simulation Technology Conference, ASTEC 2011</v>
      </c>
      <c r="B4853" s="8" t="str">
        <f>"9789077381601"</f>
        <v>9789077381601</v>
      </c>
      <c r="C4853" s="8" t="s">
        <v>1206</v>
      </c>
    </row>
    <row r="4854" spans="1:3" x14ac:dyDescent="0.25">
      <c r="A4854" s="8" t="str">
        <f>"3rd Chesapeake Power Boat Symposium, CPBS 2012"</f>
        <v>3rd Chesapeake Power Boat Symposium, CPBS 2012</v>
      </c>
      <c r="B4854" s="8" t="str">
        <f t="shared" ref="B4854:B4859" si="7">"-"</f>
        <v>-</v>
      </c>
      <c r="C4854" s="8" t="s">
        <v>1497</v>
      </c>
    </row>
    <row r="4855" spans="1:3" x14ac:dyDescent="0.25">
      <c r="A4855" s="8" t="str">
        <f>"3rd Conference on Foundations of Nanoscience: Self-Assembled Architectures and Devices, FNANO 2006"</f>
        <v>3rd Conference on Foundations of Nanoscience: Self-Assembled Architectures and Devices, FNANO 2006</v>
      </c>
      <c r="B4855" s="8" t="str">
        <f t="shared" si="7"/>
        <v>-</v>
      </c>
      <c r="C4855" s="8" t="s">
        <v>1460</v>
      </c>
    </row>
    <row r="4856" spans="1:3" x14ac:dyDescent="0.25">
      <c r="A4856" s="8" t="s">
        <v>1498</v>
      </c>
      <c r="B4856" s="8" t="str">
        <f t="shared" si="7"/>
        <v>-</v>
      </c>
      <c r="C4856" s="8" t="s">
        <v>1499</v>
      </c>
    </row>
    <row r="4857" spans="1:3" x14ac:dyDescent="0.25">
      <c r="A4857" s="8" t="str">
        <f>"3rd EAGE CO2 Geological Storage Workshop: Understanding the Behaviour of CO2 in Geological Storage Reservoirs"</f>
        <v>3rd EAGE CO2 Geological Storage Workshop: Understanding the Behaviour of CO2 in Geological Storage Reservoirs</v>
      </c>
      <c r="B4857" s="8" t="str">
        <f t="shared" si="7"/>
        <v>-</v>
      </c>
      <c r="C4857" s="8" t="s">
        <v>1251</v>
      </c>
    </row>
    <row r="4858" spans="1:3" x14ac:dyDescent="0.25">
      <c r="A4858" s="8" t="str">
        <f>"3rd EAGE Shale Workshop: Shale Physics and Shale Chemistry"</f>
        <v>3rd EAGE Shale Workshop: Shale Physics and Shale Chemistry</v>
      </c>
      <c r="B4858" s="8" t="str">
        <f t="shared" si="7"/>
        <v>-</v>
      </c>
      <c r="C4858" s="8" t="s">
        <v>1251</v>
      </c>
    </row>
    <row r="4859" spans="1:3" x14ac:dyDescent="0.25">
      <c r="A4859" s="8" t="str">
        <f>"3rd EAGE/SPE Workshop on Tar Mats - Oil Reservoirs with Tar Mats: Challenges and Opportunities - Evaluation, Characterisation, Development and Management"</f>
        <v>3rd EAGE/SPE Workshop on Tar Mats - Oil Reservoirs with Tar Mats: Challenges and Opportunities - Evaluation, Characterisation, Development and Management</v>
      </c>
      <c r="B4859" s="8" t="str">
        <f t="shared" si="7"/>
        <v>-</v>
      </c>
      <c r="C4859" s="8" t="s">
        <v>1251</v>
      </c>
    </row>
    <row r="4860" spans="1:3" x14ac:dyDescent="0.25">
      <c r="A4860" s="8" t="str">
        <f>"3rd European Workshop on Visual Information Processing, EUVIP 2011 - Final Program"</f>
        <v>3rd European Workshop on Visual Information Processing, EUVIP 2011 - Final Program</v>
      </c>
      <c r="B4860" s="8" t="str">
        <f>"9781457700729"</f>
        <v>9781457700729</v>
      </c>
      <c r="C4860" s="8" t="s">
        <v>9</v>
      </c>
    </row>
    <row r="4861" spans="1:3" x14ac:dyDescent="0.25">
      <c r="A4861" s="8" t="str">
        <f>"3rd High Performance Yacht Design Conference 2008, HPYD 2008"</f>
        <v>3rd High Performance Yacht Design Conference 2008, HPYD 2008</v>
      </c>
      <c r="B4861" s="8" t="str">
        <f>"9781622769124"</f>
        <v>9781622769124</v>
      </c>
      <c r="C4861" s="8" t="s">
        <v>1137</v>
      </c>
    </row>
    <row r="4862" spans="1:3" x14ac:dyDescent="0.25">
      <c r="A4862" s="8" t="str">
        <f>"3rd IEEE International Conference on Adaptive Science and Technology, ICAST 2011, Proceedings"</f>
        <v>3rd IEEE International Conference on Adaptive Science and Technology, ICAST 2011, Proceedings</v>
      </c>
      <c r="B4862" s="8" t="str">
        <f>"9781467307581"</f>
        <v>9781467307581</v>
      </c>
      <c r="C4862" s="8" t="s">
        <v>9</v>
      </c>
    </row>
    <row r="4863" spans="1:3" x14ac:dyDescent="0.25">
      <c r="A4863" s="8" t="str">
        <f>"3rd IEEE International Conference on Cognitive Infocommunications, CogInfoCom 2012 - Proceedings"</f>
        <v>3rd IEEE International Conference on Cognitive Infocommunications, CogInfoCom 2012 - Proceedings</v>
      </c>
      <c r="B4863" s="8" t="str">
        <f>"9781467351874"</f>
        <v>9781467351874</v>
      </c>
      <c r="C4863" s="8" t="s">
        <v>9</v>
      </c>
    </row>
    <row r="4864" spans="1:3" x14ac:dyDescent="0.25">
      <c r="A4864" s="8" t="str">
        <f>"3rd IEEE International Conference on Nano/Micro Engineered and Molecular Systems, NEMS"</f>
        <v>3rd IEEE International Conference on Nano/Micro Engineered and Molecular Systems, NEMS</v>
      </c>
      <c r="B4864" s="8" t="str">
        <f>"9781424419081"</f>
        <v>9781424419081</v>
      </c>
      <c r="C4864" s="8" t="s">
        <v>9</v>
      </c>
    </row>
    <row r="4865" spans="1:3" x14ac:dyDescent="0.25">
      <c r="A4865" s="8" t="str">
        <f>"3rd IEEE International Conference on Wireless and Mobile Computing, Networking and Communications, WiMob 2007"</f>
        <v>3rd IEEE International Conference on Wireless and Mobile Computing, Networking and Communications, WiMob 2007</v>
      </c>
      <c r="B4865" s="8" t="str">
        <f>"9780769528892"</f>
        <v>9780769528892</v>
      </c>
      <c r="C4865" s="8" t="s">
        <v>9</v>
      </c>
    </row>
    <row r="4866" spans="1:3" x14ac:dyDescent="0.25">
      <c r="A4866" s="8" t="str">
        <f>"3rd IEEE International Symposium on Sensorless Control for Electrical Drives, SLED 2012"</f>
        <v>3rd IEEE International Symposium on Sensorless Control for Electrical Drives, SLED 2012</v>
      </c>
      <c r="B4866" s="8" t="str">
        <f>"9781467329668"</f>
        <v>9781467329668</v>
      </c>
      <c r="C4866" s="8" t="s">
        <v>9</v>
      </c>
    </row>
    <row r="4867" spans="1:3" x14ac:dyDescent="0.25">
      <c r="A4867" s="8" t="str">
        <f>"3rd IEEE International Vacuum Electronics Conference, IVEC 2002"</f>
        <v>3rd IEEE International Vacuum Electronics Conference, IVEC 2002</v>
      </c>
      <c r="B4867" s="8" t="str">
        <f>"9780780372566"</f>
        <v>9780780372566</v>
      </c>
      <c r="C4867" s="8" t="s">
        <v>105</v>
      </c>
    </row>
    <row r="4868" spans="1:3" x14ac:dyDescent="0.25">
      <c r="A4868" s="8" t="str">
        <f>"3rd IEEE Latin American Robotics Symposium, LARS'06"</f>
        <v>3rd IEEE Latin American Robotics Symposium, LARS'06</v>
      </c>
      <c r="B4868" s="8" t="str">
        <f>"9781424405374"</f>
        <v>9781424405374</v>
      </c>
      <c r="C4868" s="8" t="s">
        <v>9</v>
      </c>
    </row>
    <row r="4869" spans="1:3" x14ac:dyDescent="0.25">
      <c r="A4869" s="8" t="str">
        <f>"3rd IEEE/Create-Net International Conference on Communication System Software and Middleware, COMSWARE"</f>
        <v>3rd IEEE/Create-Net International Conference on Communication System Software and Middleware, COMSWARE</v>
      </c>
      <c r="B4869" s="8" t="str">
        <f>"9781424417971"</f>
        <v>9781424417971</v>
      </c>
      <c r="C4869" s="8" t="s">
        <v>9</v>
      </c>
    </row>
    <row r="4870" spans="1:3" x14ac:dyDescent="0.25">
      <c r="A4870" s="8" t="str">
        <f>"3rd IEEE/IFIP International Workshop on Business-driven IT Management, BDIM 2008"</f>
        <v>3rd IEEE/IFIP International Workshop on Business-driven IT Management, BDIM 2008</v>
      </c>
      <c r="B4870" s="8" t="str">
        <f>"9781424421916"</f>
        <v>9781424421916</v>
      </c>
      <c r="C4870" s="8" t="s">
        <v>9</v>
      </c>
    </row>
    <row r="4871" spans="1:3" x14ac:dyDescent="0.25">
      <c r="A4871" s="8" t="str">
        <f>"3rd IEEE/IFIP Workshop on End-to-End Monitoring Techniques and Services, E2EMON"</f>
        <v>3rd IEEE/IFIP Workshop on End-to-End Monitoring Techniques and Services, E2EMON</v>
      </c>
      <c r="B4871" s="8" t="str">
        <f>"-"</f>
        <v>-</v>
      </c>
      <c r="C4871" s="8" t="s">
        <v>9</v>
      </c>
    </row>
    <row r="4872" spans="1:3" x14ac:dyDescent="0.25">
      <c r="A4872" s="8" t="str">
        <f>"3rd IMEKO TC13 Symposium on Measurements in Biology and Medicine 2014: New Frontiers in Biomedical Measurements"</f>
        <v>3rd IMEKO TC13 Symposium on Measurements in Biology and Medicine 2014: New Frontiers in Biomedical Measurements</v>
      </c>
      <c r="B4872" s="8" t="str">
        <f>"9781634398206"</f>
        <v>9781634398206</v>
      </c>
      <c r="C4872" s="8" t="s">
        <v>1198</v>
      </c>
    </row>
    <row r="4873" spans="1:3" x14ac:dyDescent="0.25">
      <c r="A4873" s="8" t="str">
        <f>"3rd IMEKO TC16 International Conference on Pressure Measurement 2007"</f>
        <v>3rd IMEKO TC16 International Conference on Pressure Measurement 2007</v>
      </c>
      <c r="B4873" s="8" t="str">
        <f>"9781615676354"</f>
        <v>9781615676354</v>
      </c>
      <c r="C4873" s="8" t="s">
        <v>1198</v>
      </c>
    </row>
    <row r="4874" spans="1:3" x14ac:dyDescent="0.25">
      <c r="A4874" s="8" t="str">
        <f>"3rd Int. Conf. on Advances in Vehicle Control and Safety 2007, AVCS 2007 and 3rd Int. Conf. on Integrated Modeling and Analysis in Applied Control and Automation, IMAACA 2007, Held at the IMSM 2007"</f>
        <v>3rd Int. Conf. on Advances in Vehicle Control and Safety 2007, AVCS 2007 and 3rd Int. Conf. on Integrated Modeling and Analysis in Applied Control and Automation, IMAACA 2007, Held at the IMSM 2007</v>
      </c>
      <c r="B4874" s="8" t="str">
        <f>"9781629934716"</f>
        <v>9781629934716</v>
      </c>
      <c r="C4874" s="8" t="s">
        <v>1200</v>
      </c>
    </row>
    <row r="4875" spans="1:3" x14ac:dyDescent="0.25">
      <c r="A4875" s="8" t="str">
        <f>"3rd Int. Conf. on Communication Theory, Reliability, and Quality of Service, CTRQ 2010, Includes MOPAS 2010: 1st Int. Conf. on Models and Ontology-Based Design of Protocols, Architecture and Services"</f>
        <v>3rd Int. Conf. on Communication Theory, Reliability, and Quality of Service, CTRQ 2010, Includes MOPAS 2010: 1st Int. Conf. on Models and Ontology-Based Design of Protocols, Architecture and Services</v>
      </c>
      <c r="B4875" s="8" t="str">
        <f>"9780769540702"</f>
        <v>9780769540702</v>
      </c>
      <c r="C4875" s="8" t="s">
        <v>9</v>
      </c>
    </row>
    <row r="4876" spans="1:3" x14ac:dyDescent="0.25">
      <c r="A4876" s="8" t="str">
        <f>"3rd Int. Joint Topical Meeting on Emergency Preparedness and Response and Robotics and Remote Systems 2011, EPRRSD, and 13th Robotics and Remote Systems for Hazardous Environments"</f>
        <v>3rd Int. Joint Topical Meeting on Emergency Preparedness and Response and Robotics and Remote Systems 2011, EPRRSD, and 13th Robotics and Remote Systems for Hazardous Environments</v>
      </c>
      <c r="B4876" s="8" t="str">
        <f>"9781618392008"</f>
        <v>9781618392008</v>
      </c>
      <c r="C4876" s="8" t="s">
        <v>453</v>
      </c>
    </row>
    <row r="4877" spans="1:3" x14ac:dyDescent="0.25">
      <c r="A4877" s="8" t="str">
        <f>"3rd International Conference - Radiation Interaction with Material and Its Use in Technologies 2010, Program and Materials, Interaction'2010"</f>
        <v>3rd International Conference - Radiation Interaction with Material and Its Use in Technologies 2010, Program and Materials, Interaction'2010</v>
      </c>
      <c r="B4877" s="8" t="str">
        <f>"-"</f>
        <v>-</v>
      </c>
      <c r="C4877" s="8" t="s">
        <v>1140</v>
      </c>
    </row>
    <row r="4878" spans="1:3" x14ac:dyDescent="0.25">
      <c r="A4878" s="8" t="str">
        <f>"3rd International Conference on Advanced Computing, ICoAC 2011"</f>
        <v>3rd International Conference on Advanced Computing, ICoAC 2011</v>
      </c>
      <c r="B4878" s="8" t="str">
        <f>"9781467306690"</f>
        <v>9781467306690</v>
      </c>
      <c r="C4878" s="8" t="s">
        <v>9</v>
      </c>
    </row>
    <row r="4879" spans="1:3" x14ac:dyDescent="0.25">
      <c r="A4879" s="8" t="str">
        <f>"3rd International Conference on Advanced Engineering Computing and Applications in Sciences, ADVCOMP 2009"</f>
        <v>3rd International Conference on Advanced Engineering Computing and Applications in Sciences, ADVCOMP 2009</v>
      </c>
      <c r="B4879" s="8" t="str">
        <f>"9780769538297"</f>
        <v>9780769538297</v>
      </c>
      <c r="C4879" s="8" t="s">
        <v>9</v>
      </c>
    </row>
    <row r="4880" spans="1:3" x14ac:dyDescent="0.25">
      <c r="A4880" s="8" t="str">
        <f>"3rd International Conference on Advances in Computer-Human Interactions, ACHI 2010"</f>
        <v>3rd International Conference on Advances in Computer-Human Interactions, ACHI 2010</v>
      </c>
      <c r="B4880" s="8" t="str">
        <f>"9780769539577"</f>
        <v>9780769539577</v>
      </c>
      <c r="C4880" s="8" t="s">
        <v>9</v>
      </c>
    </row>
    <row r="4881" spans="1:3" x14ac:dyDescent="0.25">
      <c r="A4881" s="8" t="str">
        <f>"3rd International Conference on Advances in New Technologies, Interactive Interfaces and Communicability, ADNTIIC 2012: Design, E-Commerce, E-Learning, E-Health, E-Tourism, Web 2.0 and Web 3.0"</f>
        <v>3rd International Conference on Advances in New Technologies, Interactive Interfaces and Communicability, ADNTIIC 2012: Design, E-Commerce, E-Learning, E-Health, E-Tourism, Web 2.0 and Web 3.0</v>
      </c>
      <c r="B4881" s="8" t="str">
        <f>"9788896471166"</f>
        <v>9788896471166</v>
      </c>
      <c r="C4881" s="8" t="s">
        <v>1500</v>
      </c>
    </row>
    <row r="4882" spans="1:3" x14ac:dyDescent="0.25">
      <c r="A4882" s="8" t="str">
        <f>"3rd International Conference on Advances in Semantic Processing - SEMAPRO 2009"</f>
        <v>3rd International Conference on Advances in Semantic Processing - SEMAPRO 2009</v>
      </c>
      <c r="B4882" s="8" t="str">
        <f>"9780769538334"</f>
        <v>9780769538334</v>
      </c>
      <c r="C4882" s="8" t="s">
        <v>9</v>
      </c>
    </row>
    <row r="4883" spans="1:3" x14ac:dyDescent="0.25">
      <c r="A4883" s="8" t="str">
        <f>"3rd International Conference on Autonomic and Autonomous Systems, ICAS'07"</f>
        <v>3rd International Conference on Autonomic and Autonomous Systems, ICAS'07</v>
      </c>
      <c r="B4883" s="8" t="str">
        <f>"9780769527994"</f>
        <v>9780769527994</v>
      </c>
      <c r="C4883" s="8" t="s">
        <v>105</v>
      </c>
    </row>
    <row r="4884" spans="1:3" x14ac:dyDescent="0.25">
      <c r="A4884" s="8" t="str">
        <f>"3rd International Conference on Bioinformatics and Biomedical Engineering, iCBBE 2009"</f>
        <v>3rd International Conference on Bioinformatics and Biomedical Engineering, iCBBE 2009</v>
      </c>
      <c r="B4884" s="8" t="str">
        <f>"9781424429028"</f>
        <v>9781424429028</v>
      </c>
      <c r="C4884" s="8" t="s">
        <v>9</v>
      </c>
    </row>
    <row r="4885" spans="1:3" x14ac:dyDescent="0.25">
      <c r="A4885" s="8" t="str">
        <f>"3rd International Conference on Bioinformatics and Computational Biology 2011, BICoB 2011"</f>
        <v>3rd International Conference on Bioinformatics and Computational Biology 2011, BICoB 2011</v>
      </c>
      <c r="B4885" s="8" t="str">
        <f>"9781617823886"</f>
        <v>9781617823886</v>
      </c>
      <c r="C4885" s="8" t="s">
        <v>1287</v>
      </c>
    </row>
    <row r="4886" spans="1:3" x14ac:dyDescent="0.25">
      <c r="A4886" s="8" t="str">
        <f>"3rd International Conference on Clean Electrical Power: Renewable Energy Resources Impact, ICCEP 2011"</f>
        <v>3rd International Conference on Clean Electrical Power: Renewable Energy Resources Impact, ICCEP 2011</v>
      </c>
      <c r="B4886" s="8" t="str">
        <f>"9781424489282"</f>
        <v>9781424489282</v>
      </c>
      <c r="C4886" s="8" t="s">
        <v>9</v>
      </c>
    </row>
    <row r="4887" spans="1:3" x14ac:dyDescent="0.25">
      <c r="A4887" s="8" t="str">
        <f>"3rd International Conference on Communications and Networking in China, ChinaCom 2008"</f>
        <v>3rd International Conference on Communications and Networking in China, ChinaCom 2008</v>
      </c>
      <c r="B4887" s="8" t="str">
        <f>"9781424423736"</f>
        <v>9781424423736</v>
      </c>
      <c r="C4887" s="8" t="s">
        <v>9</v>
      </c>
    </row>
    <row r="4888" spans="1:3" x14ac:dyDescent="0.25">
      <c r="A4888" s="8" t="str">
        <f>"3rd International Conference on Communications and Networking, ComNet 2012"</f>
        <v>3rd International Conference on Communications and Networking, ComNet 2012</v>
      </c>
      <c r="B4888" s="8" t="str">
        <f>"9781467310079"</f>
        <v>9781467310079</v>
      </c>
      <c r="C4888" s="8" t="s">
        <v>9</v>
      </c>
    </row>
    <row r="4889" spans="1:3" x14ac:dyDescent="0.25">
      <c r="A4889" s="8" t="str">
        <f>"3rd International Conference on Computational Methods for Thermal Problems, ThermaComp 2014"</f>
        <v>3rd International Conference on Computational Methods for Thermal Problems, ThermaComp 2014</v>
      </c>
      <c r="B4889" s="8" t="str">
        <f>"9788874317271"</f>
        <v>9788874317271</v>
      </c>
      <c r="C4889" s="8" t="s">
        <v>1501</v>
      </c>
    </row>
    <row r="4890" spans="1:3" x14ac:dyDescent="0.25">
      <c r="A4890" s="8" t="str">
        <f>"3rd International Conference on Current Problems in Nuclear Physics and Atomic Energy, NPAE 2010 - Proceedings"</f>
        <v>3rd International Conference on Current Problems in Nuclear Physics and Atomic Energy, NPAE 2010 - Proceedings</v>
      </c>
      <c r="B4890" s="8" t="str">
        <f>"-"</f>
        <v>-</v>
      </c>
      <c r="C4890" s="8" t="s">
        <v>1462</v>
      </c>
    </row>
    <row r="4891" spans="1:3" x14ac:dyDescent="0.25">
      <c r="A4891" s="8" t="str">
        <f>"3rd International Conference on Deregulation and Restructuring and Power Technologies, DRPT 2008"</f>
        <v>3rd International Conference on Deregulation and Restructuring and Power Technologies, DRPT 2008</v>
      </c>
      <c r="B4891" s="8" t="str">
        <f>"9787900714138"</f>
        <v>9787900714138</v>
      </c>
      <c r="C4891" s="8" t="s">
        <v>9</v>
      </c>
    </row>
    <row r="4892" spans="1:3" x14ac:dyDescent="0.25">
      <c r="A4892" s="8" t="str">
        <f>"3rd International Conference on Digital Information Management, ICDIM 2008"</f>
        <v>3rd International Conference on Digital Information Management, ICDIM 2008</v>
      </c>
      <c r="B4892" s="8" t="str">
        <f>"9781424429172"</f>
        <v>9781424429172</v>
      </c>
      <c r="C4892" s="8" t="s">
        <v>9</v>
      </c>
    </row>
    <row r="4893" spans="1:3" x14ac:dyDescent="0.25">
      <c r="A4893" s="8" t="str">
        <f>"3rd International Conference on Education and Information Systems: Technologies and Applications, EISTA 2005, Proceedings"</f>
        <v>3rd International Conference on Education and Information Systems: Technologies and Applications, EISTA 2005, Proceedings</v>
      </c>
      <c r="B4893" s="8" t="str">
        <f>"-"</f>
        <v>-</v>
      </c>
      <c r="C4893" s="8" t="s">
        <v>1502</v>
      </c>
    </row>
    <row r="4894" spans="1:3" x14ac:dyDescent="0.25">
      <c r="A4894" s="8" t="str">
        <f>"3rd International Conference on eLearning and eTeaching, ICeLeT 2012"</f>
        <v>3rd International Conference on eLearning and eTeaching, ICeLeT 2012</v>
      </c>
      <c r="B4894" s="8" t="str">
        <f>"9781467309578"</f>
        <v>9781467309578</v>
      </c>
      <c r="C4894" s="8" t="s">
        <v>9</v>
      </c>
    </row>
    <row r="4895" spans="1:3" x14ac:dyDescent="0.25">
      <c r="A4895" s="8" t="str">
        <f>"3rd International Conference on Electrical and Control Technologies, ECT 2008"</f>
        <v>3rd International Conference on Electrical and Control Technologies, ECT 2008</v>
      </c>
      <c r="B4895" s="8" t="str">
        <f>"9781634397971"</f>
        <v>9781634397971</v>
      </c>
      <c r="C4895" s="8" t="s">
        <v>1140</v>
      </c>
    </row>
    <row r="4896" spans="1:3" x14ac:dyDescent="0.25">
      <c r="A4896" s="8" t="str">
        <f>"3rd International Conference on Future Generation Communication Technologies, FGCT 2014"</f>
        <v>3rd International Conference on Future Generation Communication Technologies, FGCT 2014</v>
      </c>
      <c r="B4896" s="8" t="str">
        <f>"9781479954186"</f>
        <v>9781479954186</v>
      </c>
      <c r="C4896" s="8" t="s">
        <v>105</v>
      </c>
    </row>
    <row r="4897" spans="1:3" x14ac:dyDescent="0.25">
      <c r="A4897" s="8" t="str">
        <f>"3rd International Conference on Genetic and Evolutionary Computing, WGEC 2009"</f>
        <v>3rd International Conference on Genetic and Evolutionary Computing, WGEC 2009</v>
      </c>
      <c r="B4897" s="8" t="str">
        <f>"9780769538990"</f>
        <v>9780769538990</v>
      </c>
      <c r="C4897" s="8" t="s">
        <v>9</v>
      </c>
    </row>
    <row r="4898" spans="1:3" x14ac:dyDescent="0.25">
      <c r="A4898" s="8" t="str">
        <f>"3rd International Conference on Geometric Modeling and Imaging: Modern Techniques and Applications, GMAI"</f>
        <v>3rd International Conference on Geometric Modeling and Imaging: Modern Techniques and Applications, GMAI</v>
      </c>
      <c r="B4898" s="8" t="str">
        <f>"9780769532707"</f>
        <v>9780769532707</v>
      </c>
      <c r="C4898" s="8" t="s">
        <v>9</v>
      </c>
    </row>
    <row r="4899" spans="1:3" x14ac:dyDescent="0.25">
      <c r="A4899" s="8" t="str">
        <f>"3rd International Conference on Human System Interaction, HSI'2010 - Conference Proceedings"</f>
        <v>3rd International Conference on Human System Interaction, HSI'2010 - Conference Proceedings</v>
      </c>
      <c r="B4899" s="8" t="str">
        <f>"9781424475605"</f>
        <v>9781424475605</v>
      </c>
      <c r="C4899" s="8" t="s">
        <v>9</v>
      </c>
    </row>
    <row r="4900" spans="1:3" x14ac:dyDescent="0.25">
      <c r="A4900" s="8" t="str">
        <f>"3rd International Conference on Information Technology and e-Services, ICITeS 2013"</f>
        <v>3rd International Conference on Information Technology and e-Services, ICITeS 2013</v>
      </c>
      <c r="B4900" s="8" t="str">
        <f>"9781479901319"</f>
        <v>9781479901319</v>
      </c>
      <c r="C4900" s="8" t="s">
        <v>9</v>
      </c>
    </row>
    <row r="4901" spans="1:3" x14ac:dyDescent="0.25">
      <c r="A4901" s="8" t="str">
        <f>"3rd International Conference on Information Warfare and Security"</f>
        <v>3rd International Conference on Information Warfare and Security</v>
      </c>
      <c r="B4901" s="8" t="str">
        <f>"9781906638009"</f>
        <v>9781906638009</v>
      </c>
      <c r="C4901" s="8" t="s">
        <v>973</v>
      </c>
    </row>
    <row r="4902" spans="1:3" x14ac:dyDescent="0.25">
      <c r="A4902" s="8" t="str">
        <f>"3rd International Conference on Innovative Computing Information and Control, ICICIC'08"</f>
        <v>3rd International Conference on Innovative Computing Information and Control, ICICIC'08</v>
      </c>
      <c r="B4902" s="8" t="str">
        <f>"9780769531618"</f>
        <v>9780769531618</v>
      </c>
      <c r="C4902" s="8" t="s">
        <v>9</v>
      </c>
    </row>
    <row r="4903" spans="1:3" x14ac:dyDescent="0.25">
      <c r="A4903" s="8" t="str">
        <f>"3rd International Conference on Knowledge Discovery and Data Mining, WKDD 2010"</f>
        <v>3rd International Conference on Knowledge Discovery and Data Mining, WKDD 2010</v>
      </c>
      <c r="B4903" s="8" t="str">
        <f>"9780769539232"</f>
        <v>9780769539232</v>
      </c>
      <c r="C4903" s="8" t="s">
        <v>9</v>
      </c>
    </row>
    <row r="4904" spans="1:3" x14ac:dyDescent="0.25">
      <c r="A4904" s="8" t="str">
        <f>"3rd International Conference on Malicious and Unwanted Software, MALWARE 2008"</f>
        <v>3rd International Conference on Malicious and Unwanted Software, MALWARE 2008</v>
      </c>
      <c r="B4904" s="8" t="str">
        <f>"9781424432899"</f>
        <v>9781424432899</v>
      </c>
      <c r="C4904" s="8" t="s">
        <v>9</v>
      </c>
    </row>
    <row r="4905" spans="1:3" x14ac:dyDescent="0.25">
      <c r="A4905" s="8" t="str">
        <f>"3rd International Conference on Mobile Ubiquitous Computing, Systems, Services, and Technologies, UBICOMM 2009"</f>
        <v>3rd International Conference on Mobile Ubiquitous Computing, Systems, Services, and Technologies, UBICOMM 2009</v>
      </c>
      <c r="B4905" s="8" t="str">
        <f>"9780769538341"</f>
        <v>9780769538341</v>
      </c>
      <c r="C4905" s="8" t="s">
        <v>9</v>
      </c>
    </row>
    <row r="4906" spans="1:3" x14ac:dyDescent="0.25">
      <c r="A4906" s="8" t="str">
        <f>"3rd International Conference on Multimedia and Ubiquitous Engineering, MUE 2009"</f>
        <v>3rd International Conference on Multimedia and Ubiquitous Engineering, MUE 2009</v>
      </c>
      <c r="B4906" s="8" t="str">
        <f>"9780769536583"</f>
        <v>9780769536583</v>
      </c>
      <c r="C4906" s="8" t="s">
        <v>9</v>
      </c>
    </row>
    <row r="4907" spans="1:3" x14ac:dyDescent="0.25">
      <c r="A4907" s="8" t="str">
        <f>"3rd International Conference on Networking and Services,ICNS 2007"</f>
        <v>3rd International Conference on Networking and Services,ICNS 2007</v>
      </c>
      <c r="B4907" s="8" t="str">
        <f>"-"</f>
        <v>-</v>
      </c>
      <c r="C4907" s="8" t="s">
        <v>9</v>
      </c>
    </row>
    <row r="4908" spans="1:3" x14ac:dyDescent="0.25">
      <c r="A4908" s="8" t="str">
        <f>"3rd International Conference on New Technologies, Mobility and Security, NTMS 2009"</f>
        <v>3rd International Conference on New Technologies, Mobility and Security, NTMS 2009</v>
      </c>
      <c r="B4908" s="8" t="str">
        <f>"9781424462735"</f>
        <v>9781424462735</v>
      </c>
      <c r="C4908" s="8" t="s">
        <v>9</v>
      </c>
    </row>
    <row r="4909" spans="1:3" x14ac:dyDescent="0.25">
      <c r="A4909" s="8" t="str">
        <f>"3rd International Conference on Next Generation Infrastructure Systems for Eco-Cities, INFRA 2010 - Conference Proceedings"</f>
        <v>3rd International Conference on Next Generation Infrastructure Systems for Eco-Cities, INFRA 2010 - Conference Proceedings</v>
      </c>
      <c r="B4909" s="8" t="str">
        <f>"9781424484775"</f>
        <v>9781424484775</v>
      </c>
      <c r="C4909" s="8" t="s">
        <v>9</v>
      </c>
    </row>
    <row r="4910" spans="1:3" x14ac:dyDescent="0.25">
      <c r="A4910" s="8" t="str">
        <f>"3rd International Conference on Renewable Energy Research and Applications, ICRERA 2014"</f>
        <v>3rd International Conference on Renewable Energy Research and Applications, ICRERA 2014</v>
      </c>
      <c r="B4910" s="8" t="str">
        <f>"9781479937950"</f>
        <v>9781479937950</v>
      </c>
      <c r="C4910" s="8" t="s">
        <v>105</v>
      </c>
    </row>
    <row r="4911" spans="1:3" x14ac:dyDescent="0.25">
      <c r="A4911" s="8" t="str">
        <f>"3rd International Conference on Semantics, Knowledge, and Grid, SKG 2007"</f>
        <v>3rd International Conference on Semantics, Knowledge, and Grid, SKG 2007</v>
      </c>
      <c r="B4911" s="8" t="str">
        <f>"9780769530079"</f>
        <v>9780769530079</v>
      </c>
      <c r="C4911" s="8" t="s">
        <v>9</v>
      </c>
    </row>
    <row r="4912" spans="1:3" x14ac:dyDescent="0.25">
      <c r="A4912" s="8" t="str">
        <f>"3rd International Conference on Signal Processing and Communication Systems, ICSPCS'2009 - Proceedings"</f>
        <v>3rd International Conference on Signal Processing and Communication Systems, ICSPCS'2009 - Proceedings</v>
      </c>
      <c r="B4912" s="8" t="str">
        <f>"9781424444748"</f>
        <v>9781424444748</v>
      </c>
      <c r="C4912" s="8" t="s">
        <v>9</v>
      </c>
    </row>
    <row r="4913" spans="1:3" x14ac:dyDescent="0.25">
      <c r="A4913" s="8" t="str">
        <f>"3rd International Conference on Signals, Circuits and Systems, SCS 2009"</f>
        <v>3rd International Conference on Signals, Circuits and Systems, SCS 2009</v>
      </c>
      <c r="B4913" s="8" t="str">
        <f>"9781424443987"</f>
        <v>9781424443987</v>
      </c>
      <c r="C4913" s="8" t="s">
        <v>9</v>
      </c>
    </row>
    <row r="4914" spans="1:3" x14ac:dyDescent="0.25">
      <c r="A4914" s="8" t="str">
        <f>"3rd International Conference on Systems, ICONS 2008"</f>
        <v>3rd International Conference on Systems, ICONS 2008</v>
      </c>
      <c r="B4914" s="8" t="str">
        <f>"9780769531052"</f>
        <v>9780769531052</v>
      </c>
      <c r="C4914" s="8" t="s">
        <v>9</v>
      </c>
    </row>
    <row r="4915" spans="1:3" x14ac:dyDescent="0.25">
      <c r="A4915" s="8" t="str">
        <f>"3rd International Conference on Technology and Operation of Offshore Support Vessels"</f>
        <v>3rd International Conference on Technology and Operation of Offshore Support Vessels</v>
      </c>
      <c r="B4915" s="8" t="str">
        <f>"-"</f>
        <v>-</v>
      </c>
      <c r="C4915" s="8" t="s">
        <v>1266</v>
      </c>
    </row>
    <row r="4916" spans="1:3" x14ac:dyDescent="0.25">
      <c r="A4916" s="8" t="str">
        <f>"3rd International Conference on Thermomechanical Processing of Steels, TMP 2008"</f>
        <v>3rd International Conference on Thermomechanical Processing of Steels, TMP 2008</v>
      </c>
      <c r="B4916" s="8" t="str">
        <f>"9788885298668"</f>
        <v>9788885298668</v>
      </c>
      <c r="C4916" s="8" t="s">
        <v>1503</v>
      </c>
    </row>
    <row r="4917" spans="1:3" x14ac:dyDescent="0.25">
      <c r="A4917" s="8" t="str">
        <f>"3rd International Conference on Water and Wastewater Pumping Stations"</f>
        <v>3rd International Conference on Water and Wastewater Pumping Stations</v>
      </c>
      <c r="B4917" s="8" t="str">
        <f>"9781855980624"</f>
        <v>9781855980624</v>
      </c>
      <c r="C4917" s="8" t="s">
        <v>1246</v>
      </c>
    </row>
    <row r="4918" spans="1:3" x14ac:dyDescent="0.25">
      <c r="A4918" s="8" t="str">
        <f>"3rd International Defense and Homeland Security Simulation Workshop, DHSS 2013, Held at the International Multidisciplinary Modeling and Simulation Multiconference, I3M 2013"</f>
        <v>3rd International Defense and Homeland Security Simulation Workshop, DHSS 2013, Held at the International Multidisciplinary Modeling and Simulation Multiconference, I3M 2013</v>
      </c>
      <c r="B4918" s="8" t="str">
        <f>"9781629934860"</f>
        <v>9781629934860</v>
      </c>
      <c r="C4918" s="8" t="s">
        <v>1200</v>
      </c>
    </row>
    <row r="4919" spans="1:3" x14ac:dyDescent="0.25">
      <c r="A4919" s="8" t="str">
        <f>"3rd International Geoscience Conference Tyumen 2013: New Geotechnology for the Old Oil Provinces"</f>
        <v>3rd International Geoscience Conference Tyumen 2013: New Geotechnology for the Old Oil Provinces</v>
      </c>
      <c r="B4919" s="8" t="str">
        <f>"-"</f>
        <v>-</v>
      </c>
      <c r="C4919" s="8" t="s">
        <v>1251</v>
      </c>
    </row>
    <row r="4920" spans="1:3" x14ac:dyDescent="0.25">
      <c r="A4920" s="8" t="str">
        <f>"3rd International Helicopter Safety Symposium 2009, IHSS 2009"</f>
        <v>3rd International Helicopter Safety Symposium 2009, IHSS 2009</v>
      </c>
      <c r="B4920" s="8" t="str">
        <f>"9781615679881"</f>
        <v>9781615679881</v>
      </c>
      <c r="C4920" s="8" t="s">
        <v>129</v>
      </c>
    </row>
    <row r="4921" spans="1:3" x14ac:dyDescent="0.25">
      <c r="A4921" s="8" t="str">
        <f>"3rd International ICST Conference on Bio-Inspired Models of Network, Information and Computing Systems, BIONETICS 2008"</f>
        <v>3rd International ICST Conference on Bio-Inspired Models of Network, Information and Computing Systems, BIONETICS 2008</v>
      </c>
      <c r="B4921" s="8" t="str">
        <f>"9789639799356"</f>
        <v>9789639799356</v>
      </c>
      <c r="C4921" s="8" t="s">
        <v>1504</v>
      </c>
    </row>
    <row r="4922" spans="1:3" x14ac:dyDescent="0.25">
      <c r="A4922" s="8" t="str">
        <f>"3rd International IEEE Northeast Workshop on Circuits and Systems Conference, NEWCAS 2005"</f>
        <v>3rd International IEEE Northeast Workshop on Circuits and Systems Conference, NEWCAS 2005</v>
      </c>
      <c r="B4922" s="8" t="str">
        <f>"-"</f>
        <v>-</v>
      </c>
      <c r="C4922" s="8" t="s">
        <v>9</v>
      </c>
    </row>
    <row r="4923" spans="1:3" x14ac:dyDescent="0.25">
      <c r="A4923" s="8" t="str">
        <f>"3rd International IEEE Workshop on Software Evolvability 2007, SE"</f>
        <v>3rd International IEEE Workshop on Software Evolvability 2007, SE</v>
      </c>
      <c r="B4923" s="8" t="str">
        <f>"9780769530024"</f>
        <v>9780769530024</v>
      </c>
      <c r="C4923" s="8" t="s">
        <v>9</v>
      </c>
    </row>
    <row r="4924" spans="1:3" x14ac:dyDescent="0.25">
      <c r="A4924" s="8" t="str">
        <f>"3rd International Industrial Simulation Conference 2005, ISC 2005"</f>
        <v>3rd International Industrial Simulation Conference 2005, ISC 2005</v>
      </c>
      <c r="B4924" s="8" t="str">
        <f>"9789077381182"</f>
        <v>9789077381182</v>
      </c>
      <c r="C4924" s="8" t="s">
        <v>1206</v>
      </c>
    </row>
    <row r="4925" spans="1:3" x14ac:dyDescent="0.25">
      <c r="A4925" s="8" t="str">
        <f>"3rd International Joint Conference on Computational Sciences and Optimization, CSO 2010: Theoretical Development and Engineering Practice"</f>
        <v>3rd International Joint Conference on Computational Sciences and Optimization, CSO 2010: Theoretical Development and Engineering Practice</v>
      </c>
      <c r="B4925" s="8" t="str">
        <f>"9780769540306"</f>
        <v>9780769540306</v>
      </c>
      <c r="C4925" s="8" t="s">
        <v>9</v>
      </c>
    </row>
    <row r="4926" spans="1:3" x14ac:dyDescent="0.25">
      <c r="A4926" s="8" t="str">
        <f>"3rd International Metrology Conference 2010, CAFMET 2010"</f>
        <v>3rd International Metrology Conference 2010, CAFMET 2010</v>
      </c>
      <c r="B4926" s="8" t="str">
        <f>"9781618390370"</f>
        <v>9781618390370</v>
      </c>
      <c r="C4926" s="8" t="s">
        <v>1505</v>
      </c>
    </row>
    <row r="4927" spans="1:3" x14ac:dyDescent="0.25">
      <c r="A4927" s="8" t="str">
        <f>"3rd International Multi-Symposiums on Computer and Computational Sciences, IMSCCS'08"</f>
        <v>3rd International Multi-Symposiums on Computer and Computational Sciences, IMSCCS'08</v>
      </c>
      <c r="B4927" s="8" t="str">
        <f>"9780769534305"</f>
        <v>9780769534305</v>
      </c>
      <c r="C4927" s="8" t="s">
        <v>9</v>
      </c>
    </row>
    <row r="4928" spans="1:3" x14ac:dyDescent="0.25">
      <c r="A4928" s="8" t="str">
        <f>"3rd International North-American Conference on Intelligent Games and Simulation, Game-On 'NA 2007"</f>
        <v>3rd International North-American Conference on Intelligent Games and Simulation, Game-On 'NA 2007</v>
      </c>
      <c r="B4928" s="8" t="str">
        <f>"9789077381359"</f>
        <v>9789077381359</v>
      </c>
      <c r="C4928" s="8" t="s">
        <v>1206</v>
      </c>
    </row>
    <row r="4929" spans="1:3" x14ac:dyDescent="0.25">
      <c r="A4929" s="8" t="str">
        <f>"3rd International Symposium on Electronic Commerce and Security, ISECS 2010"</f>
        <v>3rd International Symposium on Electronic Commerce and Security, ISECS 2010</v>
      </c>
      <c r="B4929" s="8" t="str">
        <f>"-"</f>
        <v>-</v>
      </c>
      <c r="C4929" s="8" t="s">
        <v>9</v>
      </c>
    </row>
    <row r="4930" spans="1:3" x14ac:dyDescent="0.25">
      <c r="A4930" s="8" t="str">
        <f>"3rd International Symposium on Environment Friendly Energies and Applications, EFEA 2014"</f>
        <v>3rd International Symposium on Environment Friendly Energies and Applications, EFEA 2014</v>
      </c>
      <c r="B4930" s="8" t="str">
        <f>"9781479975174"</f>
        <v>9781479975174</v>
      </c>
      <c r="C4930" s="8" t="s">
        <v>105</v>
      </c>
    </row>
    <row r="4931" spans="1:3" x14ac:dyDescent="0.25">
      <c r="A4931" s="8" t="str">
        <f>"3rd International Symposium on Intelligent Information Technology and Security Informatics, IITSI 2010"</f>
        <v>3rd International Symposium on Intelligent Information Technology and Security Informatics, IITSI 2010</v>
      </c>
      <c r="B4931" s="8" t="str">
        <f>"9780769540207"</f>
        <v>9780769540207</v>
      </c>
      <c r="C4931" s="8" t="s">
        <v>9</v>
      </c>
    </row>
    <row r="4932" spans="1:3" x14ac:dyDescent="0.25">
      <c r="A4932" s="8" t="str">
        <f>"3rd International Symposium on Intelligent Information Technology Application Workshops, IITAW 2009"</f>
        <v>3rd International Symposium on Intelligent Information Technology Application Workshops, IITAW 2009</v>
      </c>
      <c r="B4932" s="8" t="str">
        <f>"9780769538600"</f>
        <v>9780769538600</v>
      </c>
      <c r="C4932" s="8" t="s">
        <v>9</v>
      </c>
    </row>
    <row r="4933" spans="1:3" x14ac:dyDescent="0.25">
      <c r="A4933" s="8" t="str">
        <f>"3rd International Symposium on Intelligent Information Technology Application, IITA 2009"</f>
        <v>3rd International Symposium on Intelligent Information Technology Application, IITA 2009</v>
      </c>
      <c r="B4933" s="8" t="str">
        <f>"9780769538594"</f>
        <v>9780769538594</v>
      </c>
      <c r="C4933" s="8" t="s">
        <v>9</v>
      </c>
    </row>
    <row r="4934" spans="1:3" x14ac:dyDescent="0.25">
      <c r="A4934" s="8" t="str">
        <f>"3rd International Symposium on Measurement, Analysis, and Modeling of Human Functions 2007, ISHF 2007"</f>
        <v>3rd International Symposium on Measurement, Analysis, and Modeling of Human Functions 2007, ISHF 2007</v>
      </c>
      <c r="B4934" s="8" t="str">
        <f>"9781615676767"</f>
        <v>9781615676767</v>
      </c>
      <c r="C4934" s="8" t="s">
        <v>1198</v>
      </c>
    </row>
    <row r="4935" spans="1:3" x14ac:dyDescent="0.25">
      <c r="A4935" s="8" t="str">
        <f>"3rd International Symposium on Runaway Reactions, Pressure Relief Design, and Effluent Handling"</f>
        <v>3rd International Symposium on Runaway Reactions, Pressure Relief Design, and Effluent Handling</v>
      </c>
      <c r="B4935" s="8" t="str">
        <f>"-"</f>
        <v>-</v>
      </c>
      <c r="C4935" s="8" t="s">
        <v>106</v>
      </c>
    </row>
    <row r="4936" spans="1:3" x14ac:dyDescent="0.25">
      <c r="A4936" s="8" t="str">
        <f>"3rd International Symposium on Semantic Mining in Biomedicine, SMBM 2008 - Proceedings"</f>
        <v>3rd International Symposium on Semantic Mining in Biomedicine, SMBM 2008 - Proceedings</v>
      </c>
      <c r="B4936" s="8" t="str">
        <f>"-"</f>
        <v>-</v>
      </c>
      <c r="C4936" s="8" t="s">
        <v>1506</v>
      </c>
    </row>
    <row r="4937" spans="1:3" x14ac:dyDescent="0.25">
      <c r="A4937" s="8" t="str">
        <f>"3rd International Symposium on Ship Operations, Management and Economics 2011"</f>
        <v>3rd International Symposium on Ship Operations, Management and Economics 2011</v>
      </c>
      <c r="B4937" s="8" t="str">
        <f>"9781618399861"</f>
        <v>9781618399861</v>
      </c>
      <c r="C4937" s="8" t="s">
        <v>762</v>
      </c>
    </row>
    <row r="4938" spans="1:3" x14ac:dyDescent="0.25">
      <c r="A4938" s="8" t="str">
        <f>"3rd International Symposium on Technologies for Digital Photo Fulfillment 2012 - From Clics to Pics: The Personalization of Photo Imaging Output, TDPF 2012"</f>
        <v>3rd International Symposium on Technologies for Digital Photo Fulfillment 2012 - From Clics to Pics: The Personalization of Photo Imaging Output, TDPF 2012</v>
      </c>
      <c r="B4938" s="8" t="str">
        <f>"9781622769407"</f>
        <v>9781622769407</v>
      </c>
      <c r="C4938" s="8" t="s">
        <v>415</v>
      </c>
    </row>
    <row r="4939" spans="1:3" x14ac:dyDescent="0.25">
      <c r="A4939" s="8" t="str">
        <f>"3rd International Symposium on Test Automation and Instrumentation, ISTAI 2010"</f>
        <v>3rd International Symposium on Test Automation and Instrumentation, ISTAI 2010</v>
      </c>
      <c r="B4939" s="8" t="str">
        <f>"-"</f>
        <v>-</v>
      </c>
      <c r="C4939" s="8" t="s">
        <v>1507</v>
      </c>
    </row>
    <row r="4940" spans="1:3" x14ac:dyDescent="0.25">
      <c r="A4940" s="8" t="str">
        <f>"3rd International Symposium on Wireless Communication Systems 2006, ISWCS'06"</f>
        <v>3rd International Symposium on Wireless Communication Systems 2006, ISWCS'06</v>
      </c>
      <c r="B4940" s="8" t="str">
        <f>"9781424403974"</f>
        <v>9781424403974</v>
      </c>
      <c r="C4940" s="8" t="s">
        <v>9</v>
      </c>
    </row>
    <row r="4941" spans="1:3" x14ac:dyDescent="0.25">
      <c r="A4941" s="8" t="str">
        <f>"3rd International Symposium on Wireless Pervasive Computing, ISWPC 2008, Proceedings"</f>
        <v>3rd International Symposium on Wireless Pervasive Computing, ISWPC 2008, Proceedings</v>
      </c>
      <c r="B4941" s="8" t="str">
        <f>"9781424416530"</f>
        <v>9781424416530</v>
      </c>
      <c r="C4941" s="8" t="s">
        <v>9</v>
      </c>
    </row>
    <row r="4942" spans="1:3" x14ac:dyDescent="0.25">
      <c r="A4942" s="8" t="str">
        <f>"3rd International Winter Conference on Brain-Computer Interface, BCI 2015"</f>
        <v>3rd International Winter Conference on Brain-Computer Interface, BCI 2015</v>
      </c>
      <c r="B4942" s="8" t="str">
        <f>"9781479974948"</f>
        <v>9781479974948</v>
      </c>
      <c r="C4942" s="8" t="s">
        <v>105</v>
      </c>
    </row>
    <row r="4943" spans="1:3" x14ac:dyDescent="0.25">
      <c r="A4943" s="8" t="str">
        <f>"3rd International Workshop on Advanced Computational Intelligence, IWACI 2010"</f>
        <v>3rd International Workshop on Advanced Computational Intelligence, IWACI 2010</v>
      </c>
      <c r="B4943" s="8" t="str">
        <f>"9781424463343"</f>
        <v>9781424463343</v>
      </c>
      <c r="C4943" s="8" t="s">
        <v>9</v>
      </c>
    </row>
    <row r="4944" spans="1:3" x14ac:dyDescent="0.25">
      <c r="A4944" s="8" t="str">
        <f>"3rd International Workshop on Advances in Sensors and Interfaces, IWASI 2009"</f>
        <v>3rd International Workshop on Advances in Sensors and Interfaces, IWASI 2009</v>
      </c>
      <c r="B4944" s="8" t="str">
        <f>"9781424447091"</f>
        <v>9781424447091</v>
      </c>
      <c r="C4944" s="8" t="s">
        <v>9</v>
      </c>
    </row>
    <row r="4945" spans="1:3" x14ac:dyDescent="0.25">
      <c r="A4945" s="8" t="str">
        <f>"3rd International Workshop on Biometrics and Forensics, IWBF 2015"</f>
        <v>3rd International Workshop on Biometrics and Forensics, IWBF 2015</v>
      </c>
      <c r="B4945" s="8" t="str">
        <f>"9781479981052"</f>
        <v>9781479981052</v>
      </c>
      <c r="C4945" s="8" t="s">
        <v>105</v>
      </c>
    </row>
    <row r="4946" spans="1:3" x14ac:dyDescent="0.25">
      <c r="A4946" s="8" t="str">
        <f>"3rd International Workshop on Data Management in Sensor Networks, DMSN'06, in Conjunction with Very Large Data Bases, VLDB 2006"</f>
        <v>3rd International Workshop on Data Management in Sensor Networks, DMSN'06, in Conjunction with Very Large Data Bases, VLDB 2006</v>
      </c>
      <c r="B4946" s="8" t="str">
        <f>"-"</f>
        <v>-</v>
      </c>
      <c r="C4946" s="8" t="s">
        <v>21</v>
      </c>
    </row>
    <row r="4947" spans="1:3" x14ac:dyDescent="0.25">
      <c r="A4947" s="8" t="str">
        <f>"3rd International Workshop on Database Technologies for Handling XML Information on the Web, DataX'08 - Held at EDBT 2008 11th International Conference on Extending Database Technology"</f>
        <v>3rd International Workshop on Database Technologies for Handling XML Information on the Web, DataX'08 - Held at EDBT 2008 11th International Conference on Extending Database Technology</v>
      </c>
      <c r="B4947" s="8" t="str">
        <f>"9781595939661"</f>
        <v>9781595939661</v>
      </c>
      <c r="C4947" s="8" t="s">
        <v>21</v>
      </c>
    </row>
    <row r="4948" spans="1:3" x14ac:dyDescent="0.25">
      <c r="A4948" s="8" t="str">
        <f>"3rd International Workshop on Database Technologies for Handling XML Information on the Web, DataX'08 - Held at EDBT 2008: 11th International Conference on Extending Database Technology"</f>
        <v>3rd International Workshop on Database Technologies for Handling XML Information on the Web, DataX'08 - Held at EDBT 2008: 11th International Conference on Extending Database Technology</v>
      </c>
      <c r="B4948" s="8" t="str">
        <f>"9781595939661"</f>
        <v>9781595939661</v>
      </c>
      <c r="C4948" s="8" t="s">
        <v>21</v>
      </c>
    </row>
    <row r="4949" spans="1:3" x14ac:dyDescent="0.25">
      <c r="A4949" s="8" t="str">
        <f>"3rd International Workshop on Earth Observation and Remote Sensing Applications, EORSA 2014 - Proceedings"</f>
        <v>3rd International Workshop on Earth Observation and Remote Sensing Applications, EORSA 2014 - Proceedings</v>
      </c>
      <c r="B4949" s="8" t="str">
        <f>"9781479941841"</f>
        <v>9781479941841</v>
      </c>
      <c r="C4949" s="8" t="s">
        <v>105</v>
      </c>
    </row>
    <row r="4950" spans="1:3" x14ac:dyDescent="0.25">
      <c r="A4950" s="8" t="str">
        <f>"3rd International Workshop on Green and Sustainable Software, GREENS 2014 - Proceedings"</f>
        <v>3rd International Workshop on Green and Sustainable Software, GREENS 2014 - Proceedings</v>
      </c>
      <c r="B4950" s="8" t="str">
        <f>"9781450328449"</f>
        <v>9781450328449</v>
      </c>
      <c r="C4950" s="8" t="s">
        <v>1235</v>
      </c>
    </row>
    <row r="4951" spans="1:3" x14ac:dyDescent="0.25">
      <c r="A4951" s="8" t="str">
        <f>"3rd International Workshop on Innovative Simulation for Health Care, IWISH 2014"</f>
        <v>3rd International Workshop on Innovative Simulation for Health Care, IWISH 2014</v>
      </c>
      <c r="B4951" s="8" t="str">
        <f>"9788897999379"</f>
        <v>9788897999379</v>
      </c>
      <c r="C4951" s="8" t="s">
        <v>1256</v>
      </c>
    </row>
    <row r="4952" spans="1:3" x14ac:dyDescent="0.25">
      <c r="A4952" s="8" t="str">
        <f>"3rd International Workshop on Network on Chip Architectures, NoCArc 2010, in Conjunction with the 43rd Annual IEEE/ACM International Symposium on Microarchitecture, MICRO-43"</f>
        <v>3rd International Workshop on Network on Chip Architectures, NoCArc 2010, in Conjunction with the 43rd Annual IEEE/ACM International Symposium on Microarchitecture, MICRO-43</v>
      </c>
      <c r="B4952" s="8" t="str">
        <f>"9781450303972"</f>
        <v>9781450303972</v>
      </c>
      <c r="C4952" s="8" t="s">
        <v>21</v>
      </c>
    </row>
    <row r="4953" spans="1:3" x14ac:dyDescent="0.25">
      <c r="A4953" s="8" t="s">
        <v>1508</v>
      </c>
      <c r="B4953" s="8" t="str">
        <f>"-"</f>
        <v>-</v>
      </c>
      <c r="C4953" s="8" t="s">
        <v>1509</v>
      </c>
    </row>
    <row r="4954" spans="1:3" x14ac:dyDescent="0.25">
      <c r="A4954" s="8" t="str">
        <f>"3rd International Workshop on Software Engineering Challenges for the Smart Grid, SE4SG 2014 - Proceedings"</f>
        <v>3rd International Workshop on Software Engineering Challenges for the Smart Grid, SE4SG 2014 - Proceedings</v>
      </c>
      <c r="B4954" s="8" t="str">
        <f>"9781450328425"</f>
        <v>9781450328425</v>
      </c>
      <c r="C4954" s="8" t="s">
        <v>1235</v>
      </c>
    </row>
    <row r="4955" spans="1:3" x14ac:dyDescent="0.25">
      <c r="A4955" s="8" t="str">
        <f>"3rd ISESEE 2011 - International Symposium and Exhibition in Sustainable Energy and Environment"</f>
        <v>3rd ISESEE 2011 - International Symposium and Exhibition in Sustainable Energy and Environment</v>
      </c>
      <c r="B4955" s="8" t="str">
        <f>"9781457703423"</f>
        <v>9781457703423</v>
      </c>
      <c r="C4955" s="8" t="s">
        <v>9</v>
      </c>
    </row>
    <row r="4956" spans="1:3" x14ac:dyDescent="0.25">
      <c r="A4956" s="8" t="str">
        <f>"3rd LHC Project Workshop: 15th Chamonix Workshop - Proceedings"</f>
        <v>3rd LHC Project Workshop: 15th Chamonix Workshop - Proceedings</v>
      </c>
      <c r="B4956" s="8" t="str">
        <f>"-"</f>
        <v>-</v>
      </c>
      <c r="C4956" s="8" t="s">
        <v>259</v>
      </c>
    </row>
    <row r="4957" spans="1:3" x14ac:dyDescent="0.25">
      <c r="A4957" s="8" t="str">
        <f>"3rd M.I.T. Conference on Computational Fluid and Solid Mechanics"</f>
        <v>3rd M.I.T. Conference on Computational Fluid and Solid Mechanics</v>
      </c>
      <c r="B4957" s="8" t="str">
        <f>"9780080444819"</f>
        <v>9780080444819</v>
      </c>
      <c r="C4957" s="8" t="s">
        <v>19</v>
      </c>
    </row>
    <row r="4958" spans="1:3" x14ac:dyDescent="0.25">
      <c r="A4958" s="8" t="str">
        <f>"3rd Many-Core Applications Research Community Symposium, MARC 2011"</f>
        <v>3rd Many-Core Applications Research Community Symposium, MARC 2011</v>
      </c>
      <c r="B4958" s="8" t="str">
        <f>"9783866447172"</f>
        <v>9783866447172</v>
      </c>
      <c r="C4958" s="8" t="s">
        <v>1510</v>
      </c>
    </row>
    <row r="4959" spans="1:3" x14ac:dyDescent="0.25">
      <c r="A4959" s="8" t="str">
        <f>"3rd Mosharaka International Conference on Communications, Signals and Coding, MIC-CSC 2009"</f>
        <v>3rd Mosharaka International Conference on Communications, Signals and Coding, MIC-CSC 2009</v>
      </c>
      <c r="B4959" s="8" t="str">
        <f>"-"</f>
        <v>-</v>
      </c>
      <c r="C4959" s="8" t="s">
        <v>1511</v>
      </c>
    </row>
    <row r="4960" spans="1:3" x14ac:dyDescent="0.25">
      <c r="A4960" s="8" t="str">
        <f>"3rd Nirma University International Conference on Engineering, NUiCONE 2012"</f>
        <v>3rd Nirma University International Conference on Engineering, NUiCONE 2012</v>
      </c>
      <c r="B4960" s="8" t="str">
        <f>"9781467317207"</f>
        <v>9781467317207</v>
      </c>
      <c r="C4960" s="8" t="s">
        <v>9</v>
      </c>
    </row>
    <row r="4961" spans="1:3" x14ac:dyDescent="0.25">
      <c r="A4961" s="8" t="str">
        <f>"3rd North African/Mediterranean Petroleum and Geosciences Conference and Exhibition"</f>
        <v>3rd North African/Mediterranean Petroleum and Geosciences Conference and Exhibition</v>
      </c>
      <c r="B4961" s="8" t="str">
        <f>"9789073781429"</f>
        <v>9789073781429</v>
      </c>
      <c r="C4961" s="8" t="s">
        <v>1251</v>
      </c>
    </row>
    <row r="4962" spans="1:3" x14ac:dyDescent="0.25">
      <c r="A4962" s="8" t="str">
        <f>"3rd Pacific International Conference on Applications of Lasers and Optics, PICALO 2008 - Conference Proceedings"</f>
        <v>3rd Pacific International Conference on Applications of Lasers and Optics, PICALO 2008 - Conference Proceedings</v>
      </c>
      <c r="B4962" s="8" t="str">
        <f>"9780912035895"</f>
        <v>9780912035895</v>
      </c>
      <c r="C4962" s="8" t="s">
        <v>723</v>
      </c>
    </row>
    <row r="4963" spans="1:3" x14ac:dyDescent="0.25">
      <c r="A4963" s="8" t="str">
        <f>"3rd Passive Seismic Workshop: Actively Passive!"</f>
        <v>3rd Passive Seismic Workshop: Actively Passive!</v>
      </c>
      <c r="B4963" s="8" t="str">
        <f>"-"</f>
        <v>-</v>
      </c>
      <c r="C4963" s="8" t="s">
        <v>1251</v>
      </c>
    </row>
    <row r="4964" spans="1:3" x14ac:dyDescent="0.25">
      <c r="A4964" s="8" t="str">
        <f>"3rd Portuguese Bioengineering Meeting, ENBENG 2013 - Book of Proceedings"</f>
        <v>3rd Portuguese Bioengineering Meeting, ENBENG 2013 - Book of Proceedings</v>
      </c>
      <c r="B4964" s="8" t="str">
        <f>"9781467348591"</f>
        <v>9781467348591</v>
      </c>
      <c r="C4964" s="8" t="s">
        <v>9</v>
      </c>
    </row>
    <row r="4965" spans="1:3" x14ac:dyDescent="0.25">
      <c r="A4965" s="8" t="str">
        <f>"3rd Process Safety Management Mentoring Forum 2014, PSM2 2014 - Topical Conference at the 2014 AIChE Spring Meeting and 10th Global Congress on Process Safety"</f>
        <v>3rd Process Safety Management Mentoring Forum 2014, PSM2 2014 - Topical Conference at the 2014 AIChE Spring Meeting and 10th Global Congress on Process Safety</v>
      </c>
      <c r="B4965" s="8" t="str">
        <f>"9781634391603"</f>
        <v>9781634391603</v>
      </c>
      <c r="C4965" s="8" t="s">
        <v>1219</v>
      </c>
    </row>
    <row r="4966" spans="1:3" x14ac:dyDescent="0.25">
      <c r="A4966" s="8" t="str">
        <f>"3rd Region-8 IEEE HISTory of Electro - Technology CONference: The Origins of Electrotechnologies, HISTELCON 2012 - Conference Proceedings"</f>
        <v>3rd Region-8 IEEE HISTory of Electro - Technology CONference: The Origins of Electrotechnologies, HISTELCON 2012 - Conference Proceedings</v>
      </c>
      <c r="B4966" s="8" t="str">
        <f>"9781467330794"</f>
        <v>9781467330794</v>
      </c>
      <c r="C4966" s="8" t="s">
        <v>9</v>
      </c>
    </row>
    <row r="4967" spans="1:3" x14ac:dyDescent="0.25">
      <c r="A4967" s="8" t="str">
        <f>"3rd SEMAT Workshop on General Theories of Software Engineering, GTSE 2014 - Proceedings"</f>
        <v>3rd SEMAT Workshop on General Theories of Software Engineering, GTSE 2014 - Proceedings</v>
      </c>
      <c r="B4967" s="8" t="str">
        <f>"9781450328500"</f>
        <v>9781450328500</v>
      </c>
      <c r="C4967" s="8" t="s">
        <v>1235</v>
      </c>
    </row>
    <row r="4968" spans="1:3" x14ac:dyDescent="0.25">
      <c r="A4968" s="8" t="str">
        <f>"3rd Theoretical Fluid Mechanics Meeting"</f>
        <v>3rd Theoretical Fluid Mechanics Meeting</v>
      </c>
      <c r="B4968" s="8" t="str">
        <f>"9781624101168"</f>
        <v>9781624101168</v>
      </c>
      <c r="C4968" s="8" t="s">
        <v>104</v>
      </c>
    </row>
    <row r="4969" spans="1:3" x14ac:dyDescent="0.25">
      <c r="A4969" s="8" t="str">
        <f>"3rd Workshop in Virtual Reality Interactions and Physical Simulations, VRIPHYS 2006"</f>
        <v>3rd Workshop in Virtual Reality Interactions and Physical Simulations, VRIPHYS 2006</v>
      </c>
      <c r="B4969" s="8" t="str">
        <f>"9783905673616"</f>
        <v>9783905673616</v>
      </c>
      <c r="C4969" s="8" t="s">
        <v>23</v>
      </c>
    </row>
    <row r="4970" spans="1:3" x14ac:dyDescent="0.25">
      <c r="A4970" s="8" t="str">
        <f>"3rd Workshop on Photonics and its Application at Egyptian Engineering Faculties and Institutes"</f>
        <v>3rd Workshop on Photonics and its Application at Egyptian Engineering Faculties and Institutes</v>
      </c>
      <c r="B4970" s="8" t="str">
        <f>"9780780371637"</f>
        <v>9780780371637</v>
      </c>
      <c r="C4970" s="8" t="s">
        <v>105</v>
      </c>
    </row>
    <row r="4971" spans="1:3" x14ac:dyDescent="0.25">
      <c r="A4971" s="8" t="str">
        <f>"3rd Workshop on Procedural Content Generation in Games, PCG 2012, Organized in Conjunction with the Foundations of Digital Games Conference, FDG 2012"</f>
        <v>3rd Workshop on Procedural Content Generation in Games, PCG 2012, Organized in Conjunction with the Foundations of Digital Games Conference, FDG 2012</v>
      </c>
      <c r="B4971" s="8" t="str">
        <f>"-"</f>
        <v>-</v>
      </c>
      <c r="C4971" s="8" t="s">
        <v>21</v>
      </c>
    </row>
    <row r="4972" spans="1:3" x14ac:dyDescent="0.25">
      <c r="A4972" s="8" t="str">
        <f>"3rd Workshop on Searching Spontaneous Conversational Speech, SSCS'09, Co-located with the 2009 ACM International Conference on Multimedia, MM'09"</f>
        <v>3rd Workshop on Searching Spontaneous Conversational Speech, SSCS'09, Co-located with the 2009 ACM International Conference on Multimedia, MM'09</v>
      </c>
      <c r="B4972" s="8" t="str">
        <f>"9781605587622"</f>
        <v>9781605587622</v>
      </c>
      <c r="C4972" s="8" t="s">
        <v>21</v>
      </c>
    </row>
    <row r="4973" spans="1:3" x14ac:dyDescent="0.25">
      <c r="A4973" s="8" t="str">
        <f>"3rd Workshop on the Unitarity Triangle, CKM 2005"</f>
        <v>3rd Workshop on the Unitarity Triangle, CKM 2005</v>
      </c>
      <c r="B4973" s="8" t="str">
        <f>"-"</f>
        <v>-</v>
      </c>
      <c r="C4973" s="8" t="s">
        <v>1341</v>
      </c>
    </row>
    <row r="4974" spans="1:3" x14ac:dyDescent="0.25">
      <c r="A4974" s="8" t="str">
        <f>"3rd World Congress on Industrial Process Tomography"</f>
        <v>3rd World Congress on Industrial Process Tomography</v>
      </c>
      <c r="B4974" s="8" t="str">
        <f>"9780853163190"</f>
        <v>9780853163190</v>
      </c>
      <c r="C4974" s="8" t="s">
        <v>1328</v>
      </c>
    </row>
    <row r="4975" spans="1:3" x14ac:dyDescent="0.25">
      <c r="A4975" s="8" t="str">
        <f>"3rd World of Coal Ash, WOCA Conference - Proceedings"</f>
        <v>3rd World of Coal Ash, WOCA Conference - Proceedings</v>
      </c>
      <c r="B4975" s="8" t="str">
        <f>"-"</f>
        <v>-</v>
      </c>
      <c r="C4975" s="8" t="s">
        <v>1512</v>
      </c>
    </row>
    <row r="4976" spans="1:3" x14ac:dyDescent="0.25">
      <c r="A4976" s="8" t="str">
        <f>"40th AIAA Aerospace Sciences Meeting and Exhibit"</f>
        <v>40th AIAA Aerospace Sciences Meeting and Exhibit</v>
      </c>
      <c r="B4976" s="8" t="str">
        <f>"-"</f>
        <v>-</v>
      </c>
      <c r="C4976" s="8" t="s">
        <v>104</v>
      </c>
    </row>
    <row r="4977" spans="1:3" x14ac:dyDescent="0.25">
      <c r="A4977" s="8" t="str">
        <f>"40th AIAA Fluid Dynamics Conference"</f>
        <v>40th AIAA Fluid Dynamics Conference</v>
      </c>
      <c r="B4977" s="8" t="str">
        <f>"9781617389221"</f>
        <v>9781617389221</v>
      </c>
      <c r="C4977" s="8" t="s">
        <v>104</v>
      </c>
    </row>
    <row r="4978" spans="1:3" x14ac:dyDescent="0.25">
      <c r="A4978" s="8" t="str">
        <f>"40th AIAA Plasmadynamics and Lasers Conference"</f>
        <v>40th AIAA Plasmadynamics and Lasers Conference</v>
      </c>
      <c r="B4978" s="8" t="str">
        <f>"9781563479755"</f>
        <v>9781563479755</v>
      </c>
      <c r="C4978" s="8" t="s">
        <v>104</v>
      </c>
    </row>
    <row r="4979" spans="1:3" x14ac:dyDescent="0.25">
      <c r="A4979" s="8" t="str">
        <f>"40th AIAA Thermophysics Conference"</f>
        <v>40th AIAA Thermophysics Conference</v>
      </c>
      <c r="B4979" s="8" t="str">
        <f>"9781563479427"</f>
        <v>9781563479427</v>
      </c>
      <c r="C4979" s="8" t="s">
        <v>104</v>
      </c>
    </row>
    <row r="4980" spans="1:3" x14ac:dyDescent="0.25">
      <c r="A4980" s="8" t="str">
        <f>"40th AIAA/ASME/SAE/ASEE Joint Propulsion Conference and Exhibit"</f>
        <v>40th AIAA/ASME/SAE/ASEE Joint Propulsion Conference and Exhibit</v>
      </c>
      <c r="B4980" s="8" t="str">
        <f>"-"</f>
        <v>-</v>
      </c>
      <c r="C4980" s="8" t="s">
        <v>104</v>
      </c>
    </row>
    <row r="4981" spans="1:3" x14ac:dyDescent="0.25">
      <c r="A4981" s="8" t="str">
        <f>"40th Anniversary of the 1st Proton-Proton Collisions in the CERN Intersecting Storage Rings, ISR 2011"</f>
        <v>40th Anniversary of the 1st Proton-Proton Collisions in the CERN Intersecting Storage Rings, ISR 2011</v>
      </c>
      <c r="B4981" s="8" t="str">
        <f>"9789290833758"</f>
        <v>9789290833758</v>
      </c>
      <c r="C4981" s="8" t="s">
        <v>259</v>
      </c>
    </row>
    <row r="4982" spans="1:3" x14ac:dyDescent="0.25">
      <c r="A4982" s="8" t="str">
        <f>"40th Annual International Symposium of the Society of Flight Test Engineers 2009"</f>
        <v>40th Annual International Symposium of the Society of Flight Test Engineers 2009</v>
      </c>
      <c r="B4982" s="8" t="str">
        <f>"9781617384455"</f>
        <v>9781617384455</v>
      </c>
      <c r="C4982" s="8" t="s">
        <v>1490</v>
      </c>
    </row>
    <row r="4983" spans="1:3" x14ac:dyDescent="0.25">
      <c r="A4983" s="8" t="str">
        <f>"40th Annual Loss Prevention Symposium 2006, Held at the 2006 AIChE Spring National Meeting"</f>
        <v>40th Annual Loss Prevention Symposium 2006, Held at the 2006 AIChE Spring National Meeting</v>
      </c>
      <c r="B4983" s="8" t="str">
        <f>"9781604235159"</f>
        <v>9781604235159</v>
      </c>
      <c r="C4983" s="8" t="s">
        <v>1219</v>
      </c>
    </row>
    <row r="4984" spans="1:3" x14ac:dyDescent="0.25">
      <c r="A4984" s="8" t="str">
        <f>"40th Annual Precise Time and Time Interval (PTTI) Systems and Applications Meeting 2008"</f>
        <v>40th Annual Precise Time and Time Interval (PTTI) Systems and Applications Meeting 2008</v>
      </c>
      <c r="B4984" s="8" t="str">
        <f>"9781615672394"</f>
        <v>9781615672394</v>
      </c>
      <c r="C4984" s="8" t="s">
        <v>969</v>
      </c>
    </row>
    <row r="4985" spans="1:3" x14ac:dyDescent="0.25">
      <c r="A4985" s="8" t="str">
        <f>"40th ASES National Solar Conference 2011, SOLAR 2011"</f>
        <v>40th ASES National Solar Conference 2011, SOLAR 2011</v>
      </c>
      <c r="B4985" s="8" t="str">
        <f>"9781618394279"</f>
        <v>9781618394279</v>
      </c>
      <c r="C4985" s="8" t="s">
        <v>1491</v>
      </c>
    </row>
    <row r="4986" spans="1:3" x14ac:dyDescent="0.25">
      <c r="A4986" s="8" t="str">
        <f>"40th European Rotorcraft Forum 2014"</f>
        <v>40th European Rotorcraft Forum 2014</v>
      </c>
      <c r="B4986" s="8" t="str">
        <f>"-"</f>
        <v>-</v>
      </c>
      <c r="C4986" s="8" t="s">
        <v>94</v>
      </c>
    </row>
    <row r="4987" spans="1:3" x14ac:dyDescent="0.25">
      <c r="A4987" s="8" t="str">
        <f>"40th ICFA Advanced Beam Dynamics Workshop on High Luminosity e+e- Factories, ABDW 2008 - Contributions to the Proceedings"</f>
        <v>40th ICFA Advanced Beam Dynamics Workshop on High Luminosity e+e- Factories, ABDW 2008 - Contributions to the Proceedings</v>
      </c>
      <c r="B4987" s="8" t="str">
        <f>"-"</f>
        <v>-</v>
      </c>
      <c r="C4987" s="8" t="s">
        <v>1359</v>
      </c>
    </row>
    <row r="4988" spans="1:3" x14ac:dyDescent="0.25">
      <c r="A4988" s="8" t="str">
        <f>"40th International Conference on Computers and Industrial Engineering: Soft Computing Techniques for Advanced Manufacturing and Service Systems, CIE40 2010"</f>
        <v>40th International Conference on Computers and Industrial Engineering: Soft Computing Techniques for Advanced Manufacturing and Service Systems, CIE40 2010</v>
      </c>
      <c r="B4988" s="8" t="str">
        <f>"9781424472956"</f>
        <v>9781424472956</v>
      </c>
      <c r="C4988" s="8" t="s">
        <v>9</v>
      </c>
    </row>
    <row r="4989" spans="1:3" x14ac:dyDescent="0.25">
      <c r="A4989" s="8" t="str">
        <f>"40th International Conference on Environmental Systems, ICES 2010"</f>
        <v>40th International Conference on Environmental Systems, ICES 2010</v>
      </c>
      <c r="B4989" s="8" t="str">
        <f>"9781600869570"</f>
        <v>9781600869570</v>
      </c>
      <c r="C4989" s="8" t="s">
        <v>104</v>
      </c>
    </row>
    <row r="4990" spans="1:3" x14ac:dyDescent="0.25">
      <c r="A4990" s="8" t="str">
        <f>"40th International Conference on Performance and Capacity 2014 by CMG"</f>
        <v>40th International Conference on Performance and Capacity 2014 by CMG</v>
      </c>
      <c r="B4990" s="8" t="str">
        <f>"-"</f>
        <v>-</v>
      </c>
      <c r="C4990" s="8" t="s">
        <v>1513</v>
      </c>
    </row>
    <row r="4991" spans="1:3" x14ac:dyDescent="0.25">
      <c r="A4991" s="8" t="str">
        <f>"40th International Congress and Exposition on Noise Control Engineering 2011, INTER-NOISE 2011"</f>
        <v>40th International Congress and Exposition on Noise Control Engineering 2011, INTER-NOISE 2011</v>
      </c>
      <c r="B4991" s="8" t="str">
        <f>"9781618392800"</f>
        <v>9781618392800</v>
      </c>
      <c r="C4991" s="8" t="s">
        <v>1514</v>
      </c>
    </row>
    <row r="4992" spans="1:3" x14ac:dyDescent="0.25">
      <c r="A4992" s="8" t="str">
        <f>"40th International Erosion Control Association Annual Conference and Expo 2009 - Environmental Connection 2009: Connect to Solutions"</f>
        <v>40th International Erosion Control Association Annual Conference and Expo 2009 - Environmental Connection 2009: Connect to Solutions</v>
      </c>
      <c r="B4992" s="8" t="str">
        <f>"9781615670567"</f>
        <v>9781615670567</v>
      </c>
      <c r="C4992" s="8" t="s">
        <v>957</v>
      </c>
    </row>
    <row r="4993" spans="1:3" x14ac:dyDescent="0.25">
      <c r="A4993" s="8" t="str">
        <f>"40th North American Power Symposium, NAPS2008"</f>
        <v>40th North American Power Symposium, NAPS2008</v>
      </c>
      <c r="B4993" s="8" t="str">
        <f>"9781424442836"</f>
        <v>9781424442836</v>
      </c>
      <c r="C4993" s="8" t="s">
        <v>9</v>
      </c>
    </row>
    <row r="4994" spans="1:3" x14ac:dyDescent="0.25">
      <c r="A4994" s="8" t="str">
        <f>"40th Symposium on Engineering Geology and Geotechnical Engineering 2006"</f>
        <v>40th Symposium on Engineering Geology and Geotechnical Engineering 2006</v>
      </c>
      <c r="B4994" s="8" t="str">
        <f>"9781618397614"</f>
        <v>9781618397614</v>
      </c>
      <c r="C4994" s="8" t="s">
        <v>1515</v>
      </c>
    </row>
    <row r="4995" spans="1:3" x14ac:dyDescent="0.25">
      <c r="A4995" s="8" t="str">
        <f>"41st Aerospace Sciences Meeting and Exhibit"</f>
        <v>41st Aerospace Sciences Meeting and Exhibit</v>
      </c>
      <c r="B4995" s="8" t="str">
        <f>"9781624100994"</f>
        <v>9781624100994</v>
      </c>
      <c r="C4995" s="8" t="s">
        <v>104</v>
      </c>
    </row>
    <row r="4996" spans="1:3" x14ac:dyDescent="0.25">
      <c r="A4996" s="8" t="str">
        <f>"41st AIAA Fluid Dynamics Conference and Exhibit"</f>
        <v>41st AIAA Fluid Dynamics Conference and Exhibit</v>
      </c>
      <c r="B4996" s="8" t="str">
        <f>"9781600869471"</f>
        <v>9781600869471</v>
      </c>
      <c r="C4996" s="8" t="s">
        <v>104</v>
      </c>
    </row>
    <row r="4997" spans="1:3" x14ac:dyDescent="0.25">
      <c r="A4997" s="8" t="str">
        <f>"41st AIAA Plasmadynamics and Lasers Conference"</f>
        <v>41st AIAA Plasmadynamics and Lasers Conference</v>
      </c>
      <c r="B4997" s="8" t="str">
        <f>"9781600867453"</f>
        <v>9781600867453</v>
      </c>
      <c r="C4997" s="8" t="s">
        <v>104</v>
      </c>
    </row>
    <row r="4998" spans="1:3" x14ac:dyDescent="0.25">
      <c r="A4998" s="8" t="str">
        <f>"41st AIAA Thermophysics Conference"</f>
        <v>41st AIAA Thermophysics Conference</v>
      </c>
      <c r="B4998" s="8" t="str">
        <f>"9781563479755"</f>
        <v>9781563479755</v>
      </c>
      <c r="C4998" s="8" t="s">
        <v>104</v>
      </c>
    </row>
    <row r="4999" spans="1:3" x14ac:dyDescent="0.25">
      <c r="A4999" s="8" t="str">
        <f>"41st AIAA/ASME/SAE/ASEE Joint Propulsion Conference and Exhibit"</f>
        <v>41st AIAA/ASME/SAE/ASEE Joint Propulsion Conference and Exhibit</v>
      </c>
      <c r="B4999" s="8" t="str">
        <f>"-"</f>
        <v>-</v>
      </c>
      <c r="C4999" s="8" t="s">
        <v>104</v>
      </c>
    </row>
    <row r="5000" spans="1:3" x14ac:dyDescent="0.25">
      <c r="A5000" s="8" t="str">
        <f>"41st Annual Human Factors and Ergonomics Society of Australia Conference 2005: Technology Improving Performance, HFESA 2005"</f>
        <v>41st Annual Human Factors and Ergonomics Society of Australia Conference 2005: Technology Improving Performance, HFESA 2005</v>
      </c>
      <c r="B5000" s="8" t="str">
        <f>"9781622769582"</f>
        <v>9781622769582</v>
      </c>
      <c r="C5000" s="8" t="s">
        <v>1516</v>
      </c>
    </row>
    <row r="5001" spans="1:3" x14ac:dyDescent="0.25">
      <c r="A5001" s="8" t="str">
        <f>"41st Annual International Symposium of the Society of Flight Test Engineers 2010"</f>
        <v>41st Annual International Symposium of the Society of Flight Test Engineers 2010</v>
      </c>
      <c r="B5001" s="8" t="str">
        <f>"9781617820250"</f>
        <v>9781617820250</v>
      </c>
      <c r="C5001" s="8" t="s">
        <v>1490</v>
      </c>
    </row>
    <row r="5002" spans="1:3" x14ac:dyDescent="0.25">
      <c r="A5002" s="8" t="str">
        <f>"41st Annual Precise Time and Time Interval (PTTI) Systems and Applications Meeting 2009"</f>
        <v>41st Annual Precise Time and Time Interval (PTTI) Systems and Applications Meeting 2009</v>
      </c>
      <c r="B5002" s="8" t="str">
        <f>"9781617386541"</f>
        <v>9781617386541</v>
      </c>
      <c r="C5002" s="8" t="s">
        <v>969</v>
      </c>
    </row>
    <row r="5003" spans="1:3" x14ac:dyDescent="0.25">
      <c r="A5003" s="8" t="str">
        <f>"41st International Conference on Computers and Industrial Engineering 2011"</f>
        <v>41st International Conference on Computers and Industrial Engineering 2011</v>
      </c>
      <c r="B5003" s="8" t="str">
        <f>"9781627486835"</f>
        <v>9781627486835</v>
      </c>
      <c r="C5003" s="8" t="s">
        <v>1489</v>
      </c>
    </row>
    <row r="5004" spans="1:3" x14ac:dyDescent="0.25">
      <c r="A5004" s="8" t="str">
        <f>"41st International Conference on Environmental Systems 2011, ICES 2011"</f>
        <v>41st International Conference on Environmental Systems 2011, ICES 2011</v>
      </c>
      <c r="B5004" s="8" t="str">
        <f>"9781600869488"</f>
        <v>9781600869488</v>
      </c>
      <c r="C5004" s="8" t="s">
        <v>104</v>
      </c>
    </row>
    <row r="5005" spans="1:3" x14ac:dyDescent="0.25">
      <c r="A5005" s="8" t="str">
        <f>"41st International Conference on Large High Voltage Electric Systems 2006, CIGRE 2006"</f>
        <v>41st International Conference on Large High Voltage Electric Systems 2006, CIGRE 2006</v>
      </c>
      <c r="B5005" s="8" t="str">
        <f>"-"</f>
        <v>-</v>
      </c>
      <c r="C5005" s="8" t="s">
        <v>1517</v>
      </c>
    </row>
    <row r="5006" spans="1:3" x14ac:dyDescent="0.25">
      <c r="A5006" s="8" t="str">
        <f>"41st International Congress and Exposition on Noise Control Engineering 2012, INTER-NOISE 2012"</f>
        <v>41st International Congress and Exposition on Noise Control Engineering 2012, INTER-NOISE 2012</v>
      </c>
      <c r="B5006" s="8" t="str">
        <f>"9781627485609"</f>
        <v>9781627485609</v>
      </c>
      <c r="C5006" s="8" t="s">
        <v>907</v>
      </c>
    </row>
    <row r="5007" spans="1:3" x14ac:dyDescent="0.25">
      <c r="A5007" s="8" t="str">
        <f>"41st International Erosion Control Association Annual Conference 2010"</f>
        <v>41st International Erosion Control Association Annual Conference 2010</v>
      </c>
      <c r="B5007" s="8" t="str">
        <f>"9781617384301"</f>
        <v>9781617384301</v>
      </c>
      <c r="C5007" s="8" t="s">
        <v>957</v>
      </c>
    </row>
    <row r="5008" spans="1:3" x14ac:dyDescent="0.25">
      <c r="A5008" s="8" t="str">
        <f>"41st International Universities Power Engineering Conference, UPEC 2006, Conference Procedings"</f>
        <v>41st International Universities Power Engineering Conference, UPEC 2006, Conference Procedings</v>
      </c>
      <c r="B5008" s="8" t="str">
        <f>"9781861353429"</f>
        <v>9781861353429</v>
      </c>
      <c r="C5008" s="8" t="s">
        <v>9</v>
      </c>
    </row>
    <row r="5009" spans="1:3" x14ac:dyDescent="0.25">
      <c r="A5009" s="8" t="str">
        <f>"41st Loss Prevention Symposium 2007, Held at the 2007 AIChE Spring National Meeting"</f>
        <v>41st Loss Prevention Symposium 2007, Held at the 2007 AIChE Spring National Meeting</v>
      </c>
      <c r="B5009" s="8" t="str">
        <f>"9781604233537"</f>
        <v>9781604233537</v>
      </c>
      <c r="C5009" s="8" t="s">
        <v>1219</v>
      </c>
    </row>
    <row r="5010" spans="1:3" x14ac:dyDescent="0.25">
      <c r="A5010" s="8" t="str">
        <f>"41st North American Power Symposium, NAPS 2009"</f>
        <v>41st North American Power Symposium, NAPS 2009</v>
      </c>
      <c r="B5010" s="8" t="str">
        <f>"9781424444281"</f>
        <v>9781424444281</v>
      </c>
      <c r="C5010" s="8" t="s">
        <v>9</v>
      </c>
    </row>
    <row r="5011" spans="1:3" x14ac:dyDescent="0.25">
      <c r="A5011" s="8" t="str">
        <f>"41st SEFI Conference"</f>
        <v>41st SEFI Conference</v>
      </c>
      <c r="B5011" s="8" t="str">
        <f>"-"</f>
        <v>-</v>
      </c>
      <c r="C5011" s="8" t="s">
        <v>1518</v>
      </c>
    </row>
    <row r="5012" spans="1:3" x14ac:dyDescent="0.25">
      <c r="A5012" s="8" t="str">
        <f>"41st Structures, Structural Dynamics, and Materials Conference and Exhibit"</f>
        <v>41st Structures, Structural Dynamics, and Materials Conference and Exhibit</v>
      </c>
      <c r="B5012" s="8" t="str">
        <f>"-"</f>
        <v>-</v>
      </c>
      <c r="C5012" s="8" t="s">
        <v>104</v>
      </c>
    </row>
    <row r="5013" spans="1:3" x14ac:dyDescent="0.25">
      <c r="A5013" s="8" t="str">
        <f>"41st Symposium on Engineering Geology and Geotechnical Engineering 2008"</f>
        <v>41st Symposium on Engineering Geology and Geotechnical Engineering 2008</v>
      </c>
      <c r="B5013" s="8" t="str">
        <f>"9781622762514"</f>
        <v>9781622762514</v>
      </c>
      <c r="C5013" s="8" t="s">
        <v>1519</v>
      </c>
    </row>
    <row r="5014" spans="1:3" x14ac:dyDescent="0.25">
      <c r="A5014" s="8" t="str">
        <f>"42nd AIAA Fluid Dynamics Conference and Exhibit 2012"</f>
        <v>42nd AIAA Fluid Dynamics Conference and Exhibit 2012</v>
      </c>
      <c r="B5014" s="8" t="str">
        <f>"9781600869334"</f>
        <v>9781600869334</v>
      </c>
      <c r="C5014" s="8" t="s">
        <v>104</v>
      </c>
    </row>
    <row r="5015" spans="1:3" x14ac:dyDescent="0.25">
      <c r="A5015" s="8" t="str">
        <f>"42nd AIAA Plasmadynamics and Lasers Conference"</f>
        <v>42nd AIAA Plasmadynamics and Lasers Conference</v>
      </c>
      <c r="B5015" s="8" t="str">
        <f>"9781624101472"</f>
        <v>9781624101472</v>
      </c>
      <c r="C5015" s="8" t="s">
        <v>104</v>
      </c>
    </row>
    <row r="5016" spans="1:3" x14ac:dyDescent="0.25">
      <c r="A5016" s="8" t="str">
        <f>"42nd AIAA Thermophysics Conference"</f>
        <v>42nd AIAA Thermophysics Conference</v>
      </c>
      <c r="B5016" s="8" t="str">
        <f>"9781624101465"</f>
        <v>9781624101465</v>
      </c>
      <c r="C5016" s="8" t="s">
        <v>104</v>
      </c>
    </row>
    <row r="5017" spans="1:3" x14ac:dyDescent="0.25">
      <c r="A5017" s="8" t="str">
        <f>"42nd Annual Human Factors and Ergonomics Society of Australia Conference 2006, HFESA 2006"</f>
        <v>42nd Annual Human Factors and Ergonomics Society of Australia Conference 2006, HFESA 2006</v>
      </c>
      <c r="B5017" s="8" t="str">
        <f>"9781622769599"</f>
        <v>9781622769599</v>
      </c>
      <c r="C5017" s="8" t="s">
        <v>1516</v>
      </c>
    </row>
    <row r="5018" spans="1:3" x14ac:dyDescent="0.25">
      <c r="A5018" s="8" t="str">
        <f>"42nd Annual International Symposium of the Society of Flight Test Engineers 2011, SFTE"</f>
        <v>42nd Annual International Symposium of the Society of Flight Test Engineers 2011, SFTE</v>
      </c>
      <c r="B5018" s="8" t="str">
        <f>"9781618391971"</f>
        <v>9781618391971</v>
      </c>
      <c r="C5018" s="8" t="s">
        <v>1490</v>
      </c>
    </row>
    <row r="5019" spans="1:3" x14ac:dyDescent="0.25">
      <c r="A5019" s="8" t="str">
        <f>"42nd Annual Precise Time and Time Interval (PTTI) Systems and Applications Meeting 2010"</f>
        <v>42nd Annual Precise Time and Time Interval (PTTI) Systems and Applications Meeting 2010</v>
      </c>
      <c r="B5019" s="8" t="str">
        <f>"9781617829611"</f>
        <v>9781617829611</v>
      </c>
      <c r="C5019" s="8" t="s">
        <v>969</v>
      </c>
    </row>
    <row r="5020" spans="1:3" x14ac:dyDescent="0.25">
      <c r="A5020" s="8" t="str">
        <f>"42nd Annual Simulation Symposium 2009, ANSS 2009, Part of the 2009 Spring Simulation Multiconference"</f>
        <v>42nd Annual Simulation Symposium 2009, ANSS 2009, Part of the 2009 Spring Simulation Multiconference</v>
      </c>
      <c r="B5020" s="8" t="str">
        <f>"9781617386404"</f>
        <v>9781617386404</v>
      </c>
      <c r="C5020" s="8" t="s">
        <v>1072</v>
      </c>
    </row>
    <row r="5021" spans="1:3" x14ac:dyDescent="0.25">
      <c r="A5021" s="8" t="str">
        <f>"42nd ASES National Solar Conference 2013, SOLAR 2013, Including 42nd ASES Annual Conference and 38th National Passive Solar Conference"</f>
        <v>42nd ASES National Solar Conference 2013, SOLAR 2013, Including 42nd ASES Annual Conference and 38th National Passive Solar Conference</v>
      </c>
      <c r="B5021" s="8" t="str">
        <f>"9781632660046"</f>
        <v>9781632660046</v>
      </c>
      <c r="C5021" s="8" t="s">
        <v>1491</v>
      </c>
    </row>
    <row r="5022" spans="1:3" x14ac:dyDescent="0.25">
      <c r="A5022" s="8" t="str">
        <f>"42nd Conference and Expo of the International Erosion Control Association 2011"</f>
        <v>42nd Conference and Expo of the International Erosion Control Association 2011</v>
      </c>
      <c r="B5022" s="8" t="str">
        <f>"9781617828195"</f>
        <v>9781617828195</v>
      </c>
      <c r="C5022" s="8" t="s">
        <v>957</v>
      </c>
    </row>
    <row r="5023" spans="1:3" x14ac:dyDescent="0.25">
      <c r="A5023" s="8" t="str">
        <f>"42nd Engineering Geology and Geotechnical Engineering Symposium and 14th Intermountain Conf. on the Environment: Geotechnics, Environment, Energy, and Economics (GE) - The Links for Sustainability"</f>
        <v>42nd Engineering Geology and Geotechnical Engineering Symposium and 14th Intermountain Conf. on the Environment: Geotechnics, Environment, Energy, and Economics (GE) - The Links for Sustainability</v>
      </c>
      <c r="B5023" s="8" t="str">
        <f>"9781622762507"</f>
        <v>9781622762507</v>
      </c>
      <c r="C5023" s="8" t="s">
        <v>1515</v>
      </c>
    </row>
    <row r="5024" spans="1:3" x14ac:dyDescent="0.25">
      <c r="A5024" s="8" t="str">
        <f>"42nd International Conference on Environmental Systems 2012, ICES 2012"</f>
        <v>42nd International Conference on Environmental Systems 2012, ICES 2012</v>
      </c>
      <c r="B5024" s="8" t="str">
        <f>"9781600869341"</f>
        <v>9781600869341</v>
      </c>
      <c r="C5024" s="8" t="s">
        <v>104</v>
      </c>
    </row>
    <row r="5025" spans="1:3" x14ac:dyDescent="0.25">
      <c r="A5025" s="8" t="str">
        <f>"42nd International Conference on Large High Voltage Electric Systems 2008, CIGRE 2008"</f>
        <v>42nd International Conference on Large High Voltage Electric Systems 2008, CIGRE 2008</v>
      </c>
      <c r="B5025" s="8" t="str">
        <f>"-"</f>
        <v>-</v>
      </c>
      <c r="C5025" s="8" t="s">
        <v>1517</v>
      </c>
    </row>
    <row r="5026" spans="1:3" x14ac:dyDescent="0.25">
      <c r="A5026" s="8" t="str">
        <f>"42nd Loss Prevention Symposium, LPS 2008, Topical Conference at the 2008 AIChE Spring National Meeting"</f>
        <v>42nd Loss Prevention Symposium, LPS 2008, Topical Conference at the 2008 AIChE Spring National Meeting</v>
      </c>
      <c r="B5026" s="8" t="str">
        <f>"9781605602073"</f>
        <v>9781605602073</v>
      </c>
      <c r="C5026" s="8" t="s">
        <v>1219</v>
      </c>
    </row>
    <row r="5027" spans="1:3" x14ac:dyDescent="0.25">
      <c r="A5027" s="8" t="str">
        <f>"42nd U.S. Rock Mechanics - 2nd U.S.-Canada Rock Mechanics Symposium"</f>
        <v>42nd U.S. Rock Mechanics - 2nd U.S.-Canada Rock Mechanics Symposium</v>
      </c>
      <c r="B5027" s="8" t="str">
        <f>"-"</f>
        <v>-</v>
      </c>
      <c r="C5027" s="8" t="s">
        <v>1403</v>
      </c>
    </row>
    <row r="5028" spans="1:3" x14ac:dyDescent="0.25">
      <c r="A5028" s="8" t="str">
        <f>"43rd AIAA Aerospace Sciences Meeting and Exhibit - Meeting Papers"</f>
        <v>43rd AIAA Aerospace Sciences Meeting and Exhibit - Meeting Papers</v>
      </c>
      <c r="B5028" s="8" t="str">
        <f>"-"</f>
        <v>-</v>
      </c>
      <c r="C5028" s="8" t="s">
        <v>104</v>
      </c>
    </row>
    <row r="5029" spans="1:3" x14ac:dyDescent="0.25">
      <c r="A5029" s="8" t="str">
        <f>"43rd AIAA Plasmadynamics and Lasers Conference 2012"</f>
        <v>43rd AIAA Plasmadynamics and Lasers Conference 2012</v>
      </c>
      <c r="B5029" s="8" t="str">
        <f>"9781624101878"</f>
        <v>9781624101878</v>
      </c>
      <c r="C5029" s="8" t="s">
        <v>104</v>
      </c>
    </row>
    <row r="5030" spans="1:3" x14ac:dyDescent="0.25">
      <c r="A5030" s="8" t="str">
        <f>"43rd AIAA Thermophysics Conference 2012"</f>
        <v>43rd AIAA Thermophysics Conference 2012</v>
      </c>
      <c r="B5030" s="8" t="str">
        <f>"9781624101861"</f>
        <v>9781624101861</v>
      </c>
      <c r="C5030" s="8" t="s">
        <v>104</v>
      </c>
    </row>
    <row r="5031" spans="1:3" x14ac:dyDescent="0.25">
      <c r="A5031" s="8" t="str">
        <f>"43rd Annual Conference of the Human Factors and Ergonomics Society of Australia 2007, HFESA 2007"</f>
        <v>43rd Annual Conference of the Human Factors and Ergonomics Society of Australia 2007, HFESA 2007</v>
      </c>
      <c r="B5031" s="8" t="str">
        <f>"9781605604763"</f>
        <v>9781605604763</v>
      </c>
      <c r="C5031" s="8" t="s">
        <v>1516</v>
      </c>
    </row>
    <row r="5032" spans="1:3" x14ac:dyDescent="0.25">
      <c r="A5032" s="8" t="str">
        <f>"43rd Annual International Symposium of the Society of Flight Test Engineers 2012"</f>
        <v>43rd Annual International Symposium of the Society of Flight Test Engineers 2012</v>
      </c>
      <c r="B5032" s="8" t="str">
        <f>"9781622766024"</f>
        <v>9781622766024</v>
      </c>
      <c r="C5032" s="8" t="s">
        <v>113</v>
      </c>
    </row>
    <row r="5033" spans="1:3" x14ac:dyDescent="0.25">
      <c r="A5033" s="8" t="str">
        <f>"43rd Annual Precise Time and Time Interval Systems and Applications Meeting 2011"</f>
        <v>43rd Annual Precise Time and Time Interval Systems and Applications Meeting 2011</v>
      </c>
      <c r="B5033" s="8" t="str">
        <f>"9781622767953"</f>
        <v>9781622767953</v>
      </c>
      <c r="C5033" s="8" t="s">
        <v>969</v>
      </c>
    </row>
    <row r="5034" spans="1:3" x14ac:dyDescent="0.25">
      <c r="A5034" s="8" t="str">
        <f>"43rd ASES National Solar Conference 2014, SOLAR 2014, Including the 39th National Passive Solar Conference and the 2nd Meeting of Young and Emerging Professionals in Renewable Energy"</f>
        <v>43rd ASES National Solar Conference 2014, SOLAR 2014, Including the 39th National Passive Solar Conference and the 2nd Meeting of Young and Emerging Professionals in Renewable Energy</v>
      </c>
      <c r="B5034" s="8" t="str">
        <f>"-"</f>
        <v>-</v>
      </c>
      <c r="C5034" s="8" t="s">
        <v>1491</v>
      </c>
    </row>
    <row r="5035" spans="1:3" x14ac:dyDescent="0.25">
      <c r="A5035" s="8" t="str">
        <f>"43rd Fluid Dynamics Conference"</f>
        <v>43rd Fluid Dynamics Conference</v>
      </c>
      <c r="B5035" s="8" t="str">
        <f>"9781624102141"</f>
        <v>9781624102141</v>
      </c>
      <c r="C5035" s="8" t="s">
        <v>104</v>
      </c>
    </row>
    <row r="5036" spans="1:3" x14ac:dyDescent="0.25">
      <c r="A5036" s="8" t="str">
        <f>"43rd International Conference on Environmental Systems"</f>
        <v>43rd International Conference on Environmental Systems</v>
      </c>
      <c r="B5036" s="8" t="str">
        <f>"9781624102158"</f>
        <v>9781624102158</v>
      </c>
      <c r="C5036" s="8" t="s">
        <v>104</v>
      </c>
    </row>
    <row r="5037" spans="1:3" x14ac:dyDescent="0.25">
      <c r="A5037" s="8" t="str">
        <f>"43rd International Conference on Large High Voltage Electric Systems 2010, CIGRE 2010"</f>
        <v>43rd International Conference on Large High Voltage Electric Systems 2010, CIGRE 2010</v>
      </c>
      <c r="B5037" s="8" t="str">
        <f>"-"</f>
        <v>-</v>
      </c>
      <c r="C5037" s="8" t="s">
        <v>1517</v>
      </c>
    </row>
    <row r="5038" spans="1:3" x14ac:dyDescent="0.25">
      <c r="A5038" s="8" t="str">
        <f>"43rd International Erosion Control Association Annual Conference 2012"</f>
        <v>43rd International Erosion Control Association Annual Conference 2012</v>
      </c>
      <c r="B5038" s="8" t="str">
        <f>"9781618398079"</f>
        <v>9781618398079</v>
      </c>
      <c r="C5038" s="8" t="s">
        <v>957</v>
      </c>
    </row>
    <row r="5039" spans="1:3" x14ac:dyDescent="0.25">
      <c r="A5039" s="8" t="str">
        <f>"43rd International Symposium on Microelectronics 2010, IMAPS 2010"</f>
        <v>43rd International Symposium on Microelectronics 2010, IMAPS 2010</v>
      </c>
      <c r="B5039" s="8" t="str">
        <f>"9781617823206"</f>
        <v>9781617823206</v>
      </c>
      <c r="C5039" s="8" t="s">
        <v>93</v>
      </c>
    </row>
    <row r="5040" spans="1:3" x14ac:dyDescent="0.25">
      <c r="A5040" s="8" t="str">
        <f>"43rd Rencontres de Moriond on QCD and High Energy Interactions"</f>
        <v>43rd Rencontres de Moriond on QCD and High Energy Interactions</v>
      </c>
      <c r="B5040" s="8" t="str">
        <f>"-"</f>
        <v>-</v>
      </c>
      <c r="C5040" s="8" t="s">
        <v>259</v>
      </c>
    </row>
    <row r="5041" spans="1:3" x14ac:dyDescent="0.25">
      <c r="A5041" s="8" t="str">
        <f>"43rd Symposium on Engineering Geology and Geotechnical Engineering 2011: Water, Soils and Sustainability in the Intermountain West"</f>
        <v>43rd Symposium on Engineering Geology and Geotechnical Engineering 2011: Water, Soils and Sustainability in the Intermountain West</v>
      </c>
      <c r="B5041" s="8" t="str">
        <f>"9781622762491"</f>
        <v>9781622762491</v>
      </c>
      <c r="C5041" s="8" t="s">
        <v>1515</v>
      </c>
    </row>
    <row r="5042" spans="1:3" x14ac:dyDescent="0.25">
      <c r="A5042" s="8" t="str">
        <f>"43rd U.S. Rock Mechanics Symposium and 4th U.S.-Canada Rock Mechanics Symposium"</f>
        <v>43rd U.S. Rock Mechanics Symposium and 4th U.S.-Canada Rock Mechanics Symposium</v>
      </c>
      <c r="B5042" s="8" t="str">
        <f>"-"</f>
        <v>-</v>
      </c>
      <c r="C5042" s="8" t="s">
        <v>1520</v>
      </c>
    </row>
    <row r="5043" spans="1:3" x14ac:dyDescent="0.25">
      <c r="A5043" s="8" t="str">
        <f>"44th AIAA Plasmadynamics and Lasers Conference"</f>
        <v>44th AIAA Plasmadynamics and Lasers Conference</v>
      </c>
      <c r="B5043" s="8" t="str">
        <f>"-"</f>
        <v>-</v>
      </c>
      <c r="C5043" s="8" t="s">
        <v>104</v>
      </c>
    </row>
    <row r="5044" spans="1:3" x14ac:dyDescent="0.25">
      <c r="A5044" s="8" t="str">
        <f>"44th AIAA Thermophysics Conference"</f>
        <v>44th AIAA Thermophysics Conference</v>
      </c>
      <c r="B5044" s="8" t="str">
        <f>"-"</f>
        <v>-</v>
      </c>
      <c r="C5044" s="8" t="s">
        <v>104</v>
      </c>
    </row>
    <row r="5045" spans="1:3" x14ac:dyDescent="0.25">
      <c r="A5045" s="8" t="str">
        <f>"44th AIAA/ASME/ASCE/AHS/ASC Structures, Structural Dynamics, and Materials Conference"</f>
        <v>44th AIAA/ASME/ASCE/AHS/ASC Structures, Structural Dynamics, and Materials Conference</v>
      </c>
      <c r="B5045" s="8" t="str">
        <f>"9781624101007"</f>
        <v>9781624101007</v>
      </c>
      <c r="C5045" s="8" t="s">
        <v>104</v>
      </c>
    </row>
    <row r="5046" spans="1:3" x14ac:dyDescent="0.25">
      <c r="A5046" s="8" t="str">
        <f>"44th AIAA/ASME/SAE/ASEE Joint Propulsion Conference and Exhibit"</f>
        <v>44th AIAA/ASME/SAE/ASEE Joint Propulsion Conference and Exhibit</v>
      </c>
      <c r="B5046" s="8" t="str">
        <f>"9781563479434"</f>
        <v>9781563479434</v>
      </c>
      <c r="C5046" s="8" t="s">
        <v>104</v>
      </c>
    </row>
    <row r="5047" spans="1:3" x14ac:dyDescent="0.25">
      <c r="A5047" s="8" t="str">
        <f>"44th Annual Allerton Conference on Communication, Control, and Computing 2006"</f>
        <v>44th Annual Allerton Conference on Communication, Control, and Computing 2006</v>
      </c>
      <c r="B5047" s="8" t="str">
        <f>"-"</f>
        <v>-</v>
      </c>
      <c r="C5047" s="8" t="s">
        <v>1521</v>
      </c>
    </row>
    <row r="5048" spans="1:3" x14ac:dyDescent="0.25">
      <c r="A5048" s="8" t="str">
        <f>"44th Annual Frontiers of Power Conference"</f>
        <v>44th Annual Frontiers of Power Conference</v>
      </c>
      <c r="B5048" s="8" t="str">
        <f>"-"</f>
        <v>-</v>
      </c>
      <c r="C5048" s="8" t="s">
        <v>951</v>
      </c>
    </row>
    <row r="5049" spans="1:3" x14ac:dyDescent="0.25">
      <c r="A5049" s="8" t="str">
        <f>"44th Annual Human Factors and Ergonomics Society of Australia Conference 2008, HFESA 2008"</f>
        <v>44th Annual Human Factors and Ergonomics Society of Australia Conference 2008, HFESA 2008</v>
      </c>
      <c r="B5049" s="8" t="str">
        <f>"9781615674039"</f>
        <v>9781615674039</v>
      </c>
      <c r="C5049" s="8" t="s">
        <v>1522</v>
      </c>
    </row>
    <row r="5050" spans="1:3" x14ac:dyDescent="0.25">
      <c r="A5050" s="8" t="str">
        <f>"44th Annual Precise Time and Time Interval (PTTI) Systems and Applications Meeting 2012"</f>
        <v>44th Annual Precise Time and Time Interval (PTTI) Systems and Applications Meeting 2012</v>
      </c>
      <c r="B5050" s="8" t="str">
        <f>"9781627488716"</f>
        <v>9781627488716</v>
      </c>
      <c r="C5050" s="8" t="s">
        <v>969</v>
      </c>
    </row>
    <row r="5051" spans="1:3" x14ac:dyDescent="0.25">
      <c r="A5051" s="8" t="str">
        <f>"44th Conference and Expo of the International Erosion Control Association: Environmental Connection 2013"</f>
        <v>44th Conference and Expo of the International Erosion Control Association: Environmental Connection 2013</v>
      </c>
      <c r="B5051" s="8" t="str">
        <f>"9781622769957"</f>
        <v>9781622769957</v>
      </c>
      <c r="C5051" s="8" t="s">
        <v>957</v>
      </c>
    </row>
    <row r="5052" spans="1:3" x14ac:dyDescent="0.25">
      <c r="A5052" s="8" t="str">
        <f>"44th International Conference on Large High Voltage Electric Systems 2012"</f>
        <v>44th International Conference on Large High Voltage Electric Systems 2012</v>
      </c>
      <c r="B5052" s="8" t="str">
        <f>"-"</f>
        <v>-</v>
      </c>
      <c r="C5052" s="8" t="s">
        <v>1352</v>
      </c>
    </row>
    <row r="5053" spans="1:3" x14ac:dyDescent="0.25">
      <c r="A5053" s="8" t="str">
        <f>"44th International Symposium on Microelectronics 2011, IMAPS 2011"</f>
        <v>44th International Symposium on Microelectronics 2011, IMAPS 2011</v>
      </c>
      <c r="B5053" s="8" t="str">
        <f>"9781618398505"</f>
        <v>9781618398505</v>
      </c>
      <c r="C5053" s="8" t="s">
        <v>93</v>
      </c>
    </row>
    <row r="5054" spans="1:3" x14ac:dyDescent="0.25">
      <c r="A5054" s="8" t="str">
        <f>"44th Rencontres de Moriond on QCD and High Energy Interactions"</f>
        <v>44th Rencontres de Moriond on QCD and High Energy Interactions</v>
      </c>
      <c r="B5054" s="8" t="str">
        <f>"-"</f>
        <v>-</v>
      </c>
      <c r="C5054" s="8" t="s">
        <v>259</v>
      </c>
    </row>
    <row r="5055" spans="1:3" x14ac:dyDescent="0.25">
      <c r="A5055" s="8" t="str">
        <f>"44th US Rock Mechanics Symposium - 5th US/Canada Rock Mechanics Symposium"</f>
        <v>44th US Rock Mechanics Symposium - 5th US/Canada Rock Mechanics Symposium</v>
      </c>
      <c r="B5055" s="8" t="str">
        <f>"-"</f>
        <v>-</v>
      </c>
      <c r="C5055" s="8" t="s">
        <v>1403</v>
      </c>
    </row>
    <row r="5056" spans="1:3" x14ac:dyDescent="0.25">
      <c r="A5056" s="8" t="str">
        <f>"45th AIAA Fluid Dynamics Conference"</f>
        <v>45th AIAA Fluid Dynamics Conference</v>
      </c>
      <c r="B5056" s="8" t="str">
        <f>"9781624103629"</f>
        <v>9781624103629</v>
      </c>
      <c r="C5056" s="8" t="s">
        <v>1258</v>
      </c>
    </row>
    <row r="5057" spans="1:3" x14ac:dyDescent="0.25">
      <c r="A5057" s="8" t="str">
        <f>"45th AIAA Thermophysics Conference"</f>
        <v>45th AIAA Thermophysics Conference</v>
      </c>
      <c r="B5057" s="8" t="str">
        <f>"9781624103612"</f>
        <v>9781624103612</v>
      </c>
      <c r="C5057" s="8" t="s">
        <v>1258</v>
      </c>
    </row>
    <row r="5058" spans="1:3" x14ac:dyDescent="0.25">
      <c r="A5058" s="8" t="str">
        <f>"45th AIAA/ASME/SAE/ASEE Joint Propulsion Conference and Exhibit"</f>
        <v>45th AIAA/ASME/SAE/ASEE Joint Propulsion Conference and Exhibit</v>
      </c>
      <c r="B5058" s="8" t="str">
        <f>"9781563479762"</f>
        <v>9781563479762</v>
      </c>
      <c r="C5058" s="8" t="s">
        <v>104</v>
      </c>
    </row>
    <row r="5059" spans="1:3" x14ac:dyDescent="0.25">
      <c r="A5059" s="8" t="str">
        <f>"45th Annual Allerton Conference on Communication, Control, and Computing 2007"</f>
        <v>45th Annual Allerton Conference on Communication, Control, and Computing 2007</v>
      </c>
      <c r="B5059" s="8" t="str">
        <f>"-"</f>
        <v>-</v>
      </c>
      <c r="C5059" s="8" t="s">
        <v>1521</v>
      </c>
    </row>
    <row r="5060" spans="1:3" x14ac:dyDescent="0.25">
      <c r="A5060" s="8" t="str">
        <f>"45th Annual Conference of SAVE International 2005"</f>
        <v>45th Annual Conference of SAVE International 2005</v>
      </c>
      <c r="B5060" s="8" t="str">
        <f>"9781622760312"</f>
        <v>9781622760312</v>
      </c>
      <c r="C5060" s="8" t="s">
        <v>1523</v>
      </c>
    </row>
    <row r="5061" spans="1:3" x14ac:dyDescent="0.25">
      <c r="A5061" s="8" t="str">
        <f>"45th Annual Conference of the Australasian Corrosion Association 2005: Corrosion and Prevention 2005"</f>
        <v>45th Annual Conference of the Australasian Corrosion Association 2005: Corrosion and Prevention 2005</v>
      </c>
      <c r="B5061" s="8" t="str">
        <f>"9781622762415"</f>
        <v>9781622762415</v>
      </c>
      <c r="C5061" s="8" t="s">
        <v>310</v>
      </c>
    </row>
    <row r="5062" spans="1:3" x14ac:dyDescent="0.25">
      <c r="A5062" s="8" t="str">
        <f>"45th Annual Human Factors and Ergonomics Society of Australia Conference 2009, HFESA 2009"</f>
        <v>45th Annual Human Factors and Ergonomics Society of Australia Conference 2009, HFESA 2009</v>
      </c>
      <c r="B5062" s="8" t="str">
        <f>"9781618391360"</f>
        <v>9781618391360</v>
      </c>
      <c r="C5062" s="8" t="s">
        <v>1516</v>
      </c>
    </row>
    <row r="5063" spans="1:3" x14ac:dyDescent="0.25">
      <c r="A5063" s="8" t="str">
        <f>"45th Annual International Symposium of the Society of Flight Test Engineers 2014"</f>
        <v>45th Annual International Symposium of the Society of Flight Test Engineers 2014</v>
      </c>
      <c r="B5063" s="8" t="str">
        <f>"9781634391665"</f>
        <v>9781634391665</v>
      </c>
      <c r="C5063" s="8" t="s">
        <v>1490</v>
      </c>
    </row>
    <row r="5064" spans="1:3" x14ac:dyDescent="0.25">
      <c r="A5064" s="8" t="str">
        <f>"45th Annual Symposium and Study Group Meeting of the Airline Group of the International Federation of Operational Research Societies 2005, AGIFORS 2005"</f>
        <v>45th Annual Symposium and Study Group Meeting of the Airline Group of the International Federation of Operational Research Societies 2005, AGIFORS 2005</v>
      </c>
      <c r="B5064" s="8" t="str">
        <f>"9781622760626"</f>
        <v>9781622760626</v>
      </c>
      <c r="C5064" s="8" t="s">
        <v>394</v>
      </c>
    </row>
    <row r="5065" spans="1:3" x14ac:dyDescent="0.25">
      <c r="A5065" s="8" t="str">
        <f>"45th North American Power Symposium, NAPS 2013"</f>
        <v>45th North American Power Symposium, NAPS 2013</v>
      </c>
      <c r="B5065" s="8" t="str">
        <f>"9781479912551"</f>
        <v>9781479912551</v>
      </c>
      <c r="C5065" s="8" t="s">
        <v>9</v>
      </c>
    </row>
    <row r="5066" spans="1:3" x14ac:dyDescent="0.25">
      <c r="A5066" s="8" t="str">
        <f>"45th US Rock Mechanics / Geomechanics Symposium"</f>
        <v>45th US Rock Mechanics / Geomechanics Symposium</v>
      </c>
      <c r="B5066" s="8" t="str">
        <f>"-"</f>
        <v>-</v>
      </c>
      <c r="C5066" s="8" t="s">
        <v>1524</v>
      </c>
    </row>
    <row r="5067" spans="1:3" x14ac:dyDescent="0.25">
      <c r="A5067" s="8" t="str">
        <f>"46th AIAA Aerospace Sciences Meeting and Exhibit"</f>
        <v>46th AIAA Aerospace Sciences Meeting and Exhibit</v>
      </c>
      <c r="B5067" s="8" t="str">
        <f>"9781563479373"</f>
        <v>9781563479373</v>
      </c>
      <c r="C5067" s="8" t="s">
        <v>104</v>
      </c>
    </row>
    <row r="5068" spans="1:3" x14ac:dyDescent="0.25">
      <c r="A5068" s="8" t="str">
        <f>"46th AIAA Plasmadynamics and Lasers Conference"</f>
        <v>46th AIAA Plasmadynamics and Lasers Conference</v>
      </c>
      <c r="B5068" s="8" t="str">
        <f>"9781624103605"</f>
        <v>9781624103605</v>
      </c>
      <c r="C5068" s="8" t="s">
        <v>1258</v>
      </c>
    </row>
    <row r="5069" spans="1:3" x14ac:dyDescent="0.25">
      <c r="A5069" s="8" t="str">
        <f>"46th AIAA/ASME/SAE/ASEE Joint Propulsion Conference and Exhibit"</f>
        <v>46th AIAA/ASME/SAE/ASEE Joint Propulsion Conference and Exhibit</v>
      </c>
      <c r="B5069" s="8" t="str">
        <f>"-"</f>
        <v>-</v>
      </c>
      <c r="C5069" s="8" t="s">
        <v>104</v>
      </c>
    </row>
    <row r="5070" spans="1:3" x14ac:dyDescent="0.25">
      <c r="A5070" s="8" t="str">
        <f>"46th Annual Allerton Conference on Communication, Control, and Computing"</f>
        <v>46th Annual Allerton Conference on Communication, Control, and Computing</v>
      </c>
      <c r="B5070" s="8" t="str">
        <f>"9781424429264"</f>
        <v>9781424429264</v>
      </c>
      <c r="C5070" s="8" t="s">
        <v>9</v>
      </c>
    </row>
    <row r="5071" spans="1:3" x14ac:dyDescent="0.25">
      <c r="A5071" s="8" t="str">
        <f>"46th Annual Conference of SAVE International 2006: Managing Projects to Maximize Value"</f>
        <v>46th Annual Conference of SAVE International 2006: Managing Projects to Maximize Value</v>
      </c>
      <c r="B5071" s="8" t="str">
        <f>"9781622760305"</f>
        <v>9781622760305</v>
      </c>
      <c r="C5071" s="8" t="s">
        <v>1523</v>
      </c>
    </row>
    <row r="5072" spans="1:3" x14ac:dyDescent="0.25">
      <c r="A5072" s="8" t="str">
        <f>"46th Annual Conference of the Australasian Corrosion Association 2006: Corrosion and Prevention 2006"</f>
        <v>46th Annual Conference of the Australasian Corrosion Association 2006: Corrosion and Prevention 2006</v>
      </c>
      <c r="B5072" s="8" t="str">
        <f>"9781622762422"</f>
        <v>9781622762422</v>
      </c>
      <c r="C5072" s="8" t="s">
        <v>310</v>
      </c>
    </row>
    <row r="5073" spans="1:3" x14ac:dyDescent="0.25">
      <c r="A5073" s="8" t="str">
        <f>"46th Annual Human Factors and Ergonomics Society of Australia Conference 2010, HFESA 2010"</f>
        <v>46th Annual Human Factors and Ergonomics Society of Australia Conference 2010, HFESA 2010</v>
      </c>
      <c r="B5073" s="8" t="str">
        <f>"9781618391377"</f>
        <v>9781618391377</v>
      </c>
      <c r="C5073" s="8" t="s">
        <v>1516</v>
      </c>
    </row>
    <row r="5074" spans="1:3" x14ac:dyDescent="0.25">
      <c r="A5074" s="8" t="str">
        <f>"46th Annual Rocky Mountain Bioengineering Symposium and 46th International ISA Biomedical Sciences Instrumentation Symposium 2009"</f>
        <v>46th Annual Rocky Mountain Bioengineering Symposium and 46th International ISA Biomedical Sciences Instrumentation Symposium 2009</v>
      </c>
      <c r="B5074" s="8" t="str">
        <f>"9781615671519"</f>
        <v>9781615671519</v>
      </c>
      <c r="C5074" s="8" t="s">
        <v>1525</v>
      </c>
    </row>
    <row r="5075" spans="1:3" x14ac:dyDescent="0.25">
      <c r="A5075" s="8" t="str">
        <f>"46th Annual Transportation Research Forum 2005"</f>
        <v>46th Annual Transportation Research Forum 2005</v>
      </c>
      <c r="B5075" s="8" t="str">
        <f>"9781618394088"</f>
        <v>9781618394088</v>
      </c>
      <c r="C5075" s="8" t="s">
        <v>1526</v>
      </c>
    </row>
    <row r="5076" spans="1:3" x14ac:dyDescent="0.25">
      <c r="A5076" s="8" t="str">
        <f>"46th International Symposium on Microelectronics, IMAPS 2013"</f>
        <v>46th International Symposium on Microelectronics, IMAPS 2013</v>
      </c>
      <c r="B5076" s="8" t="str">
        <f>"9781629938240"</f>
        <v>9781629938240</v>
      </c>
      <c r="C5076" s="8" t="s">
        <v>93</v>
      </c>
    </row>
    <row r="5077" spans="1:3" x14ac:dyDescent="0.25">
      <c r="A5077" s="8" t="str">
        <f>"46th US Rock Mechanics / Geomechanics Symposium 2012"</f>
        <v>46th US Rock Mechanics / Geomechanics Symposium 2012</v>
      </c>
      <c r="B5077" s="8" t="str">
        <f>"9781622765140"</f>
        <v>9781622765140</v>
      </c>
      <c r="C5077" s="8" t="s">
        <v>1524</v>
      </c>
    </row>
    <row r="5078" spans="1:3" x14ac:dyDescent="0.25">
      <c r="A5078" s="8" t="str">
        <f>"47th AIAA Aerospace Sciences Meeting including the New Horizons Forum and Aerospace Exposition"</f>
        <v>47th AIAA Aerospace Sciences Meeting including the New Horizons Forum and Aerospace Exposition</v>
      </c>
      <c r="B5078" s="8" t="str">
        <f>"9781563479694"</f>
        <v>9781563479694</v>
      </c>
      <c r="C5078" s="8" t="s">
        <v>104</v>
      </c>
    </row>
    <row r="5079" spans="1:3" x14ac:dyDescent="0.25">
      <c r="A5079" s="8" t="str">
        <f>"47th AIAA/ASME/SAE/ASEE Joint Propulsion Conference and Exhibit 2011"</f>
        <v>47th AIAA/ASME/SAE/ASEE Joint Propulsion Conference and Exhibit 2011</v>
      </c>
      <c r="B5079" s="8" t="str">
        <f>"9781600869495"</f>
        <v>9781600869495</v>
      </c>
      <c r="C5079" s="8" t="s">
        <v>104</v>
      </c>
    </row>
    <row r="5080" spans="1:3" x14ac:dyDescent="0.25">
      <c r="A5080" s="8" t="str">
        <f>"47th Annual Conference of the Australasian Corrosion Association 2007: Corrosion Control 2007"</f>
        <v>47th Annual Conference of the Australasian Corrosion Association 2007: Corrosion Control 2007</v>
      </c>
      <c r="B5080" s="8" t="str">
        <f>"9781622762439"</f>
        <v>9781622762439</v>
      </c>
      <c r="C5080" s="8" t="s">
        <v>310</v>
      </c>
    </row>
    <row r="5081" spans="1:3" x14ac:dyDescent="0.25">
      <c r="A5081" s="8" t="str">
        <f>"47th Annual Human Factors and Ergonomics Society of Australia Conference 2011, HFESA 2011 - Synergy in Sydney: Creating and Maintaining Partnerships"</f>
        <v>47th Annual Human Factors and Ergonomics Society of Australia Conference 2011, HFESA 2011 - Synergy in Sydney: Creating and Maintaining Partnerships</v>
      </c>
      <c r="B5081" s="8" t="str">
        <f>"9781622760329"</f>
        <v>9781622760329</v>
      </c>
      <c r="C5081" s="8" t="s">
        <v>1516</v>
      </c>
    </row>
    <row r="5082" spans="1:3" x14ac:dyDescent="0.25">
      <c r="A5082" s="8" t="str">
        <f>"47th Annual Rocky Mountain Bioengineering Symposium and 47th International ISA Biomedical Sciences Instrumentation Symposium 2010"</f>
        <v>47th Annual Rocky Mountain Bioengineering Symposium and 47th International ISA Biomedical Sciences Instrumentation Symposium 2010</v>
      </c>
      <c r="B5082" s="8" t="str">
        <f>"9781617384721"</f>
        <v>9781617384721</v>
      </c>
      <c r="C5082" s="8" t="s">
        <v>1525</v>
      </c>
    </row>
    <row r="5083" spans="1:3" x14ac:dyDescent="0.25">
      <c r="A5083" s="8" t="str">
        <f>"47th Annual Symposium and Study Group Meeting of the Airline Group of the International Federation of Operational Research Societies 2007, AGIFORS 2007"</f>
        <v>47th Annual Symposium and Study Group Meeting of the Airline Group of the International Federation of Operational Research Societies 2007, AGIFORS 2007</v>
      </c>
      <c r="B5083" s="8" t="str">
        <f>"9781605600680"</f>
        <v>9781605600680</v>
      </c>
      <c r="C5083" s="8" t="s">
        <v>394</v>
      </c>
    </row>
    <row r="5084" spans="1:3" x14ac:dyDescent="0.25">
      <c r="A5084" s="8" t="str">
        <f>"47th Annual Transportation Research Forum 2006"</f>
        <v>47th Annual Transportation Research Forum 2006</v>
      </c>
      <c r="B5084" s="8" t="str">
        <f>"9781618394071"</f>
        <v>9781618394071</v>
      </c>
      <c r="C5084" s="8" t="s">
        <v>1526</v>
      </c>
    </row>
    <row r="5085" spans="1:3" x14ac:dyDescent="0.25">
      <c r="A5085" s="8" t="str">
        <f>"47th Israel Annual Conference on Aerospace Sciences 2007"</f>
        <v>47th Israel Annual Conference on Aerospace Sciences 2007</v>
      </c>
      <c r="B5085" s="8" t="str">
        <f>"-"</f>
        <v>-</v>
      </c>
      <c r="C5085" s="8" t="s">
        <v>1527</v>
      </c>
    </row>
    <row r="5086" spans="1:3" x14ac:dyDescent="0.25">
      <c r="A5086" s="8" t="str">
        <f>"47th US Rock Mechanics / Geomechanics Symposium 2013"</f>
        <v>47th US Rock Mechanics / Geomechanics Symposium 2013</v>
      </c>
      <c r="B5086" s="8" t="str">
        <f>"9781629931180"</f>
        <v>9781629931180</v>
      </c>
      <c r="C5086" s="8" t="s">
        <v>1524</v>
      </c>
    </row>
    <row r="5087" spans="1:3" x14ac:dyDescent="0.25">
      <c r="A5087" s="8" t="str">
        <f>"48th AIAA Aerospace Sciences Meeting Including the New Horizons Forum and Aerospace Exposition"</f>
        <v>48th AIAA Aerospace Sciences Meeting Including the New Horizons Forum and Aerospace Exposition</v>
      </c>
      <c r="B5087" s="8" t="str">
        <f>"9781600867392"</f>
        <v>9781600867392</v>
      </c>
      <c r="C5087" s="8" t="s">
        <v>104</v>
      </c>
    </row>
    <row r="5088" spans="1:3" x14ac:dyDescent="0.25">
      <c r="A5088" s="8" t="str">
        <f>"48th AIAA/ASME/SAE/ASEE Joint Propulsion Conference and Exhibit 2012"</f>
        <v>48th AIAA/ASME/SAE/ASEE Joint Propulsion Conference and Exhibit 2012</v>
      </c>
      <c r="B5088" s="8" t="str">
        <f>"9781600869358"</f>
        <v>9781600869358</v>
      </c>
      <c r="C5088" s="8" t="s">
        <v>104</v>
      </c>
    </row>
    <row r="5089" spans="1:3" x14ac:dyDescent="0.25">
      <c r="A5089" s="8" t="str">
        <f>"48th Annual Conference of the Australasian Corrosion Association 2008: Corrosion and Prevention 2008"</f>
        <v>48th Annual Conference of the Australasian Corrosion Association 2008: Corrosion and Prevention 2008</v>
      </c>
      <c r="B5089" s="8" t="str">
        <f>"9781622762446"</f>
        <v>9781622762446</v>
      </c>
      <c r="C5089" s="8" t="s">
        <v>310</v>
      </c>
    </row>
    <row r="5090" spans="1:3" x14ac:dyDescent="0.25">
      <c r="A5090" s="8" t="str">
        <f>"48th Annual Conference of the Operational Research Society 2006, OR48"</f>
        <v>48th Annual Conference of the Operational Research Society 2006, OR48</v>
      </c>
      <c r="B5090" s="8" t="str">
        <f>"-"</f>
        <v>-</v>
      </c>
      <c r="C5090" s="8" t="s">
        <v>1528</v>
      </c>
    </row>
    <row r="5091" spans="1:3" x14ac:dyDescent="0.25">
      <c r="A5091" s="8" t="str">
        <f>"48th Annual Human Factors and Ergonomics Society of Australia Conference 2012, HFESA 2012"</f>
        <v>48th Annual Human Factors and Ergonomics Society of Australia Conference 2012, HFESA 2012</v>
      </c>
      <c r="B5091" s="8" t="str">
        <f>"9781622769575"</f>
        <v>9781622769575</v>
      </c>
      <c r="C5091" s="8" t="s">
        <v>1516</v>
      </c>
    </row>
    <row r="5092" spans="1:3" x14ac:dyDescent="0.25">
      <c r="A5092" s="8" t="str">
        <f>"48th Annual Loss Prevention Symposium 2014, LPS 2014 - Topical Conference at the 2014 AIChE Spring Meeting and 10th Global Congress on Process Safety"</f>
        <v>48th Annual Loss Prevention Symposium 2014, LPS 2014 - Topical Conference at the 2014 AIChE Spring Meeting and 10th Global Congress on Process Safety</v>
      </c>
      <c r="B5092" s="8" t="str">
        <f>"9781634391610"</f>
        <v>9781634391610</v>
      </c>
      <c r="C5092" s="8" t="s">
        <v>1219</v>
      </c>
    </row>
    <row r="5093" spans="1:3" x14ac:dyDescent="0.25">
      <c r="A5093" s="8" t="str">
        <f>"48th Annual Power Industry Symposium- 15th Annual Joint ISA POWID/EPRI Controls and Instrumentation Conference"</f>
        <v>48th Annual Power Industry Symposium- 15th Annual Joint ISA POWID/EPRI Controls and Instrumentation Conference</v>
      </c>
      <c r="B5093" s="8" t="str">
        <f>"9781556179495"</f>
        <v>9781556179495</v>
      </c>
      <c r="C5093" s="8" t="s">
        <v>188</v>
      </c>
    </row>
    <row r="5094" spans="1:3" x14ac:dyDescent="0.25">
      <c r="A5094" s="8" t="str">
        <f>"48th Annual Rocky Mountain Bioengineering Symposium and 48th International ISA Biomedical Sciences Instrumentation Symposium 2011"</f>
        <v>48th Annual Rocky Mountain Bioengineering Symposium and 48th International ISA Biomedical Sciences Instrumentation Symposium 2011</v>
      </c>
      <c r="B5094" s="8" t="str">
        <f>"9781617827396"</f>
        <v>9781617827396</v>
      </c>
      <c r="C5094" s="8" t="s">
        <v>188</v>
      </c>
    </row>
    <row r="5095" spans="1:3" x14ac:dyDescent="0.25">
      <c r="A5095" s="8" t="str">
        <f>"48th Annual SID Symposium, Seminar, and Exhibition 2010, Display Week 2010"</f>
        <v>48th Annual SID Symposium, Seminar, and Exhibition 2010, Display Week 2010</v>
      </c>
      <c r="B5095" s="8" t="str">
        <f>"9781618390950"</f>
        <v>9781618390950</v>
      </c>
      <c r="C5095" s="8" t="s">
        <v>535</v>
      </c>
    </row>
    <row r="5096" spans="1:3" x14ac:dyDescent="0.25">
      <c r="A5096" s="8" t="str">
        <f>"48th Annual Symposium and Study Group Meeting of the Airline Group of the International Federation of Operational Research Societies 2008, AGIFORS 2008"</f>
        <v>48th Annual Symposium and Study Group Meeting of the Airline Group of the International Federation of Operational Research Societies 2008, AGIFORS 2008</v>
      </c>
      <c r="B5096" s="8" t="str">
        <f>"9781605609584"</f>
        <v>9781605609584</v>
      </c>
      <c r="C5096" s="8" t="s">
        <v>394</v>
      </c>
    </row>
    <row r="5097" spans="1:3" x14ac:dyDescent="0.25">
      <c r="A5097" s="8" t="str">
        <f>"48th Annual Transportation Research Forum 2007"</f>
        <v>48th Annual Transportation Research Forum 2007</v>
      </c>
      <c r="B5097" s="8" t="str">
        <f>"9781618394064"</f>
        <v>9781618394064</v>
      </c>
      <c r="C5097" s="8" t="s">
        <v>1526</v>
      </c>
    </row>
    <row r="5098" spans="1:3" x14ac:dyDescent="0.25">
      <c r="A5098" s="8" t="str">
        <f>"48th US Rock Mechanics / Geomechanics Symposium 2014"</f>
        <v>48th US Rock Mechanics / Geomechanics Symposium 2014</v>
      </c>
      <c r="B5098" s="8" t="str">
        <f>"-"</f>
        <v>-</v>
      </c>
      <c r="C5098" s="8" t="s">
        <v>1524</v>
      </c>
    </row>
    <row r="5099" spans="1:3" x14ac:dyDescent="0.25">
      <c r="A5099" s="8" t="str">
        <f>"49th AIAA Aerospace Sciences Meeting Including the New Horizons Forum and Aerospace Exposition"</f>
        <v>49th AIAA Aerospace Sciences Meeting Including the New Horizons Forum and Aerospace Exposition</v>
      </c>
      <c r="B5099" s="8" t="str">
        <f>"-"</f>
        <v>-</v>
      </c>
      <c r="C5099" s="8" t="s">
        <v>104</v>
      </c>
    </row>
    <row r="5100" spans="1:3" x14ac:dyDescent="0.25">
      <c r="A5100" s="8" t="str">
        <f>"49th AIAA/ASME/SAE/ASEE Joint Propulsion Conference"</f>
        <v>49th AIAA/ASME/SAE/ASEE Joint Propulsion Conference</v>
      </c>
      <c r="B5100" s="8" t="str">
        <f>"9781624102226"</f>
        <v>9781624102226</v>
      </c>
      <c r="C5100" s="8" t="s">
        <v>104</v>
      </c>
    </row>
    <row r="5101" spans="1:3" x14ac:dyDescent="0.25">
      <c r="A5101" s="8" t="str">
        <f>"49th Annual Air Traffic Control Association Conference Proceedings - Fall 2004"</f>
        <v>49th Annual Air Traffic Control Association Conference Proceedings - Fall 2004</v>
      </c>
      <c r="B5101" s="8" t="str">
        <f>"-"</f>
        <v>-</v>
      </c>
      <c r="C5101" s="8" t="s">
        <v>1529</v>
      </c>
    </row>
    <row r="5102" spans="1:3" x14ac:dyDescent="0.25">
      <c r="A5102" s="8" t="str">
        <f>"49th Annual Conference of SAVE International 2009"</f>
        <v>49th Annual Conference of SAVE International 2009</v>
      </c>
      <c r="B5102" s="8" t="str">
        <f>"9781615673896"</f>
        <v>9781615673896</v>
      </c>
      <c r="C5102" s="8" t="s">
        <v>1523</v>
      </c>
    </row>
    <row r="5103" spans="1:3" x14ac:dyDescent="0.25">
      <c r="A5103" s="8" t="str">
        <f>"49th Annual Conference of the Australasian Corrosion Association 2009: Corrosion and Prevention 2009"</f>
        <v>49th Annual Conference of the Australasian Corrosion Association 2009: Corrosion and Prevention 2009</v>
      </c>
      <c r="B5103" s="8" t="str">
        <f>"9781622762453"</f>
        <v>9781622762453</v>
      </c>
      <c r="C5103" s="8" t="s">
        <v>310</v>
      </c>
    </row>
    <row r="5104" spans="1:3" x14ac:dyDescent="0.25">
      <c r="A5104" s="8" t="str">
        <f>"49th Annual Conference of the Operational Research Society 2007, OR49"</f>
        <v>49th Annual Conference of the Operational Research Society 2007, OR49</v>
      </c>
      <c r="B5104" s="8" t="str">
        <f>"-"</f>
        <v>-</v>
      </c>
      <c r="C5104" s="8" t="s">
        <v>1528</v>
      </c>
    </row>
    <row r="5105" spans="1:3" x14ac:dyDescent="0.25">
      <c r="A5105" s="8" t="str">
        <f>"49th Annual Meeting of the International Society for the Systems Sciences 2005, ISSS 2005"</f>
        <v>49th Annual Meeting of the International Society for the Systems Sciences 2005, ISSS 2005</v>
      </c>
      <c r="B5105" s="8" t="str">
        <f>"9781622767564"</f>
        <v>9781622767564</v>
      </c>
      <c r="C5105" s="8" t="s">
        <v>1530</v>
      </c>
    </row>
    <row r="5106" spans="1:3" x14ac:dyDescent="0.25">
      <c r="A5106" s="8" t="str">
        <f>"49th Annual Rocky Mountain Bioengineering Symposium and 49th International ISA Biomedical Sciences Instrumentation Symposium"</f>
        <v>49th Annual Rocky Mountain Bioengineering Symposium and 49th International ISA Biomedical Sciences Instrumentation Symposium</v>
      </c>
      <c r="B5106" s="8" t="str">
        <f>"9781618399595"</f>
        <v>9781618399595</v>
      </c>
      <c r="C5106" s="8" t="s">
        <v>188</v>
      </c>
    </row>
    <row r="5107" spans="1:3" x14ac:dyDescent="0.25">
      <c r="A5107" s="8" t="str">
        <f>"49th Annual SID Symposium, Seminar, and Exhibition 2011, Display Week 2011"</f>
        <v>49th Annual SID Symposium, Seminar, and Exhibition 2011, Display Week 2011</v>
      </c>
      <c r="B5107" s="8" t="str">
        <f>"9781618390967"</f>
        <v>9781618390967</v>
      </c>
      <c r="C5107" s="8" t="s">
        <v>535</v>
      </c>
    </row>
    <row r="5108" spans="1:3" x14ac:dyDescent="0.25">
      <c r="A5108" s="8" t="str">
        <f>"49th Annual Symposium and Study Group Meeting of the Airline Group of the International Federation of Operational Research Societies 2009, AGIFORS 2009"</f>
        <v>49th Annual Symposium and Study Group Meeting of the Airline Group of the International Federation of Operational Research Societies 2009, AGIFORS 2009</v>
      </c>
      <c r="B5108" s="8" t="str">
        <f>"9781615678341"</f>
        <v>9781615678341</v>
      </c>
      <c r="C5108" s="8" t="s">
        <v>394</v>
      </c>
    </row>
    <row r="5109" spans="1:3" x14ac:dyDescent="0.25">
      <c r="A5109" s="8" t="str">
        <f>"49th Israel Annual Conference on Aerospace Sciences 2009"</f>
        <v>49th Israel Annual Conference on Aerospace Sciences 2009</v>
      </c>
      <c r="B5109" s="8" t="str">
        <f>"9781605609836"</f>
        <v>9781605609836</v>
      </c>
      <c r="C5109" s="8" t="s">
        <v>1527</v>
      </c>
    </row>
    <row r="5110" spans="1:3" x14ac:dyDescent="0.25">
      <c r="A5110" s="8" t="str">
        <f>"4th ACM SIGSPATIAL International Workshop on Computational Transportation Science 2011, CTS'11, in Conjunction with ACM SIGSPATIAL GIS 2011"</f>
        <v>4th ACM SIGSPATIAL International Workshop on Computational Transportation Science 2011, CTS'11, in Conjunction with ACM SIGSPATIAL GIS 2011</v>
      </c>
      <c r="B5110" s="8" t="str">
        <f>"9781450310345"</f>
        <v>9781450310345</v>
      </c>
      <c r="C5110" s="8" t="s">
        <v>21</v>
      </c>
    </row>
    <row r="5111" spans="1:3" x14ac:dyDescent="0.25">
      <c r="A5111" s="8" t="str">
        <f>"4th AIAA Atmospheric and Space Environments Conference 2012"</f>
        <v>4th AIAA Atmospheric and Space Environments Conference 2012</v>
      </c>
      <c r="B5111" s="8" t="str">
        <f>"9781624101922"</f>
        <v>9781624101922</v>
      </c>
      <c r="C5111" s="8" t="s">
        <v>104</v>
      </c>
    </row>
    <row r="5112" spans="1:3" x14ac:dyDescent="0.25">
      <c r="A5112" s="8" t="str">
        <f>"4th AIAA Flow Control Conference"</f>
        <v>4th AIAA Flow Control Conference</v>
      </c>
      <c r="B5112" s="8" t="str">
        <f>"9781563479427"</f>
        <v>9781563479427</v>
      </c>
      <c r="C5112" s="8" t="s">
        <v>104</v>
      </c>
    </row>
    <row r="5113" spans="1:3" x14ac:dyDescent="0.25">
      <c r="A5113" s="8" t="str">
        <f>"4th AIAA Theoretical Fluid Mechanics Meeting"</f>
        <v>4th AIAA Theoretical Fluid Mechanics Meeting</v>
      </c>
      <c r="B5113" s="8" t="str">
        <f>"9781624100666"</f>
        <v>9781624100666</v>
      </c>
      <c r="C5113" s="8" t="s">
        <v>104</v>
      </c>
    </row>
    <row r="5114" spans="1:3" x14ac:dyDescent="0.25">
      <c r="A5114" s="8" t="str">
        <f>"4th Annual Caneus Fly-By-Wireless Workshop, FBW 11"</f>
        <v>4th Annual Caneus Fly-By-Wireless Workshop, FBW 11</v>
      </c>
      <c r="B5114" s="8" t="str">
        <f>"9781457709715"</f>
        <v>9781457709715</v>
      </c>
      <c r="C5114" s="8" t="s">
        <v>9</v>
      </c>
    </row>
    <row r="5115" spans="1:3" x14ac:dyDescent="0.25">
      <c r="A5115" s="8" t="str">
        <f>"4th Annual IEEE International Conference on Cyber Technology in Automation, Control and Intelligent Systems, IEEE-CYBER 2014"</f>
        <v>4th Annual IEEE International Conference on Cyber Technology in Automation, Control and Intelligent Systems, IEEE-CYBER 2014</v>
      </c>
      <c r="B5115" s="8" t="str">
        <f>"9781479936687"</f>
        <v>9781479936687</v>
      </c>
      <c r="C5115" s="8" t="s">
        <v>105</v>
      </c>
    </row>
    <row r="5116" spans="1:3" x14ac:dyDescent="0.25">
      <c r="A5116" s="8" t="str">
        <f>"4th Annual International Conference on Mobile Business, ICMB 2005"</f>
        <v>4th Annual International Conference on Mobile Business, ICMB 2005</v>
      </c>
      <c r="B5116" s="8" t="str">
        <f>"9780769523675"</f>
        <v>9780769523675</v>
      </c>
      <c r="C5116" s="8" t="s">
        <v>105</v>
      </c>
    </row>
    <row r="5117" spans="1:3" x14ac:dyDescent="0.25">
      <c r="A5117" s="8" t="str">
        <f>"4th Annual Lean Management Solutions Conference 2004, Conference Proceedings"</f>
        <v>4th Annual Lean Management Solutions Conference 2004, Conference Proceedings</v>
      </c>
      <c r="B5117" s="8" t="str">
        <f>"-"</f>
        <v>-</v>
      </c>
      <c r="C5117" s="8" t="s">
        <v>530</v>
      </c>
    </row>
    <row r="5118" spans="1:3" x14ac:dyDescent="0.25">
      <c r="A5118" s="8" t="str">
        <f>"4th Arabian Plate Geology Workshop: Late Jurassic/Early Cretaceous Evaporite-Carbonate-Siliciclastic Systems of the Arabian Plate"</f>
        <v>4th Arabian Plate Geology Workshop: Late Jurassic/Early Cretaceous Evaporite-Carbonate-Siliciclastic Systems of the Arabian Plate</v>
      </c>
      <c r="B5118" s="8" t="str">
        <f>"-"</f>
        <v>-</v>
      </c>
      <c r="C5118" s="8" t="s">
        <v>1251</v>
      </c>
    </row>
    <row r="5119" spans="1:3" x14ac:dyDescent="0.25">
      <c r="A5119" s="8" t="str">
        <f>"4th Asian Conference on Intelligent Games and Simulation, GAME-ON ASIA 2012 - 4th Asian Simulation Technology Conference, ASTEC 2012"</f>
        <v>4th Asian Conference on Intelligent Games and Simulation, GAME-ON ASIA 2012 - 4th Asian Simulation Technology Conference, ASTEC 2012</v>
      </c>
      <c r="B5119" s="8" t="str">
        <f>"9789077381687"</f>
        <v>9789077381687</v>
      </c>
      <c r="C5119" s="8" t="s">
        <v>1206</v>
      </c>
    </row>
    <row r="5120" spans="1:3" x14ac:dyDescent="0.25">
      <c r="A5120" s="8" t="str">
        <f>"4th Asia-Pacific Symposium on Internetware, Internetware 2012"</f>
        <v>4th Asia-Pacific Symposium on Internetware, Internetware 2012</v>
      </c>
      <c r="B5120" s="8" t="str">
        <f>"9781450318884"</f>
        <v>9781450318884</v>
      </c>
      <c r="C5120" s="8" t="s">
        <v>21</v>
      </c>
    </row>
    <row r="5121" spans="1:3" x14ac:dyDescent="0.25">
      <c r="A5121" s="8" t="str">
        <f>"4th Australasian Congress on Applied Mechanics, ACAM 2005"</f>
        <v>4th Australasian Congress on Applied Mechanics, ACAM 2005</v>
      </c>
      <c r="B5121" s="8" t="str">
        <f>"9781627481274"</f>
        <v>9781627481274</v>
      </c>
      <c r="C5121" s="8" t="s">
        <v>1271</v>
      </c>
    </row>
    <row r="5122" spans="1:3" x14ac:dyDescent="0.25">
      <c r="A5122" s="8" t="str">
        <f>"4th ChinaGrid Annual Conference, ChinaGrid 2009"</f>
        <v>4th ChinaGrid Annual Conference, ChinaGrid 2009</v>
      </c>
      <c r="B5122" s="8" t="str">
        <f>"9780769538181"</f>
        <v>9780769538181</v>
      </c>
      <c r="C5122" s="8" t="s">
        <v>9</v>
      </c>
    </row>
    <row r="5123" spans="1:3" x14ac:dyDescent="0.25">
      <c r="A5123" s="8" t="str">
        <f>"4th Conference on Foundations of Nanoscience: Self-Assembled Architectures and Devices, FNANO 2007"</f>
        <v>4th Conference on Foundations of Nanoscience: Self-Assembled Architectures and Devices, FNANO 2007</v>
      </c>
      <c r="B5123" s="8" t="str">
        <f>"-"</f>
        <v>-</v>
      </c>
      <c r="C5123" s="8" t="s">
        <v>1460</v>
      </c>
    </row>
    <row r="5124" spans="1:3" x14ac:dyDescent="0.25">
      <c r="A5124" s="8" t="str">
        <f>"4th Conference on Professional Knowledge Management Experiences and Visions, WM 2007"</f>
        <v>4th Conference on Professional Knowledge Management Experiences and Visions, WM 2007</v>
      </c>
      <c r="B5124" s="8" t="str">
        <f>"9783936771992"</f>
        <v>9783936771992</v>
      </c>
      <c r="C5124" s="8" t="s">
        <v>1531</v>
      </c>
    </row>
    <row r="5125" spans="1:3" x14ac:dyDescent="0.25">
      <c r="A5125" s="8" t="str">
        <f>"4th Conference on Thermal Power Plants, CTPP 2012"</f>
        <v>4th Conference on Thermal Power Plants, CTPP 2012</v>
      </c>
      <c r="B5125" s="8" t="str">
        <f>"9781467348447"</f>
        <v>9781467348447</v>
      </c>
      <c r="C5125" s="8" t="s">
        <v>9</v>
      </c>
    </row>
    <row r="5126" spans="1:3" x14ac:dyDescent="0.25">
      <c r="A5126" s="8" t="str">
        <f>"4th EAGE Passive Seismic Workshop"</f>
        <v>4th EAGE Passive Seismic Workshop</v>
      </c>
      <c r="B5126" s="8" t="str">
        <f>"-"</f>
        <v>-</v>
      </c>
      <c r="C5126" s="8" t="s">
        <v>1251</v>
      </c>
    </row>
    <row r="5127" spans="1:3" x14ac:dyDescent="0.25">
      <c r="A5127" s="8" t="str">
        <f>"4th EAGE Shale Workshop 2014 - Shales: What Do They Have in Common?"</f>
        <v>4th EAGE Shale Workshop 2014 - Shales: What Do They Have in Common?</v>
      </c>
      <c r="B5127" s="8" t="str">
        <f>"9781632660510"</f>
        <v>9781632660510</v>
      </c>
      <c r="C5127" s="8" t="s">
        <v>1251</v>
      </c>
    </row>
    <row r="5128" spans="1:3" x14ac:dyDescent="0.25">
      <c r="A5128" s="8" t="str">
        <f>"4th EUROCONTROL Innovative Research Workshop and Exhibition: Envisioning the Future"</f>
        <v>4th EUROCONTROL Innovative Research Workshop and Exhibition: Envisioning the Future</v>
      </c>
      <c r="B5128" s="8" t="str">
        <f>"-"</f>
        <v>-</v>
      </c>
      <c r="C5128" s="8" t="s">
        <v>1532</v>
      </c>
    </row>
    <row r="5129" spans="1:3" x14ac:dyDescent="0.25">
      <c r="A5129" s="8" t="str">
        <f>"4th Eurographics Italian Chapter Conference 2006 - Proceedings"</f>
        <v>4th Eurographics Italian Chapter Conference 2006 - Proceedings</v>
      </c>
      <c r="B5129" s="8" t="str">
        <f>"9783905673586"</f>
        <v>9783905673586</v>
      </c>
      <c r="C5129" s="8" t="s">
        <v>23</v>
      </c>
    </row>
    <row r="5130" spans="1:3" x14ac:dyDescent="0.25">
      <c r="A5130" s="8" t="str">
        <f>"4th EURO-NGI Conference on Next Generation Internet Networks - Proceedings"</f>
        <v>4th EURO-NGI Conference on Next Generation Internet Networks - Proceedings</v>
      </c>
      <c r="B5130" s="8" t="str">
        <f>"9781424417841"</f>
        <v>9781424417841</v>
      </c>
      <c r="C5130" s="8" t="s">
        <v>9</v>
      </c>
    </row>
    <row r="5131" spans="1:3" x14ac:dyDescent="0.25">
      <c r="A5131" s="8" t="str">
        <f>"4th European Conference on Circuits and Systems for Communications, ECCSC '08"</f>
        <v>4th European Conference on Circuits and Systems for Communications, ECCSC '08</v>
      </c>
      <c r="B5131" s="8" t="str">
        <f>"9781424424207"</f>
        <v>9781424424207</v>
      </c>
      <c r="C5131" s="8" t="s">
        <v>9</v>
      </c>
    </row>
    <row r="5132" spans="1:3" x14ac:dyDescent="0.25">
      <c r="A5132" s="8" t="str">
        <f>"4th European Conference on Information Management and Evaluation, ECIME 2010"</f>
        <v>4th European Conference on Information Management and Evaluation, ECIME 2010</v>
      </c>
      <c r="B5132" s="8" t="str">
        <f>"9781629939421"</f>
        <v>9781629939421</v>
      </c>
      <c r="C5132" s="8" t="s">
        <v>973</v>
      </c>
    </row>
    <row r="5133" spans="1:3" x14ac:dyDescent="0.25">
      <c r="A5133" s="8" t="str">
        <f>"4th European Conference on Information Warfare and Security 2005, ECIW 2005"</f>
        <v>4th European Conference on Information Warfare and Security 2005, ECIW 2005</v>
      </c>
      <c r="B5133" s="8" t="str">
        <f>"9781622765300"</f>
        <v>9781622765300</v>
      </c>
      <c r="C5133" s="8" t="s">
        <v>973</v>
      </c>
    </row>
    <row r="5134" spans="1:3" x14ac:dyDescent="0.25">
      <c r="A5134" s="8" t="str">
        <f>"4th High Performance Yacht Design Conference 2012, HPYD 2012"</f>
        <v>4th High Performance Yacht Design Conference 2012, HPYD 2012</v>
      </c>
      <c r="B5134" s="8" t="str">
        <f>"9781622769117"</f>
        <v>9781622769117</v>
      </c>
      <c r="C5134" s="8" t="s">
        <v>1533</v>
      </c>
    </row>
    <row r="5135" spans="1:3" x14ac:dyDescent="0.25">
      <c r="A5135" s="8" t="str">
        <f>"4th IEEE and IFIP International Conference on Wireless and Optical Communications Networks, WOCN 2007"</f>
        <v>4th IEEE and IFIP International Conference on Wireless and Optical Communications Networks, WOCN 2007</v>
      </c>
      <c r="B5135" s="8" t="str">
        <f>"9781424410040"</f>
        <v>9781424410040</v>
      </c>
      <c r="C5135" s="8" t="s">
        <v>9</v>
      </c>
    </row>
    <row r="5136" spans="1:3" x14ac:dyDescent="0.25">
      <c r="A5136" s="8" t="str">
        <f>"4th IEEE Conference on Automation Science and Engineering, CASE 2008"</f>
        <v>4th IEEE Conference on Automation Science and Engineering, CASE 2008</v>
      </c>
      <c r="B5136" s="8" t="str">
        <f>"9781424420230"</f>
        <v>9781424420230</v>
      </c>
      <c r="C5136" s="8" t="s">
        <v>9</v>
      </c>
    </row>
    <row r="5137" spans="1:3" x14ac:dyDescent="0.25">
      <c r="A5137" s="8" t="str">
        <f>"4th IEEE International Conference on Cognitive Infocommunications, CogInfoCom 2013 - Proceedings"</f>
        <v>4th IEEE International Conference on Cognitive Infocommunications, CogInfoCom 2013 - Proceedings</v>
      </c>
      <c r="B5137" s="8" t="str">
        <f>"9781479915439"</f>
        <v>9781479915439</v>
      </c>
      <c r="C5137" s="8" t="s">
        <v>9</v>
      </c>
    </row>
    <row r="5138" spans="1:3" x14ac:dyDescent="0.25">
      <c r="A5138" s="8" t="str">
        <f>"4th IEEE International Conference on Digital Ecosystems and Technologies - Conference Proceedings of IEEE-DEST 2010, DEST 2010"</f>
        <v>4th IEEE International Conference on Digital Ecosystems and Technologies - Conference Proceedings of IEEE-DEST 2010, DEST 2010</v>
      </c>
      <c r="B5138" s="8" t="str">
        <f>"9781424455539"</f>
        <v>9781424455539</v>
      </c>
      <c r="C5138" s="8" t="s">
        <v>9</v>
      </c>
    </row>
    <row r="5139" spans="1:3" x14ac:dyDescent="0.25">
      <c r="A5139" s="8" t="str">
        <f>"4th IEEE International Conference on Nano/Micro Engineered and Molecular Systems, NEMS 2009"</f>
        <v>4th IEEE International Conference on Nano/Micro Engineered and Molecular Systems, NEMS 2009</v>
      </c>
      <c r="B5139" s="8" t="str">
        <f>"9781424446308"</f>
        <v>9781424446308</v>
      </c>
      <c r="C5139" s="8" t="s">
        <v>9</v>
      </c>
    </row>
    <row r="5140" spans="1:3" x14ac:dyDescent="0.25">
      <c r="A5140" s="8" t="str">
        <f>"4th IEEE International Vacuum Electronics Conference, IVEC 2003 - Proceedings"</f>
        <v>4th IEEE International Vacuum Electronics Conference, IVEC 2003 - Proceedings</v>
      </c>
      <c r="B5140" s="8" t="str">
        <f>"9780780376991"</f>
        <v>9780780376991</v>
      </c>
      <c r="C5140" s="8" t="s">
        <v>105</v>
      </c>
    </row>
    <row r="5141" spans="1:3" x14ac:dyDescent="0.25">
      <c r="A5141" s="8" t="str">
        <f>"4th IEEE Workshop on Secure Network Protocols, NPSec'08"</f>
        <v>4th IEEE Workshop on Secure Network Protocols, NPSec'08</v>
      </c>
      <c r="B5141" s="8" t="str">
        <f>"9781424426522"</f>
        <v>9781424426522</v>
      </c>
      <c r="C5141" s="8" t="s">
        <v>9</v>
      </c>
    </row>
    <row r="5142" spans="1:3" x14ac:dyDescent="0.25">
      <c r="A5142" s="8" t="str">
        <f>"4th IEEE/IFIP International Conference in Central Asia on Internet, ICI 2008"</f>
        <v>4th IEEE/IFIP International Conference in Central Asia on Internet, ICI 2008</v>
      </c>
      <c r="B5142" s="8" t="str">
        <f>"9781424422838"</f>
        <v>9781424422838</v>
      </c>
      <c r="C5142" s="8" t="s">
        <v>9</v>
      </c>
    </row>
    <row r="5143" spans="1:3" x14ac:dyDescent="0.25">
      <c r="A5143" s="8" t="str">
        <f>"4th IEEE/IFIP Workshop on End-to-End Monitoring Techniques and Services, E2EMON"</f>
        <v>4th IEEE/IFIP Workshop on End-to-End Monitoring Techniques and Services, E2EMON</v>
      </c>
      <c r="B5143" s="8" t="str">
        <f>"-"</f>
        <v>-</v>
      </c>
      <c r="C5143" s="8" t="s">
        <v>9</v>
      </c>
    </row>
    <row r="5144" spans="1:3" x14ac:dyDescent="0.25">
      <c r="A5144" s="8" t="str">
        <f>"4th IMAPS/ACerS International Conference and Exhibition on Ceramic Interconnect and Ceramic Microsystems Technologies 2008, CICMT 2008"</f>
        <v>4th IMAPS/ACerS International Conference and Exhibition on Ceramic Interconnect and Ceramic Microsystems Technologies 2008, CICMT 2008</v>
      </c>
      <c r="B5144" s="8" t="str">
        <f>"9781615673339"</f>
        <v>9781615673339</v>
      </c>
      <c r="C5144" s="8" t="s">
        <v>93</v>
      </c>
    </row>
    <row r="5145" spans="1:3" x14ac:dyDescent="0.25">
      <c r="A5145" s="8" t="str">
        <f>"4th IMEKO TC19 Symposium on Environmental Instrumentation and Measurements 2013: Protection Environment, Climate Changes and Pollution Control"</f>
        <v>4th IMEKO TC19 Symposium on Environmental Instrumentation and Measurements 2013: Protection Environment, Climate Changes and Pollution Control</v>
      </c>
      <c r="B5145" s="8" t="str">
        <f>"9781629931067"</f>
        <v>9781629931067</v>
      </c>
      <c r="C5145" s="8" t="s">
        <v>1198</v>
      </c>
    </row>
    <row r="5146" spans="1:3" x14ac:dyDescent="0.25">
      <c r="A5146" s="8" t="str">
        <f>"4th IMEKO TC4 Conference on Advanced A/D and D/A Conversion Techniques and Their Applications and the 7th Workshop on ADC Modelling and Testing 2002"</f>
        <v>4th IMEKO TC4 Conference on Advanced A/D and D/A Conversion Techniques and Their Applications and the 7th Workshop on ADC Modelling and Testing 2002</v>
      </c>
      <c r="B5146" s="8" t="str">
        <f>"9781634391832"</f>
        <v>9781634391832</v>
      </c>
      <c r="C5146" s="8" t="s">
        <v>1198</v>
      </c>
    </row>
    <row r="5147" spans="1:3" x14ac:dyDescent="0.25">
      <c r="A5147" s="8" t="str">
        <f>"4th Int. Conference on Integrated Modeling and Analysis in Applied Control and Automation, IMAACA 2010, Held at the International Mediterranean and Latin American Modeling Multiconference, I3M 2010"</f>
        <v>4th Int. Conference on Integrated Modeling and Analysis in Applied Control and Automation, IMAACA 2010, Held at the International Mediterranean and Latin American Modeling Multiconference, I3M 2010</v>
      </c>
      <c r="B5147" s="8" t="str">
        <f>"9781629934778"</f>
        <v>9781629934778</v>
      </c>
      <c r="C5147" s="8" t="s">
        <v>1200</v>
      </c>
    </row>
    <row r="5148" spans="1:3" x14ac:dyDescent="0.25">
      <c r="A5148" s="8" t="str">
        <f>"4th International Conference and Exhibition: New Discoveries through Integration of Geosciences, Saint Petersburg 2010"</f>
        <v>4th International Conference and Exhibition: New Discoveries through Integration of Geosciences, Saint Petersburg 2010</v>
      </c>
      <c r="B5148" s="8" t="str">
        <f>"-"</f>
        <v>-</v>
      </c>
      <c r="C5148" s="8" t="s">
        <v>1251</v>
      </c>
    </row>
    <row r="5149" spans="1:3" x14ac:dyDescent="0.25">
      <c r="A5149" s="8" t="str">
        <f t="shared" ref="A5149:A5154" si="8">"4th International Conference COPPER 99-COBRE 99"</f>
        <v>4th International Conference COPPER 99-COBRE 99</v>
      </c>
      <c r="B5149" s="8" t="str">
        <f>"9780873394352"</f>
        <v>9780873394352</v>
      </c>
      <c r="C5149" s="8" t="s">
        <v>648</v>
      </c>
    </row>
    <row r="5150" spans="1:3" x14ac:dyDescent="0.25">
      <c r="A5150" s="8" t="str">
        <f t="shared" si="8"/>
        <v>4th International Conference COPPER 99-COBRE 99</v>
      </c>
      <c r="B5150" s="8" t="str">
        <f>"9780873394369"</f>
        <v>9780873394369</v>
      </c>
      <c r="C5150" s="8" t="s">
        <v>648</v>
      </c>
    </row>
    <row r="5151" spans="1:3" x14ac:dyDescent="0.25">
      <c r="A5151" s="8" t="str">
        <f t="shared" si="8"/>
        <v>4th International Conference COPPER 99-COBRE 99</v>
      </c>
      <c r="B5151" s="8" t="str">
        <f>"9780873394376"</f>
        <v>9780873394376</v>
      </c>
      <c r="C5151" s="8" t="s">
        <v>648</v>
      </c>
    </row>
    <row r="5152" spans="1:3" x14ac:dyDescent="0.25">
      <c r="A5152" s="8" t="str">
        <f t="shared" si="8"/>
        <v>4th International Conference COPPER 99-COBRE 99</v>
      </c>
      <c r="B5152" s="8" t="str">
        <f>"9780873394390"</f>
        <v>9780873394390</v>
      </c>
      <c r="C5152" s="8" t="s">
        <v>648</v>
      </c>
    </row>
    <row r="5153" spans="1:3" x14ac:dyDescent="0.25">
      <c r="A5153" s="8" t="str">
        <f t="shared" si="8"/>
        <v>4th International Conference COPPER 99-COBRE 99</v>
      </c>
      <c r="B5153" s="8" t="str">
        <f>"9780873394406"</f>
        <v>9780873394406</v>
      </c>
      <c r="C5153" s="8" t="s">
        <v>648</v>
      </c>
    </row>
    <row r="5154" spans="1:3" x14ac:dyDescent="0.25">
      <c r="A5154" s="8" t="str">
        <f t="shared" si="8"/>
        <v>4th International Conference COPPER 99-COBRE 99</v>
      </c>
      <c r="B5154" s="8" t="str">
        <f>"9780873394383"</f>
        <v>9780873394383</v>
      </c>
      <c r="C5154" s="8" t="s">
        <v>648</v>
      </c>
    </row>
    <row r="5155" spans="1:3" x14ac:dyDescent="0.25">
      <c r="A5155" s="8" t="str">
        <f>"4th International Conference on Adhesive Joining and Coating Technology in Electronics Manufacturing, Proceedings - Presented at Adhesives in Electronics 2000"</f>
        <v>4th International Conference on Adhesive Joining and Coating Technology in Electronics Manufacturing, Proceedings - Presented at Adhesives in Electronics 2000</v>
      </c>
      <c r="B5155" s="8" t="str">
        <f>"9780780364608"</f>
        <v>9780780364608</v>
      </c>
      <c r="C5155" s="8" t="s">
        <v>105</v>
      </c>
    </row>
    <row r="5156" spans="1:3" x14ac:dyDescent="0.25">
      <c r="A5156" s="8" t="str">
        <f>"4th International Conference on Advanced Computing, ICoAC 2012"</f>
        <v>4th International Conference on Advanced Computing, ICoAC 2012</v>
      </c>
      <c r="B5156" s="8" t="str">
        <f>"9781467355827"</f>
        <v>9781467355827</v>
      </c>
      <c r="C5156" s="8" t="s">
        <v>9</v>
      </c>
    </row>
    <row r="5157" spans="1:3" x14ac:dyDescent="0.25">
      <c r="A5157" s="8" t="str">
        <f>"4th International Conference on Antenna Theory and Techniques, ICATT 2003"</f>
        <v>4th International Conference on Antenna Theory and Techniques, ICATT 2003</v>
      </c>
      <c r="B5157" s="8" t="str">
        <f>"-"</f>
        <v>-</v>
      </c>
      <c r="C5157" s="8" t="s">
        <v>105</v>
      </c>
    </row>
    <row r="5158" spans="1:3" x14ac:dyDescent="0.25">
      <c r="A5158" s="8" t="str">
        <f>"4th International Conference on Application of Information and Communication Technologies, AICT2010"</f>
        <v>4th International Conference on Application of Information and Communication Technologies, AICT2010</v>
      </c>
      <c r="B5158" s="8" t="str">
        <f>"9781424469031"</f>
        <v>9781424469031</v>
      </c>
      <c r="C5158" s="8" t="s">
        <v>9</v>
      </c>
    </row>
    <row r="5159" spans="1:3" x14ac:dyDescent="0.25">
      <c r="A5159" s="8" t="str">
        <f>"4th International Conference on Bioinformatics and Computational Biology 2012, BICoB 2012"</f>
        <v>4th International Conference on Bioinformatics and Computational Biology 2012, BICoB 2012</v>
      </c>
      <c r="B5159" s="8" t="str">
        <f>"9781618397461"</f>
        <v>9781618397461</v>
      </c>
      <c r="C5159" s="8" t="s">
        <v>1287</v>
      </c>
    </row>
    <row r="5160" spans="1:3" x14ac:dyDescent="0.25">
      <c r="A5160" s="8" t="str">
        <f>"4th International Conference on Clean Electrical Power: Renewable Energy Resources Impact, ICCEP 2013"</f>
        <v>4th International Conference on Clean Electrical Power: Renewable Energy Resources Impact, ICCEP 2013</v>
      </c>
      <c r="B5160" s="8" t="str">
        <f>"9781467344296"</f>
        <v>9781467344296</v>
      </c>
      <c r="C5160" s="8" t="s">
        <v>9</v>
      </c>
    </row>
    <row r="5161" spans="1:3" x14ac:dyDescent="0.25">
      <c r="A5161" s="8" t="str">
        <f>"4th International Conference on Cognitive Systems, CogSys 2010"</f>
        <v>4th International Conference on Cognitive Systems, CogSys 2010</v>
      </c>
      <c r="B5161" s="8" t="str">
        <f>"-"</f>
        <v>-</v>
      </c>
      <c r="C5161" s="8" t="s">
        <v>1534</v>
      </c>
    </row>
    <row r="5162" spans="1:3" x14ac:dyDescent="0.25">
      <c r="A5162" s="8" t="str">
        <f>"4th International Conference on Cooperation and Promotion of Information Resources in Science and Technology, COINFO 2009"</f>
        <v>4th International Conference on Cooperation and Promotion of Information Resources in Science and Technology, COINFO 2009</v>
      </c>
      <c r="B5162" s="8" t="str">
        <f>"9780769538983"</f>
        <v>9780769538983</v>
      </c>
      <c r="C5162" s="8" t="s">
        <v>9</v>
      </c>
    </row>
    <row r="5163" spans="1:3" x14ac:dyDescent="0.25">
      <c r="A5163" s="8" t="str">
        <f>"4th International Conference on Current Problems in Nuclear Physics and Atomic Energy, NPAE 2012 - Proceedings"</f>
        <v>4th International Conference on Current Problems in Nuclear Physics and Atomic Energy, NPAE 2012 - Proceedings</v>
      </c>
      <c r="B5163" s="8" t="str">
        <f>"-"</f>
        <v>-</v>
      </c>
      <c r="C5163" s="8" t="s">
        <v>1462</v>
      </c>
    </row>
    <row r="5164" spans="1:3" x14ac:dyDescent="0.25">
      <c r="A5164" s="8" t="str">
        <f>"4th International Conference on Current Problems in Nuclear Physics and Atomic Energy, NPAE 2012 - Proceedings"</f>
        <v>4th International Conference on Current Problems in Nuclear Physics and Atomic Energy, NPAE 2012 - Proceedings</v>
      </c>
      <c r="B5164" s="8" t="str">
        <f>"9789660267527"</f>
        <v>9789660267527</v>
      </c>
      <c r="C5164" s="8" t="s">
        <v>1462</v>
      </c>
    </row>
    <row r="5165" spans="1:3" x14ac:dyDescent="0.25">
      <c r="A5165" s="8" t="str">
        <f>"4th International Conference on Digital Information Management, ICDIM 2009"</f>
        <v>4th International Conference on Digital Information Management, ICDIM 2009</v>
      </c>
      <c r="B5165" s="8" t="str">
        <f>"9781424442539"</f>
        <v>9781424442539</v>
      </c>
      <c r="C5165" s="8" t="s">
        <v>9</v>
      </c>
    </row>
    <row r="5166" spans="1:3" x14ac:dyDescent="0.25">
      <c r="A5166" s="8" t="str">
        <f>"4th International Conference on Digital Society, ICDS 2010, Includes CYBERLAWS 2010: The 1st International Conference on Technical and Legal Aspects of the e-Society"</f>
        <v>4th International Conference on Digital Society, ICDS 2010, Includes CYBERLAWS 2010: The 1st International Conference on Technical and Legal Aspects of the e-Society</v>
      </c>
      <c r="B5166" s="8" t="str">
        <f>"9780769539539"</f>
        <v>9780769539539</v>
      </c>
      <c r="C5166" s="8" t="s">
        <v>9</v>
      </c>
    </row>
    <row r="5167" spans="1:3" x14ac:dyDescent="0.25">
      <c r="A5167" s="8" t="str">
        <f>"4th International Conference on e-Learning and e-Teaching, ICELET 2013"</f>
        <v>4th International Conference on e-Learning and e-Teaching, ICELET 2013</v>
      </c>
      <c r="B5167" s="8" t="str">
        <f>"9781467352680"</f>
        <v>9781467352680</v>
      </c>
      <c r="C5167" s="8" t="s">
        <v>9</v>
      </c>
    </row>
    <row r="5168" spans="1:3" x14ac:dyDescent="0.25">
      <c r="A5168" s="8" t="str">
        <f>"4th International Conference on Electrical and Control Technologies, ECT 2009"</f>
        <v>4th International Conference on Electrical and Control Technologies, ECT 2009</v>
      </c>
      <c r="B5168" s="8" t="str">
        <f>"9781634397988"</f>
        <v>9781634397988</v>
      </c>
      <c r="C5168" s="8" t="s">
        <v>1140</v>
      </c>
    </row>
    <row r="5169" spans="1:3" x14ac:dyDescent="0.25">
      <c r="A5169" s="8" t="str">
        <f>"4th International Conference on Environmental Informatics, ISEIS 2005"</f>
        <v>4th International Conference on Environmental Informatics, ISEIS 2005</v>
      </c>
      <c r="B5169" s="8" t="str">
        <f>"-"</f>
        <v>-</v>
      </c>
      <c r="C5169" s="8" t="s">
        <v>1535</v>
      </c>
    </row>
    <row r="5170" spans="1:3" x14ac:dyDescent="0.25">
      <c r="A5170" s="8" t="str">
        <f>"4th International Conference on Frontier of Computer Science and Technology, FCST 2009"</f>
        <v>4th International Conference on Frontier of Computer Science and Technology, FCST 2009</v>
      </c>
      <c r="B5170" s="8" t="str">
        <f>"9780769539324"</f>
        <v>9780769539324</v>
      </c>
      <c r="C5170" s="8" t="s">
        <v>9</v>
      </c>
    </row>
    <row r="5171" spans="1:3" x14ac:dyDescent="0.25">
      <c r="A5171" s="8" t="str">
        <f>"4th International Conference on Grid Service Engineering and Management, GSEM 2007"</f>
        <v>4th International Conference on Grid Service Engineering and Management, GSEM 2007</v>
      </c>
      <c r="B5171" s="8" t="str">
        <f>"9783885792116"</f>
        <v>9783885792116</v>
      </c>
      <c r="C5171" s="8" t="s">
        <v>833</v>
      </c>
    </row>
    <row r="5172" spans="1:3" x14ac:dyDescent="0.25">
      <c r="A5172" s="8" t="str">
        <f>"4th International Conference on Heterogeneous Networking for Quality, Reliability, Security and Robustness and Workshops, QSHINE '07"</f>
        <v>4th International Conference on Heterogeneous Networking for Quality, Reliability, Security and Robustness and Workshops, QSHINE '07</v>
      </c>
      <c r="B5172" s="8" t="str">
        <f>"9781595937568"</f>
        <v>9781595937568</v>
      </c>
      <c r="C5172" s="8" t="s">
        <v>21</v>
      </c>
    </row>
    <row r="5173" spans="1:3" x14ac:dyDescent="0.25">
      <c r="A5173" s="8" t="str">
        <f>"4th International Conference on Human System Interaction, HSI 2011"</f>
        <v>4th International Conference on Human System Interaction, HSI 2011</v>
      </c>
      <c r="B5173" s="8" t="str">
        <f>"9781424496402"</f>
        <v>9781424496402</v>
      </c>
      <c r="C5173" s="8" t="s">
        <v>9</v>
      </c>
    </row>
    <row r="5174" spans="1:3" x14ac:dyDescent="0.25">
      <c r="A5174" s="8" t="str">
        <f>"4th International Conference on Information Warfare and Security, ICIW 2009"</f>
        <v>4th International Conference on Information Warfare and Security, ICIW 2009</v>
      </c>
      <c r="B5174" s="8" t="str">
        <f>"9781622766734"</f>
        <v>9781622766734</v>
      </c>
      <c r="C5174" s="8" t="s">
        <v>394</v>
      </c>
    </row>
    <row r="5175" spans="1:3" x14ac:dyDescent="0.25">
      <c r="A5175" s="8" t="str">
        <f>"4th International Conference on Innovative Computing Technology, INTECH 2014 and 3rd International Conference on Future Generation Communication Technologies, FGCT 2014"</f>
        <v>4th International Conference on Innovative Computing Technology, INTECH 2014 and 3rd International Conference on Future Generation Communication Technologies, FGCT 2014</v>
      </c>
      <c r="B5175" s="8" t="str">
        <f>"9781479942336"</f>
        <v>9781479942336</v>
      </c>
      <c r="C5175" s="8" t="s">
        <v>105</v>
      </c>
    </row>
    <row r="5176" spans="1:3" x14ac:dyDescent="0.25">
      <c r="A5176" s="8" t="str">
        <f>"4th International Conference on Intelligent Human Computer Interaction: Advancing Technology for Humanity, IHCI 2012"</f>
        <v>4th International Conference on Intelligent Human Computer Interaction: Advancing Technology for Humanity, IHCI 2012</v>
      </c>
      <c r="B5176" s="8" t="str">
        <f>"9781467343695"</f>
        <v>9781467343695</v>
      </c>
      <c r="C5176" s="8" t="s">
        <v>9</v>
      </c>
    </row>
    <row r="5177" spans="1:3" x14ac:dyDescent="0.25">
      <c r="A5177" s="8" t="str">
        <f>"4th International Conference on Maintenance and Rehabilitation of Pavements and Technological Control, MAIREPAV 2005"</f>
        <v>4th International Conference on Maintenance and Rehabilitation of Pavements and Technological Control, MAIREPAV 2005</v>
      </c>
      <c r="B5177" s="8" t="str">
        <f>"9780000000002"</f>
        <v>9780000000002</v>
      </c>
      <c r="C5177" s="8" t="s">
        <v>1536</v>
      </c>
    </row>
    <row r="5178" spans="1:3" x14ac:dyDescent="0.25">
      <c r="A5178" s="8" t="str">
        <f>"4th International Conference on Modeling and Applied Simulation, MAS 2005, Held at the International Mediterranean Modeling Multiconference"</f>
        <v>4th International Conference on Modeling and Applied Simulation, MAS 2005, Held at the International Mediterranean Modeling Multiconference</v>
      </c>
      <c r="B5178" s="8" t="str">
        <f>"9781629934709"</f>
        <v>9781629934709</v>
      </c>
      <c r="C5178" s="8" t="s">
        <v>1200</v>
      </c>
    </row>
    <row r="5179" spans="1:3" x14ac:dyDescent="0.25">
      <c r="A5179" s="8" t="str">
        <f>"4th International Conference on Networked Sensing Systems, INSS"</f>
        <v>4th International Conference on Networked Sensing Systems, INSS</v>
      </c>
      <c r="B5179" s="8" t="str">
        <f>"9781424412310"</f>
        <v>9781424412310</v>
      </c>
      <c r="C5179" s="8" t="s">
        <v>9</v>
      </c>
    </row>
    <row r="5180" spans="1:3" x14ac:dyDescent="0.25">
      <c r="A5180" s="8" t="str">
        <f>"4th International Conference on Photonics, ICP 2013 - Conference Proceeding"</f>
        <v>4th International Conference on Photonics, ICP 2013 - Conference Proceeding</v>
      </c>
      <c r="B5180" s="8" t="str">
        <f>"9781467360753"</f>
        <v>9781467360753</v>
      </c>
      <c r="C5180" s="8" t="s">
        <v>9</v>
      </c>
    </row>
    <row r="5181" spans="1:3" x14ac:dyDescent="0.25">
      <c r="A5181" s="8" t="str">
        <f>"4th International Conference on Quantum, Nano and Micro Technologies, ICQNM 2010"</f>
        <v>4th International Conference on Quantum, Nano and Micro Technologies, ICQNM 2010</v>
      </c>
      <c r="B5181" s="8" t="str">
        <f>"9780769539522"</f>
        <v>9780769539522</v>
      </c>
      <c r="C5181" s="8" t="s">
        <v>9</v>
      </c>
    </row>
    <row r="5182" spans="1:3" x14ac:dyDescent="0.25">
      <c r="A5182" s="8" t="str">
        <f>"4th International Conference on Signal Processing and Communication Systems, ICSPCS'2010 - Proceedings"</f>
        <v>4th International Conference on Signal Processing and Communication Systems, ICSPCS'2010 - Proceedings</v>
      </c>
      <c r="B5182" s="8" t="str">
        <f>"9781424479078"</f>
        <v>9781424479078</v>
      </c>
      <c r="C5182" s="8" t="s">
        <v>9</v>
      </c>
    </row>
    <row r="5183" spans="1:3" x14ac:dyDescent="0.25">
      <c r="A5183" s="8" t="str">
        <f>"4th International Conference on Simulation and Modelling in the Food and Bio-Industry 2006, FOODSIM 2006"</f>
        <v>4th International Conference on Simulation and Modelling in the Food and Bio-Industry 2006, FOODSIM 2006</v>
      </c>
      <c r="B5183" s="8" t="str">
        <f>"9789077381274"</f>
        <v>9789077381274</v>
      </c>
      <c r="C5183" s="8" t="s">
        <v>1206</v>
      </c>
    </row>
    <row r="5184" spans="1:3" x14ac:dyDescent="0.25">
      <c r="A5184" s="8" t="str">
        <f>"4th International Conference on Software Engineering Advances, ICSEA 2009, Includes SEDES 2009: Simposio para Estudantes de Doutoramento em Engenharia de Software"</f>
        <v>4th International Conference on Software Engineering Advances, ICSEA 2009, Includes SEDES 2009: Simposio para Estudantes de Doutoramento em Engenharia de Software</v>
      </c>
      <c r="B5184" s="8" t="str">
        <f>"9780769537771"</f>
        <v>9780769537771</v>
      </c>
      <c r="C5184" s="8" t="s">
        <v>9</v>
      </c>
    </row>
    <row r="5185" spans="1:3" x14ac:dyDescent="0.25">
      <c r="A5185" s="8" t="str">
        <f>"4th International Conference on Systems and Networks Communications, ICSNC 2009"</f>
        <v>4th International Conference on Systems and Networks Communications, ICSNC 2009</v>
      </c>
      <c r="B5185" s="8" t="str">
        <f>"9780769537757"</f>
        <v>9780769537757</v>
      </c>
      <c r="C5185" s="8" t="s">
        <v>9</v>
      </c>
    </row>
    <row r="5186" spans="1:3" x14ac:dyDescent="0.25">
      <c r="A5186" s="8" t="str">
        <f>"4th International Conference on the Applications of Digital Information and Web Technologies, ICADIWT 2011"</f>
        <v>4th International Conference on the Applications of Digital Information and Web Technologies, ICADIWT 2011</v>
      </c>
      <c r="B5186" s="8" t="str">
        <f>"9781424498246"</f>
        <v>9781424498246</v>
      </c>
      <c r="C5186" s="8" t="s">
        <v>9</v>
      </c>
    </row>
    <row r="5187" spans="1:3" x14ac:dyDescent="0.25">
      <c r="A5187" s="8" t="str">
        <f>"4th International Congress on the Science and Technology of Ironmarking, ICSTI 2006, Proceedings"</f>
        <v>4th International Congress on the Science and Technology of Ironmarking, ICSTI 2006, Proceedings</v>
      </c>
      <c r="B5187" s="8" t="str">
        <f>"-"</f>
        <v>-</v>
      </c>
      <c r="C5187" s="8" t="s">
        <v>1537</v>
      </c>
    </row>
    <row r="5188" spans="1:3" x14ac:dyDescent="0.25">
      <c r="A5188" s="8" t="str">
        <f>"4th International Defense and Homeland Security Simulation Workshop, DHSS 2014"</f>
        <v>4th International Defense and Homeland Security Simulation Workshop, DHSS 2014</v>
      </c>
      <c r="B5188" s="8" t="str">
        <f>"9788897999355"</f>
        <v>9788897999355</v>
      </c>
      <c r="C5188" s="8" t="s">
        <v>1256</v>
      </c>
    </row>
    <row r="5189" spans="1:3" x14ac:dyDescent="0.25">
      <c r="A5189" s="8" t="str">
        <f>"4th International IEEE Consumer Electronic Society - Games Innovation Conference, IGiC 2012"</f>
        <v>4th International IEEE Consumer Electronic Society - Games Innovation Conference, IGiC 2012</v>
      </c>
      <c r="B5189" s="8" t="str">
        <f>"9781467313575"</f>
        <v>9781467313575</v>
      </c>
      <c r="C5189" s="8" t="s">
        <v>9</v>
      </c>
    </row>
    <row r="5190" spans="1:3" x14ac:dyDescent="0.25">
      <c r="A5190" s="8" t="str">
        <f>"4th International IEEE North-East Workshop on Circuits and Systems, NEWCAS 2006 - Conference Proceedings"</f>
        <v>4th International IEEE North-East Workshop on Circuits and Systems, NEWCAS 2006 - Conference Proceedings</v>
      </c>
      <c r="B5190" s="8" t="str">
        <f>"-"</f>
        <v>-</v>
      </c>
      <c r="C5190" s="8" t="s">
        <v>9</v>
      </c>
    </row>
    <row r="5191" spans="1:3" x14ac:dyDescent="0.25">
      <c r="A5191" s="8" t="str">
        <f>"4th International Industrial Simulation Conference 2006, ISC 2006"</f>
        <v>4th International Industrial Simulation Conference 2006, ISC 2006</v>
      </c>
      <c r="B5191" s="8" t="str">
        <f>"9789077381267"</f>
        <v>9789077381267</v>
      </c>
      <c r="C5191" s="8" t="s">
        <v>1206</v>
      </c>
    </row>
    <row r="5192" spans="1:3" x14ac:dyDescent="0.25">
      <c r="A5192" s="8" t="str">
        <f>"4th International Latin American Networking Conference, LANC 2007"</f>
        <v>4th International Latin American Networking Conference, LANC 2007</v>
      </c>
      <c r="B5192" s="8" t="str">
        <f>"9781595939074"</f>
        <v>9781595939074</v>
      </c>
      <c r="C5192" s="8" t="s">
        <v>21</v>
      </c>
    </row>
    <row r="5193" spans="1:3" x14ac:dyDescent="0.25">
      <c r="A5193" s="8" t="str">
        <f>"4th International Multi-Conference on Computing in the Global Information Technology, ICCGI 2009"</f>
        <v>4th International Multi-Conference on Computing in the Global Information Technology, ICCGI 2009</v>
      </c>
      <c r="B5193" s="8" t="str">
        <f>"9780769537511"</f>
        <v>9780769537511</v>
      </c>
      <c r="C5193" s="8" t="s">
        <v>9</v>
      </c>
    </row>
    <row r="5194" spans="1:3" x14ac:dyDescent="0.25">
      <c r="A5194" s="8" t="str">
        <f>"4th International North-American Conference on Intelligent Games and Simulation, Game-On 'NA 2008"</f>
        <v>4th International North-American Conference on Intelligent Games and Simulation, Game-On 'NA 2008</v>
      </c>
      <c r="B5194" s="8" t="str">
        <f>"9789077381427"</f>
        <v>9789077381427</v>
      </c>
      <c r="C5194" s="8" t="s">
        <v>1206</v>
      </c>
    </row>
    <row r="5195" spans="1:3" x14ac:dyDescent="0.25">
      <c r="A5195" s="8" t="str">
        <f>"4th International Operational Modal Analysis Conference, IOMAC 2011"</f>
        <v>4th International Operational Modal Analysis Conference, IOMAC 2011</v>
      </c>
      <c r="B5195" s="8" t="str">
        <f>"9781632668530"</f>
        <v>9781632668530</v>
      </c>
      <c r="C5195" s="8" t="s">
        <v>1538</v>
      </c>
    </row>
    <row r="5196" spans="1:3" x14ac:dyDescent="0.25">
      <c r="A5196" s="8" t="str">
        <f>"4th International Symposium on 3D Data Processing, Visualization and Transmission, 3DPVT 2008 - Proceedings"</f>
        <v>4th International Symposium on 3D Data Processing, Visualization and Transmission, 3DPVT 2008 - Proceedings</v>
      </c>
      <c r="B5196" s="8" t="str">
        <f>"-"</f>
        <v>-</v>
      </c>
      <c r="C5196" s="8" t="s">
        <v>1218</v>
      </c>
    </row>
    <row r="5197" spans="1:3" x14ac:dyDescent="0.25">
      <c r="A5197" s="8" t="str">
        <f>"4th International Symposium on Computational Intelligence and Industrial Applications, ISCIIA 2010"</f>
        <v>4th International Symposium on Computational Intelligence and Industrial Applications, ISCIIA 2010</v>
      </c>
      <c r="B5197" s="8" t="str">
        <f>"9787121113154"</f>
        <v>9787121113154</v>
      </c>
      <c r="C5197" s="8" t="s">
        <v>1539</v>
      </c>
    </row>
    <row r="5198" spans="1:3" x14ac:dyDescent="0.25">
      <c r="A5198" s="8" t="str">
        <f>"4th International Symposium on Intelligent Information Technology in Agriculture, ISIITA 2007"</f>
        <v>4th International Symposium on Intelligent Information Technology in Agriculture, ISIITA 2007</v>
      </c>
      <c r="B5198" s="8" t="str">
        <f>"-"</f>
        <v>-</v>
      </c>
      <c r="C5198" s="8" t="s">
        <v>1540</v>
      </c>
    </row>
    <row r="5199" spans="1:3" x14ac:dyDescent="0.25">
      <c r="A5199" s="8" t="str">
        <f>"4th International Symposium on Measurement, Analysis and Modelling of Human Functions 2010, ISHF 2010"</f>
        <v>4th International Symposium on Measurement, Analysis and Modelling of Human Functions 2010, ISHF 2010</v>
      </c>
      <c r="B5199" s="8" t="str">
        <f>"9781617389849"</f>
        <v>9781617389849</v>
      </c>
      <c r="C5199" s="8" t="s">
        <v>1198</v>
      </c>
    </row>
    <row r="5200" spans="1:3" x14ac:dyDescent="0.25">
      <c r="A5200" s="8" t="str">
        <f>"4th International Symposium on Next-Generation Electronics, IEEE ISNE 2015"</f>
        <v>4th International Symposium on Next-Generation Electronics, IEEE ISNE 2015</v>
      </c>
      <c r="B5200" s="8" t="str">
        <f>"9781479942084"</f>
        <v>9781479942084</v>
      </c>
      <c r="C5200" s="8" t="s">
        <v>105</v>
      </c>
    </row>
    <row r="5201" spans="1:3" x14ac:dyDescent="0.25">
      <c r="A5201" s="8" t="str">
        <f>"4th International Symposium on Turbulence and Shear Flow Phenomena"</f>
        <v>4th International Symposium on Turbulence and Shear Flow Phenomena</v>
      </c>
      <c r="B5201" s="8" t="str">
        <f>"-"</f>
        <v>-</v>
      </c>
      <c r="C5201" s="8" t="s">
        <v>1541</v>
      </c>
    </row>
    <row r="5202" spans="1:3" x14ac:dyDescent="0.25">
      <c r="A5202" s="8" t="str">
        <f>"4th International Symposium on Uncertainty Modeling and Analysis, ISUMA 2003"</f>
        <v>4th International Symposium on Uncertainty Modeling and Analysis, ISUMA 2003</v>
      </c>
      <c r="B5202" s="8" t="str">
        <f>"9780769519975"</f>
        <v>9780769519975</v>
      </c>
      <c r="C5202" s="8" t="s">
        <v>105</v>
      </c>
    </row>
    <row r="5203" spans="1:3" x14ac:dyDescent="0.25">
      <c r="A5203" s="8" t="str">
        <f>"4th International Workshop on Data Mining Standards, Services and Platforms"</f>
        <v>4th International Workshop on Data Mining Standards, Services and Platforms</v>
      </c>
      <c r="B5203" s="8" t="str">
        <f>"9781595934437"</f>
        <v>9781595934437</v>
      </c>
      <c r="C5203" s="8" t="s">
        <v>21</v>
      </c>
    </row>
    <row r="5204" spans="1:3" x14ac:dyDescent="0.25">
      <c r="A5204" s="8" t="str">
        <f>"4th International Workshop on Innovative Simulation for Health Care, IWISH 2015"</f>
        <v>4th International Workshop on Innovative Simulation for Health Care, IWISH 2015</v>
      </c>
      <c r="B5204" s="8" t="str">
        <f>"9788897999539"</f>
        <v>9788897999539</v>
      </c>
      <c r="C5204" s="8" t="s">
        <v>1256</v>
      </c>
    </row>
    <row r="5205" spans="1:3" x14ac:dyDescent="0.25">
      <c r="A5205" s="8" t="str">
        <f>"4th International Workshop on Nonfunctional System Properties in Domain Specific Modeling Languages, NFPinDSML 2012"</f>
        <v>4th International Workshop on Nonfunctional System Properties in Domain Specific Modeling Languages, NFPinDSML 2012</v>
      </c>
      <c r="B5205" s="8" t="str">
        <f>"9781450318075"</f>
        <v>9781450318075</v>
      </c>
      <c r="C5205" s="8" t="s">
        <v>21</v>
      </c>
    </row>
    <row r="5206" spans="1:3" x14ac:dyDescent="0.25">
      <c r="A5206" s="8" t="str">
        <f>"4th International Workshop on Recommendation Systems for Software Engineering, RSSE 2014 - Proceedings"</f>
        <v>4th International Workshop on Recommendation Systems for Software Engineering, RSSE 2014 - Proceedings</v>
      </c>
      <c r="B5206" s="8" t="str">
        <f>"9781450328456"</f>
        <v>9781450328456</v>
      </c>
      <c r="C5206" s="8" t="s">
        <v>1235</v>
      </c>
    </row>
    <row r="5207" spans="1:3" x14ac:dyDescent="0.25">
      <c r="A5207" s="8" t="str">
        <f>"4th International Workshop on Storage Network Architecture and Parallel I/Os, SNAPI 2007"</f>
        <v>4th International Workshop on Storage Network Architecture and Parallel I/Os, SNAPI 2007</v>
      </c>
      <c r="B5207" s="8" t="str">
        <f>"9780769530970"</f>
        <v>9780769530970</v>
      </c>
      <c r="C5207" s="8" t="s">
        <v>9</v>
      </c>
    </row>
    <row r="5208" spans="1:3" x14ac:dyDescent="0.25">
      <c r="A5208" s="8" t="str">
        <f>"4th International Workshop on Systematic Approaches to Digital Forensic Engineering, SADFE 2009"</f>
        <v>4th International Workshop on Systematic Approaches to Digital Forensic Engineering, SADFE 2009</v>
      </c>
      <c r="B5208" s="8" t="str">
        <f>"9780769537924"</f>
        <v>9780769537924</v>
      </c>
      <c r="C5208" s="8" t="s">
        <v>9</v>
      </c>
    </row>
    <row r="5209" spans="1:3" x14ac:dyDescent="0.25">
      <c r="A5209" s="8" t="str">
        <f>"4th International Workshop on the CKM Unitarity Triangle, CKM 2006"</f>
        <v>4th International Workshop on the CKM Unitarity Triangle, CKM 2006</v>
      </c>
      <c r="B5209" s="8" t="str">
        <f>"-"</f>
        <v>-</v>
      </c>
      <c r="C5209" s="8" t="s">
        <v>1542</v>
      </c>
    </row>
    <row r="5210" spans="1:3" x14ac:dyDescent="0.25">
      <c r="A5210" s="8" t="str">
        <f>"4th International Workshop on the Twin Peaks of Requirements and Architecture, TwinPeaks 2014 - Proceedings"</f>
        <v>4th International Workshop on the Twin Peaks of Requirements and Architecture, TwinPeaks 2014 - Proceedings</v>
      </c>
      <c r="B5210" s="8" t="str">
        <f>"9781450328487"</f>
        <v>9781450328487</v>
      </c>
      <c r="C5210" s="8" t="s">
        <v>1235</v>
      </c>
    </row>
    <row r="5211" spans="1:3" x14ac:dyDescent="0.25">
      <c r="A5211" s="8" t="str">
        <f>"4th International Workshop on XQuery Implementation, Experience and Perspectives, XIME-P 2007, Co-located with ACM SIGMOD 2007"</f>
        <v>4th International Workshop on XQuery Implementation, Experience and Perspectives, XIME-P 2007, Co-located with ACM SIGMOD 2007</v>
      </c>
      <c r="B5211" s="8" t="str">
        <f>"9781595938008"</f>
        <v>9781595938008</v>
      </c>
      <c r="C5211" s="8" t="s">
        <v>9</v>
      </c>
    </row>
    <row r="5212" spans="1:3" x14ac:dyDescent="0.25">
      <c r="A5212" s="8" t="str">
        <f>"4th Microwave and Radar Week MRW-2010 - 11th International Radar Symposium, IRS 2010 - Conference Proceedings"</f>
        <v>4th Microwave and Radar Week MRW-2010 - 11th International Radar Symposium, IRS 2010 - Conference Proceedings</v>
      </c>
      <c r="B5212" s="8" t="str">
        <f>"9789955690184"</f>
        <v>9789955690184</v>
      </c>
      <c r="C5212" s="8" t="s">
        <v>9</v>
      </c>
    </row>
    <row r="5213" spans="1:3" x14ac:dyDescent="0.25">
      <c r="A5213" s="8" t="str">
        <f>"4th Microwave and Radar Week, MRW-2010 - 18th International Conference on Microwaves, Radar and Wireless Communications, MIKON 2010 - Conference Proceedings"</f>
        <v>4th Microwave and Radar Week, MRW-2010 - 18th International Conference on Microwaves, Radar and Wireless Communications, MIKON 2010 - Conference Proceedings</v>
      </c>
      <c r="B5213" s="8" t="str">
        <f>"9781424459148"</f>
        <v>9781424459148</v>
      </c>
      <c r="C5213" s="8" t="s">
        <v>9</v>
      </c>
    </row>
    <row r="5214" spans="1:3" x14ac:dyDescent="0.25">
      <c r="A5214" s="8" t="str">
        <f>"4th Mosharaka International Conference on Communications, Signals and Coding, MIC-CSC 2011"</f>
        <v>4th Mosharaka International Conference on Communications, Signals and Coding, MIC-CSC 2011</v>
      </c>
      <c r="B5214" s="8" t="str">
        <f>"-"</f>
        <v>-</v>
      </c>
      <c r="C5214" s="8" t="s">
        <v>1511</v>
      </c>
    </row>
    <row r="5215" spans="1:3" x14ac:dyDescent="0.25">
      <c r="A5215" s="8" t="str">
        <f>"4th National Conference on Telecommunication Technology, NCTT 2003 - Proceedings"</f>
        <v>4th National Conference on Telecommunication Technology, NCTT 2003 - Proceedings</v>
      </c>
      <c r="B5215" s="8" t="str">
        <f>"9780780377738"</f>
        <v>9780780377738</v>
      </c>
      <c r="C5215" s="8" t="s">
        <v>105</v>
      </c>
    </row>
    <row r="5216" spans="1:3" x14ac:dyDescent="0.25">
      <c r="A5216" s="8" t="str">
        <f>"4th North American Conference on Multiphase Technology"</f>
        <v>4th North American Conference on Multiphase Technology</v>
      </c>
      <c r="B5216" s="8" t="str">
        <f>"9781855980587"</f>
        <v>9781855980587</v>
      </c>
      <c r="C5216" s="8" t="s">
        <v>1246</v>
      </c>
    </row>
    <row r="5217" spans="1:3" x14ac:dyDescent="0.25">
      <c r="A5217" s="8" t="str">
        <f>"4th Pacific International Conference on Applications of Lasers and Optics, PICALO 2010"</f>
        <v>4th Pacific International Conference on Applications of Lasers and Optics, PICALO 2010</v>
      </c>
      <c r="B5217" s="8" t="str">
        <f>"9780912035567"</f>
        <v>9780912035567</v>
      </c>
      <c r="C5217" s="8" t="s">
        <v>723</v>
      </c>
    </row>
    <row r="5218" spans="1:3" x14ac:dyDescent="0.25">
      <c r="A5218" s="8" t="str">
        <f>"4th Petroleum and Chemical Industry Conference Europe-Electrical and Instrument Applications, PCIC EUROPE"</f>
        <v>4th Petroleum and Chemical Industry Conference Europe-Electrical and Instrument Applications, PCIC EUROPE</v>
      </c>
      <c r="B5218" s="8" t="str">
        <f>"9783952333303"</f>
        <v>9783952333303</v>
      </c>
      <c r="C5218" s="8" t="s">
        <v>9</v>
      </c>
    </row>
    <row r="5219" spans="1:3" x14ac:dyDescent="0.25">
      <c r="A5219" s="8" t="str">
        <f>"4th SIGMOD PhD Workshop on Innovative Database Research, IDAR 2010"</f>
        <v>4th SIGMOD PhD Workshop on Innovative Database Research, IDAR 2010</v>
      </c>
      <c r="B5219" s="8" t="str">
        <f>"9781450301916"</f>
        <v>9781450301916</v>
      </c>
      <c r="C5219" s="8" t="s">
        <v>21</v>
      </c>
    </row>
    <row r="5220" spans="1:3" x14ac:dyDescent="0.25">
      <c r="A5220" s="8" t="str">
        <f>"4th Workshop on Positioning, Navigation and Communication 2007, WPNC'07 - Workshop Proceedings"</f>
        <v>4th Workshop on Positioning, Navigation and Communication 2007, WPNC'07 - Workshop Proceedings</v>
      </c>
      <c r="B5220" s="8" t="str">
        <f>"9781424408719"</f>
        <v>9781424408719</v>
      </c>
      <c r="C5220" s="8" t="s">
        <v>9</v>
      </c>
    </row>
    <row r="5221" spans="1:3" x14ac:dyDescent="0.25">
      <c r="A5221" s="8" t="str">
        <f>"4th World Congress in Industrial Process Tomography"</f>
        <v>4th World Congress in Industrial Process Tomography</v>
      </c>
      <c r="B5221" s="8" t="str">
        <f>"9780853163206"</f>
        <v>9780853163206</v>
      </c>
      <c r="C5221" s="8" t="s">
        <v>1328</v>
      </c>
    </row>
    <row r="5222" spans="1:3" x14ac:dyDescent="0.25">
      <c r="A5222" s="8" t="str">
        <f>"4th World of Coal Ash Conference, WOCA 2011"</f>
        <v>4th World of Coal Ash Conference, WOCA 2011</v>
      </c>
      <c r="B5222" s="8" t="str">
        <f>"9780967497181"</f>
        <v>9780967497181</v>
      </c>
      <c r="C5222" s="8" t="s">
        <v>1512</v>
      </c>
    </row>
    <row r="5223" spans="1:3" x14ac:dyDescent="0.25">
      <c r="A5223" s="8" t="str">
        <f>"4th WSEAS International Conference on Energy Planning, Energy Saving, Environmental Education, EPESE'10, 4th WSEAS International Conference on Renewable Energy Sources, RES '10"</f>
        <v>4th WSEAS International Conference on Energy Planning, Energy Saving, Environmental Education, EPESE'10, 4th WSEAS International Conference on Renewable Energy Sources, RES '10</v>
      </c>
      <c r="B5223" s="8" t="str">
        <f>"9789604741878"</f>
        <v>9789604741878</v>
      </c>
      <c r="C5223" s="8" t="s">
        <v>553</v>
      </c>
    </row>
    <row r="5224" spans="1:3" x14ac:dyDescent="0.25">
      <c r="A5224" s="8" t="str">
        <f>"4th WSEAS International Conference on Waste Management, Water Pollution, Air Pollution, Indoor Climate, WWAI '10"</f>
        <v>4th WSEAS International Conference on Waste Management, Water Pollution, Air Pollution, Indoor Climate, WWAI '10</v>
      </c>
      <c r="B5224" s="8" t="str">
        <f>"9789604741908"</f>
        <v>9789604741908</v>
      </c>
      <c r="C5224" s="8" t="s">
        <v>553</v>
      </c>
    </row>
    <row r="5225" spans="1:3" x14ac:dyDescent="0.25">
      <c r="A5225" s="8" t="str">
        <f>"50. Jahrestagung der Deutschen Gesellschaft fur Medizinische Informatik, Biometrie und Epidemiologie, GMDS 2005 - 12. Jahrestagung der Deutschen Arbeitsgemeinschaft fur Epidemiologie, DAE 2005"</f>
        <v>50. Jahrestagung der Deutschen Gesellschaft fur Medizinische Informatik, Biometrie und Epidemiologie, GMDS 2005 - 12. Jahrestagung der Deutschen Arbeitsgemeinschaft fur Epidemiologie, DAE 2005</v>
      </c>
      <c r="B5225" s="8" t="str">
        <f>"-"</f>
        <v>-</v>
      </c>
      <c r="C5225" s="8" t="s">
        <v>1543</v>
      </c>
    </row>
    <row r="5226" spans="1:3" x14ac:dyDescent="0.25">
      <c r="A5226" s="8" t="str">
        <f>"50th AGIFORS Annual Proceedings - Annual Symposium and Study Group Meeting, AGIFORS 2010"</f>
        <v>50th AGIFORS Annual Proceedings - Annual Symposium and Study Group Meeting, AGIFORS 2010</v>
      </c>
      <c r="B5226" s="8" t="str">
        <f>"9781617823176"</f>
        <v>9781617823176</v>
      </c>
      <c r="C5226" s="8" t="s">
        <v>394</v>
      </c>
    </row>
    <row r="5227" spans="1:3" x14ac:dyDescent="0.25">
      <c r="A5227" s="8" t="str">
        <f>"50th AIAA Aerospace Sciences Meeting Including the New Horizons Forum and Aerospace Exposition"</f>
        <v>50th AIAA Aerospace Sciences Meeting Including the New Horizons Forum and Aerospace Exposition</v>
      </c>
      <c r="B5227" s="8" t="str">
        <f>"-"</f>
        <v>-</v>
      </c>
      <c r="C5227" s="8" t="s">
        <v>104</v>
      </c>
    </row>
    <row r="5228" spans="1:3" x14ac:dyDescent="0.25">
      <c r="A5228" s="8" t="str">
        <f>"50th AIAA/ASME/ASCE/AHS/ASC Structures, Structural Dynamics and Materials Conference"</f>
        <v>50th AIAA/ASME/ASCE/AHS/ASC Structures, Structural Dynamics and Materials Conference</v>
      </c>
      <c r="B5228" s="8" t="str">
        <f>"9781563479731"</f>
        <v>9781563479731</v>
      </c>
      <c r="C5228" s="8" t="s">
        <v>104</v>
      </c>
    </row>
    <row r="5229" spans="1:3" x14ac:dyDescent="0.25">
      <c r="A5229" s="8" t="str">
        <f>"50th AIAA/ASME/SAE/ASEE Joint Propulsion Conference 2014"</f>
        <v>50th AIAA/ASME/SAE/ASEE Joint Propulsion Conference 2014</v>
      </c>
      <c r="B5229" s="8" t="str">
        <f>"9781624103032"</f>
        <v>9781624103032</v>
      </c>
      <c r="C5229" s="8" t="s">
        <v>104</v>
      </c>
    </row>
    <row r="5230" spans="1:3" x14ac:dyDescent="0.25">
      <c r="A5230" s="8" t="str">
        <f>"50th Annual Air Traffic Control Association Conference Proceedings - Fall 2005"</f>
        <v>50th Annual Air Traffic Control Association Conference Proceedings - Fall 2005</v>
      </c>
      <c r="B5230" s="8" t="str">
        <f>"-"</f>
        <v>-</v>
      </c>
      <c r="C5230" s="8" t="s">
        <v>1544</v>
      </c>
    </row>
    <row r="5231" spans="1:3" x14ac:dyDescent="0.25">
      <c r="A5231" s="8" t="str">
        <f>"50th Annual Conference of SAVE International 2010"</f>
        <v>50th Annual Conference of SAVE International 2010</v>
      </c>
      <c r="B5231" s="8" t="str">
        <f>"9781617386282"</f>
        <v>9781617386282</v>
      </c>
      <c r="C5231" s="8" t="s">
        <v>1523</v>
      </c>
    </row>
    <row r="5232" spans="1:3" x14ac:dyDescent="0.25">
      <c r="A5232" s="8" t="str">
        <f>"50th Annual Conference of the Australasian Corrosion Association 2010: Corrosion and Prevention 2010"</f>
        <v>50th Annual Conference of the Australasian Corrosion Association 2010: Corrosion and Prevention 2010</v>
      </c>
      <c r="B5232" s="8" t="str">
        <f>"9781617824791"</f>
        <v>9781617824791</v>
      </c>
      <c r="C5232" s="8" t="s">
        <v>310</v>
      </c>
    </row>
    <row r="5233" spans="1:3" x14ac:dyDescent="0.25">
      <c r="A5233" s="8" t="str">
        <f>"50th Annual Conference of the Operational Research Society 2008, OR50"</f>
        <v>50th Annual Conference of the Operational Research Society 2008, OR50</v>
      </c>
      <c r="B5233" s="8" t="str">
        <f>"-"</f>
        <v>-</v>
      </c>
      <c r="C5233" s="8" t="s">
        <v>1528</v>
      </c>
    </row>
    <row r="5234" spans="1:3" x14ac:dyDescent="0.25">
      <c r="A5234" s="8" t="str">
        <f>"50th Annual Meeting of the Association for Computational Linguistics, ACL 2012 - Proceedings of the Conference"</f>
        <v>50th Annual Meeting of the Association for Computational Linguistics, ACL 2012 - Proceedings of the Conference</v>
      </c>
      <c r="B5234" s="8" t="str">
        <f>"-"</f>
        <v>-</v>
      </c>
      <c r="C5234" s="8" t="s">
        <v>554</v>
      </c>
    </row>
    <row r="5235" spans="1:3" x14ac:dyDescent="0.25">
      <c r="A5235" s="8" t="str">
        <f>"50th Annual Meeting of the International Society for the Systems Sciences 2006, ISSS 2006"</f>
        <v>50th Annual Meeting of the International Society for the Systems Sciences 2006, ISSS 2006</v>
      </c>
      <c r="B5235" s="8" t="str">
        <f>"9781622767557"</f>
        <v>9781622767557</v>
      </c>
      <c r="C5235" s="8" t="s">
        <v>1530</v>
      </c>
    </row>
    <row r="5236" spans="1:3" x14ac:dyDescent="0.25">
      <c r="A5236" s="8" t="str">
        <f>"50th Annual Rocky Mountain Bioengineering Symposium and 50th International ISA Biomedical Sciences Instrumentation Symposium 2013"</f>
        <v>50th Annual Rocky Mountain Bioengineering Symposium and 50th International ISA Biomedical Sciences Instrumentation Symposium 2013</v>
      </c>
      <c r="B5236" s="8" t="str">
        <f>"9781627481663"</f>
        <v>9781627481663</v>
      </c>
      <c r="C5236" s="8" t="s">
        <v>188</v>
      </c>
    </row>
    <row r="5237" spans="1:3" x14ac:dyDescent="0.25">
      <c r="A5237" s="8" t="str">
        <f>"50th Annual Transportation Research Forum 2009"</f>
        <v>50th Annual Transportation Research Forum 2009</v>
      </c>
      <c r="B5237" s="8" t="str">
        <f>"9781618394057"</f>
        <v>9781618394057</v>
      </c>
      <c r="C5237" s="8" t="s">
        <v>1526</v>
      </c>
    </row>
    <row r="5238" spans="1:3" x14ac:dyDescent="0.25">
      <c r="A5238" s="8" t="str">
        <f>"50th Israel Annual Conference on Aerospace Sciences 2010"</f>
        <v>50th Israel Annual Conference on Aerospace Sciences 2010</v>
      </c>
      <c r="B5238" s="8" t="str">
        <f>"9781617380839"</f>
        <v>9781617380839</v>
      </c>
      <c r="C5238" s="8" t="s">
        <v>1527</v>
      </c>
    </row>
    <row r="5239" spans="1:3" x14ac:dyDescent="0.25">
      <c r="A5239" s="8" t="str">
        <f>"51. Jahrestagung der Deutschen Gesellschaft fur Medizinische Informatik, Biometrie und Epidemiologie, GMDS 2006"</f>
        <v>51. Jahrestagung der Deutschen Gesellschaft fur Medizinische Informatik, Biometrie und Epidemiologie, GMDS 2006</v>
      </c>
      <c r="B5239" s="8" t="str">
        <f>"-"</f>
        <v>-</v>
      </c>
      <c r="C5239" s="8" t="s">
        <v>1543</v>
      </c>
    </row>
    <row r="5240" spans="1:3" x14ac:dyDescent="0.25">
      <c r="A5240" s="8" t="str">
        <f>"51st AES International Conference 2013: Loudspeakers and Headphones"</f>
        <v>51st AES International Conference 2013: Loudspeakers and Headphones</v>
      </c>
      <c r="B5240" s="8" t="str">
        <f>"9781629933283"</f>
        <v>9781629933283</v>
      </c>
      <c r="C5240" s="8" t="s">
        <v>98</v>
      </c>
    </row>
    <row r="5241" spans="1:3" x14ac:dyDescent="0.25">
      <c r="A5241" s="8" t="str">
        <f>"51st AGIFORS Annual Proceedings - Annual Symposium and Study Group Meeting, AGIFORS 2011"</f>
        <v>51st AGIFORS Annual Proceedings - Annual Symposium and Study Group Meeting, AGIFORS 2011</v>
      </c>
      <c r="B5241" s="8" t="str">
        <f>"9781618394460"</f>
        <v>9781618394460</v>
      </c>
      <c r="C5241" s="8" t="s">
        <v>1545</v>
      </c>
    </row>
    <row r="5242" spans="1:3" x14ac:dyDescent="0.25">
      <c r="A5242" s="8" t="str">
        <f>"51st AIAA Aerospace Sciences Meeting including the New Horizons Forum and Aerospace Exposition 2013"</f>
        <v>51st AIAA Aerospace Sciences Meeting including the New Horizons Forum and Aerospace Exposition 2013</v>
      </c>
      <c r="B5242" s="8" t="str">
        <f>"9781624101816"</f>
        <v>9781624101816</v>
      </c>
      <c r="C5242" s="8" t="s">
        <v>104</v>
      </c>
    </row>
    <row r="5243" spans="1:3" x14ac:dyDescent="0.25">
      <c r="A5243" s="8" t="str">
        <f>"51st AIAA/ASME/ASCE/AHS/ASC Structures, Structural Dynamics and Materials Conference"</f>
        <v>51st AIAA/ASME/ASCE/AHS/ASC Structures, Structural Dynamics and Materials Conference</v>
      </c>
      <c r="B5243" s="8" t="str">
        <f>"9781600867422"</f>
        <v>9781600867422</v>
      </c>
      <c r="C5243" s="8" t="s">
        <v>104</v>
      </c>
    </row>
    <row r="5244" spans="1:3" x14ac:dyDescent="0.25">
      <c r="A5244" s="8" t="str">
        <f>"51st AIAA/SAE/ASEE Joint Propulsion Conference"</f>
        <v>51st AIAA/SAE/ASEE Joint Propulsion Conference</v>
      </c>
      <c r="B5244" s="8" t="str">
        <f>"9781624103216"</f>
        <v>9781624103216</v>
      </c>
      <c r="C5244" s="8" t="s">
        <v>1258</v>
      </c>
    </row>
    <row r="5245" spans="1:3" x14ac:dyDescent="0.25">
      <c r="A5245" s="8" t="str">
        <f>"51st Air Traffic Control Association Annual Conference and Exposition 2006"</f>
        <v>51st Air Traffic Control Association Annual Conference and Exposition 2006</v>
      </c>
      <c r="B5245" s="8" t="str">
        <f>"-"</f>
        <v>-</v>
      </c>
      <c r="C5245" s="8" t="s">
        <v>1544</v>
      </c>
    </row>
    <row r="5246" spans="1:3" x14ac:dyDescent="0.25">
      <c r="A5246" s="8" t="str">
        <f>"51st Annual Conference of SAVE International 2011"</f>
        <v>51st Annual Conference of SAVE International 2011</v>
      </c>
      <c r="B5246" s="8" t="str">
        <f>"9781618391209"</f>
        <v>9781618391209</v>
      </c>
      <c r="C5246" s="8" t="s">
        <v>1523</v>
      </c>
    </row>
    <row r="5247" spans="1:3" x14ac:dyDescent="0.25">
      <c r="A5247" s="8" t="str">
        <f>"51st Annual Conference of the Operational Research Society 2009, OR51"</f>
        <v>51st Annual Conference of the Operational Research Society 2009, OR51</v>
      </c>
      <c r="B5247" s="8" t="str">
        <f>"-"</f>
        <v>-</v>
      </c>
      <c r="C5247" s="8" t="s">
        <v>1528</v>
      </c>
    </row>
    <row r="5248" spans="1:3" x14ac:dyDescent="0.25">
      <c r="A5248" s="8" t="str">
        <f>"51st Annual Conferenceof the Operational Research Society 2009, OR51"</f>
        <v>51st Annual Conferenceof the Operational Research Society 2009, OR51</v>
      </c>
      <c r="B5248" s="8" t="str">
        <f>"-"</f>
        <v>-</v>
      </c>
      <c r="C5248" s="8" t="s">
        <v>1528</v>
      </c>
    </row>
    <row r="5249" spans="1:3" x14ac:dyDescent="0.25">
      <c r="A5249" s="8" t="str">
        <f>"51st Annual Transportation Research Forum 2010"</f>
        <v>51st Annual Transportation Research Forum 2010</v>
      </c>
      <c r="B5249" s="8" t="str">
        <f>"9781618394040"</f>
        <v>9781618394040</v>
      </c>
      <c r="C5249" s="8" t="s">
        <v>1526</v>
      </c>
    </row>
    <row r="5250" spans="1:3" x14ac:dyDescent="0.25">
      <c r="A5250" s="8" t="str">
        <f>"51st Israel Annual Conference on Aerospace Sciences 2011"</f>
        <v>51st Israel Annual Conference on Aerospace Sciences 2011</v>
      </c>
      <c r="B5250" s="8" t="str">
        <f>"9781617824012"</f>
        <v>9781617824012</v>
      </c>
      <c r="C5250" s="8" t="s">
        <v>1527</v>
      </c>
    </row>
    <row r="5251" spans="1:3" x14ac:dyDescent="0.25">
      <c r="A5251" s="8" t="str">
        <f>"52nd Aerospace Sciences Meeting"</f>
        <v>52nd Aerospace Sciences Meeting</v>
      </c>
      <c r="B5251" s="8" t="str">
        <f>"9781624102561"</f>
        <v>9781624102561</v>
      </c>
      <c r="C5251" s="8" t="s">
        <v>104</v>
      </c>
    </row>
    <row r="5252" spans="1:3" x14ac:dyDescent="0.25">
      <c r="A5252" s="8" t="str">
        <f>"52nd AGIFORS Annual Proceedings 2012 - Symposium and Study Group Meeting"</f>
        <v>52nd AGIFORS Annual Proceedings 2012 - Symposium and Study Group Meeting</v>
      </c>
      <c r="B5252" s="8" t="str">
        <f>"9781627480239"</f>
        <v>9781627480239</v>
      </c>
      <c r="C5252" s="8" t="s">
        <v>1545</v>
      </c>
    </row>
    <row r="5253" spans="1:3" x14ac:dyDescent="0.25">
      <c r="A5253" s="8" t="str">
        <f>"52nd AIAA Aerospace Sciences Meeting - AIAA Science and Technology Forum and Exposition, SciTech 2014"</f>
        <v>52nd AIAA Aerospace Sciences Meeting - AIAA Science and Technology Forum and Exposition, SciTech 2014</v>
      </c>
      <c r="B5253" s="8" t="str">
        <f>"9781624102561"</f>
        <v>9781624102561</v>
      </c>
      <c r="C5253" s="8" t="s">
        <v>104</v>
      </c>
    </row>
    <row r="5254" spans="1:3" x14ac:dyDescent="0.25">
      <c r="A5254" s="8" t="str">
        <f>"52nd Annual Conference of SAVE International 2012"</f>
        <v>52nd Annual Conference of SAVE International 2012</v>
      </c>
      <c r="B5254" s="8" t="str">
        <f>"9781622761289"</f>
        <v>9781622761289</v>
      </c>
      <c r="C5254" s="8" t="s">
        <v>1523</v>
      </c>
    </row>
    <row r="5255" spans="1:3" x14ac:dyDescent="0.25">
      <c r="A5255" s="8" t="str">
        <f>"52nd Annual Conference of the International Society for the Systems ScInternational Society for the Systems Sciences - 52nd Annual Conference of the International Society for the Systems Sciences 2008"</f>
        <v>52nd Annual Conference of the International Society for the Systems ScInternational Society for the Systems Sciences - 52nd Annual Conference of the International Society for the Systems Sciences 2008</v>
      </c>
      <c r="B5255" s="8" t="str">
        <f>"9781605606194"</f>
        <v>9781605606194</v>
      </c>
      <c r="C5255" s="8" t="s">
        <v>1530</v>
      </c>
    </row>
    <row r="5256" spans="1:3" x14ac:dyDescent="0.25">
      <c r="A5256" s="8" t="str">
        <f>"52nd Annual Rocky Mountain Bioengineering Symposium and 52nd International ISA Biomedical Sciences Instrumentation Symposium 2015"</f>
        <v>52nd Annual Rocky Mountain Bioengineering Symposium and 52nd International ISA Biomedical Sciences Instrumentation Symposium 2015</v>
      </c>
      <c r="B5256" s="8" t="str">
        <f>"9781510801981"</f>
        <v>9781510801981</v>
      </c>
      <c r="C5256" s="8" t="s">
        <v>1546</v>
      </c>
    </row>
    <row r="5257" spans="1:3" x14ac:dyDescent="0.25">
      <c r="A5257" s="8" t="str">
        <f>"52nd Israel Annual Conference on Aerospace Sciences 2012"</f>
        <v>52nd Israel Annual Conference on Aerospace Sciences 2012</v>
      </c>
      <c r="B5257" s="8" t="str">
        <f>"9781618399144"</f>
        <v>9781618399144</v>
      </c>
      <c r="C5257" s="8" t="s">
        <v>1527</v>
      </c>
    </row>
    <row r="5258" spans="1:3" x14ac:dyDescent="0.25">
      <c r="A5258" s="8" t="str">
        <f>"53rd AIAA Aerospace Sciences Meeting"</f>
        <v>53rd AIAA Aerospace Sciences Meeting</v>
      </c>
      <c r="B5258" s="8" t="str">
        <f>"9781624103438"</f>
        <v>9781624103438</v>
      </c>
      <c r="C5258" s="8" t="s">
        <v>104</v>
      </c>
    </row>
    <row r="5259" spans="1:3" x14ac:dyDescent="0.25">
      <c r="A5259" s="8" t="str">
        <f>"53rd AIAA/ASME/ASCE/AHS/ASC Structures, Structural Dynamics and Materials Conference 2012"</f>
        <v>53rd AIAA/ASME/ASCE/AHS/ASC Structures, Structural Dynamics and Materials Conference 2012</v>
      </c>
      <c r="B5259" s="8" t="str">
        <f>"9781600869372"</f>
        <v>9781600869372</v>
      </c>
      <c r="C5259" s="8" t="s">
        <v>104</v>
      </c>
    </row>
    <row r="5260" spans="1:3" x14ac:dyDescent="0.25">
      <c r="A5260" s="8" t="str">
        <f>"53rd Annual Conference of the International Society for the Systems Sciences 2009: Making Liveable, Sustainable Systems Unremarkable"</f>
        <v>53rd Annual Conference of the International Society for the Systems Sciences 2009: Making Liveable, Sustainable Systems Unremarkable</v>
      </c>
      <c r="B5260" s="8" t="str">
        <f>"9781615678334"</f>
        <v>9781615678334</v>
      </c>
      <c r="C5260" s="8" t="s">
        <v>1530</v>
      </c>
    </row>
    <row r="5261" spans="1:3" x14ac:dyDescent="0.25">
      <c r="A5261" s="8" t="str">
        <f>"53rd Annual Transportation Research Forum, TRF 2012"</f>
        <v>53rd Annual Transportation Research Forum, TRF 2012</v>
      </c>
      <c r="B5261" s="8" t="str">
        <f>"9781622764037"</f>
        <v>9781622764037</v>
      </c>
      <c r="C5261" s="8" t="s">
        <v>1526</v>
      </c>
    </row>
    <row r="5262" spans="1:3" x14ac:dyDescent="0.25">
      <c r="A5262" s="8" t="str">
        <f>"53rd ISA POWID Symposium 2010"</f>
        <v>53rd ISA POWID Symposium 2010</v>
      </c>
      <c r="B5262" s="8" t="str">
        <f>"9781617386879"</f>
        <v>9781617386879</v>
      </c>
      <c r="C5262" s="8" t="s">
        <v>1525</v>
      </c>
    </row>
    <row r="5263" spans="1:3" x14ac:dyDescent="0.25">
      <c r="A5263" s="8" t="str">
        <f>"53rd Israel Annual Conference on Aerospace Sciences 2013"</f>
        <v>53rd Israel Annual Conference on Aerospace Sciences 2013</v>
      </c>
      <c r="B5263" s="8" t="str">
        <f>"9781627481144"</f>
        <v>9781627481144</v>
      </c>
      <c r="C5263" s="8" t="s">
        <v>1527</v>
      </c>
    </row>
    <row r="5264" spans="1:3" x14ac:dyDescent="0.25">
      <c r="A5264" s="8" t="str">
        <f>"54th AIAA/ASME/ASCE/AHS/ASC Structures, Structural Dynamics, and Materials Conference"</f>
        <v>54th AIAA/ASME/ASCE/AHS/ASC Structures, Structural Dynamics, and Materials Conference</v>
      </c>
      <c r="B5264" s="8" t="str">
        <f>"9781624102233"</f>
        <v>9781624102233</v>
      </c>
      <c r="C5264" s="8" t="s">
        <v>104</v>
      </c>
    </row>
    <row r="5265" spans="1:3" x14ac:dyDescent="0.25">
      <c r="A5265" s="8" t="str">
        <f>"54th Annual Conference of the International Society for the Systems Sciences 2010: Governance for a Resilient Planet"</f>
        <v>54th Annual Conference of the International Society for the Systems Sciences 2010: Governance for a Resilient Planet</v>
      </c>
      <c r="B5265" s="8" t="str">
        <f>"9781617820618"</f>
        <v>9781617820618</v>
      </c>
      <c r="C5265" s="8" t="s">
        <v>1530</v>
      </c>
    </row>
    <row r="5266" spans="1:3" x14ac:dyDescent="0.25">
      <c r="A5266" s="8" t="str">
        <f>"54th International Astronautical Congress of the International Astronautical Federation (IAF), the International Academy of Astronautics and the International Institute of Space Law"</f>
        <v>54th International Astronautical Congress of the International Astronautical Federation (IAF), the International Academy of Astronautics and the International Institute of Space Law</v>
      </c>
      <c r="B5266" s="8" t="str">
        <f>"-"</f>
        <v>-</v>
      </c>
      <c r="C5266" s="8" t="s">
        <v>979</v>
      </c>
    </row>
    <row r="5267" spans="1:3" x14ac:dyDescent="0.25">
      <c r="A5267" s="8" t="str">
        <f>"54th ISA POWID Symposium 2011"</f>
        <v>54th ISA POWID Symposium 2011</v>
      </c>
      <c r="B5267" s="8" t="str">
        <f>"9781618390332"</f>
        <v>9781618390332</v>
      </c>
      <c r="C5267" s="8" t="s">
        <v>188</v>
      </c>
    </row>
    <row r="5268" spans="1:3" x14ac:dyDescent="0.25">
      <c r="A5268" s="8" t="str">
        <f>"55th AIAA/ASMe/ASCE/AHS/SC Structures, Structural Dynamics, and Materials Conference"</f>
        <v>55th AIAA/ASMe/ASCE/AHS/SC Structures, Structural Dynamics, and Materials Conference</v>
      </c>
      <c r="B5268" s="8" t="str">
        <f>"-"</f>
        <v>-</v>
      </c>
      <c r="C5268" s="8" t="s">
        <v>104</v>
      </c>
    </row>
    <row r="5269" spans="1:3" x14ac:dyDescent="0.25">
      <c r="A5269" s="8" t="str">
        <f>"55th Annual Meeting of the International Society for the Systems Sciences 2011"</f>
        <v>55th Annual Meeting of the International Society for the Systems Sciences 2011</v>
      </c>
      <c r="B5269" s="8" t="str">
        <f>"9781618394927"</f>
        <v>9781618394927</v>
      </c>
      <c r="C5269" s="8" t="s">
        <v>1530</v>
      </c>
    </row>
    <row r="5270" spans="1:3" x14ac:dyDescent="0.25">
      <c r="A5270" s="8" t="str">
        <f>"55th ISA POWID Symposium 2012"</f>
        <v>55th ISA POWID Symposium 2012</v>
      </c>
      <c r="B5270" s="8" t="str">
        <f>"9781622761371"</f>
        <v>9781622761371</v>
      </c>
      <c r="C5270" s="8" t="s">
        <v>1525</v>
      </c>
    </row>
    <row r="5271" spans="1:3" x14ac:dyDescent="0.25">
      <c r="A5271" s="8" t="str">
        <f>"55th Israel Annual Conference on Aerospace Sciences 2015"</f>
        <v>55th Israel Annual Conference on Aerospace Sciences 2015</v>
      </c>
      <c r="B5271" s="8" t="str">
        <f>"-"</f>
        <v>-</v>
      </c>
      <c r="C5271" s="8" t="s">
        <v>1527</v>
      </c>
    </row>
    <row r="5272" spans="1:3" x14ac:dyDescent="0.25">
      <c r="A5272" s="8" t="str">
        <f>"56th AIAA/ASCE/AHS/ASC Structures, Structural Dynamics, and Materials Conference"</f>
        <v>56th AIAA/ASCE/AHS/ASC Structures, Structural Dynamics, and Materials Conference</v>
      </c>
      <c r="B5272" s="8" t="str">
        <f>"9781624103421"</f>
        <v>9781624103421</v>
      </c>
      <c r="C5272" s="8" t="s">
        <v>104</v>
      </c>
    </row>
    <row r="5273" spans="1:3" x14ac:dyDescent="0.25">
      <c r="A5273" s="8" t="str">
        <f>"56th Annual Meeting of the International Society for the Systems Sciences 2012, ISSS 2012: Service Systems, Natural Systems"</f>
        <v>56th Annual Meeting of the International Society for the Systems Sciences 2012, ISSS 2012: Service Systems, Natural Systems</v>
      </c>
      <c r="B5273" s="8" t="str">
        <f>"9781627485784"</f>
        <v>9781627485784</v>
      </c>
      <c r="C5273" s="8" t="s">
        <v>1530</v>
      </c>
    </row>
    <row r="5274" spans="1:3" x14ac:dyDescent="0.25">
      <c r="A5274" s="8" t="str">
        <f>"56th ARFTG Conference Digest: Metrology and Test for RF Telecommunications, ARFTG 2000"</f>
        <v>56th ARFTG Conference Digest: Metrology and Test for RF Telecommunications, ARFTG 2000</v>
      </c>
      <c r="B5274" s="8" t="str">
        <f>"9780780356863"</f>
        <v>9780780356863</v>
      </c>
      <c r="C5274" s="8" t="s">
        <v>105</v>
      </c>
    </row>
    <row r="5275" spans="1:3" x14ac:dyDescent="0.25">
      <c r="A5275" s="8" t="str">
        <f>"56th ISA POWID Symposium 2013"</f>
        <v>56th ISA POWID Symposium 2013</v>
      </c>
      <c r="B5275" s="8" t="str">
        <f>"9781629936161"</f>
        <v>9781629936161</v>
      </c>
      <c r="C5275" s="8" t="s">
        <v>188</v>
      </c>
    </row>
    <row r="5276" spans="1:3" x14ac:dyDescent="0.25">
      <c r="A5276" s="8" t="str">
        <f>"56th IWCS Conference - Proceedings of the International Wire and Cable Symposium, Inc., IWCS 2007"</f>
        <v>56th IWCS Conference - Proceedings of the International Wire and Cable Symposium, Inc., IWCS 2007</v>
      </c>
      <c r="B5276" s="8" t="str">
        <f>"-"</f>
        <v>-</v>
      </c>
      <c r="C5276" s="8" t="s">
        <v>1547</v>
      </c>
    </row>
    <row r="5277" spans="1:3" x14ac:dyDescent="0.25">
      <c r="A5277" s="8" t="str">
        <f>"57th ARFTG Conference Digest Spring 2001: Best Practices and Strategies for RF Test, ARFTG Spring 2001"</f>
        <v>57th ARFTG Conference Digest Spring 2001: Best Practices and Strategies for RF Test, ARFTG Spring 2001</v>
      </c>
      <c r="B5277" s="8" t="str">
        <f>"9780780356863"</f>
        <v>9780780356863</v>
      </c>
      <c r="C5277" s="8" t="s">
        <v>105</v>
      </c>
    </row>
    <row r="5278" spans="1:3" x14ac:dyDescent="0.25">
      <c r="A5278" s="8" t="str">
        <f>"57th ISA Power Industry Division Symposium 2014, POWID 2014 - Power Generation: Instrumentation and Control Solutions for Today's Industry Challenges"</f>
        <v>57th ISA Power Industry Division Symposium 2014, POWID 2014 - Power Generation: Instrumentation and Control Solutions for Today's Industry Challenges</v>
      </c>
      <c r="B5278" s="8" t="str">
        <f>"9781510801998"</f>
        <v>9781510801998</v>
      </c>
      <c r="C5278" s="8" t="s">
        <v>1546</v>
      </c>
    </row>
    <row r="5279" spans="1:3" x14ac:dyDescent="0.25">
      <c r="A5279" s="8" t="str">
        <f>"58th Annual Business Aviation Safety Seminar, BASS 2013"</f>
        <v>58th Annual Business Aviation Safety Seminar, BASS 2013</v>
      </c>
      <c r="B5279" s="8" t="str">
        <f>"9781627483223"</f>
        <v>9781627483223</v>
      </c>
      <c r="C5279" s="8" t="s">
        <v>548</v>
      </c>
    </row>
    <row r="5280" spans="1:3" x14ac:dyDescent="0.25">
      <c r="A5280" s="8" t="str">
        <f>"58th Annual Meeting of the International Society for the Systems Sciences, ISSS 2014"</f>
        <v>58th Annual Meeting of the International Society for the Systems Sciences, ISSS 2014</v>
      </c>
      <c r="B5280" s="8" t="str">
        <f>"-"</f>
        <v>-</v>
      </c>
      <c r="C5280" s="8" t="s">
        <v>1530</v>
      </c>
    </row>
    <row r="5281" spans="1:3" x14ac:dyDescent="0.25">
      <c r="A5281" s="8" t="str">
        <f>"58th ARFTG Conference Digest Fall 2001: RF Measurements for a Wireless World, ARFTG Fall 2001"</f>
        <v>58th ARFTG Conference Digest Fall 2001: RF Measurements for a Wireless World, ARFTG Fall 2001</v>
      </c>
      <c r="B5281" s="8" t="str">
        <f>"9780780356863"</f>
        <v>9780780356863</v>
      </c>
      <c r="C5281" s="8" t="s">
        <v>105</v>
      </c>
    </row>
    <row r="5282" spans="1:3" x14ac:dyDescent="0.25">
      <c r="A5282" s="8" t="str">
        <f>"58th Congresso Anual da ABM (ASSociacao Brasileira de Metalurgia e Materiais)"</f>
        <v>58th Congresso Anual da ABM (ASSociacao Brasileira de Metalurgia e Materiais)</v>
      </c>
      <c r="B5282" s="8" t="str">
        <f>"-"</f>
        <v>-</v>
      </c>
      <c r="C5282" s="8" t="s">
        <v>872</v>
      </c>
    </row>
    <row r="5283" spans="1:3" x14ac:dyDescent="0.25">
      <c r="A5283" s="8" t="str">
        <f>"59th Annual Technical Meeting of the Institute of Environmental Sciences and Technology: Connect, Learn, Grow, Recharge, ESTECH 2013"</f>
        <v>59th Annual Technical Meeting of the Institute of Environmental Sciences and Technology: Connect, Learn, Grow, Recharge, ESTECH 2013</v>
      </c>
      <c r="B5283" s="8" t="str">
        <f>"9781627489690"</f>
        <v>9781627489690</v>
      </c>
      <c r="C5283" s="8" t="s">
        <v>784</v>
      </c>
    </row>
    <row r="5284" spans="1:3" x14ac:dyDescent="0.25">
      <c r="A5284" s="8" t="str">
        <f>"5th 2012 Biomedical Engineering International Conference, BMEiCON 2012"</f>
        <v>5th 2012 Biomedical Engineering International Conference, BMEiCON 2012</v>
      </c>
      <c r="B5284" s="8" t="str">
        <f>"9781467348928"</f>
        <v>9781467348928</v>
      </c>
      <c r="C5284" s="8" t="s">
        <v>9</v>
      </c>
    </row>
    <row r="5285" spans="1:3" x14ac:dyDescent="0.25">
      <c r="A5285" s="8" t="str">
        <f>"5th ACM COMPUTE Conference: Intelligent and Scalable System Technologies, COMPUTE 2012"</f>
        <v>5th ACM COMPUTE Conference: Intelligent and Scalable System Technologies, COMPUTE 2012</v>
      </c>
      <c r="B5285" s="8" t="str">
        <f>"9781450314404"</f>
        <v>9781450314404</v>
      </c>
      <c r="C5285" s="8" t="s">
        <v>21</v>
      </c>
    </row>
    <row r="5286" spans="1:3" x14ac:dyDescent="0.25">
      <c r="A5286" s="8" t="str">
        <f>"5th ACM/IEEE International Conference on Human-Robot Interaction, HRI 2010"</f>
        <v>5th ACM/IEEE International Conference on Human-Robot Interaction, HRI 2010</v>
      </c>
      <c r="B5286" s="8" t="str">
        <f>"9781424448937"</f>
        <v>9781424448937</v>
      </c>
      <c r="C5286" s="8" t="s">
        <v>21</v>
      </c>
    </row>
    <row r="5287" spans="1:3" x14ac:dyDescent="0.25">
      <c r="A5287" s="8" t="str">
        <f>"5th AIAA Atmospheric and Space Environments Conference"</f>
        <v>5th AIAA Atmospheric and Space Environments Conference</v>
      </c>
      <c r="B5287" s="8" t="str">
        <f>"-"</f>
        <v>-</v>
      </c>
      <c r="C5287" s="8" t="s">
        <v>104</v>
      </c>
    </row>
    <row r="5288" spans="1:3" x14ac:dyDescent="0.25">
      <c r="A5288" s="8" t="str">
        <f>"5th AIAA Theoretical Fluid Mechanics Conference"</f>
        <v>5th AIAA Theoretical Fluid Mechanics Conference</v>
      </c>
      <c r="B5288" s="8" t="str">
        <f>"9781563479427"</f>
        <v>9781563479427</v>
      </c>
      <c r="C5288" s="8" t="s">
        <v>104</v>
      </c>
    </row>
    <row r="5289" spans="1:3" x14ac:dyDescent="0.25">
      <c r="A5289" s="8" t="str">
        <f>"5th Annual Lean Management Solutions Conference and Exposition 2005, Conference Proceedings"</f>
        <v>5th Annual Lean Management Solutions Conference and Exposition 2005, Conference Proceedings</v>
      </c>
      <c r="B5289" s="8" t="str">
        <f>"-"</f>
        <v>-</v>
      </c>
      <c r="C5289" s="8" t="s">
        <v>530</v>
      </c>
    </row>
    <row r="5290" spans="1:3" x14ac:dyDescent="0.25">
      <c r="A5290" s="8" t="str">
        <f>"5th Asian Conference on Multibody Dynamics 2010, ACMD 2010"</f>
        <v>5th Asian Conference on Multibody Dynamics 2010, ACMD 2010</v>
      </c>
      <c r="B5290" s="8" t="str">
        <f>"-"</f>
        <v>-</v>
      </c>
      <c r="C5290" s="8" t="s">
        <v>1548</v>
      </c>
    </row>
    <row r="5291" spans="1:3" x14ac:dyDescent="0.25">
      <c r="A5291" s="8" t="str">
        <f>"5th Asian Conference on Refrigeration and Air Conditioning, ACRA 2010 - Green Breeze from Asia: Frontiers of Refrigerants, Heat Transfer and System"</f>
        <v>5th Asian Conference on Refrigeration and Air Conditioning, ACRA 2010 - Green Breeze from Asia: Frontiers of Refrigerants, Heat Transfer and System</v>
      </c>
      <c r="B5291" s="8" t="str">
        <f>"9781634391252"</f>
        <v>9781634391252</v>
      </c>
      <c r="C5291" s="8" t="s">
        <v>1549</v>
      </c>
    </row>
    <row r="5292" spans="1:3" x14ac:dyDescent="0.25">
      <c r="A5292" s="8" t="str">
        <f>"5th Asia-Pacific Conference on Combustion, ASPACC 2005: Celebrating Prof. Bob Bilger's 70th Birthday"</f>
        <v>5th Asia-Pacific Conference on Combustion, ASPACC 2005: Celebrating Prof. Bob Bilger's 70th Birthday</v>
      </c>
      <c r="B5292" s="8" t="str">
        <f>"-"</f>
        <v>-</v>
      </c>
      <c r="C5292" s="8" t="s">
        <v>1550</v>
      </c>
    </row>
    <row r="5293" spans="1:3" x14ac:dyDescent="0.25">
      <c r="A5293" s="8" t="str">
        <f>"5th Asia-Pacific Conference on Unsaturated Soils 2012"</f>
        <v>5th Asia-Pacific Conference on Unsaturated Soils 2012</v>
      </c>
      <c r="B5293" s="8" t="str">
        <f>"9781622762644"</f>
        <v>9781622762644</v>
      </c>
      <c r="C5293" s="8" t="s">
        <v>1551</v>
      </c>
    </row>
    <row r="5294" spans="1:3" x14ac:dyDescent="0.25">
      <c r="A5294" s="8" t="str">
        <f>"5th Australasian Housing Researchers' Conference"</f>
        <v>5th Australasian Housing Researchers' Conference</v>
      </c>
      <c r="B5294" s="8" t="str">
        <f>"9780473201500"</f>
        <v>9780473201500</v>
      </c>
      <c r="C5294" s="8" t="s">
        <v>1496</v>
      </c>
    </row>
    <row r="5295" spans="1:3" x14ac:dyDescent="0.25">
      <c r="A5295" s="8" t="str">
        <f>"5th Biennial Workshop on Digital Signal Processing for In-Vehicle Systems, DSP 2011"</f>
        <v>5th Biennial Workshop on Digital Signal Processing for In-Vehicle Systems, DSP 2011</v>
      </c>
      <c r="B5295" s="8" t="str">
        <f>"-"</f>
        <v>-</v>
      </c>
      <c r="C5295" s="8" t="s">
        <v>1250</v>
      </c>
    </row>
    <row r="5296" spans="1:3" x14ac:dyDescent="0.25">
      <c r="A5296" s="8" t="str">
        <f>"5th Conference on Design and Technology of Integrated Systems in Nanoscale Era, DTIS 2010"</f>
        <v>5th Conference on Design and Technology of Integrated Systems in Nanoscale Era, DTIS 2010</v>
      </c>
      <c r="B5296" s="8" t="str">
        <f>"9781424463404"</f>
        <v>9781424463404</v>
      </c>
      <c r="C5296" s="8" t="s">
        <v>21</v>
      </c>
    </row>
    <row r="5297" spans="1:3" x14ac:dyDescent="0.25">
      <c r="A5297" s="8" t="str">
        <f>"5th Conference on Foundations of Nanoscience: Self-Assembled Architectures and Devices, FNANO 2008"</f>
        <v>5th Conference on Foundations of Nanoscience: Self-Assembled Architectures and Devices, FNANO 2008</v>
      </c>
      <c r="B5297" s="8" t="str">
        <f>"-"</f>
        <v>-</v>
      </c>
      <c r="C5297" s="8" t="s">
        <v>1460</v>
      </c>
    </row>
    <row r="5298" spans="1:3" x14ac:dyDescent="0.25">
      <c r="A5298" s="8" t="str">
        <f>"5th EAGE Passive Seismic Workshop: From Wish List to To-Do List"</f>
        <v>5th EAGE Passive Seismic Workshop: From Wish List to To-Do List</v>
      </c>
      <c r="B5298" s="8" t="str">
        <f>"9789462820319"</f>
        <v>9789462820319</v>
      </c>
      <c r="C5298" s="8" t="s">
        <v>1323</v>
      </c>
    </row>
    <row r="5299" spans="1:3" x14ac:dyDescent="0.25">
      <c r="A5299" s="8" t="str">
        <f>"5th EUROCONTROL Innovative Research Workshop and Exhibition: Disseminating ATM Innovative Research"</f>
        <v>5th EUROCONTROL Innovative Research Workshop and Exhibition: Disseminating ATM Innovative Research</v>
      </c>
      <c r="B5299" s="8" t="str">
        <f>"-"</f>
        <v>-</v>
      </c>
      <c r="C5299" s="8" t="s">
        <v>1532</v>
      </c>
    </row>
    <row r="5300" spans="1:3" x14ac:dyDescent="0.25">
      <c r="A5300" s="8" t="str">
        <f>"5th Eurographics Italian Chapter Conference 2007 - Proceedings"</f>
        <v>5th Eurographics Italian Chapter Conference 2007 - Proceedings</v>
      </c>
      <c r="B5300" s="8" t="str">
        <f>"9783905673623"</f>
        <v>9783905673623</v>
      </c>
      <c r="C5300" s="8" t="s">
        <v>23</v>
      </c>
    </row>
    <row r="5301" spans="1:3" x14ac:dyDescent="0.25">
      <c r="A5301" s="8" t="str">
        <f>"5th European and African Conference on Wind Engineering, EACWE 5, Proceedings"</f>
        <v>5th European and African Conference on Wind Engineering, EACWE 5, Proceedings</v>
      </c>
      <c r="B5301" s="8" t="str">
        <f>"-"</f>
        <v>-</v>
      </c>
      <c r="C5301" s="8" t="s">
        <v>1552</v>
      </c>
    </row>
    <row r="5302" spans="1:3" x14ac:dyDescent="0.25">
      <c r="A5302" s="8" t="str">
        <f>"5th European Conference on Colour in Graphics, Imaging, and Vision and 12th International Symposium on Multispectral Colour Science 2010, CGIV 2010/MCS'10"</f>
        <v>5th European Conference on Colour in Graphics, Imaging, and Vision and 12th International Symposium on Multispectral Colour Science 2010, CGIV 2010/MCS'10</v>
      </c>
      <c r="B5302" s="8" t="str">
        <f>"9781617388897"</f>
        <v>9781617388897</v>
      </c>
      <c r="C5302" s="8" t="s">
        <v>415</v>
      </c>
    </row>
    <row r="5303" spans="1:3" x14ac:dyDescent="0.25">
      <c r="A5303" s="8" t="str">
        <f>"5th European Conference on Information Management and Evaluation, ECIME 2011"</f>
        <v>5th European Conference on Information Management and Evaluation, ECIME 2011</v>
      </c>
      <c r="B5303" s="8" t="str">
        <f>"9781629934310"</f>
        <v>9781629934310</v>
      </c>
      <c r="C5303" s="8" t="s">
        <v>394</v>
      </c>
    </row>
    <row r="5304" spans="1:3" x14ac:dyDescent="0.25">
      <c r="A5304" s="8" t="str">
        <f>"5th European Conference on Information Warfare and Security 2006, ECIW 2006"</f>
        <v>5th European Conference on Information Warfare and Security 2006, ECIW 2006</v>
      </c>
      <c r="B5304" s="8" t="str">
        <f>"9781622765317"</f>
        <v>9781622765317</v>
      </c>
      <c r="C5304" s="8" t="s">
        <v>973</v>
      </c>
    </row>
    <row r="5305" spans="1:3" x14ac:dyDescent="0.25">
      <c r="A5305" s="8" t="str">
        <f>"5th Flow Control Conference"</f>
        <v>5th Flow Control Conference</v>
      </c>
      <c r="B5305" s="8" t="str">
        <f>"9781600867453"</f>
        <v>9781600867453</v>
      </c>
      <c r="C5305" s="8" t="s">
        <v>104</v>
      </c>
    </row>
    <row r="5306" spans="1:3" x14ac:dyDescent="0.25">
      <c r="A5306" s="8" t="str">
        <f>"5th ICEG Environmental Geotechnics: Opportunities, Challenges and Responsibilities for Environmental Geotechnics - Proceedings of the ISSMGE 5th Int. Congress"</f>
        <v>5th ICEG Environmental Geotechnics: Opportunities, Challenges and Responsibilities for Environmental Geotechnics - Proceedings of the ISSMGE 5th Int. Congress</v>
      </c>
      <c r="B5306" s="8" t="str">
        <f>"-"</f>
        <v>-</v>
      </c>
      <c r="C5306" s="8" t="s">
        <v>74</v>
      </c>
    </row>
    <row r="5307" spans="1:3" x14ac:dyDescent="0.25">
      <c r="A5307" s="8" t="str">
        <f>"5th IEEE and IFIP International Conference on Wireless and Optical Communications Networks, WOCN 2008"</f>
        <v>5th IEEE and IFIP International Conference on Wireless and Optical Communications Networks, WOCN 2008</v>
      </c>
      <c r="B5307" s="8" t="str">
        <f>"9781424419807"</f>
        <v>9781424419807</v>
      </c>
      <c r="C5307" s="8" t="s">
        <v>9</v>
      </c>
    </row>
    <row r="5308" spans="1:3" x14ac:dyDescent="0.25">
      <c r="A5308" s="8" t="str">
        <f>"5th IEEE International Conference on Cognitive Infocommunications, CogInfoCom 2014 - Proceedings"</f>
        <v>5th IEEE International Conference on Cognitive Infocommunications, CogInfoCom 2014 - Proceedings</v>
      </c>
      <c r="B5308" s="8" t="str">
        <f>"9781479972807"</f>
        <v>9781479972807</v>
      </c>
      <c r="C5308" s="8" t="s">
        <v>105</v>
      </c>
    </row>
    <row r="5309" spans="1:3" x14ac:dyDescent="0.25">
      <c r="A5309" s="8" t="str">
        <f>"5th IEEE International Conference on High Speed Networks and Multimedia Communications, HSNMC 2002"</f>
        <v>5th IEEE International Conference on High Speed Networks and Multimedia Communications, HSNMC 2002</v>
      </c>
      <c r="B5309" s="8" t="str">
        <f>"9780780376007"</f>
        <v>9780780376007</v>
      </c>
      <c r="C5309" s="8" t="s">
        <v>105</v>
      </c>
    </row>
    <row r="5310" spans="1:3" x14ac:dyDescent="0.25">
      <c r="A5310" s="8" t="str">
        <f>"5th IEEE International Conference on Management of Innovation and Technology, ICMIT2010"</f>
        <v>5th IEEE International Conference on Management of Innovation and Technology, ICMIT2010</v>
      </c>
      <c r="B5310" s="8" t="str">
        <f>"9781424465675"</f>
        <v>9781424465675</v>
      </c>
      <c r="C5310" s="8" t="s">
        <v>9</v>
      </c>
    </row>
    <row r="5311" spans="1:3" x14ac:dyDescent="0.25">
      <c r="A5311" s="8" t="str">
        <f>"5Th IEEE International Vacuum Electronics Conference, IVEC 2004"</f>
        <v>5Th IEEE International Vacuum Electronics Conference, IVEC 2004</v>
      </c>
      <c r="B5311" s="8" t="str">
        <f>"9780780382619"</f>
        <v>9780780382619</v>
      </c>
      <c r="C5311" s="8" t="s">
        <v>105</v>
      </c>
    </row>
    <row r="5312" spans="1:3" x14ac:dyDescent="0.25">
      <c r="A5312" s="8" t="str">
        <f>"5th IEEE Vehicle Power and Propulsion Conference, VPPC '09"</f>
        <v>5th IEEE Vehicle Power and Propulsion Conference, VPPC '09</v>
      </c>
      <c r="B5312" s="8" t="str">
        <f>"9781424426003"</f>
        <v>9781424426003</v>
      </c>
      <c r="C5312" s="8" t="s">
        <v>9</v>
      </c>
    </row>
    <row r="5313" spans="1:3" x14ac:dyDescent="0.25">
      <c r="A5313" s="8" t="str">
        <f>"5th IEEE Workshop on Secure Network Protocols, NPSEC'09"</f>
        <v>5th IEEE Workshop on Secure Network Protocols, NPSEC'09</v>
      </c>
      <c r="B5313" s="8" t="str">
        <f>"9781424448654"</f>
        <v>9781424448654</v>
      </c>
      <c r="C5313" s="8" t="s">
        <v>9</v>
      </c>
    </row>
    <row r="5314" spans="1:3" x14ac:dyDescent="0.25">
      <c r="A5314" s="8" t="str">
        <f>"5th IMAPS/ACerS International Conference and Exhibition on Ceramic Interconnect and Ceramic Microsystems Technologies 2009, CICMT 2009"</f>
        <v>5th IMAPS/ACerS International Conference and Exhibition on Ceramic Interconnect and Ceramic Microsystems Technologies 2009, CICMT 2009</v>
      </c>
      <c r="B5314" s="8" t="str">
        <f>"9781615673742"</f>
        <v>9781615673742</v>
      </c>
      <c r="C5314" s="8" t="s">
        <v>93</v>
      </c>
    </row>
    <row r="5315" spans="1:3" x14ac:dyDescent="0.25">
      <c r="A5315" s="8" t="str">
        <f>"5th IMEKO TC19 Symposium on Environmental Instrumentation and Measurements 2014"</f>
        <v>5th IMEKO TC19 Symposium on Environmental Instrumentation and Measurements 2014</v>
      </c>
      <c r="B5315" s="8" t="str">
        <f>"9789299007365"</f>
        <v>9789299007365</v>
      </c>
      <c r="C5315" s="8" t="s">
        <v>1198</v>
      </c>
    </row>
    <row r="5316" spans="1:3" x14ac:dyDescent="0.25">
      <c r="A5316" s="8" t="str">
        <f>"5th Int. Conference on Information Technology and Applications in Biomedicine, ITAB 2008 in conjunction with 2nd Int. Symposium and Summer School on Biomedical and Health Engineering, IS3BHE 2008"</f>
        <v>5th Int. Conference on Information Technology and Applications in Biomedicine, ITAB 2008 in conjunction with 2nd Int. Symposium and Summer School on Biomedical and Health Engineering, IS3BHE 2008</v>
      </c>
      <c r="B5316" s="8" t="str">
        <f>"9781424422555"</f>
        <v>9781424422555</v>
      </c>
      <c r="C5316" s="8" t="s">
        <v>9</v>
      </c>
    </row>
    <row r="5317" spans="1:3" x14ac:dyDescent="0.25">
      <c r="A5317" s="8" t="str">
        <f>"5th Int. Conference on Integrated Modeling and Analysis in Applied Control and Automation, IMAACA 2011, Held at the International Mediterranean and Latin American Modeling Multiconference, I3M 2011"</f>
        <v>5th Int. Conference on Integrated Modeling and Analysis in Applied Control and Automation, IMAACA 2011, Held at the International Mediterranean and Latin American Modeling Multiconference, I3M 2011</v>
      </c>
      <c r="B5317" s="8" t="str">
        <f>"9781629934808"</f>
        <v>9781629934808</v>
      </c>
      <c r="C5317" s="8" t="s">
        <v>1200</v>
      </c>
    </row>
    <row r="5318" spans="1:3" x14ac:dyDescent="0.25">
      <c r="A5318" s="8" t="str">
        <f>"5th Int. Workshop Ubiquitous Comput. - IWUC 2008; 4th Int. Workshop Model-Driven Enterp. Inf. Sys. - MDEIS 2008; 3rd Int. Workshop Technol. Context-Aware Bus. Process Manage. - TCoB 2008; ICEIS 2008"</f>
        <v>5th Int. Workshop Ubiquitous Comput. - IWUC 2008; 4th Int. Workshop Model-Driven Enterp. Inf. Sys. - MDEIS 2008; 3rd Int. Workshop Technol. Context-Aware Bus. Process Manage. - TCoB 2008; ICEIS 2008</v>
      </c>
      <c r="B5318" s="8" t="str">
        <f>"9789898111494"</f>
        <v>9789898111494</v>
      </c>
      <c r="C5318" s="8" t="s">
        <v>1553</v>
      </c>
    </row>
    <row r="5319" spans="1:3" x14ac:dyDescent="0.25">
      <c r="A5319" s="8" t="str">
        <f>"5th International Conference on Actual Problems of Electron Devices Engineering, APEDE 2002"</f>
        <v>5th International Conference on Actual Problems of Electron Devices Engineering, APEDE 2002</v>
      </c>
      <c r="B5319" s="8" t="str">
        <f>"9785743310654"</f>
        <v>9785743310654</v>
      </c>
      <c r="C5319" s="8" t="s">
        <v>105</v>
      </c>
    </row>
    <row r="5320" spans="1:3" x14ac:dyDescent="0.25">
      <c r="A5320" s="8" t="str">
        <f>"5th International Conference on Advances in Steel Structures, ICASS 2007"</f>
        <v>5th International Conference on Advances in Steel Structures, ICASS 2007</v>
      </c>
      <c r="B5320" s="8" t="str">
        <f>"9789810593711"</f>
        <v>9789810593711</v>
      </c>
      <c r="C5320" s="8" t="s">
        <v>1554</v>
      </c>
    </row>
    <row r="5321" spans="1:3" x14ac:dyDescent="0.25">
      <c r="A5321" s="8" t="str">
        <f>"5th International Conference on Advances in System Testing and Validation Lifecycle, VALID 2013, Held at SoftNet 2013"</f>
        <v>5th International Conference on Advances in System Testing and Validation Lifecycle, VALID 2013, Held at SoftNet 2013</v>
      </c>
      <c r="B5321" s="8" t="str">
        <f>"9781629933030"</f>
        <v>9781629933030</v>
      </c>
      <c r="C5321" s="8" t="s">
        <v>373</v>
      </c>
    </row>
    <row r="5322" spans="1:3" x14ac:dyDescent="0.25">
      <c r="A5322" s="8" t="str">
        <f>"5th International Conference on Antenna Theory and Techniques, 2005"</f>
        <v>5th International Conference on Antenna Theory and Techniques, 2005</v>
      </c>
      <c r="B5322" s="8" t="str">
        <f>"-"</f>
        <v>-</v>
      </c>
      <c r="C5322" s="8" t="s">
        <v>9</v>
      </c>
    </row>
    <row r="5323" spans="1:3" x14ac:dyDescent="0.25">
      <c r="A5323" s="8" t="str">
        <f>"5th International Conference on Autonomic Computing, ICAC 2008"</f>
        <v>5th International Conference on Autonomic Computing, ICAC 2008</v>
      </c>
      <c r="B5323" s="8" t="str">
        <f>"9780769531755"</f>
        <v>9780769531755</v>
      </c>
      <c r="C5323" s="8" t="s">
        <v>9</v>
      </c>
    </row>
    <row r="5324" spans="1:3" x14ac:dyDescent="0.25">
      <c r="A5324" s="8" t="str">
        <f>"5th International Conference on Bioacoustics 2009, Proceedings of the Institute of Acoustics"</f>
        <v>5th International Conference on Bioacoustics 2009, Proceedings of the Institute of Acoustics</v>
      </c>
      <c r="B5324" s="8" t="str">
        <f>"9781615670185"</f>
        <v>9781615670185</v>
      </c>
      <c r="C5324" s="8" t="s">
        <v>27</v>
      </c>
    </row>
    <row r="5325" spans="1:3" x14ac:dyDescent="0.25">
      <c r="A5325" s="8" t="str">
        <f>"5th International Conference on Bioinformatics and Biomedical Engineering, iCBBE 2011"</f>
        <v>5th International Conference on Bioinformatics and Biomedical Engineering, iCBBE 2011</v>
      </c>
      <c r="B5325" s="8" t="str">
        <f>"9781424450893"</f>
        <v>9781424450893</v>
      </c>
      <c r="C5325" s="8" t="s">
        <v>9</v>
      </c>
    </row>
    <row r="5326" spans="1:3" x14ac:dyDescent="0.25">
      <c r="A5326" s="8" t="str">
        <f>"5th International Conference on Bioinformatics and Computational Biology 2013, BICoB 2013"</f>
        <v>5th International Conference on Bioinformatics and Computational Biology 2013, BICoB 2013</v>
      </c>
      <c r="B5326" s="8" t="str">
        <f>"9781622769711"</f>
        <v>9781622769711</v>
      </c>
      <c r="C5326" s="8" t="s">
        <v>1287</v>
      </c>
    </row>
    <row r="5327" spans="1:3" x14ac:dyDescent="0.25">
      <c r="A5327" s="8" t="str">
        <f>"5th International Conference on Broadband Communications, Networks, and Systems, BROADNETS 2008"</f>
        <v>5th International Conference on Broadband Communications, Networks, and Systems, BROADNETS 2008</v>
      </c>
      <c r="B5327" s="8" t="str">
        <f>"9781424423927"</f>
        <v>9781424423927</v>
      </c>
      <c r="C5327" s="8" t="s">
        <v>9</v>
      </c>
    </row>
    <row r="5328" spans="1:3" x14ac:dyDescent="0.25">
      <c r="A5328" s="8" t="str">
        <f>"5th International Conference on Clean Electrical Power: Renewable Energy Resources Impact, ICCEP 2015"</f>
        <v>5th International Conference on Clean Electrical Power: Renewable Energy Resources Impact, ICCEP 2015</v>
      </c>
      <c r="B5328" s="8" t="str">
        <f>"9781479987047"</f>
        <v>9781479987047</v>
      </c>
      <c r="C5328" s="8" t="s">
        <v>105</v>
      </c>
    </row>
    <row r="5329" spans="1:3" x14ac:dyDescent="0.25">
      <c r="A5329" s="8" t="str">
        <f>"5th International Conference on Computing Communication and Networking Technologies, ICCCNT 2014"</f>
        <v>5th International Conference on Computing Communication and Networking Technologies, ICCCNT 2014</v>
      </c>
      <c r="B5329" s="8" t="str">
        <f>"9781479926961"</f>
        <v>9781479926961</v>
      </c>
      <c r="C5329" s="8" t="s">
        <v>105</v>
      </c>
    </row>
    <row r="5330" spans="1:3" x14ac:dyDescent="0.25">
      <c r="A5330" s="8" t="str">
        <f>"5th International Conference on Digital Telecommunications, ICDT 2010"</f>
        <v>5th International Conference on Digital Telecommunications, ICDT 2010</v>
      </c>
      <c r="B5330" s="8" t="str">
        <f>"9780769540719"</f>
        <v>9780769540719</v>
      </c>
      <c r="C5330" s="8" t="s">
        <v>9</v>
      </c>
    </row>
    <row r="5331" spans="1:3" x14ac:dyDescent="0.25">
      <c r="A5331" s="8" t="str">
        <f>"5th International Conference on Electrical and Control Technologies, ECT 2010"</f>
        <v>5th International Conference on Electrical and Control Technologies, ECT 2010</v>
      </c>
      <c r="B5331" s="8" t="str">
        <f>"9781634397995"</f>
        <v>9781634397995</v>
      </c>
      <c r="C5331" s="8" t="s">
        <v>1140</v>
      </c>
    </row>
    <row r="5332" spans="1:3" x14ac:dyDescent="0.25">
      <c r="A5332" s="8" t="str">
        <f>"5th International Conference on Electrical Engineering/Electronics, Computer, Telecommunications and Information Technology, ECTI-CON 2008"</f>
        <v>5th International Conference on Electrical Engineering/Electronics, Computer, Telecommunications and Information Technology, ECTI-CON 2008</v>
      </c>
      <c r="B5332" s="8" t="str">
        <f>"9781424421015"</f>
        <v>9781424421015</v>
      </c>
      <c r="C5332" s="8" t="s">
        <v>9</v>
      </c>
    </row>
    <row r="5333" spans="1:3" x14ac:dyDescent="0.25">
      <c r="A5333" s="8" t="str">
        <f>"5th International Conference on Environmental Informatics, ISEIS 2006"</f>
        <v>5th International Conference on Environmental Informatics, ISEIS 2006</v>
      </c>
      <c r="B5333" s="8" t="str">
        <f>"-"</f>
        <v>-</v>
      </c>
      <c r="C5333" s="8" t="s">
        <v>1535</v>
      </c>
    </row>
    <row r="5334" spans="1:3" x14ac:dyDescent="0.25">
      <c r="A5334" s="8" t="str">
        <f>"5th International Conference on Information Assurance and Security, IAS 2009"</f>
        <v>5th International Conference on Information Assurance and Security, IAS 2009</v>
      </c>
      <c r="B5334" s="8" t="str">
        <f>"9780769537443"</f>
        <v>9780769537443</v>
      </c>
      <c r="C5334" s="8" t="s">
        <v>9</v>
      </c>
    </row>
    <row r="5335" spans="1:3" x14ac:dyDescent="0.25">
      <c r="A5335" s="8" t="str">
        <f>"5th International Conference on Information Technology and Applications, ICITA 2008"</f>
        <v>5th International Conference on Information Technology and Applications, ICITA 2008</v>
      </c>
      <c r="B5335" s="8" t="str">
        <f>"9780980326727"</f>
        <v>9780980326727</v>
      </c>
      <c r="C5335" s="8" t="s">
        <v>1555</v>
      </c>
    </row>
    <row r="5336" spans="1:3" x14ac:dyDescent="0.25">
      <c r="A5336" s="8" t="str">
        <f>"5th International Conference on Information Warfare and Security, ICIW 2010"</f>
        <v>5th International Conference on Information Warfare and Security, ICIW 2010</v>
      </c>
      <c r="B5336" s="8" t="str">
        <f>"9781622766741"</f>
        <v>9781622766741</v>
      </c>
      <c r="C5336" s="8" t="s">
        <v>394</v>
      </c>
    </row>
    <row r="5337" spans="1:3" x14ac:dyDescent="0.25">
      <c r="A5337" s="8" t="str">
        <f>"5th International Conference on Innovative Computing Technology, INTECH 2015"</f>
        <v>5th International Conference on Innovative Computing Technology, INTECH 2015</v>
      </c>
      <c r="B5337" s="8" t="str">
        <f>"9781467375504"</f>
        <v>9781467375504</v>
      </c>
      <c r="C5337" s="8" t="s">
        <v>105</v>
      </c>
    </row>
    <row r="5338" spans="1:3" x14ac:dyDescent="0.25">
      <c r="A5338" s="8" t="str">
        <f>"5th International Conference on Intelligent Control and Information Processing, ICICIP 2014 - Proceedings"</f>
        <v>5th International Conference on Intelligent Control and Information Processing, ICICIP 2014 - Proceedings</v>
      </c>
      <c r="B5338" s="8" t="str">
        <f>"9781479936489"</f>
        <v>9781479936489</v>
      </c>
      <c r="C5338" s="8" t="s">
        <v>105</v>
      </c>
    </row>
    <row r="5339" spans="1:3" x14ac:dyDescent="0.25">
      <c r="A5339" s="8" t="str">
        <f>"5th International Conference on Internet and Web Applications and Services, ICIW 2010"</f>
        <v>5th International Conference on Internet and Web Applications and Services, ICIW 2010</v>
      </c>
      <c r="B5339" s="8" t="str">
        <f>"9780769540221"</f>
        <v>9780769540221</v>
      </c>
      <c r="C5339" s="8" t="s">
        <v>9</v>
      </c>
    </row>
    <row r="5340" spans="1:3" x14ac:dyDescent="0.25">
      <c r="A5340" s="8" t="str">
        <f>"5th International Conference on Internet Monitoring and Protection, ICIMP 2010"</f>
        <v>5th International Conference on Internet Monitoring and Protection, ICIMP 2010</v>
      </c>
      <c r="B5340" s="8" t="str">
        <f>"9780769540238"</f>
        <v>9780769540238</v>
      </c>
      <c r="C5340" s="8" t="s">
        <v>9</v>
      </c>
    </row>
    <row r="5341" spans="1:3" x14ac:dyDescent="0.25">
      <c r="A5341" s="8" t="str">
        <f>"5th International Conference on MEMS NANO, and Smart Systems, ICMENS 2009"</f>
        <v>5th International Conference on MEMS NANO, and Smart Systems, ICMENS 2009</v>
      </c>
      <c r="B5341" s="8" t="str">
        <f>"9780769539386"</f>
        <v>9780769539386</v>
      </c>
      <c r="C5341" s="8" t="s">
        <v>9</v>
      </c>
    </row>
    <row r="5342" spans="1:3" x14ac:dyDescent="0.25">
      <c r="A5342" s="8" t="str">
        <f>"5th International Conference on Natural Computation, ICNC 2009"</f>
        <v>5th International Conference on Natural Computation, ICNC 2009</v>
      </c>
      <c r="B5342" s="8" t="str">
        <f>"9780769537368"</f>
        <v>9780769537368</v>
      </c>
      <c r="C5342" s="8" t="s">
        <v>9</v>
      </c>
    </row>
    <row r="5343" spans="1:3" x14ac:dyDescent="0.25">
      <c r="A5343" s="8" t="str">
        <f>"5th International Conference on Qualitative Research in IT and IT in Qualitative Research, QualIT 2010"</f>
        <v>5th International Conference on Qualitative Research in IT and IT in Qualitative Research, QualIT 2010</v>
      </c>
      <c r="B5343" s="8" t="str">
        <f>"-"</f>
        <v>-</v>
      </c>
      <c r="C5343" s="8" t="s">
        <v>1556</v>
      </c>
    </row>
    <row r="5344" spans="1:3" x14ac:dyDescent="0.25">
      <c r="A5344" s="8" t="str">
        <f>"5th International Conference on Queueing Theory and Network Applications, QTNA 2010 - Proceedings"</f>
        <v>5th International Conference on Queueing Theory and Network Applications, QTNA 2010 - Proceedings</v>
      </c>
      <c r="B5344" s="8" t="str">
        <f>"9781450302128"</f>
        <v>9781450302128</v>
      </c>
      <c r="C5344" s="8" t="s">
        <v>21</v>
      </c>
    </row>
    <row r="5345" spans="1:3" x14ac:dyDescent="0.25">
      <c r="A5345" s="8" t="str">
        <f>"5th International Conference on Signal Processing and Communication Systems, ICSPCS'2011 - Proceedings"</f>
        <v>5th International Conference on Signal Processing and Communication Systems, ICSPCS'2011 - Proceedings</v>
      </c>
      <c r="B5345" s="8" t="str">
        <f>"9781457711800"</f>
        <v>9781457711800</v>
      </c>
      <c r="C5345" s="8" t="s">
        <v>9</v>
      </c>
    </row>
    <row r="5346" spans="1:3" x14ac:dyDescent="0.25">
      <c r="A5346" s="8" t="str">
        <f>"5th International Conference on Simulation and Modelling in the Food and Bio-Industry 2008, FOODSIM 2008"</f>
        <v>5th International Conference on Simulation and Modelling in the Food and Bio-Industry 2008, FOODSIM 2008</v>
      </c>
      <c r="B5346" s="8" t="str">
        <f>"9789077381410"</f>
        <v>9789077381410</v>
      </c>
      <c r="C5346" s="8" t="s">
        <v>1206</v>
      </c>
    </row>
    <row r="5347" spans="1:3" x14ac:dyDescent="0.25">
      <c r="A5347" s="8" t="str">
        <f>"5th International Conference on Soft Computing as Transdisciplinary Science and Technology, CSTST '08 - Proceedings"</f>
        <v>5th International Conference on Soft Computing as Transdisciplinary Science and Technology, CSTST '08 - Proceedings</v>
      </c>
      <c r="B5347" s="8" t="str">
        <f>"9781605580463"</f>
        <v>9781605580463</v>
      </c>
      <c r="C5347" s="8" t="s">
        <v>21</v>
      </c>
    </row>
    <row r="5348" spans="1:3" x14ac:dyDescent="0.25">
      <c r="A5348" s="8" t="str">
        <f>"5th International Conference on Systems, ICONS 2010"</f>
        <v>5th International Conference on Systems, ICONS 2010</v>
      </c>
      <c r="B5348" s="8" t="str">
        <f>"9780769539805"</f>
        <v>9780769539805</v>
      </c>
      <c r="C5348" s="8" t="s">
        <v>9</v>
      </c>
    </row>
    <row r="5349" spans="1:3" x14ac:dyDescent="0.25">
      <c r="A5349" s="8" t="str">
        <f>"5th International Conference on the Applications of Digital Information and Web Technologies, ICADIWT 2014"</f>
        <v>5th International Conference on the Applications of Digital Information and Web Technologies, ICADIWT 2014</v>
      </c>
      <c r="B5349" s="8" t="str">
        <f>"9781479922581"</f>
        <v>9781479922581</v>
      </c>
      <c r="C5349" s="8" t="s">
        <v>9</v>
      </c>
    </row>
    <row r="5350" spans="1:3" x14ac:dyDescent="0.25">
      <c r="A5350" s="8" t="str">
        <f>"5th International Conference on Wireless and Mobile Communications, ICWMC 2009"</f>
        <v>5th International Conference on Wireless and Mobile Communications, ICWMC 2009</v>
      </c>
      <c r="B5350" s="8" t="str">
        <f>"9780769537504"</f>
        <v>9780769537504</v>
      </c>
      <c r="C5350" s="8" t="s">
        <v>9</v>
      </c>
    </row>
    <row r="5351" spans="1:3" x14ac:dyDescent="0.25">
      <c r="A5351" s="8" t="str">
        <f>"5th International Conference on Wireless Communication and Sensor Networks, WCSN-2009"</f>
        <v>5th International Conference on Wireless Communication and Sensor Networks, WCSN-2009</v>
      </c>
      <c r="B5351" s="8" t="str">
        <f>"9781424458776"</f>
        <v>9781424458776</v>
      </c>
      <c r="C5351" s="8" t="s">
        <v>9</v>
      </c>
    </row>
    <row r="5352" spans="1:3" x14ac:dyDescent="0.25">
      <c r="A5352" s="8" t="str">
        <f>"5th International Conference Service Systems and Service Management - Exploring Service Dynamics with Science and Innovative Technology, ICSSSM'08"</f>
        <v>5th International Conference Service Systems and Service Management - Exploring Service Dynamics with Science and Innovative Technology, ICSSSM'08</v>
      </c>
      <c r="B5352" s="8" t="str">
        <f>"9781424416721"</f>
        <v>9781424416721</v>
      </c>
      <c r="C5352" s="8" t="s">
        <v>9</v>
      </c>
    </row>
    <row r="5353" spans="1:3" x14ac:dyDescent="0.25">
      <c r="A5353" s="8" t="str">
        <f>"5th International Conference-Workshop Compatibility in Power Electronics, CPE 2007"</f>
        <v>5th International Conference-Workshop Compatibility in Power Electronics, CPE 2007</v>
      </c>
      <c r="B5353" s="8" t="str">
        <f>"9781424410552"</f>
        <v>9781424410552</v>
      </c>
      <c r="C5353" s="8" t="s">
        <v>9</v>
      </c>
    </row>
    <row r="5354" spans="1:3" x14ac:dyDescent="0.25">
      <c r="A5354" s="8" t="str">
        <f>"5th International Congress on the Science and Technology of Ironmaking, ICSTI 2009"</f>
        <v>5th International Congress on the Science and Technology of Ironmaking, ICSTI 2009</v>
      </c>
      <c r="B5354" s="8" t="str">
        <f>"-"</f>
        <v>-</v>
      </c>
      <c r="C5354" s="8" t="s">
        <v>45</v>
      </c>
    </row>
    <row r="5355" spans="1:3" x14ac:dyDescent="0.25">
      <c r="A5355" s="8" t="str">
        <f>"5th International Congress on the Science and Technology of Steelmaking, ICS 2012"</f>
        <v>5th International Congress on the Science and Technology of Steelmaking, ICS 2012</v>
      </c>
      <c r="B5355" s="8" t="str">
        <f>"-"</f>
        <v>-</v>
      </c>
      <c r="C5355" s="8" t="s">
        <v>1557</v>
      </c>
    </row>
    <row r="5356" spans="1:3" x14ac:dyDescent="0.25">
      <c r="A5356" s="8" t="str">
        <f>"5th International Defense and Homeland Security Simulation Workshop, DHSS 2015"</f>
        <v>5th International Defense and Homeland Security Simulation Workshop, DHSS 2015</v>
      </c>
      <c r="B5356" s="8" t="str">
        <f>"9788897999515"</f>
        <v>9788897999515</v>
      </c>
      <c r="C5356" s="8" t="s">
        <v>1256</v>
      </c>
    </row>
    <row r="5357" spans="1:3" x14ac:dyDescent="0.25">
      <c r="A5357" s="8" t="str">
        <f>"5th International Industrial Simulation Conference 2007, ISC 2007"</f>
        <v>5th International Industrial Simulation Conference 2007, ISC 2007</v>
      </c>
      <c r="B5357" s="8" t="str">
        <f>"9789077381342"</f>
        <v>9789077381342</v>
      </c>
      <c r="C5357" s="8" t="s">
        <v>1206</v>
      </c>
    </row>
    <row r="5358" spans="1:3" x14ac:dyDescent="0.25">
      <c r="A5358" s="8" t="str">
        <f>"5th International North-American Conference on Intelligent Games and Simulation, Game-On 'NA 2009"</f>
        <v>5th International North-American Conference on Intelligent Games and Simulation, Game-On 'NA 2009</v>
      </c>
      <c r="B5358" s="8" t="str">
        <f>"-"</f>
        <v>-</v>
      </c>
      <c r="C5358" s="8" t="s">
        <v>1206</v>
      </c>
    </row>
    <row r="5359" spans="1:3" x14ac:dyDescent="0.25">
      <c r="A5359" s="8" t="str">
        <f>"5th International PhD Symposium in Civil Engineering - Proceedings of the 5th International PhD Symposium in Civil Engineering"</f>
        <v>5th International PhD Symposium in Civil Engineering - Proceedings of the 5th International PhD Symposium in Civil Engineering</v>
      </c>
      <c r="B5359" s="8" t="str">
        <f>"9789058096777"</f>
        <v>9789058096777</v>
      </c>
      <c r="C5359" s="8" t="s">
        <v>1558</v>
      </c>
    </row>
    <row r="5360" spans="1:3" x14ac:dyDescent="0.25">
      <c r="A5360" s="8" t="str">
        <f>"5th International Scientific Conference of Modern Management of Mine Producing, Geology and Environmental Protection, SGEM 2005"</f>
        <v>5th International Scientific Conference of Modern Management of Mine Producing, Geology and Environmental Protection, SGEM 2005</v>
      </c>
      <c r="B5360" s="8" t="str">
        <f>"-"</f>
        <v>-</v>
      </c>
      <c r="C5360" s="8" t="s">
        <v>606</v>
      </c>
    </row>
    <row r="5361" spans="1:3" x14ac:dyDescent="0.25">
      <c r="A5361" s="8" t="str">
        <f>"5th International SPICE Conference on Software Process Assessment and Improvement, SPICE 2005"</f>
        <v>5th International SPICE Conference on Software Process Assessment and Improvement, SPICE 2005</v>
      </c>
      <c r="B5361" s="8" t="str">
        <f>"-"</f>
        <v>-</v>
      </c>
      <c r="C5361" s="8" t="s">
        <v>1559</v>
      </c>
    </row>
    <row r="5362" spans="1:3" x14ac:dyDescent="0.25">
      <c r="A5362" s="8" t="str">
        <f>"5th International Symposium on Communications Control and Signal Processing, ISCCSP 2012"</f>
        <v>5th International Symposium on Communications Control and Signal Processing, ISCCSP 2012</v>
      </c>
      <c r="B5362" s="8" t="str">
        <f>"9781467302760"</f>
        <v>9781467302760</v>
      </c>
      <c r="C5362" s="8" t="s">
        <v>9</v>
      </c>
    </row>
    <row r="5363" spans="1:3" x14ac:dyDescent="0.25">
      <c r="A5363" s="8" t="str">
        <f>"5th International Symposium on Intelligent Systems and Informatics, SISY 2007"</f>
        <v>5th International Symposium on Intelligent Systems and Informatics, SISY 2007</v>
      </c>
      <c r="B5363" s="8" t="str">
        <f>"9781424414437"</f>
        <v>9781424414437</v>
      </c>
      <c r="C5363" s="8" t="s">
        <v>9</v>
      </c>
    </row>
    <row r="5364" spans="1:3" x14ac:dyDescent="0.25">
      <c r="A5364" s="8" t="str">
        <f>"5th International Technical Symposium on Food Processing, Monitoring Technology in Bioprocesses and Food Quality Management"</f>
        <v>5th International Technical Symposium on Food Processing, Monitoring Technology in Bioprocesses and Food Quality Management</v>
      </c>
      <c r="B5364" s="8" t="str">
        <f>"-"</f>
        <v>-</v>
      </c>
      <c r="C5364" s="8" t="s">
        <v>1560</v>
      </c>
    </row>
    <row r="5365" spans="1:3" x14ac:dyDescent="0.25">
      <c r="A5365" s="8" t="str">
        <f>"5th International Topical Meeting on Nuclear Plant Instrumentation Controls, and Human Machine Interface Technology (NPIC and HMIT 2006)"</f>
        <v>5th International Topical Meeting on Nuclear Plant Instrumentation Controls, and Human Machine Interface Technology (NPIC and HMIT 2006)</v>
      </c>
      <c r="B5365" s="8" t="str">
        <f>"-"</f>
        <v>-</v>
      </c>
      <c r="C5365" s="8" t="s">
        <v>453</v>
      </c>
    </row>
    <row r="5366" spans="1:3" x14ac:dyDescent="0.25">
      <c r="A5366" s="8" t="str">
        <f>"5th International Workshop on Data Management for Sensor Networks, DMSN'08 - In Conjunction with the 34th International Conference on Very Large Data Bases"</f>
        <v>5th International Workshop on Data Management for Sensor Networks, DMSN'08 - In Conjunction with the 34th International Conference on Very Large Data Bases</v>
      </c>
      <c r="B5366" s="8" t="str">
        <f>"9781605582849"</f>
        <v>9781605582849</v>
      </c>
      <c r="C5366" s="8" t="s">
        <v>21</v>
      </c>
    </row>
    <row r="5367" spans="1:3" x14ac:dyDescent="0.25">
      <c r="A5367" s="8" t="str">
        <f>"5th International Workshop on Data Management for Sensor Networks, DMSN'08, In Conjunction with the 34th International Conference on Very Large Data Bases"</f>
        <v>5th International Workshop on Data Management for Sensor Networks, DMSN'08, In Conjunction with the 34th International Conference on Very Large Data Bases</v>
      </c>
      <c r="B5367" s="8" t="str">
        <f>"9781605582849"</f>
        <v>9781605582849</v>
      </c>
      <c r="C5367" s="8" t="s">
        <v>21</v>
      </c>
    </row>
    <row r="5368" spans="1:3" x14ac:dyDescent="0.25">
      <c r="A5368" s="8" t="str">
        <f>"5th International Workshop on Systematic Approaches to Digital Forensic Engineering, SADFE 2010"</f>
        <v>5th International Workshop on Systematic Approaches to Digital Forensic Engineering, SADFE 2010</v>
      </c>
      <c r="B5368" s="8" t="str">
        <f>"9780769540528"</f>
        <v>9780769540528</v>
      </c>
      <c r="C5368" s="8" t="s">
        <v>9</v>
      </c>
    </row>
    <row r="5369" spans="1:3" x14ac:dyDescent="0.25">
      <c r="A5369" s="8" t="str">
        <f>"5th International Workshop on the CKM Unitarity Triangle, CKM 2008"</f>
        <v>5th International Workshop on the CKM Unitarity Triangle, CKM 2008</v>
      </c>
      <c r="B5369" s="8" t="str">
        <f>"-"</f>
        <v>-</v>
      </c>
      <c r="C5369" s="8" t="s">
        <v>1341</v>
      </c>
    </row>
    <row r="5370" spans="1:3" x14ac:dyDescent="0.25">
      <c r="A5370" s="8" t="str">
        <f>"5th Latin American Robotic Symposium, LARS 2008"</f>
        <v>5th Latin American Robotic Symposium, LARS 2008</v>
      </c>
      <c r="B5370" s="8" t="str">
        <f>"9780769535364"</f>
        <v>9780769535364</v>
      </c>
      <c r="C5370" s="8" t="s">
        <v>9</v>
      </c>
    </row>
    <row r="5371" spans="1:3" x14ac:dyDescent="0.25">
      <c r="A5371" s="8" t="str">
        <f>"5th Mathematical Physics Meeting: Summer School and Conference on Modern Mathematical Physics, MPHYS 2008"</f>
        <v>5th Mathematical Physics Meeting: Summer School and Conference on Modern Mathematical Physics, MPHYS 2008</v>
      </c>
      <c r="B5371" s="8" t="str">
        <f>"-"</f>
        <v>-</v>
      </c>
      <c r="C5371" s="8" t="s">
        <v>1561</v>
      </c>
    </row>
    <row r="5372" spans="1:3" x14ac:dyDescent="0.25">
      <c r="A5372" s="8" t="str">
        <f>"5th North American Confernce on Multiphase Technology"</f>
        <v>5th North American Confernce on Multiphase Technology</v>
      </c>
      <c r="B5372" s="8" t="str">
        <f>"-"</f>
        <v>-</v>
      </c>
      <c r="C5372" s="8" t="s">
        <v>1246</v>
      </c>
    </row>
    <row r="5373" spans="1:3" x14ac:dyDescent="0.25">
      <c r="A5373" s="8" t="str">
        <f>"5th PCIC Europe 2008: Petroleum and Chemical Industry Conference Europe"</f>
        <v>5th PCIC Europe 2008: Petroleum and Chemical Industry Conference Europe</v>
      </c>
      <c r="B5373" s="8" t="str">
        <f>"9783952333310"</f>
        <v>9783952333310</v>
      </c>
      <c r="C5373" s="8" t="s">
        <v>9</v>
      </c>
    </row>
    <row r="5374" spans="1:3" x14ac:dyDescent="0.25">
      <c r="A5374" s="8" t="str">
        <f>"5th South African Conference on Computational and Applied Mechanics, SACAM 2006"</f>
        <v>5th South African Conference on Computational and Applied Mechanics, SACAM 2006</v>
      </c>
      <c r="B5374" s="8" t="str">
        <f>"-"</f>
        <v>-</v>
      </c>
      <c r="C5374" s="8" t="s">
        <v>1562</v>
      </c>
    </row>
    <row r="5375" spans="1:3" x14ac:dyDescent="0.25">
      <c r="A5375" s="8" t="str">
        <f>"5th Symposium on the Urban Environment"</f>
        <v>5th Symposium on the Urban Environment</v>
      </c>
      <c r="B5375" s="8" t="str">
        <f>"-"</f>
        <v>-</v>
      </c>
      <c r="C5375" s="8" t="s">
        <v>225</v>
      </c>
    </row>
    <row r="5376" spans="1:3" x14ac:dyDescent="0.25">
      <c r="A5376" s="8" t="str">
        <f>"5th US Combustion Meeting 2007"</f>
        <v>5th US Combustion Meeting 2007</v>
      </c>
      <c r="B5376" s="8" t="str">
        <f>"-"</f>
        <v>-</v>
      </c>
      <c r="C5376" s="8" t="s">
        <v>263</v>
      </c>
    </row>
    <row r="5377" spans="1:3" x14ac:dyDescent="0.25">
      <c r="A5377" s="8" t="str">
        <f>"5th Workshop on Positioning, Navigation and Communication 2008, WPNC'08"</f>
        <v>5th Workshop on Positioning, Navigation and Communication 2008, WPNC'08</v>
      </c>
      <c r="B5377" s="8" t="str">
        <f>"9781424417995"</f>
        <v>9781424417995</v>
      </c>
      <c r="C5377" s="8" t="s">
        <v>9</v>
      </c>
    </row>
    <row r="5378" spans="1:3" x14ac:dyDescent="0.25">
      <c r="A5378" s="8" t="str">
        <f>"5th World Congress in Industrial Process Tomography"</f>
        <v>5th World Congress in Industrial Process Tomography</v>
      </c>
      <c r="B5378" s="8" t="str">
        <f>"9780853163213"</f>
        <v>9780853163213</v>
      </c>
      <c r="C5378" s="8" t="s">
        <v>1328</v>
      </c>
    </row>
    <row r="5379" spans="1:3" x14ac:dyDescent="0.25">
      <c r="A5379" s="8" t="str">
        <f>"60th Annual Technical Meeting of the Institute of Environmental Sciences and Technology, ESTECH 2014"</f>
        <v>60th Annual Technical Meeting of the Institute of Environmental Sciences and Technology, ESTECH 2014</v>
      </c>
      <c r="B5379" s="8" t="str">
        <f>"9781634391245"</f>
        <v>9781634391245</v>
      </c>
      <c r="C5379" s="8" t="s">
        <v>784</v>
      </c>
    </row>
    <row r="5380" spans="1:3" x14ac:dyDescent="0.25">
      <c r="A5380" s="8" t="str">
        <f>"60th International Astronautical Congress 2009, IAC 2009"</f>
        <v>60th International Astronautical Congress 2009, IAC 2009</v>
      </c>
      <c r="B5380" s="8" t="str">
        <f>"9781615679089"</f>
        <v>9781615679089</v>
      </c>
      <c r="C5380" s="8" t="s">
        <v>979</v>
      </c>
    </row>
    <row r="5381" spans="1:3" x14ac:dyDescent="0.25">
      <c r="A5381" s="8" t="str">
        <f>"61st Annual IIE Conference and Expo Proceedings"</f>
        <v>61st Annual IIE Conference and Expo Proceedings</v>
      </c>
      <c r="B5381" s="8" t="str">
        <f>"9780983762409"</f>
        <v>9780983762409</v>
      </c>
      <c r="C5381" s="8" t="s">
        <v>530</v>
      </c>
    </row>
    <row r="5382" spans="1:3" x14ac:dyDescent="0.25">
      <c r="A5382" s="8" t="str">
        <f>"61st Annual Technical Meeting of the Institute of Environmental Sciences and Technology, ESTECH 2015 - Technical Presentations"</f>
        <v>61st Annual Technical Meeting of the Institute of Environmental Sciences and Technology, ESTECH 2015 - Technical Presentations</v>
      </c>
      <c r="B5382" s="8" t="str">
        <f>"9781510804272"</f>
        <v>9781510804272</v>
      </c>
      <c r="C5382" s="8" t="s">
        <v>784</v>
      </c>
    </row>
    <row r="5383" spans="1:3" x14ac:dyDescent="0.25">
      <c r="A5383" s="8" t="str">
        <f>"61st International Astronautical Congress 2010, IAC 2010"</f>
        <v>61st International Astronautical Congress 2010, IAC 2010</v>
      </c>
      <c r="B5383" s="8" t="str">
        <f>"9781617823688"</f>
        <v>9781617823688</v>
      </c>
      <c r="C5383" s="8" t="s">
        <v>979</v>
      </c>
    </row>
    <row r="5384" spans="1:3" x14ac:dyDescent="0.25">
      <c r="A5384" s="8" t="str">
        <f>"62nd ARFTG Microwave Measurements Conference: Differential Measurements, ARFTG 2003"</f>
        <v>62nd ARFTG Microwave Measurements Conference: Differential Measurements, ARFTG 2003</v>
      </c>
      <c r="B5384" s="8" t="str">
        <f>"9780780381957"</f>
        <v>9780780381957</v>
      </c>
      <c r="C5384" s="8" t="s">
        <v>105</v>
      </c>
    </row>
    <row r="5385" spans="1:3" x14ac:dyDescent="0.25">
      <c r="A5385" s="8" t="str">
        <f>"62nd IIE Annual Conference and Expo 2012"</f>
        <v>62nd IIE Annual Conference and Expo 2012</v>
      </c>
      <c r="B5385" s="8" t="str">
        <f>"9780983762416"</f>
        <v>9780983762416</v>
      </c>
      <c r="C5385" s="8" t="s">
        <v>530</v>
      </c>
    </row>
    <row r="5386" spans="1:3" x14ac:dyDescent="0.25">
      <c r="A5386" s="8" t="str">
        <f>"62nd International Astronautical Congress 2011, IAC 2011"</f>
        <v>62nd International Astronautical Congress 2011, IAC 2011</v>
      </c>
      <c r="B5386" s="8" t="str">
        <f>"9781618398055"</f>
        <v>9781618398055</v>
      </c>
      <c r="C5386" s="8" t="s">
        <v>979</v>
      </c>
    </row>
    <row r="5387" spans="1:3" x14ac:dyDescent="0.25">
      <c r="A5387" s="8" t="str">
        <f>"63rd ARFTG Conference Digest, Spring 2004, Automatic RF Techniques Group: On Wafer Characterization"</f>
        <v>63rd ARFTG Conference Digest, Spring 2004, Automatic RF Techniques Group: On Wafer Characterization</v>
      </c>
      <c r="B5387" s="8" t="str">
        <f>"9780780383715"</f>
        <v>9780780383715</v>
      </c>
      <c r="C5387" s="8" t="s">
        <v>105</v>
      </c>
    </row>
    <row r="5388" spans="1:3" x14ac:dyDescent="0.25">
      <c r="A5388" s="8" t="str">
        <f>"64th ARFTG Microwave Measurements Conference: Digital Communications Systems Metrics, ARFTG 2004"</f>
        <v>64th ARFTG Microwave Measurements Conference: Digital Communications Systems Metrics, ARFTG 2004</v>
      </c>
      <c r="B5388" s="8" t="str">
        <f>"9780780389526"</f>
        <v>9780780389526</v>
      </c>
      <c r="C5388" s="8" t="s">
        <v>105</v>
      </c>
    </row>
    <row r="5389" spans="1:3" x14ac:dyDescent="0.25">
      <c r="A5389" s="8" t="str">
        <f>"65th ABM International Congress, 18th IFHTSE Congress and 1st TMS/ABM International Materials Congress 2010"</f>
        <v>65th ABM International Congress, 18th IFHTSE Congress and 1st TMS/ABM International Materials Congress 2010</v>
      </c>
      <c r="B5389" s="8" t="str">
        <f>"9781617820168"</f>
        <v>9781617820168</v>
      </c>
      <c r="C5389" s="8" t="s">
        <v>1563</v>
      </c>
    </row>
    <row r="5390" spans="1:3" x14ac:dyDescent="0.25">
      <c r="A5390" s="8" t="str">
        <f>"65th ARFTG Microwave Measurements Conference Digest 2005"</f>
        <v>65th ARFTG Microwave Measurements Conference Digest 2005</v>
      </c>
      <c r="B5390" s="8" t="str">
        <f>"9780780388581"</f>
        <v>9780780388581</v>
      </c>
      <c r="C5390" s="8" t="s">
        <v>105</v>
      </c>
    </row>
    <row r="5391" spans="1:3" x14ac:dyDescent="0.25">
      <c r="A5391" s="8" t="str">
        <f>"65th DRC Device Research Conference"</f>
        <v>65th DRC Device Research Conference</v>
      </c>
      <c r="B5391" s="8" t="str">
        <f>"9781424411023"</f>
        <v>9781424411023</v>
      </c>
      <c r="C5391" s="8" t="s">
        <v>9</v>
      </c>
    </row>
    <row r="5392" spans="1:3" x14ac:dyDescent="0.25">
      <c r="A5392" s="8" t="str">
        <f>"67th European Association of Geoscientists and Engineers Conference and Exhibition 2005: The Challenge of Discovery. Incorporating SPE EUROPEC 2005"</f>
        <v>67th European Association of Geoscientists and Engineers Conference and Exhibition 2005: The Challenge of Discovery. Incorporating SPE EUROPEC 2005</v>
      </c>
      <c r="B5392" s="8" t="str">
        <f>"9789073781986"</f>
        <v>9789073781986</v>
      </c>
      <c r="C5392" s="8" t="s">
        <v>1251</v>
      </c>
    </row>
    <row r="5393" spans="1:3" x14ac:dyDescent="0.25">
      <c r="A5393" s="8" t="str">
        <f>"68th Annual International Conference on Mass Properties 2009"</f>
        <v>68th Annual International Conference on Mass Properties 2009</v>
      </c>
      <c r="B5393" s="8" t="str">
        <f>"9781615673681"</f>
        <v>9781615673681</v>
      </c>
      <c r="C5393" s="8" t="s">
        <v>1564</v>
      </c>
    </row>
    <row r="5394" spans="1:3" x14ac:dyDescent="0.25">
      <c r="A5394" s="8" t="str">
        <f>"68th EAGE Conference and Exhibition incorporating SPE EUROPEC 2006"</f>
        <v>68th EAGE Conference and Exhibition incorporating SPE EUROPEC 2006</v>
      </c>
      <c r="B5394" s="8" t="str">
        <f>"-"</f>
        <v>-</v>
      </c>
      <c r="C5394" s="8" t="s">
        <v>671</v>
      </c>
    </row>
    <row r="5395" spans="1:3" x14ac:dyDescent="0.25">
      <c r="A5395" s="8" t="str">
        <f>"68th World Foundry Congress 2008, WFC 2008"</f>
        <v>68th World Foundry Congress 2008, WFC 2008</v>
      </c>
      <c r="B5395" s="8" t="str">
        <f>"9781622763832"</f>
        <v>9781622763832</v>
      </c>
      <c r="C5395" s="8" t="s">
        <v>1565</v>
      </c>
    </row>
    <row r="5396" spans="1:3" x14ac:dyDescent="0.25">
      <c r="A5396" s="8" t="str">
        <f>"69th ARFTG Microwave Measurements Conference - Addressing Metrology Needs for Future High-Speed Information and Communications Systems"</f>
        <v>69th ARFTG Microwave Measurements Conference - Addressing Metrology Needs for Future High-Speed Information and Communications Systems</v>
      </c>
      <c r="B5396" s="8" t="str">
        <f>"9780780397637"</f>
        <v>9780780397637</v>
      </c>
      <c r="C5396" s="8" t="s">
        <v>9</v>
      </c>
    </row>
    <row r="5397" spans="1:3" x14ac:dyDescent="0.25">
      <c r="A5397" s="8" t="str">
        <f>"69th European Association of Geoscientists and Engineers Conference and Exhibition 2007: Securing The Future. Incorporating SPE EUROPEC 2007"</f>
        <v>69th European Association of Geoscientists and Engineers Conference and Exhibition 2007: Securing The Future. Incorporating SPE EUROPEC 2007</v>
      </c>
      <c r="B5397" s="8" t="str">
        <f>"9781605601557"</f>
        <v>9781605601557</v>
      </c>
      <c r="C5397" s="8" t="s">
        <v>1251</v>
      </c>
    </row>
    <row r="5398" spans="1:3" x14ac:dyDescent="0.25">
      <c r="A5398" s="8" t="str">
        <f>"69th International Conference on Mass Properties 2010"</f>
        <v>69th International Conference on Mass Properties 2010</v>
      </c>
      <c r="B5398" s="8" t="str">
        <f>"9781617820106"</f>
        <v>9781617820106</v>
      </c>
      <c r="C5398" s="8" t="s">
        <v>1564</v>
      </c>
    </row>
    <row r="5399" spans="1:3" x14ac:dyDescent="0.25">
      <c r="A5399" s="8" t="str">
        <f>"69th World Foundry Congress 2010, WFC 2010"</f>
        <v>69th World Foundry Congress 2010, WFC 2010</v>
      </c>
      <c r="B5399" s="8" t="str">
        <f>"9781622762866"</f>
        <v>9781622762866</v>
      </c>
      <c r="C5399" s="8" t="s">
        <v>1565</v>
      </c>
    </row>
    <row r="5400" spans="1:3" x14ac:dyDescent="0.25">
      <c r="A5400" s="8" t="str">
        <f>"6eme Edition de la Conference Francophone sur les Architectures Logicielles, CAL 2012"</f>
        <v>6eme Edition de la Conference Francophone sur les Architectures Logicielles, CAL 2012</v>
      </c>
      <c r="B5400" s="8" t="str">
        <f>"9781605583730"</f>
        <v>9781605583730</v>
      </c>
      <c r="C5400" s="8" t="s">
        <v>1459</v>
      </c>
    </row>
    <row r="5401" spans="1:3" x14ac:dyDescent="0.25">
      <c r="A5401" s="8" t="str">
        <f>"6th Advanced International Conference on Telecommunications, AICT 2010"</f>
        <v>6th Advanced International Conference on Telecommunications, AICT 2010</v>
      </c>
      <c r="B5401" s="8" t="str">
        <f>"9780769540214"</f>
        <v>9780769540214</v>
      </c>
      <c r="C5401" s="8" t="s">
        <v>9</v>
      </c>
    </row>
    <row r="5402" spans="1:3" x14ac:dyDescent="0.25">
      <c r="A5402" s="8" t="str">
        <f>"6th Aeroacoustics Conference and Exhibit"</f>
        <v>6th Aeroacoustics Conference and Exhibit</v>
      </c>
      <c r="B5402" s="8" t="str">
        <f>"-"</f>
        <v>-</v>
      </c>
      <c r="C5402" s="8" t="s">
        <v>104</v>
      </c>
    </row>
    <row r="5403" spans="1:3" x14ac:dyDescent="0.25">
      <c r="A5403" s="8" t="str">
        <f>"6th AIAA Flow Control Conference 2012"</f>
        <v>6th AIAA Flow Control Conference 2012</v>
      </c>
      <c r="B5403" s="8" t="str">
        <f>"9781624101885"</f>
        <v>9781624101885</v>
      </c>
      <c r="C5403" s="8" t="s">
        <v>104</v>
      </c>
    </row>
    <row r="5404" spans="1:3" x14ac:dyDescent="0.25">
      <c r="A5404" s="8" t="str">
        <f>"6th AIAA Theoretical Fluid Mechanics Conference"</f>
        <v>6th AIAA Theoretical Fluid Mechanics Conference</v>
      </c>
      <c r="B5404" s="8" t="str">
        <f>"9781624101441"</f>
        <v>9781624101441</v>
      </c>
      <c r="C5404" s="8" t="s">
        <v>104</v>
      </c>
    </row>
    <row r="5405" spans="1:3" x14ac:dyDescent="0.25">
      <c r="A5405" s="8" t="str">
        <f>"6th AISB Symposium on Computing and Philosophy: The Scandal of Computation - What is Computation? - AISB Convention 2013"</f>
        <v>6th AISB Symposium on Computing and Philosophy: The Scandal of Computation - What is Computation? - AISB Convention 2013</v>
      </c>
      <c r="B5405" s="8" t="str">
        <f>"9781908187314"</f>
        <v>9781908187314</v>
      </c>
      <c r="C5405" s="8" t="s">
        <v>1465</v>
      </c>
    </row>
    <row r="5406" spans="1:3" x14ac:dyDescent="0.25">
      <c r="A5406" s="8" t="str">
        <f>"6th American Nuclear Society International Topical Meeting on Nuclear Plant Instrumentation, Control, and Human-Machine Interface Technologies 2009"</f>
        <v>6th American Nuclear Society International Topical Meeting on Nuclear Plant Instrumentation, Control, and Human-Machine Interface Technologies 2009</v>
      </c>
      <c r="B5406" s="8" t="str">
        <f>"9781615676958"</f>
        <v>9781615676958</v>
      </c>
      <c r="C5406" s="8" t="s">
        <v>453</v>
      </c>
    </row>
    <row r="5407" spans="1:3" x14ac:dyDescent="0.25">
      <c r="A5407" s="8" t="str">
        <f>"6th Annual IEEE International Conference on Pervasive Computing and Communications, PerCom 2008"</f>
        <v>6th Annual IEEE International Conference on Pervasive Computing and Communications, PerCom 2008</v>
      </c>
      <c r="B5407" s="8" t="str">
        <f>"9780769531137"</f>
        <v>9780769531137</v>
      </c>
      <c r="C5407" s="8" t="s">
        <v>9</v>
      </c>
    </row>
    <row r="5408" spans="1:3" x14ac:dyDescent="0.25">
      <c r="A5408" s="8" t="str">
        <f>"6th Annual International Power Electronics, Drive Systems, and Technologies Conference, PEDSTC 2015"</f>
        <v>6th Annual International Power Electronics, Drive Systems, and Technologies Conference, PEDSTC 2015</v>
      </c>
      <c r="B5408" s="8" t="str">
        <f>"9781479976539"</f>
        <v>9781479976539</v>
      </c>
      <c r="C5408" s="8" t="s">
        <v>105</v>
      </c>
    </row>
    <row r="5409" spans="1:3" x14ac:dyDescent="0.25">
      <c r="A5409" s="8" t="str">
        <f>"6th Annual International Siberian Workshop and Tutorials on Electron Devices and Materials, EDM 2005"</f>
        <v>6th Annual International Siberian Workshop and Tutorials on Electron Devices and Materials, EDM 2005</v>
      </c>
      <c r="B5409" s="8" t="str">
        <f>"-"</f>
        <v>-</v>
      </c>
      <c r="C5409" s="8" t="s">
        <v>9</v>
      </c>
    </row>
    <row r="5410" spans="1:3" x14ac:dyDescent="0.25">
      <c r="A5410" s="8" t="str">
        <f>"6th Annual Simulation Solutions Conference 2004, Conference Proceedings"</f>
        <v>6th Annual Simulation Solutions Conference 2004, Conference Proceedings</v>
      </c>
      <c r="B5410" s="8" t="str">
        <f>"-"</f>
        <v>-</v>
      </c>
      <c r="C5410" s="8" t="s">
        <v>530</v>
      </c>
    </row>
    <row r="5411" spans="1:3" x14ac:dyDescent="0.25">
      <c r="A5411" s="8" t="str">
        <f>"6th Annual SPE Automotive Composites Conference 2006"</f>
        <v>6th Annual SPE Automotive Composites Conference 2006</v>
      </c>
      <c r="B5411" s="8" t="str">
        <f>"-"</f>
        <v>-</v>
      </c>
      <c r="C5411" s="8" t="s">
        <v>671</v>
      </c>
    </row>
    <row r="5412" spans="1:3" x14ac:dyDescent="0.25">
      <c r="A5412" s="8" t="str">
        <f>"6th Asia-Pacific Symposium on Information and Telecommunication Technologies, APSITT 2005 - Proceedings"</f>
        <v>6th Asia-Pacific Symposium on Information and Telecommunication Technologies, APSITT 2005 - Proceedings</v>
      </c>
      <c r="B5412" s="8" t="str">
        <f>"-"</f>
        <v>-</v>
      </c>
      <c r="C5412" s="8" t="s">
        <v>9</v>
      </c>
    </row>
    <row r="5413" spans="1:3" x14ac:dyDescent="0.25">
      <c r="A5413" s="8" t="str">
        <f>"6th Australasian Housing Researchers' Conference, AHRC 2012"</f>
        <v>6th Australasian Housing Researchers' Conference, AHRC 2012</v>
      </c>
      <c r="B5413" s="8" t="str">
        <f>"-"</f>
        <v>-</v>
      </c>
      <c r="C5413" s="8" t="s">
        <v>1566</v>
      </c>
    </row>
    <row r="5414" spans="1:3" x14ac:dyDescent="0.25">
      <c r="A5414" s="8" t="str">
        <f>"6th Baltic Conference on Food Science and Technology: Innovations for Food Science and Production, FOODBALT-2011 - Conference Proceedings"</f>
        <v>6th Baltic Conference on Food Science and Technology: Innovations for Food Science and Production, FOODBALT-2011 - Conference Proceedings</v>
      </c>
      <c r="B5414" s="8" t="str">
        <f>"9789984480459"</f>
        <v>9789984480459</v>
      </c>
      <c r="C5414" s="8" t="s">
        <v>378</v>
      </c>
    </row>
    <row r="5415" spans="1:3" x14ac:dyDescent="0.25">
      <c r="A5415" s="8" t="str">
        <f>"6th Chinese-German Joint Symposium on Hydraulic and Ocean Engineering, CGJOINT 2012"</f>
        <v>6th Chinese-German Joint Symposium on Hydraulic and Ocean Engineering, CGJOINT 2012</v>
      </c>
      <c r="B5415" s="8" t="str">
        <f>"-"</f>
        <v>-</v>
      </c>
      <c r="C5415" s="8" t="s">
        <v>727</v>
      </c>
    </row>
    <row r="5416" spans="1:3" x14ac:dyDescent="0.25">
      <c r="A5416" s="8" t="str">
        <f>"6th Conference on Ph.D. Research in Microelectronics and Electronics, PRIME 2010"</f>
        <v>6th Conference on Ph.D. Research in Microelectronics and Electronics, PRIME 2010</v>
      </c>
      <c r="B5416" s="8" t="str">
        <f>"9783981375404"</f>
        <v>9783981375404</v>
      </c>
      <c r="C5416" s="8" t="s">
        <v>9</v>
      </c>
    </row>
    <row r="5417" spans="1:3" x14ac:dyDescent="0.25">
      <c r="A5417" s="8" t="str">
        <f>"6th ESA Workshop on Satellite Navigation Technologies: Multi-GNSS Navigation Technologies Galileo's Here, NAVITEC 2012 and European Workshop on GNSS Signals and Signal Processing"</f>
        <v>6th ESA Workshop on Satellite Navigation Technologies: Multi-GNSS Navigation Technologies Galileo's Here, NAVITEC 2012 and European Workshop on GNSS Signals and Signal Processing</v>
      </c>
      <c r="B5417" s="8" t="str">
        <f>"9781467320115"</f>
        <v>9781467320115</v>
      </c>
      <c r="C5417" s="8" t="s">
        <v>9</v>
      </c>
    </row>
    <row r="5418" spans="1:3" x14ac:dyDescent="0.25">
      <c r="A5418" s="8" t="str">
        <f>"6th Euro NF Conference on Next Generation Internet, NGI 2010 - Proceedings"</f>
        <v>6th Euro NF Conference on Next Generation Internet, NGI 2010 - Proceedings</v>
      </c>
      <c r="B5418" s="8" t="str">
        <f>"9781424481668"</f>
        <v>9781424481668</v>
      </c>
      <c r="C5418" s="8" t="s">
        <v>9</v>
      </c>
    </row>
    <row r="5419" spans="1:3" x14ac:dyDescent="0.25">
      <c r="A5419" s="8" t="str">
        <f>"6th EUROCONTROL Innovative Research Workshop and Exhibition: Disseminating ATM Innovative Research"</f>
        <v>6th EUROCONTROL Innovative Research Workshop and Exhibition: Disseminating ATM Innovative Research</v>
      </c>
      <c r="B5419" s="8" t="str">
        <f>"-"</f>
        <v>-</v>
      </c>
      <c r="C5419" s="8" t="s">
        <v>1532</v>
      </c>
    </row>
    <row r="5420" spans="1:3" x14ac:dyDescent="0.25">
      <c r="A5420" s="8" t="str">
        <f>"6th Eurographics Italian Chapter Conference 2008 - Proceedings"</f>
        <v>6th Eurographics Italian Chapter Conference 2008 - Proceedings</v>
      </c>
      <c r="B5420" s="8" t="str">
        <f>"9783905673685"</f>
        <v>9783905673685</v>
      </c>
      <c r="C5420" s="8" t="s">
        <v>23</v>
      </c>
    </row>
    <row r="5421" spans="1:3" x14ac:dyDescent="0.25">
      <c r="A5421" s="8" t="str">
        <f>"6th European and African Conference on Wind Engineering, EACWE 2013"</f>
        <v>6th European and African Conference on Wind Engineering, EACWE 2013</v>
      </c>
      <c r="B5421" s="8" t="str">
        <f>"-"</f>
        <v>-</v>
      </c>
      <c r="C5421" s="8" t="s">
        <v>1567</v>
      </c>
    </row>
    <row r="5422" spans="1:3" x14ac:dyDescent="0.25">
      <c r="A5422" s="8" t="str">
        <f>"6th European Conference on Colour in Graphics, Imaging, and Vision 2012, CGIV 2012"</f>
        <v>6th European Conference on Colour in Graphics, Imaging, and Vision 2012, CGIV 2012</v>
      </c>
      <c r="B5422" s="8" t="str">
        <f>"9781622767014"</f>
        <v>9781622767014</v>
      </c>
      <c r="C5422" s="8" t="s">
        <v>415</v>
      </c>
    </row>
    <row r="5423" spans="1:3" x14ac:dyDescent="0.25">
      <c r="A5423" s="8" t="str">
        <f>"6th European Conference on Information Management and Evaluation, ECIME 2012"</f>
        <v>6th European Conference on Information Management and Evaluation, ECIME 2012</v>
      </c>
      <c r="B5423" s="8" t="str">
        <f>"9781622766581"</f>
        <v>9781622766581</v>
      </c>
      <c r="C5423" s="8" t="s">
        <v>394</v>
      </c>
    </row>
    <row r="5424" spans="1:3" x14ac:dyDescent="0.25">
      <c r="A5424" s="8" t="str">
        <f>"6th European Conference on Information Warfare and Security 2007, ECIW 2007"</f>
        <v>6th European Conference on Information Warfare and Security 2007, ECIW 2007</v>
      </c>
      <c r="B5424" s="8" t="str">
        <f>"9781622765324"</f>
        <v>9781622765324</v>
      </c>
      <c r="C5424" s="8" t="s">
        <v>973</v>
      </c>
    </row>
    <row r="5425" spans="1:3" x14ac:dyDescent="0.25">
      <c r="A5425" s="8" t="str">
        <f>"6th FPGAworld Conference, Academic Proceedings 2009"</f>
        <v>6th FPGAworld Conference, Academic Proceedings 2009</v>
      </c>
      <c r="B5425" s="8" t="str">
        <f>"9781605588797"</f>
        <v>9781605588797</v>
      </c>
      <c r="C5425" s="8" t="s">
        <v>21</v>
      </c>
    </row>
    <row r="5426" spans="1:3" x14ac:dyDescent="0.25">
      <c r="A5426" s="8" t="str">
        <f>"6th IASME/WSEAS Int. Conf. on Continuum Mechanics, CM'11, 6th IASME/WSEAS Int. Conf. on Water Resources, Hydraulics and Hydrology, WHH'11, 5th IASME/WSEAS Int. Conf. on Geology and Seismology, GES'11"</f>
        <v>6th IASME/WSEAS Int. Conf. on Continuum Mechanics, CM'11, 6th IASME/WSEAS Int. Conf. on Water Resources, Hydraulics and Hydrology, WHH'11, 5th IASME/WSEAS Int. Conf. on Geology and Seismology, GES'11</v>
      </c>
      <c r="B5426" s="8" t="str">
        <f>"9789604742752"</f>
        <v>9789604742752</v>
      </c>
      <c r="C5426" s="8" t="s">
        <v>553</v>
      </c>
    </row>
    <row r="5427" spans="1:3" x14ac:dyDescent="0.25">
      <c r="A5427" s="8" t="str">
        <f>"6th IASTED International Multi-Conference on Wireless and Optical Communications: Wireless Sensor Networks, WSN 2006"</f>
        <v>6th IASTED International Multi-Conference on Wireless and Optical Communications: Wireless Sensor Networks, WSN 2006</v>
      </c>
      <c r="B5427" s="8" t="str">
        <f>"9780889865631"</f>
        <v>9780889865631</v>
      </c>
      <c r="C5427" s="8" t="s">
        <v>305</v>
      </c>
    </row>
    <row r="5428" spans="1:3" x14ac:dyDescent="0.25">
      <c r="A5428" s="8" t="str">
        <f>"6th IEEE International Conference on Advanced Video and Signal Based Surveillance, AVSS 2009"</f>
        <v>6th IEEE International Conference on Advanced Video and Signal Based Surveillance, AVSS 2009</v>
      </c>
      <c r="B5428" s="8" t="str">
        <f>"9780769537184"</f>
        <v>9780769537184</v>
      </c>
      <c r="C5428" s="8" t="s">
        <v>9</v>
      </c>
    </row>
    <row r="5429" spans="1:3" x14ac:dyDescent="0.25">
      <c r="A5429" s="8" t="str">
        <f>"6th IEEE International Conference on Wireless, Mobile and Ubiquitous Technologies in Education, WMUTE 2010: Mobile Social Media for Learning and Education in Formal and Informal Settings"</f>
        <v>6th IEEE International Conference on Wireless, Mobile and Ubiquitous Technologies in Education, WMUTE 2010: Mobile Social Media for Learning and Education in Formal and Informal Settings</v>
      </c>
      <c r="B5429" s="8" t="str">
        <f>"9780769539928"</f>
        <v>9780769539928</v>
      </c>
      <c r="C5429" s="8" t="s">
        <v>9</v>
      </c>
    </row>
    <row r="5430" spans="1:3" x14ac:dyDescent="0.25">
      <c r="A5430" s="8" t="str">
        <f>"6th Int. Conference on Integrated Modeling and Analysis in Applied Control and Automation, IMAACA 2012, Held at the International Multidisciplinary Modeling and Simulation Multiconference, I3M 2012"</f>
        <v>6th Int. Conference on Integrated Modeling and Analysis in Applied Control and Automation, IMAACA 2012, Held at the International Multidisciplinary Modeling and Simulation Multiconference, I3M 2012</v>
      </c>
      <c r="B5430" s="8" t="str">
        <f>"9781629934839"</f>
        <v>9781629934839</v>
      </c>
      <c r="C5430" s="8" t="s">
        <v>1200</v>
      </c>
    </row>
    <row r="5431" spans="1:3" x14ac:dyDescent="0.25">
      <c r="A5431" s="8" t="str">
        <f>"6th Int. Congress on the Science and Technology of Ironmaking 2012, ICSTI 2012 - Including Proceedings from the 42nd Ironmaking and Raw Materials Seminar, and the 13th Brazilian Symp. on Iron Ore"</f>
        <v>6th Int. Congress on the Science and Technology of Ironmaking 2012, ICSTI 2012 - Including Proceedings from the 42nd Ironmaking and Raw Materials Seminar, and the 13th Brazilian Symp. on Iron Ore</v>
      </c>
      <c r="B5431" s="8" t="str">
        <f>"9781627480215"</f>
        <v>9781627480215</v>
      </c>
      <c r="C5431" s="8" t="s">
        <v>1563</v>
      </c>
    </row>
    <row r="5432" spans="1:3" x14ac:dyDescent="0.25">
      <c r="A5432" s="8" t="str">
        <f>"6th International Advanced Automotive Battery and Ultracapacitor Conference, AABC"</f>
        <v>6th International Advanced Automotive Battery and Ultracapacitor Conference, AABC</v>
      </c>
      <c r="B5432" s="8" t="str">
        <f>"-"</f>
        <v>-</v>
      </c>
      <c r="C5432" s="8" t="s">
        <v>1242</v>
      </c>
    </row>
    <row r="5433" spans="1:3" x14ac:dyDescent="0.25">
      <c r="A5433" s="8" t="str">
        <f>"6th International CIGR Technical Symposium - Towards a Sustainable Food Chain: Food Process, Bioprocessing and Food Quality Management"</f>
        <v>6th International CIGR Technical Symposium - Towards a Sustainable Food Chain: Food Process, Bioprocessing and Food Quality Management</v>
      </c>
      <c r="B5433" s="8" t="str">
        <f>"-"</f>
        <v>-</v>
      </c>
      <c r="C5433" s="8" t="s">
        <v>1560</v>
      </c>
    </row>
    <row r="5434" spans="1:3" x14ac:dyDescent="0.25">
      <c r="A5434" s="8" t="str">
        <f>"6th International Conference for Conveying and Handling of Particulate Solids 2009 (CHoPS 2009) with the 10th ICBMH and BULKEX 2009: Integrating Scientific and Industry Communities"</f>
        <v>6th International Conference for Conveying and Handling of Particulate Solids 2009 (CHoPS 2009) with the 10th ICBMH and BULKEX 2009: Integrating Scientific and Industry Communities</v>
      </c>
      <c r="B5434" s="8" t="str">
        <f>"9781622764327"</f>
        <v>9781622764327</v>
      </c>
      <c r="C5434" s="8" t="s">
        <v>1271</v>
      </c>
    </row>
    <row r="5435" spans="1:3" x14ac:dyDescent="0.25">
      <c r="A5435" s="8" t="str">
        <f>"6th International Conference on Advanced Communication Technology: Broadband Convergence Network Infrastructure"</f>
        <v>6th International Conference on Advanced Communication Technology: Broadband Convergence Network Infrastructure</v>
      </c>
      <c r="B5435" s="8" t="str">
        <f>"9788955191196"</f>
        <v>9788955191196</v>
      </c>
      <c r="C5435" s="8" t="s">
        <v>105</v>
      </c>
    </row>
    <row r="5436" spans="1:3" x14ac:dyDescent="0.25">
      <c r="A5436" s="8" t="str">
        <f>"6th International Conference on Autonomic and Autonomous Systems, ICAS 2010"</f>
        <v>6th International Conference on Autonomic and Autonomous Systems, ICAS 2010</v>
      </c>
      <c r="B5436" s="8" t="str">
        <f>"9780769539706"</f>
        <v>9780769539706</v>
      </c>
      <c r="C5436" s="8" t="s">
        <v>9</v>
      </c>
    </row>
    <row r="5437" spans="1:3" x14ac:dyDescent="0.25">
      <c r="A5437" s="8" t="str">
        <f>"6th International Conference on Design and Technology of Integrated Systems in Nanoscale Era, DTIS'11 - Technical Program"</f>
        <v>6th International Conference on Design and Technology of Integrated Systems in Nanoscale Era, DTIS'11 - Technical Program</v>
      </c>
      <c r="B5437" s="8" t="str">
        <f>"9781612848990"</f>
        <v>9781612848990</v>
      </c>
      <c r="C5437" s="8" t="s">
        <v>9</v>
      </c>
    </row>
    <row r="5438" spans="1:3" x14ac:dyDescent="0.25">
      <c r="A5438" s="8" t="str">
        <f>"6th International Conference on Electrical and Control Technologies, ECT 2011"</f>
        <v>6th International Conference on Electrical and Control Technologies, ECT 2011</v>
      </c>
      <c r="B5438" s="8" t="str">
        <f>"9781634398008"</f>
        <v>9781634398008</v>
      </c>
      <c r="C5438" s="8" t="s">
        <v>1140</v>
      </c>
    </row>
    <row r="5439" spans="1:3" x14ac:dyDescent="0.25">
      <c r="A5439" s="8" t="str">
        <f>"6th International Conference on Environmental Informatics, ISEIS 2007"</f>
        <v>6th International Conference on Environmental Informatics, ISEIS 2007</v>
      </c>
      <c r="B5439" s="8" t="str">
        <f>"-"</f>
        <v>-</v>
      </c>
      <c r="C5439" s="8" t="s">
        <v>1535</v>
      </c>
    </row>
    <row r="5440" spans="1:3" x14ac:dyDescent="0.25">
      <c r="A5440" s="8" t="str">
        <f>"6th International Conference on Fuzzy Systems and Knowledge Discovery, FSKD 2009"</f>
        <v>6th International Conference on Fuzzy Systems and Knowledge Discovery, FSKD 2009</v>
      </c>
      <c r="B5440" s="8" t="str">
        <f>"9780769537351"</f>
        <v>9780769537351</v>
      </c>
      <c r="C5440" s="8" t="s">
        <v>9</v>
      </c>
    </row>
    <row r="5441" spans="1:3" x14ac:dyDescent="0.25">
      <c r="A5441" s="8" t="str">
        <f>"6th International Conference on Information Technology and Applications, ICITA 2009"</f>
        <v>6th International Conference on Information Technology and Applications, ICITA 2009</v>
      </c>
      <c r="B5441" s="8" t="str">
        <f>"9789810830298"</f>
        <v>9789810830298</v>
      </c>
      <c r="C5441" s="8" t="s">
        <v>1568</v>
      </c>
    </row>
    <row r="5442" spans="1:3" x14ac:dyDescent="0.25">
      <c r="A5442" s="8" t="str">
        <f>"6th International Conference on Information Warfare and Security, ICIW 2011"</f>
        <v>6th International Conference on Information Warfare and Security, ICIW 2011</v>
      </c>
      <c r="B5442" s="8" t="str">
        <f>"9781622766758"</f>
        <v>9781622766758</v>
      </c>
      <c r="C5442" s="8" t="s">
        <v>394</v>
      </c>
    </row>
    <row r="5443" spans="1:3" x14ac:dyDescent="0.25">
      <c r="A5443" s="8" t="str">
        <f>"6th International Conference on Intelligent Games and Simulation, GAME-ON 2005"</f>
        <v>6th International Conference on Intelligent Games and Simulation, GAME-ON 2005</v>
      </c>
      <c r="B5443" s="8" t="str">
        <f>"9789077381236"</f>
        <v>9789077381236</v>
      </c>
      <c r="C5443" s="8" t="s">
        <v>1206</v>
      </c>
    </row>
    <row r="5444" spans="1:3" x14ac:dyDescent="0.25">
      <c r="A5444" s="8" t="str">
        <f>"6th International Conference on Lead-Acid Batteries, LABAT 2005 - Proceedings"</f>
        <v>6th International Conference on Lead-Acid Batteries, LABAT 2005 - Proceedings</v>
      </c>
      <c r="B5444" s="8" t="str">
        <f>"-"</f>
        <v>-</v>
      </c>
      <c r="C5444" s="8" t="s">
        <v>1569</v>
      </c>
    </row>
    <row r="5445" spans="1:3" x14ac:dyDescent="0.25">
      <c r="A5445" s="8" t="str">
        <f>"6th International Conference on Maintenance and Rehabilitation of Pavements and Technological Control, MAIREPAV 2009"</f>
        <v>6th International Conference on Maintenance and Rehabilitation of Pavements and Technological Control, MAIREPAV 2009</v>
      </c>
      <c r="B5445" s="8" t="str">
        <f>"-"</f>
        <v>-</v>
      </c>
      <c r="C5445" s="8" t="s">
        <v>1536</v>
      </c>
    </row>
    <row r="5446" spans="1:3" x14ac:dyDescent="0.25">
      <c r="A5446" s="8" t="str">
        <f>"6th International Conference on Measurement, MEASUREMENT 2007 - Proceedings"</f>
        <v>6th International Conference on Measurement, MEASUREMENT 2007 - Proceedings</v>
      </c>
      <c r="B5446" s="8" t="str">
        <f>"9788096967209"</f>
        <v>9788096967209</v>
      </c>
      <c r="C5446" s="8" t="s">
        <v>862</v>
      </c>
    </row>
    <row r="5447" spans="1:3" x14ac:dyDescent="0.25">
      <c r="A5447" s="8" t="str">
        <f>"6th International Conference on Modeling, Simulation, and Applied Optimization, ICMSAO 2015 - Dedicated to the Memory of Late Ibrahim El-Sadek"</f>
        <v>6th International Conference on Modeling, Simulation, and Applied Optimization, ICMSAO 2015 - Dedicated to the Memory of Late Ibrahim El-Sadek</v>
      </c>
      <c r="B5447" s="8" t="str">
        <f>"9781467366014"</f>
        <v>9781467366014</v>
      </c>
      <c r="C5447" s="8" t="s">
        <v>105</v>
      </c>
    </row>
    <row r="5448" spans="1:3" x14ac:dyDescent="0.25">
      <c r="A5448" s="8" t="str">
        <f>"6th International Conference on Networking and Services, ICNS 2010, Includes LMPCNA 2010; INTENSIVE 2010"</f>
        <v>6th International Conference on Networking and Services, ICNS 2010, Includes LMPCNA 2010; INTENSIVE 2010</v>
      </c>
      <c r="B5448" s="8" t="str">
        <f>"9780769539690"</f>
        <v>9780769539690</v>
      </c>
      <c r="C5448" s="8" t="s">
        <v>9</v>
      </c>
    </row>
    <row r="5449" spans="1:3" x14ac:dyDescent="0.25">
      <c r="A5449" s="8" t="str">
        <f>"6th International Conference on Queueing Theory and Network Applications, QTNA 2011 - Proceedings"</f>
        <v>6th International Conference on Queueing Theory and Network Applications, QTNA 2011 - Proceedings</v>
      </c>
      <c r="B5449" s="8" t="str">
        <f>"9781450307581"</f>
        <v>9781450307581</v>
      </c>
      <c r="C5449" s="8" t="s">
        <v>21</v>
      </c>
    </row>
    <row r="5450" spans="1:3" x14ac:dyDescent="0.25">
      <c r="A5450" s="8" t="str">
        <f>"6th International Conference on Risks and Security of Internet and Systems, CRiSIS 2011"</f>
        <v>6th International Conference on Risks and Security of Internet and Systems, CRiSIS 2011</v>
      </c>
      <c r="B5450" s="8" t="str">
        <f>"9781457718915"</f>
        <v>9781457718915</v>
      </c>
      <c r="C5450" s="8" t="s">
        <v>9</v>
      </c>
    </row>
    <row r="5451" spans="1:3" x14ac:dyDescent="0.25">
      <c r="A5451" s="8" t="str">
        <f>"6th International Conference on Signal Processing and Communication Systems, ICSPCS 2012 - Proceedings"</f>
        <v>6th International Conference on Signal Processing and Communication Systems, ICSPCS 2012 - Proceedings</v>
      </c>
      <c r="B5451" s="8" t="str">
        <f>"9781467323932"</f>
        <v>9781467323932</v>
      </c>
      <c r="C5451" s="8" t="s">
        <v>9</v>
      </c>
    </row>
    <row r="5452" spans="1:3" x14ac:dyDescent="0.25">
      <c r="A5452" s="8" t="str">
        <f>"6th International Conference on Simulation and Modelling in the Food and Bio-Industry 2010, FOODSIM 2010"</f>
        <v>6th International Conference on Simulation and Modelling in the Food and Bio-Industry 2010, FOODSIM 2010</v>
      </c>
      <c r="B5452" s="8" t="str">
        <f>"-"</f>
        <v>-</v>
      </c>
      <c r="C5452" s="8" t="s">
        <v>1206</v>
      </c>
    </row>
    <row r="5453" spans="1:3" x14ac:dyDescent="0.25">
      <c r="A5453" s="8" t="str">
        <f>"6th International Conference on Soft Computing and Intelligent Systems, and 13th International Symposium on Advanced Intelligence Systems, SCIS/ISIS 2012"</f>
        <v>6th International Conference on Soft Computing and Intelligent Systems, and 13th International Symposium on Advanced Intelligence Systems, SCIS/ISIS 2012</v>
      </c>
      <c r="B5453" s="8" t="str">
        <f>"9781467327428"</f>
        <v>9781467327428</v>
      </c>
      <c r="C5453" s="8" t="s">
        <v>9</v>
      </c>
    </row>
    <row r="5454" spans="1:3" x14ac:dyDescent="0.25">
      <c r="A5454" s="8" t="str">
        <f>"6th International Conference on Soft Computing and Pattern Recognition, SoCPaR 2014"</f>
        <v>6th International Conference on Soft Computing and Pattern Recognition, SoCPaR 2014</v>
      </c>
      <c r="B5454" s="8" t="str">
        <f>"9781479959341"</f>
        <v>9781479959341</v>
      </c>
      <c r="C5454" s="8" t="s">
        <v>105</v>
      </c>
    </row>
    <row r="5455" spans="1:3" x14ac:dyDescent="0.25">
      <c r="A5455" s="8" t="str">
        <f>"6th International Conference on Thermal Engineering Theory and Applications"</f>
        <v>6th International Conference on Thermal Engineering Theory and Applications</v>
      </c>
      <c r="B5455" s="8" t="str">
        <f>"9781926769080"</f>
        <v>9781926769080</v>
      </c>
      <c r="C5455" s="8" t="s">
        <v>1570</v>
      </c>
    </row>
    <row r="5456" spans="1:3" x14ac:dyDescent="0.25">
      <c r="A5456" s="8" t="str">
        <f>"6th International Energy Conversion Engineering Conference, IECEC"</f>
        <v>6th International Energy Conversion Engineering Conference, IECEC</v>
      </c>
      <c r="B5456" s="8" t="str">
        <f>"9781563479441"</f>
        <v>9781563479441</v>
      </c>
      <c r="C5456" s="8" t="s">
        <v>104</v>
      </c>
    </row>
    <row r="5457" spans="1:3" x14ac:dyDescent="0.25">
      <c r="A5457" s="8" t="str">
        <f>"6th International IEEE Conference on Polymers and Adhesives in Microelectronics and Photonics, Polytronic 2007, Proceedings"</f>
        <v>6th International IEEE Conference on Polymers and Adhesives in Microelectronics and Photonics, Polytronic 2007, Proceedings</v>
      </c>
      <c r="B5457" s="8" t="str">
        <f>"9781424411863"</f>
        <v>9781424411863</v>
      </c>
      <c r="C5457" s="8" t="s">
        <v>9</v>
      </c>
    </row>
    <row r="5458" spans="1:3" x14ac:dyDescent="0.25">
      <c r="A5458" s="8" t="str">
        <f>"6th International Industrial Simulation Conference 2008, ISC 2008"</f>
        <v>6th International Industrial Simulation Conference 2008, ISC 2008</v>
      </c>
      <c r="B5458" s="8" t="str">
        <f>"9789077381403"</f>
        <v>9789077381403</v>
      </c>
      <c r="C5458" s="8" t="s">
        <v>1206</v>
      </c>
    </row>
    <row r="5459" spans="1:3" x14ac:dyDescent="0.25">
      <c r="A5459" s="8" t="str">
        <f>"6th International North-American Conference on Intelligent Games and Simulation 2011, Game-On 'NA 2009, 3rd International North American Simulation Technology Conference, NASTEC 2011"</f>
        <v>6th International North-American Conference on Intelligent Games and Simulation 2011, Game-On 'NA 2009, 3rd International North American Simulation Technology Conference, NASTEC 2011</v>
      </c>
      <c r="B5459" s="8" t="str">
        <f>"9789077381656"</f>
        <v>9789077381656</v>
      </c>
      <c r="C5459" s="8" t="s">
        <v>1206</v>
      </c>
    </row>
    <row r="5460" spans="1:3" x14ac:dyDescent="0.25">
      <c r="A5460" s="8" t="str">
        <f>"6th International Operational Modal Analysis Conference, IOMAC 2015"</f>
        <v>6th International Operational Modal Analysis Conference, IOMAC 2015</v>
      </c>
      <c r="B5460" s="8" t="str">
        <f>"9788461738809"</f>
        <v>9788461738809</v>
      </c>
      <c r="C5460" s="8" t="s">
        <v>1538</v>
      </c>
    </row>
    <row r="5461" spans="1:3" x14ac:dyDescent="0.25">
      <c r="A5461" s="8" t="str">
        <f>"6th International Scientific Conference on Modern Management of Mine Producing, Geology and Environmental protection, SGEM 2006"</f>
        <v>6th International Scientific Conference on Modern Management of Mine Producing, Geology and Environmental protection, SGEM 2006</v>
      </c>
      <c r="B5461" s="8" t="str">
        <f>"-"</f>
        <v>-</v>
      </c>
      <c r="C5461" s="8" t="s">
        <v>606</v>
      </c>
    </row>
    <row r="5462" spans="1:3" x14ac:dyDescent="0.25">
      <c r="A5462" s="8" t="str">
        <f>"6th International SPICE Conference on Software Process Improvement and Capability Determination, SPICE 2006"</f>
        <v>6th International SPICE Conference on Software Process Improvement and Capability Determination, SPICE 2006</v>
      </c>
      <c r="B5462" s="8" t="str">
        <f>"-"</f>
        <v>-</v>
      </c>
      <c r="C5462" s="8" t="s">
        <v>1571</v>
      </c>
    </row>
    <row r="5463" spans="1:3" x14ac:dyDescent="0.25">
      <c r="A5463" s="8" t="str">
        <f>"6th International Symposium on High Capacity Optical Networks and Enabling Technologies, HONET '09"</f>
        <v>6th International Symposium on High Capacity Optical Networks and Enabling Technologies, HONET '09</v>
      </c>
      <c r="B5463" s="8" t="str">
        <f>"9781424459957"</f>
        <v>9781424459957</v>
      </c>
      <c r="C5463" s="8" t="s">
        <v>9</v>
      </c>
    </row>
    <row r="5464" spans="1:3" x14ac:dyDescent="0.25">
      <c r="A5464" s="8" t="str">
        <f>"6th International Symposium on Turbo Codes and Iterative Information Processing, ISTC 2010"</f>
        <v>6th International Symposium on Turbo Codes and Iterative Information Processing, ISTC 2010</v>
      </c>
      <c r="B5464" s="8" t="str">
        <f>"9781424467457"</f>
        <v>9781424467457</v>
      </c>
      <c r="C5464" s="8" t="s">
        <v>9</v>
      </c>
    </row>
    <row r="5465" spans="1:3" x14ac:dyDescent="0.25">
      <c r="A5465" s="8" t="str">
        <f>"6th International Symposium on Voronoi Diagrams in Science and Engineering, ISVD 2009"</f>
        <v>6th International Symposium on Voronoi Diagrams in Science and Engineering, ISVD 2009</v>
      </c>
      <c r="B5465" s="8" t="str">
        <f>"9780769537818"</f>
        <v>9780769537818</v>
      </c>
      <c r="C5465" s="8" t="s">
        <v>9</v>
      </c>
    </row>
    <row r="5466" spans="1:3" x14ac:dyDescent="0.25">
      <c r="A5466" s="8" t="str">
        <f>"6th International Workshop for Technical, Economic and Legal Aspects of Business Models for Virtual Goods, Incorporating the 4th International Open Digital Rights Language Workshop, ODRL 2008"</f>
        <v>6th International Workshop for Technical, Economic and Legal Aspects of Business Models for Virtual Goods, Incorporating the 4th International Open Digital Rights Language Workshop, ODRL 2008</v>
      </c>
      <c r="B5466" s="8" t="str">
        <f>"9788374173612"</f>
        <v>9788374173612</v>
      </c>
      <c r="C5466" s="8" t="s">
        <v>1572</v>
      </c>
    </row>
    <row r="5467" spans="1:3" x14ac:dyDescent="0.25">
      <c r="A5467" s="8" t="str">
        <f>"6th International Workshop on Constraints in Software Testing, Verification, and Analysis, CSTVA 2014 - Proceedings"</f>
        <v>6th International Workshop on Constraints in Software Testing, Verification, and Analysis, CSTVA 2014 - Proceedings</v>
      </c>
      <c r="B5467" s="8" t="str">
        <f>"9781450328470"</f>
        <v>9781450328470</v>
      </c>
      <c r="C5467" s="8" t="s">
        <v>1235</v>
      </c>
    </row>
    <row r="5468" spans="1:3" x14ac:dyDescent="0.25">
      <c r="A5468" s="8" t="str">
        <f>"6th International Workshop on Data Management on New Hardware, DaMoN 2010, in Conjunction with ACM SIGMOD/PODS Conference"</f>
        <v>6th International Workshop on Data Management on New Hardware, DaMoN 2010, in Conjunction with ACM SIGMOD/PODS Conference</v>
      </c>
      <c r="B5468" s="8" t="str">
        <f>"9781450301893"</f>
        <v>9781450301893</v>
      </c>
      <c r="C5468" s="8" t="s">
        <v>21</v>
      </c>
    </row>
    <row r="5469" spans="1:3" x14ac:dyDescent="0.25">
      <c r="A5469" s="8" t="str">
        <f>"6th International Workshop on Modeling in Software Engineering, MiSE 2014 - Proceedings"</f>
        <v>6th International Workshop on Modeling in Software Engineering, MiSE 2014 - Proceedings</v>
      </c>
      <c r="B5469" s="8" t="str">
        <f>"9781450328494"</f>
        <v>9781450328494</v>
      </c>
      <c r="C5469" s="8" t="s">
        <v>1235</v>
      </c>
    </row>
    <row r="5470" spans="1:3" x14ac:dyDescent="0.25">
      <c r="A5470" s="8" t="str">
        <f>"6th International Workshop on Principles of Engineering Service-Oriented and Cloud Systems, PESOS 2014 - Proceedings"</f>
        <v>6th International Workshop on Principles of Engineering Service-Oriented and Cloud Systems, PESOS 2014 - Proceedings</v>
      </c>
      <c r="B5470" s="8" t="str">
        <f>"9781450328418"</f>
        <v>9781450328418</v>
      </c>
      <c r="C5470" s="8" t="s">
        <v>1235</v>
      </c>
    </row>
    <row r="5471" spans="1:3" x14ac:dyDescent="0.25">
      <c r="A5471" s="8" t="str">
        <f>"6th International Workshop on Reconfigurable Communication-Centric Systems-on-Chip, ReCoSoC 2011 - Proceedings"</f>
        <v>6th International Workshop on Reconfigurable Communication-Centric Systems-on-Chip, ReCoSoC 2011 - Proceedings</v>
      </c>
      <c r="B5471" s="8" t="str">
        <f>"9781457706424"</f>
        <v>9781457706424</v>
      </c>
      <c r="C5471" s="8" t="s">
        <v>9</v>
      </c>
    </row>
    <row r="5472" spans="1:3" x14ac:dyDescent="0.25">
      <c r="A5472" s="8" t="str">
        <f>"6th International Workshop on Security Measurements and Metrics, MetriSec 2010"</f>
        <v>6th International Workshop on Security Measurements and Metrics, MetriSec 2010</v>
      </c>
      <c r="B5472" s="8" t="str">
        <f>"9781450303408"</f>
        <v>9781450303408</v>
      </c>
      <c r="C5472" s="8" t="s">
        <v>21</v>
      </c>
    </row>
    <row r="5473" spans="1:3" x14ac:dyDescent="0.25">
      <c r="A5473" s="8" t="str">
        <f>"6th International Workshop on Social Software Engineering, SSE 2014 - Proceedings"</f>
        <v>6th International Workshop on Social Software Engineering, SSE 2014 - Proceedings</v>
      </c>
      <c r="B5473" s="8" t="str">
        <f>"9781450332279"</f>
        <v>9781450332279</v>
      </c>
      <c r="C5473" s="8" t="s">
        <v>1235</v>
      </c>
    </row>
    <row r="5474" spans="1:3" x14ac:dyDescent="0.25">
      <c r="A5474" s="8" t="str">
        <f>"6th International Workshop on Visualization for Cyber Security 2009, VizSec 2009 - Proceedings"</f>
        <v>6th International Workshop on Visualization for Cyber Security 2009, VizSec 2009 - Proceedings</v>
      </c>
      <c r="B5474" s="8" t="str">
        <f>"9781424454136"</f>
        <v>9781424454136</v>
      </c>
      <c r="C5474" s="8" t="s">
        <v>9</v>
      </c>
    </row>
    <row r="5475" spans="1:3" x14ac:dyDescent="0.25">
      <c r="A5475" s="8" t="str">
        <f>"6th Joint Meeting of the European Software Engineering Conference and the ACM SIGSOFT Symposium on the Foundations of Software Engineering, ESEC/FSE 2007"</f>
        <v>6th Joint Meeting of the European Software Engineering Conference and the ACM SIGSOFT Symposium on the Foundations of Software Engineering, ESEC/FSE 2007</v>
      </c>
      <c r="B5475" s="8" t="str">
        <f>"9781595938114"</f>
        <v>9781595938114</v>
      </c>
      <c r="C5475" s="8" t="s">
        <v>21</v>
      </c>
    </row>
    <row r="5476" spans="1:3" x14ac:dyDescent="0.25">
      <c r="A5476" s="8" t="str">
        <f>"6th Saint Petersburg International Conference and Exhibition on Geosciences 2014: Investing in the Future"</f>
        <v>6th Saint Petersburg International Conference and Exhibition on Geosciences 2014: Investing in the Future</v>
      </c>
      <c r="B5476" s="8" t="str">
        <f>"9781632665393"</f>
        <v>9781632665393</v>
      </c>
      <c r="C5476" s="8" t="s">
        <v>1251</v>
      </c>
    </row>
    <row r="5477" spans="1:3" x14ac:dyDescent="0.25">
      <c r="A5477" s="8" t="str">
        <f>"6th Southern Programmable Logic Conference, SPL 2010 - Proceedings"</f>
        <v>6th Southern Programmable Logic Conference, SPL 2010 - Proceedings</v>
      </c>
      <c r="B5477" s="8" t="str">
        <f>"9781424470891"</f>
        <v>9781424470891</v>
      </c>
      <c r="C5477" s="8" t="s">
        <v>9</v>
      </c>
    </row>
    <row r="5478" spans="1:3" x14ac:dyDescent="0.25">
      <c r="A5478" s="8" t="str">
        <f>"6th Topical Conference on Natural Gas Utilization 2006, Held at the 2006 AIChE Spring National Meeting"</f>
        <v>6th Topical Conference on Natural Gas Utilization 2006, Held at the 2006 AIChE Spring National Meeting</v>
      </c>
      <c r="B5478" s="8" t="str">
        <f>"9781604235265"</f>
        <v>9781604235265</v>
      </c>
      <c r="C5478" s="8" t="s">
        <v>1219</v>
      </c>
    </row>
    <row r="5479" spans="1:3" x14ac:dyDescent="0.25">
      <c r="A5479" s="8" t="str">
        <f>"6th World Congress in Industrial Process Tomography"</f>
        <v>6th World Congress in Industrial Process Tomography</v>
      </c>
      <c r="B5479" s="8" t="str">
        <f>"9780853163220"</f>
        <v>9780853163220</v>
      </c>
      <c r="C5479" s="8" t="s">
        <v>1328</v>
      </c>
    </row>
    <row r="5480" spans="1:3" x14ac:dyDescent="0.25">
      <c r="A5480" s="8" t="str">
        <f>"6th WSEAS Int. Conf. on Applied and Theoretical Mechanics, MECHANICS'10, Int. Conf. on Automotive and Transportation Systems, ICAT'10, Int. Conf. on Arts and Culture, ICAC'10"</f>
        <v>6th WSEAS Int. Conf. on Applied and Theoretical Mechanics, MECHANICS'10, Int. Conf. on Automotive and Transportation Systems, ICAT'10, Int. Conf. on Arts and Culture, ICAC'10</v>
      </c>
      <c r="B5480" s="8" t="str">
        <f>"9789604742646"</f>
        <v>9789604742646</v>
      </c>
      <c r="C5480" s="8" t="s">
        <v>553</v>
      </c>
    </row>
    <row r="5481" spans="1:3" x14ac:dyDescent="0.25">
      <c r="A5481" s="8" t="str">
        <f>"6th WSEAS Int. Conf. on Cellular and Molecular Biology, Biophys. and Bioeng., BIO'10, 8th WSEAS Int. Conf. on Environ., Ecosystems and Dev., EED'10, Int. Conf. on Biosci. and Bioinformatics, ICBB'10"</f>
        <v>6th WSEAS Int. Conf. on Cellular and Molecular Biology, Biophys. and Bioeng., BIO'10, 8th WSEAS Int. Conf. on Environ., Ecosystems and Dev., EED'10, Int. Conf. on Biosci. and Bioinformatics, ICBB'10</v>
      </c>
      <c r="B5481" s="8" t="str">
        <f>"9789604742615"</f>
        <v>9789604742615</v>
      </c>
      <c r="C5481" s="8" t="s">
        <v>553</v>
      </c>
    </row>
    <row r="5482" spans="1:3" x14ac:dyDescent="0.25">
      <c r="A5482" s="8" t="str">
        <f>"6th WSEAS International Conference on Dynamical Systems and Control, CONTROL '10"</f>
        <v>6th WSEAS International Conference on Dynamical Systems and Control, CONTROL '10</v>
      </c>
      <c r="B5482" s="8" t="str">
        <f>"9789604741854"</f>
        <v>9789604741854</v>
      </c>
      <c r="C5482" s="8" t="s">
        <v>553</v>
      </c>
    </row>
    <row r="5483" spans="1:3" x14ac:dyDescent="0.25">
      <c r="A5483" s="8" t="str">
        <f>"70th EAGE Conference and Exhibition incorporating SPE EUROPEC 2008"</f>
        <v>70th EAGE Conference and Exhibition incorporating SPE EUROPEC 2008</v>
      </c>
      <c r="B5483" s="8" t="str">
        <f>"9781605604749"</f>
        <v>9781605604749</v>
      </c>
      <c r="C5483" s="8" t="s">
        <v>671</v>
      </c>
    </row>
    <row r="5484" spans="1:3" x14ac:dyDescent="0.25">
      <c r="A5484" s="8" t="str">
        <f>"70th International Conference on Mass Properties 2011"</f>
        <v>70th International Conference on Mass Properties 2011</v>
      </c>
      <c r="B5484" s="8" t="str">
        <f>"9781618392824"</f>
        <v>9781618392824</v>
      </c>
      <c r="C5484" s="8" t="s">
        <v>1564</v>
      </c>
    </row>
    <row r="5485" spans="1:3" x14ac:dyDescent="0.25">
      <c r="A5485" s="8" t="str">
        <f>"70th World Foundry Congress 2012, WFC 2012"</f>
        <v>70th World Foundry Congress 2012, WFC 2012</v>
      </c>
      <c r="B5485" s="8" t="str">
        <f>"9781622763825"</f>
        <v>9781622763825</v>
      </c>
      <c r="C5485" s="8" t="s">
        <v>1565</v>
      </c>
    </row>
    <row r="5486" spans="1:3" x14ac:dyDescent="0.25">
      <c r="A5486" s="8" t="str">
        <f>"71st EAGE Conference and Exhibition incorporating SPE EUROPEC 2009"</f>
        <v>71st EAGE Conference and Exhibition incorporating SPE EUROPEC 2009</v>
      </c>
      <c r="B5486" s="8" t="str">
        <f>"9781615672363"</f>
        <v>9781615672363</v>
      </c>
      <c r="C5486" s="8" t="s">
        <v>671</v>
      </c>
    </row>
    <row r="5487" spans="1:3" x14ac:dyDescent="0.25">
      <c r="A5487" s="8" t="str">
        <f>"71st World Foundry Congress: Advanced Sustainable Foundry, WFC 2014"</f>
        <v>71st World Foundry Congress: Advanced Sustainable Foundry, WFC 2014</v>
      </c>
      <c r="B5487" s="8" t="str">
        <f>"9788461700875"</f>
        <v>9788461700875</v>
      </c>
      <c r="C5487" s="8" t="s">
        <v>1565</v>
      </c>
    </row>
    <row r="5488" spans="1:3" x14ac:dyDescent="0.25">
      <c r="A5488" s="8" t="str">
        <f>"72nd EAGE Conference and Exhibition incorporating SPE EUROPEC 2010"</f>
        <v>72nd EAGE Conference and Exhibition incorporating SPE EUROPEC 2010</v>
      </c>
      <c r="B5488" s="8" t="str">
        <f>"9781617386671"</f>
        <v>9781617386671</v>
      </c>
      <c r="C5488" s="8" t="s">
        <v>671</v>
      </c>
    </row>
    <row r="5489" spans="1:3" x14ac:dyDescent="0.25">
      <c r="A5489" s="8" t="str">
        <f>"72nd European Association of Geoscientists and Engineers Conference and Exhibition Incorporating SPE EUROPEC 2010, Workshops"</f>
        <v>72nd European Association of Geoscientists and Engineers Conference and Exhibition Incorporating SPE EUROPEC 2010, Workshops</v>
      </c>
      <c r="B5489" s="8" t="str">
        <f>"9781618392244"</f>
        <v>9781618392244</v>
      </c>
      <c r="C5489" s="8" t="s">
        <v>1251</v>
      </c>
    </row>
    <row r="5490" spans="1:3" x14ac:dyDescent="0.25">
      <c r="A5490" s="8" t="str">
        <f>"72nd International Conference on Mass Properties Engineering 2013"</f>
        <v>72nd International Conference on Mass Properties Engineering 2013</v>
      </c>
      <c r="B5490" s="8" t="str">
        <f>"9781629936147"</f>
        <v>9781629936147</v>
      </c>
      <c r="C5490" s="8" t="s">
        <v>1564</v>
      </c>
    </row>
    <row r="5491" spans="1:3" x14ac:dyDescent="0.25">
      <c r="A5491" s="8" t="str">
        <f>"73rd Annual Conference of the Society of Allied Weight Engineers, Inc., SAWE 2014"</f>
        <v>73rd Annual Conference of the Society of Allied Weight Engineers, Inc., SAWE 2014</v>
      </c>
      <c r="B5491" s="8" t="str">
        <f>"-"</f>
        <v>-</v>
      </c>
      <c r="C5491" s="8" t="s">
        <v>1564</v>
      </c>
    </row>
    <row r="5492" spans="1:3" x14ac:dyDescent="0.25">
      <c r="A5492" s="8" t="str">
        <f>"73rd ARFTG Microwave Measurement Conference Spring 2009 - Practical Applications of Nonlinear Measurements"</f>
        <v>73rd ARFTG Microwave Measurement Conference Spring 2009 - Practical Applications of Nonlinear Measurements</v>
      </c>
      <c r="B5492" s="8" t="str">
        <f>"9781424434435"</f>
        <v>9781424434435</v>
      </c>
      <c r="C5492" s="8" t="s">
        <v>9</v>
      </c>
    </row>
    <row r="5493" spans="1:3" x14ac:dyDescent="0.25">
      <c r="A5493" s="8" t="str">
        <f>"73rd EAGE Conference and Exhibition incorporating SPE EUROPEC 2011"</f>
        <v>73rd EAGE Conference and Exhibition incorporating SPE EUROPEC 2011</v>
      </c>
      <c r="B5493" s="8" t="str">
        <f>"9781617829666"</f>
        <v>9781617829666</v>
      </c>
      <c r="C5493" s="8" t="s">
        <v>671</v>
      </c>
    </row>
    <row r="5494" spans="1:3" x14ac:dyDescent="0.25">
      <c r="A5494" s="8" t="str">
        <f>"73rd European Association of Geoscientists and Engineers Conference and Exhibition Incorporating SPE EUROPEC 2011, Workshops"</f>
        <v>73rd European Association of Geoscientists and Engineers Conference and Exhibition Incorporating SPE EUROPEC 2011, Workshops</v>
      </c>
      <c r="B5494" s="8" t="str">
        <f>"9781618392718"</f>
        <v>9781618392718</v>
      </c>
      <c r="C5494" s="8" t="s">
        <v>1251</v>
      </c>
    </row>
    <row r="5495" spans="1:3" x14ac:dyDescent="0.25">
      <c r="A5495" s="8" t="str">
        <f>"74th ARFTG Microwave Measurement Conference - System Modeling and Measurement for High Accuracy Verification"</f>
        <v>74th ARFTG Microwave Measurement Conference - System Modeling and Measurement for High Accuracy Verification</v>
      </c>
      <c r="B5495" s="8" t="str">
        <f>"9781424457137"</f>
        <v>9781424457137</v>
      </c>
      <c r="C5495" s="8" t="s">
        <v>9</v>
      </c>
    </row>
    <row r="5496" spans="1:3" x14ac:dyDescent="0.25">
      <c r="A5496" s="8" t="str">
        <f>"74th EAGE Conference and Exhibition 2012 - Workshops"</f>
        <v>74th EAGE Conference and Exhibition 2012 - Workshops</v>
      </c>
      <c r="B5496" s="8" t="str">
        <f>"-"</f>
        <v>-</v>
      </c>
      <c r="C5496" s="8" t="s">
        <v>1251</v>
      </c>
    </row>
    <row r="5497" spans="1:3" x14ac:dyDescent="0.25">
      <c r="A5497" s="8" t="str">
        <f>"74th European Association of Geoscientists and Engineers Conference and Exhibition 2012 Incorporating SPE EUROPEC 2012: Responsibly Securing Natural Resources"</f>
        <v>74th European Association of Geoscientists and Engineers Conference and Exhibition 2012 Incorporating SPE EUROPEC 2012: Responsibly Securing Natural Resources</v>
      </c>
      <c r="B5497" s="8" t="str">
        <f>"9781629937908"</f>
        <v>9781629937908</v>
      </c>
      <c r="C5497" s="8" t="s">
        <v>1251</v>
      </c>
    </row>
    <row r="5498" spans="1:3" x14ac:dyDescent="0.25">
      <c r="A5498" s="8" t="str">
        <f>"75th ARFTG Microwave Measurement Conference: Measurement of Modulated Signals for Communications"</f>
        <v>75th ARFTG Microwave Measurement Conference: Measurement of Modulated Signals for Communications</v>
      </c>
      <c r="B5498" s="8" t="str">
        <f>"9781424463664"</f>
        <v>9781424463664</v>
      </c>
      <c r="C5498" s="8" t="s">
        <v>9</v>
      </c>
    </row>
    <row r="5499" spans="1:3" x14ac:dyDescent="0.25">
      <c r="A5499" s="8" t="str">
        <f>"75th EAGE Conference and Exhibition 2013 - Workshops"</f>
        <v>75th EAGE Conference and Exhibition 2013 - Workshops</v>
      </c>
      <c r="B5499" s="8" t="str">
        <f>"-"</f>
        <v>-</v>
      </c>
      <c r="C5499" s="8" t="s">
        <v>1251</v>
      </c>
    </row>
    <row r="5500" spans="1:3" x14ac:dyDescent="0.25">
      <c r="A5500" s="8" t="str">
        <f>"75th European Association of Geoscientists and Engineers Conference and Exhibition 2013 Incorporating SPE EUROPEC 2013: Changing Frontiers"</f>
        <v>75th European Association of Geoscientists and Engineers Conference and Exhibition 2013 Incorporating SPE EUROPEC 2013: Changing Frontiers</v>
      </c>
      <c r="B5500" s="8" t="str">
        <f>"9781629937915"</f>
        <v>9781629937915</v>
      </c>
      <c r="C5500" s="8" t="s">
        <v>1251</v>
      </c>
    </row>
    <row r="5501" spans="1:3" x14ac:dyDescent="0.25">
      <c r="A5501" s="8" t="str">
        <f>"76th ARFTG Microwave Measurement Conference: Millimeter-Wave Measurements and Modeling, ARFTG 2010"</f>
        <v>76th ARFTG Microwave Measurement Conference: Millimeter-Wave Measurements and Modeling, ARFTG 2010</v>
      </c>
      <c r="B5501" s="8" t="str">
        <f>"9781424474486"</f>
        <v>9781424474486</v>
      </c>
      <c r="C5501" s="8" t="s">
        <v>9</v>
      </c>
    </row>
    <row r="5502" spans="1:3" x14ac:dyDescent="0.25">
      <c r="A5502" s="8" t="str">
        <f>"78th ARFTG Microwave Measurement Conference: High Power RF Measurement Techniques, ARFTG 2011"</f>
        <v>78th ARFTG Microwave Measurement Conference: High Power RF Measurement Techniques, ARFTG 2011</v>
      </c>
      <c r="B5502" s="8" t="str">
        <f>"9781467302814"</f>
        <v>9781467302814</v>
      </c>
      <c r="C5502" s="8" t="s">
        <v>9</v>
      </c>
    </row>
    <row r="5503" spans="1:3" x14ac:dyDescent="0.25">
      <c r="A5503" s="8" t="str">
        <f>"79th ARFTG Microwave Measurement Conference: Non-Linear Measurement Systems, ARFTG 2012"</f>
        <v>79th ARFTG Microwave Measurement Conference: Non-Linear Measurement Systems, ARFTG 2012</v>
      </c>
      <c r="B5503" s="8" t="str">
        <f>"9781467312301"</f>
        <v>9781467312301</v>
      </c>
      <c r="C5503" s="8" t="s">
        <v>9</v>
      </c>
    </row>
    <row r="5504" spans="1:3" x14ac:dyDescent="0.25">
      <c r="A5504" s="8" t="str">
        <f>"7th ACM India Computing Conference, COMPUTE 2014"</f>
        <v>7th ACM India Computing Conference, COMPUTE 2014</v>
      </c>
      <c r="B5504" s="8" t="str">
        <f>"9781605588148"</f>
        <v>9781605588148</v>
      </c>
      <c r="C5504" s="8" t="s">
        <v>1235</v>
      </c>
    </row>
    <row r="5505" spans="1:3" x14ac:dyDescent="0.25">
      <c r="A5505" s="8" t="str">
        <f>"7th AIAA Atmospheric and Space Environments Conference, 2015"</f>
        <v>7th AIAA Atmospheric and Space Environments Conference, 2015</v>
      </c>
      <c r="B5505" s="8" t="str">
        <f>"9781624103599"</f>
        <v>9781624103599</v>
      </c>
      <c r="C5505" s="8" t="s">
        <v>1388</v>
      </c>
    </row>
    <row r="5506" spans="1:3" x14ac:dyDescent="0.25">
      <c r="A5506" s="8" t="str">
        <f>"7th AIAA/CEAS Aeroacoustics Conference and Exhibit"</f>
        <v>7th AIAA/CEAS Aeroacoustics Conference and Exhibit</v>
      </c>
      <c r="B5506" s="8" t="str">
        <f>"-"</f>
        <v>-</v>
      </c>
      <c r="C5506" s="8" t="s">
        <v>104</v>
      </c>
    </row>
    <row r="5507" spans="1:3" x14ac:dyDescent="0.25">
      <c r="A5507" s="8" t="str">
        <f>"7th Annual Applied Ergonomics Conference 2004, Conference Proceedings"</f>
        <v>7th Annual Applied Ergonomics Conference 2004, Conference Proceedings</v>
      </c>
      <c r="B5507" s="8" t="str">
        <f>"-"</f>
        <v>-</v>
      </c>
      <c r="C5507" s="8" t="s">
        <v>530</v>
      </c>
    </row>
    <row r="5508" spans="1:3" x14ac:dyDescent="0.25">
      <c r="A5508" s="8" t="str">
        <f>"7th Annual Conference on Foundations of Nanoscience: Self-Assembled Architectures and Devices, FNANO 2010"</f>
        <v>7th Annual Conference on Foundations of Nanoscience: Self-Assembled Architectures and Devices, FNANO 2010</v>
      </c>
      <c r="B5508" s="8" t="str">
        <f>"-"</f>
        <v>-</v>
      </c>
      <c r="C5508" s="8" t="s">
        <v>1460</v>
      </c>
    </row>
    <row r="5509" spans="1:3" x14ac:dyDescent="0.25">
      <c r="A5509" s="8" t="str">
        <f>"7th Annual IEEE International Conference on Pervasive Computing and Communications, PerCom 2009"</f>
        <v>7th Annual IEEE International Conference on Pervasive Computing and Communications, PerCom 2009</v>
      </c>
      <c r="B5509" s="8" t="str">
        <f>"9781424433049"</f>
        <v>9781424433049</v>
      </c>
      <c r="C5509" s="8" t="s">
        <v>9</v>
      </c>
    </row>
    <row r="5510" spans="1:3" x14ac:dyDescent="0.25">
      <c r="A5510" s="8" t="str">
        <f>"7th Annual Non-Volatile Memory Technology Symposium, NVMTS"</f>
        <v>7th Annual Non-Volatile Memory Technology Symposium, NVMTS</v>
      </c>
      <c r="B5510" s="8" t="str">
        <f>"-"</f>
        <v>-</v>
      </c>
      <c r="C5510" s="8" t="s">
        <v>9</v>
      </c>
    </row>
    <row r="5511" spans="1:3" x14ac:dyDescent="0.25">
      <c r="A5511" s="8" t="str">
        <f>"7th Annual Wireless Telecommunications Symposium, WTS 2008"</f>
        <v>7th Annual Wireless Telecommunications Symposium, WTS 2008</v>
      </c>
      <c r="B5511" s="8" t="str">
        <f>"9781424418701"</f>
        <v>9781424418701</v>
      </c>
      <c r="C5511" s="8" t="s">
        <v>9</v>
      </c>
    </row>
    <row r="5512" spans="1:3" x14ac:dyDescent="0.25">
      <c r="A5512" s="8" t="str">
        <f>"7th Asia-Pacific Conference on Wind Engineering, APCWE-VII"</f>
        <v>7th Asia-Pacific Conference on Wind Engineering, APCWE-VII</v>
      </c>
      <c r="B5512" s="8" t="str">
        <f>"9789866717437"</f>
        <v>9789866717437</v>
      </c>
      <c r="C5512" s="8" t="s">
        <v>1573</v>
      </c>
    </row>
    <row r="5513" spans="1:3" x14ac:dyDescent="0.25">
      <c r="A5513" s="8" t="str">
        <f>"7th Australasian Housing Researchers' Conference, AHRC 2013: Refereed Proceedings"</f>
        <v>7th Australasian Housing Researchers' Conference, AHRC 2013: Refereed Proceedings</v>
      </c>
      <c r="B5513" s="8" t="str">
        <f>"9780646909226"</f>
        <v>9780646909226</v>
      </c>
      <c r="C5513" s="8" t="s">
        <v>1496</v>
      </c>
    </row>
    <row r="5514" spans="1:3" x14ac:dyDescent="0.25">
      <c r="A5514" s="8" t="str">
        <f>"7th Cologne-Twente Workshop on Graphs and Combinatorial Optimization, CTW 2008"</f>
        <v>7th Cologne-Twente Workshop on Graphs and Combinatorial Optimization, CTW 2008</v>
      </c>
      <c r="B5514" s="8" t="str">
        <f>"-"</f>
        <v>-</v>
      </c>
      <c r="C5514" s="8" t="s">
        <v>1574</v>
      </c>
    </row>
    <row r="5515" spans="1:3" x14ac:dyDescent="0.25">
      <c r="A5515" s="8" t="str">
        <f>"7th EUROCONTROL Innovative Research Workshop and Exhibition: Disseminating ATM Innovative Research"</f>
        <v>7th EUROCONTROL Innovative Research Workshop and Exhibition: Disseminating ATM Innovative Research</v>
      </c>
      <c r="B5515" s="8" t="str">
        <f>"-"</f>
        <v>-</v>
      </c>
      <c r="C5515" s="8" t="s">
        <v>1532</v>
      </c>
    </row>
    <row r="5516" spans="1:3" x14ac:dyDescent="0.25">
      <c r="A5516" s="8" t="str">
        <f>"7th European Conference on Games Based Learning, ECGBL 2013"</f>
        <v>7th European Conference on Games Based Learning, ECGBL 2013</v>
      </c>
      <c r="B5516" s="8" t="str">
        <f>"9781629931395"</f>
        <v>9781629931395</v>
      </c>
      <c r="C5516" s="8" t="s">
        <v>973</v>
      </c>
    </row>
    <row r="5517" spans="1:3" x14ac:dyDescent="0.25">
      <c r="A5517" s="8" t="str">
        <f>"7th European Conference on Information Management and Evaluation, ECIME 2013"</f>
        <v>7th European Conference on Information Management and Evaluation, ECIME 2013</v>
      </c>
      <c r="B5517" s="8" t="str">
        <f>"9781629931388"</f>
        <v>9781629931388</v>
      </c>
      <c r="C5517" s="8" t="s">
        <v>973</v>
      </c>
    </row>
    <row r="5518" spans="1:3" x14ac:dyDescent="0.25">
      <c r="A5518" s="8" t="str">
        <f>"7th European Conference on Information Warfare and Security 2008, ECIW 2008"</f>
        <v>7th European Conference on Information Warfare and Security 2008, ECIW 2008</v>
      </c>
      <c r="B5518" s="8" t="str">
        <f>"9781622765331"</f>
        <v>9781622765331</v>
      </c>
      <c r="C5518" s="8" t="s">
        <v>973</v>
      </c>
    </row>
    <row r="5519" spans="1:3" x14ac:dyDescent="0.25">
      <c r="A5519" s="8" t="str">
        <f>"7th European Stainless Steel Conference: Science and Market, Proceedings"</f>
        <v>7th European Stainless Steel Conference: Science and Market, Proceedings</v>
      </c>
      <c r="B5519" s="8" t="str">
        <f>"9788885298842"</f>
        <v>9788885298842</v>
      </c>
      <c r="C5519" s="8" t="s">
        <v>870</v>
      </c>
    </row>
    <row r="5520" spans="1:3" x14ac:dyDescent="0.25">
      <c r="A5520" s="8" t="str">
        <f>"7th European Workshop on Beam Diagnostics and Instrumentation for Particle Accelerators, DIPAC 2005"</f>
        <v>7th European Workshop on Beam Diagnostics and Instrumentation for Particle Accelerators, DIPAC 2005</v>
      </c>
      <c r="B5520" s="8" t="str">
        <f>"-"</f>
        <v>-</v>
      </c>
      <c r="C5520" s="8" t="s">
        <v>1359</v>
      </c>
    </row>
    <row r="5521" spans="1:3" x14ac:dyDescent="0.25">
      <c r="A5521" s="8" t="str">
        <f>"7th European Workshop on Structural Health Monitoring, EWSHM 2014 - 2nd European Conference of the Prognostics and Health Management (PHM) Society"</f>
        <v>7th European Workshop on Structural Health Monitoring, EWSHM 2014 - 2nd European Conference of the Prognostics and Health Management (PHM) Society</v>
      </c>
      <c r="B5521" s="8" t="str">
        <f>"-"</f>
        <v>-</v>
      </c>
      <c r="C5521" s="8" t="s">
        <v>1436</v>
      </c>
    </row>
    <row r="5522" spans="1:3" x14ac:dyDescent="0.25">
      <c r="A5522" s="8" t="str">
        <f>"7th FPGAworld Conference - Academic Proceedings 2010, FPGAworld 2010"</f>
        <v>7th FPGAworld Conference - Academic Proceedings 2010, FPGAworld 2010</v>
      </c>
      <c r="B5522" s="8" t="str">
        <f>"9781450304818"</f>
        <v>9781450304818</v>
      </c>
      <c r="C5522" s="8" t="s">
        <v>21</v>
      </c>
    </row>
    <row r="5523" spans="1:3" x14ac:dyDescent="0.25">
      <c r="A5523" s="8" t="str">
        <f>"7th IEEE International Symposium on Industrial Embedded Systems, SIES 2012 - Conference Proceedings"</f>
        <v>7th IEEE International Symposium on Industrial Embedded Systems, SIES 2012 - Conference Proceedings</v>
      </c>
      <c r="B5523" s="8" t="str">
        <f>"9781467326841"</f>
        <v>9781467326841</v>
      </c>
      <c r="C5523" s="8" t="s">
        <v>9</v>
      </c>
    </row>
    <row r="5524" spans="1:3" x14ac:dyDescent="0.25">
      <c r="A5524" s="8" t="str">
        <f>"7th IEEE/IFIP Working Conference on Software Architecture, WICSA 2008"</f>
        <v>7th IEEE/IFIP Working Conference on Software Architecture, WICSA 2008</v>
      </c>
      <c r="B5524" s="8" t="str">
        <f>"9780769530925"</f>
        <v>9780769530925</v>
      </c>
      <c r="C5524" s="8" t="s">
        <v>9</v>
      </c>
    </row>
    <row r="5525" spans="1:3" x14ac:dyDescent="0.25">
      <c r="A5525" s="8" t="str">
        <f>"7th Int. Conference on Integrated Modeling and Analysis in Applied Control and Automation, IMAACA 2013, Held at the International Multidisciplinary Modeling and Simulation Multiconference, I3M 2013"</f>
        <v>7th Int. Conference on Integrated Modeling and Analysis in Applied Control and Automation, IMAACA 2013, Held at the International Multidisciplinary Modeling and Simulation Multiconference, I3M 2013</v>
      </c>
      <c r="B5525" s="8" t="str">
        <f>"9781629934884"</f>
        <v>9781629934884</v>
      </c>
      <c r="C5525" s="8" t="s">
        <v>1200</v>
      </c>
    </row>
    <row r="5526" spans="1:3" x14ac:dyDescent="0.25">
      <c r="A5526" s="8" t="str">
        <f>"7th International Advanced Automotive Battery and Ultracapacitor Conference, AABC"</f>
        <v>7th International Advanced Automotive Battery and Ultracapacitor Conference, AABC</v>
      </c>
      <c r="B5526" s="8" t="str">
        <f>"-"</f>
        <v>-</v>
      </c>
      <c r="C5526" s="8" t="s">
        <v>1242</v>
      </c>
    </row>
    <row r="5527" spans="1:3" x14ac:dyDescent="0.25">
      <c r="A5527" s="8" t="str">
        <f>"7th International Cold Climate HVAC Conference"</f>
        <v>7th International Cold Climate HVAC Conference</v>
      </c>
      <c r="B5527" s="8" t="str">
        <f>"-"</f>
        <v>-</v>
      </c>
      <c r="C5527" s="8" t="s">
        <v>1325</v>
      </c>
    </row>
    <row r="5528" spans="1:3" x14ac:dyDescent="0.25">
      <c r="A5528" s="8" t="str">
        <f>"7th International Conference and Exhibition on Performance of Ships and Structures in Ice, ICETECH 2006"</f>
        <v>7th International Conference and Exhibition on Performance of Ships and Structures in Ice, ICETECH 2006</v>
      </c>
      <c r="B5528" s="8" t="str">
        <f>"9781627483186"</f>
        <v>9781627483186</v>
      </c>
      <c r="C5528" s="8" t="s">
        <v>1575</v>
      </c>
    </row>
    <row r="5529" spans="1:3" x14ac:dyDescent="0.25">
      <c r="A5529" s="8" t="str">
        <f>"7th International Conference for Conveying and Handling of Particulate Solids, CHoPS 2012"</f>
        <v>7th International Conference for Conveying and Handling of Particulate Solids, CHoPS 2012</v>
      </c>
      <c r="B5529" s="8" t="str">
        <f>"9781629935362"</f>
        <v>9781629935362</v>
      </c>
      <c r="C5529" s="8" t="s">
        <v>974</v>
      </c>
    </row>
    <row r="5530" spans="1:3" x14ac:dyDescent="0.25">
      <c r="A5530" s="8" t="str">
        <f>"7th International Conference on Acid Rock Drainage 2006, ICARD - Also Serves as the 23rd Annual Meetings of the American Society of Mining and Reclamation"</f>
        <v>7th International Conference on Acid Rock Drainage 2006, ICARD - Also Serves as the 23rd Annual Meetings of the American Society of Mining and Reclamation</v>
      </c>
      <c r="B5530" s="8" t="str">
        <f>"9781622760855"</f>
        <v>9781622760855</v>
      </c>
      <c r="C5530" s="8" t="s">
        <v>1413</v>
      </c>
    </row>
    <row r="5531" spans="1:3" x14ac:dyDescent="0.25">
      <c r="A5531" s="8" t="str">
        <f>"7th International Conference on Aspect-Oriented Software Development, AOSD.08 - Research Track Proceedings"</f>
        <v>7th International Conference on Aspect-Oriented Software Development, AOSD.08 - Research Track Proceedings</v>
      </c>
      <c r="B5531" s="8" t="str">
        <f>"9781605580449"</f>
        <v>9781605580449</v>
      </c>
      <c r="C5531" s="8" t="s">
        <v>21</v>
      </c>
    </row>
    <row r="5532" spans="1:3" x14ac:dyDescent="0.25">
      <c r="A5532" s="8" t="str">
        <f>"7th International Conference on Bioinformatics, InCoB 2008 - Proceedings from Asia Pacific Bioinformatics Network (APBioNet)"</f>
        <v>7th International Conference on Bioinformatics, InCoB 2008 - Proceedings from Asia Pacific Bioinformatics Network (APBioNet)</v>
      </c>
      <c r="B5532" s="8" t="str">
        <f>"-"</f>
        <v>-</v>
      </c>
      <c r="C5532" s="8" t="s">
        <v>1199</v>
      </c>
    </row>
    <row r="5533" spans="1:3" x14ac:dyDescent="0.25">
      <c r="A5533" s="8" t="str">
        <f>"7th International Conference on Creating, Connecting and Collaborating through Computing - C5 2009"</f>
        <v>7th International Conference on Creating, Connecting and Collaborating through Computing - C5 2009</v>
      </c>
      <c r="B5533" s="8" t="str">
        <f>"9780769536200"</f>
        <v>9780769536200</v>
      </c>
      <c r="C5533" s="8" t="s">
        <v>9</v>
      </c>
    </row>
    <row r="5534" spans="1:3" x14ac:dyDescent="0.25">
      <c r="A5534" s="8" t="str">
        <f>"7th International Conference on Design and Technology of Integrated Systems in Nanoscale Era, DTIS 2012"</f>
        <v>7th International Conference on Design and Technology of Integrated Systems in Nanoscale Era, DTIS 2012</v>
      </c>
      <c r="B5534" s="8" t="str">
        <f>"9781467319287"</f>
        <v>9781467319287</v>
      </c>
      <c r="C5534" s="8" t="s">
        <v>9</v>
      </c>
    </row>
    <row r="5535" spans="1:3" x14ac:dyDescent="0.25">
      <c r="A5535" s="8" t="str">
        <f>"7th International Conference on Digital Information Management, ICDIM 2012"</f>
        <v>7th International Conference on Digital Information Management, ICDIM 2012</v>
      </c>
      <c r="B5535" s="8" t="str">
        <f>"9781467324281"</f>
        <v>9781467324281</v>
      </c>
      <c r="C5535" s="8" t="s">
        <v>9</v>
      </c>
    </row>
    <row r="5536" spans="1:3" x14ac:dyDescent="0.25">
      <c r="A5536" s="8" t="str">
        <f>"7th International Conference on Electrical and Control Technologies, ECT 2012"</f>
        <v>7th International Conference on Electrical and Control Technologies, ECT 2012</v>
      </c>
      <c r="B5536" s="8" t="str">
        <f>"9781634398015"</f>
        <v>9781634398015</v>
      </c>
      <c r="C5536" s="8" t="s">
        <v>1140</v>
      </c>
    </row>
    <row r="5537" spans="1:3" x14ac:dyDescent="0.25">
      <c r="A5537" s="8" t="str">
        <f>"7th International Conference on Environmental Engineering, ICEE 2008 - Conference Proceedings"</f>
        <v>7th International Conference on Environmental Engineering, ICEE 2008 - Conference Proceedings</v>
      </c>
      <c r="B5537" s="8" t="str">
        <f>"9789955282563"</f>
        <v>9789955282563</v>
      </c>
      <c r="C5537" s="8" t="s">
        <v>1576</v>
      </c>
    </row>
    <row r="5538" spans="1:3" x14ac:dyDescent="0.25">
      <c r="A5538" s="8" t="str">
        <f>"7th International Conference on Information Technology and Application, ICITA 2011"</f>
        <v>7th International Conference on Information Technology and Application, ICITA 2011</v>
      </c>
      <c r="B5538" s="8" t="str">
        <f>"9780980326741"</f>
        <v>9780980326741</v>
      </c>
      <c r="C5538" s="8" t="s">
        <v>1568</v>
      </c>
    </row>
    <row r="5539" spans="1:3" x14ac:dyDescent="0.25">
      <c r="A5539" s="8" t="str">
        <f>"7th International Conference on Information Technology Based Higher Education and Training, ITHET"</f>
        <v>7th International Conference on Information Technology Based Higher Education and Training, ITHET</v>
      </c>
      <c r="B5539" s="8" t="str">
        <f>"9781424404063"</f>
        <v>9781424404063</v>
      </c>
      <c r="C5539" s="8" t="s">
        <v>9</v>
      </c>
    </row>
    <row r="5540" spans="1:3" x14ac:dyDescent="0.25">
      <c r="A5540" s="8" t="str">
        <f>"7th International Conference on Information Warfare and Security, ICIW 2012"</f>
        <v>7th International Conference on Information Warfare and Security, ICIW 2012</v>
      </c>
      <c r="B5540" s="8" t="str">
        <f>"9781622766475"</f>
        <v>9781622766475</v>
      </c>
      <c r="C5540" s="8" t="s">
        <v>394</v>
      </c>
    </row>
    <row r="5541" spans="1:3" x14ac:dyDescent="0.25">
      <c r="A5541" s="8" t="str">
        <f>"7th International Conference on Intelligent Games and Simulation, GAME-ON 2006"</f>
        <v>7th International Conference on Intelligent Games and Simulation, GAME-ON 2006</v>
      </c>
      <c r="B5541" s="8" t="str">
        <f>"9789077381311"</f>
        <v>9789077381311</v>
      </c>
      <c r="C5541" s="8" t="s">
        <v>1206</v>
      </c>
    </row>
    <row r="5542" spans="1:3" x14ac:dyDescent="0.25">
      <c r="A5542" s="8" t="str">
        <f>"7th International Conference on Intelligent Systems and Control, ISCO 2013"</f>
        <v>7th International Conference on Intelligent Systems and Control, ISCO 2013</v>
      </c>
      <c r="B5542" s="8" t="str">
        <f>"9781467346016"</f>
        <v>9781467346016</v>
      </c>
      <c r="C5542" s="8" t="s">
        <v>9</v>
      </c>
    </row>
    <row r="5543" spans="1:3" x14ac:dyDescent="0.25">
      <c r="A5543" s="8" t="str">
        <f>"7th International Conference on Maintenance and Rehabilitation of Pavements and Technological Control, MAIREPAV 2012"</f>
        <v>7th International Conference on Maintenance and Rehabilitation of Pavements and Technological Control, MAIREPAV 2012</v>
      </c>
      <c r="B5543" s="8" t="str">
        <f>"-"</f>
        <v>-</v>
      </c>
      <c r="C5543" s="8" t="s">
        <v>1536</v>
      </c>
    </row>
    <row r="5544" spans="1:3" x14ac:dyDescent="0.25">
      <c r="A5544" s="8" t="str">
        <f>"7th International Conference on Risks and Security of Internet and Systems, CRiSIS 2012"</f>
        <v>7th International Conference on Risks and Security of Internet and Systems, CRiSIS 2012</v>
      </c>
      <c r="B5544" s="8" t="str">
        <f>"9781467330893"</f>
        <v>9781467330893</v>
      </c>
      <c r="C5544" s="8" t="s">
        <v>9</v>
      </c>
    </row>
    <row r="5545" spans="1:3" x14ac:dyDescent="0.25">
      <c r="A5545" s="8" t="str">
        <f>"7th International Conference on Simulation and Modelling in the Food and Bio-Industry 2012, FOODSIM 2012"</f>
        <v>7th International Conference on Simulation and Modelling in the Food and Bio-Industry 2012, FOODSIM 2012</v>
      </c>
      <c r="B5545" s="8" t="str">
        <f>"9789077381724"</f>
        <v>9789077381724</v>
      </c>
      <c r="C5545" s="8" t="s">
        <v>1206</v>
      </c>
    </row>
    <row r="5546" spans="1:3" x14ac:dyDescent="0.25">
      <c r="A5546" s="8" t="str">
        <f>"7th International Conference on Strategic Management and its Support by Information Systems, SMSIS 2007"</f>
        <v>7th International Conference on Strategic Management and its Support by Information Systems, SMSIS 2007</v>
      </c>
      <c r="B5546" s="8" t="str">
        <f>"9781629933580"</f>
        <v>9781629933580</v>
      </c>
      <c r="C5546" s="8" t="s">
        <v>1212</v>
      </c>
    </row>
    <row r="5547" spans="1:3" x14ac:dyDescent="0.25">
      <c r="A5547" s="8" t="str">
        <f>"7th International Conference on Thermal, Mechanical and Multiphysics Simulation and Experiments in Micro-Electronics and Micro-Systems, EuroSimE 2006"</f>
        <v>7th International Conference on Thermal, Mechanical and Multiphysics Simulation and Experiments in Micro-Electronics and Micro-Systems, EuroSimE 2006</v>
      </c>
      <c r="B5547" s="8" t="str">
        <f>"-"</f>
        <v>-</v>
      </c>
      <c r="C5547" s="8" t="s">
        <v>9</v>
      </c>
    </row>
    <row r="5548" spans="1:3" x14ac:dyDescent="0.25">
      <c r="A5548" s="8" t="str">
        <f>"7th International Conference on Wireless Communications, Networking and Mobile Computing, WiCOM 2011"</f>
        <v>7th International Conference on Wireless Communications, Networking and Mobile Computing, WiCOM 2011</v>
      </c>
      <c r="B5548" s="8" t="str">
        <f>"9781424462520"</f>
        <v>9781424462520</v>
      </c>
      <c r="C5548" s="8" t="s">
        <v>9</v>
      </c>
    </row>
    <row r="5549" spans="1:3" x14ac:dyDescent="0.25">
      <c r="A5549" s="8" t="str">
        <f>"7th International Congress of Food Technologists, Biotechnologists and Nutritionists, Proceedings"</f>
        <v>7th International Congress of Food Technologists, Biotechnologists and Nutritionists, Proceedings</v>
      </c>
      <c r="B5549" s="8" t="str">
        <f>"9789539972545"</f>
        <v>9789539972545</v>
      </c>
      <c r="C5549" s="8" t="s">
        <v>1577</v>
      </c>
    </row>
    <row r="5550" spans="1:3" x14ac:dyDescent="0.25">
      <c r="A5550" s="8" t="str">
        <f>"7th International Energy Conversion Engineering Conference"</f>
        <v>7th International Energy Conversion Engineering Conference</v>
      </c>
      <c r="B5550" s="8" t="str">
        <f>"9781563479762"</f>
        <v>9781563479762</v>
      </c>
      <c r="C5550" s="8" t="s">
        <v>104</v>
      </c>
    </row>
    <row r="5551" spans="1:3" x14ac:dyDescent="0.25">
      <c r="A5551" s="8" t="str">
        <f>"7th International Industrial Simulation Conference 2009, ISC 2009"</f>
        <v>7th International Industrial Simulation Conference 2009, ISC 2009</v>
      </c>
      <c r="B5551" s="8" t="str">
        <f>"9789077381489"</f>
        <v>9789077381489</v>
      </c>
      <c r="C5551" s="8" t="s">
        <v>1206</v>
      </c>
    </row>
    <row r="5552" spans="1:3" x14ac:dyDescent="0.25">
      <c r="A5552" s="8" t="str">
        <f>"7th International Power Engineering Conference, IPEC2005"</f>
        <v>7th International Power Engineering Conference, IPEC2005</v>
      </c>
      <c r="B5552" s="8" t="str">
        <f>"-"</f>
        <v>-</v>
      </c>
      <c r="C5552" s="8" t="s">
        <v>9</v>
      </c>
    </row>
    <row r="5553" spans="1:3" x14ac:dyDescent="0.25">
      <c r="A5553" s="8" t="str">
        <f>"7th International Scientific Conference on Modern Management of Mine Producing, Geology and Environmental Protection, SGEM 2007"</f>
        <v>7th International Scientific Conference on Modern Management of Mine Producing, Geology and Environmental Protection, SGEM 2007</v>
      </c>
      <c r="B5553" s="8" t="str">
        <f>"-"</f>
        <v>-</v>
      </c>
      <c r="C5553" s="8" t="s">
        <v>606</v>
      </c>
    </row>
    <row r="5554" spans="1:3" x14ac:dyDescent="0.25">
      <c r="A5554" s="8" t="str">
        <f>"7th International Symposium on Electromagnetic Compatibility and Electromagnetic Ecology the Proceedings, EMCECO 2007"</f>
        <v>7th International Symposium on Electromagnetic Compatibility and Electromagnetic Ecology the Proceedings, EMCECO 2007</v>
      </c>
      <c r="B5554" s="8" t="str">
        <f>"9781424412709"</f>
        <v>9781424412709</v>
      </c>
      <c r="C5554" s="8" t="s">
        <v>9</v>
      </c>
    </row>
    <row r="5555" spans="1:3" x14ac:dyDescent="0.25">
      <c r="A5555" s="8" t="str">
        <f>"7th International Symposium on Heating, Ventilating and Air Conditioning - Proceedings of ISHVAC 2011"</f>
        <v>7th International Symposium on Heating, Ventilating and Air Conditioning - Proceedings of ISHVAC 2011</v>
      </c>
      <c r="B5555" s="8" t="str">
        <f>"9789628513802"</f>
        <v>9789628513802</v>
      </c>
      <c r="C5555" s="8" t="s">
        <v>1578</v>
      </c>
    </row>
    <row r="5556" spans="1:3" x14ac:dyDescent="0.25">
      <c r="A5556" s="8" t="str">
        <f>"7th International Symposium on High-Capacity Optical Networks and Enabling Technologies, HONET 2010"</f>
        <v>7th International Symposium on High-Capacity Optical Networks and Enabling Technologies, HONET 2010</v>
      </c>
      <c r="B5556" s="8" t="str">
        <f>"9781424499243"</f>
        <v>9781424499243</v>
      </c>
      <c r="C5556" s="8" t="s">
        <v>9</v>
      </c>
    </row>
    <row r="5557" spans="1:3" x14ac:dyDescent="0.25">
      <c r="A5557" s="8" t="str">
        <f>"7th International Symposium on Logical Formalizations of Commonsense Reasoning, Commonsense 2005"</f>
        <v>7th International Symposium on Logical Formalizations of Commonsense Reasoning, Commonsense 2005</v>
      </c>
      <c r="B5557" s="8" t="str">
        <f>"-"</f>
        <v>-</v>
      </c>
      <c r="C5557" s="8" t="s">
        <v>1579</v>
      </c>
    </row>
    <row r="5558" spans="1:3" x14ac:dyDescent="0.25">
      <c r="A5558" s="8" t="str">
        <f>"7th International Symposium on Resilient Control Systems, ISRCS 2014"</f>
        <v>7th International Symposium on Resilient Control Systems, ISRCS 2014</v>
      </c>
      <c r="B5558" s="8" t="str">
        <f>"9781479941872"</f>
        <v>9781479941872</v>
      </c>
      <c r="C5558" s="8" t="s">
        <v>105</v>
      </c>
    </row>
    <row r="5559" spans="1:3" x14ac:dyDescent="0.25">
      <c r="A5559" s="8" t="str">
        <f>"7th International Symposium on Superalloy 718 and Derivatives 2010"</f>
        <v>7th International Symposium on Superalloy 718 and Derivatives 2010</v>
      </c>
      <c r="B5559" s="8" t="str">
        <f>"9781617827709"</f>
        <v>9781617827709</v>
      </c>
      <c r="C5559" s="8" t="s">
        <v>1324</v>
      </c>
    </row>
    <row r="5560" spans="1:3" x14ac:dyDescent="0.25">
      <c r="A5560" s="8" t="str">
        <f>"7th International Topical Meeting on Nuclear Plant Instrumentation, Control, and Human-Machine Interface Technologies 2010, NPIC and HMIT 2010"</f>
        <v>7th International Topical Meeting on Nuclear Plant Instrumentation, Control, and Human-Machine Interface Technologies 2010, NPIC and HMIT 2010</v>
      </c>
      <c r="B5560" s="8" t="str">
        <f>"9781617822667"</f>
        <v>9781617822667</v>
      </c>
      <c r="C5560" s="8" t="s">
        <v>453</v>
      </c>
    </row>
    <row r="5561" spans="1:3" x14ac:dyDescent="0.25">
      <c r="A5561" s="8" t="str">
        <f>"7th International Value Conference 2005: Why Re-Invent the Wheel?"</f>
        <v>7th International Value Conference 2005: Why Re-Invent the Wheel?</v>
      </c>
      <c r="B5561" s="8" t="str">
        <f>"9781627481687"</f>
        <v>9781627481687</v>
      </c>
      <c r="C5561" s="8" t="s">
        <v>1580</v>
      </c>
    </row>
    <row r="5562" spans="1:3" x14ac:dyDescent="0.25">
      <c r="A5562" s="8" t="str">
        <f>"7th International Workshop for Technical, Economic and Legal Aspects of Business Models for Virtual Goods, Incorporating the 5th International Open Digital Rights Language Workshop, ODRL 2009"</f>
        <v>7th International Workshop for Technical, Economic and Legal Aspects of Business Models for Virtual Goods, Incorporating the 5th International Open Digital Rights Language Workshop, ODRL 2009</v>
      </c>
      <c r="B5562" s="8" t="str">
        <f>"-"</f>
        <v>-</v>
      </c>
      <c r="C5562" s="8" t="s">
        <v>1581</v>
      </c>
    </row>
    <row r="5563" spans="1:3" x14ac:dyDescent="0.25">
      <c r="A5563" s="8" t="str">
        <f>"7th International Workshop NDT in Progress: NDT of Lightweight Materials"</f>
        <v>7th International Workshop NDT in Progress: NDT of Lightweight Materials</v>
      </c>
      <c r="B5563" s="8" t="str">
        <f>"-"</f>
        <v>-</v>
      </c>
      <c r="C5563" s="8" t="s">
        <v>1582</v>
      </c>
    </row>
    <row r="5564" spans="1:3" x14ac:dyDescent="0.25">
      <c r="A5564" s="8" t="str">
        <f>"7th International Workshop on Applications and Services in Wireless Networks, ASWN 2007"</f>
        <v>7th International Workshop on Applications and Services in Wireless Networks, ASWN 2007</v>
      </c>
      <c r="B5564" s="8" t="str">
        <f>"9788469057278"</f>
        <v>9788469057278</v>
      </c>
      <c r="C5564" s="8" t="s">
        <v>1583</v>
      </c>
    </row>
    <row r="5565" spans="1:3" x14ac:dyDescent="0.25">
      <c r="A5565" s="8" t="str">
        <f>"7th International Workshop on Content-Based Multimedia Indexing, CBMI 2009"</f>
        <v>7th International Workshop on Content-Based Multimedia Indexing, CBMI 2009</v>
      </c>
      <c r="B5565" s="8" t="str">
        <f>"9780769536620"</f>
        <v>9780769536620</v>
      </c>
      <c r="C5565" s="8" t="s">
        <v>9</v>
      </c>
    </row>
    <row r="5566" spans="1:3" x14ac:dyDescent="0.25">
      <c r="A5566" s="8" t="str">
        <f>"7th International Workshop on Data Management on New Hardware, DaMoN 2011 - In Conjunction with ACM SIGMOD/PODS Conference"</f>
        <v>7th International Workshop on Data Management on New Hardware, DaMoN 2011 - In Conjunction with ACM SIGMOD/PODS Conference</v>
      </c>
      <c r="B5566" s="8" t="str">
        <f>"9781450306584"</f>
        <v>9781450306584</v>
      </c>
      <c r="C5566" s="8" t="s">
        <v>21</v>
      </c>
    </row>
    <row r="5567" spans="1:3" x14ac:dyDescent="0.25">
      <c r="A5567" s="8" t="str">
        <f>"7th International Workshop on Modeling and Applied Simulation, MAS 2008, Held at the International Mediterranean Modeling Multiconference, I3M 2008"</f>
        <v>7th International Workshop on Modeling and Applied Simulation, MAS 2008, Held at the International Mediterranean Modeling Multiconference, I3M 2008</v>
      </c>
      <c r="B5567" s="8" t="str">
        <f>"9781629934754"</f>
        <v>9781629934754</v>
      </c>
      <c r="C5567" s="8" t="s">
        <v>1200</v>
      </c>
    </row>
    <row r="5568" spans="1:3" x14ac:dyDescent="0.25">
      <c r="A5568" s="8" t="str">
        <f>"7th International Workshop on Search-Based Software Testing, SBST 2014 - Proceedings"</f>
        <v>7th International Workshop on Search-Based Software Testing, SBST 2014 - Proceedings</v>
      </c>
      <c r="B5568" s="8" t="str">
        <f>"9781450328524"</f>
        <v>9781450328524</v>
      </c>
      <c r="C5568" s="8" t="s">
        <v>1235</v>
      </c>
    </row>
    <row r="5569" spans="1:3" x14ac:dyDescent="0.25">
      <c r="A5569" s="8" t="str">
        <f>"7th International Workshop on Systems, Signal Processing and their Applications, WoSSPA 2011"</f>
        <v>7th International Workshop on Systems, Signal Processing and their Applications, WoSSPA 2011</v>
      </c>
      <c r="B5569" s="8" t="str">
        <f>"9781457706905"</f>
        <v>9781457706905</v>
      </c>
      <c r="C5569" s="8" t="s">
        <v>9</v>
      </c>
    </row>
    <row r="5570" spans="1:3" x14ac:dyDescent="0.25">
      <c r="A5570" s="8" t="str">
        <f>"7th International Workshop on the CKM Unitarity Triangle, CKM 2012"</f>
        <v>7th International Workshop on the CKM Unitarity Triangle, CKM 2012</v>
      </c>
      <c r="B5570" s="8" t="str">
        <f>"-"</f>
        <v>-</v>
      </c>
      <c r="C5570" s="8" t="s">
        <v>586</v>
      </c>
    </row>
    <row r="5571" spans="1:3" x14ac:dyDescent="0.25">
      <c r="A5571" s="8" t="str">
        <f>"7th Internatonal Conference on Power Electronics, ICPE'07"</f>
        <v>7th Internatonal Conference on Power Electronics, ICPE'07</v>
      </c>
      <c r="B5571" s="8" t="str">
        <f>"9781424418725"</f>
        <v>9781424418725</v>
      </c>
      <c r="C5571" s="8" t="s">
        <v>9</v>
      </c>
    </row>
    <row r="5572" spans="1:3" x14ac:dyDescent="0.25">
      <c r="A5572" s="8" t="str">
        <f>"7th Jornadas Iberoamericanas de Ingenieria de Software e Ingenieria del Conocimiento 2008, JIISIC 2008"</f>
        <v>7th Jornadas Iberoamericanas de Ingenieria de Software e Ingenieria del Conocimiento 2008, JIISIC 2008</v>
      </c>
      <c r="B5572" s="8" t="str">
        <f>"9781627481526"</f>
        <v>9781627481526</v>
      </c>
      <c r="C5572" s="8" t="s">
        <v>1584</v>
      </c>
    </row>
    <row r="5573" spans="1:3" x14ac:dyDescent="0.25">
      <c r="A5573" s="8" t="str">
        <f>"7th Mathematical Physics Meeting: Summer School and Conference on Modern Mathematical Physics 2012, MPHYS 2012"</f>
        <v>7th Mathematical Physics Meeting: Summer School and Conference on Modern Mathematical Physics 2012, MPHYS 2012</v>
      </c>
      <c r="B5573" s="8" t="str">
        <f>"9781629936598"</f>
        <v>9781629936598</v>
      </c>
      <c r="C5573" s="8" t="s">
        <v>1561</v>
      </c>
    </row>
    <row r="5574" spans="1:3" x14ac:dyDescent="0.25">
      <c r="A5574" s="8" t="str">
        <f>"7th Mexican International Conference on Artificial Intelligence - Proceedings of the Special Session, MICAI 2008"</f>
        <v>7th Mexican International Conference on Artificial Intelligence - Proceedings of the Special Session, MICAI 2008</v>
      </c>
      <c r="B5574" s="8" t="str">
        <f>"9780769534411"</f>
        <v>9780769534411</v>
      </c>
      <c r="C5574" s="8" t="s">
        <v>9</v>
      </c>
    </row>
    <row r="5575" spans="1:3" x14ac:dyDescent="0.25">
      <c r="A5575" s="8" t="str">
        <f>"7th RoEduNet International Conference, RoEduNet 2008"</f>
        <v>7th RoEduNet International Conference, RoEduNet 2008</v>
      </c>
      <c r="B5575" s="8" t="str">
        <f>"9789736623936"</f>
        <v>9789736623936</v>
      </c>
      <c r="C5575" s="8" t="s">
        <v>1585</v>
      </c>
    </row>
    <row r="5576" spans="1:3" x14ac:dyDescent="0.25">
      <c r="A5576" s="8" t="str">
        <f>"7th South African Conference on Computational and Applied Mechanics, SACAM 2010"</f>
        <v>7th South African Conference on Computational and Applied Mechanics, SACAM 2010</v>
      </c>
      <c r="B5576" s="8" t="str">
        <f>"9780620491921"</f>
        <v>9780620491921</v>
      </c>
      <c r="C5576" s="8" t="s">
        <v>1562</v>
      </c>
    </row>
    <row r="5577" spans="1:3" x14ac:dyDescent="0.25">
      <c r="A5577" s="8" t="str">
        <f>"7th Symposium on Space Resource Utilization"</f>
        <v>7th Symposium on Space Resource Utilization</v>
      </c>
      <c r="B5577" s="8" t="str">
        <f>"-"</f>
        <v>-</v>
      </c>
      <c r="C5577" s="8" t="s">
        <v>104</v>
      </c>
    </row>
    <row r="5578" spans="1:3" x14ac:dyDescent="0.25">
      <c r="A5578" s="8" t="str">
        <f>"7th Topical Conference on Natural Gas Utilization 2007, Held at the 2007 AIChE Spring National Meeting"</f>
        <v>7th Topical Conference on Natural Gas Utilization 2007, Held at the 2007 AIChE Spring National Meeting</v>
      </c>
      <c r="B5578" s="8" t="str">
        <f>"9781604233544"</f>
        <v>9781604233544</v>
      </c>
      <c r="C5578" s="8" t="s">
        <v>1219</v>
      </c>
    </row>
    <row r="5579" spans="1:3" x14ac:dyDescent="0.25">
      <c r="A5579" s="8" t="str">
        <f>"7th Workshop on Information Technology - Applications and Theory, ITAT 2007"</f>
        <v>7th Workshop on Information Technology - Applications and Theory, ITAT 2007</v>
      </c>
      <c r="B5579" s="8" t="str">
        <f>"-"</f>
        <v>-</v>
      </c>
      <c r="C5579" s="8" t="s">
        <v>1586</v>
      </c>
    </row>
    <row r="5580" spans="1:3" x14ac:dyDescent="0.25">
      <c r="A5580" s="8" t="str">
        <f>"7th World Congress in Industrial Process Tomography"</f>
        <v>7th World Congress in Industrial Process Tomography</v>
      </c>
      <c r="B5580" s="8" t="str">
        <f>"9780853163237"</f>
        <v>9780853163237</v>
      </c>
      <c r="C5580" s="8" t="s">
        <v>1328</v>
      </c>
    </row>
    <row r="5581" spans="1:3" x14ac:dyDescent="0.25">
      <c r="A5581" s="8" t="str">
        <f>"80th Annual International School of Hydrocarbon Measurement 2005"</f>
        <v>80th Annual International School of Hydrocarbon Measurement 2005</v>
      </c>
      <c r="B5581" s="8" t="str">
        <f>"9781622763191"</f>
        <v>9781622763191</v>
      </c>
      <c r="C5581" s="8" t="s">
        <v>1587</v>
      </c>
    </row>
    <row r="5582" spans="1:3" x14ac:dyDescent="0.25">
      <c r="A5582" s="8" t="str">
        <f>"80th ARFTG Microwave Measurement Conference: Advances in Wireless Communications Test and Measurements, ARFTG 2012"</f>
        <v>80th ARFTG Microwave Measurement Conference: Advances in Wireless Communications Test and Measurements, ARFTG 2012</v>
      </c>
      <c r="B5582" s="8" t="str">
        <f>"9781467348201"</f>
        <v>9781467348201</v>
      </c>
      <c r="C5582" s="8" t="s">
        <v>9</v>
      </c>
    </row>
    <row r="5583" spans="1:3" x14ac:dyDescent="0.25">
      <c r="A5583" s="8" t="str">
        <f>"81st ARFTG Microwave Measurement Conference: Metrology for High Speed Circuits and Systems, ARFTG 2013"</f>
        <v>81st ARFTG Microwave Measurement Conference: Metrology for High Speed Circuits and Systems, ARFTG 2013</v>
      </c>
      <c r="B5583" s="8" t="str">
        <f>"9781467349826"</f>
        <v>9781467349826</v>
      </c>
      <c r="C5583" s="8" t="s">
        <v>9</v>
      </c>
    </row>
    <row r="5584" spans="1:3" x14ac:dyDescent="0.25">
      <c r="A5584" s="8" t="str">
        <f>"82nd ARFTG Microwave Measurement Conference: Characterization, Modeling, and Design of RF and mm-Wave Devices and Circuits, ARFTG 2013"</f>
        <v>82nd ARFTG Microwave Measurement Conference: Characterization, Modeling, and Design of RF and mm-Wave Devices and Circuits, ARFTG 2013</v>
      </c>
      <c r="B5584" s="8" t="str">
        <f>"9781467349826"</f>
        <v>9781467349826</v>
      </c>
      <c r="C5584" s="8" t="s">
        <v>9</v>
      </c>
    </row>
    <row r="5585" spans="1:3" x14ac:dyDescent="0.25">
      <c r="A5585" s="8" t="str">
        <f>"83rd ARFTG Microwave Measurement Conference: Microwave Measurements for Emerging Technologies, ARFTG 2014"</f>
        <v>83rd ARFTG Microwave Measurement Conference: Microwave Measurements for Emerging Technologies, ARFTG 2014</v>
      </c>
      <c r="B5585" s="8" t="str">
        <f>"9781479944255"</f>
        <v>9781479944255</v>
      </c>
      <c r="C5585" s="8" t="s">
        <v>105</v>
      </c>
    </row>
    <row r="5586" spans="1:3" x14ac:dyDescent="0.25">
      <c r="A5586" s="8" t="str">
        <f>"84th Annual International School of Hydrocarbon Measurement 2009"</f>
        <v>84th Annual International School of Hydrocarbon Measurement 2009</v>
      </c>
      <c r="B5586" s="8" t="str">
        <f>"9781615671441"</f>
        <v>9781615671441</v>
      </c>
      <c r="C5586" s="8" t="s">
        <v>1587</v>
      </c>
    </row>
    <row r="5587" spans="1:3" x14ac:dyDescent="0.25">
      <c r="A5587" s="8" t="str">
        <f>"84th ARFTG Microwave Measurement Conference: The New Frontiers for Microwave Measurements, ARFTG 2014"</f>
        <v>84th ARFTG Microwave Measurement Conference: The New Frontiers for Microwave Measurements, ARFTG 2014</v>
      </c>
      <c r="B5587" s="8" t="str">
        <f>"9781479970841"</f>
        <v>9781479970841</v>
      </c>
      <c r="C5587" s="8" t="s">
        <v>105</v>
      </c>
    </row>
    <row r="5588" spans="1:3" x14ac:dyDescent="0.25">
      <c r="A5588" s="8" t="str">
        <f>"85th AMS Annual Meeting, American Meteorological Society - Combined Preprints"</f>
        <v>85th AMS Annual Meeting, American Meteorological Society - Combined Preprints</v>
      </c>
      <c r="B5588" s="8" t="str">
        <f>"-"</f>
        <v>-</v>
      </c>
      <c r="C5588" s="8" t="s">
        <v>225</v>
      </c>
    </row>
    <row r="5589" spans="1:3" x14ac:dyDescent="0.25">
      <c r="A5589" s="8" t="str">
        <f>"85th Annual International School of Hydrocarbon Measurement 2010"</f>
        <v>85th Annual International School of Hydrocarbon Measurement 2010</v>
      </c>
      <c r="B5589" s="8" t="str">
        <f>"9781617385902"</f>
        <v>9781617385902</v>
      </c>
      <c r="C5589" s="8" t="s">
        <v>1587</v>
      </c>
    </row>
    <row r="5590" spans="1:3" x14ac:dyDescent="0.25">
      <c r="A5590" s="8" t="str">
        <f>"85th ARFTG Microwave Measurement Conference: Measurements and Techniques for 5G Applications, ARFTG 2015"</f>
        <v>85th ARFTG Microwave Measurement Conference: Measurements and Techniques for 5G Applications, ARFTG 2015</v>
      </c>
      <c r="B5590" s="8" t="str">
        <f>"9781479988860"</f>
        <v>9781479988860</v>
      </c>
      <c r="C5590" s="8" t="s">
        <v>105</v>
      </c>
    </row>
    <row r="5591" spans="1:3" x14ac:dyDescent="0.25">
      <c r="A5591" s="8" t="str">
        <f>"86th AMS Annual Meeting"</f>
        <v>86th AMS Annual Meeting</v>
      </c>
      <c r="B5591" s="8" t="str">
        <f>"-"</f>
        <v>-</v>
      </c>
      <c r="C5591" s="8" t="s">
        <v>225</v>
      </c>
    </row>
    <row r="5592" spans="1:3" x14ac:dyDescent="0.25">
      <c r="A5592" s="8" t="str">
        <f>"86th Annual International School of Hydrocarbon Measurement 2011"</f>
        <v>86th Annual International School of Hydrocarbon Measurement 2011</v>
      </c>
      <c r="B5592" s="8" t="str">
        <f>"9781618390448"</f>
        <v>9781618390448</v>
      </c>
      <c r="C5592" s="8" t="s">
        <v>1587</v>
      </c>
    </row>
    <row r="5593" spans="1:3" x14ac:dyDescent="0.25">
      <c r="A5593" s="8" t="str">
        <f>"87th AMS Annual Meeting"</f>
        <v>87th AMS Annual Meeting</v>
      </c>
      <c r="B5593" s="8" t="str">
        <f>"-"</f>
        <v>-</v>
      </c>
      <c r="C5593" s="8" t="s">
        <v>225</v>
      </c>
    </row>
    <row r="5594" spans="1:3" x14ac:dyDescent="0.25">
      <c r="A5594" s="8" t="str">
        <f>"87th Annual International School of Hydrocarbon Measurement 2012, ISHM 2012"</f>
        <v>87th Annual International School of Hydrocarbon Measurement 2012, ISHM 2012</v>
      </c>
      <c r="B5594" s="8" t="str">
        <f>"9781622764136"</f>
        <v>9781622764136</v>
      </c>
      <c r="C5594" s="8" t="s">
        <v>1587</v>
      </c>
    </row>
    <row r="5595" spans="1:3" x14ac:dyDescent="0.25">
      <c r="A5595" s="8" t="str">
        <f>"88th Annual International School of Hydrocarbon Measurement 2013"</f>
        <v>88th Annual International School of Hydrocarbon Measurement 2013</v>
      </c>
      <c r="B5595" s="8" t="str">
        <f>"9781627487658"</f>
        <v>9781627487658</v>
      </c>
      <c r="C5595" s="8" t="s">
        <v>1587</v>
      </c>
    </row>
    <row r="5596" spans="1:3" x14ac:dyDescent="0.25">
      <c r="A5596" s="8" t="str">
        <f>"8th ACIS International Conference on Software Engineering Research, Management and Applications, SERA 2010"</f>
        <v>8th ACIS International Conference on Software Engineering Research, Management and Applications, SERA 2010</v>
      </c>
      <c r="B5596" s="8" t="str">
        <f>"9780769540757"</f>
        <v>9780769540757</v>
      </c>
      <c r="C5596" s="8" t="s">
        <v>9</v>
      </c>
    </row>
    <row r="5597" spans="1:3" x14ac:dyDescent="0.25">
      <c r="A5597" s="8" t="str">
        <f>"8th ACM/IEEE International Conference on Formal Methods and Models for Codesign, MEMOCODE 2010"</f>
        <v>8th ACM/IEEE International Conference on Formal Methods and Models for Codesign, MEMOCODE 2010</v>
      </c>
      <c r="B5597" s="8" t="str">
        <f>"9781424478859"</f>
        <v>9781424478859</v>
      </c>
      <c r="C5597" s="8" t="s">
        <v>9</v>
      </c>
    </row>
    <row r="5598" spans="1:3" x14ac:dyDescent="0.25">
      <c r="A5598" s="8" t="str">
        <f>"8th AIAA Aviation Technology, Integration and Operations (ATIO) Conference"</f>
        <v>8th AIAA Aviation Technology, Integration and Operations (ATIO) Conference</v>
      </c>
      <c r="B5598" s="8" t="str">
        <f>"-"</f>
        <v>-</v>
      </c>
      <c r="C5598" s="8" t="s">
        <v>104</v>
      </c>
    </row>
    <row r="5599" spans="1:3" x14ac:dyDescent="0.25">
      <c r="A5599" s="8" t="str">
        <f>"8th AIAA/ASME Joint Thermophysics and Heat Transfer Conference"</f>
        <v>8th AIAA/ASME Joint Thermophysics and Heat Transfer Conference</v>
      </c>
      <c r="B5599" s="8" t="str">
        <f>"9781624101182"</f>
        <v>9781624101182</v>
      </c>
      <c r="C5599" s="8" t="s">
        <v>104</v>
      </c>
    </row>
    <row r="5600" spans="1:3" x14ac:dyDescent="0.25">
      <c r="A5600" s="8" t="str">
        <f>"8th AIAA/CEAS Aeroacoustics Conference and Exhibit"</f>
        <v>8th AIAA/CEAS Aeroacoustics Conference and Exhibit</v>
      </c>
      <c r="B5600" s="8" t="str">
        <f>"9781624101199"</f>
        <v>9781624101199</v>
      </c>
      <c r="C5600" s="8" t="s">
        <v>104</v>
      </c>
    </row>
    <row r="5601" spans="1:3" x14ac:dyDescent="0.25">
      <c r="A5601" s="8" t="str">
        <f>"8th Annual Applied Ergonomics Conference Proceedings"</f>
        <v>8th Annual Applied Ergonomics Conference Proceedings</v>
      </c>
      <c r="B5601" s="8" t="str">
        <f>"-"</f>
        <v>-</v>
      </c>
      <c r="C5601" s="8" t="s">
        <v>530</v>
      </c>
    </row>
    <row r="5602" spans="1:3" x14ac:dyDescent="0.25">
      <c r="A5602" s="8" t="str">
        <f>"8th Annual IEEE International Conference on Nano/Micro Engineered and Molecular Systems, IEEE NEMS 2013"</f>
        <v>8th Annual IEEE International Conference on Nano/Micro Engineered and Molecular Systems, IEEE NEMS 2013</v>
      </c>
      <c r="B5602" s="8" t="str">
        <f>"9781467363525"</f>
        <v>9781467363525</v>
      </c>
      <c r="C5602" s="8" t="s">
        <v>9</v>
      </c>
    </row>
    <row r="5603" spans="1:3" x14ac:dyDescent="0.25">
      <c r="A5603" s="8" t="str">
        <f>"8th Annual International Energy Conversion Engineering Conference"</f>
        <v>8th Annual International Energy Conversion Engineering Conference</v>
      </c>
      <c r="B5603" s="8" t="str">
        <f>"-"</f>
        <v>-</v>
      </c>
      <c r="C5603" s="8" t="s">
        <v>104</v>
      </c>
    </row>
    <row r="5604" spans="1:3" x14ac:dyDescent="0.25">
      <c r="A5604" s="8" t="str">
        <f>"8th Annual Water Distribution Systems Analysis Symposium 2006"</f>
        <v>8th Annual Water Distribution Systems Analysis Symposium 2006</v>
      </c>
      <c r="B5604" s="8" t="str">
        <f>"-"</f>
        <v>-</v>
      </c>
      <c r="C5604" s="8" t="s">
        <v>111</v>
      </c>
    </row>
    <row r="5605" spans="1:3" x14ac:dyDescent="0.25">
      <c r="A5605" s="8" t="str">
        <f>"8th Asian-Australasian Conference on Composite Materials 2012, ACCM 2012 - Composites: Enabling Tomorrow's Industry Today"</f>
        <v>8th Asian-Australasian Conference on Composite Materials 2012, ACCM 2012 - Composites: Enabling Tomorrow's Industry Today</v>
      </c>
      <c r="B5605" s="8" t="str">
        <f>"9781629930664"</f>
        <v>9781629930664</v>
      </c>
      <c r="C5605" s="8" t="s">
        <v>1588</v>
      </c>
    </row>
    <row r="5606" spans="1:3" x14ac:dyDescent="0.25">
      <c r="A5606" s="8" t="str">
        <f>"8th Asia-Pacific Symposium on Information and Telecommunication Technologies, APSITT 2010"</f>
        <v>8th Asia-Pacific Symposium on Information and Telecommunication Technologies, APSITT 2010</v>
      </c>
      <c r="B5606" s="8" t="str">
        <f>"9781424464135"</f>
        <v>9781424464135</v>
      </c>
      <c r="C5606" s="8" t="s">
        <v>9</v>
      </c>
    </row>
    <row r="5607" spans="1:3" x14ac:dyDescent="0.25">
      <c r="A5607" s="8" t="str">
        <f>"8th Australasian Congress on Applied Mechanics, ACAM 2014, as Part of Engineers Australia Convention 2014"</f>
        <v>8th Australasian Congress on Applied Mechanics, ACAM 2014, as Part of Engineers Australia Convention 2014</v>
      </c>
      <c r="B5607" s="8" t="str">
        <f>"9781922107350"</f>
        <v>9781922107350</v>
      </c>
      <c r="C5607" s="8" t="s">
        <v>1271</v>
      </c>
    </row>
    <row r="5608" spans="1:3" x14ac:dyDescent="0.25">
      <c r="A5608" s="8" t="str">
        <f>"8th Australian Communication Theory Workshop, AusCTW 2007"</f>
        <v>8th Australian Communication Theory Workshop, AusCTW 2007</v>
      </c>
      <c r="B5608" s="8" t="str">
        <f>"9781424407415"</f>
        <v>9781424407415</v>
      </c>
      <c r="C5608" s="8" t="s">
        <v>9</v>
      </c>
    </row>
    <row r="5609" spans="1:3" x14ac:dyDescent="0.25">
      <c r="A5609" s="8" t="str">
        <f>"8th Conference of the European Society for Fuzzy Logic and Technology, EUSFLAT 2013 - Advances in Intelligent Systems Research"</f>
        <v>8th Conference of the European Society for Fuzzy Logic and Technology, EUSFLAT 2013 - Advances in Intelligent Systems Research</v>
      </c>
      <c r="B5609" s="8" t="str">
        <f>"9781629932194"</f>
        <v>9781629932194</v>
      </c>
      <c r="C5609" s="8" t="s">
        <v>1380</v>
      </c>
    </row>
    <row r="5610" spans="1:3" x14ac:dyDescent="0.25">
      <c r="A5610" s="8" t="str">
        <f>"8th Conference Quark Confinement and the Hadron Spectrum"</f>
        <v>8th Conference Quark Confinement and the Hadron Spectrum</v>
      </c>
      <c r="B5610" s="8" t="str">
        <f>"-"</f>
        <v>-</v>
      </c>
      <c r="C5610" s="8" t="s">
        <v>962</v>
      </c>
    </row>
    <row r="5611" spans="1:3" x14ac:dyDescent="0.25">
      <c r="A5611" s="8" t="str">
        <f>"8th EURO-NF Conference on Next Generation Internet, NGI 2012 - Proceedings"</f>
        <v>8th EURO-NF Conference on Next Generation Internet, NGI 2012 - Proceedings</v>
      </c>
      <c r="B5611" s="8" t="str">
        <f>"9781467316347"</f>
        <v>9781467316347</v>
      </c>
      <c r="C5611" s="8" t="s">
        <v>9</v>
      </c>
    </row>
    <row r="5612" spans="1:3" x14ac:dyDescent="0.25">
      <c r="A5612" s="8" t="str">
        <f>"8th European Conference on Antennas and Propagation, EuCAP 2014"</f>
        <v>8th European Conference on Antennas and Propagation, EuCAP 2014</v>
      </c>
      <c r="B5612" s="8" t="str">
        <f>"9788890701849"</f>
        <v>9788890701849</v>
      </c>
      <c r="C5612" s="8" t="s">
        <v>105</v>
      </c>
    </row>
    <row r="5613" spans="1:3" x14ac:dyDescent="0.25">
      <c r="A5613" s="8" t="str">
        <f>"8th European Conference on Information Warfare and Security 2009, ECIW 2009"</f>
        <v>8th European Conference on Information Warfare and Security 2009, ECIW 2009</v>
      </c>
      <c r="B5613" s="8" t="str">
        <f>"9781622765348"</f>
        <v>9781622765348</v>
      </c>
      <c r="C5613" s="8" t="s">
        <v>973</v>
      </c>
    </row>
    <row r="5614" spans="1:3" x14ac:dyDescent="0.25">
      <c r="A5614" s="8" t="str">
        <f>"8th European Conference on Noise Control 2009, EURONOISE 2009 - Proceedings of the Institute of Acoustics"</f>
        <v>8th European Conference on Noise Control 2009, EURONOISE 2009 - Proceedings of the Institute of Acoustics</v>
      </c>
      <c r="B5614" s="8" t="str">
        <f>"9781615676804"</f>
        <v>9781615676804</v>
      </c>
      <c r="C5614" s="8" t="s">
        <v>27</v>
      </c>
    </row>
    <row r="5615" spans="1:3" x14ac:dyDescent="0.25">
      <c r="A5615" s="8" t="str">
        <f>"8th European Conference on Turbomachinery: Fluid Dynamics and Thermodynamics, ETC 2009 - Conference Proceedings"</f>
        <v>8th European Conference on Turbomachinery: Fluid Dynamics and Thermodynamics, ETC 2009 - Conference Proceedings</v>
      </c>
      <c r="B5615" s="8" t="str">
        <f>"9783851250367"</f>
        <v>9783851250367</v>
      </c>
      <c r="C5615" s="8" t="s">
        <v>1589</v>
      </c>
    </row>
    <row r="5616" spans="1:3" x14ac:dyDescent="0.25">
      <c r="A5616" s="8" t="str">
        <f>"8th European Workshop on Beam Diagnostics and Instrumentation for Particle Accelerators, DIPAC 2007"</f>
        <v>8th European Workshop on Beam Diagnostics and Instrumentation for Particle Accelerators, DIPAC 2007</v>
      </c>
      <c r="B5616" s="8" t="str">
        <f>"-"</f>
        <v>-</v>
      </c>
      <c r="C5616" s="8" t="s">
        <v>1590</v>
      </c>
    </row>
    <row r="5617" spans="1:3" x14ac:dyDescent="0.25">
      <c r="A5617" s="8" t="str">
        <f>"8th FPGAworld Conference - Academic Proceedings 2011, FPGAworld 2011"</f>
        <v>8th FPGAworld Conference - Academic Proceedings 2011, FPGAworld 2011</v>
      </c>
      <c r="B5617" s="8" t="str">
        <f>"9781450310215"</f>
        <v>9781450310215</v>
      </c>
      <c r="C5617" s="8" t="s">
        <v>21</v>
      </c>
    </row>
    <row r="5618" spans="1:3" x14ac:dyDescent="0.25">
      <c r="A5618" s="8" t="str">
        <f>"8th FPNI Ph.D Symposium on Fluid Power, FPNI 2014"</f>
        <v>8th FPNI Ph.D Symposium on Fluid Power, FPNI 2014</v>
      </c>
      <c r="B5618" s="8" t="str">
        <f>"9780791845820"</f>
        <v>9780791845820</v>
      </c>
      <c r="C5618" s="8" t="s">
        <v>1308</v>
      </c>
    </row>
    <row r="5619" spans="1:3" x14ac:dyDescent="0.25">
      <c r="A5619" s="8" t="str">
        <f>"8th IEEE and IFIP International Conference on Wireless and Optical Communications Networks, WOCN2011"</f>
        <v>8th IEEE and IFIP International Conference on Wireless and Optical Communications Networks, WOCN2011</v>
      </c>
      <c r="B5619" s="8" t="str">
        <f>"9781457702600"</f>
        <v>9781457702600</v>
      </c>
      <c r="C5619" s="8" t="s">
        <v>9</v>
      </c>
    </row>
    <row r="5620" spans="1:3" x14ac:dyDescent="0.25">
      <c r="A5620" s="8" t="str">
        <f>"8th IEEE International Conference on Application of Information and Communication Technologies, AICT 2014 - Conference Proceedings"</f>
        <v>8th IEEE International Conference on Application of Information and Communication Technologies, AICT 2014 - Conference Proceedings</v>
      </c>
      <c r="B5620" s="8" t="str">
        <f>"9781479941209"</f>
        <v>9781479941209</v>
      </c>
      <c r="C5620" s="8" t="s">
        <v>105</v>
      </c>
    </row>
    <row r="5621" spans="1:3" x14ac:dyDescent="0.25">
      <c r="A5621" s="8" t="str">
        <f>"8th IEEE International Conference on BioInformatics and BioEngineering, BIBE 2008"</f>
        <v>8th IEEE International Conference on BioInformatics and BioEngineering, BIBE 2008</v>
      </c>
      <c r="B5621" s="8" t="str">
        <f>"9781424428458"</f>
        <v>9781424428458</v>
      </c>
      <c r="C5621" s="8" t="s">
        <v>9</v>
      </c>
    </row>
    <row r="5622" spans="1:3" x14ac:dyDescent="0.25">
      <c r="A5622" s="8" t="str">
        <f>"8th IEEE International Symposium on Dependable, Autonomic and Secure Computing, DASC 2009"</f>
        <v>8th IEEE International Symposium on Dependable, Autonomic and Secure Computing, DASC 2009</v>
      </c>
      <c r="B5622" s="8" t="str">
        <f>"9780769539294"</f>
        <v>9780769539294</v>
      </c>
      <c r="C5622" s="8" t="s">
        <v>9</v>
      </c>
    </row>
    <row r="5623" spans="1:3" x14ac:dyDescent="0.25">
      <c r="A5623" s="8" t="str">
        <f>"8th IEEE International Vacuum Electronics Conference, IVEC 2007"</f>
        <v>8th IEEE International Vacuum Electronics Conference, IVEC 2007</v>
      </c>
      <c r="B5623" s="8" t="str">
        <f>"9781424406333"</f>
        <v>9781424406333</v>
      </c>
      <c r="C5623" s="8" t="s">
        <v>9</v>
      </c>
    </row>
    <row r="5624" spans="1:3" x14ac:dyDescent="0.25">
      <c r="A5624" s="8" t="str">
        <f>"8th IEEE International Workshop on Safety, Security, and Rescue Robotics, SSRR-2010"</f>
        <v>8th IEEE International Workshop on Safety, Security, and Rescue Robotics, SSRR-2010</v>
      </c>
      <c r="B5624" s="8" t="str">
        <f>"9781424488995"</f>
        <v>9781424488995</v>
      </c>
      <c r="C5624" s="8" t="s">
        <v>9</v>
      </c>
    </row>
    <row r="5625" spans="1:3" x14ac:dyDescent="0.25">
      <c r="A5625" s="8" t="str">
        <f>"8th IFIP World Conference on Computers in Education, WCCE 2005"</f>
        <v>8th IFIP World Conference on Computers in Education, WCCE 2005</v>
      </c>
      <c r="B5625" s="8" t="str">
        <f>"-"</f>
        <v>-</v>
      </c>
      <c r="C5625" s="8" t="s">
        <v>110</v>
      </c>
    </row>
    <row r="5626" spans="1:3" x14ac:dyDescent="0.25">
      <c r="A5626" s="8" t="str">
        <f>"8th Innovative Research Workshop and Exhibition, Proceedings"</f>
        <v>8th Innovative Research Workshop and Exhibition, Proceedings</v>
      </c>
      <c r="B5626" s="8" t="str">
        <f>"-"</f>
        <v>-</v>
      </c>
      <c r="C5626" s="8" t="s">
        <v>1532</v>
      </c>
    </row>
    <row r="5627" spans="1:3" x14ac:dyDescent="0.25">
      <c r="A5627" s="8" t="str">
        <f>"8th International Conference Advanced Communication Technology, ICACT 2006 - Proceedings"</f>
        <v>8th International Conference Advanced Communication Technology, ICACT 2006 - Proceedings</v>
      </c>
      <c r="B5627" s="8" t="str">
        <f>"9788955191295"</f>
        <v>9788955191295</v>
      </c>
      <c r="C5627" s="8" t="s">
        <v>9</v>
      </c>
    </row>
    <row r="5628" spans="1:3" x14ac:dyDescent="0.25">
      <c r="A5628" s="8" t="str">
        <f>"8th International Conference of the Slovenian Society for Non-Destructive Testing: Application of Contemporary Non-Destructive Testing in Engineering"</f>
        <v>8th International Conference of the Slovenian Society for Non-Destructive Testing: Application of Contemporary Non-Destructive Testing in Engineering</v>
      </c>
      <c r="B5628" s="8" t="str">
        <f>"-"</f>
        <v>-</v>
      </c>
      <c r="C5628" s="8" t="s">
        <v>1591</v>
      </c>
    </row>
    <row r="5629" spans="1:3" x14ac:dyDescent="0.25">
      <c r="A5629" s="8" t="str">
        <f>"8th International Conference on Antenna Theory and Techniques, ICATT'11"</f>
        <v>8th International Conference on Antenna Theory and Techniques, ICATT'11</v>
      </c>
      <c r="B5629" s="8" t="str">
        <f>"9781467300018"</f>
        <v>9781467300018</v>
      </c>
      <c r="C5629" s="8" t="s">
        <v>9</v>
      </c>
    </row>
    <row r="5630" spans="1:3" x14ac:dyDescent="0.25">
      <c r="A5630" s="8" t="str">
        <f>"8th International Conference on Auditorium Acoustics 2011, Proceedings of the Institute of Acoustics"</f>
        <v>8th International Conference on Auditorium Acoustics 2011, Proceedings of the Institute of Acoustics</v>
      </c>
      <c r="B5630" s="8" t="str">
        <f>"9781617829697"</f>
        <v>9781617829697</v>
      </c>
      <c r="C5630" s="8" t="s">
        <v>27</v>
      </c>
    </row>
    <row r="5631" spans="1:3" x14ac:dyDescent="0.25">
      <c r="A5631" s="8" t="str">
        <f>"8th International Conference on Autonomic Computing, ICAC 2011 and Co-located Workshops - Proceedings of the 2011 Workshop - International E-Energy Market Challenge, IEEMC'11"</f>
        <v>8th International Conference on Autonomic Computing, ICAC 2011 and Co-located Workshops - Proceedings of the 2011 Workshop - International E-Energy Market Challenge, IEEMC'11</v>
      </c>
      <c r="B5631" s="8" t="str">
        <f>"9781450307376"</f>
        <v>9781450307376</v>
      </c>
      <c r="C5631" s="8" t="s">
        <v>21</v>
      </c>
    </row>
    <row r="5632" spans="1:3" x14ac:dyDescent="0.25">
      <c r="A5632" s="8" t="str">
        <f>"8th International Conference on Autonomic Computing, ICAC 2011 and Co-located Workshops - Proceedings of the 2011 Workshop on Organic Computing, OC'11"</f>
        <v>8th International Conference on Autonomic Computing, ICAC 2011 and Co-located Workshops - Proceedings of the 2011 Workshop on Organic Computing, OC'11</v>
      </c>
      <c r="B5632" s="8" t="str">
        <f>"9781450307369"</f>
        <v>9781450307369</v>
      </c>
      <c r="C5632" s="8" t="s">
        <v>21</v>
      </c>
    </row>
    <row r="5633" spans="1:3" x14ac:dyDescent="0.25">
      <c r="A5633" s="8" t="str">
        <f>"8th International Conference on Autonomic Computing, ICAC 2011 Co-located Workshops - Proceedings of the 1st ACM/IEEE Workshop on Autonomic Computing in Economics, ACE'11"</f>
        <v>8th International Conference on Autonomic Computing, ICAC 2011 Co-located Workshops - Proceedings of the 1st ACM/IEEE Workshop on Autonomic Computing in Economics, ACE'11</v>
      </c>
      <c r="B5633" s="8" t="str">
        <f>"9781450307345"</f>
        <v>9781450307345</v>
      </c>
      <c r="C5633" s="8" t="s">
        <v>21</v>
      </c>
    </row>
    <row r="5634" spans="1:3" x14ac:dyDescent="0.25">
      <c r="A5634" s="8" t="str">
        <f>"8th International Conference on Autonomic Computing, ICAC 2011 Co-located Workshops - Proceedings of the 3rd Workshop on Biologically Inspired Algorithms for Distributed Systems, BADS 2011"</f>
        <v>8th International Conference on Autonomic Computing, ICAC 2011 Co-located Workshops - Proceedings of the 3rd Workshop on Biologically Inspired Algorithms for Distributed Systems, BADS 2011</v>
      </c>
      <c r="B5634" s="8" t="str">
        <f>"9781450307338"</f>
        <v>9781450307338</v>
      </c>
      <c r="C5634" s="8" t="s">
        <v>21</v>
      </c>
    </row>
    <row r="5635" spans="1:3" x14ac:dyDescent="0.25">
      <c r="A5635" s="8" t="str">
        <f>"8th International Conference on Bioinformatics, InCoB 2009: Bioinformatics - Proceedings from Asia Pacific Bioinformatics Network (APBioNet)"</f>
        <v>8th International Conference on Bioinformatics, InCoB 2009: Bioinformatics - Proceedings from Asia Pacific Bioinformatics Network (APBioNet)</v>
      </c>
      <c r="B5635" s="8" t="str">
        <f>"-"</f>
        <v>-</v>
      </c>
      <c r="C5635" s="8" t="s">
        <v>1199</v>
      </c>
    </row>
    <row r="5636" spans="1:3" x14ac:dyDescent="0.25">
      <c r="A5636" s="8" t="str">
        <f>"8th International Conference on Bioinformatics: Computational Biology, InCoB 2009 - Proceedings from Asia Pacific Bioinformatics Network (APBioNet)"</f>
        <v>8th International Conference on Bioinformatics: Computational Biology, InCoB 2009 - Proceedings from Asia Pacific Bioinformatics Network (APBioNet)</v>
      </c>
      <c r="B5636" s="8" t="str">
        <f>"-"</f>
        <v>-</v>
      </c>
      <c r="C5636" s="8" t="s">
        <v>1199</v>
      </c>
    </row>
    <row r="5637" spans="1:3" x14ac:dyDescent="0.25">
      <c r="A5637" s="8" t="str">
        <f>"8th International Conference on Creating, Connecting and Collaborating through Computing, C5 2010"</f>
        <v>8th International Conference on Creating, Connecting and Collaborating through Computing, C5 2010</v>
      </c>
      <c r="B5637" s="8" t="str">
        <f>"9780769540290"</f>
        <v>9780769540290</v>
      </c>
      <c r="C5637" s="8" t="s">
        <v>9</v>
      </c>
    </row>
    <row r="5638" spans="1:3" x14ac:dyDescent="0.25">
      <c r="A5638" s="8" t="str">
        <f>"8th International Conference on Design and Emotion: Out of Control - Proceedings"</f>
        <v>8th International Conference on Design and Emotion: Out of Control - Proceedings</v>
      </c>
      <c r="B5638" s="8" t="str">
        <f>"9780957071926"</f>
        <v>9780957071926</v>
      </c>
      <c r="C5638" s="8" t="s">
        <v>1592</v>
      </c>
    </row>
    <row r="5639" spans="1:3" x14ac:dyDescent="0.25">
      <c r="A5639" s="8" t="str">
        <f>"8th International Conference on Digital Audio Effects, DAFx 2005 - Proceedings"</f>
        <v>8th International Conference on Digital Audio Effects, DAFx 2005 - Proceedings</v>
      </c>
      <c r="B5639" s="8" t="str">
        <f>"9788474023183"</f>
        <v>9788474023183</v>
      </c>
      <c r="C5639" s="8" t="s">
        <v>1593</v>
      </c>
    </row>
    <row r="5640" spans="1:3" x14ac:dyDescent="0.25">
      <c r="A5640" s="8" t="str">
        <f>"8th International Conference on Digital Information Management, ICDIM 2013"</f>
        <v>8th International Conference on Digital Information Management, ICDIM 2013</v>
      </c>
      <c r="B5640" s="8" t="str">
        <f>"9781479906130"</f>
        <v>9781479906130</v>
      </c>
      <c r="C5640" s="8" t="s">
        <v>9</v>
      </c>
    </row>
    <row r="5641" spans="1:3" x14ac:dyDescent="0.25">
      <c r="A5641" s="8" t="str">
        <f>"8th International Conference on Electric Fuses and their Applications, ICEFA"</f>
        <v>8th International Conference on Electric Fuses and their Applications, ICEFA</v>
      </c>
      <c r="B5641" s="8" t="str">
        <f>"9782845163638"</f>
        <v>9782845163638</v>
      </c>
      <c r="C5641" s="8" t="s">
        <v>9</v>
      </c>
    </row>
    <row r="5642" spans="1:3" x14ac:dyDescent="0.25">
      <c r="A5642" s="8" t="str">
        <f>"8th International Conference on Electrical and Computer Engineering: Advancing Technology for a Better Tomorrow, ICECE 2014"</f>
        <v>8th International Conference on Electrical and Computer Engineering: Advancing Technology for a Better Tomorrow, ICECE 2014</v>
      </c>
      <c r="B5642" s="8" t="str">
        <f>"9781479941667"</f>
        <v>9781479941667</v>
      </c>
      <c r="C5642" s="8" t="s">
        <v>105</v>
      </c>
    </row>
    <row r="5643" spans="1:3" x14ac:dyDescent="0.25">
      <c r="A5643" s="8" t="str">
        <f>"8th International Conference on Electrical and Control Technologies, ECT 2013"</f>
        <v>8th International Conference on Electrical and Control Technologies, ECT 2013</v>
      </c>
      <c r="B5643" s="8" t="str">
        <f>"9781634398022"</f>
        <v>9781634398022</v>
      </c>
      <c r="C5643" s="8" t="s">
        <v>1140</v>
      </c>
    </row>
    <row r="5644" spans="1:3" x14ac:dyDescent="0.25">
      <c r="A5644" s="8" t="str">
        <f>"8th International Conference on Environmental Engineering, ICEE 2011"</f>
        <v>8th International Conference on Environmental Engineering, ICEE 2011</v>
      </c>
      <c r="B5644" s="8" t="str">
        <f>"9789955288312"</f>
        <v>9789955288312</v>
      </c>
      <c r="C5644" s="8" t="s">
        <v>1576</v>
      </c>
    </row>
    <row r="5645" spans="1:3" x14ac:dyDescent="0.25">
      <c r="A5645" s="8" t="str">
        <f>"8th International Conference on Facility Operations: Safeguards Interface 2008"</f>
        <v>8th International Conference on Facility Operations: Safeguards Interface 2008</v>
      </c>
      <c r="B5645" s="8" t="str">
        <f>"9781615670154"</f>
        <v>9781615670154</v>
      </c>
      <c r="C5645" s="8" t="s">
        <v>453</v>
      </c>
    </row>
    <row r="5646" spans="1:3" x14ac:dyDescent="0.25">
      <c r="A5646" s="8" t="str">
        <f>"8th International Conference on Grid and Cooperative Computing, GCC 2009"</f>
        <v>8th International Conference on Grid and Cooperative Computing, GCC 2009</v>
      </c>
      <c r="B5646" s="8" t="str">
        <f>"9780769537665"</f>
        <v>9780769537665</v>
      </c>
      <c r="C5646" s="8" t="s">
        <v>9</v>
      </c>
    </row>
    <row r="5647" spans="1:3" x14ac:dyDescent="0.25">
      <c r="A5647" s="8" t="str">
        <f>"8th International Conference on High-Capacity Optical Networks and Emerging Technologies, HONET 2011"</f>
        <v>8th International Conference on High-Capacity Optical Networks and Emerging Technologies, HONET 2011</v>
      </c>
      <c r="B5647" s="8" t="str">
        <f>"9781457711695"</f>
        <v>9781457711695</v>
      </c>
      <c r="C5647" s="8" t="s">
        <v>9</v>
      </c>
    </row>
    <row r="5648" spans="1:3" x14ac:dyDescent="0.25">
      <c r="A5648" s="8" t="str">
        <f>"8th International Conference on Information Warfare and Security, ICIW 2013"</f>
        <v>8th International Conference on Information Warfare and Security, ICIW 2013</v>
      </c>
      <c r="B5648" s="8" t="str">
        <f>"9781627480178"</f>
        <v>9781627480178</v>
      </c>
      <c r="C5648" s="8" t="s">
        <v>394</v>
      </c>
    </row>
    <row r="5649" spans="1:3" x14ac:dyDescent="0.25">
      <c r="A5649" s="8" t="str">
        <f>"8th International Conference on Intelligent Games and Simulation, GAME-ON 2007"</f>
        <v>8th International Conference on Intelligent Games and Simulation, GAME-ON 2007</v>
      </c>
      <c r="B5649" s="8" t="str">
        <f>"9789077381373"</f>
        <v>9789077381373</v>
      </c>
      <c r="C5649" s="8" t="s">
        <v>1206</v>
      </c>
    </row>
    <row r="5650" spans="1:3" x14ac:dyDescent="0.25">
      <c r="A5650" s="8" t="str">
        <f>"8th International Conference on Laser and Fiber-Optical Networks Modeling, LFNM 2006"</f>
        <v>8th International Conference on Laser and Fiber-Optical Networks Modeling, LFNM 2006</v>
      </c>
      <c r="B5650" s="8" t="str">
        <f>"9781424402335"</f>
        <v>9781424402335</v>
      </c>
      <c r="C5650" s="8" t="s">
        <v>9</v>
      </c>
    </row>
    <row r="5651" spans="1:3" x14ac:dyDescent="0.25">
      <c r="A5651" s="8" t="str">
        <f>"8th International Conference on Machine Learning and Applications, ICMLA 2009"</f>
        <v>8th International Conference on Machine Learning and Applications, ICMLA 2009</v>
      </c>
      <c r="B5651" s="8" t="str">
        <f>"9780769539263"</f>
        <v>9780769539263</v>
      </c>
      <c r="C5651" s="8" t="s">
        <v>9</v>
      </c>
    </row>
    <row r="5652" spans="1:3" x14ac:dyDescent="0.25">
      <c r="A5652" s="8" t="str">
        <f>"8th International Conference on Path Integrals: From Quantum Information to Cosmology, PI 2005"</f>
        <v>8th International Conference on Path Integrals: From Quantum Information to Cosmology, PI 2005</v>
      </c>
      <c r="B5652" s="8" t="str">
        <f>"-"</f>
        <v>-</v>
      </c>
      <c r="C5652" s="8" t="s">
        <v>259</v>
      </c>
    </row>
    <row r="5653" spans="1:3" x14ac:dyDescent="0.25">
      <c r="A5653" s="8" t="s">
        <v>1594</v>
      </c>
      <c r="B5653" s="8" t="str">
        <f>"9781612849560"</f>
        <v>9781612849560</v>
      </c>
      <c r="C5653" s="8" t="s">
        <v>9</v>
      </c>
    </row>
    <row r="5654" spans="1:3" x14ac:dyDescent="0.25">
      <c r="A5654" s="8" t="str">
        <f>"8th International Conference on Service Systems and Service Management - Proceedings of ICSSSM'11"</f>
        <v>8th International Conference on Service Systems and Service Management - Proceedings of ICSSSM'11</v>
      </c>
      <c r="B5654" s="8" t="str">
        <f>"9781612843094"</f>
        <v>9781612843094</v>
      </c>
      <c r="C5654" s="8" t="s">
        <v>9</v>
      </c>
    </row>
    <row r="5655" spans="1:3" x14ac:dyDescent="0.25">
      <c r="A5655" s="8" t="str">
        <f>"8th International Conference on Signal Image Technology and Internet Based Systems, SITIS 2012r"</f>
        <v>8th International Conference on Signal Image Technology and Internet Based Systems, SITIS 2012r</v>
      </c>
      <c r="B5655" s="8" t="str">
        <f>"9780769549118"</f>
        <v>9780769549118</v>
      </c>
      <c r="C5655" s="8" t="s">
        <v>9</v>
      </c>
    </row>
    <row r="5656" spans="1:3" x14ac:dyDescent="0.25">
      <c r="A5656" s="8" t="str">
        <f>"8th International Conference on Simulation and Modelling in the Food and Bio-Industry 2014, FOODSIM 2014"</f>
        <v>8th International Conference on Simulation and Modelling in the Food and Bio-Industry 2014, FOODSIM 2014</v>
      </c>
      <c r="B5656" s="8" t="str">
        <f>"9789077381847"</f>
        <v>9789077381847</v>
      </c>
      <c r="C5656" s="8" t="s">
        <v>1206</v>
      </c>
    </row>
    <row r="5657" spans="1:3" x14ac:dyDescent="0.25">
      <c r="A5657" s="8" t="str">
        <f>"8th International Conference on Strategic Management and its Support by Information Systems, 2009"</f>
        <v>8th International Conference on Strategic Management and its Support by Information Systems, 2009</v>
      </c>
      <c r="B5657" s="8" t="str">
        <f>"9781629933597"</f>
        <v>9781629933597</v>
      </c>
      <c r="C5657" s="8" t="s">
        <v>1595</v>
      </c>
    </row>
    <row r="5658" spans="1:3" x14ac:dyDescent="0.25">
      <c r="A5658" s="8" t="str">
        <f>"8th International Conference on Telecommunications in Modern Satellite, Cable and Broadcasting Services, TELSIKS 2007, Proceedings of Papers"</f>
        <v>8th International Conference on Telecommunications in Modern Satellite, Cable and Broadcasting Services, TELSIKS 2007, Proceedings of Papers</v>
      </c>
      <c r="B5658" s="8" t="str">
        <f>"9781424414680"</f>
        <v>9781424414680</v>
      </c>
      <c r="C5658" s="8" t="s">
        <v>9</v>
      </c>
    </row>
    <row r="5659" spans="1:3" x14ac:dyDescent="0.25">
      <c r="A5659" s="8" t="str">
        <f>"8th International Conference on Turbochargers and Turbocharging"</f>
        <v>8th International Conference on Turbochargers and Turbocharging</v>
      </c>
      <c r="B5659" s="8" t="str">
        <f>"-"</f>
        <v>-</v>
      </c>
      <c r="C5659" s="8" t="s">
        <v>1596</v>
      </c>
    </row>
    <row r="5660" spans="1:3" x14ac:dyDescent="0.25">
      <c r="A5660" s="8" t="str">
        <f>"8th International Forum on Strategic Technology 2013, IFOST 2013 - Proceedings"</f>
        <v>8th International Forum on Strategic Technology 2013, IFOST 2013 - Proceedings</v>
      </c>
      <c r="B5660" s="8" t="str">
        <f>"9781479909315"</f>
        <v>9781479909315</v>
      </c>
      <c r="C5660" s="8" t="s">
        <v>9</v>
      </c>
    </row>
    <row r="5661" spans="1:3" x14ac:dyDescent="0.25">
      <c r="A5661" s="8" t="str">
        <f>"8th International Heavy Minerals Conference 2011"</f>
        <v>8th International Heavy Minerals Conference 2011</v>
      </c>
      <c r="B5661" s="8" t="str">
        <f>"9781921522529"</f>
        <v>9781921522529</v>
      </c>
      <c r="C5661" s="8" t="s">
        <v>1597</v>
      </c>
    </row>
    <row r="5662" spans="1:3" x14ac:dyDescent="0.25">
      <c r="A5662" s="8" t="str">
        <f>"8th International Industrial Simulation Conference 2010, ISC 2010"</f>
        <v>8th International Industrial Simulation Conference 2010, ISC 2010</v>
      </c>
      <c r="B5662" s="8" t="str">
        <f>"9789077381557"</f>
        <v>9789077381557</v>
      </c>
      <c r="C5662" s="8" t="s">
        <v>1206</v>
      </c>
    </row>
    <row r="5663" spans="1:3" x14ac:dyDescent="0.25">
      <c r="A5663" s="8" t="str">
        <f>"8th International Mining Geology Conference 2011, Proceedings"</f>
        <v>8th International Mining Geology Conference 2011, Proceedings</v>
      </c>
      <c r="B5663" s="8" t="str">
        <f>"9781921522468"</f>
        <v>9781921522468</v>
      </c>
      <c r="C5663" s="8" t="s">
        <v>167</v>
      </c>
    </row>
    <row r="5664" spans="1:3" x14ac:dyDescent="0.25">
      <c r="A5664" s="8" t="str">
        <f>"8th International Power Engineering Conference, IPEC 2007"</f>
        <v>8th International Power Engineering Conference, IPEC 2007</v>
      </c>
      <c r="B5664" s="8" t="str">
        <f>"9789810594237"</f>
        <v>9789810594237</v>
      </c>
      <c r="C5664" s="8" t="s">
        <v>9</v>
      </c>
    </row>
    <row r="5665" spans="1:3" x14ac:dyDescent="0.25">
      <c r="A5665" s="8" t="str">
        <f>"8th International Scientific Conference on Modern Management of Mine Producing, Geology and Environmental Protection, SGEM 2008"</f>
        <v>8th International Scientific Conference on Modern Management of Mine Producing, Geology and Environmental Protection, SGEM 2008</v>
      </c>
      <c r="B5665" s="8" t="str">
        <f>"-"</f>
        <v>-</v>
      </c>
      <c r="C5665" s="8" t="s">
        <v>606</v>
      </c>
    </row>
    <row r="5666" spans="1:3" x14ac:dyDescent="0.25">
      <c r="A5666" s="8" t="str">
        <f>"8th International SPICE Conference on Software Process Improvement and Capability Determination, SPICE 2008"</f>
        <v>8th International SPICE Conference on Software Process Improvement and Capability Determination, SPICE 2008</v>
      </c>
      <c r="B5666" s="8" t="str">
        <f>"-"</f>
        <v>-</v>
      </c>
      <c r="C5666" s="8" t="s">
        <v>1506</v>
      </c>
    </row>
    <row r="5667" spans="1:3" x14ac:dyDescent="0.25">
      <c r="A5667" s="8" t="str">
        <f>"8th International Symposium of Hungarian Researchers on Computational Intelligence and Informatics, CINTI 2007"</f>
        <v>8th International Symposium of Hungarian Researchers on Computational Intelligence and Informatics, CINTI 2007</v>
      </c>
      <c r="B5667" s="8" t="str">
        <f>"-"</f>
        <v>-</v>
      </c>
      <c r="C5667" s="8" t="s">
        <v>1214</v>
      </c>
    </row>
    <row r="5668" spans="1:3" x14ac:dyDescent="0.25">
      <c r="A5668" s="8" t="str">
        <f>"8th International Symposium on Computers in Education Proceedings, SIIE 2006"</f>
        <v>8th International Symposium on Computers in Education Proceedings, SIIE 2006</v>
      </c>
      <c r="B5668" s="8" t="str">
        <f>"-"</f>
        <v>-</v>
      </c>
      <c r="C5668" s="8" t="s">
        <v>1598</v>
      </c>
    </row>
    <row r="5669" spans="1:3" x14ac:dyDescent="0.25">
      <c r="A5669" s="8" t="str">
        <f>"8th International Symposium on Parallel and Distributed Computing, ISPDC 2009"</f>
        <v>8th International Symposium on Parallel and Distributed Computing, ISPDC 2009</v>
      </c>
      <c r="B5669" s="8" t="str">
        <f>"9780769536804"</f>
        <v>9780769536804</v>
      </c>
      <c r="C5669" s="8" t="s">
        <v>9</v>
      </c>
    </row>
    <row r="5670" spans="1:3" x14ac:dyDescent="0.25">
      <c r="A5670" s="8" t="str">
        <f>"8th International Symposium on Superalloy 718 and Derivatives 2014"</f>
        <v>8th International Symposium on Superalloy 718 and Derivatives 2014</v>
      </c>
      <c r="B5670" s="8" t="str">
        <f>"9781634396424"</f>
        <v>9781634396424</v>
      </c>
      <c r="C5670" s="8" t="s">
        <v>87</v>
      </c>
    </row>
    <row r="5671" spans="1:3" x14ac:dyDescent="0.25">
      <c r="A5671" s="8" t="str">
        <f>"8th International Topical Meeting on Nuclear Applications and Utilization of Accelerators, ACCAPP'07"</f>
        <v>8th International Topical Meeting on Nuclear Applications and Utilization of Accelerators, ACCAPP'07</v>
      </c>
      <c r="B5671" s="8" t="str">
        <f>"9780894480546"</f>
        <v>9780894480546</v>
      </c>
      <c r="C5671" s="8" t="s">
        <v>453</v>
      </c>
    </row>
    <row r="5672" spans="1:3" x14ac:dyDescent="0.25">
      <c r="A5672" s="8" t="str">
        <f>"8th International Topical Meeting on Nuclear Plant Instrumentation, Control, and Human-Machine Interface Technologies 2012, NPIC and HMIT 2012: Enabling the Future of Nuclear Energy"</f>
        <v>8th International Topical Meeting on Nuclear Plant Instrumentation, Control, and Human-Machine Interface Technologies 2012, NPIC and HMIT 2012: Enabling the Future of Nuclear Energy</v>
      </c>
      <c r="B5672" s="8" t="str">
        <f>"9781627480154"</f>
        <v>9781627480154</v>
      </c>
      <c r="C5672" s="8" t="s">
        <v>453</v>
      </c>
    </row>
    <row r="5673" spans="1:3" x14ac:dyDescent="0.25">
      <c r="A5673" s="8" t="str">
        <f>"8th International Workshop for Technical, Economic and Legal Aspects of Business Models for Virtual Goods, Incorporating the 6th International Open Digital Rights Language Workshop, ODRL 2009"</f>
        <v>8th International Workshop for Technical, Economic and Legal Aspects of Business Models for Virtual Goods, Incorporating the 6th International Open Digital Rights Language Workshop, ODRL 2009</v>
      </c>
      <c r="B5673" s="8" t="str">
        <f>"-"</f>
        <v>-</v>
      </c>
      <c r="C5673" s="8" t="s">
        <v>1581</v>
      </c>
    </row>
    <row r="5674" spans="1:3" x14ac:dyDescent="0.25">
      <c r="A5674" s="8" t="str">
        <f>"8th International Workshop on Data Management on New Hardware, DaMoN 2012 - In Conjunction with ACM SIGMOD/PODS Conference"</f>
        <v>8th International Workshop on Data Management on New Hardware, DaMoN 2012 - In Conjunction with ACM SIGMOD/PODS Conference</v>
      </c>
      <c r="B5674" s="8" t="str">
        <f>"9781450314459"</f>
        <v>9781450314459</v>
      </c>
      <c r="C5674" s="8" t="s">
        <v>21</v>
      </c>
    </row>
    <row r="5675" spans="1:3" x14ac:dyDescent="0.25">
      <c r="A5675" s="8" t="str">
        <f>"8th International Workshop on Image Analysis for Multimedia Interactive Services, WIAMIS 2007"</f>
        <v>8th International Workshop on Image Analysis for Multimedia Interactive Services, WIAMIS 2007</v>
      </c>
      <c r="B5675" s="8" t="str">
        <f>"9780769528182"</f>
        <v>9780769528182</v>
      </c>
      <c r="C5675" s="8" t="s">
        <v>9</v>
      </c>
    </row>
    <row r="5676" spans="1:3" x14ac:dyDescent="0.25">
      <c r="A5676" s="8" t="str">
        <f>"8th Korea-Russia International Symposium on Science and Technology - Proceedings: KORUS 2004"</f>
        <v>8th Korea-Russia International Symposium on Science and Technology - Proceedings: KORUS 2004</v>
      </c>
      <c r="B5676" s="8" t="str">
        <f>"9780780383838"</f>
        <v>9780780383838</v>
      </c>
      <c r="C5676" s="8" t="s">
        <v>9</v>
      </c>
    </row>
    <row r="5677" spans="1:3" x14ac:dyDescent="0.25">
      <c r="A5677" s="8" t="str">
        <f>"8th Mexican International Conference on Artificial Intelligence - Proceedings of the Special Session, MICAI 2009"</f>
        <v>8th Mexican International Conference on Artificial Intelligence - Proceedings of the Special Session, MICAI 2009</v>
      </c>
      <c r="B5677" s="8" t="str">
        <f>"9780769539331"</f>
        <v>9780769539331</v>
      </c>
      <c r="C5677" s="8" t="s">
        <v>9</v>
      </c>
    </row>
    <row r="5678" spans="1:3" x14ac:dyDescent="0.25">
      <c r="A5678" s="8" t="str">
        <f>"8th National and 5th International Conference on e-Learning and e-Teaching, ICeLeT 2014"</f>
        <v>8th National and 5th International Conference on e-Learning and e-Teaching, ICeLeT 2014</v>
      </c>
      <c r="B5678" s="8" t="str">
        <f>"9781479948673"</f>
        <v>9781479948673</v>
      </c>
      <c r="C5678" s="8" t="s">
        <v>105</v>
      </c>
    </row>
    <row r="5679" spans="1:3" x14ac:dyDescent="0.25">
      <c r="A5679" s="8" t="str">
        <f>"8th Process Plant Safety Symposium 2006,  Held at the 2006 AIChE Spring National Meeting"</f>
        <v>8th Process Plant Safety Symposium 2006,  Held at the 2006 AIChE Spring National Meeting</v>
      </c>
      <c r="B5679" s="8" t="str">
        <f>"9781604235173"</f>
        <v>9781604235173</v>
      </c>
      <c r="C5679" s="8" t="s">
        <v>1219</v>
      </c>
    </row>
    <row r="5680" spans="1:3" x14ac:dyDescent="0.25">
      <c r="A5680" s="8" t="str">
        <f>"8th Seminar on Neural Network Applications in Electrical Engineering, Neurel-2006 Proceedings"</f>
        <v>8th Seminar on Neural Network Applications in Electrical Engineering, Neurel-2006 Proceedings</v>
      </c>
      <c r="B5680" s="8" t="str">
        <f>"9781424404339"</f>
        <v>9781424404339</v>
      </c>
      <c r="C5680" s="8" t="s">
        <v>9</v>
      </c>
    </row>
    <row r="5681" spans="1:3" x14ac:dyDescent="0.25">
      <c r="A5681" s="8" t="str">
        <f>"8th South African Conference on Computational and Applied Mechanics, SACAM 2012 - Conference Proceedings"</f>
        <v>8th South African Conference on Computational and Applied Mechanics, SACAM 2012 - Conference Proceedings</v>
      </c>
      <c r="B5681" s="8" t="str">
        <f>"9780869707289"</f>
        <v>9780869707289</v>
      </c>
      <c r="C5681" s="8" t="s">
        <v>1562</v>
      </c>
    </row>
    <row r="5682" spans="1:3" x14ac:dyDescent="0.25">
      <c r="A5682" s="8" t="str">
        <f>"8th SPE International Conference on Health, Safety and Environment in Oil and Gas Exploration and Production 2006"</f>
        <v>8th SPE International Conference on Health, Safety and Environment in Oil and Gas Exploration and Production 2006</v>
      </c>
      <c r="B5682" s="8" t="str">
        <f>"-"</f>
        <v>-</v>
      </c>
      <c r="C5682" s="8" t="s">
        <v>671</v>
      </c>
    </row>
    <row r="5683" spans="1:3" x14ac:dyDescent="0.25">
      <c r="A5683" s="8" t="str">
        <f>"8th Symposium on Multidisciplinary Analysis and Optimization"</f>
        <v>8th Symposium on Multidisciplinary Analysis and Optimization</v>
      </c>
      <c r="B5683" s="8" t="str">
        <f>"-"</f>
        <v>-</v>
      </c>
      <c r="C5683" s="8" t="s">
        <v>104</v>
      </c>
    </row>
    <row r="5684" spans="1:3" x14ac:dyDescent="0.25">
      <c r="A5684" s="8" t="str">
        <f>"8th Symposium on Space Resource Utilization"</f>
        <v>8th Symposium on Space Resource Utilization</v>
      </c>
      <c r="B5684" s="8" t="str">
        <f>"9781624103414"</f>
        <v>9781624103414</v>
      </c>
      <c r="C5684" s="8" t="s">
        <v>104</v>
      </c>
    </row>
    <row r="5685" spans="1:3" x14ac:dyDescent="0.25">
      <c r="A5685" s="8" t="str">
        <f>"8th Topical Conference on Natural Gas Utilization, Topical Conference at the 2008 AIChE Spring National Meeting"</f>
        <v>8th Topical Conference on Natural Gas Utilization, Topical Conference at the 2008 AIChE Spring National Meeting</v>
      </c>
      <c r="B5685" s="8" t="str">
        <f>"9781605602127"</f>
        <v>9781605602127</v>
      </c>
      <c r="C5685" s="8" t="s">
        <v>1219</v>
      </c>
    </row>
    <row r="5686" spans="1:3" x14ac:dyDescent="0.25">
      <c r="A5686" s="8" t="str">
        <f>"8th US National Combustion Meeting 2013"</f>
        <v>8th US National Combustion Meeting 2013</v>
      </c>
      <c r="B5686" s="8" t="str">
        <f>"-"</f>
        <v>-</v>
      </c>
      <c r="C5686" s="8" t="s">
        <v>1599</v>
      </c>
    </row>
    <row r="5687" spans="1:3" x14ac:dyDescent="0.25">
      <c r="A5687" s="8" t="str">
        <f>"8th US National Conference on Earthquake Engineering 2006"</f>
        <v>8th US National Conference on Earthquake Engineering 2006</v>
      </c>
      <c r="B5687" s="8" t="str">
        <f>"9781615670444"</f>
        <v>9781615670444</v>
      </c>
      <c r="C5687" s="8" t="s">
        <v>347</v>
      </c>
    </row>
    <row r="5688" spans="1:3" x14ac:dyDescent="0.25">
      <c r="A5688" s="8" t="str">
        <f>"8th World Biomaterials Congress 2008"</f>
        <v>8th World Biomaterials Congress 2008</v>
      </c>
      <c r="B5688" s="8" t="str">
        <f>"9781615670802"</f>
        <v>9781615670802</v>
      </c>
      <c r="C5688" s="8" t="s">
        <v>1600</v>
      </c>
    </row>
    <row r="5689" spans="1:3" x14ac:dyDescent="0.25">
      <c r="A5689" s="8" t="str">
        <f>"8th World Conference on Neutron Radiography, WCNR-8"</f>
        <v>8th World Conference on Neutron Radiography, WCNR-8</v>
      </c>
      <c r="B5689" s="8" t="str">
        <f>"9781932078749"</f>
        <v>9781932078749</v>
      </c>
      <c r="C5689" s="8" t="s">
        <v>1313</v>
      </c>
    </row>
    <row r="5690" spans="1:3" x14ac:dyDescent="0.25">
      <c r="A5690" s="8" t="str">
        <f>"8th World Congress on the Management of e-Business, WCMeB 2007 - Conference Proceedings"</f>
        <v>8th World Congress on the Management of e-Business, WCMeB 2007 - Conference Proceedings</v>
      </c>
      <c r="B5690" s="8" t="str">
        <f>"9780769528205"</f>
        <v>9780769528205</v>
      </c>
      <c r="C5690" s="8" t="s">
        <v>9</v>
      </c>
    </row>
    <row r="5691" spans="1:3" x14ac:dyDescent="0.25">
      <c r="A5691" s="8" t="str">
        <f>"8th WSEAS Intl. Conf. on Fluid Mechanics, FM'11, 8th WSEAS Intl. Conf. on Heat and Mass Transfer, HMT'11, 8th WSEAS Intl. Conf. on Mathematical Biology and Ecology, MABE'11"</f>
        <v>8th WSEAS Intl. Conf. on Fluid Mechanics, FM'11, 8th WSEAS Intl. Conf. on Heat and Mass Transfer, HMT'11, 8th WSEAS Intl. Conf. on Mathematical Biology and Ecology, MABE'11</v>
      </c>
      <c r="B5691" s="8" t="str">
        <f>"9789604742684"</f>
        <v>9789604742684</v>
      </c>
      <c r="C5691" s="8" t="s">
        <v>553</v>
      </c>
    </row>
    <row r="5692" spans="1:3" x14ac:dyDescent="0.25">
      <c r="A5692" s="8" t="str">
        <f>"9th 3DGeoInfo Conference 2014 - Proceedings"</f>
        <v>9th 3DGeoInfo Conference 2014 - Proceedings</v>
      </c>
      <c r="B5692" s="8" t="str">
        <f>"-"</f>
        <v>-</v>
      </c>
      <c r="C5692" s="8" t="s">
        <v>1601</v>
      </c>
    </row>
    <row r="5693" spans="1:3" x14ac:dyDescent="0.25">
      <c r="A5693" s="8" t="str">
        <f>"9th ACM/IEEE International Conference on Formal Methods and Models for Codesign, MEMOCODE 2011"</f>
        <v>9th ACM/IEEE International Conference on Formal Methods and Models for Codesign, MEMOCODE 2011</v>
      </c>
      <c r="B5693" s="8" t="str">
        <f>"9781457701160"</f>
        <v>9781457701160</v>
      </c>
      <c r="C5693" s="8" t="s">
        <v>9</v>
      </c>
    </row>
    <row r="5694" spans="1:3" x14ac:dyDescent="0.25">
      <c r="A5694" s="8" t="str">
        <f>"9th AIAA Aviation Technology, Integration and Operations (ATIO) Conference, Aircraft Noise and Emissions Reduction Symposium (ANERS)"</f>
        <v>9th AIAA Aviation Technology, Integration and Operations (ATIO) Conference, Aircraft Noise and Emissions Reduction Symposium (ANERS)</v>
      </c>
      <c r="B5694" s="8" t="str">
        <f>"9781563479809"</f>
        <v>9781563479809</v>
      </c>
      <c r="C5694" s="8" t="s">
        <v>104</v>
      </c>
    </row>
    <row r="5695" spans="1:3" x14ac:dyDescent="0.25">
      <c r="A5695" s="8" t="str">
        <f>"9th AIAA/CEAS Aeroacoustics Conference and Exhibit"</f>
        <v>9th AIAA/CEAS Aeroacoustics Conference and Exhibit</v>
      </c>
      <c r="B5695" s="8" t="str">
        <f>"9781624101021"</f>
        <v>9781624101021</v>
      </c>
      <c r="C5695" s="8" t="s">
        <v>104</v>
      </c>
    </row>
    <row r="5696" spans="1:3" x14ac:dyDescent="0.25">
      <c r="A5696" s="8" t="str">
        <f>"9th AIAA/ISSMO Symposium on Multidisciplinary Analysis and Optimization"</f>
        <v>9th AIAA/ISSMO Symposium on Multidisciplinary Analysis and Optimization</v>
      </c>
      <c r="B5696" s="8" t="str">
        <f>"9781624101205"</f>
        <v>9781624101205</v>
      </c>
      <c r="C5696" s="8" t="s">
        <v>104</v>
      </c>
    </row>
    <row r="5697" spans="1:3" x14ac:dyDescent="0.25">
      <c r="A5697" s="8" t="str">
        <f>"9th Annual Applied Ergonomics Conference 2006, Conference Proceedings"</f>
        <v>9th Annual Applied Ergonomics Conference 2006, Conference Proceedings</v>
      </c>
      <c r="B5697" s="8" t="str">
        <f>"-"</f>
        <v>-</v>
      </c>
      <c r="C5697" s="8" t="s">
        <v>530</v>
      </c>
    </row>
    <row r="5698" spans="1:3" x14ac:dyDescent="0.25">
      <c r="A5698" s="8" t="str">
        <f>"9th Annual Automotive Composites Conference and Exhibition, ACCE 2009"</f>
        <v>9th Annual Automotive Composites Conference and Exhibition, ACCE 2009</v>
      </c>
      <c r="B5698" s="8" t="str">
        <f>"9781617383663"</f>
        <v>9781617383663</v>
      </c>
      <c r="C5698" s="8" t="s">
        <v>1602</v>
      </c>
    </row>
    <row r="5699" spans="1:3" x14ac:dyDescent="0.25">
      <c r="A5699" s="8" t="str">
        <f>"9th Annual Conference on Long Island Systems, Applications and Technology, LISAT 2013"</f>
        <v>9th Annual Conference on Long Island Systems, Applications and Technology, LISAT 2013</v>
      </c>
      <c r="B5699" s="8" t="str">
        <f>"9781467362450"</f>
        <v>9781467362450</v>
      </c>
      <c r="C5699" s="8" t="s">
        <v>9</v>
      </c>
    </row>
    <row r="5700" spans="1:3" x14ac:dyDescent="0.25">
      <c r="A5700" s="8" t="str">
        <f>"9th Annual IEEE International Systems Conference, SysCon 2015 - Proceedings"</f>
        <v>9th Annual IEEE International Systems Conference, SysCon 2015 - Proceedings</v>
      </c>
      <c r="B5700" s="8" t="str">
        <f>"9781479959273"</f>
        <v>9781479959273</v>
      </c>
      <c r="C5700" s="8" t="s">
        <v>105</v>
      </c>
    </row>
    <row r="5701" spans="1:3" x14ac:dyDescent="0.25">
      <c r="A5701" s="8" t="str">
        <f>"9th Annual International Energy Conversion Engineering Conference, IECEC 2011"</f>
        <v>9th Annual International Energy Conversion Engineering Conference, IECEC 2011</v>
      </c>
      <c r="B5701" s="8" t="str">
        <f>"9781624101571"</f>
        <v>9781624101571</v>
      </c>
      <c r="C5701" s="8" t="s">
        <v>104</v>
      </c>
    </row>
    <row r="5702" spans="1:3" x14ac:dyDescent="0.25">
      <c r="A5702" s="8" t="str">
        <f>"9th European Conference on Information Warfare and Security 2010, ECIW 2010"</f>
        <v>9th European Conference on Information Warfare and Security 2010, ECIW 2010</v>
      </c>
      <c r="B5702" s="8" t="str">
        <f>"9781622765355"</f>
        <v>9781622765355</v>
      </c>
      <c r="C5702" s="8" t="s">
        <v>973</v>
      </c>
    </row>
    <row r="5703" spans="1:3" x14ac:dyDescent="0.25">
      <c r="A5703" s="8" t="str">
        <f>"9th European Conference on Speech Communication and Technology"</f>
        <v>9th European Conference on Speech Communication and Technology</v>
      </c>
      <c r="B5703" s="8" t="str">
        <f>"-"</f>
        <v>-</v>
      </c>
      <c r="C5703" s="8" t="s">
        <v>966</v>
      </c>
    </row>
    <row r="5704" spans="1:3" x14ac:dyDescent="0.25">
      <c r="A5704" s="8" t="str">
        <f>"9th European Conference on Turbomachinery: Fluid Dynamics and Thermodynamics, ETC 2011 - Conference Proceedings"</f>
        <v>9th European Conference on Turbomachinery: Fluid Dynamics and Thermodynamics, ETC 2011 - Conference Proceedings</v>
      </c>
      <c r="B5704" s="8" t="str">
        <f>"-"</f>
        <v>-</v>
      </c>
      <c r="C5704" s="8" t="s">
        <v>1485</v>
      </c>
    </row>
    <row r="5705" spans="1:3" x14ac:dyDescent="0.25">
      <c r="A5705" s="8" t="str">
        <f>"9th FORMS/FORMAT 2012 - Symposium on Formal Methods for Automation and Safety in Railway and Automotive Systems"</f>
        <v>9th FORMS/FORMAT 2012 - Symposium on Formal Methods for Automation and Safety in Railway and Automotive Systems</v>
      </c>
      <c r="B5705" s="8" t="str">
        <f>"-"</f>
        <v>-</v>
      </c>
      <c r="C5705" s="8" t="s">
        <v>1603</v>
      </c>
    </row>
    <row r="5706" spans="1:3" x14ac:dyDescent="0.25">
      <c r="A5706" s="8" t="str">
        <f>"9th FPGAworld Conference - Academic Proceedings 2012, FPGAworld 2012"</f>
        <v>9th FPGAworld Conference - Academic Proceedings 2012, FPGAworld 2012</v>
      </c>
      <c r="B5706" s="8" t="str">
        <f>"9781450316453"</f>
        <v>9781450316453</v>
      </c>
      <c r="C5706" s="8" t="s">
        <v>21</v>
      </c>
    </row>
    <row r="5707" spans="1:3" x14ac:dyDescent="0.25">
      <c r="A5707" s="8" t="str">
        <f>"9th IEEE International Conference on Nano/Micro Engineered and Molecular Systems, IEEE-NEMS 2014"</f>
        <v>9th IEEE International Conference on Nano/Micro Engineered and Molecular Systems, IEEE-NEMS 2014</v>
      </c>
      <c r="B5707" s="8" t="str">
        <f>"9781479947270"</f>
        <v>9781479947270</v>
      </c>
      <c r="C5707" s="8" t="s">
        <v>105</v>
      </c>
    </row>
    <row r="5708" spans="1:3" x14ac:dyDescent="0.25">
      <c r="A5708" s="8" t="str">
        <f>"9th IEEE International Symposium on Applied Machine Intelligence and Informatics, SAMI 2011 - Proceedings"</f>
        <v>9th IEEE International Symposium on Applied Machine Intelligence and Informatics, SAMI 2011 - Proceedings</v>
      </c>
      <c r="B5708" s="8" t="str">
        <f>"9781424474301"</f>
        <v>9781424474301</v>
      </c>
      <c r="C5708" s="8" t="s">
        <v>9</v>
      </c>
    </row>
    <row r="5709" spans="1:3" x14ac:dyDescent="0.25">
      <c r="A5709" s="8" t="str">
        <f>"9th IEEE International Symposium on Mixed and Augmented Reality 2010: Arts, Media, and Humanities, ISMAR-AMH 2010 - Proceedings"</f>
        <v>9th IEEE International Symposium on Mixed and Augmented Reality 2010: Arts, Media, and Humanities, ISMAR-AMH 2010 - Proceedings</v>
      </c>
      <c r="B5709" s="8" t="str">
        <f>"9781424493401"</f>
        <v>9781424493401</v>
      </c>
      <c r="C5709" s="8" t="s">
        <v>9</v>
      </c>
    </row>
    <row r="5710" spans="1:3" x14ac:dyDescent="0.25">
      <c r="A5710" s="8" t="str">
        <f>"9th IEEE International Symposium on Mixed and Augmented Reality 2010: Science and Technology, ISMAR 2010 - Proceedings"</f>
        <v>9th IEEE International Symposium on Mixed and Augmented Reality 2010: Science and Technology, ISMAR 2010 - Proceedings</v>
      </c>
      <c r="B5710" s="8" t="str">
        <f>"9781424493449"</f>
        <v>9781424493449</v>
      </c>
      <c r="C5710" s="8" t="s">
        <v>9</v>
      </c>
    </row>
    <row r="5711" spans="1:3" x14ac:dyDescent="0.25">
      <c r="A5711" s="8" t="str">
        <f>"9th IEEE International Symposium on Safety, Security, and Rescue Robotics, SSRR 2011"</f>
        <v>9th IEEE International Symposium on Safety, Security, and Rescue Robotics, SSRR 2011</v>
      </c>
      <c r="B5711" s="8" t="str">
        <f>"9781612847696"</f>
        <v>9781612847696</v>
      </c>
      <c r="C5711" s="8" t="s">
        <v>9</v>
      </c>
    </row>
    <row r="5712" spans="1:3" x14ac:dyDescent="0.25">
      <c r="A5712" s="8" t="str">
        <f>"9th IEEE International Working Conference on Source Code Analysis and Manipulation, SCAM 2009"</f>
        <v>9th IEEE International Working Conference on Source Code Analysis and Manipulation, SCAM 2009</v>
      </c>
      <c r="B5712" s="8" t="str">
        <f>"9780769537931"</f>
        <v>9780769537931</v>
      </c>
      <c r="C5712" s="8" t="s">
        <v>9</v>
      </c>
    </row>
    <row r="5713" spans="1:3" x14ac:dyDescent="0.25">
      <c r="A5713" s="8" t="str">
        <f>"9th IEEE-RAS International Conference on Humanoid Robots, HUMANOIDS09"</f>
        <v>9th IEEE-RAS International Conference on Humanoid Robots, HUMANOIDS09</v>
      </c>
      <c r="B5713" s="8" t="str">
        <f>"9781424445882"</f>
        <v>9781424445882</v>
      </c>
      <c r="C5713" s="8" t="s">
        <v>9</v>
      </c>
    </row>
    <row r="5714" spans="1:3" x14ac:dyDescent="0.25">
      <c r="A5714" s="8" t="str">
        <f>"9th IFIP Annual Mediterranean Ad Hoc Networking Workshop, MED-HOC-NET 2010"</f>
        <v>9th IFIP Annual Mediterranean Ad Hoc Networking Workshop, MED-HOC-NET 2010</v>
      </c>
      <c r="B5714" s="8" t="str">
        <f>"9781424484355"</f>
        <v>9781424484355</v>
      </c>
      <c r="C5714" s="8" t="s">
        <v>9</v>
      </c>
    </row>
    <row r="5715" spans="1:3" x14ac:dyDescent="0.25">
      <c r="A5715" s="8" t="str">
        <f>"9th IMEKO Workshop on ADC Modeling and Testing, IWADC 2004, Held Together with the 13th IMEKO TC4 Symposium on Measurements for Research and Industrial Applications"</f>
        <v>9th IMEKO Workshop on ADC Modeling and Testing, IWADC 2004, Held Together with the 13th IMEKO TC4 Symposium on Measurements for Research and Industrial Applications</v>
      </c>
      <c r="B5715" s="8" t="str">
        <f>"9781634391856"</f>
        <v>9781634391856</v>
      </c>
      <c r="C5715" s="8" t="s">
        <v>1198</v>
      </c>
    </row>
    <row r="5716" spans="1:3" x14ac:dyDescent="0.25">
      <c r="A5716" s="8" t="str">
        <f>"9th International Conference and Exhibition - Healthy Buildings 2009, HB 2009"</f>
        <v>9th International Conference and Exhibition - Healthy Buildings 2009, HB 2009</v>
      </c>
      <c r="B5716" s="8" t="str">
        <f>"-"</f>
        <v>-</v>
      </c>
      <c r="C5716" s="8" t="s">
        <v>1205</v>
      </c>
    </row>
    <row r="5717" spans="1:3" x14ac:dyDescent="0.25">
      <c r="A5717" s="8" t="str">
        <f>"9th International Conference Formal Methods in Computer Aided Design, FMCAD 2009"</f>
        <v>9th International Conference Formal Methods in Computer Aided Design, FMCAD 2009</v>
      </c>
      <c r="B5717" s="8" t="str">
        <f>"9781424449668"</f>
        <v>9781424449668</v>
      </c>
      <c r="C5717" s="8" t="s">
        <v>9</v>
      </c>
    </row>
    <row r="5718" spans="1:3" x14ac:dyDescent="0.25">
      <c r="A5718" s="8" t="str">
        <f>"9th International Conference on Advanced Thermal Processing of Semiconductors, RTP 2001"</f>
        <v>9th International Conference on Advanced Thermal Processing of Semiconductors, RTP 2001</v>
      </c>
      <c r="B5718" s="8" t="str">
        <f>"9780000000002"</f>
        <v>9780000000002</v>
      </c>
      <c r="C5718" s="8" t="s">
        <v>105</v>
      </c>
    </row>
    <row r="5719" spans="1:3" x14ac:dyDescent="0.25">
      <c r="A5719" s="8" t="str">
        <f>"9th International Conference on Bioinformatics, InCoB 2010: Bioinformatics - Proceedings from Asia Pacific Bioinformatics Network (APBioNet)"</f>
        <v>9th International Conference on Bioinformatics, InCoB 2010: Bioinformatics - Proceedings from Asia Pacific Bioinformatics Network (APBioNet)</v>
      </c>
      <c r="B5719" s="8" t="str">
        <f>"-"</f>
        <v>-</v>
      </c>
      <c r="C5719" s="8" t="s">
        <v>1199</v>
      </c>
    </row>
    <row r="5720" spans="1:3" x14ac:dyDescent="0.25">
      <c r="A5720" s="8" t="str">
        <f>"9th International Conference on Bioinformatics, InCoB 2010: Computational Biology - Proceedings from Asia Pacific Bioinformatics Network (APBioNet)"</f>
        <v>9th International Conference on Bioinformatics, InCoB 2010: Computational Biology - Proceedings from Asia Pacific Bioinformatics Network (APBioNet)</v>
      </c>
      <c r="B5720" s="8" t="str">
        <f>"-"</f>
        <v>-</v>
      </c>
      <c r="C5720" s="8" t="s">
        <v>1199</v>
      </c>
    </row>
    <row r="5721" spans="1:3" x14ac:dyDescent="0.25">
      <c r="A5721" s="8" t="str">
        <f>"9th International Conference on Bulk Materials Storage, Handling and Transportation, ICBMH 2007"</f>
        <v>9th International Conference on Bulk Materials Storage, Handling and Transportation, ICBMH 2007</v>
      </c>
      <c r="B5721" s="8" t="str">
        <f>"-"</f>
        <v>-</v>
      </c>
      <c r="C5721" s="8" t="s">
        <v>1604</v>
      </c>
    </row>
    <row r="5722" spans="1:3" x14ac:dyDescent="0.25">
      <c r="A5722" s="8" t="str">
        <f>"9th International Conference on Communications Systems 2004, ICCS 2004"</f>
        <v>9th International Conference on Communications Systems 2004, ICCS 2004</v>
      </c>
      <c r="B5722" s="8" t="str">
        <f>"9780780385498"</f>
        <v>9780780385498</v>
      </c>
      <c r="C5722" s="8" t="s">
        <v>105</v>
      </c>
    </row>
    <row r="5723" spans="1:3" x14ac:dyDescent="0.25">
      <c r="A5723" s="8" t="str">
        <f>"9th International Conference on Computer-Aided Industrial Design and Conceptual Design: Multicultural Creation and Design - CAIDCD 2008"</f>
        <v>9th International Conference on Computer-Aided Industrial Design and Conceptual Design: Multicultural Creation and Design - CAIDCD 2008</v>
      </c>
      <c r="B5723" s="8" t="str">
        <f>"9781424432912"</f>
        <v>9781424432912</v>
      </c>
      <c r="C5723" s="8" t="s">
        <v>9</v>
      </c>
    </row>
    <row r="5724" spans="1:3" x14ac:dyDescent="0.25">
      <c r="A5724" s="8" t="str">
        <f>"9th International Conference on Concrete Pavements: The Golden Gate to Tomorrow's Concrete Pavements"</f>
        <v>9th International Conference on Concrete Pavements: The Golden Gate to Tomorrow's Concrete Pavements</v>
      </c>
      <c r="B5724" s="8" t="str">
        <f>"9780984065844"</f>
        <v>9780984065844</v>
      </c>
      <c r="C5724" s="8" t="s">
        <v>1605</v>
      </c>
    </row>
    <row r="5725" spans="1:3" x14ac:dyDescent="0.25">
      <c r="A5725" s="8" t="str">
        <f>"9th International Conference on Control, Automation, Robotics and Vision, 2006, ICARCV '06"</f>
        <v>9th International Conference on Control, Automation, Robotics and Vision, 2006, ICARCV '06</v>
      </c>
      <c r="B5725" s="8" t="str">
        <f>"9781424403424"</f>
        <v>9781424403424</v>
      </c>
      <c r="C5725" s="8" t="s">
        <v>9</v>
      </c>
    </row>
    <row r="5726" spans="1:3" x14ac:dyDescent="0.25">
      <c r="A5726" s="8" t="str">
        <f>"9th International Conference on Cyber Warfare and Security 2014, ICCWS 2014"</f>
        <v>9th International Conference on Cyber Warfare and Security 2014, ICCWS 2014</v>
      </c>
      <c r="B5726" s="8" t="str">
        <f>"9781632660626"</f>
        <v>9781632660626</v>
      </c>
      <c r="C5726" s="8" t="s">
        <v>973</v>
      </c>
    </row>
    <row r="5727" spans="1:3" x14ac:dyDescent="0.25">
      <c r="A5727" s="8" t="str">
        <f>"9th International Conference on Design and Emotion 2014: The Colors of Care"</f>
        <v>9th International Conference on Design and Emotion 2014: The Colors of Care</v>
      </c>
      <c r="B5727" s="8" t="str">
        <f>"9789587740707"</f>
        <v>9789587740707</v>
      </c>
      <c r="C5727" s="8" t="s">
        <v>1606</v>
      </c>
    </row>
    <row r="5728" spans="1:3" x14ac:dyDescent="0.25">
      <c r="A5728" s="8" t="str">
        <f>"9th International Conference on Electrical and Control Technologies, ECT 2014"</f>
        <v>9th International Conference on Electrical and Control Technologies, ECT 2014</v>
      </c>
      <c r="B5728" s="8" t="str">
        <f>"9781634398039"</f>
        <v>9781634398039</v>
      </c>
      <c r="C5728" s="8" t="s">
        <v>1140</v>
      </c>
    </row>
    <row r="5729" spans="1:3" x14ac:dyDescent="0.25">
      <c r="A5729" s="8" t="str">
        <f>"9th International Conference on Engines and Vehicles, ICE2009"</f>
        <v>9th International Conference on Engines and Vehicles, ICE2009</v>
      </c>
      <c r="B5729" s="8" t="str">
        <f>"-"</f>
        <v>-</v>
      </c>
      <c r="C5729" s="8" t="s">
        <v>1040</v>
      </c>
    </row>
    <row r="5730" spans="1:3" x14ac:dyDescent="0.25">
      <c r="A5730" s="8" t="str">
        <f>"9th International Conference on Fast Sea Transportation, FAST 2007"</f>
        <v>9th International Conference on Fast Sea Transportation, FAST 2007</v>
      </c>
      <c r="B5730" s="8" t="str">
        <f>"9781622764129"</f>
        <v>9781622764129</v>
      </c>
      <c r="C5730" s="8" t="s">
        <v>277</v>
      </c>
    </row>
    <row r="5731" spans="1:3" x14ac:dyDescent="0.25">
      <c r="A5731" s="8" t="str">
        <f>"9th International Conference on Industrial and Information Systems, ICIIS 2014"</f>
        <v>9th International Conference on Industrial and Information Systems, ICIIS 2014</v>
      </c>
      <c r="B5731" s="8" t="str">
        <f>"9781479964994"</f>
        <v>9781479964994</v>
      </c>
      <c r="C5731" s="8" t="s">
        <v>105</v>
      </c>
    </row>
    <row r="5732" spans="1:3" x14ac:dyDescent="0.25">
      <c r="A5732" s="8" t="str">
        <f>"9th International Conference on Intelligent Games and Simulation, GAME-ON 2008"</f>
        <v>9th International Conference on Intelligent Games and Simulation, GAME-ON 2008</v>
      </c>
      <c r="B5732" s="8" t="str">
        <f>"9789077381458"</f>
        <v>9789077381458</v>
      </c>
      <c r="C5732" s="8" t="s">
        <v>1206</v>
      </c>
    </row>
    <row r="5733" spans="1:3" x14ac:dyDescent="0.25">
      <c r="A5733" s="8" t="str">
        <f>"9th International Conference on Modeling and Applied Simulation, MAS 2010, Held at the International Mediterranean and Latin American Modeling Multiconference, I3M 2010"</f>
        <v>9th International Conference on Modeling and Applied Simulation, MAS 2010, Held at the International Mediterranean and Latin American Modeling Multiconference, I3M 2010</v>
      </c>
      <c r="B5733" s="8" t="str">
        <f>"9781629934785"</f>
        <v>9781629934785</v>
      </c>
      <c r="C5733" s="8" t="s">
        <v>1200</v>
      </c>
    </row>
    <row r="5734" spans="1:3" x14ac:dyDescent="0.25">
      <c r="A5734" s="8" t="str">
        <f>"9th International Conference on Networked Sensing Systems, INSS 2012 - Conference Proceedings"</f>
        <v>9th International Conference on Networked Sensing Systems, INSS 2012 - Conference Proceedings</v>
      </c>
      <c r="B5734" s="8" t="str">
        <f>"9781467317856"</f>
        <v>9781467317856</v>
      </c>
      <c r="C5734" s="8" t="s">
        <v>9</v>
      </c>
    </row>
    <row r="5735" spans="1:3" x14ac:dyDescent="0.25">
      <c r="A5735" s="8" t="str">
        <f>"9th International Conference on Networks, ICN 2010"</f>
        <v>9th International Conference on Networks, ICN 2010</v>
      </c>
      <c r="B5735" s="8" t="str">
        <f>"9780769539799"</f>
        <v>9780769539799</v>
      </c>
      <c r="C5735" s="8" t="s">
        <v>9</v>
      </c>
    </row>
    <row r="5736" spans="1:3" x14ac:dyDescent="0.25">
      <c r="A5736" s="8" t="str">
        <f>"9th International Conference on Numerical Simulation of Optoelectronic Devices, NUSOD 2009"</f>
        <v>9th International Conference on Numerical Simulation of Optoelectronic Devices, NUSOD 2009</v>
      </c>
      <c r="B5736" s="8" t="str">
        <f>"9781424441808"</f>
        <v>9781424441808</v>
      </c>
      <c r="C5736" s="8" t="s">
        <v>9</v>
      </c>
    </row>
    <row r="5737" spans="1:3" x14ac:dyDescent="0.25">
      <c r="A5737" s="8" t="str">
        <f>"9th International Conference on Probabilistic Safety Assessment and Management 2008, PSAM 2008"</f>
        <v>9th International Conference on Probabilistic Safety Assessment and Management 2008, PSAM 2008</v>
      </c>
      <c r="B5737" s="8" t="str">
        <f>"9781622765775"</f>
        <v>9781622765775</v>
      </c>
      <c r="C5737" s="8" t="s">
        <v>1607</v>
      </c>
    </row>
    <row r="5738" spans="1:3" x14ac:dyDescent="0.25">
      <c r="A5738" s="8" t="str">
        <f>"9th International Conference on Software Process Improvement and Capability Determination, SPICE 2009 - Proceedings"</f>
        <v>9th International Conference on Software Process Improvement and Capability Determination, SPICE 2009 - Proceedings</v>
      </c>
      <c r="B5738" s="8" t="str">
        <f>"-"</f>
        <v>-</v>
      </c>
      <c r="C5738" s="8" t="s">
        <v>1506</v>
      </c>
    </row>
    <row r="5739" spans="1:3" x14ac:dyDescent="0.25">
      <c r="A5739" s="8" t="str">
        <f>"9th International Conference on Stability, Handling and Use of Liquid Fuels 2005"</f>
        <v>9th International Conference on Stability, Handling and Use of Liquid Fuels 2005</v>
      </c>
      <c r="B5739" s="8" t="str">
        <f>"9781615670536"</f>
        <v>9781615670536</v>
      </c>
      <c r="C5739" s="8" t="s">
        <v>1210</v>
      </c>
    </row>
    <row r="5740" spans="1:3" x14ac:dyDescent="0.25">
      <c r="A5740" s="8" t="str">
        <f>"9th International Conference on Strategic Management and its Support by Information Systems, 2011"</f>
        <v>9th International Conference on Strategic Management and its Support by Information Systems, 2011</v>
      </c>
      <c r="B5740" s="8" t="str">
        <f>"9781629933603"</f>
        <v>9781629933603</v>
      </c>
      <c r="C5740" s="8" t="s">
        <v>1595</v>
      </c>
    </row>
    <row r="5741" spans="1:3" x14ac:dyDescent="0.25">
      <c r="A5741" s="8" t="str">
        <f>"9th International Conference on Technology of Plasticity, ICTP 2008"</f>
        <v>9th International Conference on Technology of Plasticity, ICTP 2008</v>
      </c>
      <c r="B5741" s="8" t="str">
        <f>"9788957081525"</f>
        <v>9788957081525</v>
      </c>
      <c r="C5741" s="8" t="s">
        <v>1608</v>
      </c>
    </row>
    <row r="5742" spans="1:3" x14ac:dyDescent="0.25">
      <c r="A5742" s="8" t="str">
        <f>"9th International Conference on Telecommunications in Modern Satellite, Cable, and Broadcasting Services, TELSIKS 2009 - Proceedings of Paper"</f>
        <v>9th International Conference on Telecommunications in Modern Satellite, Cable, and Broadcasting Services, TELSIKS 2009 - Proceedings of Paper</v>
      </c>
      <c r="B5742" s="8" t="str">
        <f>"9781424443833"</f>
        <v>9781424443833</v>
      </c>
      <c r="C5742" s="8" t="s">
        <v>9</v>
      </c>
    </row>
    <row r="5743" spans="1:3" x14ac:dyDescent="0.25">
      <c r="A5743" s="8" t="str">
        <f>"9th International Conference on the European Energy Market, EEM 12"</f>
        <v>9th International Conference on the European Energy Market, EEM 12</v>
      </c>
      <c r="B5743" s="8" t="str">
        <f>"9781467308328"</f>
        <v>9781467308328</v>
      </c>
      <c r="C5743" s="8" t="s">
        <v>9</v>
      </c>
    </row>
    <row r="5744" spans="1:3" x14ac:dyDescent="0.25">
      <c r="A5744" s="8" t="str">
        <f>"9th International Conference on Theoretical and Computational Acoustics 2009, ICTCA 2009"</f>
        <v>9th International Conference on Theoretical and Computational Acoustics 2009, ICTCA 2009</v>
      </c>
      <c r="B5744" s="8" t="str">
        <f>"-"</f>
        <v>-</v>
      </c>
      <c r="C5744" s="8" t="s">
        <v>1609</v>
      </c>
    </row>
    <row r="5745" spans="1:3" x14ac:dyDescent="0.25">
      <c r="A5745" s="8" t="str">
        <f>"9th International Conference on Turbochargers and Turbocharging - Institution of Mechanical Engineers, Combustion Engines and Fuels Group"</f>
        <v>9th International Conference on Turbochargers and Turbocharging - Institution of Mechanical Engineers, Combustion Engines and Fuels Group</v>
      </c>
      <c r="B5745" s="8" t="str">
        <f>"9781907599156"</f>
        <v>9781907599156</v>
      </c>
      <c r="C5745" s="8" t="s">
        <v>1596</v>
      </c>
    </row>
    <row r="5746" spans="1:3" x14ac:dyDescent="0.25">
      <c r="A5746" s="8" t="str">
        <f>"9th International Design Conference, DESIGN 2006"</f>
        <v>9th International Design Conference, DESIGN 2006</v>
      </c>
      <c r="B5746" s="8" t="str">
        <f>"-"</f>
        <v>-</v>
      </c>
      <c r="C5746" s="8" t="s">
        <v>1231</v>
      </c>
    </row>
    <row r="5747" spans="1:3" x14ac:dyDescent="0.25">
      <c r="A5747" s="8" t="str">
        <f>"9th International Industrial Simulation Conference 2011, ISC 2011"</f>
        <v>9th International Industrial Simulation Conference 2011, ISC 2011</v>
      </c>
      <c r="B5747" s="8" t="str">
        <f>"9789077381632"</f>
        <v>9789077381632</v>
      </c>
      <c r="C5747" s="8" t="s">
        <v>1206</v>
      </c>
    </row>
    <row r="5748" spans="1:3" x14ac:dyDescent="0.25">
      <c r="A5748" s="8" t="str">
        <f>"9th International Joint Conference on Autonomous Agents and Multiagent Systems 2010, AAMAS 2010"</f>
        <v>9th International Joint Conference on Autonomous Agents and Multiagent Systems 2010, AAMAS 2010</v>
      </c>
      <c r="B5748" s="8" t="str">
        <f>"9781617387715"</f>
        <v>9781617387715</v>
      </c>
      <c r="C5748" s="8" t="s">
        <v>989</v>
      </c>
    </row>
    <row r="5749" spans="1:3" x14ac:dyDescent="0.25">
      <c r="A5749" s="8" t="str">
        <f>"9th International Multidicsciplinary Scientific Geoconference and EXPO - Modern Management of Mine Producing, Geology and Environmental Protection, SGEM 2009"</f>
        <v>9th International Multidicsciplinary Scientific Geoconference and EXPO - Modern Management of Mine Producing, Geology and Environmental Protection, SGEM 2009</v>
      </c>
      <c r="B5749" s="8" t="str">
        <f>"9789549181814"</f>
        <v>9789549181814</v>
      </c>
      <c r="C5749" s="8" t="s">
        <v>606</v>
      </c>
    </row>
    <row r="5750" spans="1:3" x14ac:dyDescent="0.25">
      <c r="A5750" s="8" t="str">
        <f>"9th International Scientific Conference - Engineering for Rural Development, Proceedings"</f>
        <v>9th International Scientific Conference - Engineering for Rural Development, Proceedings</v>
      </c>
      <c r="B5750" s="8" t="str">
        <f>"9771691304005"</f>
        <v>9771691304005</v>
      </c>
      <c r="C5750" s="8" t="s">
        <v>378</v>
      </c>
    </row>
    <row r="5751" spans="1:3" x14ac:dyDescent="0.25">
      <c r="A5751" s="8" t="str">
        <f>"9th International Seminar on Speech Production 2011, ISSP 2011"</f>
        <v>9th International Seminar on Speech Production 2011, ISSP 2011</v>
      </c>
      <c r="B5751" s="8" t="str">
        <f>"-"</f>
        <v>-</v>
      </c>
      <c r="C5751" s="8" t="s">
        <v>1610</v>
      </c>
    </row>
    <row r="5752" spans="1:3" x14ac:dyDescent="0.25">
      <c r="A5752" s="8" t="str">
        <f>"9th International Symposium of Hungarian Researchers on Computational Intelligence and Informatics, CINTI 2008"</f>
        <v>9th International Symposium of Hungarian Researchers on Computational Intelligence and Informatics, CINTI 2008</v>
      </c>
      <c r="B5752" s="8" t="str">
        <f>"-"</f>
        <v>-</v>
      </c>
      <c r="C5752" s="8" t="s">
        <v>1214</v>
      </c>
    </row>
    <row r="5753" spans="1:3" x14ac:dyDescent="0.25">
      <c r="A5753" s="8" t="str">
        <f>"9th International Symposium on Artificial Intelligence and Mathematics, ISAIM 2006"</f>
        <v>9th International Symposium on Artificial Intelligence and Mathematics, ISAIM 2006</v>
      </c>
      <c r="B5753" s="8" t="str">
        <f>"-"</f>
        <v>-</v>
      </c>
      <c r="C5753" s="8" t="s">
        <v>1215</v>
      </c>
    </row>
    <row r="5754" spans="1:3" x14ac:dyDescent="0.25">
      <c r="A5754" s="8" t="str">
        <f>"9th International Symposium on Fluid Control Measurement and Visualization 2007, FLUCOME 2007"</f>
        <v>9th International Symposium on Fluid Control Measurement and Visualization 2007, FLUCOME 2007</v>
      </c>
      <c r="B5754" s="8" t="str">
        <f>"9781615676248"</f>
        <v>9781615676248</v>
      </c>
      <c r="C5754" s="8" t="s">
        <v>1611</v>
      </c>
    </row>
    <row r="5755" spans="1:3" x14ac:dyDescent="0.25">
      <c r="A5755" s="8" t="str">
        <f>"9th International Symposium on Parallel and Distributed Computing, ISPDC 2010"</f>
        <v>9th International Symposium on Parallel and Distributed Computing, ISPDC 2010</v>
      </c>
      <c r="B5755" s="8" t="str">
        <f>"9780769541204"</f>
        <v>9780769541204</v>
      </c>
      <c r="C5755" s="8" t="s">
        <v>9</v>
      </c>
    </row>
    <row r="5756" spans="1:3" x14ac:dyDescent="0.25">
      <c r="A5756" s="8" t="str">
        <f>"9th International Topical Meeting on Nuclear Plant Instrumentation, Control, and Human-Machine Interface Technologies, NPIC and HMIT 2015"</f>
        <v>9th International Topical Meeting on Nuclear Plant Instrumentation, Control, and Human-Machine Interface Technologies, NPIC and HMIT 2015</v>
      </c>
      <c r="B5756" s="8" t="str">
        <f>"-"</f>
        <v>-</v>
      </c>
      <c r="C5756" s="8" t="s">
        <v>453</v>
      </c>
    </row>
    <row r="5757" spans="1:3" x14ac:dyDescent="0.25">
      <c r="A5757" s="8" t="str">
        <f>"9th International Value Management Conference - Achieving Sustainable Values through Collaboration"</f>
        <v>9th International Value Management Conference - Achieving Sustainable Values through Collaboration</v>
      </c>
      <c r="B5757" s="8" t="str">
        <f>"-"</f>
        <v>-</v>
      </c>
      <c r="C5757" s="8" t="s">
        <v>1580</v>
      </c>
    </row>
    <row r="5758" spans="1:3" x14ac:dyDescent="0.25">
      <c r="A5758" s="8" t="str">
        <f>"9th International Workshop on Automation of Software Test, AST 2014 - Proceedings"</f>
        <v>9th International Workshop on Automation of Software Test, AST 2014 - Proceedings</v>
      </c>
      <c r="B5758" s="8" t="str">
        <f>"9781450328586"</f>
        <v>9781450328586</v>
      </c>
      <c r="C5758" s="8" t="s">
        <v>1235</v>
      </c>
    </row>
    <row r="5759" spans="1:3" x14ac:dyDescent="0.25">
      <c r="A5759" s="8" t="str">
        <f>"9th International Workshop on Data Management on New Hardware, DaMoN 2013 - In Conjunction with the ACM SIGMOD/PODS Conference"</f>
        <v>9th International Workshop on Data Management on New Hardware, DaMoN 2013 - In Conjunction with the ACM SIGMOD/PODS Conference</v>
      </c>
      <c r="B5759" s="8" t="str">
        <f>"9781450321969"</f>
        <v>9781450321969</v>
      </c>
      <c r="C5759" s="8" t="s">
        <v>21</v>
      </c>
    </row>
    <row r="5760" spans="1:3" x14ac:dyDescent="0.25">
      <c r="A5760" s="8" t="str">
        <f>"9th International Workshop on Dynamic Analysis, WODA 2011 - Proceedings"</f>
        <v>9th International Workshop on Dynamic Analysis, WODA 2011 - Proceedings</v>
      </c>
      <c r="B5760" s="8" t="str">
        <f>"9781450308113"</f>
        <v>9781450308113</v>
      </c>
      <c r="C5760" s="8" t="s">
        <v>21</v>
      </c>
    </row>
    <row r="5761" spans="1:3" x14ac:dyDescent="0.25">
      <c r="A5761" s="8" t="str">
        <f>"9th International Workshop on Immersive Projection Technology - 11th Eurographics Symposium on Virtual Environments, IPT/EGVE 2005"</f>
        <v>9th International Workshop on Immersive Projection Technology - 11th Eurographics Symposium on Virtual Environments, IPT/EGVE 2005</v>
      </c>
      <c r="B5761" s="8" t="str">
        <f>"9783905673210"</f>
        <v>9783905673210</v>
      </c>
      <c r="C5761" s="8" t="s">
        <v>23</v>
      </c>
    </row>
    <row r="5762" spans="1:3" x14ac:dyDescent="0.25">
      <c r="A5762" s="8" t="str">
        <f>"9th International Workshop on Principles of Software Evolution, IWPSE 2007, Held in Conjunction with the 6th ESEC/FSE Joint Meeting"</f>
        <v>9th International Workshop on Principles of Software Evolution, IWPSE 2007, Held in Conjunction with the 6th ESEC/FSE Joint Meeting</v>
      </c>
      <c r="B5762" s="8" t="str">
        <f>"9781595937223"</f>
        <v>9781595937223</v>
      </c>
      <c r="C5762" s="8" t="s">
        <v>21</v>
      </c>
    </row>
    <row r="5763" spans="1:3" x14ac:dyDescent="0.25">
      <c r="A5763" s="8" t="str">
        <f>"9th International Workshop on Robot Motion and Control, RoMoCo 2013 - Workshop Proceedings"</f>
        <v>9th International Workshop on Robot Motion and Control, RoMoCo 2013 - Workshop Proceedings</v>
      </c>
      <c r="B5763" s="8" t="str">
        <f>"9781467355117"</f>
        <v>9781467355117</v>
      </c>
      <c r="C5763" s="8" t="s">
        <v>9</v>
      </c>
    </row>
    <row r="5764" spans="1:3" x14ac:dyDescent="0.25">
      <c r="A5764" s="8" t="str">
        <f>"9th Pacific Asia Conference on Information Systems: I.T. and Value Creation, PACIS 2005"</f>
        <v>9th Pacific Asia Conference on Information Systems: I.T. and Value Creation, PACIS 2005</v>
      </c>
      <c r="B5764" s="8" t="str">
        <f>"-"</f>
        <v>-</v>
      </c>
      <c r="C5764" s="8" t="s">
        <v>1612</v>
      </c>
    </row>
    <row r="5765" spans="1:3" x14ac:dyDescent="0.25">
      <c r="A5765" s="8" t="str">
        <f>"9th Power Systems Protection and Control Conference, PSPC 2015"</f>
        <v>9th Power Systems Protection and Control Conference, PSPC 2015</v>
      </c>
      <c r="B5765" s="8" t="str">
        <f>"9781479981571"</f>
        <v>9781479981571</v>
      </c>
      <c r="C5765" s="8" t="s">
        <v>105</v>
      </c>
    </row>
    <row r="5766" spans="1:3" x14ac:dyDescent="0.25">
      <c r="A5766" s="8" t="str">
        <f>"9th Process Plant Safety Symposium, PPSS 2007, Held at the 2007 AIChE Spring National Meeting"</f>
        <v>9th Process Plant Safety Symposium, PPSS 2007, Held at the 2007 AIChE Spring National Meeting</v>
      </c>
      <c r="B5766" s="8" t="str">
        <f>"9781604233520"</f>
        <v>9781604233520</v>
      </c>
      <c r="C5766" s="8" t="s">
        <v>1219</v>
      </c>
    </row>
    <row r="5767" spans="1:3" x14ac:dyDescent="0.25">
      <c r="A5767" s="8" t="str">
        <f>"9th South African Conference on Computational and Applied Mechanics, SACAM 2014"</f>
        <v>9th South African Conference on Computational and Applied Mechanics, SACAM 2014</v>
      </c>
      <c r="B5767" s="8" t="str">
        <f>"9780620589949"</f>
        <v>9780620589949</v>
      </c>
      <c r="C5767" s="8" t="s">
        <v>1562</v>
      </c>
    </row>
    <row r="5768" spans="1:3" x14ac:dyDescent="0.25">
      <c r="A5768" s="8" t="str">
        <f>"9th Symposium on Neural Network Applications in Electrical Engineering, NEUREL 2008 Proceedings"</f>
        <v>9th Symposium on Neural Network Applications in Electrical Engineering, NEUREL 2008 Proceedings</v>
      </c>
      <c r="B5768" s="8" t="str">
        <f>"9781424429042"</f>
        <v>9781424429042</v>
      </c>
      <c r="C5768" s="8" t="s">
        <v>9</v>
      </c>
    </row>
    <row r="5769" spans="1:3" x14ac:dyDescent="0.25">
      <c r="A5769" s="8" t="str">
        <f>"9th Topical Conference on Refinery Processing 2006, Held at the 2006 AIChE Spring National Meeting"</f>
        <v>9th Topical Conference on Refinery Processing 2006, Held at the 2006 AIChE Spring National Meeting</v>
      </c>
      <c r="B5769" s="8" t="str">
        <f>"9781604235289"</f>
        <v>9781604235289</v>
      </c>
      <c r="C5769" s="8" t="s">
        <v>1219</v>
      </c>
    </row>
    <row r="5770" spans="1:3" x14ac:dyDescent="0.25">
      <c r="A5770" s="8" t="str">
        <f>"9th US National and 10th Canadian Conference on Earthquake Engineering 2010, Including Papers from the 4th International Tsunami Symposium"</f>
        <v>9th US National and 10th Canadian Conference on Earthquake Engineering 2010, Including Papers from the 4th International Tsunami Symposium</v>
      </c>
      <c r="B5770" s="8" t="str">
        <f>"9781617388446"</f>
        <v>9781617388446</v>
      </c>
      <c r="C5770" s="8" t="s">
        <v>347</v>
      </c>
    </row>
    <row r="5771" spans="1:3" x14ac:dyDescent="0.25">
      <c r="A5771" s="8" t="s">
        <v>1613</v>
      </c>
      <c r="B5771" s="8" t="str">
        <f>"9788861221222"</f>
        <v>9788861221222</v>
      </c>
      <c r="C5771" s="8" t="s">
        <v>1220</v>
      </c>
    </row>
    <row r="5772" spans="1:3" x14ac:dyDescent="0.25">
      <c r="A5772" s="8" t="str">
        <f>"9th World Biomaterials Congress 2012, WBC 2012"</f>
        <v>9th World Biomaterials Congress 2012, WBC 2012</v>
      </c>
      <c r="B5772" s="8" t="str">
        <f>"9781629933146"</f>
        <v>9781629933146</v>
      </c>
      <c r="C5772" s="8" t="s">
        <v>1614</v>
      </c>
    </row>
    <row r="5773" spans="1:3" x14ac:dyDescent="0.25">
      <c r="A5773" s="8" t="str">
        <f>"9th World Conference on Timber Engineering 2006, WCTE 2006"</f>
        <v>9th World Conference on Timber Engineering 2006, WCTE 2006</v>
      </c>
      <c r="B5773" s="8" t="str">
        <f>"9781622762859"</f>
        <v>9781622762859</v>
      </c>
      <c r="C5773" s="8" t="s">
        <v>1615</v>
      </c>
    </row>
    <row r="5774" spans="1:3" x14ac:dyDescent="0.25">
      <c r="A5774" s="8" t="str">
        <f>"9th WSEAS International Conference on Microelectronics, Nanoelectronics, Optoelectronics, MINO '10"</f>
        <v>9th WSEAS International Conference on Microelectronics, Nanoelectronics, Optoelectronics, MINO '10</v>
      </c>
      <c r="B5774" s="8" t="str">
        <f>"9789549260038"</f>
        <v>9789549260038</v>
      </c>
      <c r="C5774" s="8" t="s">
        <v>1249</v>
      </c>
    </row>
    <row r="5775" spans="1:3" x14ac:dyDescent="0.25">
      <c r="A5775" s="8" t="str">
        <f>"9th WSEAS International Conference on Signal Processing, SIP '10"</f>
        <v>9th WSEAS International Conference on Signal Processing, SIP '10</v>
      </c>
      <c r="B5775" s="8" t="str">
        <f>"9789549260045"</f>
        <v>9789549260045</v>
      </c>
      <c r="C5775" s="8" t="s">
        <v>1249</v>
      </c>
    </row>
    <row r="5776" spans="1:3" x14ac:dyDescent="0.25">
      <c r="A5776" s="8" t="str">
        <f>"9th WSEAS International Conference on Telecommunications and Informatics, TELE-INFO '10"</f>
        <v>9th WSEAS International Conference on Telecommunications and Informatics, TELE-INFO '10</v>
      </c>
      <c r="B5776" s="8" t="str">
        <f>"9789549260021"</f>
        <v>9789549260021</v>
      </c>
      <c r="C5776" s="8" t="s">
        <v>1249</v>
      </c>
    </row>
    <row r="5777" spans="1:3" x14ac:dyDescent="0.25">
      <c r="A5777" s="8" t="str">
        <f>"A Collection of Technical Papers - 13th AIAA/CIRA International Space Planes and Hypersonic Systems and Technologies Conference"</f>
        <v>A Collection of Technical Papers - 13th AIAA/CIRA International Space Planes and Hypersonic Systems and Technologies Conference</v>
      </c>
      <c r="B5777" s="8" t="str">
        <f>"9781563477294"</f>
        <v>9781563477294</v>
      </c>
      <c r="C5777" s="8" t="s">
        <v>104</v>
      </c>
    </row>
    <row r="5778" spans="1:3" x14ac:dyDescent="0.25">
      <c r="A5778" s="8" t="str">
        <f>"A Collection of Technical Papers - 14th AIAA/AHI International Space Planes and Hypersonic Systems and Technologies Conference"</f>
        <v>A Collection of Technical Papers - 14th AIAA/AHI International Space Planes and Hypersonic Systems and Technologies Conference</v>
      </c>
      <c r="B5778" s="8" t="str">
        <f>"-"</f>
        <v>-</v>
      </c>
      <c r="C5778" s="8" t="s">
        <v>104</v>
      </c>
    </row>
    <row r="5779" spans="1:3" x14ac:dyDescent="0.25">
      <c r="A5779" s="8" t="str">
        <f>"A Collection of Technical Papers - 1st Space Exploration Conference: Continuing the Voyage of Discovery"</f>
        <v>A Collection of Technical Papers - 1st Space Exploration Conference: Continuing the Voyage of Discovery</v>
      </c>
      <c r="B5779" s="8" t="str">
        <f>"9781563477270"</f>
        <v>9781563477270</v>
      </c>
      <c r="C5779" s="8" t="s">
        <v>104</v>
      </c>
    </row>
    <row r="5780" spans="1:3" x14ac:dyDescent="0.25">
      <c r="A5780" s="8" t="str">
        <f>"A Collection of Technical Papers - AIAA Space 2004 Conference and Exposition"</f>
        <v>A Collection of Technical Papers - AIAA Space 2004 Conference and Exposition</v>
      </c>
      <c r="B5780" s="8" t="str">
        <f>"9781563477201"</f>
        <v>9781563477201</v>
      </c>
      <c r="C5780" s="8" t="s">
        <v>104</v>
      </c>
    </row>
    <row r="5781" spans="1:3" x14ac:dyDescent="0.25">
      <c r="A5781" s="8" t="str">
        <f>"A Collection of Technical Papers - AIAA Space 2007 Conference"</f>
        <v>A Collection of Technical Papers - AIAA Space 2007 Conference</v>
      </c>
      <c r="B5781" s="8" t="str">
        <f>"9781563479076"</f>
        <v>9781563479076</v>
      </c>
      <c r="C5781" s="8" t="s">
        <v>104</v>
      </c>
    </row>
    <row r="5782" spans="1:3" x14ac:dyDescent="0.25">
      <c r="A5782" s="8" t="str">
        <f>"A Collection of the 22nd AIAA International Communications Satellite Systems Conference and Exhibit Technical Papers"</f>
        <v>A Collection of the 22nd AIAA International Communications Satellite Systems Conference and Exhibit Technical Papers</v>
      </c>
      <c r="B5782" s="8" t="str">
        <f>"9781563477126"</f>
        <v>9781563477126</v>
      </c>
      <c r="C5782" s="8" t="s">
        <v>104</v>
      </c>
    </row>
    <row r="5783" spans="1:3" x14ac:dyDescent="0.25">
      <c r="A5783" s="8" t="str">
        <f>"A Global Road Map for Ceramic Materials and Technologies: Forecasting the Future of Ceramics, International Ceramic Federation - 2nd International Congress on Ceramics, ICC 2008, Final Programme"</f>
        <v>A Global Road Map for Ceramic Materials and Technologies: Forecasting the Future of Ceramics, International Ceramic Federation - 2nd International Congress on Ceramics, ICC 2008, Final Programme</v>
      </c>
      <c r="B5783" s="8" t="str">
        <f>"9788880800842"</f>
        <v>9788880800842</v>
      </c>
      <c r="C5783" s="8" t="s">
        <v>1616</v>
      </c>
    </row>
    <row r="5784" spans="1:3" x14ac:dyDescent="0.25">
      <c r="A5784" s="8" t="str">
        <f>"A Review of Aeronautical Fatigue Investigations in Finland May 2005 - April 2007 - 30th Conference of the International Committee on Aeronautical Fatigue, ICAF 2007"</f>
        <v>A Review of Aeronautical Fatigue Investigations in Finland May 2005 - April 2007 - 30th Conference of the International Committee on Aeronautical Fatigue, ICAF 2007</v>
      </c>
      <c r="B5784" s="8" t="str">
        <f t="shared" ref="B5784:B5789" si="9">"-"</f>
        <v>-</v>
      </c>
      <c r="C5784" s="8" t="s">
        <v>1617</v>
      </c>
    </row>
    <row r="5785" spans="1:3" x14ac:dyDescent="0.25">
      <c r="A5785" s="8" t="str">
        <f>"AABC 2010 - Advanced Automotive Battery Conference"</f>
        <v>AABC 2010 - Advanced Automotive Battery Conference</v>
      </c>
      <c r="B5785" s="8" t="str">
        <f t="shared" si="9"/>
        <v>-</v>
      </c>
      <c r="C5785" s="8" t="s">
        <v>1242</v>
      </c>
    </row>
    <row r="5786" spans="1:3" x14ac:dyDescent="0.25">
      <c r="A5786" s="8" t="str">
        <f>"AABC 2014 - Advanced Automotive Battery Confernce, AABTAM Symposium - Advanced Automotive Battery Technology, Application and Market, AABTAM 2014"</f>
        <v>AABC 2014 - Advanced Automotive Battery Confernce, AABTAM Symposium - Advanced Automotive Battery Technology, Application and Market, AABTAM 2014</v>
      </c>
      <c r="B5786" s="8" t="str">
        <f t="shared" si="9"/>
        <v>-</v>
      </c>
      <c r="C5786" s="8" t="s">
        <v>1242</v>
      </c>
    </row>
    <row r="5787" spans="1:3" x14ac:dyDescent="0.25">
      <c r="A5787" s="8" t="s">
        <v>1618</v>
      </c>
      <c r="B5787" s="8" t="str">
        <f t="shared" si="9"/>
        <v>-</v>
      </c>
      <c r="C5787" s="8" t="s">
        <v>1242</v>
      </c>
    </row>
    <row r="5788" spans="1:3" x14ac:dyDescent="0.25">
      <c r="A5788" s="8" t="str">
        <f>"AABC Asia 2014 - Advanced Automotive Battery Confernce, AABTAM Symposium - Advanced Automotive Battery Technology, Application and Market, AABTAM 2014"</f>
        <v>AABC Asia 2014 - Advanced Automotive Battery Confernce, AABTAM Symposium - Advanced Automotive Battery Technology, Application and Market, AABTAM 2014</v>
      </c>
      <c r="B5788" s="8" t="str">
        <f t="shared" si="9"/>
        <v>-</v>
      </c>
      <c r="C5788" s="8" t="s">
        <v>1242</v>
      </c>
    </row>
    <row r="5789" spans="1:3" x14ac:dyDescent="0.25">
      <c r="A5789" s="8" t="str">
        <f>"AABC Asia 2014 - Advanced Automotive Battery Confernce, LLIBTA Symposium - Large Lithium Ion Battery Technology and Application, LLIBTA 2014"</f>
        <v>AABC Asia 2014 - Advanced Automotive Battery Confernce, LLIBTA Symposium - Large Lithium Ion Battery Technology and Application, LLIBTA 2014</v>
      </c>
      <c r="B5789" s="8" t="str">
        <f t="shared" si="9"/>
        <v>-</v>
      </c>
      <c r="C5789" s="8" t="s">
        <v>1242</v>
      </c>
    </row>
    <row r="5790" spans="1:3" x14ac:dyDescent="0.25">
      <c r="A5790" s="8" t="str">
        <f>"AAMAS'07 - Proceedings of the 6th International Joint Conference on Autonomous Agents and Multiagent Systems"</f>
        <v>AAMAS'07 - Proceedings of the 6th International Joint Conference on Autonomous Agents and Multiagent Systems</v>
      </c>
      <c r="B5790" s="8" t="str">
        <f>"9788190426275"</f>
        <v>9788190426275</v>
      </c>
      <c r="C5790" s="8" t="s">
        <v>21</v>
      </c>
    </row>
    <row r="5791" spans="1:3" x14ac:dyDescent="0.25">
      <c r="A5791" s="8" t="str">
        <f>"AAPG/EAGE Tight Reservoirs in the Middle East Workshop"</f>
        <v>AAPG/EAGE Tight Reservoirs in the Middle East Workshop</v>
      </c>
      <c r="B5791" s="8" t="str">
        <f>"-"</f>
        <v>-</v>
      </c>
      <c r="C5791" s="8" t="s">
        <v>1251</v>
      </c>
    </row>
    <row r="5792" spans="1:3" x14ac:dyDescent="0.25">
      <c r="A5792" s="8" t="str">
        <f>"AAPG/EAGE/SPE Shale Gas Workshop"</f>
        <v>AAPG/EAGE/SPE Shale Gas Workshop</v>
      </c>
      <c r="B5792" s="8" t="str">
        <f>"-"</f>
        <v>-</v>
      </c>
      <c r="C5792" s="8" t="s">
        <v>1251</v>
      </c>
    </row>
    <row r="5793" spans="1:3" x14ac:dyDescent="0.25">
      <c r="A5793" s="8" t="str">
        <f>"About: Designing - Analysing Design Meetings"</f>
        <v>About: Designing - Analysing Design Meetings</v>
      </c>
      <c r="B5793" s="8" t="str">
        <f>"9780415440585"</f>
        <v>9780415440585</v>
      </c>
      <c r="C5793" s="8" t="s">
        <v>1619</v>
      </c>
    </row>
    <row r="5794" spans="1:3" x14ac:dyDescent="0.25">
      <c r="A5794" s="8" t="str">
        <f>"Abstracts for 8th Annual Conference on Foundations of Nanoscience, FNANO 2011"</f>
        <v>Abstracts for 8th Annual Conference on Foundations of Nanoscience, FNANO 2011</v>
      </c>
      <c r="B5794" s="8" t="str">
        <f>"-"</f>
        <v>-</v>
      </c>
      <c r="C5794" s="8" t="s">
        <v>1460</v>
      </c>
    </row>
    <row r="5795" spans="1:3" x14ac:dyDescent="0.25">
      <c r="A5795" s="8" t="str">
        <f>"Abstracts for 9th Annual Conference on Foundations of Nanoscience: Self-Assembled Architectures and Devices, FNANO 2012"</f>
        <v>Abstracts for 9th Annual Conference on Foundations of Nanoscience: Self-Assembled Architectures and Devices, FNANO 2012</v>
      </c>
      <c r="B5795" s="8" t="str">
        <f>"-"</f>
        <v>-</v>
      </c>
      <c r="C5795" s="8" t="s">
        <v>1460</v>
      </c>
    </row>
    <row r="5796" spans="1:3" x14ac:dyDescent="0.25">
      <c r="A5796" s="8" t="str">
        <f>"Abstracts of the Pacific Basin Nuclear Conference"</f>
        <v>Abstracts of the Pacific Basin Nuclear Conference</v>
      </c>
      <c r="B5796" s="8" t="str">
        <f>"-"</f>
        <v>-</v>
      </c>
      <c r="C5796" s="8" t="s">
        <v>453</v>
      </c>
    </row>
    <row r="5797" spans="1:3" x14ac:dyDescent="0.25">
      <c r="A5797" s="8" t="str">
        <f>"ACadeMics Tooling with Eclipse, ACME 2013 - A Joint ECMFA/ECSA/ECOOP Workshop"</f>
        <v>ACadeMics Tooling with Eclipse, ACME 2013 - A Joint ECMFA/ECSA/ECOOP Workshop</v>
      </c>
      <c r="B5797" s="8" t="str">
        <f>"9781450320368"</f>
        <v>9781450320368</v>
      </c>
      <c r="C5797" s="8" t="s">
        <v>21</v>
      </c>
    </row>
    <row r="5798" spans="1:3" x14ac:dyDescent="0.25">
      <c r="A5798" s="8" t="str">
        <f>"Academy of Management 2005 Annual Meeting: A New Vision of Management in the 21st Century, AOM 2005"</f>
        <v>Academy of Management 2005 Annual Meeting: A New Vision of Management in the 21st Century, AOM 2005</v>
      </c>
      <c r="B5798" s="8" t="str">
        <f t="shared" ref="B5798:B5804" si="10">"-"</f>
        <v>-</v>
      </c>
      <c r="C5798" s="8" t="s">
        <v>1620</v>
      </c>
    </row>
    <row r="5799" spans="1:3" x14ac:dyDescent="0.25">
      <c r="A5799" s="8" t="str">
        <f>"Academy of Management 2006 Annual Meeting: Knowledge, Action and the Public Concern, AOM 2006"</f>
        <v>Academy of Management 2006 Annual Meeting: Knowledge, Action and the Public Concern, AOM 2006</v>
      </c>
      <c r="B5799" s="8" t="str">
        <f t="shared" si="10"/>
        <v>-</v>
      </c>
      <c r="C5799" s="8" t="s">
        <v>1620</v>
      </c>
    </row>
    <row r="5800" spans="1:3" x14ac:dyDescent="0.25">
      <c r="A5800" s="8" t="str">
        <f>"Academy of Management 2007 Annual Meeting: Doing Well by Doing Good, AOM 2007"</f>
        <v>Academy of Management 2007 Annual Meeting: Doing Well by Doing Good, AOM 2007</v>
      </c>
      <c r="B5800" s="8" t="str">
        <f t="shared" si="10"/>
        <v>-</v>
      </c>
      <c r="C5800" s="8" t="s">
        <v>1620</v>
      </c>
    </row>
    <row r="5801" spans="1:3" x14ac:dyDescent="0.25">
      <c r="A5801" s="8" t="str">
        <f>"Academy of Management 2008 Annual Meeting: The Questions We Ask, AOM 2008"</f>
        <v>Academy of Management 2008 Annual Meeting: The Questions We Ask, AOM 2008</v>
      </c>
      <c r="B5801" s="8" t="str">
        <f t="shared" si="10"/>
        <v>-</v>
      </c>
      <c r="C5801" s="8" t="s">
        <v>1620</v>
      </c>
    </row>
    <row r="5802" spans="1:3" x14ac:dyDescent="0.25">
      <c r="A5802" s="8" t="str">
        <f>"Academy of Management 2009 Annual Meeting: Green Management Matters, AOM 2009"</f>
        <v>Academy of Management 2009 Annual Meeting: Green Management Matters, AOM 2009</v>
      </c>
      <c r="B5802" s="8" t="str">
        <f t="shared" si="10"/>
        <v>-</v>
      </c>
      <c r="C5802" s="8" t="s">
        <v>1620</v>
      </c>
    </row>
    <row r="5803" spans="1:3" x14ac:dyDescent="0.25">
      <c r="A5803" s="8" t="str">
        <f>"Academy of Management 2010 Annual Meeting - Dare to Care: Passion and Compassion in Management Practice and Research, AOM 2010"</f>
        <v>Academy of Management 2010 Annual Meeting - Dare to Care: Passion and Compassion in Management Practice and Research, AOM 2010</v>
      </c>
      <c r="B5803" s="8" t="str">
        <f t="shared" si="10"/>
        <v>-</v>
      </c>
      <c r="C5803" s="8" t="s">
        <v>1620</v>
      </c>
    </row>
    <row r="5804" spans="1:3" x14ac:dyDescent="0.25">
      <c r="A5804" s="8" t="str">
        <f>"Academy of Management 2011 Annual Meeting - West Meets East: Enlightening. Balancing. Transcending, AOM 2011"</f>
        <v>Academy of Management 2011 Annual Meeting - West Meets East: Enlightening. Balancing. Transcending, AOM 2011</v>
      </c>
      <c r="B5804" s="8" t="str">
        <f t="shared" si="10"/>
        <v>-</v>
      </c>
      <c r="C5804" s="8" t="s">
        <v>1620</v>
      </c>
    </row>
    <row r="5805" spans="1:3" x14ac:dyDescent="0.25">
      <c r="A5805" s="8" t="str">
        <f>"ACADIA 08: Silicon + Skin: Biological Processes and Computation: Proceedings of the 28th Annual Conference of the Association for Computer Aided Design in Architecture"</f>
        <v>ACADIA 08: Silicon + Skin: Biological Processes and Computation: Proceedings of the 28th Annual Conference of the Association for Computer Aided Design in Architecture</v>
      </c>
      <c r="B5805" s="8" t="str">
        <f>"9780978946326"</f>
        <v>9780978946326</v>
      </c>
      <c r="C5805" s="8" t="s">
        <v>1621</v>
      </c>
    </row>
    <row r="5806" spans="1:3" x14ac:dyDescent="0.25">
      <c r="A5806" s="8" t="str">
        <f>"ACADIA 09: reForm(): Building a Better Tomorrow - Proceedings of the 29th Annual Conference of the Association for Computer Aided Design in Architecture"</f>
        <v>ACADIA 09: reForm(): Building a Better Tomorrow - Proceedings of the 29th Annual Conference of the Association for Computer Aided Design in Architecture</v>
      </c>
      <c r="B5806" s="8" t="str">
        <f>"9780984270507"</f>
        <v>9780984270507</v>
      </c>
      <c r="C5806" s="8" t="s">
        <v>1621</v>
      </c>
    </row>
    <row r="5807" spans="1:3" x14ac:dyDescent="0.25">
      <c r="A5807" s="8" t="str">
        <f>"ACADIA 2005 Conference: Smart Architecture"</f>
        <v>ACADIA 2005 Conference: Smart Architecture</v>
      </c>
      <c r="B5807" s="8" t="str">
        <f>"-"</f>
        <v>-</v>
      </c>
      <c r="C5807" s="8" t="s">
        <v>1621</v>
      </c>
    </row>
    <row r="5808" spans="1:3" x14ac:dyDescent="0.25">
      <c r="A5808" s="8" t="str">
        <f>"Access Management Theories and Practices - Proceedings of the 2nd International Conference on Access Management, AM 2014"</f>
        <v>Access Management Theories and Practices - Proceedings of the 2nd International Conference on Access Management, AM 2014</v>
      </c>
      <c r="B5808" s="8" t="str">
        <f>"9780784413869"</f>
        <v>9780784413869</v>
      </c>
      <c r="C5808" s="8" t="s">
        <v>111</v>
      </c>
    </row>
    <row r="5809" spans="1:3" x14ac:dyDescent="0.25">
      <c r="A5809" s="8" t="str">
        <f>"Access Networks and In-house Communications, ANIC 2012"</f>
        <v>Access Networks and In-house Communications, ANIC 2012</v>
      </c>
      <c r="B5809" s="8" t="str">
        <f>"9781557529466"</f>
        <v>9781557529466</v>
      </c>
      <c r="C5809" s="8" t="s">
        <v>86</v>
      </c>
    </row>
    <row r="5810" spans="1:3" x14ac:dyDescent="0.25">
      <c r="A5810" s="8" t="str">
        <f>"Access to Sanitation and Safe Water: Global Partnerships and Local Actions - Proceedings of the 33rd WEDC International Conference"</f>
        <v>Access to Sanitation and Safe Water: Global Partnerships and Local Actions - Proceedings of the 33rd WEDC International Conference</v>
      </c>
      <c r="B5810" s="8" t="str">
        <f>"9781843801290"</f>
        <v>9781843801290</v>
      </c>
      <c r="C5810" s="8" t="s">
        <v>1486</v>
      </c>
    </row>
    <row r="5811" spans="1:3" x14ac:dyDescent="0.25">
      <c r="A5811" s="8" t="str">
        <f>"Accuracy and Stability of Numerical Algorithms"</f>
        <v>Accuracy and Stability of Numerical Algorithms</v>
      </c>
      <c r="B5811" s="8" t="str">
        <f>"9780898715217"</f>
        <v>9780898715217</v>
      </c>
      <c r="C5811" s="8" t="s">
        <v>249</v>
      </c>
    </row>
    <row r="5812" spans="1:3" x14ac:dyDescent="0.25">
      <c r="A5812" s="8" t="str">
        <f>"ACDT 2015 - Proceedings: The 1st Asian Conference on Defence Technology"</f>
        <v>ACDT 2015 - Proceedings: The 1st Asian Conference on Defence Technology</v>
      </c>
      <c r="B5812" s="8" t="str">
        <f>"9781479981670"</f>
        <v>9781479981670</v>
      </c>
      <c r="C5812" s="8" t="s">
        <v>105</v>
      </c>
    </row>
    <row r="5813" spans="1:3" x14ac:dyDescent="0.25">
      <c r="A5813" s="8" t="str">
        <f>"ACE 2010 - 2010 International Conference on Advances in Computer Engineering"</f>
        <v>ACE 2010 - 2010 International Conference on Advances in Computer Engineering</v>
      </c>
      <c r="B5813" s="8" t="str">
        <f>"9780769540580"</f>
        <v>9780769540580</v>
      </c>
      <c r="C5813" s="8" t="s">
        <v>9</v>
      </c>
    </row>
    <row r="5814" spans="1:3" x14ac:dyDescent="0.25">
      <c r="A5814" s="8" t="str">
        <f>"ACE 2013 - 2013 AWWA Annual Conference and Exposition"</f>
        <v>ACE 2013 - 2013 AWWA Annual Conference and Exposition</v>
      </c>
      <c r="B5814" s="8" t="str">
        <f>"-"</f>
        <v>-</v>
      </c>
      <c r="C5814" s="8" t="s">
        <v>651</v>
      </c>
    </row>
    <row r="5815" spans="1:3" x14ac:dyDescent="0.25">
      <c r="A5815" s="8" t="str">
        <f>"ACHI 2011 - 4th International Conference on Advances in Computer-Human Interactions"</f>
        <v>ACHI 2011 - 4th International Conference on Advances in Computer-Human Interactions</v>
      </c>
      <c r="B5815" s="8" t="str">
        <f>"9781612081175"</f>
        <v>9781612081175</v>
      </c>
      <c r="C5815" s="8" t="s">
        <v>373</v>
      </c>
    </row>
    <row r="5816" spans="1:3" x14ac:dyDescent="0.25">
      <c r="A5816" s="8" t="str">
        <f>"ACHI 2012 - 5th International Conference on Advances in Computer-Human Interactions"</f>
        <v>ACHI 2012 - 5th International Conference on Advances in Computer-Human Interactions</v>
      </c>
      <c r="B5816" s="8" t="str">
        <f>"9781612081779"</f>
        <v>9781612081779</v>
      </c>
      <c r="C5816" s="8" t="s">
        <v>373</v>
      </c>
    </row>
    <row r="5817" spans="1:3" x14ac:dyDescent="0.25">
      <c r="A5817" s="8" t="str">
        <f>"Achieving Systems Safety - Proceedings of the 20th Safety-Critical Systems Symposium, SSS 2012"</f>
        <v>Achieving Systems Safety - Proceedings of the 20th Safety-Critical Systems Symposium, SSS 2012</v>
      </c>
      <c r="B5817" s="8" t="str">
        <f>"9781447124931"</f>
        <v>9781447124931</v>
      </c>
      <c r="C5817" s="8" t="s">
        <v>62</v>
      </c>
    </row>
    <row r="5818" spans="1:3" x14ac:dyDescent="0.25">
      <c r="A5818" s="8" t="str">
        <f>"ACIS 2005 Proceedings - 16th Australasian Conference on Information Systems"</f>
        <v>ACIS 2005 Proceedings - 16th Australasian Conference on Information Systems</v>
      </c>
      <c r="B5818" s="8" t="str">
        <f t="shared" ref="B5818:B5823" si="11">"-"</f>
        <v>-</v>
      </c>
      <c r="C5818" s="8" t="s">
        <v>289</v>
      </c>
    </row>
    <row r="5819" spans="1:3" x14ac:dyDescent="0.25">
      <c r="A5819" s="8" t="str">
        <f>"ACIS 2006 Proceedings - 17th Australasian Conference on Information Systems"</f>
        <v>ACIS 2006 Proceedings - 17th Australasian Conference on Information Systems</v>
      </c>
      <c r="B5819" s="8" t="str">
        <f t="shared" si="11"/>
        <v>-</v>
      </c>
      <c r="C5819" s="8" t="s">
        <v>289</v>
      </c>
    </row>
    <row r="5820" spans="1:3" x14ac:dyDescent="0.25">
      <c r="A5820" s="8" t="str">
        <f>"ACIS 2007 Proceedings - 18th Australasian Conference on Information Systems"</f>
        <v>ACIS 2007 Proceedings - 18th Australasian Conference on Information Systems</v>
      </c>
      <c r="B5820" s="8" t="str">
        <f t="shared" si="11"/>
        <v>-</v>
      </c>
      <c r="C5820" s="8" t="s">
        <v>289</v>
      </c>
    </row>
    <row r="5821" spans="1:3" x14ac:dyDescent="0.25">
      <c r="A5821" s="8" t="str">
        <f>"ACIS 2008 Proceedings - 19th Australasian Conference on Information Systems"</f>
        <v>ACIS 2008 Proceedings - 19th Australasian Conference on Information Systems</v>
      </c>
      <c r="B5821" s="8" t="str">
        <f t="shared" si="11"/>
        <v>-</v>
      </c>
      <c r="C5821" s="8" t="s">
        <v>289</v>
      </c>
    </row>
    <row r="5822" spans="1:3" x14ac:dyDescent="0.25">
      <c r="A5822" s="8" t="str">
        <f>"ACIS 2009 Proceedings - 20th Australasian Conference on Information Systems"</f>
        <v>ACIS 2009 Proceedings - 20th Australasian Conference on Information Systems</v>
      </c>
      <c r="B5822" s="8" t="str">
        <f t="shared" si="11"/>
        <v>-</v>
      </c>
      <c r="C5822" s="8" t="s">
        <v>289</v>
      </c>
    </row>
    <row r="5823" spans="1:3" x14ac:dyDescent="0.25">
      <c r="A5823" s="8" t="str">
        <f>"ACIS 2010 Proceedings - 21st Australasian Conference on Information Systems"</f>
        <v>ACIS 2010 Proceedings - 21st Australasian Conference on Information Systems</v>
      </c>
      <c r="B5823" s="8" t="str">
        <f t="shared" si="11"/>
        <v>-</v>
      </c>
      <c r="C5823" s="8" t="s">
        <v>289</v>
      </c>
    </row>
    <row r="5824" spans="1:3" x14ac:dyDescent="0.25">
      <c r="A5824" s="8" t="str">
        <f>"ACIS 2011 Proceedings - 22nd Australasian Conference on Information Systems"</f>
        <v>ACIS 2011 Proceedings - 22nd Australasian Conference on Information Systems</v>
      </c>
      <c r="B5824" s="8" t="str">
        <f>"9781742102399"</f>
        <v>9781742102399</v>
      </c>
      <c r="C5824" s="8" t="s">
        <v>289</v>
      </c>
    </row>
    <row r="5825" spans="1:3" x14ac:dyDescent="0.25">
      <c r="A5825" s="8" t="str">
        <f>"ACIS 2012 : Proceedings of the 23rd Australasian Conference on Information Systems"</f>
        <v>ACIS 2012 : Proceedings of the 23rd Australasian Conference on Information Systems</v>
      </c>
      <c r="B5825" s="8" t="str">
        <f>"9781741561722"</f>
        <v>9781741561722</v>
      </c>
      <c r="C5825" s="8" t="s">
        <v>1622</v>
      </c>
    </row>
    <row r="5826" spans="1:3" x14ac:dyDescent="0.25">
      <c r="A5826" s="8" t="str">
        <f>"ACL 2007 - Proceedings of the 45th Annual Meeting of the Association for Computational Linguistics"</f>
        <v>ACL 2007 - Proceedings of the 45th Annual Meeting of the Association for Computational Linguistics</v>
      </c>
      <c r="B5826" s="8" t="str">
        <f>"9781932432862"</f>
        <v>9781932432862</v>
      </c>
      <c r="C5826" s="8" t="s">
        <v>554</v>
      </c>
    </row>
    <row r="5827" spans="1:3" x14ac:dyDescent="0.25">
      <c r="A5827" s="8" t="str">
        <f>"ACL 2007: The LAW - Proceedings of The Linguistic Annotation Workshop"</f>
        <v>ACL 2007: The LAW - Proceedings of The Linguistic Annotation Workshop</v>
      </c>
      <c r="B5827" s="8" t="str">
        <f>"-"</f>
        <v>-</v>
      </c>
      <c r="C5827" s="8" t="s">
        <v>554</v>
      </c>
    </row>
    <row r="5828" spans="1:3" x14ac:dyDescent="0.25">
      <c r="A5828" s="8" t="str">
        <f>"ACL 2010 - 48th Annual Meeting of the Association for Computational Linguistics, Proceedings of the Conference"</f>
        <v>ACL 2010 - 48th Annual Meeting of the Association for Computational Linguistics, Proceedings of the Conference</v>
      </c>
      <c r="B5828" s="8" t="str">
        <f>"9781617388088"</f>
        <v>9781617388088</v>
      </c>
      <c r="C5828" s="8" t="s">
        <v>554</v>
      </c>
    </row>
    <row r="5829" spans="1:3" x14ac:dyDescent="0.25">
      <c r="A5829" s="8" t="str">
        <f>"ACL 2010 - LAW 2010: 4th Linguistic Annotation Workshop, Proceedings"</f>
        <v>ACL 2010 - LAW 2010: 4th Linguistic Annotation Workshop, Proceedings</v>
      </c>
      <c r="B5829" s="8" t="str">
        <f>"9781932432725"</f>
        <v>9781932432725</v>
      </c>
      <c r="C5829" s="8" t="s">
        <v>554</v>
      </c>
    </row>
    <row r="5830" spans="1:3" x14ac:dyDescent="0.25">
      <c r="A5830" s="8" t="str">
        <f>"ACL 2010 - TextGraphs 2010: 2010 Workshop on Graph-Based Methods for Natural Language Processing, Proceedings of the Workshop"</f>
        <v>ACL 2010 - TextGraphs 2010: 2010 Workshop on Graph-Based Methods for Natural Language Processing, Proceedings of the Workshop</v>
      </c>
      <c r="B5830" s="8" t="str">
        <f>"9781932432770"</f>
        <v>9781932432770</v>
      </c>
      <c r="C5830" s="8" t="s">
        <v>554</v>
      </c>
    </row>
    <row r="5831" spans="1:3" x14ac:dyDescent="0.25">
      <c r="A5831" s="8" t="str">
        <f>"ACL 2012 - TextGraphs 2012: Workshop on Graph-Based Methods for Natural Language Processing, Workshop Proceedings"</f>
        <v>ACL 2012 - TextGraphs 2012: Workshop on Graph-Based Methods for Natural Language Processing, Workshop Proceedings</v>
      </c>
      <c r="B5831" s="8" t="str">
        <f>"9781937284374"</f>
        <v>9781937284374</v>
      </c>
      <c r="C5831" s="8" t="s">
        <v>554</v>
      </c>
    </row>
    <row r="5832" spans="1:3" x14ac:dyDescent="0.25">
      <c r="A5832" s="8" t="str">
        <f>"ACL HLT 2011 - 49th Annual Meeting of the Association for Computational Linguistics: Human Language Technologies, Proceedings of Student Session"</f>
        <v>ACL HLT 2011 - 49th Annual Meeting of the Association for Computational Linguistics: Human Language Technologies, Proceedings of Student Session</v>
      </c>
      <c r="B5832" s="8" t="str">
        <f>"9781932432893"</f>
        <v>9781932432893</v>
      </c>
      <c r="C5832" s="8" t="s">
        <v>554</v>
      </c>
    </row>
    <row r="5833" spans="1:3" x14ac:dyDescent="0.25">
      <c r="A5833" s="8" t="str">
        <f>"ACL HLT 2011 - 49th Annual Meeting of the Association for Computational Linguistics: Human Language Technologies, Proceedings of System Demonstrations"</f>
        <v>ACL HLT 2011 - 49th Annual Meeting of the Association for Computational Linguistics: Human Language Technologies, Proceedings of System Demonstrations</v>
      </c>
      <c r="B5833" s="8" t="str">
        <f>"9781932432909"</f>
        <v>9781932432909</v>
      </c>
      <c r="C5833" s="8" t="s">
        <v>554</v>
      </c>
    </row>
    <row r="5834" spans="1:3" x14ac:dyDescent="0.25">
      <c r="A5834" s="8" t="str">
        <f>"ACL HLT 2011 - LAW 2011: 5th Linguistic Annotation Workshop, Proceedings"</f>
        <v>ACL HLT 2011 - LAW 2011: 5th Linguistic Annotation Workshop, Proceedings</v>
      </c>
      <c r="B5834" s="8" t="str">
        <f>"9781932432930"</f>
        <v>9781932432930</v>
      </c>
      <c r="C5834" s="8" t="s">
        <v>554</v>
      </c>
    </row>
    <row r="5835" spans="1:3" x14ac:dyDescent="0.25">
      <c r="A5835" s="8" t="str">
        <f>"ACL HLT 2011 - TextGraphs 2011: Workshop on Graph-Based Methods for Natural Language Processing, Proceedings of the Workshop"</f>
        <v>ACL HLT 2011 - TextGraphs 2011: Workshop on Graph-Based Methods for Natural Language Processing, Proceedings of the Workshop</v>
      </c>
      <c r="B5835" s="8" t="str">
        <f>"9781937284008"</f>
        <v>9781937284008</v>
      </c>
      <c r="C5835" s="8" t="s">
        <v>554</v>
      </c>
    </row>
    <row r="5836" spans="1:3" x14ac:dyDescent="0.25">
      <c r="A5836" s="8" t="str">
        <f>"ACL-05 - 43rd Annual Meeting of the Association for Computational Linguistics, Proceedings of the Conference"</f>
        <v>ACL-05 - 43rd Annual Meeting of the Association for Computational Linguistics, Proceedings of the Conference</v>
      </c>
      <c r="B5836" s="8" t="str">
        <f>"9781932432510"</f>
        <v>9781932432510</v>
      </c>
      <c r="C5836" s="8" t="s">
        <v>554</v>
      </c>
    </row>
    <row r="5837" spans="1:3" x14ac:dyDescent="0.25">
      <c r="A5837" s="8" t="str">
        <f>"ACL-08: HLT - 46th Annual Meeting of the Association for Computational Linguistics: Human Language Technologies, Proceedings of the Conference"</f>
        <v>ACL-08: HLT - 46th Annual Meeting of the Association for Computational Linguistics: Human Language Technologies, Proceedings of the Conference</v>
      </c>
      <c r="B5837" s="8" t="str">
        <f>"9781932432046"</f>
        <v>9781932432046</v>
      </c>
      <c r="C5837" s="8" t="s">
        <v>554</v>
      </c>
    </row>
    <row r="5838" spans="1:3" x14ac:dyDescent="0.25">
      <c r="A5838" s="8" t="str">
        <f>"ACL-08: HLT - Proceedings of the 9th SIGdial Workshop on Discourse and Dialogue"</f>
        <v>ACL-08: HLT - Proceedings of the 9th SIGdial Workshop on Discourse and Dialogue</v>
      </c>
      <c r="B5838" s="8" t="str">
        <f>"9781932432176"</f>
        <v>9781932432176</v>
      </c>
      <c r="C5838" s="8" t="s">
        <v>554</v>
      </c>
    </row>
    <row r="5839" spans="1:3" x14ac:dyDescent="0.25">
      <c r="A5839" s="8" t="str">
        <f>"ACL-HLT 2011 - Proceedings of the 49th Annual Meeting of the Association for Computational Linguistics: Human Language Technologies"</f>
        <v>ACL-HLT 2011 - Proceedings of the 49th Annual Meeting of the Association for Computational Linguistics: Human Language Technologies</v>
      </c>
      <c r="B5839" s="8" t="str">
        <f>"-"</f>
        <v>-</v>
      </c>
      <c r="C5839" s="8" t="s">
        <v>554</v>
      </c>
    </row>
    <row r="5840" spans="1:3" x14ac:dyDescent="0.25">
      <c r="A5840" s="8" t="str">
        <f>"ACL-IJCNLP 2009 - Joint Conf. of the 47th Annual Meeting of the Association for Computational Linguistics and 4th Int. Joint Conf. on Natural Language Processing of the AFNLP, Proceedings of the Conf."</f>
        <v>ACL-IJCNLP 2009 - Joint Conf. of the 47th Annual Meeting of the Association for Computational Linguistics and 4th Int. Joint Conf. on Natural Language Processing of the AFNLP, Proceedings of the Conf.</v>
      </c>
      <c r="B5840" s="8" t="str">
        <f>"9781617382581"</f>
        <v>9781617382581</v>
      </c>
      <c r="C5840" s="8" t="s">
        <v>554</v>
      </c>
    </row>
    <row r="5841" spans="1:3" x14ac:dyDescent="0.25">
      <c r="A5841" s="8" t="str">
        <f>"ACL-IJCNLP 2009 - LAW 2009: 3rd Linguistic Annotation Workshop, Proceedings"</f>
        <v>ACL-IJCNLP 2009 - LAW 2009: 3rd Linguistic Annotation Workshop, Proceedings</v>
      </c>
      <c r="B5841" s="8" t="str">
        <f>"9781932432527"</f>
        <v>9781932432527</v>
      </c>
      <c r="C5841" s="8" t="s">
        <v>554</v>
      </c>
    </row>
    <row r="5842" spans="1:3" x14ac:dyDescent="0.25">
      <c r="A5842" s="8" t="str">
        <f>"ACL-IJCNLP 2009 - TextGraphs 2009: 2009 Workshop on Graph-Based Methods for Natural Language Processing, Proceedings of the Workshop"</f>
        <v>ACL-IJCNLP 2009 - TextGraphs 2009: 2009 Workshop on Graph-Based Methods for Natural Language Processing, Proceedings of the Workshop</v>
      </c>
      <c r="B5842" s="8" t="str">
        <f>"9781932432541"</f>
        <v>9781932432541</v>
      </c>
      <c r="C5842" s="8" t="s">
        <v>554</v>
      </c>
    </row>
    <row r="5843" spans="1:3" x14ac:dyDescent="0.25">
      <c r="A5843" s="8" t="str">
        <f>"ACL-IJCNLP 2015 - 53rd Annual Meeting of the Association for Computational Linguistics and the 7th International Joint Conference on Natural Language Processing of the Asian Federation of Natural Language Processing, Proceedings of the Conference"</f>
        <v>ACL-IJCNLP 2015 - 53rd Annual Meeting of the Association for Computational Linguistics and the 7th International Joint Conference on Natural Language Processing of the Asian Federation of Natural Language Processing, Proceedings of the Conference</v>
      </c>
      <c r="B5843" s="8" t="str">
        <f>"-"</f>
        <v>-</v>
      </c>
      <c r="C5843" s="8" t="s">
        <v>554</v>
      </c>
    </row>
    <row r="5844" spans="1:3" x14ac:dyDescent="0.25">
      <c r="A5844" s="8" t="str">
        <f>"ACL-IJCNLP 2015 - 53rd Annual Meeting of the Association for Computational Linguistics and the 7th International Joint Conference on Natural Language Processing, Proceedings of System Demonstrations"</f>
        <v>ACL-IJCNLP 2015 - 53rd Annual Meeting of the Association for Computational Linguistics and the 7th International Joint Conference on Natural Language Processing, Proceedings of System Demonstrations</v>
      </c>
      <c r="B5844" s="8" t="str">
        <f>"9781941643990"</f>
        <v>9781941643990</v>
      </c>
      <c r="C5844" s="8" t="s">
        <v>554</v>
      </c>
    </row>
    <row r="5845" spans="1:3" x14ac:dyDescent="0.25">
      <c r="A5845" s="8" t="str">
        <f>"ACL-IJCNLP 2015 - 53rd Annual Meeting of the Association for Computational Linguistics and the 7th International Joint Conference on Natural Language Processing, Proceedings of the Student Research Workshop"</f>
        <v>ACL-IJCNLP 2015 - 53rd Annual Meeting of the Association for Computational Linguistics and the 7th International Joint Conference on Natural Language Processing, Proceedings of the Student Research Workshop</v>
      </c>
      <c r="B5845" s="8" t="str">
        <f>"9781941643747"</f>
        <v>9781941643747</v>
      </c>
      <c r="C5845" s="8" t="s">
        <v>554</v>
      </c>
    </row>
    <row r="5846" spans="1:3" x14ac:dyDescent="0.25">
      <c r="A5846" s="8" t="str">
        <f>"ACM 2000 Java Grande Conference"</f>
        <v>ACM 2000 Java Grande Conference</v>
      </c>
      <c r="B5846" s="8" t="str">
        <f>"9781581132885"</f>
        <v>9781581132885</v>
      </c>
      <c r="C5846" s="8" t="s">
        <v>21</v>
      </c>
    </row>
    <row r="5847" spans="1:3" x14ac:dyDescent="0.25">
      <c r="A5847" s="8" t="str">
        <f>"ACM 2001 Java Grande/ISCOPE Conference"</f>
        <v>ACM 2001 Java Grande/ISCOPE Conference</v>
      </c>
      <c r="B5847" s="8" t="str">
        <f>"9781581133592"</f>
        <v>9781581133592</v>
      </c>
      <c r="C5847" s="8" t="s">
        <v>21</v>
      </c>
    </row>
    <row r="5848" spans="1:3" x14ac:dyDescent="0.25">
      <c r="A5848" s="8" t="str">
        <f>"ACM 2009 Workshop on Ambient Media Computing, AMC'09, Co-located with the 2009 ACM International Conference on Multimedia, MM'09"</f>
        <v>ACM 2009 Workshop on Ambient Media Computing, AMC'09, Co-located with the 2009 ACM International Conference on Multimedia, MM'09</v>
      </c>
      <c r="B5848" s="8" t="str">
        <f>"9781605587608"</f>
        <v>9781605587608</v>
      </c>
      <c r="C5848" s="8" t="s">
        <v>21</v>
      </c>
    </row>
    <row r="5849" spans="1:3" x14ac:dyDescent="0.25">
      <c r="A5849" s="8" t="str">
        <f>"ACM 2009 Workshop on Multimedia for Cooking and Eating Activities, CEA'09, Co-located with the 2009 ACM International Conference on Multimedia, MM'09"</f>
        <v>ACM 2009 Workshop on Multimedia for Cooking and Eating Activities, CEA'09, Co-located with the 2009 ACM International Conference on Multimedia, MM'09</v>
      </c>
      <c r="B5849" s="8" t="str">
        <f>"9781605587639"</f>
        <v>9781605587639</v>
      </c>
      <c r="C5849" s="8" t="s">
        <v>21</v>
      </c>
    </row>
    <row r="5850" spans="1:3" x14ac:dyDescent="0.25">
      <c r="A5850" s="8" t="str">
        <f>"ACM BCB 2014 - 5th ACM Conference on Bioinformatics, Computational Biology, and Health Informatics"</f>
        <v>ACM BCB 2014 - 5th ACM Conference on Bioinformatics, Computational Biology, and Health Informatics</v>
      </c>
      <c r="B5850" s="8" t="str">
        <f>"9781450328944"</f>
        <v>9781450328944</v>
      </c>
      <c r="C5850" s="8" t="s">
        <v>1235</v>
      </c>
    </row>
    <row r="5851" spans="1:3" x14ac:dyDescent="0.25">
      <c r="A5851" s="8" t="str">
        <f>"ACM DEV-5 2014 - Proceedings of the 2014 Annual Symposium on Computing for Development"</f>
        <v>ACM DEV-5 2014 - Proceedings of the 2014 Annual Symposium on Computing for Development</v>
      </c>
      <c r="B5851" s="8" t="str">
        <f>"9781450329361"</f>
        <v>9781450329361</v>
      </c>
      <c r="C5851" s="8" t="s">
        <v>1235</v>
      </c>
    </row>
    <row r="5852" spans="1:3" x14ac:dyDescent="0.25">
      <c r="A5852" s="8" t="str">
        <f>"ACM Future Play 2008 International Academic Conference on the Future of Game Design and Technology, Future Play: Research, Play, Share"</f>
        <v>ACM Future Play 2008 International Academic Conference on the Future of Game Design and Technology, Future Play: Research, Play, Share</v>
      </c>
      <c r="B5852" s="8" t="str">
        <f>"9781605582184"</f>
        <v>9781605582184</v>
      </c>
      <c r="C5852" s="8" t="s">
        <v>21</v>
      </c>
    </row>
    <row r="5853" spans="1:3" x14ac:dyDescent="0.25">
      <c r="A5853" s="8" t="str">
        <f>"ACM HotMobile 2013: The 14th Workshop on Mobile Computing Systems and Applications"</f>
        <v>ACM HotMobile 2013: The 14th Workshop on Mobile Computing Systems and Applications</v>
      </c>
      <c r="B5853" s="8" t="str">
        <f>"9781450314213"</f>
        <v>9781450314213</v>
      </c>
      <c r="C5853" s="8" t="s">
        <v>21</v>
      </c>
    </row>
    <row r="5854" spans="1:3" x14ac:dyDescent="0.25">
      <c r="A5854" s="8" t="str">
        <f>"ACM IMCOM 2015 - Proceedings"</f>
        <v>ACM IMCOM 2015 - Proceedings</v>
      </c>
      <c r="B5854" s="8" t="str">
        <f>"9781450333771"</f>
        <v>9781450333771</v>
      </c>
      <c r="C5854" s="8" t="s">
        <v>1235</v>
      </c>
    </row>
    <row r="5855" spans="1:3" x14ac:dyDescent="0.25">
      <c r="A5855" s="8" t="str">
        <f>"ACM International Conference on Interactive Tabletops and Surfaces, ITS 2010"</f>
        <v>ACM International Conference on Interactive Tabletops and Surfaces, ITS 2010</v>
      </c>
      <c r="B5855" s="8" t="str">
        <f>"9781450303996"</f>
        <v>9781450303996</v>
      </c>
      <c r="C5855" s="8" t="s">
        <v>21</v>
      </c>
    </row>
    <row r="5856" spans="1:3" x14ac:dyDescent="0.25">
      <c r="A5856" s="8" t="str">
        <f>"ACM International Conference Proceeding Series"</f>
        <v>ACM International Conference Proceeding Series</v>
      </c>
      <c r="B5856" s="8" t="str">
        <f>"9781450308229"</f>
        <v>9781450308229</v>
      </c>
      <c r="C5856" s="8" t="s">
        <v>21</v>
      </c>
    </row>
    <row r="5857" spans="1:3" x14ac:dyDescent="0.25">
      <c r="A5857" s="8" t="str">
        <f>"ACM MSWiM 2004 - Proceedings of the Seventh ACM Symposium on Modeling, Analysis and Simulation of Wireless and Mobile Systems"</f>
        <v>ACM MSWiM 2004 - Proceedings of the Seventh ACM Symposium on Modeling, Analysis and Simulation of Wireless and Mobile Systems</v>
      </c>
      <c r="B5857" s="8" t="str">
        <f>"9781581139532"</f>
        <v>9781581139532</v>
      </c>
      <c r="C5857" s="8" t="s">
        <v>21</v>
      </c>
    </row>
    <row r="5858" spans="1:3" x14ac:dyDescent="0.25">
      <c r="A5858" s="8" t="str">
        <f>"ACM MSWiM 2005 - Proceedings of the Eighth ACM Symposium on Modeling, Analysis and Simulation of Wireless and Mobile Systems"</f>
        <v>ACM MSWiM 2005 - Proceedings of the Eighth ACM Symposium on Modeling, Analysis and Simulation of Wireless and Mobile Systems</v>
      </c>
      <c r="B5858" s="8" t="str">
        <f>"-"</f>
        <v>-</v>
      </c>
      <c r="C5858" s="8" t="s">
        <v>21</v>
      </c>
    </row>
    <row r="5859" spans="1:3" x14ac:dyDescent="0.25">
      <c r="A5859" s="8" t="str">
        <f>"ACM MSWiM 2006 - Proceedings of the 9th ACM Symposium on Modeling, Analysis and Simulation of Wireless and Mobile Systems"</f>
        <v>ACM MSWiM 2006 - Proceedings of the 9th ACM Symposium on Modeling, Analysis and Simulation of Wireless and Mobile Systems</v>
      </c>
      <c r="B5859" s="8" t="str">
        <f>"-"</f>
        <v>-</v>
      </c>
      <c r="C5859" s="8" t="s">
        <v>21</v>
      </c>
    </row>
    <row r="5860" spans="1:3" x14ac:dyDescent="0.25">
      <c r="A5860" s="8" t="str">
        <f>"ACM Multimedia 2002 Workshop W2 - Workshop on Multimedia and Security: Authentication, Secrecy, and Steganalysis"</f>
        <v>ACM Multimedia 2002 Workshop W2 - Workshop on Multimedia and Security: Authentication, Secrecy, and Steganalysis</v>
      </c>
      <c r="B5860" s="8" t="str">
        <f>"9781581136395"</f>
        <v>9781581136395</v>
      </c>
      <c r="C5860" s="8" t="s">
        <v>21</v>
      </c>
    </row>
    <row r="5861" spans="1:3" x14ac:dyDescent="0.25">
      <c r="A5861" s="8" t="str">
        <f>"ACM Multimedia 2004 - proceedings of the 12th ACM International Conference on Multimedia"</f>
        <v>ACM Multimedia 2004 - proceedings of the 12th ACM International Conference on Multimedia</v>
      </c>
      <c r="B5861" s="8" t="str">
        <f>"9781581138931"</f>
        <v>9781581138931</v>
      </c>
      <c r="C5861" s="8" t="s">
        <v>21</v>
      </c>
    </row>
    <row r="5862" spans="1:3" x14ac:dyDescent="0.25">
      <c r="A5862" s="8" t="str">
        <f>"ACM SIGCOMM 2007: Conference on Computer Communications"</f>
        <v>ACM SIGCOMM 2007: Conference on Computer Communications</v>
      </c>
      <c r="B5862" s="8" t="str">
        <f>"9781595937131"</f>
        <v>9781595937131</v>
      </c>
      <c r="C5862" s="8" t="s">
        <v>21</v>
      </c>
    </row>
    <row r="5863" spans="1:3" x14ac:dyDescent="0.25">
      <c r="A5863" s="8" t="str">
        <f>"ACM SIGDOC 2006 - Proceedings of the 24th ACM International Conference on Design of Communication"</f>
        <v>ACM SIGDOC 2006 - Proceedings of the 24th ACM International Conference on Design of Communication</v>
      </c>
      <c r="B5863" s="8" t="str">
        <f>"9781595935236"</f>
        <v>9781595935236</v>
      </c>
      <c r="C5863" s="8" t="s">
        <v>21</v>
      </c>
    </row>
    <row r="5864" spans="1:3" x14ac:dyDescent="0.25">
      <c r="A5864" s="8" t="str">
        <f>"ACM SIGGRAPH 2002 Conference Abstracts and Applications, SIGGRAPH 2002"</f>
        <v>ACM SIGGRAPH 2002 Conference Abstracts and Applications, SIGGRAPH 2002</v>
      </c>
      <c r="B5864" s="8" t="str">
        <f>"9781581135251"</f>
        <v>9781581135251</v>
      </c>
      <c r="C5864" s="8" t="s">
        <v>1235</v>
      </c>
    </row>
    <row r="5865" spans="1:3" x14ac:dyDescent="0.25">
      <c r="A5865" s="8" t="str">
        <f>"ACM SIGGRAPH 2003 Papers, SIGGRAPH '03"</f>
        <v>ACM SIGGRAPH 2003 Papers, SIGGRAPH '03</v>
      </c>
      <c r="B5865" s="8" t="str">
        <f>"9781581137095"</f>
        <v>9781581137095</v>
      </c>
      <c r="C5865" s="8" t="s">
        <v>21</v>
      </c>
    </row>
    <row r="5866" spans="1:3" x14ac:dyDescent="0.25">
      <c r="A5866" s="8" t="str">
        <f>"ACM SIGGRAPH 2004 Computer Animation Festival, SIGGRAPH '04"</f>
        <v>ACM SIGGRAPH 2004 Computer Animation Festival, SIGGRAPH '04</v>
      </c>
      <c r="B5866" s="8" t="str">
        <f>"9781581138962"</f>
        <v>9781581138962</v>
      </c>
      <c r="C5866" s="8" t="s">
        <v>21</v>
      </c>
    </row>
    <row r="5867" spans="1:3" x14ac:dyDescent="0.25">
      <c r="A5867" s="8" t="str">
        <f>"ACM SIGGRAPH 2004 Papers, SIGGRAPH 2004"</f>
        <v>ACM SIGGRAPH 2004 Papers, SIGGRAPH 2004</v>
      </c>
      <c r="B5867" s="8" t="str">
        <f>"-"</f>
        <v>-</v>
      </c>
      <c r="C5867" s="8" t="s">
        <v>21</v>
      </c>
    </row>
    <row r="5868" spans="1:3" x14ac:dyDescent="0.25">
      <c r="A5868" s="8" t="str">
        <f>"ACM SIGGRAPH 2004 Sketches, SIGGRAPH'04"</f>
        <v>ACM SIGGRAPH 2004 Sketches, SIGGRAPH'04</v>
      </c>
      <c r="B5868" s="8" t="str">
        <f>"-"</f>
        <v>-</v>
      </c>
      <c r="C5868" s="8" t="s">
        <v>21</v>
      </c>
    </row>
    <row r="5869" spans="1:3" x14ac:dyDescent="0.25">
      <c r="A5869" s="8" t="str">
        <f>"ACM SIGGRAPH 2004: Educators Program, SIGGRAPH'04"</f>
        <v>ACM SIGGRAPH 2004: Educators Program, SIGGRAPH'04</v>
      </c>
      <c r="B5869" s="8" t="str">
        <f>"9781581138962"</f>
        <v>9781581138962</v>
      </c>
      <c r="C5869" s="8" t="s">
        <v>21</v>
      </c>
    </row>
    <row r="5870" spans="1:3" x14ac:dyDescent="0.25">
      <c r="A5870" s="8" t="str">
        <f>"ACM SIGGRAPH 2004: Emerging Technologies, SIGGRAPH'04"</f>
        <v>ACM SIGGRAPH 2004: Emerging Technologies, SIGGRAPH'04</v>
      </c>
      <c r="B5870" s="8" t="str">
        <f>"9781581138962"</f>
        <v>9781581138962</v>
      </c>
      <c r="C5870" s="8" t="s">
        <v>21</v>
      </c>
    </row>
    <row r="5871" spans="1:3" x14ac:dyDescent="0.25">
      <c r="A5871" s="8" t="str">
        <f>"ACM SIGGRAPH 2004: Web Graphics, SIGGRAPH'04"</f>
        <v>ACM SIGGRAPH 2004: Web Graphics, SIGGRAPH'04</v>
      </c>
      <c r="B5871" s="8" t="str">
        <f>"9781581138962"</f>
        <v>9781581138962</v>
      </c>
      <c r="C5871" s="8" t="s">
        <v>21</v>
      </c>
    </row>
    <row r="5872" spans="1:3" x14ac:dyDescent="0.25">
      <c r="A5872" s="8" t="str">
        <f>"ACM SIGGRAPH 2005 Educators Program, SIGGRAPH '05"</f>
        <v>ACM SIGGRAPH 2005 Educators Program, SIGGRAPH '05</v>
      </c>
      <c r="B5872" s="8" t="str">
        <f>"-"</f>
        <v>-</v>
      </c>
      <c r="C5872" s="8" t="s">
        <v>21</v>
      </c>
    </row>
    <row r="5873" spans="1:3" x14ac:dyDescent="0.25">
      <c r="A5873" s="8" t="str">
        <f>"ACM SIGGRAPH 2005 Electronic Art and Animation Catalog, SIGGRAPH '05"</f>
        <v>ACM SIGGRAPH 2005 Electronic Art and Animation Catalog, SIGGRAPH '05</v>
      </c>
      <c r="B5873" s="8" t="str">
        <f>"9781595931016"</f>
        <v>9781595931016</v>
      </c>
      <c r="C5873" s="8" t="s">
        <v>21</v>
      </c>
    </row>
    <row r="5874" spans="1:3" x14ac:dyDescent="0.25">
      <c r="A5874" s="8" t="str">
        <f>"ACM SIGGRAPH 2005 Web Program, SIGGRAPH '05"</f>
        <v>ACM SIGGRAPH 2005 Web Program, SIGGRAPH '05</v>
      </c>
      <c r="B5874" s="8" t="str">
        <f>"-"</f>
        <v>-</v>
      </c>
      <c r="C5874" s="8" t="s">
        <v>21</v>
      </c>
    </row>
    <row r="5875" spans="1:3" x14ac:dyDescent="0.25">
      <c r="A5875" s="8" t="str">
        <f>"ACM SIGGRAPH 2006 Computer Animation Festival, SIGGRAPH '06"</f>
        <v>ACM SIGGRAPH 2006 Computer Animation Festival, SIGGRAPH '06</v>
      </c>
      <c r="B5875" s="8" t="str">
        <f t="shared" ref="B5875:B5882" si="12">"9781595933645"</f>
        <v>9781595933645</v>
      </c>
      <c r="C5875" s="8" t="s">
        <v>21</v>
      </c>
    </row>
    <row r="5876" spans="1:3" x14ac:dyDescent="0.25">
      <c r="A5876" s="8" t="str">
        <f>"ACM SIGGRAPH 2006 Educators Program - International Conference on Computer Graphics and Interactive Techniques"</f>
        <v>ACM SIGGRAPH 2006 Educators Program - International Conference on Computer Graphics and Interactive Techniques</v>
      </c>
      <c r="B5876" s="8" t="str">
        <f t="shared" si="12"/>
        <v>9781595933645</v>
      </c>
      <c r="C5876" s="8" t="s">
        <v>21</v>
      </c>
    </row>
    <row r="5877" spans="1:3" x14ac:dyDescent="0.25">
      <c r="A5877" s="8" t="str">
        <f>"ACM SIGGRAPH 2006 Educators Program, SIGGRAPH '06"</f>
        <v>ACM SIGGRAPH 2006 Educators Program, SIGGRAPH '06</v>
      </c>
      <c r="B5877" s="8" t="str">
        <f t="shared" si="12"/>
        <v>9781595933645</v>
      </c>
      <c r="C5877" s="8" t="s">
        <v>21</v>
      </c>
    </row>
    <row r="5878" spans="1:3" x14ac:dyDescent="0.25">
      <c r="A5878" s="8" t="str">
        <f>"ACM SIGGRAPH 2006 Panels - International Conference on Computer Graphics and Interactive Techniques"</f>
        <v>ACM SIGGRAPH 2006 Panels - International Conference on Computer Graphics and Interactive Techniques</v>
      </c>
      <c r="B5878" s="8" t="str">
        <f t="shared" si="12"/>
        <v>9781595933645</v>
      </c>
      <c r="C5878" s="8" t="s">
        <v>21</v>
      </c>
    </row>
    <row r="5879" spans="1:3" x14ac:dyDescent="0.25">
      <c r="A5879" s="8" t="str">
        <f>"ACM SIGGRAPH 2006 Papers, SIGGRAPH '06"</f>
        <v>ACM SIGGRAPH 2006 Papers, SIGGRAPH '06</v>
      </c>
      <c r="B5879" s="8" t="str">
        <f t="shared" si="12"/>
        <v>9781595933645</v>
      </c>
      <c r="C5879" s="8" t="s">
        <v>21</v>
      </c>
    </row>
    <row r="5880" spans="1:3" x14ac:dyDescent="0.25">
      <c r="A5880" s="8" t="str">
        <f>"ACM SIGGRAPH 2006 Special Sessions - International Conference on Computer Graphics and Interactive Techniques"</f>
        <v>ACM SIGGRAPH 2006 Special Sessions - International Conference on Computer Graphics and Interactive Techniques</v>
      </c>
      <c r="B5880" s="8" t="str">
        <f t="shared" si="12"/>
        <v>9781595933645</v>
      </c>
      <c r="C5880" s="8" t="s">
        <v>21</v>
      </c>
    </row>
    <row r="5881" spans="1:3" x14ac:dyDescent="0.25">
      <c r="A5881" s="8" t="str">
        <f>"ACM SIGGRAPH 2006: Emerging Technologies"</f>
        <v>ACM SIGGRAPH 2006: Emerging Technologies</v>
      </c>
      <c r="B5881" s="8" t="str">
        <f t="shared" si="12"/>
        <v>9781595933645</v>
      </c>
      <c r="C5881" s="8" t="s">
        <v>21</v>
      </c>
    </row>
    <row r="5882" spans="1:3" x14ac:dyDescent="0.25">
      <c r="A5882" s="8" t="str">
        <f>"ACM SIGGRAPH 2006: Sketches, SIGGRAPH '06"</f>
        <v>ACM SIGGRAPH 2006: Sketches, SIGGRAPH '06</v>
      </c>
      <c r="B5882" s="8" t="str">
        <f t="shared" si="12"/>
        <v>9781595933645</v>
      </c>
      <c r="C5882" s="8" t="s">
        <v>21</v>
      </c>
    </row>
    <row r="5883" spans="1:3" x14ac:dyDescent="0.25">
      <c r="A5883" s="8" t="str">
        <f>"ACM SIGGRAPH 2007 Computer Animation Festival, SIGGRAPH '07"</f>
        <v>ACM SIGGRAPH 2007 Computer Animation Festival, SIGGRAPH '07</v>
      </c>
      <c r="B5883" s="8" t="str">
        <f>"-"</f>
        <v>-</v>
      </c>
      <c r="C5883" s="8" t="s">
        <v>9</v>
      </c>
    </row>
    <row r="5884" spans="1:3" x14ac:dyDescent="0.25">
      <c r="A5884" s="8" t="str">
        <f>"ACM SIGGRAPH 2007 Courses - International Conference on Computer Graphics and Interactive Techniques"</f>
        <v>ACM SIGGRAPH 2007 Courses - International Conference on Computer Graphics and Interactive Techniques</v>
      </c>
      <c r="B5884" s="8" t="str">
        <f>"-"</f>
        <v>-</v>
      </c>
      <c r="C5884" s="8" t="s">
        <v>21</v>
      </c>
    </row>
    <row r="5885" spans="1:3" x14ac:dyDescent="0.25">
      <c r="A5885" s="8" t="str">
        <f>"ACM SIGGRAPH 2007 Papers-International Conference on Computer Graphics and Interactive Techniques"</f>
        <v>ACM SIGGRAPH 2007 Papers-International Conference on Computer Graphics and Interactive Techniques</v>
      </c>
      <c r="B5885" s="8" t="str">
        <f>"-"</f>
        <v>-</v>
      </c>
      <c r="C5885" s="8" t="s">
        <v>21</v>
      </c>
    </row>
    <row r="5886" spans="1:3" x14ac:dyDescent="0.25">
      <c r="A5886" s="8" t="str">
        <f>"ACM SIGGRAPH 2007 Sketches, SIGGRAPH'07"</f>
        <v>ACM SIGGRAPH 2007 Sketches, SIGGRAPH'07</v>
      </c>
      <c r="B5886" s="8" t="str">
        <f>"-"</f>
        <v>-</v>
      </c>
      <c r="C5886" s="8" t="s">
        <v>21</v>
      </c>
    </row>
    <row r="5887" spans="1:3" x14ac:dyDescent="0.25">
      <c r="A5887" s="8" t="str">
        <f>"ACM SIGGRAPH 2007: Educators Program"</f>
        <v>ACM SIGGRAPH 2007: Educators Program</v>
      </c>
      <c r="B5887" s="8" t="str">
        <f>"9781450318303"</f>
        <v>9781450318303</v>
      </c>
      <c r="C5887" s="8" t="s">
        <v>21</v>
      </c>
    </row>
    <row r="5888" spans="1:3" x14ac:dyDescent="0.25">
      <c r="A5888" s="8" t="str">
        <f>"ACM SIGGRAPH 2007: Emerging Technologies, SIGGRAPH'07"</f>
        <v>ACM SIGGRAPH 2007: Emerging Technologies, SIGGRAPH'07</v>
      </c>
      <c r="B5888" s="8" t="str">
        <f>"9781450318242"</f>
        <v>9781450318242</v>
      </c>
      <c r="C5888" s="8" t="s">
        <v>21</v>
      </c>
    </row>
    <row r="5889" spans="1:3" x14ac:dyDescent="0.25">
      <c r="A5889" s="8" t="str">
        <f>"ACM SIGGRAPH 2008 Classes"</f>
        <v>ACM SIGGRAPH 2008 Classes</v>
      </c>
      <c r="B5889" s="8" t="str">
        <f>"-"</f>
        <v>-</v>
      </c>
      <c r="C5889" s="8" t="s">
        <v>21</v>
      </c>
    </row>
    <row r="5890" spans="1:3" x14ac:dyDescent="0.25">
      <c r="A5890" s="8" t="str">
        <f>"ACM SIGGRAPH 2008 New Tech Demos"</f>
        <v>ACM SIGGRAPH 2008 New Tech Demos</v>
      </c>
      <c r="B5890" s="8" t="str">
        <f>"9781605584669"</f>
        <v>9781605584669</v>
      </c>
      <c r="C5890" s="8" t="s">
        <v>21</v>
      </c>
    </row>
    <row r="5891" spans="1:3" x14ac:dyDescent="0.25">
      <c r="A5891" s="8" t="str">
        <f>"ACM SIGGRAPH 2008: Award Recipients"</f>
        <v>ACM SIGGRAPH 2008: Award Recipients</v>
      </c>
      <c r="B5891" s="8" t="str">
        <f>"-"</f>
        <v>-</v>
      </c>
      <c r="C5891" s="8" t="s">
        <v>21</v>
      </c>
    </row>
    <row r="5892" spans="1:3" x14ac:dyDescent="0.25">
      <c r="A5892" s="8" t="str">
        <f>"ACM SIGGRAPH 2009 Art Gallery, SIGGRAPH '09"</f>
        <v>ACM SIGGRAPH 2009 Art Gallery, SIGGRAPH '09</v>
      </c>
      <c r="B5892" s="8" t="str">
        <f>"-"</f>
        <v>-</v>
      </c>
      <c r="C5892" s="8" t="s">
        <v>21</v>
      </c>
    </row>
    <row r="5893" spans="1:3" x14ac:dyDescent="0.25">
      <c r="A5893" s="8" t="str">
        <f>"ACM SIGGRAPH 2009 Awards, SIGGRAPH '09"</f>
        <v>ACM SIGGRAPH 2009 Awards, SIGGRAPH '09</v>
      </c>
      <c r="B5893" s="8" t="str">
        <f>"-"</f>
        <v>-</v>
      </c>
      <c r="C5893" s="8" t="s">
        <v>21</v>
      </c>
    </row>
    <row r="5894" spans="1:3" x14ac:dyDescent="0.25">
      <c r="A5894" s="8" t="str">
        <f>"ACM SIGGRAPH 2009 Computer Animation Festival, SIGGRAPH '09"</f>
        <v>ACM SIGGRAPH 2009 Computer Animation Festival, SIGGRAPH '09</v>
      </c>
      <c r="B5894" s="8" t="str">
        <f>"-"</f>
        <v>-</v>
      </c>
      <c r="C5894" s="8" t="s">
        <v>21</v>
      </c>
    </row>
    <row r="5895" spans="1:3" x14ac:dyDescent="0.25">
      <c r="A5895" s="8" t="str">
        <f>"ACM SIGGRAPH 2009 Courses, SIGGRAPH '09"</f>
        <v>ACM SIGGRAPH 2009 Courses, SIGGRAPH '09</v>
      </c>
      <c r="B5895" s="8" t="str">
        <f>"-"</f>
        <v>-</v>
      </c>
      <c r="C5895" s="8" t="s">
        <v>21</v>
      </c>
    </row>
    <row r="5896" spans="1:3" x14ac:dyDescent="0.25">
      <c r="A5896" s="8" t="str">
        <f>"ACM SIGGRAPH 2009 Emerging Technologies, SIGGRAPH '09"</f>
        <v>ACM SIGGRAPH 2009 Emerging Technologies, SIGGRAPH '09</v>
      </c>
      <c r="B5896" s="8" t="str">
        <f>"9781605588339"</f>
        <v>9781605588339</v>
      </c>
      <c r="C5896" s="8" t="s">
        <v>21</v>
      </c>
    </row>
    <row r="5897" spans="1:3" x14ac:dyDescent="0.25">
      <c r="A5897" s="8" t="str">
        <f>"ACM SIGGRAPH 2009: Music and Audio, SIGGRAPH '09"</f>
        <v>ACM SIGGRAPH 2009: Music and Audio, SIGGRAPH '09</v>
      </c>
      <c r="B5897" s="8" t="str">
        <f>"9781605588322"</f>
        <v>9781605588322</v>
      </c>
      <c r="C5897" s="8" t="s">
        <v>21</v>
      </c>
    </row>
    <row r="5898" spans="1:3" x14ac:dyDescent="0.25">
      <c r="A5898" s="8" t="str">
        <f>"ACM SIGGRAPH 2010 Art Gallery, SIGGRAPH '10"</f>
        <v>ACM SIGGRAPH 2010 Art Gallery, SIGGRAPH '10</v>
      </c>
      <c r="B5898" s="8" t="str">
        <f>"9781450303903"</f>
        <v>9781450303903</v>
      </c>
      <c r="C5898" s="8" t="s">
        <v>9</v>
      </c>
    </row>
    <row r="5899" spans="1:3" x14ac:dyDescent="0.25">
      <c r="A5899" s="8" t="str">
        <f>"ACM SIGGRAPH 2010 Awards, SIGGRAPH '10"</f>
        <v>ACM SIGGRAPH 2010 Awards, SIGGRAPH '10</v>
      </c>
      <c r="B5899" s="8" t="str">
        <f>"9781450303910"</f>
        <v>9781450303910</v>
      </c>
      <c r="C5899" s="8" t="s">
        <v>21</v>
      </c>
    </row>
    <row r="5900" spans="1:3" x14ac:dyDescent="0.25">
      <c r="A5900" s="8" t="str">
        <f>"ACM SIGGRAPH 2010 Computer Animation Festival, SIGGRAPH '10"</f>
        <v>ACM SIGGRAPH 2010 Computer Animation Festival, SIGGRAPH '10</v>
      </c>
      <c r="B5900" s="8" t="str">
        <f>"9781450303897"</f>
        <v>9781450303897</v>
      </c>
      <c r="C5900" s="8" t="s">
        <v>9</v>
      </c>
    </row>
    <row r="5901" spans="1:3" x14ac:dyDescent="0.25">
      <c r="A5901" s="8" t="str">
        <f>"ACM SIGGRAPH 2010 Courses, SIGGRAPH '10"</f>
        <v>ACM SIGGRAPH 2010 Courses, SIGGRAPH '10</v>
      </c>
      <c r="B5901" s="8" t="str">
        <f>"9781450303958"</f>
        <v>9781450303958</v>
      </c>
      <c r="C5901" s="8" t="s">
        <v>21</v>
      </c>
    </row>
    <row r="5902" spans="1:3" x14ac:dyDescent="0.25">
      <c r="A5902" s="8" t="str">
        <f>"ACM SIGGRAPH 2010 Dailies, SIGGRAPH '10"</f>
        <v>ACM SIGGRAPH 2010 Dailies, SIGGRAPH '10</v>
      </c>
      <c r="B5902" s="8" t="str">
        <f>"9781450302104"</f>
        <v>9781450302104</v>
      </c>
      <c r="C5902" s="8" t="s">
        <v>21</v>
      </c>
    </row>
    <row r="5903" spans="1:3" x14ac:dyDescent="0.25">
      <c r="A5903" s="8" t="str">
        <f>"ACM SIGGRAPH 2010 Emerging Technologies, SIGGRAPH '10"</f>
        <v>ACM SIGGRAPH 2010 Emerging Technologies, SIGGRAPH '10</v>
      </c>
      <c r="B5903" s="8" t="str">
        <f>"9781450303927"</f>
        <v>9781450303927</v>
      </c>
      <c r="C5903" s="8" t="s">
        <v>21</v>
      </c>
    </row>
    <row r="5904" spans="1:3" x14ac:dyDescent="0.25">
      <c r="A5904" s="8" t="str">
        <f>"ACM SIGGRAPH 2010 Posters, SIGGRAPH '10"</f>
        <v>ACM SIGGRAPH 2010 Posters, SIGGRAPH '10</v>
      </c>
      <c r="B5904" s="8" t="str">
        <f>"9781450303934"</f>
        <v>9781450303934</v>
      </c>
      <c r="C5904" s="8" t="s">
        <v>21</v>
      </c>
    </row>
    <row r="5905" spans="1:3" x14ac:dyDescent="0.25">
      <c r="A5905" s="8" t="str">
        <f>"ACM SIGGRAPH 2010 Talks, SIGGRAPH '10"</f>
        <v>ACM SIGGRAPH 2010 Talks, SIGGRAPH '10</v>
      </c>
      <c r="B5905" s="8" t="str">
        <f>"9781450303941"</f>
        <v>9781450303941</v>
      </c>
      <c r="C5905" s="8" t="s">
        <v>21</v>
      </c>
    </row>
    <row r="5906" spans="1:3" x14ac:dyDescent="0.25">
      <c r="A5906" s="8" t="str">
        <f>"ACM SIGGRAPH 2011 Art Gallery, SIGGRAPH'11"</f>
        <v>ACM SIGGRAPH 2011 Art Gallery, SIGGRAPH'11</v>
      </c>
      <c r="B5906" s="8" t="str">
        <f>"9781450309646"</f>
        <v>9781450309646</v>
      </c>
      <c r="C5906" s="8" t="s">
        <v>21</v>
      </c>
    </row>
    <row r="5907" spans="1:3" x14ac:dyDescent="0.25">
      <c r="A5907" s="8" t="str">
        <f>"ACM SIGGRAPH 2011 Courses, SIGGRAPH'11"</f>
        <v>ACM SIGGRAPH 2011 Courses, SIGGRAPH'11</v>
      </c>
      <c r="B5907" s="8" t="str">
        <f>"9781450309677"</f>
        <v>9781450309677</v>
      </c>
      <c r="C5907" s="8" t="s">
        <v>21</v>
      </c>
    </row>
    <row r="5908" spans="1:3" x14ac:dyDescent="0.25">
      <c r="A5908" s="8" t="str">
        <f>"ACM SIGGRAPH 2011 Dailies, SIGGRAPH'11"</f>
        <v>ACM SIGGRAPH 2011 Dailies, SIGGRAPH'11</v>
      </c>
      <c r="B5908" s="8" t="str">
        <f>"9781450309684"</f>
        <v>9781450309684</v>
      </c>
      <c r="C5908" s="8" t="s">
        <v>21</v>
      </c>
    </row>
    <row r="5909" spans="1:3" x14ac:dyDescent="0.25">
      <c r="A5909" s="8" t="str">
        <f>"ACM SIGGRAPH 2011 Emerging Technologies, SIGGRAPH'11"</f>
        <v>ACM SIGGRAPH 2011 Emerging Technologies, SIGGRAPH'11</v>
      </c>
      <c r="B5909" s="8" t="str">
        <f>"9781450309691"</f>
        <v>9781450309691</v>
      </c>
      <c r="C5909" s="8" t="s">
        <v>21</v>
      </c>
    </row>
    <row r="5910" spans="1:3" x14ac:dyDescent="0.25">
      <c r="A5910" s="8" t="str">
        <f>"ACM SIGGRAPH 2011 Game Papers, SIGGRAPH'11"</f>
        <v>ACM SIGGRAPH 2011 Game Papers, SIGGRAPH'11</v>
      </c>
      <c r="B5910" s="8" t="str">
        <f>"9781450309707"</f>
        <v>9781450309707</v>
      </c>
      <c r="C5910" s="8" t="s">
        <v>21</v>
      </c>
    </row>
    <row r="5911" spans="1:3" x14ac:dyDescent="0.25">
      <c r="A5911" s="8" t="str">
        <f>"ACM SIGGRAPH 2011 Posters, SIGGRAPH'11"</f>
        <v>ACM SIGGRAPH 2011 Posters, SIGGRAPH'11</v>
      </c>
      <c r="B5911" s="8" t="str">
        <f>"9781450309714"</f>
        <v>9781450309714</v>
      </c>
      <c r="C5911" s="8" t="s">
        <v>21</v>
      </c>
    </row>
    <row r="5912" spans="1:3" x14ac:dyDescent="0.25">
      <c r="A5912" s="8" t="str">
        <f>"ACM SIGGRAPH 2011 Studio Talks, SIGGRAPH'11"</f>
        <v>ACM SIGGRAPH 2011 Studio Talks, SIGGRAPH'11</v>
      </c>
      <c r="B5912" s="8" t="str">
        <f>"9781450309738"</f>
        <v>9781450309738</v>
      </c>
      <c r="C5912" s="8" t="s">
        <v>21</v>
      </c>
    </row>
    <row r="5913" spans="1:3" x14ac:dyDescent="0.25">
      <c r="A5913" s="8" t="str">
        <f>"ACM SIGGRAPH 2011 Talks, SIGGRAPH'11"</f>
        <v>ACM SIGGRAPH 2011 Talks, SIGGRAPH'11</v>
      </c>
      <c r="B5913" s="8" t="str">
        <f>"9781450309745"</f>
        <v>9781450309745</v>
      </c>
      <c r="C5913" s="8" t="s">
        <v>21</v>
      </c>
    </row>
    <row r="5914" spans="1:3" x14ac:dyDescent="0.25">
      <c r="A5914" s="8" t="str">
        <f>"ACM SIGGRAPH 2012 Art Gallery, SIGGRAPH'12"</f>
        <v>ACM SIGGRAPH 2012 Art Gallery, SIGGRAPH'12</v>
      </c>
      <c r="B5914" s="8" t="str">
        <f>"9781450316750"</f>
        <v>9781450316750</v>
      </c>
      <c r="C5914" s="8" t="s">
        <v>21</v>
      </c>
    </row>
    <row r="5915" spans="1:3" x14ac:dyDescent="0.25">
      <c r="A5915" s="8" t="str">
        <f>"ACM SIGGRAPH 2012 Computer Animation Festival, SIGGRAPH'12"</f>
        <v>ACM SIGGRAPH 2012 Computer Animation Festival, SIGGRAPH'12</v>
      </c>
      <c r="B5915" s="8" t="str">
        <f>"-"</f>
        <v>-</v>
      </c>
      <c r="C5915" s="8" t="s">
        <v>21</v>
      </c>
    </row>
    <row r="5916" spans="1:3" x14ac:dyDescent="0.25">
      <c r="A5916" s="8" t="str">
        <f>"ACM SIGGRAPH 2012 Courses, SIGGRAPH'12"</f>
        <v>ACM SIGGRAPH 2012 Courses, SIGGRAPH'12</v>
      </c>
      <c r="B5916" s="8" t="str">
        <f>"9781450316781"</f>
        <v>9781450316781</v>
      </c>
      <c r="C5916" s="8" t="s">
        <v>21</v>
      </c>
    </row>
    <row r="5917" spans="1:3" x14ac:dyDescent="0.25">
      <c r="A5917" s="8" t="str">
        <f>"ACM SIGGRAPH 2012 Dailies, SIGGRAPH'12"</f>
        <v>ACM SIGGRAPH 2012 Dailies, SIGGRAPH'12</v>
      </c>
      <c r="B5917" s="8" t="str">
        <f>"9781450316798"</f>
        <v>9781450316798</v>
      </c>
      <c r="C5917" s="8" t="s">
        <v>21</v>
      </c>
    </row>
    <row r="5918" spans="1:3" x14ac:dyDescent="0.25">
      <c r="A5918" s="8" t="str">
        <f>"ACM SIGGRAPH 2012 Emerging Technologies, SIGGRAPH'12"</f>
        <v>ACM SIGGRAPH 2012 Emerging Technologies, SIGGRAPH'12</v>
      </c>
      <c r="B5918" s="8" t="str">
        <f>"9781450316804"</f>
        <v>9781450316804</v>
      </c>
      <c r="C5918" s="8" t="s">
        <v>21</v>
      </c>
    </row>
    <row r="5919" spans="1:3" x14ac:dyDescent="0.25">
      <c r="A5919" s="8" t="str">
        <f>"ACM SIGGRAPH 2012 Mobile, SIGGRAPH'12"</f>
        <v>ACM SIGGRAPH 2012 Mobile, SIGGRAPH'12</v>
      </c>
      <c r="B5919" s="8" t="str">
        <f>"9781450316811"</f>
        <v>9781450316811</v>
      </c>
      <c r="C5919" s="8" t="s">
        <v>21</v>
      </c>
    </row>
    <row r="5920" spans="1:3" x14ac:dyDescent="0.25">
      <c r="A5920" s="8" t="str">
        <f>"ACM SIGGRAPH 2012 Posters, SIGGRAPH'12"</f>
        <v>ACM SIGGRAPH 2012 Posters, SIGGRAPH'12</v>
      </c>
      <c r="B5920" s="8" t="str">
        <f>"9781450316828"</f>
        <v>9781450316828</v>
      </c>
      <c r="C5920" s="8" t="s">
        <v>21</v>
      </c>
    </row>
    <row r="5921" spans="1:3" x14ac:dyDescent="0.25">
      <c r="A5921" s="8" t="str">
        <f>"ACM SIGGRAPH 2012 Talks,SIGGRAPH'12"</f>
        <v>ACM SIGGRAPH 2012 Talks,SIGGRAPH'12</v>
      </c>
      <c r="B5921" s="8" t="str">
        <f>"9781450316835"</f>
        <v>9781450316835</v>
      </c>
      <c r="C5921" s="8" t="s">
        <v>21</v>
      </c>
    </row>
    <row r="5922" spans="1:3" x14ac:dyDescent="0.25">
      <c r="A5922" s="8" t="str">
        <f>"ACM SIGGRAPH 2013 Art Gallery, SIGGRAPH 2013"</f>
        <v>ACM SIGGRAPH 2013 Art Gallery, SIGGRAPH 2013</v>
      </c>
      <c r="B5922" s="8" t="str">
        <f>"9781450323376"</f>
        <v>9781450323376</v>
      </c>
      <c r="C5922" s="8" t="s">
        <v>21</v>
      </c>
    </row>
    <row r="5923" spans="1:3" x14ac:dyDescent="0.25">
      <c r="A5923" s="8" t="str">
        <f>"ACM SIGGRAPH 2013 Courses, SIGGRAPH 2013"</f>
        <v>ACM SIGGRAPH 2013 Courses, SIGGRAPH 2013</v>
      </c>
      <c r="B5923" s="8" t="str">
        <f>"9781450323390"</f>
        <v>9781450323390</v>
      </c>
      <c r="C5923" s="8" t="s">
        <v>21</v>
      </c>
    </row>
    <row r="5924" spans="1:3" x14ac:dyDescent="0.25">
      <c r="A5924" s="8" t="str">
        <f>"ACM SIGGRAPH 2013 Emerging Technologies, SIGGRAPH 2013"</f>
        <v>ACM SIGGRAPH 2013 Emerging Technologies, SIGGRAPH 2013</v>
      </c>
      <c r="B5924" s="8" t="str">
        <f>"9781450323406"</f>
        <v>9781450323406</v>
      </c>
      <c r="C5924" s="8" t="s">
        <v>21</v>
      </c>
    </row>
    <row r="5925" spans="1:3" x14ac:dyDescent="0.25">
      <c r="A5925" s="8" t="str">
        <f>"ACM SIGGRAPH 2013 Mobile, SIGGRAPH 2013"</f>
        <v>ACM SIGGRAPH 2013 Mobile, SIGGRAPH 2013</v>
      </c>
      <c r="B5925" s="8" t="str">
        <f>"9781450323413"</f>
        <v>9781450323413</v>
      </c>
      <c r="C5925" s="8" t="s">
        <v>21</v>
      </c>
    </row>
    <row r="5926" spans="1:3" x14ac:dyDescent="0.25">
      <c r="A5926" s="8" t="str">
        <f>"ACM SIGGRAPH 2013 Posters, SIGGRAPH 2013"</f>
        <v>ACM SIGGRAPH 2013 Posters, SIGGRAPH 2013</v>
      </c>
      <c r="B5926" s="8" t="str">
        <f>"9781450323420"</f>
        <v>9781450323420</v>
      </c>
      <c r="C5926" s="8" t="s">
        <v>21</v>
      </c>
    </row>
    <row r="5927" spans="1:3" x14ac:dyDescent="0.25">
      <c r="A5927" s="8" t="str">
        <f>"ACM SIGGRAPH 2013 Studio Talks, SIGGRAPH 2013"</f>
        <v>ACM SIGGRAPH 2013 Studio Talks, SIGGRAPH 2013</v>
      </c>
      <c r="B5927" s="8" t="str">
        <f>"9781450323437"</f>
        <v>9781450323437</v>
      </c>
      <c r="C5927" s="8" t="s">
        <v>21</v>
      </c>
    </row>
    <row r="5928" spans="1:3" x14ac:dyDescent="0.25">
      <c r="A5928" s="8" t="str">
        <f>"ACM SIGGRAPH 2013 Talks, SIGGRAPH 2013"</f>
        <v>ACM SIGGRAPH 2013 Talks, SIGGRAPH 2013</v>
      </c>
      <c r="B5928" s="8" t="str">
        <f>"9781450323444"</f>
        <v>9781450323444</v>
      </c>
      <c r="C5928" s="8" t="s">
        <v>21</v>
      </c>
    </row>
    <row r="5929" spans="1:3" x14ac:dyDescent="0.25">
      <c r="A5929" s="8" t="str">
        <f>"ACM SIGGRAPH ASIA 2008 Artgallery: Emerging Technologies, SIGGRAPH Asia'08"</f>
        <v>ACM SIGGRAPH ASIA 2008 Artgallery: Emerging Technologies, SIGGRAPH Asia'08</v>
      </c>
      <c r="B5929" s="8" t="str">
        <f>"9781605583747"</f>
        <v>9781605583747</v>
      </c>
      <c r="C5929" s="8" t="s">
        <v>21</v>
      </c>
    </row>
    <row r="5930" spans="1:3" x14ac:dyDescent="0.25">
      <c r="A5930" s="8" t="str">
        <f>"ACM SIGGRAPH ASIA 2008 Courses, SIGGRAPH Asia'08"</f>
        <v>ACM SIGGRAPH ASIA 2008 Courses, SIGGRAPH Asia'08</v>
      </c>
      <c r="B5930" s="8" t="str">
        <f>"-"</f>
        <v>-</v>
      </c>
      <c r="C5930" s="8" t="s">
        <v>21</v>
      </c>
    </row>
    <row r="5931" spans="1:3" x14ac:dyDescent="0.25">
      <c r="A5931" s="8" t="str">
        <f>"ACM SIGGRAPH ASIA 2008 Educators Programme, SIGGRAPH Asia'08"</f>
        <v>ACM SIGGRAPH ASIA 2008 Educators Programme, SIGGRAPH Asia'08</v>
      </c>
      <c r="B5931" s="8" t="str">
        <f>"9781605583884"</f>
        <v>9781605583884</v>
      </c>
      <c r="C5931" s="8" t="s">
        <v>21</v>
      </c>
    </row>
    <row r="5932" spans="1:3" x14ac:dyDescent="0.25">
      <c r="A5932" s="8" t="str">
        <f>"ACM SIGGRAPH Asia 2008 Papers, SIGGRAPH Asia'08"</f>
        <v>ACM SIGGRAPH Asia 2008 Papers, SIGGRAPH Asia'08</v>
      </c>
      <c r="B5932" s="8" t="str">
        <f>"9781450318310"</f>
        <v>9781450318310</v>
      </c>
      <c r="C5932" s="8" t="s">
        <v>21</v>
      </c>
    </row>
    <row r="5933" spans="1:3" x14ac:dyDescent="0.25">
      <c r="A5933" s="8" t="str">
        <f>"ACM SIGGRAPH ASIA 2009 Computer Animation Festival, SIGGRAPH ASIA '09"</f>
        <v>ACM SIGGRAPH ASIA 2009 Computer Animation Festival, SIGGRAPH ASIA '09</v>
      </c>
      <c r="B5933" s="8" t="str">
        <f>"9781605588780"</f>
        <v>9781605588780</v>
      </c>
      <c r="C5933" s="8" t="s">
        <v>21</v>
      </c>
    </row>
    <row r="5934" spans="1:3" x14ac:dyDescent="0.25">
      <c r="A5934" s="8" t="str">
        <f>"ACM SIGGRAPH ASIA 2009 Courses, SIGGRAPH ASIA '09"</f>
        <v>ACM SIGGRAPH ASIA 2009 Courses, SIGGRAPH ASIA '09</v>
      </c>
      <c r="B5934" s="8" t="str">
        <f>"-"</f>
        <v>-</v>
      </c>
      <c r="C5934" s="8" t="s">
        <v>21</v>
      </c>
    </row>
    <row r="5935" spans="1:3" x14ac:dyDescent="0.25">
      <c r="A5935" s="8" t="str">
        <f>"ACM SIGGRAPH ASIA 2009 Educators Program, SIGGRAPH ASIA '09"</f>
        <v>ACM SIGGRAPH ASIA 2009 Educators Program, SIGGRAPH ASIA '09</v>
      </c>
      <c r="B5935" s="8" t="str">
        <f>"9781605588582"</f>
        <v>9781605588582</v>
      </c>
      <c r="C5935" s="8" t="s">
        <v>21</v>
      </c>
    </row>
    <row r="5936" spans="1:3" x14ac:dyDescent="0.25">
      <c r="A5936" s="8" t="str">
        <f>"ACM SIGGRAPH ASIA 2009 Posters, SIGGRAPH ASIA '09"</f>
        <v>ACM SIGGRAPH ASIA 2009 Posters, SIGGRAPH ASIA '09</v>
      </c>
      <c r="B5936" s="8" t="str">
        <f>"9781605588582"</f>
        <v>9781605588582</v>
      </c>
      <c r="C5936" s="8" t="s">
        <v>21</v>
      </c>
    </row>
    <row r="5937" spans="1:3" x14ac:dyDescent="0.25">
      <c r="A5937" s="8" t="str">
        <f>"ACM SIGGRAPH ASIA 2009 Sketches, SIGGRAPH ASIA '09"</f>
        <v>ACM SIGGRAPH ASIA 2009 Sketches, SIGGRAPH ASIA '09</v>
      </c>
      <c r="B5937" s="8" t="str">
        <f>"9781605588582"</f>
        <v>9781605588582</v>
      </c>
      <c r="C5937" s="8" t="s">
        <v>21</v>
      </c>
    </row>
    <row r="5938" spans="1:3" x14ac:dyDescent="0.25">
      <c r="A5938" s="8" t="str">
        <f>"ACM SIGGRAPH ASIA 2010 Art + Tech Showcase, SA'10"</f>
        <v>ACM SIGGRAPH ASIA 2010 Art + Tech Showcase, SA'10</v>
      </c>
      <c r="B5938" s="8" t="str">
        <f>"9781450305266"</f>
        <v>9781450305266</v>
      </c>
      <c r="C5938" s="8" t="s">
        <v>21</v>
      </c>
    </row>
    <row r="5939" spans="1:3" x14ac:dyDescent="0.25">
      <c r="A5939" s="8" t="str">
        <f>"ACM SIGGRAPH ASIA 2010 Computer Animation Festival, SA'10"</f>
        <v>ACM SIGGRAPH ASIA 2010 Computer Animation Festival, SA'10</v>
      </c>
      <c r="B5939" s="8" t="str">
        <f>"9781450305259"</f>
        <v>9781450305259</v>
      </c>
      <c r="C5939" s="8" t="s">
        <v>21</v>
      </c>
    </row>
    <row r="5940" spans="1:3" x14ac:dyDescent="0.25">
      <c r="A5940" s="8" t="str">
        <f>"ACM SIGGRAPH ASIA 2010 Courses, SA'10"</f>
        <v>ACM SIGGRAPH ASIA 2010 Courses, SA'10</v>
      </c>
      <c r="B5940" s="8" t="str">
        <f>"9781450305273"</f>
        <v>9781450305273</v>
      </c>
      <c r="C5940" s="8" t="s">
        <v>21</v>
      </c>
    </row>
    <row r="5941" spans="1:3" x14ac:dyDescent="0.25">
      <c r="A5941" s="8" t="str">
        <f>"ACM SIGGRAPH ASIA 2010 Posters, SA'10"</f>
        <v>ACM SIGGRAPH ASIA 2010 Posters, SA'10</v>
      </c>
      <c r="B5941" s="8" t="str">
        <f>"9781450305242"</f>
        <v>9781450305242</v>
      </c>
      <c r="C5941" s="8" t="s">
        <v>21</v>
      </c>
    </row>
    <row r="5942" spans="1:3" x14ac:dyDescent="0.25">
      <c r="A5942" s="8" t="str">
        <f>"ACM SIGGRAPH ASIA 2010 Sketches, SA'10"</f>
        <v>ACM SIGGRAPH ASIA 2010 Sketches, SA'10</v>
      </c>
      <c r="B5942" s="8" t="str">
        <f>"9781450305235"</f>
        <v>9781450305235</v>
      </c>
      <c r="C5942" s="8" t="s">
        <v>21</v>
      </c>
    </row>
    <row r="5943" spans="1:3" x14ac:dyDescent="0.25">
      <c r="A5943" s="8" t="str">
        <f>"ACM SIGIR 2008 - 31st Annual International ACM SIGIR Conference on Research and Development in Information Retrieval, Proceedings"</f>
        <v>ACM SIGIR 2008 - 31st Annual International ACM SIGIR Conference on Research and Development in Information Retrieval, Proceedings</v>
      </c>
      <c r="B5943" s="8" t="str">
        <f>"9781605581644"</f>
        <v>9781605581644</v>
      </c>
      <c r="C5943" s="8" t="s">
        <v>21</v>
      </c>
    </row>
    <row r="5944" spans="1:3" x14ac:dyDescent="0.25">
      <c r="A5944" s="8" t="str">
        <f>"ACM SIGPLAN Commercial Users of Functional Programming, CUFP'10"</f>
        <v>ACM SIGPLAN Commercial Users of Functional Programming, CUFP'10</v>
      </c>
      <c r="B5944" s="8" t="str">
        <f>"9781450305167"</f>
        <v>9781450305167</v>
      </c>
      <c r="C5944" s="8" t="s">
        <v>21</v>
      </c>
    </row>
    <row r="5945" spans="1:3" x14ac:dyDescent="0.25">
      <c r="A5945" s="8" t="str">
        <f>"ACM SIGPLAN Erlang Workshop"</f>
        <v>ACM SIGPLAN Erlang Workshop</v>
      </c>
      <c r="B5945" s="8" t="str">
        <f>"9781581135923"</f>
        <v>9781581135923</v>
      </c>
      <c r="C5945" s="8" t="s">
        <v>21</v>
      </c>
    </row>
    <row r="5946" spans="1:3" x14ac:dyDescent="0.25">
      <c r="A5946" s="8" t="str">
        <f>"ACM Special Interest Group for Design. of Commun.; SIGDOC 2003: Finding Real-World Solutions for Doc.: How Theory Informs Pract. and Pract. Informs Theory. Proc. of the 21st Annu. Int. Conf. on Doc."</f>
        <v>ACM Special Interest Group for Design. of Commun.; SIGDOC 2003: Finding Real-World Solutions for Doc.: How Theory Informs Pract. and Pract. Informs Theory. Proc. of the 21st Annu. Int. Conf. on Doc.</v>
      </c>
      <c r="B5946" s="8" t="str">
        <f>"9781581136968"</f>
        <v>9781581136968</v>
      </c>
      <c r="C5946" s="8" t="s">
        <v>21</v>
      </c>
    </row>
    <row r="5947" spans="1:3" x14ac:dyDescent="0.25">
      <c r="A5947" s="8" t="str">
        <f>"ACM/IEEE International Workshop on Timing Issues in the Specification and Synthesis of Digital Systems"</f>
        <v>ACM/IEEE International Workshop on Timing Issues in the Specification and Synthesis of Digital Systems</v>
      </c>
      <c r="B5947" s="8" t="str">
        <f>"9781581135268"</f>
        <v>9781581135268</v>
      </c>
      <c r="C5947" s="8" t="s">
        <v>21</v>
      </c>
    </row>
    <row r="5948" spans="1:3" x14ac:dyDescent="0.25">
      <c r="A5948" s="8" t="str">
        <f>"ACOFT/AOS 2006 - Australian Conference on Optical Fibre Technology/Australian Optical Society"</f>
        <v>ACOFT/AOS 2006 - Australian Conference on Optical Fibre Technology/Australian Optical Society</v>
      </c>
      <c r="B5948" s="8" t="str">
        <f>"9780977565702"</f>
        <v>9780977565702</v>
      </c>
      <c r="C5948" s="8" t="s">
        <v>9</v>
      </c>
    </row>
    <row r="5949" spans="1:3" x14ac:dyDescent="0.25">
      <c r="A5949" s="8" t="str">
        <f>"ACRA 2014 - Proceedings of the 7th Asian Conference on Refrigeration and Air Conditioning"</f>
        <v>ACRA 2014 - Proceedings of the 7th Asian Conference on Refrigeration and Air Conditioning</v>
      </c>
      <c r="B5949" s="8" t="str">
        <f>"-"</f>
        <v>-</v>
      </c>
      <c r="C5949" s="8" t="s">
        <v>1623</v>
      </c>
    </row>
    <row r="5950" spans="1:3" x14ac:dyDescent="0.25">
      <c r="A5950" s="8" t="str">
        <f>"ACT 2009 - International Conference on Advances in Computing, Control and Telecommunication Technologies"</f>
        <v>ACT 2009 - International Conference on Advances in Computing, Control and Telecommunication Technologies</v>
      </c>
      <c r="B5950" s="8" t="str">
        <f>"9780769539157"</f>
        <v>9780769539157</v>
      </c>
      <c r="C5950" s="8" t="s">
        <v>9</v>
      </c>
    </row>
    <row r="5951" spans="1:3" x14ac:dyDescent="0.25">
      <c r="A5951" s="8" t="str">
        <f>"Actas - XIX Jornadas de Ingenieria del Software y Bases de Datos, JISBD 2014"</f>
        <v>Actas - XIX Jornadas de Ingenieria del Software y Bases de Datos, JISBD 2014</v>
      </c>
      <c r="B5951" s="8" t="str">
        <f>"9788469711521"</f>
        <v>9788469711521</v>
      </c>
      <c r="C5951" s="8" t="s">
        <v>1624</v>
      </c>
    </row>
    <row r="5952" spans="1:3" x14ac:dyDescent="0.25">
      <c r="A5952" s="8" t="str">
        <f>"Actas da 4a Conferencia Iberica de Sistemas e Tecnologias de Informacao, CISTI 2009"</f>
        <v>Actas da 4a Conferencia Iberica de Sistemas e Tecnologias de Informacao, CISTI 2009</v>
      </c>
      <c r="B5952" s="8" t="str">
        <f>"9789899624719"</f>
        <v>9789899624719</v>
      </c>
      <c r="C5952" s="8" t="s">
        <v>1035</v>
      </c>
    </row>
    <row r="5953" spans="1:3" x14ac:dyDescent="0.25">
      <c r="A5953" s="8" t="str">
        <f>"Actas de las 16th Jornadas de Ingenieria del Software y Bases de Datos, JISBD 2011"</f>
        <v>Actas de las 16th Jornadas de Ingenieria del Software y Bases de Datos, JISBD 2011</v>
      </c>
      <c r="B5953" s="8" t="str">
        <f>"9788497494861"</f>
        <v>9788497494861</v>
      </c>
      <c r="C5953" s="8" t="s">
        <v>1624</v>
      </c>
    </row>
    <row r="5954" spans="1:3" x14ac:dyDescent="0.25">
      <c r="A5954" s="8" t="str">
        <f>"Actas IDEAS 2006 - 9th Workshop Iberoamericano de Ingenieria de Requisitos y Ambientes de Software"</f>
        <v>Actas IDEAS 2006 - 9th Workshop Iberoamericano de Ingenieria de Requisitos y Ambientes de Software</v>
      </c>
      <c r="B5954" s="8" t="str">
        <f>"9789503403600"</f>
        <v>9789503403600</v>
      </c>
      <c r="C5954" s="8" t="s">
        <v>1625</v>
      </c>
    </row>
    <row r="5955" spans="1:3" x14ac:dyDescent="0.25">
      <c r="A5955" s="8" t="str">
        <f>"Actes de la Conference - IC 2005: 16es Journees Francophones d'Ingenierie des Connaissances"</f>
        <v>Actes de la Conference - IC 2005: 16es Journees Francophones d'Ingenierie des Connaissances</v>
      </c>
      <c r="B5955" s="8" t="str">
        <f>"-"</f>
        <v>-</v>
      </c>
      <c r="C5955" s="8" t="s">
        <v>1402</v>
      </c>
    </row>
    <row r="5956" spans="1:3" x14ac:dyDescent="0.25">
      <c r="A5956" s="8" t="str">
        <f>"Actes de la Conference - IC 2007: 18es Journees Francophones d'Ingenierie des Connaissances"</f>
        <v>Actes de la Conference - IC 2007: 18es Journees Francophones d'Ingenierie des Connaissances</v>
      </c>
      <c r="B5956" s="8" t="str">
        <f>"9782854287905"</f>
        <v>9782854287905</v>
      </c>
      <c r="C5956" s="8" t="s">
        <v>1402</v>
      </c>
    </row>
    <row r="5957" spans="1:3" x14ac:dyDescent="0.25">
      <c r="A5957" s="8" t="str">
        <f>"Actes des 7th Journees Francophones de Programmation par Contraintes, JFPC 2011"</f>
        <v>Actes des 7th Journees Francophones de Programmation par Contraintes, JFPC 2011</v>
      </c>
      <c r="B5957" s="8" t="str">
        <f t="shared" ref="B5957:B5962" si="13">"-"</f>
        <v>-</v>
      </c>
      <c r="C5957" s="8" t="s">
        <v>394</v>
      </c>
    </row>
    <row r="5958" spans="1:3" x14ac:dyDescent="0.25">
      <c r="A5958" s="8" t="str">
        <f>"Actes des 8th Journees Francophones de Programmation par Contraintes, JFPC 2012"</f>
        <v>Actes des 8th Journees Francophones de Programmation par Contraintes, JFPC 2012</v>
      </c>
      <c r="B5958" s="8" t="str">
        <f t="shared" si="13"/>
        <v>-</v>
      </c>
      <c r="C5958" s="8" t="s">
        <v>394</v>
      </c>
    </row>
    <row r="5959" spans="1:3" x14ac:dyDescent="0.25">
      <c r="A5959" s="8" t="str">
        <f>"Actes des Deuxiemes Journees Francophones de Programmation par Contraintes, JFPC 2006"</f>
        <v>Actes des Deuxiemes Journees Francophones de Programmation par Contraintes, JFPC 2006</v>
      </c>
      <c r="B5959" s="8" t="str">
        <f t="shared" si="13"/>
        <v>-</v>
      </c>
      <c r="C5959" s="8" t="s">
        <v>1626</v>
      </c>
    </row>
    <row r="5960" spans="1:3" x14ac:dyDescent="0.25">
      <c r="A5960" s="8" t="str">
        <f>"Actes des Sixiemes Journees Francophones de Programmation par Contraintes, JFPC 2010"</f>
        <v>Actes des Sixiemes Journees Francophones de Programmation par Contraintes, JFPC 2010</v>
      </c>
      <c r="B5960" s="8" t="str">
        <f t="shared" si="13"/>
        <v>-</v>
      </c>
      <c r="C5960" s="8" t="s">
        <v>1627</v>
      </c>
    </row>
    <row r="5961" spans="1:3" x14ac:dyDescent="0.25">
      <c r="A5961" s="8" t="str">
        <f>"Actes du XXIVeme Congres INFORSID 2006"</f>
        <v>Actes du XXIVeme Congres INFORSID 2006</v>
      </c>
      <c r="B5961" s="8" t="str">
        <f t="shared" si="13"/>
        <v>-</v>
      </c>
      <c r="C5961" s="8" t="s">
        <v>1628</v>
      </c>
    </row>
    <row r="5962" spans="1:3" x14ac:dyDescent="0.25">
      <c r="A5962" s="8" t="str">
        <f>"Actes du XXIXeme Congres INFORSID 2011"</f>
        <v>Actes du XXIXeme Congres INFORSID 2011</v>
      </c>
      <c r="B5962" s="8" t="str">
        <f t="shared" si="13"/>
        <v>-</v>
      </c>
      <c r="C5962" s="8" t="s">
        <v>1628</v>
      </c>
    </row>
    <row r="5963" spans="1:3" x14ac:dyDescent="0.25">
      <c r="A5963" s="8" t="str">
        <f>"Actes du XXXIIIeme Congres INFORSID 2015"</f>
        <v>Actes du XXXIIIeme Congres INFORSID 2015</v>
      </c>
      <c r="B5963" s="8" t="str">
        <f>"9780000000002"</f>
        <v>9780000000002</v>
      </c>
      <c r="C5963" s="8" t="s">
        <v>1628</v>
      </c>
    </row>
    <row r="5964" spans="1:3" x14ac:dyDescent="0.25">
      <c r="A5964" s="8" t="str">
        <f>"ACWR 2011 - Proceedings of the International Conference on Wireless Technologies for Humanitarian Relief"</f>
        <v>ACWR 2011 - Proceedings of the International Conference on Wireless Technologies for Humanitarian Relief</v>
      </c>
      <c r="B5964" s="8" t="str">
        <f>"-"</f>
        <v>-</v>
      </c>
      <c r="C5964" s="8" t="s">
        <v>9</v>
      </c>
    </row>
    <row r="5965" spans="1:3" x14ac:dyDescent="0.25">
      <c r="A5965" s="8" t="str">
        <f>"AD'07 - Proceedings of Asia Display 2007"</f>
        <v>AD'07 - Proceedings of Asia Display 2007</v>
      </c>
      <c r="B5965" s="8" t="str">
        <f>"9787561752289"</f>
        <v>9787561752289</v>
      </c>
      <c r="C5965" s="8" t="s">
        <v>1629</v>
      </c>
    </row>
    <row r="5966" spans="1:3" x14ac:dyDescent="0.25">
      <c r="A5966" s="8" t="str">
        <f>"Adaptive and Emergent Behaviour and Complex Systems - Proceedings of the 23rd Convention of the Society for the Study of Artificial Intelligence and Simulation of Behaviour, AISB 2009"</f>
        <v>Adaptive and Emergent Behaviour and Complex Systems - Proceedings of the 23rd Convention of the Society for the Study of Artificial Intelligence and Simulation of Behaviour, AISB 2009</v>
      </c>
      <c r="B5966" s="8" t="str">
        <f>"9781902956855"</f>
        <v>9781902956855</v>
      </c>
      <c r="C5966" s="8" t="s">
        <v>1630</v>
      </c>
    </row>
    <row r="5967" spans="1:3" x14ac:dyDescent="0.25">
      <c r="A5967" s="8" t="str">
        <f>"Adaptive Mobile Robotics - Proceedings of the 15th International Conference on Climbing and Walking Robots and the Support Technologies for Mobile Machines, CLAWAR 2012"</f>
        <v>Adaptive Mobile Robotics - Proceedings of the 15th International Conference on Climbing and Walking Robots and the Support Technologies for Mobile Machines, CLAWAR 2012</v>
      </c>
      <c r="B5967" s="8" t="str">
        <f>"9789814415941"</f>
        <v>9789814415941</v>
      </c>
      <c r="C5967" s="8" t="s">
        <v>157</v>
      </c>
    </row>
    <row r="5968" spans="1:3" x14ac:dyDescent="0.25">
      <c r="A5968" s="8" t="str">
        <f>"Adaptive Modeling and Simulation 2013 - Proceedings of the 6th International Conference on Adaptive Modeling and Simulation, ADMOS 2013"</f>
        <v>Adaptive Modeling and Simulation 2013 - Proceedings of the 6th International Conference on Adaptive Modeling and Simulation, ADMOS 2013</v>
      </c>
      <c r="B5968" s="8" t="str">
        <f>"-"</f>
        <v>-</v>
      </c>
      <c r="C5968" s="8" t="s">
        <v>1238</v>
      </c>
    </row>
    <row r="5969" spans="1:3" x14ac:dyDescent="0.25">
      <c r="A5969" s="8" t="str">
        <f>"Adaptive Optics: Analysis, Methods and Systems, AO 2015"</f>
        <v>Adaptive Optics: Analysis, Methods and Systems, AO 2015</v>
      </c>
      <c r="B5969" s="8" t="str">
        <f>"9781943580002"</f>
        <v>9781943580002</v>
      </c>
      <c r="C5969" s="8" t="s">
        <v>86</v>
      </c>
    </row>
    <row r="5970" spans="1:3" x14ac:dyDescent="0.25">
      <c r="A5970" s="8" t="str">
        <f>"ADCS 2005 - Proceedings of the Tenth Australasian Document Computing Symposium"</f>
        <v>ADCS 2005 - Proceedings of the Tenth Australasian Document Computing Symposium</v>
      </c>
      <c r="B5970" s="8" t="str">
        <f>"9781864877878"</f>
        <v>9781864877878</v>
      </c>
      <c r="C5970" s="8" t="s">
        <v>1631</v>
      </c>
    </row>
    <row r="5971" spans="1:3" x14ac:dyDescent="0.25">
      <c r="A5971" s="8" t="str">
        <f>"ADCS 2007 - Proceedings of the Twelfth Australasian Document Computing Symposium"</f>
        <v>ADCS 2007 - Proceedings of the Twelfth Australasian Document Computing Symposium</v>
      </c>
      <c r="B5971" s="8" t="str">
        <f>"9780646484372"</f>
        <v>9780646484372</v>
      </c>
      <c r="C5971" s="8" t="s">
        <v>1632</v>
      </c>
    </row>
    <row r="5972" spans="1:3" x14ac:dyDescent="0.25">
      <c r="A5972" s="8" t="str">
        <f>"ADCS 2008 - Proceedings of the Thirteenth Australasian Document Computing Symposium"</f>
        <v>ADCS 2008 - Proceedings of the Thirteenth Australasian Document Computing Symposium</v>
      </c>
      <c r="B5972" s="8" t="str">
        <f>"-"</f>
        <v>-</v>
      </c>
      <c r="C5972" s="8" t="s">
        <v>1632</v>
      </c>
    </row>
    <row r="5973" spans="1:3" x14ac:dyDescent="0.25">
      <c r="A5973" s="8" t="str">
        <f>"ADCS 2009 - Proceedings of the Fourteenth Australasian Document Computing Symposium"</f>
        <v>ADCS 2009 - Proceedings of the Fourteenth Australasian Document Computing Symposium</v>
      </c>
      <c r="B5973" s="8" t="str">
        <f>"9781742101712"</f>
        <v>9781742101712</v>
      </c>
      <c r="C5973" s="8" t="s">
        <v>1631</v>
      </c>
    </row>
    <row r="5974" spans="1:3" x14ac:dyDescent="0.25">
      <c r="A5974" s="8" t="str">
        <f>"ADCS 2010 - Proceedings of the Fifteenth Australasian Document Computing Symposium"</f>
        <v>ADCS 2010 - Proceedings of the Fifteenth Australasian Document Computing Symposium</v>
      </c>
      <c r="B5974" s="8" t="str">
        <f>"9781921426803"</f>
        <v>9781921426803</v>
      </c>
      <c r="C5974" s="8" t="s">
        <v>1632</v>
      </c>
    </row>
    <row r="5975" spans="1:3" x14ac:dyDescent="0.25">
      <c r="A5975" s="8" t="str">
        <f>"ADCS 2011 - Proceedings of the Sixteenth Australasian Document Computing Symposium"</f>
        <v>ADCS 2011 - Proceedings of the Sixteenth Australasian Document Computing Symposium</v>
      </c>
      <c r="B5975" s="8" t="str">
        <f>"9781921426926"</f>
        <v>9781921426926</v>
      </c>
      <c r="C5975" s="8" t="s">
        <v>1632</v>
      </c>
    </row>
    <row r="5976" spans="1:3" x14ac:dyDescent="0.25">
      <c r="A5976" s="8" t="str">
        <f>"ADIS 2008 - Apoyo a la Decision en Ingenieria del Software, Evento Realizado en el Marco de las 13th Jornadas de Ingenieria del Software y Bases de Datos, JISBD 2008"</f>
        <v>ADIS 2008 - Apoyo a la Decision en Ingenieria del Software, Evento Realizado en el Marco de las 13th Jornadas de Ingenieria del Software y Bases de Datos, JISBD 2008</v>
      </c>
      <c r="B5976" s="8" t="str">
        <f>"-"</f>
        <v>-</v>
      </c>
      <c r="C5976" s="8" t="s">
        <v>1624</v>
      </c>
    </row>
    <row r="5977" spans="1:3" x14ac:dyDescent="0.25">
      <c r="A5977" s="8" t="str">
        <f>"ADIS 2009 - Apoyo a la Decision en Ingenieria del Software, Evento Realizado en el Marco de las 14th Jornadas de Ingenieria del Software y Bases de Datos, JISBD 2009"</f>
        <v>ADIS 2009 - Apoyo a la Decision en Ingenieria del Software, Evento Realizado en el Marco de las 14th Jornadas de Ingenieria del Software y Bases de Datos, JISBD 2009</v>
      </c>
      <c r="B5977" s="8" t="str">
        <f>"-"</f>
        <v>-</v>
      </c>
      <c r="C5977" s="8" t="s">
        <v>1624</v>
      </c>
    </row>
    <row r="5978" spans="1:3" x14ac:dyDescent="0.25">
      <c r="A5978" s="8" t="str">
        <f>"Adjunct Proceedings of the 25th Annual ACM Symposium on User Interface Software and Technology, UIST'12"</f>
        <v>Adjunct Proceedings of the 25th Annual ACM Symposium on User Interface Software and Technology, UIST'12</v>
      </c>
      <c r="B5978" s="8" t="str">
        <f>"9781450315821"</f>
        <v>9781450315821</v>
      </c>
      <c r="C5978" s="8" t="s">
        <v>21</v>
      </c>
    </row>
    <row r="5979" spans="1:3" x14ac:dyDescent="0.25">
      <c r="A5979" s="8" t="str">
        <f>"Advanced Characterisation of Pavement and Soil Engineering Materials - Proceedings of the International Conference on Advanced Characterisation of Pavement and Soil Engineering Materials"</f>
        <v>Advanced Characterisation of Pavement and Soil Engineering Materials - Proceedings of the International Conference on Advanced Characterisation of Pavement and Soil Engineering Materials</v>
      </c>
      <c r="B5979" s="8" t="str">
        <f>"-"</f>
        <v>-</v>
      </c>
      <c r="C5979" s="8" t="s">
        <v>1619</v>
      </c>
    </row>
    <row r="5980" spans="1:3" x14ac:dyDescent="0.25">
      <c r="A5980" s="8" t="str">
        <f>"Advanced Composites for Efficiency and Environment - The US-Japan Conference on Composite Materials 2008, US-Japan 2008"</f>
        <v>Advanced Composites for Efficiency and Environment - The US-Japan Conference on Composite Materials 2008, US-Japan 2008</v>
      </c>
      <c r="B5980" s="8" t="str">
        <f>"-"</f>
        <v>-</v>
      </c>
      <c r="C5980" s="8" t="s">
        <v>1633</v>
      </c>
    </row>
    <row r="5981" spans="1:3" x14ac:dyDescent="0.25">
      <c r="A5981" s="8" t="str">
        <f>"Advanced Composites in Construction 2009, ACIC 2009 - Proceedings of the 4th International Conference"</f>
        <v>Advanced Composites in Construction 2009, ACIC 2009 - Proceedings of the 4th International Conference</v>
      </c>
      <c r="B5981" s="8" t="str">
        <f>"-"</f>
        <v>-</v>
      </c>
      <c r="C5981" s="8" t="s">
        <v>1634</v>
      </c>
    </row>
    <row r="5982" spans="1:3" x14ac:dyDescent="0.25">
      <c r="A5982" s="8" t="str">
        <f>"Advanced Composites in Construction 2011, ACIC 2011 - Proceedings of the 5th International Conference"</f>
        <v>Advanced Composites in Construction 2011, ACIC 2011 - Proceedings of the 5th International Conference</v>
      </c>
      <c r="B5982" s="8" t="str">
        <f>"-"</f>
        <v>-</v>
      </c>
      <c r="C5982" s="8" t="s">
        <v>1634</v>
      </c>
    </row>
    <row r="5983" spans="1:3" x14ac:dyDescent="0.25">
      <c r="A5983" s="8" t="str">
        <f>"Advanced Composites in Construction 2013, ACIC 2013 - Conference Proceedings"</f>
        <v>Advanced Composites in Construction 2013, ACIC 2013 - Conference Proceedings</v>
      </c>
      <c r="B5983" s="8" t="str">
        <f>"-"</f>
        <v>-</v>
      </c>
      <c r="C5983" s="8" t="s">
        <v>1634</v>
      </c>
    </row>
    <row r="5984" spans="1:3" x14ac:dyDescent="0.25">
      <c r="A5984" s="8" t="str">
        <f>"Advanced Design and Manufacture to Gain a Competitive Edge: New Manufacturing Techniques and their Role in Improving Enterprise Performance"</f>
        <v>Advanced Design and Manufacture to Gain a Competitive Edge: New Manufacturing Techniques and their Role in Improving Enterprise Performance</v>
      </c>
      <c r="B5984" s="8" t="str">
        <f>"9781848002401"</f>
        <v>9781848002401</v>
      </c>
      <c r="C5984" s="8" t="s">
        <v>1432</v>
      </c>
    </row>
    <row r="5985" spans="1:3" x14ac:dyDescent="0.25">
      <c r="A5985" s="8" t="str">
        <f>"Advanced Engineering and Technology - Proceedings of the 2014 Annual Congress on Advanced Engineering and Technology, CAET 2014"</f>
        <v>Advanced Engineering and Technology - Proceedings of the 2014 Annual Congress on Advanced Engineering and Technology, CAET 2014</v>
      </c>
      <c r="B5985" s="8" t="str">
        <f>"9781138026360"</f>
        <v>9781138026360</v>
      </c>
      <c r="C5985" s="8" t="s">
        <v>1619</v>
      </c>
    </row>
    <row r="5986" spans="1:3" x14ac:dyDescent="0.25">
      <c r="A5986" s="8" t="str">
        <f>"Advanced Engineering and Technology II - Proceedings of the 2nd Annual Congress on Advanced Engineering and Technology, CAET 2015"</f>
        <v>Advanced Engineering and Technology II - Proceedings of the 2nd Annual Congress on Advanced Engineering and Technology, CAET 2015</v>
      </c>
      <c r="B5986" s="8" t="str">
        <f>"9781138027961"</f>
        <v>9781138027961</v>
      </c>
      <c r="C5986" s="8" t="s">
        <v>1635</v>
      </c>
    </row>
    <row r="5987" spans="1:3" x14ac:dyDescent="0.25">
      <c r="A5987" s="8" t="str">
        <f>"Advanced Manufacturing - An ICT and Systems Perspective"</f>
        <v>Advanced Manufacturing - An ICT and Systems Perspective</v>
      </c>
      <c r="B5987" s="8" t="str">
        <f>"9780415429122"</f>
        <v>9780415429122</v>
      </c>
      <c r="C5987" s="8" t="s">
        <v>1520</v>
      </c>
    </row>
    <row r="5988" spans="1:3" x14ac:dyDescent="0.25">
      <c r="A5988" s="8" t="str">
        <f>"Advanced Materials and Processes for Gas Turbines"</f>
        <v>Advanced Materials and Processes for Gas Turbines</v>
      </c>
      <c r="B5988" s="8" t="str">
        <f>"9780873395564"</f>
        <v>9780873395564</v>
      </c>
      <c r="C5988" s="8" t="s">
        <v>648</v>
      </c>
    </row>
    <row r="5989" spans="1:3" x14ac:dyDescent="0.25">
      <c r="A5989" s="8" t="str">
        <f>"Advanced Materials for Energy Conversion II"</f>
        <v>Advanced Materials for Energy Conversion II</v>
      </c>
      <c r="B5989" s="8" t="str">
        <f>"9780873395748"</f>
        <v>9780873395748</v>
      </c>
      <c r="C5989" s="8" t="s">
        <v>648</v>
      </c>
    </row>
    <row r="5990" spans="1:3" x14ac:dyDescent="0.25">
      <c r="A5990" s="8" t="str">
        <f>"Advanced Microsystems for Automotive Applications 2005"</f>
        <v>Advanced Microsystems for Automotive Applications 2005</v>
      </c>
      <c r="B5990" s="8" t="str">
        <f>"9783540244103"</f>
        <v>9783540244103</v>
      </c>
      <c r="C5990" s="8" t="s">
        <v>162</v>
      </c>
    </row>
    <row r="5991" spans="1:3" x14ac:dyDescent="0.25">
      <c r="A5991" s="8" t="str">
        <f>"Advanced Microsystems for Automotive Applications 2006"</f>
        <v>Advanced Microsystems for Automotive Applications 2006</v>
      </c>
      <c r="B5991" s="8" t="str">
        <f>"9783540334095"</f>
        <v>9783540334095</v>
      </c>
      <c r="C5991" s="8" t="s">
        <v>162</v>
      </c>
    </row>
    <row r="5992" spans="1:3" x14ac:dyDescent="0.25">
      <c r="A5992" s="8" t="str">
        <f>"Advanced Microsystems for Automotive Applications 2007"</f>
        <v>Advanced Microsystems for Automotive Applications 2007</v>
      </c>
      <c r="B5992" s="8" t="str">
        <f>"9783540713241"</f>
        <v>9783540713241</v>
      </c>
      <c r="C5992" s="8" t="s">
        <v>162</v>
      </c>
    </row>
    <row r="5993" spans="1:3" x14ac:dyDescent="0.25">
      <c r="A5993" s="8" t="str">
        <f>"Advanced Microsystems for Automotive Applications 2008"</f>
        <v>Advanced Microsystems for Automotive Applications 2008</v>
      </c>
      <c r="B5993" s="8" t="str">
        <f>"9783540779797"</f>
        <v>9783540779797</v>
      </c>
      <c r="C5993" s="8" t="s">
        <v>162</v>
      </c>
    </row>
    <row r="5994" spans="1:3" x14ac:dyDescent="0.25">
      <c r="A5994" s="8" t="str">
        <f>"Advanced Microsystems for Automotive Applications 2009: Smart Systems for Safety, Sustainability, and Comfort"</f>
        <v>Advanced Microsystems for Automotive Applications 2009: Smart Systems for Safety, Sustainability, and Comfort</v>
      </c>
      <c r="B5994" s="8" t="str">
        <f>"9783642007446"</f>
        <v>9783642007446</v>
      </c>
      <c r="C5994" s="8" t="s">
        <v>162</v>
      </c>
    </row>
    <row r="5995" spans="1:3" x14ac:dyDescent="0.25">
      <c r="A5995" s="8" t="str">
        <f>"Advanced Microsystems for Automotive Applications 2010: Smart Systems for Green Cars and Safe Mobility"</f>
        <v>Advanced Microsystems for Automotive Applications 2010: Smart Systems for Green Cars and Safe Mobility</v>
      </c>
      <c r="B5995" s="8" t="str">
        <f>"9783642126475"</f>
        <v>9783642126475</v>
      </c>
      <c r="C5995" s="8" t="s">
        <v>162</v>
      </c>
    </row>
    <row r="5996" spans="1:3" x14ac:dyDescent="0.25">
      <c r="A5996" s="8" t="str">
        <f>"Advanced Microsystems for Automotive Applications 2011: Smart Systems for Electric, Safe and Networked Mobility"</f>
        <v>Advanced Microsystems for Automotive Applications 2011: Smart Systems for Electric, Safe and Networked Mobility</v>
      </c>
      <c r="B5996" s="8" t="str">
        <f>"9783642213809"</f>
        <v>9783642213809</v>
      </c>
      <c r="C5996" s="8" t="s">
        <v>162</v>
      </c>
    </row>
    <row r="5997" spans="1:3" x14ac:dyDescent="0.25">
      <c r="A5997" s="8" t="str">
        <f>"Advanced Microsystems for Automotive Applications 2012: Smart Systems for Safe, Sustainable and Networked Vehicles"</f>
        <v>Advanced Microsystems for Automotive Applications 2012: Smart Systems for Safe, Sustainable and Networked Vehicles</v>
      </c>
      <c r="B5997" s="8" t="str">
        <f>"9783642296727"</f>
        <v>9783642296727</v>
      </c>
      <c r="C5997" s="8" t="s">
        <v>162</v>
      </c>
    </row>
    <row r="5998" spans="1:3" x14ac:dyDescent="0.25">
      <c r="A5998" s="8" t="str">
        <f>"Advanced Optoelectronics for Energy and Environment, AOEE 2013"</f>
        <v>Advanced Optoelectronics for Energy and Environment, AOEE 2013</v>
      </c>
      <c r="B5998" s="8" t="str">
        <f>"9781557529763"</f>
        <v>9781557529763</v>
      </c>
      <c r="C5998" s="8" t="s">
        <v>86</v>
      </c>
    </row>
    <row r="5999" spans="1:3" x14ac:dyDescent="0.25">
      <c r="A5999" s="8" t="s">
        <v>1636</v>
      </c>
      <c r="B5999" s="8" t="str">
        <f>"9780415584777"</f>
        <v>9780415584777</v>
      </c>
      <c r="C5999" s="8" t="s">
        <v>1637</v>
      </c>
    </row>
    <row r="6000" spans="1:3" x14ac:dyDescent="0.25">
      <c r="A6000" s="8" t="str">
        <f>"Advanced Signal Processing, Circuits, and System Design Techniques for Communications - 2006 IEEE International Symposium on Circuits and Systems, ISCAS 2006"</f>
        <v>Advanced Signal Processing, Circuits, and System Design Techniques for Communications - 2006 IEEE International Symposium on Circuits and Systems, ISCAS 2006</v>
      </c>
      <c r="B6000" s="8" t="str">
        <f>"-"</f>
        <v>-</v>
      </c>
      <c r="C6000" s="8" t="s">
        <v>9</v>
      </c>
    </row>
    <row r="6001" spans="1:3" x14ac:dyDescent="0.25">
      <c r="A6001" s="8" t="str">
        <f>"Advanced Solid State Lasers, ASSL 2014"</f>
        <v>Advanced Solid State Lasers, ASSL 2014</v>
      </c>
      <c r="B6001" s="8" t="str">
        <f>"9781557528223"</f>
        <v>9781557528223</v>
      </c>
      <c r="C6001" s="8" t="s">
        <v>1638</v>
      </c>
    </row>
    <row r="6002" spans="1:3" x14ac:dyDescent="0.25">
      <c r="A6002" s="8" t="str">
        <f>"Advanced Solid State Lasers, ASSL 2015"</f>
        <v>Advanced Solid State Lasers, ASSL 2015</v>
      </c>
      <c r="B6002" s="8" t="str">
        <f>"9781943580026"</f>
        <v>9781943580026</v>
      </c>
      <c r="C6002" s="8" t="s">
        <v>1638</v>
      </c>
    </row>
    <row r="6003" spans="1:3" x14ac:dyDescent="0.25">
      <c r="A6003" s="8" t="str">
        <f>"Advanced Solid-State Photonics, ASSP 2008"</f>
        <v>Advanced Solid-State Photonics, ASSP 2008</v>
      </c>
      <c r="B6003" s="8" t="str">
        <f>"9781557528506"</f>
        <v>9781557528506</v>
      </c>
      <c r="C6003" s="8" t="s">
        <v>86</v>
      </c>
    </row>
    <row r="6004" spans="1:3" x14ac:dyDescent="0.25">
      <c r="A6004" s="8" t="str">
        <f>"Advanced Solid-State Photonics, ASSP 2012"</f>
        <v>Advanced Solid-State Photonics, ASSP 2012</v>
      </c>
      <c r="B6004" s="8" t="str">
        <f>"-"</f>
        <v>-</v>
      </c>
      <c r="C6004" s="8" t="s">
        <v>86</v>
      </c>
    </row>
    <row r="6005" spans="1:3" x14ac:dyDescent="0.25">
      <c r="A6005" s="8" t="str">
        <f>"Advanced Techniques in Computing Sciences and Software Engineering"</f>
        <v>Advanced Techniques in Computing Sciences and Software Engineering</v>
      </c>
      <c r="B6005" s="8" t="str">
        <f>"9789048136599"</f>
        <v>9789048136599</v>
      </c>
      <c r="C6005" s="8" t="s">
        <v>1639</v>
      </c>
    </row>
    <row r="6006" spans="1:3" x14ac:dyDescent="0.25">
      <c r="A6006" s="8" t="str">
        <f>"Advanced Technology of Plasticity 2005 - Proceedings of the 8th International Conference on Technology of Plasticity, ICTP 2005"</f>
        <v>Advanced Technology of Plasticity 2005 - Proceedings of the 8th International Conference on Technology of Plasticity, ICTP 2005</v>
      </c>
      <c r="B6006" s="8" t="str">
        <f>"9788887331745"</f>
        <v>9788887331745</v>
      </c>
      <c r="C6006" s="8" t="s">
        <v>1640</v>
      </c>
    </row>
    <row r="6007" spans="1:3" x14ac:dyDescent="0.25">
      <c r="A6007" s="8" t="str">
        <f>"Advancements in Marine Structures - Proceedings of MARSTRUCT 2007, The 1st International Conference on Marine Structures"</f>
        <v>Advancements in Marine Structures - Proceedings of MARSTRUCT 2007, The 1st International Conference on Marine Structures</v>
      </c>
      <c r="B6007" s="8" t="str">
        <f>"9780415437257"</f>
        <v>9780415437257</v>
      </c>
      <c r="C6007" s="8" t="s">
        <v>1619</v>
      </c>
    </row>
    <row r="6008" spans="1:3" x14ac:dyDescent="0.25">
      <c r="A6008" s="8" t="str">
        <f>"Advances and Innovations in Systems, Computing Sciences and Software Engineering"</f>
        <v>Advances and Innovations in Systems, Computing Sciences and Software Engineering</v>
      </c>
      <c r="B6008" s="8" t="str">
        <f>"9781402062636"</f>
        <v>9781402062636</v>
      </c>
      <c r="C6008" s="8" t="s">
        <v>31</v>
      </c>
    </row>
    <row r="6009" spans="1:3" x14ac:dyDescent="0.25">
      <c r="A6009" s="8" t="str">
        <f>"Advances and Trends in Engineering Sciences and Technologies - Proceedings of the International Conference on Engineering Sciences and Technologies, ESaT 2015"</f>
        <v>Advances and Trends in Engineering Sciences and Technologies - Proceedings of the International Conference on Engineering Sciences and Technologies, ESaT 2015</v>
      </c>
      <c r="B6009" s="8" t="str">
        <f>"9781138029071"</f>
        <v>9781138029071</v>
      </c>
      <c r="C6009" s="8" t="s">
        <v>1635</v>
      </c>
    </row>
    <row r="6010" spans="1:3" x14ac:dyDescent="0.25">
      <c r="A6010" s="8" t="str">
        <f>"Advances and Trends in Structural Engineering, Mechanics and Computation - Proceedings of the 4th International Conference on Structural Engineering, Mechanics and Computation"</f>
        <v>Advances and Trends in Structural Engineering, Mechanics and Computation - Proceedings of the 4th International Conference on Structural Engineering, Mechanics and Computation</v>
      </c>
      <c r="B6010" s="8" t="str">
        <f>"9780415584722"</f>
        <v>9780415584722</v>
      </c>
      <c r="C6010" s="8" t="s">
        <v>1637</v>
      </c>
    </row>
    <row r="6011" spans="1:3" x14ac:dyDescent="0.25">
      <c r="A6011" s="8" t="str">
        <f>"Advances for In-Vehicle and Mobile Systems: Challenges for International Standards"</f>
        <v>Advances for In-Vehicle and Mobile Systems: Challenges for International Standards</v>
      </c>
      <c r="B6011" s="8" t="str">
        <f>"9780387335032"</f>
        <v>9780387335032</v>
      </c>
      <c r="C6011" s="8" t="s">
        <v>834</v>
      </c>
    </row>
    <row r="6012" spans="1:3" x14ac:dyDescent="0.25">
      <c r="A6012" s="8" t="str">
        <f>"Advances in Air Pollution"</f>
        <v>Advances in Air Pollution</v>
      </c>
      <c r="B6012" s="8" t="str">
        <f>"9781853128226"</f>
        <v>9781853128226</v>
      </c>
      <c r="C6012" s="8" t="s">
        <v>1641</v>
      </c>
    </row>
    <row r="6013" spans="1:3" x14ac:dyDescent="0.25">
      <c r="A6013" s="8" t="str">
        <f>"Advances in Aluminum Casting Technology II"</f>
        <v>Advances in Aluminum Casting Technology II</v>
      </c>
      <c r="B6013" s="8" t="str">
        <f>"9780871707727"</f>
        <v>9780871707727</v>
      </c>
      <c r="C6013" s="8" t="s">
        <v>65</v>
      </c>
    </row>
    <row r="6014" spans="1:3" x14ac:dyDescent="0.25">
      <c r="A6014" s="8" t="str">
        <f>"Advances in Applied Computing and Computational Sciences - Proceedings of International Symposium on Applied Computing and Computational Sciences, ACCS 2008"</f>
        <v>Advances in Applied Computing and Computational Sciences - Proceedings of International Symposium on Applied Computing and Computational Sciences, ACCS 2008</v>
      </c>
      <c r="B6014" s="8" t="str">
        <f>"9789889964405"</f>
        <v>9789889964405</v>
      </c>
      <c r="C6014" s="8" t="s">
        <v>1642</v>
      </c>
    </row>
    <row r="6015" spans="1:3" x14ac:dyDescent="0.25">
      <c r="A6015" s="8" t="str">
        <f>"Advances in Architecture"</f>
        <v>Advances in Architecture</v>
      </c>
      <c r="B6015" s="8" t="str">
        <f>"9781853129681"</f>
        <v>9781853129681</v>
      </c>
      <c r="C6015" s="8" t="s">
        <v>80</v>
      </c>
    </row>
    <row r="6016" spans="1:3" x14ac:dyDescent="0.25">
      <c r="A6016" s="8" t="str">
        <f>"Advances in Architecture"</f>
        <v>Advances in Architecture</v>
      </c>
      <c r="B6016" s="8" t="str">
        <f>"9781853129643"</f>
        <v>9781853129643</v>
      </c>
      <c r="C6016" s="8" t="s">
        <v>80</v>
      </c>
    </row>
    <row r="6017" spans="1:3" x14ac:dyDescent="0.25">
      <c r="A6017" s="8" t="str">
        <f>"Advances in Automation, Multimedia and Video Systems, and Modern Computer Science"</f>
        <v>Advances in Automation, Multimedia and Video Systems, and Modern Computer Science</v>
      </c>
      <c r="B6017" s="8" t="str">
        <f>"9789608052444"</f>
        <v>9789608052444</v>
      </c>
      <c r="C6017" s="8" t="s">
        <v>553</v>
      </c>
    </row>
    <row r="6018" spans="1:3" x14ac:dyDescent="0.25">
      <c r="A6018" s="8" t="str">
        <f>"Advances in Autonomous Mini Robots - Proceedings of the 6th AMiRE Symposium, AMiRE 2011"</f>
        <v>Advances in Autonomous Mini Robots - Proceedings of the 6th AMiRE Symposium, AMiRE 2011</v>
      </c>
      <c r="B6018" s="8" t="str">
        <f>"9783642274817"</f>
        <v>9783642274817</v>
      </c>
      <c r="C6018" s="8" t="s">
        <v>162</v>
      </c>
    </row>
    <row r="6019" spans="1:3" x14ac:dyDescent="0.25">
      <c r="A6019" s="8" t="str">
        <f>"Advances in Cable-Supported Bridges"</f>
        <v>Advances in Cable-Supported Bridges</v>
      </c>
      <c r="B6019" s="8" t="str">
        <f>"9780415419826"</f>
        <v>9780415419826</v>
      </c>
      <c r="C6019" s="8" t="s">
        <v>1520</v>
      </c>
    </row>
    <row r="6020" spans="1:3" x14ac:dyDescent="0.25">
      <c r="A6020" s="8" t="str">
        <f>"Advances in Cement-Based Materials - Proceedings of the International Conference on Advanced Concrete Materials"</f>
        <v>Advances in Cement-Based Materials - Proceedings of the International Conference on Advanced Concrete Materials</v>
      </c>
      <c r="B6020" s="8" t="str">
        <f>"9780415876377"</f>
        <v>9780415876377</v>
      </c>
      <c r="C6020" s="8" t="s">
        <v>1637</v>
      </c>
    </row>
    <row r="6021" spans="1:3" x14ac:dyDescent="0.25">
      <c r="A6021" s="8" t="str">
        <f>"Advances in City Transport - Case Studies"</f>
        <v>Advances in City Transport - Case Studies</v>
      </c>
      <c r="B6021" s="8" t="str">
        <f>"9781853127991"</f>
        <v>9781853127991</v>
      </c>
      <c r="C6021" s="8" t="s">
        <v>1641</v>
      </c>
    </row>
    <row r="6022" spans="1:3" x14ac:dyDescent="0.25">
      <c r="A6022" s="8" t="str">
        <f>"Advances in Civil Engineering and Building Materials - Selected Peer Reviewed Papers from 2012 2nd International Conference on Civil Engineering and Building Materials, CEBM 2012"</f>
        <v>Advances in Civil Engineering and Building Materials - Selected Peer Reviewed Papers from 2012 2nd International Conference on Civil Engineering and Building Materials, CEBM 2012</v>
      </c>
      <c r="B6022" s="8" t="str">
        <f>"9780415643429"</f>
        <v>9780415643429</v>
      </c>
      <c r="C6022" s="8" t="s">
        <v>1635</v>
      </c>
    </row>
    <row r="6023" spans="1:3" x14ac:dyDescent="0.25">
      <c r="A6023" s="8" t="str">
        <f>"Advances in Climbing and Walking Robots - Proceedings of 10th International Conference, CLAWAR 2007"</f>
        <v>Advances in Climbing and Walking Robots - Proceedings of 10th International Conference, CLAWAR 2007</v>
      </c>
      <c r="B6023" s="8" t="str">
        <f>"9789812708151"</f>
        <v>9789812708151</v>
      </c>
      <c r="C6023" s="8" t="s">
        <v>157</v>
      </c>
    </row>
    <row r="6024" spans="1:3" x14ac:dyDescent="0.25">
      <c r="A6024" s="8" t="str">
        <f>"Advances in Coastal Structure Design"</f>
        <v>Advances in Coastal Structure Design</v>
      </c>
      <c r="B6024" s="8" t="str">
        <f>"9780784406892"</f>
        <v>9780784406892</v>
      </c>
      <c r="C6024" s="8" t="s">
        <v>1643</v>
      </c>
    </row>
    <row r="6025" spans="1:3" x14ac:dyDescent="0.25">
      <c r="A6025" s="8" t="str">
        <f>"Advances in Communications and Software Technologies"</f>
        <v>Advances in Communications and Software Technologies</v>
      </c>
      <c r="B6025" s="8" t="str">
        <f>"9789608052710"</f>
        <v>9789608052710</v>
      </c>
      <c r="C6025" s="8" t="s">
        <v>553</v>
      </c>
    </row>
    <row r="6026" spans="1:3" x14ac:dyDescent="0.25">
      <c r="A6026" s="8" t="str">
        <f>"Advances in Composite Materials and Mechanics"</f>
        <v>Advances in Composite Materials and Mechanics</v>
      </c>
      <c r="B6026" s="8" t="str">
        <f>"9780784404560"</f>
        <v>9780784404560</v>
      </c>
      <c r="C6026" s="8" t="s">
        <v>111</v>
      </c>
    </row>
    <row r="6027" spans="1:3" x14ac:dyDescent="0.25">
      <c r="A6027" s="8" t="str">
        <f>"Advances in Composite Materials and Mechanics"</f>
        <v>Advances in Composite Materials and Mechanics</v>
      </c>
      <c r="B6027" s="8" t="str">
        <f>"9780784404560"</f>
        <v>9780784404560</v>
      </c>
      <c r="C6027" s="8" t="s">
        <v>111</v>
      </c>
    </row>
    <row r="6028" spans="1:3" x14ac:dyDescent="0.25">
      <c r="A6028" s="8" t="str">
        <f>"Advances in Computational Bioengineering"</f>
        <v>Advances in Computational Bioengineering</v>
      </c>
      <c r="B6028" s="8" t="str">
        <f>"9781853129650"</f>
        <v>9781853129650</v>
      </c>
      <c r="C6028" s="8" t="s">
        <v>80</v>
      </c>
    </row>
    <row r="6029" spans="1:3" x14ac:dyDescent="0.25">
      <c r="A6029" s="8" t="str">
        <f>"Advances in Computer and Information Sciences and Engineering"</f>
        <v>Advances in Computer and Information Sciences and Engineering</v>
      </c>
      <c r="B6029" s="8" t="str">
        <f>"9781402087400"</f>
        <v>9781402087400</v>
      </c>
      <c r="C6029" s="8" t="s">
        <v>1639</v>
      </c>
    </row>
    <row r="6030" spans="1:3" x14ac:dyDescent="0.25">
      <c r="A6030" s="8" t="str">
        <f>"Advances in Computer Science and Eng.: Reports and Monographs - Innovative Applications of Information Technology for the Developing World - Proc. of the 3rd Asian Applied Comput. Conf., AACC 2005"</f>
        <v>Advances in Computer Science and Eng.: Reports and Monographs - Innovative Applications of Information Technology for the Developing World - Proc. of the 3rd Asian Applied Comput. Conf., AACC 2005</v>
      </c>
      <c r="B6030" s="8" t="str">
        <f>"9781860948275"</f>
        <v>9781860948275</v>
      </c>
      <c r="C6030" s="8" t="s">
        <v>1064</v>
      </c>
    </row>
    <row r="6031" spans="1:3" x14ac:dyDescent="0.25">
      <c r="A6031" s="8" t="str">
        <f>"Advances in Computer, Information, and Systems Sciences, and Engineering - Proceedings of IETA 2005, TeNe 2005, EIAE 2005"</f>
        <v>Advances in Computer, Information, and Systems Sciences, and Engineering - Proceedings of IETA 2005, TeNe 2005, EIAE 2005</v>
      </c>
      <c r="B6031" s="8" t="str">
        <f>"9781402052606"</f>
        <v>9781402052606</v>
      </c>
      <c r="C6031" s="8" t="s">
        <v>162</v>
      </c>
    </row>
    <row r="6032" spans="1:3" x14ac:dyDescent="0.25">
      <c r="A6032" s="8" t="str">
        <f>"Advances in Construction Materials 2007"</f>
        <v>Advances in Construction Materials 2007</v>
      </c>
      <c r="B6032" s="8" t="str">
        <f>"9783540724476"</f>
        <v>9783540724476</v>
      </c>
      <c r="C6032" s="8" t="s">
        <v>42</v>
      </c>
    </row>
    <row r="6033" spans="1:3" x14ac:dyDescent="0.25">
      <c r="A6033" s="8" t="str">
        <f>"Advances in Coordinate Metrology"</f>
        <v>Advances in Coordinate Metrology</v>
      </c>
      <c r="B6033" s="8" t="str">
        <f>"9788362292561"</f>
        <v>9788362292561</v>
      </c>
      <c r="C6033" s="8" t="s">
        <v>1644</v>
      </c>
    </row>
    <row r="6034" spans="1:3" x14ac:dyDescent="0.25">
      <c r="A6034" s="8" t="str">
        <f>"Advances in Damage Mechanics"</f>
        <v>Advances in Damage Mechanics</v>
      </c>
      <c r="B6034" s="8" t="str">
        <f>"9781853129797"</f>
        <v>9781853129797</v>
      </c>
      <c r="C6034" s="8" t="s">
        <v>80</v>
      </c>
    </row>
    <row r="6035" spans="1:3" x14ac:dyDescent="0.25">
      <c r="A6035" s="8" t="str">
        <f>"Advances in Database Technology - EDBT 2008 - 11th International Conference on Extending Database Technology, Proceedings"</f>
        <v>Advances in Database Technology - EDBT 2008 - 11th International Conference on Extending Database Technology, Proceedings</v>
      </c>
      <c r="B6035" s="8" t="str">
        <f>"9781595939265"</f>
        <v>9781595939265</v>
      </c>
      <c r="C6035" s="8" t="s">
        <v>21</v>
      </c>
    </row>
    <row r="6036" spans="1:3" x14ac:dyDescent="0.25">
      <c r="A6036" s="8" t="str">
        <f>"Advances in Database Technology - EDBT 2010 - 13th International Conference on Extending Database Technology, Proceedings"</f>
        <v>Advances in Database Technology - EDBT 2010 - 13th International Conference on Extending Database Technology, Proceedings</v>
      </c>
      <c r="B6036" s="8" t="str">
        <f>"9781605589459"</f>
        <v>9781605589459</v>
      </c>
      <c r="C6036" s="8" t="s">
        <v>21</v>
      </c>
    </row>
    <row r="6037" spans="1:3" x14ac:dyDescent="0.25">
      <c r="A6037" s="8" t="str">
        <f>"Advances in Deep Foundations - Proceedings of the International Workshop on Recent Advances of Deep Foundations, IWDPF07"</f>
        <v>Advances in Deep Foundations - Proceedings of the International Workshop on Recent Advances of Deep Foundations, IWDPF07</v>
      </c>
      <c r="B6037" s="8" t="str">
        <f>"9780415436298"</f>
        <v>9780415436298</v>
      </c>
      <c r="C6037" s="8" t="s">
        <v>1619</v>
      </c>
    </row>
    <row r="6038" spans="1:3" x14ac:dyDescent="0.25">
      <c r="A6038" s="8" t="str">
        <f>"Advances in E-Activities, Information Security and Privacy - 9th WSEAS Int. Conference on E-Activities, E-ACTIVITIES'10, 9th WSEAS Int. Conference on Information Security and Privacy, ISP'10"</f>
        <v>Advances in E-Activities, Information Security and Privacy - 9th WSEAS Int. Conference on E-Activities, E-ACTIVITIES'10, 9th WSEAS Int. Conference on Information Security and Privacy, ISP'10</v>
      </c>
      <c r="B6038" s="8" t="str">
        <f>"9789604742585"</f>
        <v>9789604742585</v>
      </c>
      <c r="C6038" s="8" t="s">
        <v>553</v>
      </c>
    </row>
    <row r="6039" spans="1:3" x14ac:dyDescent="0.25">
      <c r="A6039" s="8" t="str">
        <f>"Advances in e-Engineering and Digital Enterprise Technology - I. Proceedings of the Fourth International Conference on e-Engineering and Digital Enterprise Technology"</f>
        <v>Advances in e-Engineering and Digital Enterprise Technology - I. Proceedings of the Fourth International Conference on e-Engineering and Digital Enterprise Technology</v>
      </c>
      <c r="B6039" s="8" t="str">
        <f>"9781860584671"</f>
        <v>9781860584671</v>
      </c>
      <c r="C6039" s="8" t="s">
        <v>1645</v>
      </c>
    </row>
    <row r="6040" spans="1:3" x14ac:dyDescent="0.25">
      <c r="A6040" s="8" t="str">
        <f>"Advances in Electrical and Electronic Engineering"</f>
        <v>Advances in Electrical and Electronic Engineering</v>
      </c>
      <c r="B6040" s="8" t="str">
        <f>"9781853129810"</f>
        <v>9781853129810</v>
      </c>
      <c r="C6040" s="8" t="s">
        <v>80</v>
      </c>
    </row>
    <row r="6041" spans="1:3" x14ac:dyDescent="0.25">
      <c r="A6041" s="8" t="str">
        <f>"Advances in Electronic Packaging"</f>
        <v>Advances in Electronic Packaging</v>
      </c>
      <c r="B6041" s="8" t="str">
        <f>"9780791835401"</f>
        <v>9780791835401</v>
      </c>
      <c r="C6041" s="8" t="s">
        <v>1308</v>
      </c>
    </row>
    <row r="6042" spans="1:3" x14ac:dyDescent="0.25">
      <c r="A6042" s="8" t="str">
        <f>"Advances in Electronic Packaging"</f>
        <v>Advances in Electronic Packaging</v>
      </c>
      <c r="B6042" s="8" t="str">
        <f>"9780791836903"</f>
        <v>9780791836903</v>
      </c>
      <c r="C6042" s="8" t="s">
        <v>1308</v>
      </c>
    </row>
    <row r="6043" spans="1:3" x14ac:dyDescent="0.25">
      <c r="A6043" s="8" t="str">
        <f>"Advances in Electronic Packaging"</f>
        <v>Advances in Electronic Packaging</v>
      </c>
      <c r="B6043" s="8" t="str">
        <f>"9780791836910"</f>
        <v>9780791836910</v>
      </c>
      <c r="C6043" s="8" t="s">
        <v>1308</v>
      </c>
    </row>
    <row r="6044" spans="1:3" x14ac:dyDescent="0.25">
      <c r="A6044" s="8" t="str">
        <f>"Advances in Enterprise Information Systems II - Proceedings of the 5th International Conference on Research and Practical Issues of Enterprise Information Systems, CONFENIS 2011"</f>
        <v>Advances in Enterprise Information Systems II - Proceedings of the 5th International Conference on Research and Practical Issues of Enterprise Information Systems, CONFENIS 2011</v>
      </c>
      <c r="B6044" s="8" t="str">
        <f>"9780415631310"</f>
        <v>9780415631310</v>
      </c>
      <c r="C6044" s="8" t="s">
        <v>1619</v>
      </c>
    </row>
    <row r="6045" spans="1:3" x14ac:dyDescent="0.25">
      <c r="A6045" s="8" t="str">
        <f>"Advances in Environmental Vibration - Proceedings of the 5th International Symposium on Environmental Vibration, ISEV 2011"</f>
        <v>Advances in Environmental Vibration - Proceedings of the 5th International Symposium on Environmental Vibration, ISEV 2011</v>
      </c>
      <c r="B6045" s="8" t="str">
        <f>"9787030323736"</f>
        <v>9787030323736</v>
      </c>
      <c r="C6045" s="8" t="s">
        <v>1646</v>
      </c>
    </row>
    <row r="6046" spans="1:3" x14ac:dyDescent="0.25">
      <c r="A6046" s="8" t="str">
        <f>"Advances in FRP Composites in Civil Engineering - Proceedings of the 5th International Conference on FRP Composites in Civil Engineering, CICE 2010"</f>
        <v>Advances in FRP Composites in Civil Engineering - Proceedings of the 5th International Conference on FRP Composites in Civil Engineering, CICE 2010</v>
      </c>
      <c r="B6046" s="8" t="str">
        <f>"9783642174865"</f>
        <v>9783642174865</v>
      </c>
      <c r="C6046" s="8" t="s">
        <v>582</v>
      </c>
    </row>
    <row r="6047" spans="1:3" x14ac:dyDescent="0.25">
      <c r="A6047" s="8" t="str">
        <f>"Advances in Geotechnical Engineering: The Skempton Conference - Proceedings of a Three Day Conference on Advances in Geotechnical Engineering, organised by the Institution of Civil Engineers"</f>
        <v>Advances in Geotechnical Engineering: The Skempton Conference - Proceedings of a Three Day Conference on Advances in Geotechnical Engineering, organised by the Institution of Civil Engineers</v>
      </c>
      <c r="B6047" s="8" t="str">
        <f>"9780727732644"</f>
        <v>9780727732644</v>
      </c>
      <c r="C6047" s="8" t="s">
        <v>74</v>
      </c>
    </row>
    <row r="6048" spans="1:3" x14ac:dyDescent="0.25">
      <c r="A6048" s="8" t="str">
        <f>"Advances in Heterogeneous Material Mechanics 2008 - Proceedings of the 2nd International Conference on Heterogeneous Material Mechanics, ICHMM 2008"</f>
        <v>Advances in Heterogeneous Material Mechanics 2008 - Proceedings of the 2nd International Conference on Heterogeneous Material Mechanics, ICHMM 2008</v>
      </c>
      <c r="B6048" s="8" t="str">
        <f>"9781932078800"</f>
        <v>9781932078800</v>
      </c>
      <c r="C6048" s="8" t="s">
        <v>757</v>
      </c>
    </row>
    <row r="6049" spans="1:3" x14ac:dyDescent="0.25">
      <c r="A6049" s="8" t="str">
        <f>"Advances in Hurricane Engineering: Learning from Our Past - Proceedings of the 2012 ATC and SEI Conference on Advances in Hurricane Engineering"</f>
        <v>Advances in Hurricane Engineering: Learning from Our Past - Proceedings of the 2012 ATC and SEI Conference on Advances in Hurricane Engineering</v>
      </c>
      <c r="B6049" s="8" t="str">
        <f>"9780784412626"</f>
        <v>9780784412626</v>
      </c>
      <c r="C6049" s="8" t="s">
        <v>111</v>
      </c>
    </row>
    <row r="6050" spans="1:3" x14ac:dyDescent="0.25">
      <c r="A6050" s="8" t="str">
        <f>"Advances in Information Systems Development: Bridging the Gap Between Academia and Industry"</f>
        <v>Advances in Information Systems Development: Bridging the Gap Between Academia and Industry</v>
      </c>
      <c r="B6050" s="8" t="str">
        <f>"9780387308340"</f>
        <v>9780387308340</v>
      </c>
      <c r="C6050" s="8" t="s">
        <v>834</v>
      </c>
    </row>
    <row r="6051" spans="1:3" x14ac:dyDescent="0.25">
      <c r="A6051" s="8" t="str">
        <f>"Advances in Information Systems Development: New Methods and Practice for the Networked Society"</f>
        <v>Advances in Information Systems Development: New Methods and Practice for the Networked Society</v>
      </c>
      <c r="B6051" s="8" t="str">
        <f>"-"</f>
        <v>-</v>
      </c>
      <c r="C6051" s="8" t="s">
        <v>834</v>
      </c>
    </row>
    <row r="6052" spans="1:3" x14ac:dyDescent="0.25">
      <c r="A6052" s="8" t="str">
        <f>"Advances in Intelligent Systems and Computer Science"</f>
        <v>Advances in Intelligent Systems and Computer Science</v>
      </c>
      <c r="B6052" s="8" t="str">
        <f>"9789608052161"</f>
        <v>9789608052161</v>
      </c>
      <c r="C6052" s="8" t="s">
        <v>553</v>
      </c>
    </row>
    <row r="6053" spans="1:3" x14ac:dyDescent="0.25">
      <c r="A6053" s="8" t="str">
        <f>"Advances in Land Remote Sensing: System, Modeling, Inversion and Application"</f>
        <v>Advances in Land Remote Sensing: System, Modeling, Inversion and Application</v>
      </c>
      <c r="B6053" s="8" t="str">
        <f>"9781402064494"</f>
        <v>9781402064494</v>
      </c>
      <c r="C6053" s="8" t="s">
        <v>42</v>
      </c>
    </row>
    <row r="6054" spans="1:3" x14ac:dyDescent="0.25">
      <c r="A6054" s="8" t="str">
        <f>"Advances in Life Cycle Engineering for Sustainable Manufacturing Businesses - Proceedings of the 14th CIRP Conference on Life Cycle Engineering"</f>
        <v>Advances in Life Cycle Engineering for Sustainable Manufacturing Businesses - Proceedings of the 14th CIRP Conference on Life Cycle Engineering</v>
      </c>
      <c r="B6054" s="8" t="str">
        <f>"9781846289347"</f>
        <v>9781846289347</v>
      </c>
      <c r="C6054" s="8" t="s">
        <v>834</v>
      </c>
    </row>
    <row r="6055" spans="1:3" x14ac:dyDescent="0.25">
      <c r="A6055" s="8" t="str">
        <f>"Advances in Management of Technology - Proceedings of the International Conference on Management of Technology, Taiyuan 2007"</f>
        <v>Advances in Management of Technology - Proceedings of the International Conference on Management of Technology, Taiyuan 2007</v>
      </c>
      <c r="B6055" s="8" t="str">
        <f>"9780646480930"</f>
        <v>9780646480930</v>
      </c>
      <c r="C6055" s="8" t="s">
        <v>1647</v>
      </c>
    </row>
    <row r="6056" spans="1:3" x14ac:dyDescent="0.25">
      <c r="A6056" s="8" t="str">
        <f>"Advances in Marine Structures - Proceedings of the 3rd International Conference on Marine Structures, MARSTRUCT 2011"</f>
        <v>Advances in Marine Structures - Proceedings of the 3rd International Conference on Marine Structures, MARSTRUCT 2011</v>
      </c>
      <c r="B6056" s="8" t="str">
        <f>"9780415677714"</f>
        <v>9780415677714</v>
      </c>
      <c r="C6056" s="8" t="s">
        <v>1637</v>
      </c>
    </row>
    <row r="6057" spans="1:3" x14ac:dyDescent="0.25">
      <c r="A6057" s="8" t="str">
        <f>"Advances in Mass Data Analysis of Images and Signals in Medicine, Biotechnology, Chemistry and Food Industry - 6th International Conference, MDA 2011, Proceedings"</f>
        <v>Advances in Mass Data Analysis of Images and Signals in Medicine, Biotechnology, Chemistry and Food Industry - 6th International Conference, MDA 2011, Proceedings</v>
      </c>
      <c r="B6057" s="8" t="str">
        <f>"9783942952026"</f>
        <v>9783942952026</v>
      </c>
      <c r="C6057" s="8" t="s">
        <v>1648</v>
      </c>
    </row>
    <row r="6058" spans="1:3" x14ac:dyDescent="0.25">
      <c r="A6058" s="8" t="str">
        <f>"Advances in Mass Data Analysis of Images and Signals in Medicine, Biotechnology, Chemistry and Food Industry - 7th International Conference, MDA 2012, Proceedings"</f>
        <v>Advances in Mass Data Analysis of Images and Signals in Medicine, Biotechnology, Chemistry and Food Industry - 7th International Conference, MDA 2012, Proceedings</v>
      </c>
      <c r="B6058" s="8" t="str">
        <f>"9783942952156"</f>
        <v>9783942952156</v>
      </c>
      <c r="C6058" s="8" t="s">
        <v>1648</v>
      </c>
    </row>
    <row r="6059" spans="1:3" x14ac:dyDescent="0.25">
      <c r="A6059" s="8" t="str">
        <f>"Advances in Mass Data Analysis of Images and Signals in Medicine, Biotechnology, Chemistry and Food Industry - 8th International Conference, MDA 2013, Proceedings"</f>
        <v>Advances in Mass Data Analysis of Images and Signals in Medicine, Biotechnology, Chemistry and Food Industry - 8th International Conference, MDA 2013, Proceedings</v>
      </c>
      <c r="B6059" s="8" t="str">
        <f>"9783942952217"</f>
        <v>9783942952217</v>
      </c>
      <c r="C6059" s="8" t="s">
        <v>1648</v>
      </c>
    </row>
    <row r="6060" spans="1:3" x14ac:dyDescent="0.25">
      <c r="A6060" s="8" t="str">
        <f>"Advances in Mass Data Analysis of Images and Signals in Medicine, Biotechnology, Chemistry and Food Industry - 9th International Conference, MDA 2014, Proceedings"</f>
        <v>Advances in Mass Data Analysis of Images and Signals in Medicine, Biotechnology, Chemistry and Food Industry - 9th International Conference, MDA 2014, Proceedings</v>
      </c>
      <c r="B6060" s="8" t="str">
        <f>"9783942952309"</f>
        <v>9783942952309</v>
      </c>
      <c r="C6060" s="8" t="s">
        <v>1648</v>
      </c>
    </row>
    <row r="6061" spans="1:3" x14ac:dyDescent="0.25">
      <c r="A6061" s="8" t="str">
        <f>"Advances in Materials Technology for Fossil Power Plants - Proceedings from the 5th International Conference"</f>
        <v>Advances in Materials Technology for Fossil Power Plants - Proceedings from the 5th International Conference</v>
      </c>
      <c r="B6061" s="8" t="str">
        <f>"9780871708694"</f>
        <v>9780871708694</v>
      </c>
    </row>
    <row r="6062" spans="1:3" x14ac:dyDescent="0.25">
      <c r="A6062" s="8" t="str">
        <f>"Advances in Materials Technology for Fossil Power Plants - Proceedings from the 5th International Conference"</f>
        <v>Advances in Materials Technology for Fossil Power Plants - Proceedings from the 5th International Conference</v>
      </c>
      <c r="B6062" s="8" t="str">
        <f>"9780871708694"</f>
        <v>9780871708694</v>
      </c>
      <c r="C6062" s="8" t="s">
        <v>65</v>
      </c>
    </row>
    <row r="6063" spans="1:3" x14ac:dyDescent="0.25">
      <c r="A6063" s="8" t="str">
        <f>"Advances in Materials Technology for Fossil Power Plants - Proceedings from the 5th International Conference"</f>
        <v>Advances in Materials Technology for Fossil Power Plants - Proceedings from the 5th International Conference</v>
      </c>
      <c r="B6063" s="8" t="str">
        <f>"9780871708694"</f>
        <v>9780871708694</v>
      </c>
    </row>
    <row r="6064" spans="1:3" x14ac:dyDescent="0.25">
      <c r="A6064" s="8" t="str">
        <f>"Advances in Materials Technology for Fossil Power Plants - Proceedings from the 6th International Conference"</f>
        <v>Advances in Materials Technology for Fossil Power Plants - Proceedings from the 6th International Conference</v>
      </c>
      <c r="B6064" s="8" t="str">
        <f>"9781615037247"</f>
        <v>9781615037247</v>
      </c>
      <c r="C6064" s="8" t="s">
        <v>65</v>
      </c>
    </row>
    <row r="6065" spans="1:3" x14ac:dyDescent="0.25">
      <c r="A6065" s="8" t="str">
        <f>"Advances in Materials Technology for Fossil Power Plants - Proceedings from the 7th International Conference"</f>
        <v>Advances in Materials Technology for Fossil Power Plants - Proceedings from the 7th International Conference</v>
      </c>
      <c r="B6065" s="8" t="str">
        <f>"9781627080606"</f>
        <v>9781627080606</v>
      </c>
      <c r="C6065" s="8" t="s">
        <v>65</v>
      </c>
    </row>
    <row r="6066" spans="1:3" x14ac:dyDescent="0.25">
      <c r="A6066" s="8" t="str">
        <f>"Advances in Mathematical Fluid Mechanics - Dedicated to Giovanni Paolo Galdi on the Occasion of His 60th Birthday"</f>
        <v>Advances in Mathematical Fluid Mechanics - Dedicated to Giovanni Paolo Galdi on the Occasion of His 60th Birthday</v>
      </c>
      <c r="B6066" s="8" t="str">
        <f>"9783642040672"</f>
        <v>9783642040672</v>
      </c>
      <c r="C6066" s="8" t="s">
        <v>42</v>
      </c>
    </row>
    <row r="6067" spans="1:3" x14ac:dyDescent="0.25">
      <c r="A6067" s="8" t="str">
        <f>"Advances in Microwave and Radio Frequency Processing - Report from the 8th International Conference on Microwave and High Frequency Heating"</f>
        <v>Advances in Microwave and Radio Frequency Processing - Report from the 8th International Conference on Microwave and High Frequency Heating</v>
      </c>
      <c r="B6067" s="8" t="str">
        <f>"9783540432524"</f>
        <v>9783540432524</v>
      </c>
      <c r="C6067" s="8" t="s">
        <v>42</v>
      </c>
    </row>
    <row r="6068" spans="1:3" x14ac:dyDescent="0.25">
      <c r="A6068" s="8" t="str">
        <f>"Advances in Mobile Robotics - Proceedings of the 11th International Conference on Climbing and Walking Robots and the Support Technologies for Mobile Machines, CLAWAR 2008"</f>
        <v>Advances in Mobile Robotics - Proceedings of the 11th International Conference on Climbing and Walking Robots and the Support Technologies for Mobile Machines, CLAWAR 2008</v>
      </c>
      <c r="B6068" s="8" t="str">
        <f>"9789812835765"</f>
        <v>9789812835765</v>
      </c>
      <c r="C6068" s="8" t="s">
        <v>157</v>
      </c>
    </row>
    <row r="6069" spans="1:3" x14ac:dyDescent="0.25">
      <c r="A6069" s="8" t="str">
        <f>"Advances in Neural Information Processing Systems 20 - Proceedings of the 2007 Conference"</f>
        <v>Advances in Neural Information Processing Systems 20 - Proceedings of the 2007 Conference</v>
      </c>
      <c r="B6069" s="8" t="str">
        <f>"9781605603520"</f>
        <v>9781605603520</v>
      </c>
      <c r="C6069" s="8" t="s">
        <v>394</v>
      </c>
    </row>
    <row r="6070" spans="1:3" x14ac:dyDescent="0.25">
      <c r="A6070" s="8" t="str">
        <f>"Advances in Neural Information Processing Systems 21 - Proceedings of the 2008 Conference"</f>
        <v>Advances in Neural Information Processing Systems 21 - Proceedings of the 2008 Conference</v>
      </c>
      <c r="B6070" s="8" t="str">
        <f>"9781605609492"</f>
        <v>9781605609492</v>
      </c>
      <c r="C6070" s="8" t="s">
        <v>394</v>
      </c>
    </row>
    <row r="6071" spans="1:3" x14ac:dyDescent="0.25">
      <c r="A6071" s="8" t="str">
        <f>"Advances in Neural Information Processing Systems 22 - Proceedings of the 2009 Conference"</f>
        <v>Advances in Neural Information Processing Systems 22 - Proceedings of the 2009 Conference</v>
      </c>
      <c r="B6071" s="8" t="str">
        <f>"9781615679119"</f>
        <v>9781615679119</v>
      </c>
      <c r="C6071" s="8" t="s">
        <v>394</v>
      </c>
    </row>
    <row r="6072" spans="1:3" x14ac:dyDescent="0.25">
      <c r="A6072" s="8" t="str">
        <f>"Advances in Neural Information Processing Systems 23: 24th Annual Conference on Neural Information Processing Systems 2010, NIPS 2010"</f>
        <v>Advances in Neural Information Processing Systems 23: 24th Annual Conference on Neural Information Processing Systems 2010, NIPS 2010</v>
      </c>
      <c r="B6072" s="8" t="str">
        <f>"9781617823800"</f>
        <v>9781617823800</v>
      </c>
      <c r="C6072" s="8" t="s">
        <v>394</v>
      </c>
    </row>
    <row r="6073" spans="1:3" x14ac:dyDescent="0.25">
      <c r="A6073" s="8" t="str">
        <f>"Advances in Neural Information Processing Systems 24: 25th Annual Conference on Neural Information Processing Systems 2011, NIPS 2011"</f>
        <v>Advances in Neural Information Processing Systems 24: 25th Annual Conference on Neural Information Processing Systems 2011, NIPS 2011</v>
      </c>
      <c r="B6073" s="8" t="str">
        <f>"9781618395993"</f>
        <v>9781618395993</v>
      </c>
      <c r="C6073" s="8" t="s">
        <v>394</v>
      </c>
    </row>
    <row r="6074" spans="1:3" x14ac:dyDescent="0.25">
      <c r="A6074" s="8" t="str">
        <f>"Advances in Neural Networks and Applications"</f>
        <v>Advances in Neural Networks and Applications</v>
      </c>
      <c r="B6074" s="8" t="str">
        <f>"9789608052260"</f>
        <v>9789608052260</v>
      </c>
      <c r="C6074" s="8" t="s">
        <v>553</v>
      </c>
    </row>
    <row r="6075" spans="1:3" x14ac:dyDescent="0.25">
      <c r="A6075" s="8" t="str">
        <f>"Advances in Optical Materials, AIOM 2012"</f>
        <v>Advances in Optical Materials, AIOM 2012</v>
      </c>
      <c r="B6075" s="8" t="str">
        <f>"9781557529336"</f>
        <v>9781557529336</v>
      </c>
      <c r="C6075" s="8" t="s">
        <v>86</v>
      </c>
    </row>
    <row r="6076" spans="1:3" x14ac:dyDescent="0.25">
      <c r="A6076" s="8" t="str">
        <f>"Advances in Pavement Design Through Full-Scale Accelerated Pavement Testing - Proceedings of the 4th International Conference on Accelerated Pavement Testing"</f>
        <v>Advances in Pavement Design Through Full-Scale Accelerated Pavement Testing - Proceedings of the 4th International Conference on Accelerated Pavement Testing</v>
      </c>
      <c r="B6076" s="8" t="str">
        <f>"9780415621380"</f>
        <v>9780415621380</v>
      </c>
      <c r="C6076" s="8" t="s">
        <v>1619</v>
      </c>
    </row>
    <row r="6077" spans="1:3" x14ac:dyDescent="0.25">
      <c r="A6077" s="8" t="str">
        <f>"Advances in Photogrammetry, Remote Sensing and Spatial Information Sciences: 2008 ISPRS Congress Book"</f>
        <v>Advances in Photogrammetry, Remote Sensing and Spatial Information Sciences: 2008 ISPRS Congress Book</v>
      </c>
      <c r="B6077" s="8" t="str">
        <f>"9780415478052"</f>
        <v>9780415478052</v>
      </c>
      <c r="C6077" s="8" t="s">
        <v>1637</v>
      </c>
    </row>
    <row r="6078" spans="1:3" x14ac:dyDescent="0.25">
      <c r="A6078" s="8" t="str">
        <f>"Advances in Physics, Electronics and Signal Processing Applications"</f>
        <v>Advances in Physics, Electronics and Signal Processing Applications</v>
      </c>
      <c r="B6078" s="8" t="str">
        <f>"9789608052178"</f>
        <v>9789608052178</v>
      </c>
      <c r="C6078" s="8" t="s">
        <v>553</v>
      </c>
    </row>
    <row r="6079" spans="1:3" x14ac:dyDescent="0.25">
      <c r="A6079" s="8" t="str">
        <f>"Advances in Powder Metallurgy and Particulate Materials - 2005, Proceedings of the 2005 International Conference on Powder Metallurgy and Particulate Materials, PowderMet 2005"</f>
        <v>Advances in Powder Metallurgy and Particulate Materials - 2005, Proceedings of the 2005 International Conference on Powder Metallurgy and Particulate Materials, PowderMet 2005</v>
      </c>
      <c r="B6079" s="8" t="str">
        <f>"9780976205722"</f>
        <v>9780976205722</v>
      </c>
      <c r="C6079" s="8" t="s">
        <v>88</v>
      </c>
    </row>
    <row r="6080" spans="1:3" x14ac:dyDescent="0.25">
      <c r="A6080" s="8" t="str">
        <f>"Advances in Powder Metallurgy and Particulate Materials - 2006, Proceedings of the 2006 International Conference on Powder Metallurgy and Particulate Materials, PowderMet 2006"</f>
        <v>Advances in Powder Metallurgy and Particulate Materials - 2006, Proceedings of the 2006 International Conference on Powder Metallurgy and Particulate Materials, PowderMet 2006</v>
      </c>
      <c r="B6080" s="8" t="str">
        <f>"9780976205760"</f>
        <v>9780976205760</v>
      </c>
      <c r="C6080" s="8" t="s">
        <v>88</v>
      </c>
    </row>
    <row r="6081" spans="1:3" x14ac:dyDescent="0.25">
      <c r="A6081" s="8" t="str">
        <f>"Advances in Powder Metallurgy and Particulate Materials - 2007, Proceedings of the 2007 International Conference on Powder Metallurgy and Particulate Materials, PowderMet 2007"</f>
        <v>Advances in Powder Metallurgy and Particulate Materials - 2007, Proceedings of the 2007 International Conference on Powder Metallurgy and Particulate Materials, PowderMet 2007</v>
      </c>
      <c r="B6081" s="8" t="str">
        <f>"9780979348853"</f>
        <v>9780979348853</v>
      </c>
      <c r="C6081" s="8" t="s">
        <v>88</v>
      </c>
    </row>
    <row r="6082" spans="1:3" x14ac:dyDescent="0.25">
      <c r="A6082" s="8" t="str">
        <f>"Advances in Powder Metallurgy and Particulate Materials - 2008, Proceedings of the 2008 World Congress on Powder Metallurgy and Particulate Materials, PowderMet 2008"</f>
        <v>Advances in Powder Metallurgy and Particulate Materials - 2008, Proceedings of the 2008 World Congress on Powder Metallurgy and Particulate Materials, PowderMet 2008</v>
      </c>
      <c r="B6082" s="8" t="str">
        <f>"9780979348891"</f>
        <v>9780979348891</v>
      </c>
      <c r="C6082" s="8" t="s">
        <v>88</v>
      </c>
    </row>
    <row r="6083" spans="1:3" x14ac:dyDescent="0.25">
      <c r="A6083" s="8" t="str">
        <f>"Advances in Powder Metallurgy and Particulate Materials - 2009, Proceedings of the 2009 International Conference on Powder Metallurgy and Particulate Materials, PowderMet 2009"</f>
        <v>Advances in Powder Metallurgy and Particulate Materials - 2009, Proceedings of the 2009 International Conference on Powder Metallurgy and Particulate Materials, PowderMet 2009</v>
      </c>
      <c r="B6083" s="8" t="str">
        <f>"9780981949611"</f>
        <v>9780981949611</v>
      </c>
      <c r="C6083" s="8" t="s">
        <v>88</v>
      </c>
    </row>
    <row r="6084" spans="1:3" x14ac:dyDescent="0.25">
      <c r="A6084" s="8" t="str">
        <f>"Advances in Powder Metallurgy and Particulate Materials - 2010, Proceedings of the 2010 International Conference on Powder Metallurgy and Particulate Materials, PowderMet 2010"</f>
        <v>Advances in Powder Metallurgy and Particulate Materials - 2010, Proceedings of the 2010 International Conference on Powder Metallurgy and Particulate Materials, PowderMet 2010</v>
      </c>
      <c r="B6084" s="8" t="str">
        <f>"9780981949642"</f>
        <v>9780981949642</v>
      </c>
      <c r="C6084" s="8" t="s">
        <v>88</v>
      </c>
    </row>
    <row r="6085" spans="1:3" x14ac:dyDescent="0.25">
      <c r="A6085" s="8" t="str">
        <f>"Advances in Powder Metallurgy and Particulate Materials - 2011, Proceedings of the 2011 International Conference on Powder Metallurgy and Particulate Materials, PowderMet 2011"</f>
        <v>Advances in Powder Metallurgy and Particulate Materials - 2011, Proceedings of the 2011 International Conference on Powder Metallurgy and Particulate Materials, PowderMet 2011</v>
      </c>
      <c r="B6085" s="8" t="str">
        <f>"9780981949659"</f>
        <v>9780981949659</v>
      </c>
      <c r="C6085" s="8" t="s">
        <v>88</v>
      </c>
    </row>
    <row r="6086" spans="1:3" x14ac:dyDescent="0.25">
      <c r="A6086" s="8" t="str">
        <f>"Advances in Powder Metallurgy and Particulate Materials - 2012, Proceedings of the 2012 International Conference on Powder Metallurgy and Particulate Materials, PowderMet 2012"</f>
        <v>Advances in Powder Metallurgy and Particulate Materials - 2012, Proceedings of the 2012 International Conference on Powder Metallurgy and Particulate Materials, PowderMet 2012</v>
      </c>
      <c r="B6086" s="8" t="str">
        <f>"9780985339722"</f>
        <v>9780985339722</v>
      </c>
      <c r="C6086" s="8" t="s">
        <v>88</v>
      </c>
    </row>
    <row r="6087" spans="1:3" x14ac:dyDescent="0.25">
      <c r="A6087" s="8" t="str">
        <f>"Advances in Powder Metallurgy and Particulate Materials - 2013, Proceedings of the 2013 International Conference on Powder Metallurgy and Particulate Materials, PowderMet 2013"</f>
        <v>Advances in Powder Metallurgy and Particulate Materials - 2013, Proceedings of the 2013 International Conference on Powder Metallurgy and Particulate Materials, PowderMet 2013</v>
      </c>
      <c r="B6087" s="8" t="str">
        <f>"9780985339739"</f>
        <v>9780985339739</v>
      </c>
      <c r="C6087" s="8" t="s">
        <v>88</v>
      </c>
    </row>
    <row r="6088" spans="1:3" x14ac:dyDescent="0.25">
      <c r="A6088" s="8" t="str">
        <f>"Advances in Protective Structures Research: IAPS Special Publication 1 - Proceedings of the IAPS Forum on Recent Research Advances on Protective Structures"</f>
        <v>Advances in Protective Structures Research: IAPS Special Publication 1 - Proceedings of the IAPS Forum on Recent Research Advances on Protective Structures</v>
      </c>
      <c r="B6088" s="8" t="str">
        <f>"9780415643375"</f>
        <v>9780415643375</v>
      </c>
      <c r="C6088" s="8" t="s">
        <v>1619</v>
      </c>
    </row>
    <row r="6089" spans="1:3" x14ac:dyDescent="0.25">
      <c r="A6089" s="8" t="str">
        <f>"Advances in Reconfigurable Mechanisms and Robots I"</f>
        <v>Advances in Reconfigurable Mechanisms and Robots I</v>
      </c>
      <c r="B6089" s="8" t="str">
        <f>"9781447141402"</f>
        <v>9781447141402</v>
      </c>
      <c r="C6089" s="8" t="s">
        <v>1074</v>
      </c>
    </row>
    <row r="6090" spans="1:3" x14ac:dyDescent="0.25">
      <c r="A6090" s="8" t="str">
        <f>"Advances in Reliability and Optimization of Structural Systems - Proceedings of the 12th WG 7.5 Working Conference on Reliability and Optimization of Structural Systems"</f>
        <v>Advances in Reliability and Optimization of Structural Systems - Proceedings of the 12th WG 7.5 Working Conference on Reliability and Optimization of Structural Systems</v>
      </c>
      <c r="B6090" s="8" t="str">
        <f>"9780415399012"</f>
        <v>9780415399012</v>
      </c>
      <c r="C6090" s="8" t="s">
        <v>1619</v>
      </c>
    </row>
    <row r="6091" spans="1:3" x14ac:dyDescent="0.25">
      <c r="A6091" s="8" t="str">
        <f>"Advances in Rheology and Its Applications - Proceedings of the 4th Pacific Rim Conference on Rheology, PRCR 2005"</f>
        <v>Advances in Rheology and Its Applications - Proceedings of the 4th Pacific Rim Conference on Rheology, PRCR 2005</v>
      </c>
      <c r="B6091" s="8" t="str">
        <f>"-"</f>
        <v>-</v>
      </c>
      <c r="C6091" s="8" t="s">
        <v>1649</v>
      </c>
    </row>
    <row r="6092" spans="1:3" x14ac:dyDescent="0.25">
      <c r="A6092" s="8" t="str">
        <f>"Advances in Robot Kinematics: Analysis and Design"</f>
        <v>Advances in Robot Kinematics: Analysis and Design</v>
      </c>
      <c r="B6092" s="8" t="str">
        <f>"9781402085994"</f>
        <v>9781402085994</v>
      </c>
      <c r="C6092" s="8" t="s">
        <v>42</v>
      </c>
    </row>
    <row r="6093" spans="1:3" x14ac:dyDescent="0.25">
      <c r="A6093" s="8" t="str">
        <f>"Advances in Robotics Research: Theory, Implementation, Application"</f>
        <v>Advances in Robotics Research: Theory, Implementation, Application</v>
      </c>
      <c r="B6093" s="8" t="str">
        <f>"9783642012129"</f>
        <v>9783642012129</v>
      </c>
      <c r="C6093" s="8" t="s">
        <v>42</v>
      </c>
    </row>
    <row r="6094" spans="1:3" x14ac:dyDescent="0.25">
      <c r="A6094" s="8" t="str">
        <f>"Advances in Safety and Reliability - Proceedings of the European Safety and Reliability Conference, ESREL 2005"</f>
        <v>Advances in Safety and Reliability - Proceedings of the European Safety and Reliability Conference, ESREL 2005</v>
      </c>
      <c r="B6094" s="8" t="str">
        <f>"9780415383424"</f>
        <v>9780415383424</v>
      </c>
      <c r="C6094" s="8" t="s">
        <v>1650</v>
      </c>
    </row>
    <row r="6095" spans="1:3" x14ac:dyDescent="0.25">
      <c r="A6095" s="8" t="str">
        <f>"Advances in Safety, Reliability and Risk Management - Proceedings of the European Safety and Reliability Conference, ESREL 2011"</f>
        <v>Advances in Safety, Reliability and Risk Management - Proceedings of the European Safety and Reliability Conference, ESREL 2011</v>
      </c>
      <c r="B6095" s="8" t="str">
        <f>"9780415683791"</f>
        <v>9780415683791</v>
      </c>
      <c r="C6095" s="8" t="s">
        <v>96</v>
      </c>
    </row>
    <row r="6096" spans="1:3" x14ac:dyDescent="0.25">
      <c r="A6096" s="8" t="str">
        <f>"Advances in Sensors, Signals and Materials - 3rd WSEAS International Conference on Sensors and Signals, SENSIG'10, 3rd WSEAS International Conference on Materials Science, MATERIALS'10"</f>
        <v>Advances in Sensors, Signals and Materials - 3rd WSEAS International Conference on Sensors and Signals, SENSIG'10, 3rd WSEAS International Conference on Materials Science, MATERIALS'10</v>
      </c>
      <c r="B6096" s="8" t="str">
        <f>"9789604742486"</f>
        <v>9789604742486</v>
      </c>
      <c r="C6096" s="8" t="s">
        <v>553</v>
      </c>
    </row>
    <row r="6097" spans="1:3" x14ac:dyDescent="0.25">
      <c r="A6097" s="8" t="str">
        <f>"Advances in Social Simulation: 2010 2nd Brazilian Workshop on Social Simulation, BWSS 2010 - Co-located with Joint Conference SBIA/SBRN/JRI 2010"</f>
        <v>Advances in Social Simulation: 2010 2nd Brazilian Workshop on Social Simulation, BWSS 2010 - Co-located with Joint Conference SBIA/SBRN/JRI 2010</v>
      </c>
      <c r="B6097" s="8" t="str">
        <f>"9780769544717"</f>
        <v>9780769544717</v>
      </c>
      <c r="C6097" s="8" t="s">
        <v>9</v>
      </c>
    </row>
    <row r="6098" spans="1:3" x14ac:dyDescent="0.25">
      <c r="A6098" s="8" t="str">
        <f>"Advances in Steel Structures - Proceedings of the Fourth International Conference on Advances in Steel Structures, ICASS 2005"</f>
        <v>Advances in Steel Structures - Proceedings of the Fourth International Conference on Advances in Steel Structures, ICASS 2005</v>
      </c>
      <c r="B6098" s="8" t="str">
        <f>"9780080446370"</f>
        <v>9780080446370</v>
      </c>
      <c r="C6098" s="8" t="s">
        <v>19</v>
      </c>
    </row>
    <row r="6099" spans="1:3" x14ac:dyDescent="0.25">
      <c r="A6099" s="8" t="str">
        <f>"Advances in Superplasticity and Superplastic Forming"</f>
        <v>Advances in Superplasticity and Superplastic Forming</v>
      </c>
      <c r="B6099" s="8" t="str">
        <f>"9780873395649"</f>
        <v>9780873395649</v>
      </c>
      <c r="C6099" s="8" t="s">
        <v>648</v>
      </c>
    </row>
    <row r="6100" spans="1:3" x14ac:dyDescent="0.25">
      <c r="A6100" s="8" t="str">
        <f>"Advances in Systems Engineering, Signal Processing and Communications"</f>
        <v>Advances in Systems Engineering, Signal Processing and Communications</v>
      </c>
      <c r="B6100" s="8" t="str">
        <f>"9789608052697"</f>
        <v>9789608052697</v>
      </c>
      <c r="C6100" s="8" t="s">
        <v>553</v>
      </c>
    </row>
    <row r="6101" spans="1:3" x14ac:dyDescent="0.25">
      <c r="A6101" s="8" t="str">
        <f>"Advances in Systems Safety - Proceedings of the 19th Safety-Critical Systems Symposium, SSS 2011"</f>
        <v>Advances in Systems Safety - Proceedings of the 19th Safety-Critical Systems Symposium, SSS 2011</v>
      </c>
      <c r="B6101" s="8" t="str">
        <f>"9780857291325"</f>
        <v>9780857291325</v>
      </c>
      <c r="C6101" s="8" t="s">
        <v>162</v>
      </c>
    </row>
    <row r="6102" spans="1:3" x14ac:dyDescent="0.25">
      <c r="A6102" s="8" t="str">
        <f>"Advances in Systems, Computing Sciences and Software Engineering - Proceedings of SCSS 2005"</f>
        <v>Advances in Systems, Computing Sciences and Software Engineering - Proceedings of SCSS 2005</v>
      </c>
      <c r="B6102" s="8" t="str">
        <f>"9781402052620"</f>
        <v>9781402052620</v>
      </c>
      <c r="C6102" s="8" t="s">
        <v>162</v>
      </c>
    </row>
    <row r="6103" spans="1:3" x14ac:dyDescent="0.25">
      <c r="A6103" s="8" t="str">
        <f>"Advances in the Metallurgy of Aluminum Alloys"</f>
        <v>Advances in the Metallurgy of Aluminum Alloys</v>
      </c>
      <c r="B6103" s="8" t="str">
        <f>"9780871707475"</f>
        <v>9780871707475</v>
      </c>
      <c r="C6103" s="8" t="s">
        <v>65</v>
      </c>
    </row>
    <row r="6104" spans="1:3" x14ac:dyDescent="0.25">
      <c r="A6104" s="8" t="str">
        <f>"Advances in Thermal Hydraulics 2012, ATH 2012"</f>
        <v>Advances in Thermal Hydraulics 2012, ATH 2012</v>
      </c>
      <c r="B6104" s="8" t="str">
        <f>"9781627480147"</f>
        <v>9781627480147</v>
      </c>
      <c r="C6104" s="8" t="s">
        <v>453</v>
      </c>
    </row>
    <row r="6105" spans="1:3" x14ac:dyDescent="0.25">
      <c r="A6105" s="8" t="str">
        <f>"Advances in Transportation Geotechnics - Proceedings of the 1st International Conference on Transportation Geotechnics"</f>
        <v>Advances in Transportation Geotechnics - Proceedings of the 1st International Conference on Transportation Geotechnics</v>
      </c>
      <c r="B6105" s="8" t="str">
        <f>"9780415475907"</f>
        <v>9780415475907</v>
      </c>
      <c r="C6105" s="8" t="s">
        <v>1637</v>
      </c>
    </row>
    <row r="6106" spans="1:3" x14ac:dyDescent="0.25">
      <c r="A6106" s="8" t="str">
        <f>"Advances in Transportation Geotechnics II - Proceedings of the 2nd International Conference on Transportation Geotechnics, ICTG 2012"</f>
        <v>Advances in Transportation Geotechnics II - Proceedings of the 2nd International Conference on Transportation Geotechnics, ICTG 2012</v>
      </c>
      <c r="B6106" s="8" t="str">
        <f>"9780415621359"</f>
        <v>9780415621359</v>
      </c>
      <c r="C6106" s="8" t="s">
        <v>1619</v>
      </c>
    </row>
    <row r="6107" spans="1:3" x14ac:dyDescent="0.25">
      <c r="A6107" s="8" t="str">
        <f>"Advances in Turbulence XI - Proceedings of the 11th EUROMECH European Turbulence Conference"</f>
        <v>Advances in Turbulence XI - Proceedings of the 11th EUROMECH European Turbulence Conference</v>
      </c>
      <c r="B6107" s="8" t="str">
        <f>"9783540726036"</f>
        <v>9783540726036</v>
      </c>
      <c r="C6107" s="8" t="s">
        <v>42</v>
      </c>
    </row>
    <row r="6108" spans="1:3" x14ac:dyDescent="0.25">
      <c r="A6108" s="8" t="str">
        <f>"Advances in Turbulence XII - Proceedings of the 12th EUROMECH European Turbulence Conference"</f>
        <v>Advances in Turbulence XII - Proceedings of the 12th EUROMECH European Turbulence Conference</v>
      </c>
      <c r="B6108" s="8" t="str">
        <f>"9783642030840"</f>
        <v>9783642030840</v>
      </c>
      <c r="C6108" s="8" t="s">
        <v>42</v>
      </c>
    </row>
    <row r="6109" spans="1:3" x14ac:dyDescent="0.25">
      <c r="A6109" s="8" t="str">
        <f>"Advances in Understanding Engineered Clay Barriers - Proceedings of the International Symposium on Large Scale Field Tests in Granite"</f>
        <v>Advances in Understanding Engineered Clay Barriers - Proceedings of the International Symposium on Large Scale Field Tests in Granite</v>
      </c>
      <c r="B6109" s="8" t="str">
        <f>"9780415365444"</f>
        <v>9780415365444</v>
      </c>
      <c r="C6109" s="8" t="s">
        <v>1558</v>
      </c>
    </row>
    <row r="6110" spans="1:3" x14ac:dyDescent="0.25">
      <c r="A6110" s="8" t="str">
        <f>"Advances in Unsaturated Soils - Proceedings of the 1st Pan-American Conference on Unsaturated Soils, PanAmUNSAT 2013"</f>
        <v>Advances in Unsaturated Soils - Proceedings of the 1st Pan-American Conference on Unsaturated Soils, PanAmUNSAT 2013</v>
      </c>
      <c r="B6110" s="8" t="str">
        <f>"9780415620956"</f>
        <v>9780415620956</v>
      </c>
      <c r="C6110" s="8" t="s">
        <v>1619</v>
      </c>
    </row>
    <row r="6111" spans="1:3" x14ac:dyDescent="0.25">
      <c r="A6111" s="8" t="str">
        <f>"Advances in Web Technologies and Applications - Proceedings of the 12th Asia-Pacific Web Conference, APWeb 2010"</f>
        <v>Advances in Web Technologies and Applications - Proceedings of the 12th Asia-Pacific Web Conference, APWeb 2010</v>
      </c>
      <c r="B6111" s="8" t="str">
        <f>"9780769540122"</f>
        <v>9780769540122</v>
      </c>
      <c r="C6111" s="8" t="s">
        <v>9</v>
      </c>
    </row>
    <row r="6112" spans="1:3" x14ac:dyDescent="0.25">
      <c r="A6112" s="8" t="str">
        <f>"AEI 2006: Building Integration Solutions - Proceedings of the 2006 Architectural Engineering National Conference"</f>
        <v>AEI 2006: Building Integration Solutions - Proceedings of the 2006 Architectural Engineering National Conference</v>
      </c>
      <c r="B6112" s="8" t="str">
        <f>"-"</f>
        <v>-</v>
      </c>
      <c r="C6112" s="8" t="s">
        <v>111</v>
      </c>
    </row>
    <row r="6113" spans="1:3" x14ac:dyDescent="0.25">
      <c r="A6113" s="8" t="str">
        <f>"AEI 2011: Building Integrated Solutions - Proceedings of the AEI 2011 Conference"</f>
        <v>AEI 2011: Building Integrated Solutions - Proceedings of the AEI 2011 Conference</v>
      </c>
      <c r="B6113" s="8" t="str">
        <f>"9780784411681"</f>
        <v>9780784411681</v>
      </c>
      <c r="C6113" s="8" t="s">
        <v>111</v>
      </c>
    </row>
    <row r="6114" spans="1:3" x14ac:dyDescent="0.25">
      <c r="A6114" s="8" t="str">
        <f>"AEI 2013: Building Solutions for Architectural Engineering - Proceedings of the 2013 Architectural Engineering National Conference"</f>
        <v>AEI 2013: Building Solutions for Architectural Engineering - Proceedings of the 2013 Architectural Engineering National Conference</v>
      </c>
      <c r="B6114" s="8" t="str">
        <f>"9780784412909"</f>
        <v>9780784412909</v>
      </c>
      <c r="C6114" s="8" t="s">
        <v>111</v>
      </c>
    </row>
    <row r="6115" spans="1:3" x14ac:dyDescent="0.25">
      <c r="A6115" s="8" t="str">
        <f>"AEI 2015: Birth and Life of the Integrated Building - Proceedings of the AEI Conference 2015"</f>
        <v>AEI 2015: Birth and Life of the Integrated Building - Proceedings of the AEI Conference 2015</v>
      </c>
      <c r="B6115" s="8" t="str">
        <f>"9780784479070"</f>
        <v>9780784479070</v>
      </c>
      <c r="C6115" s="8" t="s">
        <v>111</v>
      </c>
    </row>
    <row r="6116" spans="1:3" x14ac:dyDescent="0.25">
      <c r="A6116" s="8" t="str">
        <f>"AEIT Annual Conference 2013: Innovation and Scientific and Technical Culture for Development, AEIT 2013 - Selected Proceedings Papers"</f>
        <v>AEIT Annual Conference 2013: Innovation and Scientific and Technical Culture for Development, AEIT 2013 - Selected Proceedings Papers</v>
      </c>
      <c r="B6116" s="8" t="str">
        <f>"9788887237320"</f>
        <v>9788887237320</v>
      </c>
      <c r="C6116" s="8" t="s">
        <v>9</v>
      </c>
    </row>
    <row r="6117" spans="1:3" x14ac:dyDescent="0.25">
      <c r="A6117" s="8" t="str">
        <f>"aEngineering Plasticity and Its Applications - Proceedings of the 10th Asia-Pacific Conference, AEPA 2010"</f>
        <v>aEngineering Plasticity and Its Applications - Proceedings of the 10th Asia-Pacific Conference, AEPA 2010</v>
      </c>
      <c r="B6117" s="8" t="str">
        <f>"9789814324045"</f>
        <v>9789814324045</v>
      </c>
      <c r="C6117" s="8" t="s">
        <v>157</v>
      </c>
    </row>
    <row r="6118" spans="1:3" x14ac:dyDescent="0.25">
      <c r="A6118" s="8" t="str">
        <f>"Aerodynamic Decelerator Systems Technology Conferences"</f>
        <v>Aerodynamic Decelerator Systems Technology Conferences</v>
      </c>
      <c r="B6118" s="8" t="str">
        <f>"9781624103360"</f>
        <v>9781624103360</v>
      </c>
      <c r="C6118" s="8" t="s">
        <v>1388</v>
      </c>
    </row>
    <row r="6119" spans="1:3" x14ac:dyDescent="0.25">
      <c r="A6119" s="8" t="str">
        <f>"Aerospace Manufacturing and Automated Fastening Conference and Exhibition"</f>
        <v>Aerospace Manufacturing and Automated Fastening Conference and Exhibition</v>
      </c>
      <c r="B6119" s="8" t="str">
        <f>"-"</f>
        <v>-</v>
      </c>
      <c r="C6119" s="8" t="s">
        <v>1040</v>
      </c>
    </row>
    <row r="6120" spans="1:3" x14ac:dyDescent="0.25">
      <c r="A6120" s="8" t="str">
        <f>"AeroTech Congress and Exhibition"</f>
        <v>AeroTech Congress and Exhibition</v>
      </c>
      <c r="B6120" s="8" t="str">
        <f>"-"</f>
        <v>-</v>
      </c>
      <c r="C6120" s="8" t="s">
        <v>1040</v>
      </c>
    </row>
    <row r="6121" spans="1:3" x14ac:dyDescent="0.25">
      <c r="A6121" s="8" t="str">
        <f>"AESF SUR/FIN"</f>
        <v>AESF SUR/FIN</v>
      </c>
      <c r="B6121" s="8" t="str">
        <f>"-"</f>
        <v>-</v>
      </c>
      <c r="C6121" s="8" t="s">
        <v>963</v>
      </c>
    </row>
    <row r="6122" spans="1:3" x14ac:dyDescent="0.25">
      <c r="A6122" s="8" t="str">
        <f>"AFFINE'10 - Proceedings of the 3rd ACM Workshop on Affective Interaction in Natural Environments, Co-located with ACM Multimedia 2010"</f>
        <v>AFFINE'10 - Proceedings of the 3rd ACM Workshop on Affective Interaction in Natural Environments, Co-located with ACM Multimedia 2010</v>
      </c>
      <c r="B6122" s="8" t="str">
        <f>"9781450301701"</f>
        <v>9781450301701</v>
      </c>
      <c r="C6122" s="8" t="s">
        <v>21</v>
      </c>
    </row>
    <row r="6123" spans="1:3" x14ac:dyDescent="0.25">
      <c r="A6123" s="8" t="str">
        <f>"Affordable Water Supply and Sanitation: Proceedings of the 20th WEDC Conference"</f>
        <v>Affordable Water Supply and Sanitation: Proceedings of the 20th WEDC Conference</v>
      </c>
      <c r="B6123" s="8" t="str">
        <f>"9780906055427"</f>
        <v>9780906055427</v>
      </c>
      <c r="C6123" s="8" t="s">
        <v>1486</v>
      </c>
    </row>
    <row r="6124" spans="1:3" x14ac:dyDescent="0.25">
      <c r="A6124" s="8" t="str">
        <f>"AFM'07: 2nd Workshop on Automated Formal Methods"</f>
        <v>AFM'07: 2nd Workshop on Automated Formal Methods</v>
      </c>
      <c r="B6124" s="8" t="str">
        <f>"9781595938794"</f>
        <v>9781595938794</v>
      </c>
      <c r="C6124" s="8" t="s">
        <v>21</v>
      </c>
    </row>
    <row r="6125" spans="1:3" x14ac:dyDescent="0.25">
      <c r="A6125" s="8" t="str">
        <f>"AfricaIMSA 2010: IASTED African Conference on Internet and Multimedia Systems and Applications"</f>
        <v>AfricaIMSA 2010: IASTED African Conference on Internet and Multimedia Systems and Applications</v>
      </c>
      <c r="B6125" s="8" t="str">
        <f>"9780889868311"</f>
        <v>9780889868311</v>
      </c>
      <c r="C6125" s="8" t="s">
        <v>305</v>
      </c>
    </row>
    <row r="6126" spans="1:3" x14ac:dyDescent="0.25">
      <c r="A6126" s="8" t="str">
        <f>"Agent, Web Services, and Ontologies Integrated Methodologies - International Workshop MALLOW-AWESOME 2007, Proceedings"</f>
        <v>Agent, Web Services, and Ontologies Integrated Methodologies - International Workshop MALLOW-AWESOME 2007, Proceedings</v>
      </c>
      <c r="B6126" s="8" t="str">
        <f>"-"</f>
        <v>-</v>
      </c>
      <c r="C6126" s="8" t="s">
        <v>1651</v>
      </c>
    </row>
    <row r="6127" spans="1:3" x14ac:dyDescent="0.25">
      <c r="A6127" s="8" t="str">
        <f>"AGERE! 2013 - Proceedings of the 2013 ACM Workshop on Programming Based on Actors, Agents, and Decentralized Control"</f>
        <v>AGERE! 2013 - Proceedings of the 2013 ACM Workshop on Programming Based on Actors, Agents, and Decentralized Control</v>
      </c>
      <c r="B6127" s="8" t="str">
        <f>"9781450326025"</f>
        <v>9781450326025</v>
      </c>
      <c r="C6127" s="8" t="s">
        <v>21</v>
      </c>
    </row>
    <row r="6128" spans="1:3" x14ac:dyDescent="0.25">
      <c r="A6128" s="8" t="str">
        <f>"AGERE! 2014 - Proceedings of the 2014 ACM SIGPLAN Workshop on Programming Based on Actors, Agents, and Decentralized Control, Part of SPLASH 2014"</f>
        <v>AGERE! 2014 - Proceedings of the 2014 ACM SIGPLAN Workshop on Programming Based on Actors, Agents, and Decentralized Control, Part of SPLASH 2014</v>
      </c>
      <c r="B6128" s="8" t="str">
        <f>"9781450321891"</f>
        <v>9781450321891</v>
      </c>
      <c r="C6128" s="8" t="s">
        <v>1235</v>
      </c>
    </row>
    <row r="6129" spans="1:3" x14ac:dyDescent="0.25">
      <c r="A6129" s="8" t="str">
        <f>"AGIFORS 54th Annual Symposium: An Industry in Transformation"</f>
        <v>AGIFORS 54th Annual Symposium: An Industry in Transformation</v>
      </c>
      <c r="B6129" s="8" t="str">
        <f>"-"</f>
        <v>-</v>
      </c>
      <c r="C6129" s="8" t="s">
        <v>1652</v>
      </c>
    </row>
    <row r="6130" spans="1:3" x14ac:dyDescent="0.25">
      <c r="A6130" s="8" t="str">
        <f>"AHS Aeromechanics Specialists Conference 2010"</f>
        <v>AHS Aeromechanics Specialists Conference 2010</v>
      </c>
      <c r="B6130" s="8" t="str">
        <f>"9781615679898"</f>
        <v>9781615679898</v>
      </c>
      <c r="C6130" s="8" t="s">
        <v>129</v>
      </c>
    </row>
    <row r="6131" spans="1:3" x14ac:dyDescent="0.25">
      <c r="A6131" s="8" t="str">
        <f>"AHS International 4th Decennial Specialists' Conference on Aeromechanics"</f>
        <v>AHS International 4th Decennial Specialists' Conference on Aeromechanics</v>
      </c>
      <c r="B6131" s="8" t="str">
        <f>"-"</f>
        <v>-</v>
      </c>
      <c r="C6131" s="8" t="s">
        <v>129</v>
      </c>
    </row>
    <row r="6132" spans="1:3" x14ac:dyDescent="0.25">
      <c r="A6132" s="8" t="str">
        <f>"AHS International Specialists' Meeting - Unmanned Rotorcraft: Design, Control and Testing"</f>
        <v>AHS International Specialists' Meeting - Unmanned Rotorcraft: Design, Control and Testing</v>
      </c>
      <c r="B6132" s="8" t="str">
        <f>"-"</f>
        <v>-</v>
      </c>
      <c r="C6132" s="8" t="s">
        <v>129</v>
      </c>
    </row>
    <row r="6133" spans="1:3" x14ac:dyDescent="0.25">
      <c r="A6133" s="8" t="str">
        <f>"AHS International Specialists' Meeting - Unmanned Rotorcraft: Design, Control and Testing, Proceedings"</f>
        <v>AHS International Specialists' Meeting - Unmanned Rotorcraft: Design, Control and Testing, Proceedings</v>
      </c>
      <c r="B6133" s="8" t="str">
        <f>"-"</f>
        <v>-</v>
      </c>
      <c r="C6133" s="8" t="s">
        <v>129</v>
      </c>
    </row>
    <row r="6134" spans="1:3" x14ac:dyDescent="0.25">
      <c r="A6134" s="8" t="str">
        <f>"AHS Specialists Conference on Aerodynamics 2008"</f>
        <v>AHS Specialists Conference on Aerodynamics 2008</v>
      </c>
      <c r="B6134" s="8" t="str">
        <f>"9781605601045"</f>
        <v>9781605601045</v>
      </c>
      <c r="C6134" s="8" t="s">
        <v>394</v>
      </c>
    </row>
    <row r="6135" spans="1:3" x14ac:dyDescent="0.25">
      <c r="A6135" s="8" t="str">
        <f>"AHS Technical Specialists Meeting on Systems Engineering 2009"</f>
        <v>AHS Technical Specialists Meeting on Systems Engineering 2009</v>
      </c>
      <c r="B6135" s="8" t="str">
        <f>"9781615679874"</f>
        <v>9781615679874</v>
      </c>
      <c r="C6135" s="8" t="s">
        <v>129</v>
      </c>
    </row>
    <row r="6136" spans="1:3" x14ac:dyDescent="0.25">
      <c r="A6136" s="8" t="str">
        <f>"AIAA 57th International Astronautical Congress, IAC 2006"</f>
        <v>AIAA 57th International Astronautical Congress, IAC 2006</v>
      </c>
      <c r="B6136" s="8" t="str">
        <f>"9781605600390"</f>
        <v>9781605600390</v>
      </c>
      <c r="C6136" s="8" t="s">
        <v>104</v>
      </c>
    </row>
    <row r="6137" spans="1:3" x14ac:dyDescent="0.25">
      <c r="A6137" s="8" t="str">
        <f>"AIAA Aerodynamic Decelerator Systems (ADS) Conference 2013"</f>
        <v>AIAA Aerodynamic Decelerator Systems (ADS) Conference 2013</v>
      </c>
      <c r="B6137" s="8" t="str">
        <f>"9781624102028"</f>
        <v>9781624102028</v>
      </c>
      <c r="C6137" s="8" t="s">
        <v>104</v>
      </c>
    </row>
    <row r="6138" spans="1:3" x14ac:dyDescent="0.25">
      <c r="A6138" s="8" t="str">
        <f>"AIAA Atmospheric and Space Environments Conference 2010"</f>
        <v>AIAA Atmospheric and Space Environments Conference 2010</v>
      </c>
      <c r="B6138" s="8" t="str">
        <f>"9781617823350"</f>
        <v>9781617823350</v>
      </c>
      <c r="C6138" s="8" t="s">
        <v>104</v>
      </c>
    </row>
    <row r="6139" spans="1:3" x14ac:dyDescent="0.25">
      <c r="A6139" s="8" t="str">
        <f>"AIAA Atmospheric Flight Mechanics (AFM) Conference"</f>
        <v>AIAA Atmospheric Flight Mechanics (AFM) Conference</v>
      </c>
      <c r="B6139" s="8" t="str">
        <f>"-"</f>
        <v>-</v>
      </c>
      <c r="C6139" s="8" t="s">
        <v>104</v>
      </c>
    </row>
    <row r="6140" spans="1:3" x14ac:dyDescent="0.25">
      <c r="A6140" s="8" t="str">
        <f>"AIAA Atmospheric Flight Mechanics Conference"</f>
        <v>AIAA Atmospheric Flight Mechanics Conference</v>
      </c>
      <c r="B6140" s="8" t="str">
        <f>"-"</f>
        <v>-</v>
      </c>
      <c r="C6140" s="8" t="s">
        <v>104</v>
      </c>
    </row>
    <row r="6141" spans="1:3" x14ac:dyDescent="0.25">
      <c r="A6141" s="8" t="str">
        <f>"AIAA Atmospheric Flight Mechanics Conference 2010"</f>
        <v>AIAA Atmospheric Flight Mechanics Conference 2010</v>
      </c>
      <c r="B6141" s="8" t="str">
        <f>"9781624101519"</f>
        <v>9781624101519</v>
      </c>
      <c r="C6141" s="8" t="s">
        <v>104</v>
      </c>
    </row>
    <row r="6142" spans="1:3" x14ac:dyDescent="0.25">
      <c r="A6142" s="8" t="str">
        <f>"AIAA Atmospheric Flight Mechanics Conference 2011"</f>
        <v>AIAA Atmospheric Flight Mechanics Conference 2011</v>
      </c>
      <c r="B6142" s="8" t="str">
        <f>"9781624101533"</f>
        <v>9781624101533</v>
      </c>
      <c r="C6142" s="8" t="s">
        <v>104</v>
      </c>
    </row>
    <row r="6143" spans="1:3" x14ac:dyDescent="0.25">
      <c r="A6143" s="8" t="str">
        <f>"AIAA Atmospheric Flight Mechanics Conference 2012"</f>
        <v>AIAA Atmospheric Flight Mechanics Conference 2012</v>
      </c>
      <c r="B6143" s="8" t="str">
        <f>"9781624101847"</f>
        <v>9781624101847</v>
      </c>
      <c r="C6143" s="8" t="s">
        <v>104</v>
      </c>
    </row>
    <row r="6144" spans="1:3" x14ac:dyDescent="0.25">
      <c r="A6144" s="8" t="str">
        <f>"AIAA Atmospheric Flight Mechanics Conference and Exhibit"</f>
        <v>AIAA Atmospheric Flight Mechanics Conference and Exhibit</v>
      </c>
      <c r="B6144" s="8" t="str">
        <f>"9781563479458"</f>
        <v>9781563479458</v>
      </c>
      <c r="C6144" s="8" t="s">
        <v>104</v>
      </c>
    </row>
    <row r="6145" spans="1:3" x14ac:dyDescent="0.25">
      <c r="A6145" s="8" t="str">
        <f>"AIAA Balloon Systems (BAL) Conference 2013"</f>
        <v>AIAA Balloon Systems (BAL) Conference 2013</v>
      </c>
      <c r="B6145" s="8" t="str">
        <f>"9781624102264"</f>
        <v>9781624102264</v>
      </c>
      <c r="C6145" s="8" t="s">
        <v>104</v>
      </c>
    </row>
    <row r="6146" spans="1:3" x14ac:dyDescent="0.25">
      <c r="A6146" s="8" t="str">
        <f>"AIAA Balloon Systems Conference"</f>
        <v>AIAA Balloon Systems Conference</v>
      </c>
      <c r="B6146" s="8" t="str">
        <f>"9781563479724"</f>
        <v>9781563479724</v>
      </c>
      <c r="C6146" s="8" t="s">
        <v>104</v>
      </c>
    </row>
    <row r="6147" spans="1:3" x14ac:dyDescent="0.25">
      <c r="A6147" s="8" t="str">
        <f>"AIAA Balloon Systems Conference 2014"</f>
        <v>AIAA Balloon Systems Conference 2014</v>
      </c>
      <c r="B6147" s="8" t="str">
        <f>"9781624102950"</f>
        <v>9781624102950</v>
      </c>
      <c r="C6147" s="8" t="s">
        <v>104</v>
      </c>
    </row>
    <row r="6148" spans="1:3" x14ac:dyDescent="0.25">
      <c r="A6148" s="8" t="str">
        <f>"AIAA Balloon Systems Conference, 2007"</f>
        <v>AIAA Balloon Systems Conference, 2007</v>
      </c>
      <c r="B6148" s="8" t="str">
        <f>"9781563478956"</f>
        <v>9781563478956</v>
      </c>
      <c r="C6148" s="8" t="s">
        <v>104</v>
      </c>
    </row>
    <row r="6149" spans="1:3" x14ac:dyDescent="0.25">
      <c r="A6149" s="8" t="s">
        <v>1653</v>
      </c>
      <c r="B6149" s="8" t="str">
        <f>"9781624101342"</f>
        <v>9781624101342</v>
      </c>
      <c r="C6149" s="8" t="s">
        <v>104</v>
      </c>
    </row>
    <row r="6150" spans="1:3" x14ac:dyDescent="0.25">
      <c r="A6150" s="8" t="str">
        <f>"AIAA Flight Testing Conference 2014"</f>
        <v>AIAA Flight Testing Conference 2014</v>
      </c>
      <c r="B6150" s="8" t="str">
        <f>"9781624102967"</f>
        <v>9781624102967</v>
      </c>
      <c r="C6150" s="8" t="s">
        <v>104</v>
      </c>
    </row>
    <row r="6151" spans="1:3" x14ac:dyDescent="0.25">
      <c r="A6151" s="8" t="str">
        <f>"AIAA Ground Testing Conference"</f>
        <v>AIAA Ground Testing Conference</v>
      </c>
      <c r="B6151" s="8" t="str">
        <f>"-"</f>
        <v>-</v>
      </c>
      <c r="C6151" s="8" t="s">
        <v>104</v>
      </c>
    </row>
    <row r="6152" spans="1:3" x14ac:dyDescent="0.25">
      <c r="A6152" s="8" t="str">
        <f>"AIAA Guidance, Navigation and Control Conference and Exhibit"</f>
        <v>AIAA Guidance, Navigation and Control Conference and Exhibit</v>
      </c>
      <c r="B6152" s="8" t="str">
        <f>"9781563479458"</f>
        <v>9781563479458</v>
      </c>
      <c r="C6152" s="8" t="s">
        <v>104</v>
      </c>
    </row>
    <row r="6153" spans="1:3" x14ac:dyDescent="0.25">
      <c r="A6153" s="8" t="str">
        <f>"AIAA Guidance, Navigation, and Control (GNC) Conference"</f>
        <v>AIAA Guidance, Navigation, and Control (GNC) Conference</v>
      </c>
      <c r="B6153" s="8" t="str">
        <f>"9781624102240"</f>
        <v>9781624102240</v>
      </c>
      <c r="C6153" s="8" t="s">
        <v>104</v>
      </c>
    </row>
    <row r="6154" spans="1:3" x14ac:dyDescent="0.25">
      <c r="A6154" s="8" t="str">
        <f>"AIAA Guidance, Navigation, and Control Conference"</f>
        <v>AIAA Guidance, Navigation, and Control Conference</v>
      </c>
      <c r="B6154" s="8" t="str">
        <f>"9781600869624"</f>
        <v>9781600869624</v>
      </c>
      <c r="C6154" s="8" t="s">
        <v>104</v>
      </c>
    </row>
    <row r="6155" spans="1:3" x14ac:dyDescent="0.25">
      <c r="A6155" s="8" t="str">
        <f>"AIAA Guidance, Navigation, and Control Conference 2011"</f>
        <v>AIAA Guidance, Navigation, and Control Conference 2011</v>
      </c>
      <c r="B6155" s="8" t="str">
        <f>"9781600869525"</f>
        <v>9781600869525</v>
      </c>
      <c r="C6155" s="8" t="s">
        <v>104</v>
      </c>
    </row>
    <row r="6156" spans="1:3" x14ac:dyDescent="0.25">
      <c r="A6156" s="8" t="str">
        <f>"AIAA Guidance, Navigation, and Control Conference 2012"</f>
        <v>AIAA Guidance, Navigation, and Control Conference 2012</v>
      </c>
      <c r="B6156" s="8" t="str">
        <f>"9781600869389"</f>
        <v>9781600869389</v>
      </c>
      <c r="C6156" s="8" t="s">
        <v>104</v>
      </c>
    </row>
    <row r="6157" spans="1:3" x14ac:dyDescent="0.25">
      <c r="A6157" s="8" t="str">
        <f>"AIAA Guidance, Navigation, and Control Conference and Exhibit"</f>
        <v>AIAA Guidance, Navigation, and Control Conference and Exhibit</v>
      </c>
      <c r="B6157" s="8" t="str">
        <f>"9781563479786"</f>
        <v>9781563479786</v>
      </c>
      <c r="C6157" s="8" t="s">
        <v>104</v>
      </c>
    </row>
    <row r="6158" spans="1:3" x14ac:dyDescent="0.25">
      <c r="A6158" s="8" t="str">
        <f>"AIAA Infotech at Aerospace"</f>
        <v>AIAA Infotech at Aerospace</v>
      </c>
      <c r="B6158" s="8" t="str">
        <f>"9781624103384"</f>
        <v>9781624103384</v>
      </c>
      <c r="C6158" s="8" t="s">
        <v>104</v>
      </c>
    </row>
    <row r="6159" spans="1:3" x14ac:dyDescent="0.25">
      <c r="A6159" s="8" t="str">
        <f>"AIAA Infotech at Aerospace (I at A) Conference"</f>
        <v>AIAA Infotech at Aerospace (I at A) Conference</v>
      </c>
      <c r="B6159" s="8" t="str">
        <f>"-"</f>
        <v>-</v>
      </c>
      <c r="C6159" s="8" t="s">
        <v>104</v>
      </c>
    </row>
    <row r="6160" spans="1:3" x14ac:dyDescent="0.25">
      <c r="A6160" s="8" t="str">
        <f>"AIAA Infotech at Aerospace 2010"</f>
        <v>AIAA Infotech at Aerospace 2010</v>
      </c>
      <c r="B6160" s="8" t="str">
        <f>"9781600867439"</f>
        <v>9781600867439</v>
      </c>
      <c r="C6160" s="8" t="s">
        <v>104</v>
      </c>
    </row>
    <row r="6161" spans="1:3" x14ac:dyDescent="0.25">
      <c r="A6161" s="8" t="str">
        <f>"AIAA Infotech at Aerospace Conference and Exhibit 2011"</f>
        <v>AIAA Infotech at Aerospace Conference and Exhibit 2011</v>
      </c>
      <c r="B6161" s="8" t="str">
        <f>"9781600869440"</f>
        <v>9781600869440</v>
      </c>
      <c r="C6161" s="8" t="s">
        <v>104</v>
      </c>
    </row>
    <row r="6162" spans="1:3" x14ac:dyDescent="0.25">
      <c r="A6162" s="8" t="str">
        <f>"AIAA Infotech at Aerospace Conference and Exhibit 2012"</f>
        <v>AIAA Infotech at Aerospace Conference and Exhibit 2012</v>
      </c>
      <c r="B6162" s="8" t="str">
        <f>"9781600869396"</f>
        <v>9781600869396</v>
      </c>
      <c r="C6162" s="8" t="s">
        <v>104</v>
      </c>
    </row>
    <row r="6163" spans="1:3" x14ac:dyDescent="0.25">
      <c r="A6163" s="8" t="str">
        <f>"AIAA Infotech at Aerospace Conference and Exhibit and AIAA Unmanned...Unlimited Conference"</f>
        <v>AIAA Infotech at Aerospace Conference and Exhibit and AIAA Unmanned...Unlimited Conference</v>
      </c>
      <c r="B6163" s="8" t="str">
        <f>"9781563479717"</f>
        <v>9781563479717</v>
      </c>
      <c r="C6163" s="8" t="s">
        <v>104</v>
      </c>
    </row>
    <row r="6164" spans="1:3" x14ac:dyDescent="0.25">
      <c r="A6164" s="8" t="str">
        <f>"AIAA Lighter-Than-Air Systems Technology (LTA) Conference 2013"</f>
        <v>AIAA Lighter-Than-Air Systems Technology (LTA) Conference 2013</v>
      </c>
      <c r="B6164" s="8" t="str">
        <f>"9781624102271"</f>
        <v>9781624102271</v>
      </c>
      <c r="C6164" s="8" t="s">
        <v>104</v>
      </c>
    </row>
    <row r="6165" spans="1:3" x14ac:dyDescent="0.25">
      <c r="A6165" s="8" t="str">
        <f>"AIAA Modeling and Simulation Technologies (MST) Conference"</f>
        <v>AIAA Modeling and Simulation Technologies (MST) Conference</v>
      </c>
      <c r="B6165" s="8" t="str">
        <f>"-"</f>
        <v>-</v>
      </c>
      <c r="C6165" s="8" t="s">
        <v>104</v>
      </c>
    </row>
    <row r="6166" spans="1:3" x14ac:dyDescent="0.25">
      <c r="A6166" s="8" t="str">
        <f>"AIAA Modeling and Simulation Technologies Conference"</f>
        <v>AIAA Modeling and Simulation Technologies Conference</v>
      </c>
      <c r="B6166" s="8" t="str">
        <f>"9781563479786"</f>
        <v>9781563479786</v>
      </c>
      <c r="C6166" s="8" t="s">
        <v>104</v>
      </c>
    </row>
    <row r="6167" spans="1:3" x14ac:dyDescent="0.25">
      <c r="A6167" s="8" t="str">
        <f>"AIAA Modeling and Simulation Technologies Conference 2010"</f>
        <v>AIAA Modeling and Simulation Technologies Conference 2010</v>
      </c>
      <c r="B6167" s="8" t="str">
        <f>"9781624101526"</f>
        <v>9781624101526</v>
      </c>
      <c r="C6167" s="8" t="s">
        <v>104</v>
      </c>
    </row>
    <row r="6168" spans="1:3" x14ac:dyDescent="0.25">
      <c r="A6168" s="8" t="str">
        <f>"AIAA Modeling and Simulation Technologies Conference 2011"</f>
        <v>AIAA Modeling and Simulation Technologies Conference 2011</v>
      </c>
      <c r="B6168" s="8" t="str">
        <f>"9781624101540"</f>
        <v>9781624101540</v>
      </c>
      <c r="C6168" s="8" t="s">
        <v>104</v>
      </c>
    </row>
    <row r="6169" spans="1:3" x14ac:dyDescent="0.25">
      <c r="A6169" s="8" t="str">
        <f>"AIAA Modeling and Simulation Technologies Conference 2012"</f>
        <v>AIAA Modeling and Simulation Technologies Conference 2012</v>
      </c>
      <c r="B6169" s="8" t="str">
        <f>"9781624101830"</f>
        <v>9781624101830</v>
      </c>
      <c r="C6169" s="8" t="s">
        <v>104</v>
      </c>
    </row>
    <row r="6170" spans="1:3" x14ac:dyDescent="0.25">
      <c r="A6170" s="8" t="str">
        <f>"AIAA Modeling and Simulation Technologies Conference 2014"</f>
        <v>AIAA Modeling and Simulation Technologies Conference 2014</v>
      </c>
      <c r="B6170" s="8" t="str">
        <f>"9781624102974"</f>
        <v>9781624102974</v>
      </c>
      <c r="C6170" s="8" t="s">
        <v>104</v>
      </c>
    </row>
    <row r="6171" spans="1:3" x14ac:dyDescent="0.25">
      <c r="A6171" s="8" t="str">
        <f>"AIAA Modeling and Simulation Technologies Conference and Exhibit"</f>
        <v>AIAA Modeling and Simulation Technologies Conference and Exhibit</v>
      </c>
      <c r="B6171" s="8" t="str">
        <f>"9781563479458"</f>
        <v>9781563479458</v>
      </c>
      <c r="C6171" s="8" t="s">
        <v>104</v>
      </c>
    </row>
    <row r="6172" spans="1:3" x14ac:dyDescent="0.25">
      <c r="A6172" s="8" t="str">
        <f>"AIAA Paper"</f>
        <v>AIAA Paper</v>
      </c>
      <c r="B6172" s="8" t="str">
        <f>"-"</f>
        <v>-</v>
      </c>
      <c r="C6172" s="8" t="s">
        <v>104</v>
      </c>
    </row>
    <row r="6173" spans="1:3" x14ac:dyDescent="0.25">
      <c r="A6173" s="8" t="str">
        <f>"AIAA Space 2001 Conference and Exposition"</f>
        <v>AIAA Space 2001 Conference and Exposition</v>
      </c>
      <c r="B6173" s="8" t="str">
        <f>"-"</f>
        <v>-</v>
      </c>
      <c r="C6173" s="8" t="s">
        <v>104</v>
      </c>
    </row>
    <row r="6174" spans="1:3" x14ac:dyDescent="0.25">
      <c r="A6174" s="8" t="str">
        <f>"AIAA Space 2003 Conference and Exposition"</f>
        <v>AIAA Space 2003 Conference and Exposition</v>
      </c>
      <c r="B6174" s="8" t="str">
        <f>"9781624101038"</f>
        <v>9781624101038</v>
      </c>
      <c r="C6174" s="8" t="s">
        <v>104</v>
      </c>
    </row>
    <row r="6175" spans="1:3" x14ac:dyDescent="0.25">
      <c r="A6175" s="8" t="str">
        <f>"AIAA Space 2009 Conference and Exposition"</f>
        <v>AIAA Space 2009 Conference and Exposition</v>
      </c>
      <c r="B6175" s="8" t="str">
        <f>"9781563479793"</f>
        <v>9781563479793</v>
      </c>
      <c r="C6175" s="8" t="s">
        <v>104</v>
      </c>
    </row>
    <row r="6176" spans="1:3" x14ac:dyDescent="0.25">
      <c r="A6176" s="8" t="str">
        <f>"AIAA SPACE 2013 Conference and Exposition"</f>
        <v>AIAA SPACE 2013 Conference and Exposition</v>
      </c>
      <c r="B6176" s="8" t="str">
        <f>"9781624102394"</f>
        <v>9781624102394</v>
      </c>
      <c r="C6176" s="8" t="s">
        <v>104</v>
      </c>
    </row>
    <row r="6177" spans="1:3" x14ac:dyDescent="0.25">
      <c r="A6177" s="8" t="str">
        <f>"AIAA SPACE 2015 Conference and Exposition"</f>
        <v>AIAA SPACE 2015 Conference and Exposition</v>
      </c>
      <c r="B6177" s="8" t="str">
        <f>"9781624103346"</f>
        <v>9781624103346</v>
      </c>
      <c r="C6177" s="8" t="s">
        <v>1258</v>
      </c>
    </row>
    <row r="6178" spans="1:3" x14ac:dyDescent="0.25">
      <c r="A6178" s="8" t="str">
        <f>"AIAA Space Architecture Symposium"</f>
        <v>AIAA Space Architecture Symposium</v>
      </c>
      <c r="B6178" s="8" t="str">
        <f>"9781624101229"</f>
        <v>9781624101229</v>
      </c>
      <c r="C6178" s="8" t="s">
        <v>104</v>
      </c>
    </row>
    <row r="6179" spans="1:3" x14ac:dyDescent="0.25">
      <c r="A6179" s="8" t="str">
        <f>"AIAA SPACE Conference and Exposition 2010"</f>
        <v>AIAA SPACE Conference and Exposition 2010</v>
      </c>
      <c r="B6179" s="8" t="str">
        <f>"9781600869662"</f>
        <v>9781600869662</v>
      </c>
      <c r="C6179" s="8" t="s">
        <v>104</v>
      </c>
    </row>
    <row r="6180" spans="1:3" x14ac:dyDescent="0.25">
      <c r="A6180" s="8" t="str">
        <f>"AIAA SPACE Conference and Exposition 2011"</f>
        <v>AIAA SPACE Conference and Exposition 2011</v>
      </c>
      <c r="B6180" s="8" t="str">
        <f>"9781600869532"</f>
        <v>9781600869532</v>
      </c>
      <c r="C6180" s="8" t="s">
        <v>104</v>
      </c>
    </row>
    <row r="6181" spans="1:3" x14ac:dyDescent="0.25">
      <c r="A6181" s="8" t="str">
        <f>"AIAA SPACE Conference and Exposition 2012"</f>
        <v>AIAA SPACE Conference and Exposition 2012</v>
      </c>
      <c r="B6181" s="8" t="str">
        <f>"9781600869402"</f>
        <v>9781600869402</v>
      </c>
      <c r="C6181" s="8" t="s">
        <v>104</v>
      </c>
    </row>
    <row r="6182" spans="1:3" x14ac:dyDescent="0.25">
      <c r="A6182" s="8" t="str">
        <f>"AIAA Spacecraft Structures Conference"</f>
        <v>AIAA Spacecraft Structures Conference</v>
      </c>
      <c r="B6182" s="8" t="str">
        <f>"-"</f>
        <v>-</v>
      </c>
      <c r="C6182" s="8" t="s">
        <v>104</v>
      </c>
    </row>
    <row r="6183" spans="1:3" x14ac:dyDescent="0.25">
      <c r="A6183" s="8" t="str">
        <f>"AIAA/AAAF 11th International Space Planes and Hypersonic Systems and Technologies Conference"</f>
        <v>AIAA/AAAF 11th International Space Planes and Hypersonic Systems and Technologies Conference</v>
      </c>
      <c r="B6183" s="8" t="str">
        <f>"9781624101236"</f>
        <v>9781624101236</v>
      </c>
      <c r="C6183" s="8" t="s">
        <v>104</v>
      </c>
    </row>
    <row r="6184" spans="1:3" x14ac:dyDescent="0.25">
      <c r="A6184" s="8" t="str">
        <f>"AIAA/AAS Astrodynamics Specialist Conference 2010"</f>
        <v>AIAA/AAS Astrodynamics Specialist Conference 2010</v>
      </c>
      <c r="B6184" s="8" t="str">
        <f>"9781624101502"</f>
        <v>9781624101502</v>
      </c>
      <c r="C6184" s="8" t="s">
        <v>104</v>
      </c>
    </row>
    <row r="6185" spans="1:3" x14ac:dyDescent="0.25">
      <c r="A6185" s="8" t="str">
        <f>"AIAA/AAS Astrodynamics Specialist Conference 2012"</f>
        <v>AIAA/AAS Astrodynamics Specialist Conference 2012</v>
      </c>
      <c r="B6185" s="8" t="str">
        <f>"9781624101823"</f>
        <v>9781624101823</v>
      </c>
      <c r="C6185" s="8" t="s">
        <v>104</v>
      </c>
    </row>
    <row r="6186" spans="1:3" x14ac:dyDescent="0.25">
      <c r="A6186" s="8" t="str">
        <f>"AIAA/AAS Astrodynamics Specialist Conference and Exhibit"</f>
        <v>AIAA/AAS Astrodynamics Specialist Conference and Exhibit</v>
      </c>
      <c r="B6186" s="8" t="str">
        <f>"9781563479458"</f>
        <v>9781563479458</v>
      </c>
      <c r="C6186" s="8" t="s">
        <v>104</v>
      </c>
    </row>
    <row r="6187" spans="1:3" x14ac:dyDescent="0.25">
      <c r="A6187" s="8" t="str">
        <f>"AIAA\ICAS International Air and Space Symposium and Exposition: The Next 100 Years"</f>
        <v>AIAA\ICAS International Air and Space Symposium and Exposition: The Next 100 Years</v>
      </c>
      <c r="B6187" s="8" t="str">
        <f>"9781624101656"</f>
        <v>9781624101656</v>
      </c>
      <c r="C6187" s="8" t="s">
        <v>104</v>
      </c>
    </row>
    <row r="6188" spans="1:3" x14ac:dyDescent="0.25">
      <c r="A6188" s="8" t="str">
        <f>"AIAA's 3rd Annual Aviation Technology, Integration, and Operations (ATIO) Forum"</f>
        <v>AIAA's 3rd Annual Aviation Technology, Integration, and Operations (ATIO) Forum</v>
      </c>
      <c r="B6188" s="8" t="str">
        <f>"9781624101045"</f>
        <v>9781624101045</v>
      </c>
      <c r="C6188" s="8" t="s">
        <v>104</v>
      </c>
    </row>
    <row r="6189" spans="1:3" x14ac:dyDescent="0.25">
      <c r="A6189" s="8" t="str">
        <f>"AIAA's Aircraft Technology, Integration, and Operations (ATIO) 2002 Technical Forum"</f>
        <v>AIAA's Aircraft Technology, Integration, and Operations (ATIO) 2002 Technical Forum</v>
      </c>
      <c r="B6189" s="8" t="str">
        <f>"9781624101250"</f>
        <v>9781624101250</v>
      </c>
      <c r="C6189" s="8" t="s">
        <v>104</v>
      </c>
    </row>
    <row r="6190" spans="1:3" x14ac:dyDescent="0.25">
      <c r="A6190" s="8" t="str">
        <f>"AICCSA 08 - 6th IEEE/ACS International Conference on Computer Systems and Applications"</f>
        <v>AICCSA 08 - 6th IEEE/ACS International Conference on Computer Systems and Applications</v>
      </c>
      <c r="B6190" s="8" t="str">
        <f>"9781424419685"</f>
        <v>9781424419685</v>
      </c>
      <c r="C6190" s="8" t="s">
        <v>9</v>
      </c>
    </row>
    <row r="6191" spans="1:3" x14ac:dyDescent="0.25">
      <c r="A6191" s="8" t="str">
        <f>"AICERA 2012 - Annual International Conference on Emerging Research Areas: Innovative Practices and Future Trends"</f>
        <v>AICERA 2012 - Annual International Conference on Emerging Research Areas: Innovative Practices and Future Trends</v>
      </c>
      <c r="B6191" s="8" t="str">
        <f>"9781467322676"</f>
        <v>9781467322676</v>
      </c>
      <c r="C6191" s="8" t="s">
        <v>9</v>
      </c>
    </row>
    <row r="6192" spans="1:3" x14ac:dyDescent="0.25">
      <c r="A6192" s="8" t="str">
        <f>"AIChE and ACS Management Conference 2003: Innovation Across Boundaries"</f>
        <v>AIChE and ACS Management Conference 2003: Innovation Across Boundaries</v>
      </c>
      <c r="B6192" s="8" t="str">
        <f>"-"</f>
        <v>-</v>
      </c>
      <c r="C6192" s="8" t="s">
        <v>106</v>
      </c>
    </row>
    <row r="6193" spans="1:3" x14ac:dyDescent="0.25">
      <c r="A6193" s="8" t="str">
        <f>"AIChE Spring Meeting 2005 - 20th International Conference of CCPS - Center for Chemical Process Safety 2005"</f>
        <v>AIChE Spring Meeting 2005 - 20th International Conference of CCPS - Center for Chemical Process Safety 2005</v>
      </c>
      <c r="B6193" s="8" t="str">
        <f>"-"</f>
        <v>-</v>
      </c>
      <c r="C6193" s="8" t="s">
        <v>106</v>
      </c>
    </row>
    <row r="6194" spans="1:3" x14ac:dyDescent="0.25">
      <c r="A6194" s="8" t="str">
        <f>"AIChE Technical Manual 2008 - Safety in Ammonia Plants and Related Facilities Symposium"</f>
        <v>AIChE Technical Manual 2008 - Safety in Ammonia Plants and Related Facilities Symposium</v>
      </c>
      <c r="B6194" s="8" t="str">
        <f>"-"</f>
        <v>-</v>
      </c>
      <c r="C6194" s="8" t="s">
        <v>106</v>
      </c>
    </row>
    <row r="6195" spans="1:3" x14ac:dyDescent="0.25">
      <c r="A6195" s="8" t="str">
        <f>"AICT 2011 - 7th Advanced International Conference on Telecommunications"</f>
        <v>AICT 2011 - 7th Advanced International Conference on Telecommunications</v>
      </c>
      <c r="B6195" s="8" t="str">
        <f>"9781612081236"</f>
        <v>9781612081236</v>
      </c>
      <c r="C6195" s="8" t="s">
        <v>373</v>
      </c>
    </row>
    <row r="6196" spans="1:3" x14ac:dyDescent="0.25">
      <c r="A6196" s="8" t="str">
        <f>"AICT 2012 - 8th Advanced International Conference on Telecommunications"</f>
        <v>AICT 2012 - 8th Advanced International Conference on Telecommunications</v>
      </c>
      <c r="B6196" s="8" t="str">
        <f>"9781612081991"</f>
        <v>9781612081991</v>
      </c>
      <c r="C6196" s="8" t="s">
        <v>373</v>
      </c>
    </row>
    <row r="6197" spans="1:3" x14ac:dyDescent="0.25">
      <c r="A6197" s="8" t="str">
        <f>"AICT 2013 - 7th International Conference on Application of Information and Communication Technologies, Conference Proceedings"</f>
        <v>AICT 2013 - 7th International Conference on Application of Information and Communication Technologies, Conference Proceedings</v>
      </c>
      <c r="B6197" s="8" t="str">
        <f>"9781467364201"</f>
        <v>9781467364201</v>
      </c>
      <c r="C6197" s="8" t="s">
        <v>9</v>
      </c>
    </row>
    <row r="6198" spans="1:3" x14ac:dyDescent="0.25">
      <c r="A6198" s="8" t="str">
        <f>"AIEMPro'10 - Proceedings of the 2010 ACM Workshop on Automated Information Extraction in Media Production, Co-located with ACM Multimedia 2010"</f>
        <v>AIEMPro'10 - Proceedings of the 2010 ACM Workshop on Automated Information Extraction in Media Production, Co-located with ACM Multimedia 2010</v>
      </c>
      <c r="B6198" s="8" t="str">
        <f>"9781450301640"</f>
        <v>9781450301640</v>
      </c>
      <c r="C6198" s="8" t="s">
        <v>21</v>
      </c>
    </row>
    <row r="6199" spans="1:3" x14ac:dyDescent="0.25">
      <c r="A6199" s="8" t="str">
        <f>"AIMCAL Fall Technical Conference 2005 and 19th International Vacuum Web Coating Conference 2005"</f>
        <v>AIMCAL Fall Technical Conference 2005 and 19th International Vacuum Web Coating Conference 2005</v>
      </c>
      <c r="B6199" s="8" t="str">
        <f>"9781622760749"</f>
        <v>9781622760749</v>
      </c>
      <c r="C6199" s="8" t="s">
        <v>1654</v>
      </c>
    </row>
    <row r="6200" spans="1:3" x14ac:dyDescent="0.25">
      <c r="A6200" s="8" t="str">
        <f>"Air and Waste Management Association - 1st International Greenhouse Gas Measurement Symposium 2009"</f>
        <v>Air and Waste Management Association - 1st International Greenhouse Gas Measurement Symposium 2009</v>
      </c>
      <c r="B6200" s="8" t="str">
        <f>"9781615672837"</f>
        <v>9781615672837</v>
      </c>
      <c r="C6200" s="8" t="s">
        <v>10</v>
      </c>
    </row>
    <row r="6201" spans="1:3" x14ac:dyDescent="0.25">
      <c r="A6201" s="8" t="str">
        <f>"Air and Waste Management Association - 27th Annual International Conference on Thermal Treatment Technologies 2008"</f>
        <v>Air and Waste Management Association - 27th Annual International Conference on Thermal Treatment Technologies 2008</v>
      </c>
      <c r="B6201" s="8" t="str">
        <f>"9781605603797"</f>
        <v>9781605603797</v>
      </c>
      <c r="C6201" s="8" t="s">
        <v>10</v>
      </c>
    </row>
    <row r="6202" spans="1:3" x14ac:dyDescent="0.25">
      <c r="A6202" s="8" t="str">
        <f>"Air and Waste Management Association - 33rd International Conference on Thermal Treatment Technologies and Hazardous Waste Combustors, IT3/HWC 2014"</f>
        <v>Air and Waste Management Association - 33rd International Conference on Thermal Treatment Technologies and Hazardous Waste Combustors, IT3/HWC 2014</v>
      </c>
      <c r="B6202" s="8" t="str">
        <f>"9781510800236"</f>
        <v>9781510800236</v>
      </c>
      <c r="C6202" s="8" t="s">
        <v>10</v>
      </c>
    </row>
    <row r="6203" spans="1:3" x14ac:dyDescent="0.25">
      <c r="A6203" s="8" t="str">
        <f>"Air and Waste Management Association - 6th Specialty Conference on Vapor Intrusion 2012"</f>
        <v>Air and Waste Management Association - 6th Specialty Conference on Vapor Intrusion 2012</v>
      </c>
      <c r="B6203" s="8" t="str">
        <f>"9781622768288"</f>
        <v>9781622768288</v>
      </c>
      <c r="C6203" s="8" t="s">
        <v>10</v>
      </c>
    </row>
    <row r="6204" spans="1:3" x14ac:dyDescent="0.25">
      <c r="A6204" s="8" t="str">
        <f>"Air and Waste Management Association - 7th Power Plant Air Pollutant Control 'Mega' Symposium 2008"</f>
        <v>Air and Waste Management Association - 7th Power Plant Air Pollutant Control 'Mega' Symposium 2008</v>
      </c>
      <c r="B6204" s="8" t="str">
        <f>"9781615673285"</f>
        <v>9781615673285</v>
      </c>
      <c r="C6204" s="8" t="s">
        <v>10</v>
      </c>
    </row>
    <row r="6205" spans="1:3" x14ac:dyDescent="0.25">
      <c r="A6205" s="8" t="str">
        <f>"Air and Waste Management Association - 8th Power Plant Air Pollutant Control Mega Symposium 2010"</f>
        <v>Air and Waste Management Association - 8th Power Plant Air Pollutant Control Mega Symposium 2010</v>
      </c>
      <c r="B6205" s="8" t="str">
        <f>"9781617820045"</f>
        <v>9781617820045</v>
      </c>
      <c r="C6205" s="8" t="s">
        <v>10</v>
      </c>
    </row>
    <row r="6206" spans="1:3" x14ac:dyDescent="0.25">
      <c r="A6206" s="8" t="str">
        <f>"Air and Waste Management Association - Aerosol and Atmospheric Optics: Visibility and Air Pollution Specialty Conference 2012"</f>
        <v>Air and Waste Management Association - Aerosol and Atmospheric Optics: Visibility and Air Pollution Specialty Conference 2012</v>
      </c>
      <c r="B6206" s="8" t="str">
        <f>"9781622768219"</f>
        <v>9781622768219</v>
      </c>
      <c r="C6206" s="8" t="s">
        <v>10</v>
      </c>
    </row>
    <row r="6207" spans="1:3" x14ac:dyDescent="0.25">
      <c r="A6207" s="8" t="str">
        <f>"Air and Waste Management Association - Air Quality Measurement Methods and Technology Conference 2012"</f>
        <v>Air and Waste Management Association - Air Quality Measurement Methods and Technology Conference 2012</v>
      </c>
      <c r="B6207" s="8" t="str">
        <f>"9781622768226"</f>
        <v>9781622768226</v>
      </c>
      <c r="C6207" s="8" t="s">
        <v>10</v>
      </c>
    </row>
    <row r="6208" spans="1:3" x14ac:dyDescent="0.25">
      <c r="A6208" s="8" t="str">
        <f>"Air and Waste Management Association - Climate Change Conference 2013: Impacts, Policy and Regulation"</f>
        <v>Air and Waste Management Association - Climate Change Conference 2013: Impacts, Policy and Regulation</v>
      </c>
      <c r="B6208" s="8" t="str">
        <f>"9781634393478"</f>
        <v>9781634393478</v>
      </c>
      <c r="C6208" s="8" t="s">
        <v>10</v>
      </c>
    </row>
    <row r="6209" spans="1:3" x14ac:dyDescent="0.25">
      <c r="A6209" s="8" t="str">
        <f>"Air and Waste Management Association - Greenhouse Gas Strategies in a Changing Climate Conference 2011"</f>
        <v>Air and Waste Management Association - Greenhouse Gas Strategies in a Changing Climate Conference 2011</v>
      </c>
      <c r="B6209" s="8" t="str">
        <f>"9781618399977"</f>
        <v>9781618399977</v>
      </c>
      <c r="C6209" s="8" t="s">
        <v>10</v>
      </c>
    </row>
    <row r="6210" spans="1:3" x14ac:dyDescent="0.25">
      <c r="A6210" s="8" t="str">
        <f>"Air and Waste Management Association - Guideline on Air Quality Models 2013: The Path Forward"</f>
        <v>Air and Waste Management Association - Guideline on Air Quality Models 2013: The Path Forward</v>
      </c>
      <c r="B6210" s="8" t="str">
        <f>"9781627485685"</f>
        <v>9781627485685</v>
      </c>
      <c r="C6210" s="8" t="s">
        <v>10</v>
      </c>
    </row>
    <row r="6211" spans="1:3" x14ac:dyDescent="0.25">
      <c r="A6211" s="8" t="str">
        <f>"Air and Waste Management Association - Guideline on Air Quality Models: Applications and FLAG Developments 2006, An A andWMA Specialty Conference"</f>
        <v>Air and Waste Management Association - Guideline on Air Quality Models: Applications and FLAG Developments 2006, An A andWMA Specialty Conference</v>
      </c>
      <c r="B6211" s="8" t="str">
        <f>"9781604238303"</f>
        <v>9781604238303</v>
      </c>
      <c r="C6211" s="8" t="s">
        <v>10</v>
      </c>
    </row>
    <row r="6212" spans="1:3" x14ac:dyDescent="0.25">
      <c r="A6212" s="8" t="str">
        <f>"Air and Waste Management Association - Harmonizing Greenhouse Gas Assessment and Reporting Processes 2009"</f>
        <v>Air and Waste Management Association - Harmonizing Greenhouse Gas Assessment and Reporting Processes 2009</v>
      </c>
      <c r="B6212" s="8" t="str">
        <f>"9781615677252"</f>
        <v>9781615677252</v>
      </c>
      <c r="C6212" s="8" t="s">
        <v>10</v>
      </c>
    </row>
    <row r="6213" spans="1:3" x14ac:dyDescent="0.25">
      <c r="A6213" s="8" t="str">
        <f>"Air and Waste Management Association - Hazardous Waste Combustors Conference and Exhibition 2007"</f>
        <v>Air and Waste Management Association - Hazardous Waste Combustors Conference and Exhibition 2007</v>
      </c>
      <c r="B6213" s="8" t="str">
        <f>"9781604238297"</f>
        <v>9781604238297</v>
      </c>
      <c r="C6213" s="8" t="s">
        <v>10</v>
      </c>
    </row>
    <row r="6214" spans="1:3" x14ac:dyDescent="0.25">
      <c r="A6214" s="8" t="str">
        <f>"Air and Waste Management Association - International Conference on Thermal Treatment Technologies and Hazardous Waste Combustors 2011"</f>
        <v>Air and Waste Management Association - International Conference on Thermal Treatment Technologies and Hazardous Waste Combustors 2011</v>
      </c>
      <c r="B6214" s="8" t="str">
        <f>"9781617829536"</f>
        <v>9781617829536</v>
      </c>
      <c r="C6214" s="8" t="s">
        <v>10</v>
      </c>
    </row>
    <row r="6215" spans="1:3" x14ac:dyDescent="0.25">
      <c r="A6215" s="8" t="str">
        <f>"Air and Waste Management Association - International Conference on Thermal Treatment Technologies and Hazardous Waste Combustors 2012"</f>
        <v>Air and Waste Management Association - International Conference on Thermal Treatment Technologies and Hazardous Waste Combustors 2012</v>
      </c>
      <c r="B6215" s="8" t="str">
        <f>"9781622768806"</f>
        <v>9781622768806</v>
      </c>
      <c r="C6215" s="8" t="s">
        <v>10</v>
      </c>
    </row>
    <row r="6216" spans="1:3" x14ac:dyDescent="0.25">
      <c r="A6216" s="8" t="str">
        <f>"Air and Waste Management Association - International Conference on Thermal Treatment Technologies and Hazardous Waste Combustors 2014"</f>
        <v>Air and Waste Management Association - International Conference on Thermal Treatment Technologies and Hazardous Waste Combustors 2014</v>
      </c>
      <c r="B6216" s="8" t="str">
        <f>"9781510800236"</f>
        <v>9781510800236</v>
      </c>
      <c r="C6216" s="8" t="s">
        <v>10</v>
      </c>
    </row>
    <row r="6217" spans="1:3" x14ac:dyDescent="0.25">
      <c r="A6217" s="8" t="str">
        <f>"Air and Waste Management Association - Mini-Symposium on Smart Leak Detection and Repair 2006, At A and WMA's 99th Annual Conference and Exhibition"</f>
        <v>Air and Waste Management Association - Mini-Symposium on Smart Leak Detection and Repair 2006, At A and WMA's 99th Annual Conference and Exhibition</v>
      </c>
      <c r="B6217" s="8" t="str">
        <f>"9781604238310"</f>
        <v>9781604238310</v>
      </c>
      <c r="C6217" s="8" t="s">
        <v>10</v>
      </c>
    </row>
    <row r="6218" spans="1:3" x14ac:dyDescent="0.25">
      <c r="A6218" s="8" t="s">
        <v>1655</v>
      </c>
      <c r="B6218" s="8" t="str">
        <f>"9781622768165"</f>
        <v>9781622768165</v>
      </c>
      <c r="C6218" s="8" t="s">
        <v>10</v>
      </c>
    </row>
    <row r="6219" spans="1:3" x14ac:dyDescent="0.25">
      <c r="A6219" s="8" t="str">
        <f>"Air and Waste Management Association - Practical Sustainability 2009"</f>
        <v>Air and Waste Management Association - Practical Sustainability 2009</v>
      </c>
      <c r="B6219" s="8" t="str">
        <f>"9781615677115"</f>
        <v>9781615677115</v>
      </c>
      <c r="C6219" s="8" t="s">
        <v>10</v>
      </c>
    </row>
    <row r="6220" spans="1:3" x14ac:dyDescent="0.25">
      <c r="A6220" s="8" t="str">
        <f>"Air and Waste Management Association - Symposium on Air Quality Measurement Methods and Technology 2007"</f>
        <v>Air and Waste Management Association - Symposium on Air Quality Measurement Methods and Technology 2007</v>
      </c>
      <c r="B6220" s="8" t="str">
        <f>"9781604239003"</f>
        <v>9781604239003</v>
      </c>
      <c r="C6220" s="8" t="s">
        <v>10</v>
      </c>
    </row>
    <row r="6221" spans="1:3" x14ac:dyDescent="0.25">
      <c r="A6221" s="8" t="str">
        <f>"Air and Waste Management Association - Symposium on Air Quality Measurement Methods and Technology 2010"</f>
        <v>Air and Waste Management Association - Symposium on Air Quality Measurement Methods and Technology 2010</v>
      </c>
      <c r="B6221" s="8" t="str">
        <f>"9781617821974"</f>
        <v>9781617821974</v>
      </c>
      <c r="C6221" s="8" t="s">
        <v>10</v>
      </c>
    </row>
    <row r="6222" spans="1:3" x14ac:dyDescent="0.25">
      <c r="A6222" s="8" t="str">
        <f>"Air and Waste Management Association - Symposium on Air Quality Measurement: Methods and Technology 2006"</f>
        <v>Air and Waste Management Association - Symposium on Air Quality Measurement: Methods and Technology 2006</v>
      </c>
      <c r="B6222" s="8" t="str">
        <f>"9780923204907"</f>
        <v>9780923204907</v>
      </c>
      <c r="C6222" s="8" t="s">
        <v>10</v>
      </c>
    </row>
    <row r="6223" spans="1:3" x14ac:dyDescent="0.25">
      <c r="A6223" s="8" t="str">
        <f>"Air and Waste Management Association - Vapor Intrusion 2010"</f>
        <v>Air and Waste Management Association - Vapor Intrusion 2010</v>
      </c>
      <c r="B6223" s="8" t="str">
        <f>"9781617821707"</f>
        <v>9781617821707</v>
      </c>
      <c r="C6223" s="8" t="s">
        <v>10</v>
      </c>
    </row>
    <row r="6224" spans="1:3" x14ac:dyDescent="0.25">
      <c r="A6224" s="8" t="str">
        <f>"Air and Waste Management Association - Vapor Intrusion Conference 2009"</f>
        <v>Air and Waste Management Association - Vapor Intrusion Conference 2009</v>
      </c>
      <c r="B6224" s="8" t="str">
        <f>"9781615670451"</f>
        <v>9781615670451</v>
      </c>
      <c r="C6224" s="8" t="s">
        <v>10</v>
      </c>
    </row>
    <row r="6225" spans="1:3" x14ac:dyDescent="0.25">
      <c r="A6225" s="8" t="str">
        <f>"Air and Waste Management Association: Symposium on Air Quality Measurement Methods and Technology 2008"</f>
        <v>Air and Waste Management Association: Symposium on Air Quality Measurement Methods and Technology 2008</v>
      </c>
      <c r="B6225" s="8" t="str">
        <f>"9781605609683"</f>
        <v>9781605609683</v>
      </c>
      <c r="C6225" s="8" t="s">
        <v>10</v>
      </c>
    </row>
    <row r="6226" spans="1:3" x14ac:dyDescent="0.25">
      <c r="A6226" s="8" t="str">
        <f>"Air Pollution IX"</f>
        <v>Air Pollution IX</v>
      </c>
      <c r="B6226" s="8" t="str">
        <f>"9781853128776"</f>
        <v>9781853128776</v>
      </c>
      <c r="C6226" s="8" t="s">
        <v>80</v>
      </c>
    </row>
    <row r="6227" spans="1:3" x14ac:dyDescent="0.25">
      <c r="A6227" s="8" t="str">
        <f>"Air Quality Modelling: New Methods for a New Reality"</f>
        <v>Air Quality Modelling: New Methods for a New Reality</v>
      </c>
      <c r="B6227" s="8" t="str">
        <f>"9780923204686"</f>
        <v>9780923204686</v>
      </c>
      <c r="C6227" s="8" t="s">
        <v>10</v>
      </c>
    </row>
    <row r="6228" spans="1:3" x14ac:dyDescent="0.25">
      <c r="A6228" s="8" t="str">
        <f>"Air Traffic Control Association - 52nd Annual Conference of the Air Traffic Control Association 2007"</f>
        <v>Air Traffic Control Association - 52nd Annual Conference of the Air Traffic Control Association 2007</v>
      </c>
      <c r="B6228" s="8" t="str">
        <f>"9781604239508"</f>
        <v>9781604239508</v>
      </c>
      <c r="C6228" s="8" t="s">
        <v>1544</v>
      </c>
    </row>
    <row r="6229" spans="1:3" x14ac:dyDescent="0.25">
      <c r="A6229" s="8" t="str">
        <f>"Air Traffic Control Association - 53rd Air Traffic Control Association Annual Conference 2008"</f>
        <v>Air Traffic Control Association - 53rd Air Traffic Control Association Annual Conference 2008</v>
      </c>
      <c r="B6229" s="8" t="str">
        <f>"9781605607085"</f>
        <v>9781605607085</v>
      </c>
      <c r="C6229" s="8" t="s">
        <v>1544</v>
      </c>
    </row>
    <row r="6230" spans="1:3" x14ac:dyDescent="0.25">
      <c r="A6230" s="8" t="str">
        <f>"Air Traffic Control Association - 54th Air Traffic Control Association Annual Conference 2009"</f>
        <v>Air Traffic Control Association - 54th Air Traffic Control Association Annual Conference 2009</v>
      </c>
      <c r="B6230" s="8" t="str">
        <f>"9781615676002"</f>
        <v>9781615676002</v>
      </c>
      <c r="C6230" s="8" t="s">
        <v>1544</v>
      </c>
    </row>
    <row r="6231" spans="1:3" x14ac:dyDescent="0.25">
      <c r="A6231" s="8" t="str">
        <f>"Air Traffic Control Association - 55th Air Traffic Control Association Annual Conference 2010"</f>
        <v>Air Traffic Control Association - 55th Air Traffic Control Association Annual Conference 2010</v>
      </c>
      <c r="B6231" s="8" t="str">
        <f>"9781617822643"</f>
        <v>9781617822643</v>
      </c>
      <c r="C6231" s="8" t="s">
        <v>1544</v>
      </c>
    </row>
    <row r="6232" spans="1:3" x14ac:dyDescent="0.25">
      <c r="A6232" s="8" t="str">
        <f>"Air Traffic Control Association - 56th Air Traffic Control Association Annual Conference 2011"</f>
        <v>Air Traffic Control Association - 56th Air Traffic Control Association Annual Conference 2011</v>
      </c>
      <c r="B6232" s="8" t="str">
        <f>"9781618396471"</f>
        <v>9781618396471</v>
      </c>
      <c r="C6232" s="8" t="s">
        <v>1544</v>
      </c>
    </row>
    <row r="6233" spans="1:3" x14ac:dyDescent="0.25">
      <c r="A6233" s="8" t="str">
        <f>"Air Traffic Control Association - 57th Air Traffic Control Association Annual Conference and Exposition 2012"</f>
        <v>Air Traffic Control Association - 57th Air Traffic Control Association Annual Conference and Exposition 2012</v>
      </c>
      <c r="B6233" s="8" t="str">
        <f>"9781622767571"</f>
        <v>9781622767571</v>
      </c>
      <c r="C6233" s="8" t="s">
        <v>1544</v>
      </c>
    </row>
    <row r="6234" spans="1:3" x14ac:dyDescent="0.25">
      <c r="A6234" s="8" t="str">
        <f>"Air Traffic Control Association - 58th Air Traffic Control Association Annual Conference and Exposition 2013"</f>
        <v>Air Traffic Control Association - 58th Air Traffic Control Association Annual Conference and Exposition 2013</v>
      </c>
      <c r="B6234" s="8" t="str">
        <f>"9781510809369"</f>
        <v>9781510809369</v>
      </c>
      <c r="C6234" s="8" t="s">
        <v>1544</v>
      </c>
    </row>
    <row r="6235" spans="1:3" x14ac:dyDescent="0.25">
      <c r="A6235" s="8" t="str">
        <f>"Airfield and Highway Pavement 2013: Sustainable and Efficient Pavements - Proceedings of the 2013 Airfield and Highway Pavement Conference"</f>
        <v>Airfield and Highway Pavement 2013: Sustainable and Efficient Pavements - Proceedings of the 2013 Airfield and Highway Pavement Conference</v>
      </c>
      <c r="B6235" s="8" t="str">
        <f>"9780784413005"</f>
        <v>9780784413005</v>
      </c>
      <c r="C6235" s="8" t="s">
        <v>111</v>
      </c>
    </row>
    <row r="6236" spans="1:3" x14ac:dyDescent="0.25">
      <c r="A6236" s="8" t="str">
        <f>"Airfield and Highway Pavements 2015: Innovative and Cost-Effective Pavements for a Sustainable Future - Proceedings of the 2015 International Airfield and Highway Pavements Conference"</f>
        <v>Airfield and Highway Pavements 2015: Innovative and Cost-Effective Pavements for a Sustainable Future - Proceedings of the 2015 International Airfield and Highway Pavements Conference</v>
      </c>
      <c r="B6236" s="8" t="str">
        <f>"9780784479216"</f>
        <v>9780784479216</v>
      </c>
      <c r="C6236" s="8" t="s">
        <v>111</v>
      </c>
    </row>
    <row r="6237" spans="1:3" x14ac:dyDescent="0.25">
      <c r="A6237" s="8" t="str">
        <f>"Airfield and Highway Pavements: Efficient Pavements Supporting Transportation's Future - Proceedings of the 2008 Airfield and Highway Pavements Conference"</f>
        <v>Airfield and Highway Pavements: Efficient Pavements Supporting Transportation's Future - Proceedings of the 2008 Airfield and Highway Pavements Conference</v>
      </c>
      <c r="B6237" s="8" t="str">
        <f>"9780784410059"</f>
        <v>9780784410059</v>
      </c>
      <c r="C6237" s="8" t="s">
        <v>111</v>
      </c>
    </row>
    <row r="6238" spans="1:3" x14ac:dyDescent="0.25">
      <c r="A6238" s="8" t="str">
        <f>"AIRWeb 2008 - Proceedings of the 4th International Workshop on Adversarial Information Retrieval on the Web"</f>
        <v>AIRWeb 2008 - Proceedings of the 4th International Workshop on Adversarial Information Retrieval on the Web</v>
      </c>
      <c r="B6238" s="8" t="str">
        <f>"9781605581590"</f>
        <v>9781605581590</v>
      </c>
      <c r="C6238" s="8" t="s">
        <v>21</v>
      </c>
    </row>
    <row r="6239" spans="1:3" x14ac:dyDescent="0.25">
      <c r="A6239" s="8" t="str">
        <f>"AIS SIGed: IAIM - Proceedings of the 2008 International Conference on Informatics Education"</f>
        <v>AIS SIGed: IAIM - Proceedings of the 2008 International Conference on Informatics Education</v>
      </c>
      <c r="B6239" s="8" t="str">
        <f>"9780620426725"</f>
        <v>9780620426725</v>
      </c>
      <c r="C6239" s="8" t="s">
        <v>289</v>
      </c>
    </row>
    <row r="6240" spans="1:3" x14ac:dyDescent="0.25">
      <c r="A6240" s="8" t="str">
        <f>"AISB '05 Convention: Social Intelligence and Interaction in Animals, Robots and Agents - Proceedings of the Symposium on Normative Multi-Agent Systems"</f>
        <v>AISB '05 Convention: Social Intelligence and Interaction in Animals, Robots and Agents - Proceedings of the Symposium on Normative Multi-Agent Systems</v>
      </c>
      <c r="B6240" s="8" t="str">
        <f>"-"</f>
        <v>-</v>
      </c>
      <c r="C6240" s="8" t="s">
        <v>1656</v>
      </c>
    </row>
    <row r="6241" spans="1:3" x14ac:dyDescent="0.25">
      <c r="A6241" s="8" t="str">
        <f>"AISB 2008 Convention: Communication, Interaction and Social Intelligence - Proc. of the Symp. on the Reign of Catz and Dogz: 2nd AISB Symp. on the Role of Virtual Creatures in a Computerized Society"</f>
        <v>AISB 2008 Convention: Communication, Interaction and Social Intelligence - Proc. of the Symp. on the Reign of Catz and Dogz: 2nd AISB Symp. on the Role of Virtual Creatures in a Computerized Society</v>
      </c>
      <c r="B6241" s="8" t="str">
        <f>"9781902956602"</f>
        <v>9781902956602</v>
      </c>
      <c r="C6241" s="8" t="s">
        <v>1657</v>
      </c>
    </row>
    <row r="6242" spans="1:3" x14ac:dyDescent="0.25">
      <c r="A6242" s="8" t="str">
        <f>"AISB 2008 Convention: Communication, Interaction and Social Intelligence - Proceedings of the AISB 2008 Symposium on Affective Language in Human and Machine"</f>
        <v>AISB 2008 Convention: Communication, Interaction and Social Intelligence - Proceedings of the AISB 2008 Symposium on Affective Language in Human and Machine</v>
      </c>
      <c r="B6242" s="8" t="str">
        <f>"9781902956619"</f>
        <v>9781902956619</v>
      </c>
      <c r="C6242" s="8" t="s">
        <v>1657</v>
      </c>
    </row>
    <row r="6243" spans="1:3" x14ac:dyDescent="0.25">
      <c r="A6243" s="8" t="str">
        <f>"AISB 2008 Convention: Communication, Interaction and Social Intelligence - Proceedings of the AISB 2008 Symposium on Agent Cognitive Ability and Orders of Emergence"</f>
        <v>AISB 2008 Convention: Communication, Interaction and Social Intelligence - Proceedings of the AISB 2008 Symposium on Agent Cognitive Ability and Orders of Emergence</v>
      </c>
      <c r="B6243" s="8" t="str">
        <f>"9781902956657"</f>
        <v>9781902956657</v>
      </c>
      <c r="C6243" s="8" t="s">
        <v>1657</v>
      </c>
    </row>
    <row r="6244" spans="1:3" x14ac:dyDescent="0.25">
      <c r="A6244" s="8" t="str">
        <f>"AISB 2008 Convention: Communication, Interaction and Social Intelligence - Proceedings of the AISB 2008 Symposium on Behaviour Regulation in Multi-Agent Systems"</f>
        <v>AISB 2008 Convention: Communication, Interaction and Social Intelligence - Proceedings of the AISB 2008 Symposium on Behaviour Regulation in Multi-Agent Systems</v>
      </c>
      <c r="B6244" s="8" t="str">
        <f>"9781902956640"</f>
        <v>9781902956640</v>
      </c>
      <c r="C6244" s="8" t="s">
        <v>1657</v>
      </c>
    </row>
    <row r="6245" spans="1:3" x14ac:dyDescent="0.25">
      <c r="A6245" s="8" t="str">
        <f>"AISB 2008 Convention: Communication, Interaction and Social Intelligence - Proceedings of the AISB 2008 Symposium on Brain Computer Interfaces and Human Computer Interaction: A Convergence of Ideas"</f>
        <v>AISB 2008 Convention: Communication, Interaction and Social Intelligence - Proceedings of the AISB 2008 Symposium on Brain Computer Interfaces and Human Computer Interaction: A Convergence of Ideas</v>
      </c>
      <c r="B6245" s="8" t="str">
        <f>"9781902956640"</f>
        <v>9781902956640</v>
      </c>
      <c r="C6245" s="8" t="s">
        <v>1657</v>
      </c>
    </row>
    <row r="6246" spans="1:3" x14ac:dyDescent="0.25">
      <c r="A6246" s="8" t="str">
        <f>"AISB 2008 Convention: Communication, Interaction and Social Intelligence - Proceedings of the AISB 2008 Symposium on Computing and Philosophy"</f>
        <v>AISB 2008 Convention: Communication, Interaction and Social Intelligence - Proceedings of the AISB 2008 Symposium on Computing and Philosophy</v>
      </c>
      <c r="B6246" s="8" t="str">
        <f>"9781902956718"</f>
        <v>9781902956718</v>
      </c>
      <c r="C6246" s="8" t="s">
        <v>1657</v>
      </c>
    </row>
    <row r="6247" spans="1:3" x14ac:dyDescent="0.25">
      <c r="A6247" s="8" t="str">
        <f>"AISB 2008 Convention: Communication, Interaction and Social Intelligence - Proceedings of the AISB 2008 Symposium on Intelligent Agents and Services for Smart Environments"</f>
        <v>AISB 2008 Convention: Communication, Interaction and Social Intelligence - Proceedings of the AISB 2008 Symposium on Intelligent Agents and Services for Smart Environments</v>
      </c>
      <c r="B6247" s="8" t="str">
        <f>"9781902956671"</f>
        <v>9781902956671</v>
      </c>
      <c r="C6247" s="8" t="s">
        <v>1657</v>
      </c>
    </row>
    <row r="6248" spans="1:3" x14ac:dyDescent="0.25">
      <c r="A6248" s="8" t="str">
        <f>"AISB 2008 Convention: Communication, Interaction and Social Intelligence - Proceedings of the AISB 2008 Symposium on Logic and the Simulation of Interaction and Reasoning"</f>
        <v>AISB 2008 Convention: Communication, Interaction and Social Intelligence - Proceedings of the AISB 2008 Symposium on Logic and the Simulation of Interaction and Reasoning</v>
      </c>
      <c r="B6248" s="8" t="str">
        <f>"9781902956688"</f>
        <v>9781902956688</v>
      </c>
      <c r="C6248" s="8" t="s">
        <v>1657</v>
      </c>
    </row>
    <row r="6249" spans="1:3" x14ac:dyDescent="0.25">
      <c r="A6249" s="8" t="str">
        <f>"AISB 2008 Convention: Communication, Interaction and Social Intelligence - Proceedings of the AISB 2008 Symposium on Multimodal Output Generation, MOG 2008"</f>
        <v>AISB 2008 Convention: Communication, Interaction and Social Intelligence - Proceedings of the AISB 2008 Symposium on Multimodal Output Generation, MOG 2008</v>
      </c>
      <c r="B6249" s="8" t="str">
        <f>"9781902956695"</f>
        <v>9781902956695</v>
      </c>
      <c r="C6249" s="8" t="s">
        <v>1657</v>
      </c>
    </row>
    <row r="6250" spans="1:3" x14ac:dyDescent="0.25">
      <c r="A6250" s="8" t="str">
        <f>"AISB 2008 Convention: Communication, Interaction and Social Intelligence - Proceedings of the AISB 2008 Symposium on Persuasive Technology"</f>
        <v>AISB 2008 Convention: Communication, Interaction and Social Intelligence - Proceedings of the AISB 2008 Symposium on Persuasive Technology</v>
      </c>
      <c r="B6250" s="8" t="str">
        <f>"9781902956626"</f>
        <v>9781902956626</v>
      </c>
      <c r="C6250" s="8" t="s">
        <v>1657</v>
      </c>
    </row>
    <row r="6251" spans="1:3" x14ac:dyDescent="0.25">
      <c r="A6251" s="8" t="str">
        <f>"AISB 2008 Convention: Communication, Interaction and Social Intelligence - Proceedings of the AISB 2008 Symposium on Style in Text: Creative Generation and Identification of Authorship"</f>
        <v>AISB 2008 Convention: Communication, Interaction and Social Intelligence - Proceedings of the AISB 2008 Symposium on Style in Text: Creative Generation and Identification of Authorship</v>
      </c>
      <c r="B6251" s="8" t="str">
        <f>"9781902956664"</f>
        <v>9781902956664</v>
      </c>
      <c r="C6251" s="8" t="s">
        <v>1657</v>
      </c>
    </row>
    <row r="6252" spans="1:3" x14ac:dyDescent="0.25">
      <c r="A6252" s="8" t="str">
        <f>"AISB 2008 Convention: Communication, Interaction and Social Intelligence - Proceedings of the AISB 2008 Symposium on Swarm Intelligence Algorithms and Applications"</f>
        <v>AISB 2008 Convention: Communication, Interaction and Social Intelligence - Proceedings of the AISB 2008 Symposium on Swarm Intelligence Algorithms and Applications</v>
      </c>
      <c r="B6252" s="8" t="str">
        <f>"9781902956701"</f>
        <v>9781902956701</v>
      </c>
      <c r="C6252" s="8" t="s">
        <v>1657</v>
      </c>
    </row>
    <row r="6253" spans="1:3" x14ac:dyDescent="0.25">
      <c r="A6253" s="8" t="str">
        <f>"AISB 2011 Convention - Proceedings of the AISB 2011 Symposium on Architectures for Active Vision"</f>
        <v>AISB 2011 Convention - Proceedings of the AISB 2011 Symposium on Architectures for Active Vision</v>
      </c>
      <c r="B6253" s="8" t="str">
        <f>"9781908187000"</f>
        <v>9781908187000</v>
      </c>
      <c r="C6253" s="8" t="s">
        <v>1656</v>
      </c>
    </row>
    <row r="6254" spans="1:3" x14ac:dyDescent="0.25">
      <c r="A6254" s="8" t="str">
        <f>"AISB 2011: AI and Games"</f>
        <v>AISB 2011: AI and Games</v>
      </c>
      <c r="B6254" s="8" t="str">
        <f>"9781908187017"</f>
        <v>9781908187017</v>
      </c>
      <c r="C6254" s="8" t="s">
        <v>1656</v>
      </c>
    </row>
    <row r="6255" spans="1:3" x14ac:dyDescent="0.25">
      <c r="A6255" s="8" t="str">
        <f>"AISB 2011: Computational Models of Cognitive Development"</f>
        <v>AISB 2011: Computational Models of Cognitive Development</v>
      </c>
      <c r="B6255" s="8" t="str">
        <f>"9781908187024"</f>
        <v>9781908187024</v>
      </c>
      <c r="C6255" s="8" t="s">
        <v>1656</v>
      </c>
    </row>
    <row r="6256" spans="1:3" x14ac:dyDescent="0.25">
      <c r="A6256" s="8" t="str">
        <f>"AISB 2011: Computing and Philosophy"</f>
        <v>AISB 2011: Computing and Philosophy</v>
      </c>
      <c r="B6256" s="8" t="str">
        <f>"9781908187031"</f>
        <v>9781908187031</v>
      </c>
      <c r="C6256" s="8" t="s">
        <v>1656</v>
      </c>
    </row>
    <row r="6257" spans="1:3" x14ac:dyDescent="0.25">
      <c r="A6257" s="8" t="str">
        <f>"AISB 2011: Human Memory for Artificial Agents"</f>
        <v>AISB 2011: Human Memory for Artificial Agents</v>
      </c>
      <c r="B6257" s="8" t="str">
        <f>"9781908187048"</f>
        <v>9781908187048</v>
      </c>
      <c r="C6257" s="8" t="s">
        <v>1656</v>
      </c>
    </row>
    <row r="6258" spans="1:3" x14ac:dyDescent="0.25">
      <c r="A6258" s="8" t="str">
        <f>"AISB 2011: Learning Language Models from Multilingual Corpora"</f>
        <v>AISB 2011: Learning Language Models from Multilingual Corpora</v>
      </c>
      <c r="B6258" s="8" t="str">
        <f>"9781908187055"</f>
        <v>9781908187055</v>
      </c>
      <c r="C6258" s="8" t="s">
        <v>1656</v>
      </c>
    </row>
    <row r="6259" spans="1:3" x14ac:dyDescent="0.25">
      <c r="A6259" s="8" t="str">
        <f>"AISB 2011: Social Networks and Multiagent Systems"</f>
        <v>AISB 2011: Social Networks and Multiagent Systems</v>
      </c>
      <c r="B6259" s="8" t="str">
        <f>"9781908187079"</f>
        <v>9781908187079</v>
      </c>
      <c r="C6259" s="8" t="s">
        <v>1656</v>
      </c>
    </row>
    <row r="6260" spans="1:3" x14ac:dyDescent="0.25">
      <c r="A6260" s="8" t="str">
        <f>"AISB 2011: Towards a Comprehensive Intelligence Test"</f>
        <v>AISB 2011: Towards a Comprehensive Intelligence Test</v>
      </c>
      <c r="B6260" s="8" t="str">
        <f>"9781908187086"</f>
        <v>9781908187086</v>
      </c>
      <c r="C6260" s="8" t="s">
        <v>1656</v>
      </c>
    </row>
    <row r="6261" spans="1:3" x14ac:dyDescent="0.25">
      <c r="A6261" s="8" t="str">
        <f>"AISB Convention 2015"</f>
        <v>AISB Convention 2015</v>
      </c>
      <c r="B6261" s="8" t="str">
        <f>"-"</f>
        <v>-</v>
      </c>
      <c r="C6261" s="8" t="s">
        <v>1658</v>
      </c>
    </row>
    <row r="6262" spans="1:3" x14ac:dyDescent="0.25">
      <c r="A6262" s="8" t="str">
        <f>"AISB/IACAP World Congress 2012 - 5th AISB Symposium on Computing and Philosophy: Computing, Philosophy and the Question of Bio-Machine Hybrids, Part of Alan Turing Year 2012"</f>
        <v>AISB/IACAP World Congress 2012 - 5th AISB Symposium on Computing and Philosophy: Computing, Philosophy and the Question of Bio-Machine Hybrids, Part of Alan Turing Year 2012</v>
      </c>
      <c r="B6262" s="8" t="str">
        <f>"9781908187116"</f>
        <v>9781908187116</v>
      </c>
      <c r="C6262" s="8" t="s">
        <v>1657</v>
      </c>
    </row>
    <row r="6263" spans="1:3" x14ac:dyDescent="0.25">
      <c r="A6263" s="8" t="str">
        <f>"AISB/IACAP World Congress 2012 - The Machine Question: AI, Ethics and Moral Responsibility, Part of Alan Turing Year 2012"</f>
        <v>AISB/IACAP World Congress 2012 - The Machine Question: AI, Ethics and Moral Responsibility, Part of Alan Turing Year 2012</v>
      </c>
      <c r="B6263" s="8" t="str">
        <f>"9781908187215"</f>
        <v>9781908187215</v>
      </c>
      <c r="C6263" s="8" t="s">
        <v>1657</v>
      </c>
    </row>
    <row r="6264" spans="1:3" x14ac:dyDescent="0.25">
      <c r="A6264" s="8" t="str">
        <f>"AISB/IACAP World Congress 2012: 1st Symposium on Nature Inspired Computation and Applications, NICA 2012, Part of Alan Turing Year 2012"</f>
        <v>AISB/IACAP World Congress 2012: 1st Symposium on Nature Inspired Computation and Applications, NICA 2012, Part of Alan Turing Year 2012</v>
      </c>
      <c r="B6264" s="8" t="str">
        <f>"9781908187253"</f>
        <v>9781908187253</v>
      </c>
      <c r="C6264" s="8" t="s">
        <v>1657</v>
      </c>
    </row>
    <row r="6265" spans="1:3" x14ac:dyDescent="0.25">
      <c r="A6265" s="8" t="str">
        <f>"AISB/IACAP World Congress 2012: Computational Philosophy, Part of Alan Turing Year 2012"</f>
        <v>AISB/IACAP World Congress 2012: Computational Philosophy, Part of Alan Turing Year 2012</v>
      </c>
      <c r="B6265" s="8" t="str">
        <f>"9781908187123"</f>
        <v>9781908187123</v>
      </c>
      <c r="C6265" s="8" t="s">
        <v>1657</v>
      </c>
    </row>
    <row r="6266" spans="1:3" x14ac:dyDescent="0.25">
      <c r="A6266" s="8" t="str">
        <f>"AISB/IACAP World Congress 2012: Framework for Responsible Research and Innovation in AI, Part of Alan Turing Year 2012"</f>
        <v>AISB/IACAP World Congress 2012: Framework for Responsible Research and Innovation in AI, Part of Alan Turing Year 2012</v>
      </c>
      <c r="B6266" s="8" t="str">
        <f>"9781908187208"</f>
        <v>9781908187208</v>
      </c>
      <c r="C6266" s="8" t="s">
        <v>1657</v>
      </c>
    </row>
    <row r="6267" spans="1:3" x14ac:dyDescent="0.25">
      <c r="A6267" s="8" t="str">
        <f>"AISB/IACAP World Congress 2012: Linguistic and Cognitive Approaches to Dialogue Agents, Part of Alan Turing Year 2012"</f>
        <v>AISB/IACAP World Congress 2012: Linguistic and Cognitive Approaches to Dialogue Agents, Part of Alan Turing Year 2012</v>
      </c>
      <c r="B6267" s="8" t="str">
        <f>"9781908187161"</f>
        <v>9781908187161</v>
      </c>
      <c r="C6267" s="8" t="s">
        <v>1657</v>
      </c>
    </row>
    <row r="6268" spans="1:3" x14ac:dyDescent="0.25">
      <c r="A6268" s="8" t="str">
        <f>"AISB/IACAP World Congress 2012: Moral Cognition and Theory of Mind, Part of Alan Turing Year 2012"</f>
        <v>AISB/IACAP World Congress 2012: Moral Cognition and Theory of Mind, Part of Alan Turing Year 2012</v>
      </c>
      <c r="B6268" s="8" t="str">
        <f>"9781908187222"</f>
        <v>9781908187222</v>
      </c>
      <c r="C6268" s="8" t="s">
        <v>1657</v>
      </c>
    </row>
    <row r="6269" spans="1:3" x14ac:dyDescent="0.25">
      <c r="A6269" s="8" t="str">
        <f>"AISB/IACAP World Congress 2012: Natural Computing/Unconventional Computing and Its Philosophical Significance, Part of Alan Turing Year 2012"</f>
        <v>AISB/IACAP World Congress 2012: Natural Computing/Unconventional Computing and Its Philosophical Significance, Part of Alan Turing Year 2012</v>
      </c>
      <c r="B6269" s="8" t="str">
        <f>"9781908187246"</f>
        <v>9781908187246</v>
      </c>
      <c r="C6269" s="8" t="s">
        <v>1657</v>
      </c>
    </row>
    <row r="6270" spans="1:3" x14ac:dyDescent="0.25">
      <c r="A6270" s="8" t="str">
        <f>"AISB/IACAP World Congress 2012: Revisiting Turing and His Test: Comprehensiveness, Qualia, and the Real World, Part of Alan Turing Year 2012"</f>
        <v>AISB/IACAP World Congress 2012: Revisiting Turing and His Test: Comprehensiveness, Qualia, and the Real World, Part of Alan Turing Year 2012</v>
      </c>
      <c r="B6270" s="8" t="str">
        <f>"9781908187154"</f>
        <v>9781908187154</v>
      </c>
      <c r="C6270" s="8" t="s">
        <v>1657</v>
      </c>
    </row>
    <row r="6271" spans="1:3" x14ac:dyDescent="0.25">
      <c r="A6271" s="8" t="str">
        <f>"AISB/IACAP World Congress 2012: Social Computing, Social Cognition, Social Networks and Multiagent Systems, Social Turn - SNAMAS 2012, Part of Alan Turing Year 2012"</f>
        <v>AISB/IACAP World Congress 2012: Social Computing, Social Cognition, Social Networks and Multiagent Systems, Social Turn - SNAMAS 2012, Part of Alan Turing Year 2012</v>
      </c>
      <c r="B6271" s="8" t="str">
        <f>"9781908187185"</f>
        <v>9781908187185</v>
      </c>
      <c r="C6271" s="8" t="s">
        <v>1657</v>
      </c>
    </row>
    <row r="6272" spans="1:3" x14ac:dyDescent="0.25">
      <c r="A6272" s="8" t="str">
        <f>"AISB/IACAP World Congress 2012: Symposium on Mathematical Practice and Cognition II, Part of Alan Turing Year 2012"</f>
        <v>AISB/IACAP World Congress 2012: Symposium on Mathematical Practice and Cognition II, Part of Alan Turing Year 2012</v>
      </c>
      <c r="B6272" s="8" t="str">
        <f>"9781908187109"</f>
        <v>9781908187109</v>
      </c>
      <c r="C6272" s="8" t="s">
        <v>1657</v>
      </c>
    </row>
    <row r="6273" spans="1:3" x14ac:dyDescent="0.25">
      <c r="A6273" s="8" t="str">
        <f>"AISB/IACAP World Congress 2012: Symposium on the History and Philosophy of Programming, Part of Alan Turing Year 2012"</f>
        <v>AISB/IACAP World Congress 2012: Symposium on the History and Philosophy of Programming, Part of Alan Turing Year 2012</v>
      </c>
      <c r="B6273" s="8" t="str">
        <f>"9781908187178"</f>
        <v>9781908187178</v>
      </c>
      <c r="C6273" s="8" t="s">
        <v>1657</v>
      </c>
    </row>
    <row r="6274" spans="1:3" x14ac:dyDescent="0.25">
      <c r="A6274" s="8" t="str">
        <f>"AISB/IACAP World Congress 2012: Turing Arts Symposium, Part of Alan Turing Year 2012"</f>
        <v>AISB/IACAP World Congress 2012: Turing Arts Symposium, Part of Alan Turing Year 2012</v>
      </c>
      <c r="B6274" s="8" t="str">
        <f>"9781908187130"</f>
        <v>9781908187130</v>
      </c>
      <c r="C6274" s="8" t="s">
        <v>1657</v>
      </c>
    </row>
    <row r="6275" spans="1:3" x14ac:dyDescent="0.25">
      <c r="A6275" s="8" t="str">
        <f>"AISB/IACAP World Congress 2012: Understanding and Modelling Collective Phenomena, Part of Alan Turing Year 2012"</f>
        <v>AISB/IACAP World Congress 2012: Understanding and Modelling Collective Phenomena, Part of Alan Turing Year 2012</v>
      </c>
      <c r="B6275" s="8" t="str">
        <f>"9781908187192"</f>
        <v>9781908187192</v>
      </c>
      <c r="C6275" s="8" t="s">
        <v>1657</v>
      </c>
    </row>
    <row r="6276" spans="1:3" x14ac:dyDescent="0.25">
      <c r="A6276" s="8" t="str">
        <f>"AISB'05 Convention: Proceedings of the Symposium on Next Generation Approaches to Machine Consciousness: Imagination, Development, Intersubjectivity and Embodiment"</f>
        <v>AISB'05 Convention: Proceedings of the Symposium on Next Generation Approaches to Machine Consciousness: Imagination, Development, Intersubjectivity and Embodiment</v>
      </c>
      <c r="B6276" s="8" t="str">
        <f t="shared" ref="B6276:B6285" si="14">"-"</f>
        <v>-</v>
      </c>
      <c r="C6276" s="8" t="s">
        <v>1658</v>
      </c>
    </row>
    <row r="6277" spans="1:3" x14ac:dyDescent="0.25">
      <c r="A6277" s="8" t="str">
        <f>"AISB'05 Convention: Social Intelligence and Interaction in Animals, Robots and Agents - Proc. of Symp. on Robotics, Mechatronics and Animatronics in the Creative and Entertainment Industries and Arts"</f>
        <v>AISB'05 Convention: Social Intelligence and Interaction in Animals, Robots and Agents - Proc. of Symp. on Robotics, Mechatronics and Animatronics in the Creative and Entertainment Industries and Arts</v>
      </c>
      <c r="B6277" s="8" t="str">
        <f t="shared" si="14"/>
        <v>-</v>
      </c>
      <c r="C6277" s="8" t="s">
        <v>1658</v>
      </c>
    </row>
    <row r="6278" spans="1:3" x14ac:dyDescent="0.25">
      <c r="A6278" s="8" t="str">
        <f>"AISB'05 Convention: Social Intelligence and Interaction in Animals, Robots and Agents - Proc. of the 2nd International Symposium on the Emergence and Evolution of Linguistic Communication, EELC'05"</f>
        <v>AISB'05 Convention: Social Intelligence and Interaction in Animals, Robots and Agents - Proc. of the 2nd International Symposium on the Emergence and Evolution of Linguistic Communication, EELC'05</v>
      </c>
      <c r="B6278" s="8" t="str">
        <f t="shared" si="14"/>
        <v>-</v>
      </c>
      <c r="C6278" s="8" t="s">
        <v>1658</v>
      </c>
    </row>
    <row r="6279" spans="1:3" x14ac:dyDescent="0.25">
      <c r="A6279" s="8" t="str">
        <f>"AISB'05 Convention: Social Intelligence and Interaction in Animals, Robots and Agents - Proc. of the Symposium on Agents that Want and Like: Motivational and Emotional Roots of Cognition and Action"</f>
        <v>AISB'05 Convention: Social Intelligence and Interaction in Animals, Robots and Agents - Proc. of the Symposium on Agents that Want and Like: Motivational and Emotional Roots of Cognition and Action</v>
      </c>
      <c r="B6279" s="8" t="str">
        <f t="shared" si="14"/>
        <v>-</v>
      </c>
      <c r="C6279" s="8" t="s">
        <v>1658</v>
      </c>
    </row>
    <row r="6280" spans="1:3" x14ac:dyDescent="0.25">
      <c r="A6280" s="8" t="str">
        <f>"AISB'05 Convention: Social Intelligence and Interaction in Animals, Robots and Agents - Proceedings of the 3rd International Symposium on Imitation in Animals and Artifacts"</f>
        <v>AISB'05 Convention: Social Intelligence and Interaction in Animals, Robots and Agents - Proceedings of the 3rd International Symposium on Imitation in Animals and Artifacts</v>
      </c>
      <c r="B6280" s="8" t="str">
        <f t="shared" si="14"/>
        <v>-</v>
      </c>
      <c r="C6280" s="8" t="s">
        <v>1658</v>
      </c>
    </row>
    <row r="6281" spans="1:3" x14ac:dyDescent="0.25">
      <c r="A6281" s="8" t="str">
        <f>"AISB'05 Convention: Social Intelligence and Interaction in Animals, Robots and Agents - Proceedings of the Symposium on Normative Multi-Agent Systems"</f>
        <v>AISB'05 Convention: Social Intelligence and Interaction in Animals, Robots and Agents - Proceedings of the Symposium on Normative Multi-Agent Systems</v>
      </c>
      <c r="B6281" s="8" t="str">
        <f t="shared" si="14"/>
        <v>-</v>
      </c>
      <c r="C6281" s="8" t="s">
        <v>1658</v>
      </c>
    </row>
    <row r="6282" spans="1:3" x14ac:dyDescent="0.25">
      <c r="A6282" s="8" t="str">
        <f>"AISB'05 Convention: Social Intelligence and Interaction in Animals, Robots and Agents - Proceedings of the Symposium on Robot Companions: Hard Problems and Open Challenges in Robot-Human Interaction"</f>
        <v>AISB'05 Convention: Social Intelligence and Interaction in Animals, Robots and Agents - Proceedings of the Symposium on Robot Companions: Hard Problems and Open Challenges in Robot-Human Interaction</v>
      </c>
      <c r="B6282" s="8" t="str">
        <f t="shared" si="14"/>
        <v>-</v>
      </c>
      <c r="C6282" s="8" t="s">
        <v>1658</v>
      </c>
    </row>
    <row r="6283" spans="1:3" x14ac:dyDescent="0.25">
      <c r="A6283" s="8" t="str">
        <f>"AISB'05 Convention:Proceedings of the Joint Symposium on Virtual Social Agents: Social Presence Cues for Virtual Humanoids Empathic Interaction with Synthetic Characters Mind Minding Agents"</f>
        <v>AISB'05 Convention:Proceedings of the Joint Symposium on Virtual Social Agents: Social Presence Cues for Virtual Humanoids Empathic Interaction with Synthetic Characters Mind Minding Agents</v>
      </c>
      <c r="B6283" s="8" t="str">
        <f t="shared" si="14"/>
        <v>-</v>
      </c>
      <c r="C6283" s="8" t="s">
        <v>1658</v>
      </c>
    </row>
    <row r="6284" spans="1:3" x14ac:dyDescent="0.25">
      <c r="A6284" s="8" t="str">
        <f>"AISB'05 Convention:Proceedings of the Socially Inspired Computing Joint Symposium: Memetic Theory in Artificial Systems and Societies Emerging Artificial Societies Engineering with Social Metaphors"</f>
        <v>AISB'05 Convention:Proceedings of the Socially Inspired Computing Joint Symposium: Memetic Theory in Artificial Systems and Societies Emerging Artificial Societies Engineering with Social Metaphors</v>
      </c>
      <c r="B6284" s="8" t="str">
        <f t="shared" si="14"/>
        <v>-</v>
      </c>
      <c r="C6284" s="8" t="s">
        <v>1658</v>
      </c>
    </row>
    <row r="6285" spans="1:3" x14ac:dyDescent="0.25">
      <c r="A6285" s="8" t="str">
        <f>"AISB'07: Artificial and Ambient Intelligence"</f>
        <v>AISB'07: Artificial and Ambient Intelligence</v>
      </c>
      <c r="B6285" s="8" t="str">
        <f t="shared" si="14"/>
        <v>-</v>
      </c>
      <c r="C6285" s="8" t="s">
        <v>1465</v>
      </c>
    </row>
    <row r="6286" spans="1:3" x14ac:dyDescent="0.25">
      <c r="A6286" s="8" t="str">
        <f>"AISP 2012 - 16th CSI International Symposium on Artificial Intelligence and Signal Processing"</f>
        <v>AISP 2012 - 16th CSI International Symposium on Artificial Intelligence and Signal Processing</v>
      </c>
      <c r="B6286" s="8" t="str">
        <f>"9781467314794"</f>
        <v>9781467314794</v>
      </c>
      <c r="C6286" s="8" t="s">
        <v>9</v>
      </c>
    </row>
    <row r="6287" spans="1:3" x14ac:dyDescent="0.25">
      <c r="A6287" s="8" t="str">
        <f>"AIST Steel Properties and Applications Conference Proceedings - Combined with MS and T'10, Materials Science and Technology 2010"</f>
        <v>AIST Steel Properties and Applications Conference Proceedings - Combined with MS and T'10, Materials Science and Technology 2010</v>
      </c>
      <c r="B6287" s="8" t="str">
        <f>"9781935117131"</f>
        <v>9781935117131</v>
      </c>
      <c r="C6287" s="8" t="s">
        <v>113</v>
      </c>
    </row>
    <row r="6288" spans="1:3" x14ac:dyDescent="0.25">
      <c r="A6288" s="8" t="str">
        <f>"AIST Steel Properties and Applications Conference Proceedings - Combined with MS and T'11, Materials Science and Technology 2011"</f>
        <v>AIST Steel Properties and Applications Conference Proceedings - Combined with MS and T'11, Materials Science and Technology 2011</v>
      </c>
      <c r="B6288" s="8" t="str">
        <f>"9781935117223"</f>
        <v>9781935117223</v>
      </c>
      <c r="C6288" s="8" t="s">
        <v>113</v>
      </c>
    </row>
    <row r="6289" spans="1:3" x14ac:dyDescent="0.25">
      <c r="A6289" s="8" t="str">
        <f>"AIST Steel Properties and Applications Conference Proceedings - Combined with MS and T'12, Materials Science and Technology 2012"</f>
        <v>AIST Steel Properties and Applications Conference Proceedings - Combined with MS and T'12, Materials Science and Technology 2012</v>
      </c>
      <c r="B6289" s="8" t="str">
        <f>"9781935117278"</f>
        <v>9781935117278</v>
      </c>
      <c r="C6289" s="8" t="s">
        <v>113</v>
      </c>
    </row>
    <row r="6290" spans="1:3" x14ac:dyDescent="0.25">
      <c r="A6290" s="8" t="str">
        <f>"AIST Steel Properties and Applications Conference Proceedings, Combined with Ms and T'07, Materials Science and Technology 2007"</f>
        <v>AIST Steel Properties and Applications Conference Proceedings, Combined with Ms and T'07, Materials Science and Technology 2007</v>
      </c>
      <c r="B6290" s="8" t="str">
        <f>"-"</f>
        <v>-</v>
      </c>
      <c r="C6290" s="8" t="s">
        <v>113</v>
      </c>
    </row>
    <row r="6291" spans="1:3" x14ac:dyDescent="0.25">
      <c r="A6291" s="8" t="str">
        <f>"AISTATS 2005 - Proceedings of the 10th International Workshop on Artificial Intelligence and Statistics"</f>
        <v>AISTATS 2005 - Proceedings of the 10th International Workshop on Artificial Intelligence and Statistics</v>
      </c>
      <c r="B6291" s="8" t="str">
        <f>"9780972735810"</f>
        <v>9780972735810</v>
      </c>
      <c r="C6291" s="8" t="s">
        <v>1659</v>
      </c>
    </row>
    <row r="6292" spans="1:3" x14ac:dyDescent="0.25">
      <c r="A6292" s="8" t="str">
        <f>"AKBC 2013 - Proceedings of the 2013 Workshop on Automated Knowledge Base Construction, Co-located with CIKM 2013"</f>
        <v>AKBC 2013 - Proceedings of the 2013 Workshop on Automated Knowledge Base Construction, Co-located with CIKM 2013</v>
      </c>
      <c r="B6292" s="8" t="str">
        <f>"9781450324113"</f>
        <v>9781450324113</v>
      </c>
      <c r="C6292" s="8" t="s">
        <v>21</v>
      </c>
    </row>
    <row r="6293" spans="1:3" x14ac:dyDescent="0.25">
      <c r="A6293" s="8" t="str">
        <f>"Algebraic Topology: The Abel Symposium 2007 - Proceedings of the 4th Abel Symposium"</f>
        <v>Algebraic Topology: The Abel Symposium 2007 - Proceedings of the 4th Abel Symposium</v>
      </c>
      <c r="B6293" s="8" t="str">
        <f>"9783642011993"</f>
        <v>9783642011993</v>
      </c>
      <c r="C6293" s="8" t="s">
        <v>42</v>
      </c>
    </row>
    <row r="6294" spans="1:3" x14ac:dyDescent="0.25">
      <c r="A6294" s="8" t="str">
        <f>"Allergens: Food Chain Allergen Management - Proceedings of a Conference held at Leatherhead Food Research"</f>
        <v>Allergens: Food Chain Allergen Management - Proceedings of a Conference held at Leatherhead Food Research</v>
      </c>
      <c r="B6294" s="8" t="str">
        <f>"9781905224852"</f>
        <v>9781905224852</v>
      </c>
      <c r="C6294" s="8" t="s">
        <v>1660</v>
      </c>
    </row>
    <row r="6295" spans="1:3" x14ac:dyDescent="0.25">
      <c r="A6295" s="8" t="str">
        <f>"Ambient Intelligence Perspectives - Selected Papers from the 1st International Ambient Intelligence Forum 2008, AmIF 2008"</f>
        <v>Ambient Intelligence Perspectives - Selected Papers from the 1st International Ambient Intelligence Forum 2008, AmIF 2008</v>
      </c>
      <c r="B6295" s="8" t="str">
        <f>"9781586039462"</f>
        <v>9781586039462</v>
      </c>
      <c r="C6295" s="8" t="s">
        <v>103</v>
      </c>
    </row>
    <row r="6296" spans="1:3" x14ac:dyDescent="0.25">
      <c r="A6296" s="8" t="str">
        <f>"Ambient Intelligence Perspectives II - Selected Papers from the 2nd International Ambient Intelligence Forum 2009, AmIF 2009"</f>
        <v>Ambient Intelligence Perspectives II - Selected Papers from the 2nd International Ambient Intelligence Forum 2009, AmIF 2009</v>
      </c>
      <c r="B6296" s="8" t="str">
        <f>"9781607504801"</f>
        <v>9781607504801</v>
      </c>
      <c r="C6296" s="8" t="s">
        <v>103</v>
      </c>
    </row>
    <row r="6297" spans="1:3" x14ac:dyDescent="0.25">
      <c r="A6297" s="8" t="str">
        <f>"American Association of Textile Chemists and Colorists Annual International Conference and Exhibition 2005"</f>
        <v>American Association of Textile Chemists and Colorists Annual International Conference and Exhibition 2005</v>
      </c>
      <c r="B6297" s="8" t="str">
        <f>"9781605609911"</f>
        <v>9781605609911</v>
      </c>
      <c r="C6297" s="8" t="s">
        <v>1661</v>
      </c>
    </row>
    <row r="6298" spans="1:3" x14ac:dyDescent="0.25">
      <c r="A6298" s="8" t="str">
        <f>"American Association of Textile Chemists and Colorists International Conference 2009"</f>
        <v>American Association of Textile Chemists and Colorists International Conference 2009</v>
      </c>
      <c r="B6298" s="8" t="str">
        <f>"9781605609904"</f>
        <v>9781605609904</v>
      </c>
      <c r="C6298" s="8" t="s">
        <v>1661</v>
      </c>
    </row>
    <row r="6299" spans="1:3" x14ac:dyDescent="0.25">
      <c r="A6299" s="8" t="str">
        <f>"American Association of Textile Chemists and Colorists International Conference 2010"</f>
        <v>American Association of Textile Chemists and Colorists International Conference 2010</v>
      </c>
      <c r="B6299" s="8" t="str">
        <f>"9781617820489"</f>
        <v>9781617820489</v>
      </c>
      <c r="C6299" s="8" t="s">
        <v>1661</v>
      </c>
    </row>
    <row r="6300" spans="1:3" x14ac:dyDescent="0.25">
      <c r="A6300" s="8" t="str">
        <f>"American Association of Textile Chemists and Colorists International Conference 2011, AATCC 2011"</f>
        <v>American Association of Textile Chemists and Colorists International Conference 2011, AATCC 2011</v>
      </c>
      <c r="B6300" s="8" t="str">
        <f>"9781622761791"</f>
        <v>9781622761791</v>
      </c>
      <c r="C6300" s="8" t="s">
        <v>1413</v>
      </c>
    </row>
    <row r="6301" spans="1:3" x14ac:dyDescent="0.25">
      <c r="A6301" s="8" t="str">
        <f>"American Association of Textile Chemists and Colorists International Conference 2012, AATCC 2012"</f>
        <v>American Association of Textile Chemists and Colorists International Conference 2012, AATCC 2012</v>
      </c>
      <c r="B6301" s="8" t="str">
        <f>"9781622761807"</f>
        <v>9781622761807</v>
      </c>
      <c r="C6301" s="8" t="s">
        <v>1661</v>
      </c>
    </row>
    <row r="6302" spans="1:3" x14ac:dyDescent="0.25">
      <c r="A6302" s="8" t="str">
        <f>"American Association of Textile Chemists and Colorists International Conference, AATCC 2013"</f>
        <v>American Association of Textile Chemists and Colorists International Conference, AATCC 2013</v>
      </c>
      <c r="B6302" s="8" t="str">
        <f>"9781627489706"</f>
        <v>9781627489706</v>
      </c>
      <c r="C6302" s="8" t="s">
        <v>1661</v>
      </c>
    </row>
    <row r="6303" spans="1:3" x14ac:dyDescent="0.25">
      <c r="A6303" s="8" t="str">
        <f>"American Association of Textile Chemists and Colorists International Conference, AATCC 2014"</f>
        <v>American Association of Textile Chemists and Colorists International Conference, AATCC 2014</v>
      </c>
      <c r="B6303" s="8" t="str">
        <f>"-"</f>
        <v>-</v>
      </c>
      <c r="C6303" s="8" t="s">
        <v>1661</v>
      </c>
    </row>
    <row r="6304" spans="1:3" x14ac:dyDescent="0.25">
      <c r="A6304" s="8" t="str">
        <f>"American Concrete Institute, ACI Special Publication"</f>
        <v>American Concrete Institute, ACI Special Publication</v>
      </c>
      <c r="B6304" s="8" t="str">
        <f>"9780870312991"</f>
        <v>9780870312991</v>
      </c>
      <c r="C6304" s="8" t="s">
        <v>20</v>
      </c>
    </row>
    <row r="6305" spans="1:3" x14ac:dyDescent="0.25">
      <c r="A6305" s="8" t="str">
        <f>"American Filtration and Separations Society - 19th Annual Conference and Exposition 2006"</f>
        <v>American Filtration and Separations Society - 19th Annual Conference and Exposition 2006</v>
      </c>
      <c r="B6305" s="8" t="str">
        <f>"9781604236385"</f>
        <v>9781604236385</v>
      </c>
      <c r="C6305" s="8" t="s">
        <v>1662</v>
      </c>
    </row>
    <row r="6306" spans="1:3" x14ac:dyDescent="0.25">
      <c r="A6306" s="8" t="str">
        <f>"American Filtration and Separations Society - 20th Annual Conference and Exposition of the American Filtration and Separations Society 2007"</f>
        <v>American Filtration and Separations Society - 20th Annual Conference and Exposition of the American Filtration and Separations Society 2007</v>
      </c>
      <c r="B6306" s="8" t="str">
        <f>"9781604232936"</f>
        <v>9781604232936</v>
      </c>
      <c r="C6306" s="8" t="s">
        <v>1662</v>
      </c>
    </row>
    <row r="6307" spans="1:3" x14ac:dyDescent="0.25">
      <c r="A6307" s="8" t="str">
        <f>"American Filtration and Separations Society - 21st American Filtration and Separations Society Annual Conference 2008"</f>
        <v>American Filtration and Separations Society - 21st American Filtration and Separations Society Annual Conference 2008</v>
      </c>
      <c r="B6307" s="8" t="str">
        <f>"9781605603544"</f>
        <v>9781605603544</v>
      </c>
      <c r="C6307" s="8" t="s">
        <v>1662</v>
      </c>
    </row>
    <row r="6308" spans="1:3" x14ac:dyDescent="0.25">
      <c r="A6308" s="8" t="str">
        <f>"American Filtration and Separations Society 2005 - 18th Annual Conference, AFS 2005"</f>
        <v>American Filtration and Separations Society 2005 - 18th Annual Conference, AFS 2005</v>
      </c>
      <c r="B6308" s="8" t="str">
        <f>"-"</f>
        <v>-</v>
      </c>
      <c r="C6308" s="8" t="s">
        <v>1662</v>
      </c>
    </row>
    <row r="6309" spans="1:3" x14ac:dyDescent="0.25">
      <c r="A6309" s="8" t="str">
        <f>"American Filtration and Separations Society Annual Conference 2011 - Shape up to Green"</f>
        <v>American Filtration and Separations Society Annual Conference 2011 - Shape up to Green</v>
      </c>
      <c r="B6309" s="8" t="str">
        <f>"9781618393357"</f>
        <v>9781618393357</v>
      </c>
      <c r="C6309" s="8" t="s">
        <v>1662</v>
      </c>
    </row>
    <row r="6310" spans="1:3" x14ac:dyDescent="0.25">
      <c r="A6310" s="8" t="str">
        <f>"American Filtration and Separations Society Annual Meeting 2009"</f>
        <v>American Filtration and Separations Society Annual Meeting 2009</v>
      </c>
      <c r="B6310" s="8" t="str">
        <f>"9781615671526"</f>
        <v>9781615671526</v>
      </c>
      <c r="C6310" s="8" t="s">
        <v>1662</v>
      </c>
    </row>
    <row r="6311" spans="1:3" x14ac:dyDescent="0.25">
      <c r="A6311" s="8" t="str">
        <f>"American Filtration and Separations Society Annual National Conference and Exposition 2010"</f>
        <v>American Filtration and Separations Society Annual National Conference and Exposition 2010</v>
      </c>
      <c r="B6311" s="8" t="str">
        <f>"9781617386299"</f>
        <v>9781617386299</v>
      </c>
      <c r="C6311" s="8" t="s">
        <v>1662</v>
      </c>
    </row>
    <row r="6312" spans="1:3" x14ac:dyDescent="0.25">
      <c r="A6312" s="8" t="str">
        <f>"American Filtration and Separations Society Fall Conference 2014 - Next Generation Filter Media Conference: Embracing Future Challenges"</f>
        <v>American Filtration and Separations Society Fall Conference 2014 - Next Generation Filter Media Conference: Embracing Future Challenges</v>
      </c>
      <c r="B6312" s="8" t="str">
        <f>"9780000000002"</f>
        <v>9780000000002</v>
      </c>
      <c r="C6312" s="8" t="s">
        <v>1662</v>
      </c>
    </row>
    <row r="6313" spans="1:3" x14ac:dyDescent="0.25">
      <c r="A6313" s="8" t="str">
        <f>"American Filtration and Separations Society Spring Conference 2013"</f>
        <v>American Filtration and Separations Society Spring Conference 2013</v>
      </c>
      <c r="B6313" s="8" t="str">
        <f>"9781629931487"</f>
        <v>9781629931487</v>
      </c>
      <c r="C6313" s="8" t="s">
        <v>1663</v>
      </c>
    </row>
    <row r="6314" spans="1:3" x14ac:dyDescent="0.25">
      <c r="A6314" s="8" t="str">
        <f>"American Fuel and Petrochemical Manufacturers, AFPM - AFPM Annual Meeting 2015"</f>
        <v>American Fuel and Petrochemical Manufacturers, AFPM - AFPM Annual Meeting 2015</v>
      </c>
      <c r="B6314" s="8" t="str">
        <f>"9781510804722"</f>
        <v>9781510804722</v>
      </c>
      <c r="C6314" s="8" t="s">
        <v>1664</v>
      </c>
    </row>
    <row r="6315" spans="1:3" x14ac:dyDescent="0.25">
      <c r="A6315" s="8" t="str">
        <f>"American Fuel and Petrochemical Manufacturers, AFPM - Cat Cracker Seminar 2014"</f>
        <v>American Fuel and Petrochemical Manufacturers, AFPM - Cat Cracker Seminar 2014</v>
      </c>
      <c r="B6315" s="8" t="str">
        <f>"9781634397056"</f>
        <v>9781634397056</v>
      </c>
      <c r="C6315" s="8" t="s">
        <v>1664</v>
      </c>
    </row>
    <row r="6316" spans="1:3" x14ac:dyDescent="0.25">
      <c r="A6316" s="8" t="str">
        <f>"American Fuel and Petrochemical Manufacturers, AFPM - Environmental Conference 2014: Enforcement Initiatives"</f>
        <v>American Fuel and Petrochemical Manufacturers, AFPM - Environmental Conference 2014: Enforcement Initiatives</v>
      </c>
      <c r="B6316" s="8" t="str">
        <f>"9781634397049"</f>
        <v>9781634397049</v>
      </c>
      <c r="C6316" s="8" t="s">
        <v>1664</v>
      </c>
    </row>
    <row r="6317" spans="1:3" x14ac:dyDescent="0.25">
      <c r="A6317" s="8" t="str">
        <f>"American Fuel and Petrochemical Manufacturers, AFPM - International Lubricants and Waxes Meeting 2014"</f>
        <v>American Fuel and Petrochemical Manufacturers, AFPM - International Lubricants and Waxes Meeting 2014</v>
      </c>
      <c r="B6317" s="8" t="str">
        <f>"9781634397063"</f>
        <v>9781634397063</v>
      </c>
      <c r="C6317" s="8" t="s">
        <v>1664</v>
      </c>
    </row>
    <row r="6318" spans="1:3" x14ac:dyDescent="0.25">
      <c r="A6318" s="8" t="str">
        <f>"American Fuel and Petrochemical Manufacturers, AFPM - Labor Relations/Human Resources Conference 2015"</f>
        <v>American Fuel and Petrochemical Manufacturers, AFPM - Labor Relations/Human Resources Conference 2015</v>
      </c>
      <c r="B6318" s="8" t="str">
        <f>"9781510804661"</f>
        <v>9781510804661</v>
      </c>
      <c r="C6318" s="8" t="s">
        <v>1664</v>
      </c>
    </row>
    <row r="6319" spans="1:3" x14ac:dyDescent="0.25">
      <c r="A6319" s="8" t="str">
        <f>"American Fuel and Petrochemical Manufacturers, AFPM - Plant Automation and Decision Support Conference 2014, Held at Q and A and Technology Forum"</f>
        <v>American Fuel and Petrochemical Manufacturers, AFPM - Plant Automation and Decision Support Conference 2014, Held at Q and A and Technology Forum</v>
      </c>
      <c r="B6319" s="8" t="str">
        <f>"9781634397070"</f>
        <v>9781634397070</v>
      </c>
      <c r="C6319" s="8" t="s">
        <v>1664</v>
      </c>
    </row>
    <row r="6320" spans="1:3" x14ac:dyDescent="0.25">
      <c r="A6320" s="8" t="str">
        <f>"American Fuel and Petrochemical Manufacturers, AFPM - Reliability and Maintenance Conference 2014"</f>
        <v>American Fuel and Petrochemical Manufacturers, AFPM - Reliability and Maintenance Conference 2014</v>
      </c>
      <c r="B6320" s="8" t="str">
        <f>"9781634393553"</f>
        <v>9781634393553</v>
      </c>
      <c r="C6320" s="8" t="s">
        <v>1664</v>
      </c>
    </row>
    <row r="6321" spans="1:3" x14ac:dyDescent="0.25">
      <c r="A6321" s="8" t="str">
        <f>"American Fuel and Petrochemical Manufacturers, AFPM - Security Conference 2014"</f>
        <v>American Fuel and Petrochemical Manufacturers, AFPM - Security Conference 2014</v>
      </c>
      <c r="B6321" s="8" t="str">
        <f>"9781632669612"</f>
        <v>9781632669612</v>
      </c>
      <c r="C6321" s="8" t="s">
        <v>1664</v>
      </c>
    </row>
    <row r="6322" spans="1:3" x14ac:dyDescent="0.25">
      <c r="A6322" s="8" t="str">
        <f>"American Gear Manufacturers Association - American Gear Manufacturers Association Fall Technical Meeting 2008"</f>
        <v>American Gear Manufacturers Association - American Gear Manufacturers Association Fall Technical Meeting 2008</v>
      </c>
      <c r="B6322" s="8" t="str">
        <f>"9781605607719"</f>
        <v>9781605607719</v>
      </c>
      <c r="C6322" s="8" t="s">
        <v>1665</v>
      </c>
    </row>
    <row r="6323" spans="1:3" x14ac:dyDescent="0.25">
      <c r="A6323" s="8" t="str">
        <f>"American Gear Manufacturers Association - Fall Technical Meeting of the American Gear Manufacturers Association 2007, AGMA"</f>
        <v>American Gear Manufacturers Association - Fall Technical Meeting of the American Gear Manufacturers Association 2007, AGMA</v>
      </c>
      <c r="B6323" s="8" t="str">
        <f>"9781604238624"</f>
        <v>9781604238624</v>
      </c>
      <c r="C6323" s="8" t="s">
        <v>1665</v>
      </c>
    </row>
    <row r="6324" spans="1:3" x14ac:dyDescent="0.25">
      <c r="A6324" s="8" t="str">
        <f>"American Gear Manufacturers Association Fall Technical Meeting 2009"</f>
        <v>American Gear Manufacturers Association Fall Technical Meeting 2009</v>
      </c>
      <c r="B6324" s="8" t="str">
        <f>"9781615675654"</f>
        <v>9781615675654</v>
      </c>
      <c r="C6324" s="8" t="s">
        <v>1665</v>
      </c>
    </row>
    <row r="6325" spans="1:3" x14ac:dyDescent="0.25">
      <c r="A6325" s="8" t="str">
        <f>"American Gear Manufacturers Association Fall Technical Meeting 2010"</f>
        <v>American Gear Manufacturers Association Fall Technical Meeting 2010</v>
      </c>
      <c r="B6325" s="8" t="str">
        <f>"9781617820281"</f>
        <v>9781617820281</v>
      </c>
      <c r="C6325" s="8" t="s">
        <v>1665</v>
      </c>
    </row>
    <row r="6326" spans="1:3" x14ac:dyDescent="0.25">
      <c r="A6326" s="8" t="str">
        <f>"American Gear Manufacturers Association Fall Technical Meeting 2011"</f>
        <v>American Gear Manufacturers Association Fall Technical Meeting 2011</v>
      </c>
      <c r="B6326" s="8" t="str">
        <f>"9781618393623"</f>
        <v>9781618393623</v>
      </c>
      <c r="C6326" s="8" t="s">
        <v>1665</v>
      </c>
    </row>
    <row r="6327" spans="1:3" x14ac:dyDescent="0.25">
      <c r="A6327" s="8" t="str">
        <f>"American Gear Manufacturers Association Fall Technical Meeting 2012, AGMA"</f>
        <v>American Gear Manufacturers Association Fall Technical Meeting 2012, AGMA</v>
      </c>
      <c r="B6327" s="8" t="str">
        <f>"9781627481342"</f>
        <v>9781627481342</v>
      </c>
      <c r="C6327" s="8" t="s">
        <v>1665</v>
      </c>
    </row>
    <row r="6328" spans="1:3" x14ac:dyDescent="0.25">
      <c r="A6328" s="8" t="str">
        <f>"American Gear Manufacturers Association Fall Technical Meeting 2013"</f>
        <v>American Gear Manufacturers Association Fall Technical Meeting 2013</v>
      </c>
      <c r="B6328" s="8" t="str">
        <f>"9781629932934"</f>
        <v>9781629932934</v>
      </c>
      <c r="C6328" s="8" t="s">
        <v>1665</v>
      </c>
    </row>
    <row r="6329" spans="1:3" x14ac:dyDescent="0.25">
      <c r="A6329" s="8" t="str">
        <f>"American Gear Manufacturers Association Fall Technical Meeting 2014, FTM 2014"</f>
        <v>American Gear Manufacturers Association Fall Technical Meeting 2014, FTM 2014</v>
      </c>
      <c r="B6329" s="8" t="str">
        <f>"9781634395762"</f>
        <v>9781634395762</v>
      </c>
      <c r="C6329" s="8" t="s">
        <v>1665</v>
      </c>
    </row>
    <row r="6330" spans="1:3" x14ac:dyDescent="0.25">
      <c r="A6330" s="8" t="str">
        <f>"American Helicopter Society International - 2nd International Specialists' Meeting on Vertical Lift Aircraft Research, Development, Test and Evaluation 2009"</f>
        <v>American Helicopter Society International - 2nd International Specialists' Meeting on Vertical Lift Aircraft Research, Development, Test and Evaluation 2009</v>
      </c>
      <c r="B6330" s="8" t="str">
        <f>"9781615675951"</f>
        <v>9781615675951</v>
      </c>
      <c r="C6330" s="8" t="s">
        <v>129</v>
      </c>
    </row>
    <row r="6331" spans="1:3" x14ac:dyDescent="0.25">
      <c r="A6331" s="8" t="str">
        <f>"American Helicopter Society International - 3rd Annual Technical Specialists' Meeting on Vertical Lift Research, Development, Test and Evaluation 2011"</f>
        <v>American Helicopter Society International - 3rd Annual Technical Specialists' Meeting on Vertical Lift Research, Development, Test and Evaluation 2011</v>
      </c>
      <c r="B6331" s="8" t="str">
        <f>"9781618393241"</f>
        <v>9781618393241</v>
      </c>
      <c r="C6331" s="8" t="s">
        <v>1666</v>
      </c>
    </row>
    <row r="6332" spans="1:3" x14ac:dyDescent="0.25">
      <c r="A6332" s="8" t="str">
        <f>"American Helicopter Society International - 5th Decennial AHS Aeromechanics Specialists' Conference 2014: Current Challenges and Future Directions in Rotorcraft Aeromechanics"</f>
        <v>American Helicopter Society International - 5th Decennial AHS Aeromechanics Specialists' Conference 2014: Current Challenges and Future Directions in Rotorcraft Aeromechanics</v>
      </c>
      <c r="B6332" s="8" t="str">
        <f>"9781634391788"</f>
        <v>9781634391788</v>
      </c>
      <c r="C6332" s="8" t="s">
        <v>1666</v>
      </c>
    </row>
    <row r="6333" spans="1:3" x14ac:dyDescent="0.25">
      <c r="A6333" s="8" t="str">
        <f>"American Helicopter Society International - 6th Australian Pacific Vertiflite Conference on Helicopter Technology and International Helicopter Safety Team South Pacific Regional Conference 2007"</f>
        <v>American Helicopter Society International - 6th Australian Pacific Vertiflite Conference on Helicopter Technology and International Helicopter Safety Team South Pacific Regional Conference 2007</v>
      </c>
      <c r="B6333" s="8" t="str">
        <f>"9781604234473"</f>
        <v>9781604234473</v>
      </c>
      <c r="C6333" s="8" t="s">
        <v>129</v>
      </c>
    </row>
    <row r="6334" spans="1:3" x14ac:dyDescent="0.25">
      <c r="A6334" s="8" t="str">
        <f>"American Helicopter Society International - AHS International Condition Based Maintenance Specialists Meeting 2008"</f>
        <v>American Helicopter Society International - AHS International Condition Based Maintenance Specialists Meeting 2008</v>
      </c>
      <c r="B6334" s="8" t="str">
        <f>"9781605601038"</f>
        <v>9781605601038</v>
      </c>
      <c r="C6334" s="8" t="s">
        <v>394</v>
      </c>
    </row>
    <row r="6335" spans="1:3" x14ac:dyDescent="0.25">
      <c r="A6335" s="8" t="str">
        <f>"American Helicopter Society International - AHS International Condition Based Maintenance Specialists Meeting 2009"</f>
        <v>American Helicopter Society International - AHS International Condition Based Maintenance Specialists Meeting 2009</v>
      </c>
      <c r="B6335" s="8" t="str">
        <f>"9781615670055"</f>
        <v>9781615670055</v>
      </c>
      <c r="C6335" s="8" t="s">
        <v>129</v>
      </c>
    </row>
    <row r="6336" spans="1:3" x14ac:dyDescent="0.25">
      <c r="A6336" s="8" t="str">
        <f>"American Helicopter Society International - AHS Southwest Region Specialists Meeting on Next Generation Vertical Lift Technologies 2008"</f>
        <v>American Helicopter Society International - AHS Southwest Region Specialists Meeting on Next Generation Vertical Lift Technologies 2008</v>
      </c>
      <c r="B6336" s="8" t="str">
        <f>"9781605606330"</f>
        <v>9781605606330</v>
      </c>
      <c r="C6336" s="8" t="s">
        <v>129</v>
      </c>
    </row>
    <row r="6337" spans="1:3" x14ac:dyDescent="0.25">
      <c r="A6337" s="8" t="str">
        <f>"American Helicopter Society International - AHS Specialists' Conference on Aeromechanics 2008"</f>
        <v>American Helicopter Society International - AHS Specialists' Conference on Aeromechanics 2008</v>
      </c>
      <c r="B6337" s="8" t="str">
        <f>"9781615671922"</f>
        <v>9781615671922</v>
      </c>
      <c r="C6337" s="8" t="s">
        <v>129</v>
      </c>
    </row>
    <row r="6338" spans="1:3" x14ac:dyDescent="0.25">
      <c r="A6338" s="8" t="str">
        <f>"American Helicopter Society International - AHS Specialists' Meeting on Unmanned Rotorcraft and Network Centric Operations 2011"</f>
        <v>American Helicopter Society International - AHS Specialists' Meeting on Unmanned Rotorcraft and Network Centric Operations 2011</v>
      </c>
      <c r="B6338" s="8" t="str">
        <f>"9781618393234"</f>
        <v>9781618393234</v>
      </c>
      <c r="C6338" s="8" t="s">
        <v>1666</v>
      </c>
    </row>
    <row r="6339" spans="1:3" x14ac:dyDescent="0.25">
      <c r="A6339" s="8" t="str">
        <f>"American Helicopter Society International - Airworthiness, CBM and HUMS Specialists' Meeting 2013"</f>
        <v>American Helicopter Society International - Airworthiness, CBM and HUMS Specialists' Meeting 2013</v>
      </c>
      <c r="B6339" s="8" t="str">
        <f>"9781629931234"</f>
        <v>9781629931234</v>
      </c>
      <c r="C6339" s="8" t="s">
        <v>1666</v>
      </c>
    </row>
    <row r="6340" spans="1:3" x14ac:dyDescent="0.25">
      <c r="A6340" s="8" t="str">
        <f>"American Helicopter Society International - Airworthiness, CBM and HUMS Specialists' Meeting 2015"</f>
        <v>American Helicopter Society International - Airworthiness, CBM and HUMS Specialists' Meeting 2015</v>
      </c>
      <c r="B6340" s="8" t="str">
        <f>"9781510804128"</f>
        <v>9781510804128</v>
      </c>
      <c r="C6340" s="8" t="s">
        <v>1666</v>
      </c>
    </row>
    <row r="6341" spans="1:3" x14ac:dyDescent="0.25">
      <c r="A6341" s="8" t="str">
        <f>"American Helicopter Society International - Airworthiness, CMB and HUMS Specialists' Meeting 2011"</f>
        <v>American Helicopter Society International - Airworthiness, CMB and HUMS Specialists' Meeting 2011</v>
      </c>
      <c r="B6341" s="8" t="str">
        <f>"9781618393272"</f>
        <v>9781618393272</v>
      </c>
      <c r="C6341" s="8" t="s">
        <v>1666</v>
      </c>
    </row>
    <row r="6342" spans="1:3" x14ac:dyDescent="0.25">
      <c r="A6342" s="8" t="str">
        <f>"American Helicopter Society International - Future Vertical Lift Aircraft Design Conference 2012"</f>
        <v>American Helicopter Society International - Future Vertical Lift Aircraft Design Conference 2012</v>
      </c>
      <c r="B6342" s="8" t="str">
        <f>"9781627486989"</f>
        <v>9781627486989</v>
      </c>
      <c r="C6342" s="8" t="s">
        <v>1666</v>
      </c>
    </row>
    <row r="6343" spans="1:3" x14ac:dyDescent="0.25">
      <c r="A6343" s="8" t="str">
        <f>"American Helicopter Society International - International Specialists Meeting on Unmanned Rotorcraft 2009"</f>
        <v>American Helicopter Society International - International Specialists Meeting on Unmanned Rotorcraft 2009</v>
      </c>
      <c r="B6343" s="8" t="str">
        <f>"9781615670062"</f>
        <v>9781615670062</v>
      </c>
      <c r="C6343" s="8" t="s">
        <v>129</v>
      </c>
    </row>
    <row r="6344" spans="1:3" x14ac:dyDescent="0.25">
      <c r="A6344" s="8" t="str">
        <f>"American Helicopter Society International - Next Generation Vertical Lift Specialists' Meeting 2011"</f>
        <v>American Helicopter Society International - Next Generation Vertical Lift Specialists' Meeting 2011</v>
      </c>
      <c r="B6344" s="8" t="str">
        <f>"9781618393265"</f>
        <v>9781618393265</v>
      </c>
      <c r="C6344" s="8" t="s">
        <v>1666</v>
      </c>
    </row>
    <row r="6345" spans="1:3" x14ac:dyDescent="0.25">
      <c r="A6345" s="8" t="str">
        <f>"American Helicopter Society International - Rotorcraft Handling Qualities Specialists' Meeting 2014"</f>
        <v>American Helicopter Society International - Rotorcraft Handling Qualities Specialists' Meeting 2014</v>
      </c>
      <c r="B6345" s="8" t="str">
        <f>"9781634391795"</f>
        <v>9781634391795</v>
      </c>
      <c r="C6345" s="8" t="s">
        <v>1666</v>
      </c>
    </row>
    <row r="6346" spans="1:3" x14ac:dyDescent="0.25">
      <c r="A6346" s="8" t="str">
        <f>"American Helicopter Society International - Technical Specialists' Meeting on Systems Engineering 2011"</f>
        <v>American Helicopter Society International - Technical Specialists' Meeting on Systems Engineering 2011</v>
      </c>
      <c r="B6346" s="8" t="str">
        <f>"9781618393258"</f>
        <v>9781618393258</v>
      </c>
      <c r="C6346" s="8" t="s">
        <v>129</v>
      </c>
    </row>
    <row r="6347" spans="1:3" x14ac:dyDescent="0.25">
      <c r="A6347" s="8" t="str">
        <f>"American Helicopter Society International Patuxent River Chapter - Specialists' Meeting on Vertical Lift Aircraft Research, Development, Test and Evaluation 2007"</f>
        <v>American Helicopter Society International Patuxent River Chapter - Specialists' Meeting on Vertical Lift Aircraft Research, Development, Test and Evaluation 2007</v>
      </c>
      <c r="B6347" s="8" t="str">
        <f>"-"</f>
        <v>-</v>
      </c>
      <c r="C6347" s="8" t="s">
        <v>129</v>
      </c>
    </row>
    <row r="6348" spans="1:3" x14ac:dyDescent="0.25">
      <c r="A6348" s="8" t="str">
        <f>"American Helicopter Society International Specialists Conference on Aerodynamics 2008"</f>
        <v>American Helicopter Society International Specialists Conference on Aerodynamics 2008</v>
      </c>
      <c r="B6348" s="8" t="str">
        <f>"9781605601045"</f>
        <v>9781605601045</v>
      </c>
      <c r="C6348" s="8" t="s">
        <v>394</v>
      </c>
    </row>
    <row r="6349" spans="1:3" x14ac:dyDescent="0.25">
      <c r="A6349" s="8" t="str">
        <f>"American Helicopter Society, AHS Vertical Lift Design Conference"</f>
        <v>American Helicopter Society, AHS Vertical Lift Design Conference</v>
      </c>
      <c r="B6349" s="8" t="str">
        <f>"-"</f>
        <v>-</v>
      </c>
      <c r="C6349" s="8" t="s">
        <v>129</v>
      </c>
    </row>
    <row r="6350" spans="1:3" x14ac:dyDescent="0.25">
      <c r="A6350" s="8" t="str">
        <f>"American Institute of Chemical Engineers - 22nd Annual International Conference of the Center for Chemical Process Safety, CCPS 2007"</f>
        <v>American Institute of Chemical Engineers - 22nd Annual International Conference of the Center for Chemical Process Safety, CCPS 2007</v>
      </c>
      <c r="B6350" s="8" t="str">
        <f>"9781604233100"</f>
        <v>9781604233100</v>
      </c>
      <c r="C6350" s="8" t="s">
        <v>106</v>
      </c>
    </row>
    <row r="6351" spans="1:3" x14ac:dyDescent="0.25">
      <c r="A6351" s="8" t="str">
        <f>"American Institute of Chemical Engineers - 23rd Center for Chemical Process Safety International Conference; Topical Conference, AIChe"</f>
        <v>American Institute of Chemical Engineers - 23rd Center for Chemical Process Safety International Conference; Topical Conference, AIChe</v>
      </c>
      <c r="B6351" s="8" t="str">
        <f>"9781605602103"</f>
        <v>9781605602103</v>
      </c>
      <c r="C6351" s="8" t="s">
        <v>106</v>
      </c>
    </row>
    <row r="6352" spans="1:3" x14ac:dyDescent="0.25">
      <c r="A6352" s="8" t="str">
        <f>"American Nuclear Society - 12th International High-Level Radioactive Waste Management Conference 2008"</f>
        <v>American Nuclear Society - 12th International High-Level Radioactive Waste Management Conference 2008</v>
      </c>
      <c r="B6352" s="8" t="str">
        <f>"9781605604862"</f>
        <v>9781605604862</v>
      </c>
      <c r="C6352" s="8" t="s">
        <v>453</v>
      </c>
    </row>
    <row r="6353" spans="1:3" x14ac:dyDescent="0.25">
      <c r="A6353" s="8" t="str">
        <f>"American Nuclear Society - 2007 LWR Fuel Performance/Top Fuel"</f>
        <v>American Nuclear Society - 2007 LWR Fuel Performance/Top Fuel</v>
      </c>
      <c r="B6353" s="8" t="str">
        <f>"9780894480577"</f>
        <v>9780894480577</v>
      </c>
      <c r="C6353" s="8" t="s">
        <v>453</v>
      </c>
    </row>
    <row r="6354" spans="1:3" x14ac:dyDescent="0.25">
      <c r="A6354" s="8" t="str">
        <f>"American Nuclear Society - 3rd Topical Meeting on Nuclear and Emerging Technologies for Space 2009, NETS 2009"</f>
        <v>American Nuclear Society - 3rd Topical Meeting on Nuclear and Emerging Technologies for Space 2009, NETS 2009</v>
      </c>
      <c r="B6354" s="8" t="str">
        <f>"9781615673506"</f>
        <v>9781615673506</v>
      </c>
      <c r="C6354" s="8" t="s">
        <v>453</v>
      </c>
    </row>
    <row r="6355" spans="1:3" x14ac:dyDescent="0.25">
      <c r="A6355" s="8" t="str">
        <f>"American Nuclear Society - 4th Topical Meeting on Advances in Nuclear Fuel Management 2009, ANFM IV"</f>
        <v>American Nuclear Society - 4th Topical Meeting on Advances in Nuclear Fuel Management 2009, ANFM IV</v>
      </c>
      <c r="B6355" s="8" t="str">
        <f>"9781615673513"</f>
        <v>9781615673513</v>
      </c>
      <c r="C6355" s="8" t="s">
        <v>453</v>
      </c>
    </row>
    <row r="6356" spans="1:3" x14ac:dyDescent="0.25">
      <c r="A6356" s="8" t="str">
        <f>"American Nuclear Society - Conference on Nuclear Training and Education, CONTE 2009"</f>
        <v>American Nuclear Society - Conference on Nuclear Training and Education, CONTE 2009</v>
      </c>
      <c r="B6356" s="8" t="str">
        <f>"9781615670079"</f>
        <v>9781615670079</v>
      </c>
      <c r="C6356" s="8" t="s">
        <v>453</v>
      </c>
    </row>
    <row r="6357" spans="1:3" x14ac:dyDescent="0.25">
      <c r="A6357" s="8" t="str">
        <f>"American Nuclear Society - International Conference on Mathematics, Computational Methods and Reactor Physics 2009, M and C 2009"</f>
        <v>American Nuclear Society - International Conference on Mathematics, Computational Methods and Reactor Physics 2009, M and C 2009</v>
      </c>
      <c r="B6357" s="8" t="str">
        <f>"9781615673490"</f>
        <v>9781615673490</v>
      </c>
      <c r="C6357" s="8" t="s">
        <v>453</v>
      </c>
    </row>
    <row r="6358" spans="1:3" x14ac:dyDescent="0.25">
      <c r="A6358" s="8" t="str">
        <f>"American Nuclear Society - International Topical Meeting on Probabilistic Safety Assessment and Analysis, PSA 2008"</f>
        <v>American Nuclear Society - International Topical Meeting on Probabilistic Safety Assessment and Analysis, PSA 2008</v>
      </c>
      <c r="B6358" s="8" t="str">
        <f>"9781615670086"</f>
        <v>9781615670086</v>
      </c>
      <c r="C6358" s="8" t="s">
        <v>453</v>
      </c>
    </row>
    <row r="6359" spans="1:3" x14ac:dyDescent="0.25">
      <c r="A6359" s="8" t="str">
        <f>"American Nuclear Society - Nuclear Criticality Safety Division Topical Meeting on Realism, Robustness and the Nuclear Renaissance 2009"</f>
        <v>American Nuclear Society - Nuclear Criticality Safety Division Topical Meeting on Realism, Robustness and the Nuclear Renaissance 2009</v>
      </c>
      <c r="B6359" s="8" t="str">
        <f>"9781615676965"</f>
        <v>9781615676965</v>
      </c>
      <c r="C6359" s="8" t="s">
        <v>453</v>
      </c>
    </row>
    <row r="6360" spans="1:3" x14ac:dyDescent="0.25">
      <c r="A6360" s="8" t="str">
        <f>"American Nuclear Society (ANS) Topical Meeting: Decommissioning, Decontamination, and Reutilization, DD and R 2007"</f>
        <v>American Nuclear Society (ANS) Topical Meeting: Decommissioning, Decontamination, and Reutilization, DD and R 2007</v>
      </c>
      <c r="B6360" s="8" t="str">
        <f>"9780894480560"</f>
        <v>9780894480560</v>
      </c>
      <c r="C6360" s="8" t="s">
        <v>453</v>
      </c>
    </row>
    <row r="6361" spans="1:3" x14ac:dyDescent="0.25">
      <c r="A6361" s="8" t="str">
        <f>"American Nuclear Society 4th International Topical Meeting on Nuclear Plant Instrumentation, Control and Human Machine Interface Technology"</f>
        <v>American Nuclear Society 4th International Topical Meeting on Nuclear Plant Instrumentation, Control and Human Machine Interface Technology</v>
      </c>
      <c r="B6361" s="8" t="str">
        <f>"9780894486883"</f>
        <v>9780894486883</v>
      </c>
      <c r="C6361" s="8" t="s">
        <v>453</v>
      </c>
    </row>
    <row r="6362" spans="1:3" x14ac:dyDescent="0.25">
      <c r="A6362" s="8" t="str">
        <f>"American Nuclear Society Embedded Topical Meeting - 2004 International Topical Meeting on Operating Nuclear Facility Safety, ONFS"</f>
        <v>American Nuclear Society Embedded Topical Meeting - 2004 International Topical Meeting on Operating Nuclear Facility Safety, ONFS</v>
      </c>
      <c r="B6362" s="8" t="str">
        <f>"9780894486845"</f>
        <v>9780894486845</v>
      </c>
      <c r="C6362" s="8" t="s">
        <v>453</v>
      </c>
    </row>
    <row r="6363" spans="1:3" x14ac:dyDescent="0.25">
      <c r="A6363" s="8" t="str">
        <f>"American Nuclear Society Embedded Topical Meeting - 2005 Space Nuclear Conference"</f>
        <v>American Nuclear Society Embedded Topical Meeting - 2005 Space Nuclear Conference</v>
      </c>
      <c r="B6363" s="8" t="str">
        <f>"9780894486968"</f>
        <v>9780894486968</v>
      </c>
      <c r="C6363" s="8" t="s">
        <v>453</v>
      </c>
    </row>
    <row r="6364" spans="1:3" x14ac:dyDescent="0.25">
      <c r="A6364" s="8" t="str">
        <f>"American Nuclear Society Embedded Topical Meeting - 2007 International Topical Meeting on Safety and Technology of Nuclear Hydrogen Production, Control, and Management"</f>
        <v>American Nuclear Society Embedded Topical Meeting - 2007 International Topical Meeting on Safety and Technology of Nuclear Hydrogen Production, Control, and Management</v>
      </c>
      <c r="B6364" s="8" t="str">
        <f>"9780894480522"</f>
        <v>9780894480522</v>
      </c>
      <c r="C6364" s="8" t="s">
        <v>453</v>
      </c>
    </row>
    <row r="6365" spans="1:3" x14ac:dyDescent="0.25">
      <c r="A6365" s="8" t="str">
        <f>"American Nuclear Society International Topical Meeting on Probabilistic Safety Analysis, PSA 05"</f>
        <v>American Nuclear Society International Topical Meeting on Probabilistic Safety Analysis, PSA 05</v>
      </c>
      <c r="B6365" s="8" t="str">
        <f>"9780894486906"</f>
        <v>9780894486906</v>
      </c>
      <c r="C6365" s="8" t="s">
        <v>453</v>
      </c>
    </row>
    <row r="6366" spans="1:3" x14ac:dyDescent="0.25">
      <c r="A6366" s="8" t="str">
        <f>"American Nuclear Society's 14th Biennial Topical Meeting of the Radiation Protection and Shielding Division"</f>
        <v>American Nuclear Society's 14th Biennial Topical Meeting of the Radiation Protection and Shielding Division</v>
      </c>
      <c r="B6366" s="8" t="str">
        <f>"-"</f>
        <v>-</v>
      </c>
      <c r="C6366" s="8" t="s">
        <v>453</v>
      </c>
    </row>
    <row r="6367" spans="1:3" x14ac:dyDescent="0.25">
      <c r="A6367" s="8" t="str">
        <f>"American Society for Composites - 21st Technical Conference of the American Society for Composites 2006"</f>
        <v>American Society for Composites - 21st Technical Conference of the American Society for Composites 2006</v>
      </c>
      <c r="B6367" s="8" t="str">
        <f>"9781604237665"</f>
        <v>9781604237665</v>
      </c>
      <c r="C6367" s="8" t="s">
        <v>757</v>
      </c>
    </row>
    <row r="6368" spans="1:3" x14ac:dyDescent="0.25">
      <c r="A6368" s="8" t="str">
        <f>"American Society for Composites - 22nd Technical Conference of the American Society for Composites 2007 - Composites: Enabling a New Era in Civil Aviation"</f>
        <v>American Society for Composites - 22nd Technical Conference of the American Society for Composites 2007 - Composites: Enabling a New Era in Civil Aviation</v>
      </c>
      <c r="B6368" s="8" t="str">
        <f>"9781604239669"</f>
        <v>9781604239669</v>
      </c>
      <c r="C6368" s="8" t="s">
        <v>757</v>
      </c>
    </row>
    <row r="6369" spans="1:3" x14ac:dyDescent="0.25">
      <c r="A6369" s="8" t="str">
        <f>"American Society for Composites - 23rd Technical Conference of the American Society for Composites 2008"</f>
        <v>American Society for Composites - 23rd Technical Conference of the American Society for Composites 2008</v>
      </c>
      <c r="B6369" s="8" t="str">
        <f>"9781605605036"</f>
        <v>9781605605036</v>
      </c>
      <c r="C6369" s="8" t="s">
        <v>757</v>
      </c>
    </row>
    <row r="6370" spans="1:3" x14ac:dyDescent="0.25">
      <c r="A6370" s="8" t="str">
        <f>"American Society for Photogrammetry and Remote Sensing - 20th Biennial Workshop on Aerial Photography, Videography, and High Resolution Digital Imagery for Resource Assessment 2005"</f>
        <v>American Society for Photogrammetry and Remote Sensing - 20th Biennial Workshop on Aerial Photography, Videography, and High Resolution Digital Imagery for Resource Assessment 2005</v>
      </c>
      <c r="B6370" s="8" t="str">
        <f>"9781604236057"</f>
        <v>9781604236057</v>
      </c>
      <c r="C6370" s="8" t="s">
        <v>931</v>
      </c>
    </row>
    <row r="6371" spans="1:3" x14ac:dyDescent="0.25">
      <c r="A6371" s="8" t="str">
        <f>"American Society for Photogrammetry and Remote Sensing - 28th Canadian Symposium on Remote Sensing and ASPRS Fall Specialty Conference 2007"</f>
        <v>American Society for Photogrammetry and Remote Sensing - 28th Canadian Symposium on Remote Sensing and ASPRS Fall Specialty Conference 2007</v>
      </c>
      <c r="B6371" s="8" t="str">
        <f>"9781605601182"</f>
        <v>9781605601182</v>
      </c>
      <c r="C6371" s="8" t="s">
        <v>931</v>
      </c>
    </row>
    <row r="6372" spans="1:3" x14ac:dyDescent="0.25">
      <c r="A6372" s="8" t="str">
        <f>"American Society for Photogrammetry and Remote Sensing - Annual Conference 2005 - Geospatial Goes Global: From Your Neighborhood to the Whole Planet"</f>
        <v>American Society for Photogrammetry and Remote Sensing - Annual Conference 2005 - Geospatial Goes Global: From Your Neighborhood to the Whole Planet</v>
      </c>
      <c r="B6372" s="8" t="str">
        <f>"9781570830761"</f>
        <v>9781570830761</v>
      </c>
      <c r="C6372" s="8" t="s">
        <v>931</v>
      </c>
    </row>
    <row r="6373" spans="1:3" x14ac:dyDescent="0.25">
      <c r="A6373" s="8" t="str">
        <f>"American Society for Photogrammetry and Remote Sensing - Annual Conference of the American Society for Photogrammetry and Remote Sensing 2006: Prospecting for Geospatial Information Integration"</f>
        <v>American Society for Photogrammetry and Remote Sensing - Annual Conference of the American Society for Photogrammetry and Remote Sensing 2006: Prospecting for Geospatial Information Integration</v>
      </c>
      <c r="B6373" s="8" t="str">
        <f>"9781604237290"</f>
        <v>9781604237290</v>
      </c>
      <c r="C6373" s="8" t="s">
        <v>931</v>
      </c>
    </row>
    <row r="6374" spans="1:3" x14ac:dyDescent="0.25">
      <c r="A6374" s="8" t="str">
        <f>"American Society for Photogrammetry and Remote Sensing - ASPRS Annual Conference 2007: Identifying Geospatial Solutions"</f>
        <v>American Society for Photogrammetry and Remote Sensing - ASPRS Annual Conference 2007: Identifying Geospatial Solutions</v>
      </c>
      <c r="B6374" s="8" t="str">
        <f>"9781604232240"</f>
        <v>9781604232240</v>
      </c>
      <c r="C6374" s="8" t="s">
        <v>931</v>
      </c>
    </row>
    <row r="6375" spans="1:3" x14ac:dyDescent="0.25">
      <c r="A6375" s="8" t="str">
        <f>"American Society for Photogrammetry and Remote Sensing - ASPRS Annual Conference 2008 - Bridging the Horizons: New Frontiers in Geospatial Collaboration"</f>
        <v>American Society for Photogrammetry and Remote Sensing - ASPRS Annual Conference 2008 - Bridging the Horizons: New Frontiers in Geospatial Collaboration</v>
      </c>
      <c r="B6375" s="8" t="str">
        <f>"9781605604046"</f>
        <v>9781605604046</v>
      </c>
      <c r="C6375" s="8" t="s">
        <v>931</v>
      </c>
    </row>
    <row r="6376" spans="1:3" x14ac:dyDescent="0.25">
      <c r="A6376" s="8" t="str">
        <f>"American Society for Photogrammetry and Remote Sensing Annual Conference 2009, ASPRS 2009"</f>
        <v>American Society for Photogrammetry and Remote Sensing Annual Conference 2009, ASPRS 2009</v>
      </c>
      <c r="B6376" s="8" t="str">
        <f>"9781615673223"</f>
        <v>9781615673223</v>
      </c>
      <c r="C6376" s="8" t="s">
        <v>931</v>
      </c>
    </row>
    <row r="6377" spans="1:3" x14ac:dyDescent="0.25">
      <c r="A6377" s="8" t="str">
        <f>"American Society for Photogrammetry and Remote Sensing Annual Conference 2010: Opportunities for Emerging Geospatial Technologies"</f>
        <v>American Society for Photogrammetry and Remote Sensing Annual Conference 2010: Opportunities for Emerging Geospatial Technologies</v>
      </c>
      <c r="B6377" s="8" t="str">
        <f>"9781617389160"</f>
        <v>9781617389160</v>
      </c>
      <c r="C6377" s="8" t="s">
        <v>931</v>
      </c>
    </row>
    <row r="6378" spans="1:3" x14ac:dyDescent="0.25">
      <c r="A6378" s="8" t="str">
        <f>"American Society for Photogrammetry and Remote Sensing Annual Conference 2011"</f>
        <v>American Society for Photogrammetry and Remote Sensing Annual Conference 2011</v>
      </c>
      <c r="B6378" s="8" t="str">
        <f>"9781618390288"</f>
        <v>9781618390288</v>
      </c>
      <c r="C6378" s="8" t="s">
        <v>931</v>
      </c>
    </row>
    <row r="6379" spans="1:3" x14ac:dyDescent="0.25">
      <c r="A6379" s="8" t="str">
        <f>"American Society for Photogrammetry and Remote Sensing Annual Conference 2012, ASPRS 2012"</f>
        <v>American Society for Photogrammetry and Remote Sensing Annual Conference 2012, ASPRS 2012</v>
      </c>
      <c r="B6379" s="8" t="str">
        <f>"9781622764068"</f>
        <v>9781622764068</v>
      </c>
      <c r="C6379" s="8" t="s">
        <v>931</v>
      </c>
    </row>
    <row r="6380" spans="1:3" x14ac:dyDescent="0.25">
      <c r="A6380" s="8" t="str">
        <f>"American Society for Photogrammetry and Remote Sensing Annual Conference, ASPRS 2013"</f>
        <v>American Society for Photogrammetry and Remote Sensing Annual Conference, ASPRS 2013</v>
      </c>
      <c r="B6380" s="8" t="str">
        <f>"9781629930718"</f>
        <v>9781629930718</v>
      </c>
      <c r="C6380" s="8" t="s">
        <v>1667</v>
      </c>
    </row>
    <row r="6381" spans="1:3" x14ac:dyDescent="0.25">
      <c r="A6381" s="8" t="str">
        <f>"American Society of Agricultural and Biological Engineers - 6th International Dairy Housing Conference 2007"</f>
        <v>American Society of Agricultural and Biological Engineers - 6th International Dairy Housing Conference 2007</v>
      </c>
      <c r="B6381" s="8" t="str">
        <f>"9781605600529"</f>
        <v>9781605600529</v>
      </c>
      <c r="C6381" s="8" t="s">
        <v>140</v>
      </c>
    </row>
    <row r="6382" spans="1:3" x14ac:dyDescent="0.25">
      <c r="A6382" s="8" t="str">
        <f>"American Society of Agricultural and Biological Engineers - Conference on 21st Century Watershed Technology: Improving Water Quality and Environment 2008"</f>
        <v>American Society of Agricultural and Biological Engineers - Conference on 21st Century Watershed Technology: Improving Water Quality and Environment 2008</v>
      </c>
      <c r="B6382" s="8" t="str">
        <f>"9781605607894"</f>
        <v>9781605607894</v>
      </c>
      <c r="C6382" s="8" t="s">
        <v>140</v>
      </c>
    </row>
    <row r="6383" spans="1:3" x14ac:dyDescent="0.25">
      <c r="A6383" s="8" t="str">
        <f>"American Society of Agricultural and Biological Engineers - Food Processing Automation Conference 2008"</f>
        <v>American Society of Agricultural and Biological Engineers - Food Processing Automation Conference 2008</v>
      </c>
      <c r="B6383" s="8" t="str">
        <f>"9781605607900"</f>
        <v>9781605607900</v>
      </c>
      <c r="C6383" s="8" t="s">
        <v>140</v>
      </c>
    </row>
    <row r="6384" spans="1:3" x14ac:dyDescent="0.25">
      <c r="A6384" s="8" t="str">
        <f>"American Society of Agricultural and Biological Engineers - International Conference on Crop Harvesting and Processing 2007"</f>
        <v>American Society of Agricultural and Biological Engineers - International Conference on Crop Harvesting and Processing 2007</v>
      </c>
      <c r="B6384" s="8" t="str">
        <f>"9781605600512"</f>
        <v>9781605600512</v>
      </c>
      <c r="C6384" s="8" t="s">
        <v>140</v>
      </c>
    </row>
    <row r="6385" spans="1:3" x14ac:dyDescent="0.25">
      <c r="A6385" s="8" t="str">
        <f>"American Society of Agricultural and Biological Engineers Annual International Meeting 2008"</f>
        <v>American Society of Agricultural and Biological Engineers Annual International Meeting 2008</v>
      </c>
      <c r="B6385" s="8" t="str">
        <f>"9781605605364"</f>
        <v>9781605605364</v>
      </c>
      <c r="C6385" s="8" t="s">
        <v>140</v>
      </c>
    </row>
    <row r="6386" spans="1:3" x14ac:dyDescent="0.25">
      <c r="A6386" s="8" t="str">
        <f>"American Society of Agricultural and Biological Engineers Annual International Meeting 2009"</f>
        <v>American Society of Agricultural and Biological Engineers Annual International Meeting 2009</v>
      </c>
      <c r="B6386" s="8" t="str">
        <f>"9781615673629"</f>
        <v>9781615673629</v>
      </c>
      <c r="C6386" s="8" t="s">
        <v>140</v>
      </c>
    </row>
    <row r="6387" spans="1:3" x14ac:dyDescent="0.25">
      <c r="A6387" s="8" t="str">
        <f>"American Society of Agricultural and Biological Engineers Annual International Meeting 2010"</f>
        <v>American Society of Agricultural and Biological Engineers Annual International Meeting 2010</v>
      </c>
      <c r="B6387" s="8" t="str">
        <f>"9781617388354"</f>
        <v>9781617388354</v>
      </c>
      <c r="C6387" s="8" t="s">
        <v>140</v>
      </c>
    </row>
    <row r="6388" spans="1:3" x14ac:dyDescent="0.25">
      <c r="A6388" s="8" t="str">
        <f>"American Society of Agricultural and Biological Engineers Annual International Meeting 2011"</f>
        <v>American Society of Agricultural and Biological Engineers Annual International Meeting 2011</v>
      </c>
      <c r="B6388" s="8" t="str">
        <f>"9781618391568"</f>
        <v>9781618391568</v>
      </c>
      <c r="C6388" s="8" t="s">
        <v>140</v>
      </c>
    </row>
    <row r="6389" spans="1:3" x14ac:dyDescent="0.25">
      <c r="A6389" s="8" t="str">
        <f>"American Society of Agricultural and Biological Engineers Annual International Meeting 2012"</f>
        <v>American Society of Agricultural and Biological Engineers Annual International Meeting 2012</v>
      </c>
      <c r="B6389" s="8" t="str">
        <f>"9781622762088"</f>
        <v>9781622762088</v>
      </c>
      <c r="C6389" s="8" t="s">
        <v>140</v>
      </c>
    </row>
    <row r="6390" spans="1:3" x14ac:dyDescent="0.25">
      <c r="A6390" s="8" t="str">
        <f>"American Society of Agricultural and Biological Engineers Annual International Meeting 2013"</f>
        <v>American Society of Agricultural and Biological Engineers Annual International Meeting 2013</v>
      </c>
      <c r="B6390" s="8" t="str">
        <f>"9781627486651"</f>
        <v>9781627486651</v>
      </c>
      <c r="C6390" s="8" t="s">
        <v>140</v>
      </c>
    </row>
    <row r="6391" spans="1:3" x14ac:dyDescent="0.25">
      <c r="A6391" s="8" t="str">
        <f>"American Society of Agricultural and Biological Engineers Annual International Meeting 2014, ASABE 2014"</f>
        <v>American Society of Agricultural and Biological Engineers Annual International Meeting 2014, ASABE 2014</v>
      </c>
      <c r="B6391" s="8" t="str">
        <f>"-"</f>
        <v>-</v>
      </c>
      <c r="C6391" s="8" t="s">
        <v>140</v>
      </c>
    </row>
    <row r="6392" spans="1:3" x14ac:dyDescent="0.25">
      <c r="A6392" s="8" t="str">
        <f>"American Society of Agricultural and Biological Engineers Annual International Meeting 2015"</f>
        <v>American Society of Agricultural and Biological Engineers Annual International Meeting 2015</v>
      </c>
      <c r="B6392" s="8" t="str">
        <f>"-"</f>
        <v>-</v>
      </c>
      <c r="C6392" s="8" t="s">
        <v>140</v>
      </c>
    </row>
    <row r="6393" spans="1:3" x14ac:dyDescent="0.25">
      <c r="A6393" s="8" t="str">
        <f>"American Society of Mechanical Engineers, Computer and Information in Engineering Division (Publication) CED"</f>
        <v>American Society of Mechanical Engineers, Computer and Information in Engineering Division (Publication) CED</v>
      </c>
      <c r="B6393" s="8" t="str">
        <f>"9780791837115"</f>
        <v>9780791837115</v>
      </c>
      <c r="C6393" s="8" t="s">
        <v>1308</v>
      </c>
    </row>
    <row r="6394" spans="1:3" x14ac:dyDescent="0.25">
      <c r="A6394" s="8" t="str">
        <f>"American Society of Mechanical Engineers, Innovations and Applied Research in Mechanical Engineering Technology Division Publication (MET)"</f>
        <v>American Society of Mechanical Engineers, Innovations and Applied Research in Mechanical Engineering Technology Division Publication (MET)</v>
      </c>
      <c r="B6394" s="8" t="str">
        <f>"9780791836583"</f>
        <v>9780791836583</v>
      </c>
      <c r="C6394" s="8" t="s">
        <v>1308</v>
      </c>
    </row>
    <row r="6395" spans="1:3" x14ac:dyDescent="0.25">
      <c r="A6395" s="8" t="str">
        <f>"American Society of Mechanical Engineers, Innovations and Applied Research in Mechanical Engineering Technology Division Publication (MET)"</f>
        <v>American Society of Mechanical Engineers, Innovations and Applied Research in Mechanical Engineering Technology Division Publication (MET)</v>
      </c>
      <c r="B6395" s="8" t="str">
        <f>"9780791835784"</f>
        <v>9780791835784</v>
      </c>
      <c r="C6395" s="8" t="s">
        <v>1308</v>
      </c>
    </row>
    <row r="6396" spans="1:3" x14ac:dyDescent="0.25">
      <c r="A6396" s="8" t="str">
        <f>"American Society of Mechanical Engineers, Mechanical Engineering Division Publication (MET)"</f>
        <v>American Society of Mechanical Engineers, Mechanical Engineering Division Publication (MET)</v>
      </c>
      <c r="B6396" s="8" t="str">
        <f>"9780791837221"</f>
        <v>9780791837221</v>
      </c>
      <c r="C6396" s="8" t="s">
        <v>1308</v>
      </c>
    </row>
    <row r="6397" spans="1:3" x14ac:dyDescent="0.25">
      <c r="A6397" s="8" t="str">
        <f>"American Society of Mechanical Engineers, Micro-Electromechanical Systems Division Publication (MEMS)"</f>
        <v>American Society of Mechanical Engineers, Micro-Electromechanical Systems Division Publication (MEMS)</v>
      </c>
      <c r="B6397" s="8" t="str">
        <f>"9780791836422"</f>
        <v>9780791836422</v>
      </c>
      <c r="C6397" s="8" t="s">
        <v>1308</v>
      </c>
    </row>
    <row r="6398" spans="1:3" x14ac:dyDescent="0.25">
      <c r="A6398" s="8" t="str">
        <f>"American Society of Mechanical Engineers, Micro-Electromechanical Systems Division Publication (MEMS)"</f>
        <v>American Society of Mechanical Engineers, Micro-Electromechanical Systems Division Publication (MEMS)</v>
      </c>
      <c r="B6398" s="8" t="str">
        <f>"9780791835555"</f>
        <v>9780791835555</v>
      </c>
      <c r="C6398" s="8" t="s">
        <v>1308</v>
      </c>
    </row>
    <row r="6399" spans="1:3" x14ac:dyDescent="0.25">
      <c r="A6399" s="8" t="str">
        <f>"American Society of Mechanical Engineers, Micro-Electromechanical Systems Division Publication (MEMS)"</f>
        <v>American Society of Mechanical Engineers, Micro-Electromechanical Systems Division Publication (MEMS)</v>
      </c>
      <c r="B6399" s="8" t="str">
        <f>"9780791837214"</f>
        <v>9780791837214</v>
      </c>
      <c r="C6399" s="8" t="s">
        <v>1308</v>
      </c>
    </row>
    <row r="6400" spans="1:3" x14ac:dyDescent="0.25">
      <c r="A6400" s="8" t="str">
        <f>"American Society of Mechanical Engineers, Process Industries Division (Publication) PID"</f>
        <v>American Society of Mechanical Engineers, Process Industries Division (Publication) PID</v>
      </c>
      <c r="B6400" s="8" t="str">
        <f>"9780791836446"</f>
        <v>9780791836446</v>
      </c>
      <c r="C6400" s="8" t="s">
        <v>1308</v>
      </c>
    </row>
    <row r="6401" spans="1:3" x14ac:dyDescent="0.25">
      <c r="A6401" s="8" t="str">
        <f>"American Society of Mechanical Engineers, Process Industries Division (Publication) PID"</f>
        <v>American Society of Mechanical Engineers, Process Industries Division (Publication) PID</v>
      </c>
      <c r="B6401" s="8" t="str">
        <f>"9780791835807"</f>
        <v>9780791835807</v>
      </c>
      <c r="C6401" s="8" t="s">
        <v>1308</v>
      </c>
    </row>
    <row r="6402" spans="1:3" x14ac:dyDescent="0.25">
      <c r="A6402" s="8" t="str">
        <f>"American Society of Mechanical Engineers, Process Industries Division (Publication) PID"</f>
        <v>American Society of Mechanical Engineers, Process Industries Division (Publication) PID</v>
      </c>
      <c r="B6402" s="8" t="str">
        <f>"9780791837252"</f>
        <v>9780791837252</v>
      </c>
      <c r="C6402" s="8" t="s">
        <v>1308</v>
      </c>
    </row>
    <row r="6403" spans="1:3" x14ac:dyDescent="0.25">
      <c r="A6403" s="8" t="str">
        <f>"American Society of Mechanical Engineers, Process Industries Division, PID"</f>
        <v>American Society of Mechanical Engineers, Process Industries Division, PID</v>
      </c>
      <c r="B6403" s="8" t="str">
        <f>"9780791847176"</f>
        <v>9780791847176</v>
      </c>
      <c r="C6403" s="8" t="s">
        <v>1308</v>
      </c>
    </row>
    <row r="6404" spans="1:3" x14ac:dyDescent="0.25">
      <c r="A6404" s="8" t="str">
        <f>"American Society of Mechanical Engineers, Textile Engineering Division (Publication) TED"</f>
        <v>American Society of Mechanical Engineers, Textile Engineering Division (Publication) TED</v>
      </c>
      <c r="B6404" s="8" t="str">
        <f>"9780791836514"</f>
        <v>9780791836514</v>
      </c>
      <c r="C6404" s="8" t="s">
        <v>73</v>
      </c>
    </row>
    <row r="6405" spans="1:3" x14ac:dyDescent="0.25">
      <c r="A6405" s="8" t="str">
        <f>"American Society of Mechanical Engineers, Textile Engineering Division (Publication) TED"</f>
        <v>American Society of Mechanical Engineers, Textile Engineering Division (Publication) TED</v>
      </c>
      <c r="B6405" s="8" t="str">
        <f>"9780791837290"</f>
        <v>9780791837290</v>
      </c>
      <c r="C6405" s="8" t="s">
        <v>73</v>
      </c>
    </row>
    <row r="6406" spans="1:3" x14ac:dyDescent="0.25">
      <c r="A6406" s="8" t="str">
        <f>"American Society of Mining and Reclamation - 24th National Meetings of the American Society of Mining and Reclamation 2007: 30 Years of SMCRA and Beyond"</f>
        <v>American Society of Mining and Reclamation - 24th National Meetings of the American Society of Mining and Reclamation 2007: 30 Years of SMCRA and Beyond</v>
      </c>
      <c r="B6406" s="8" t="str">
        <f>"9781604233285"</f>
        <v>9781604233285</v>
      </c>
      <c r="C6406" s="8" t="s">
        <v>1413</v>
      </c>
    </row>
    <row r="6407" spans="1:3" x14ac:dyDescent="0.25">
      <c r="A6407" s="8" t="str">
        <f>"American Solar Energy Society - Solar 2006: 35th ASES Annual Conf., 31st ASES National Passive Solar Conf., 1st ASES Policy and Marketing Conf., ASME Solar Energy Division Int. Solar Energy Conference"</f>
        <v>American Solar Energy Society - Solar 2006: 35th ASES Annual Conf., 31st ASES National Passive Solar Conf., 1st ASES Policy and Marketing Conf., ASME Solar Energy Division Int. Solar Energy Conference</v>
      </c>
      <c r="B6407" s="8" t="str">
        <f>"9781604232882"</f>
        <v>9781604232882</v>
      </c>
      <c r="C6407" s="8" t="s">
        <v>1491</v>
      </c>
    </row>
    <row r="6408" spans="1:3" x14ac:dyDescent="0.25">
      <c r="A6408" s="8" t="str">
        <f>"American Solar Energy Society - Solar 2007: 36th ASES Annual Conf., 32nd National Passive Solar Conf., 2nd Renewable Energy Policy and Marketing Conference: Sustainable Energy Puts America to Work"</f>
        <v>American Solar Energy Society - Solar 2007: 36th ASES Annual Conf., 32nd National Passive Solar Conf., 2nd Renewable Energy Policy and Marketing Conference: Sustainable Energy Puts America to Work</v>
      </c>
      <c r="B6408" s="8" t="str">
        <f>"9781604233087"</f>
        <v>9781604233087</v>
      </c>
      <c r="C6408" s="8" t="s">
        <v>1491</v>
      </c>
    </row>
    <row r="6409" spans="1:3" x14ac:dyDescent="0.25">
      <c r="A6409" s="8" t="str">
        <f>"American Solar Energy Society - SOLAR 2008, Including Proc. of 37th ASES Annual Conf., 33rd National Passive Solar Conf., 3rd Renewable Energy Policy and Marketing Conf.: Catch the Clean Energy Wave"</f>
        <v>American Solar Energy Society - SOLAR 2008, Including Proc. of 37th ASES Annual Conf., 33rd National Passive Solar Conf., 3rd Renewable Energy Policy and Marketing Conf.: Catch the Clean Energy Wave</v>
      </c>
      <c r="B6409" s="8" t="str">
        <f>"9781605604787"</f>
        <v>9781605604787</v>
      </c>
      <c r="C6409" s="8" t="s">
        <v>1491</v>
      </c>
    </row>
    <row r="6410" spans="1:3" x14ac:dyDescent="0.25">
      <c r="A6410" s="8" t="str">
        <f>"American Water Works Association - 1st Annual Desalination Symposium 2006"</f>
        <v>American Water Works Association - 1st Annual Desalination Symposium 2006</v>
      </c>
      <c r="B6410" s="8" t="str">
        <f>"9781604237368"</f>
        <v>9781604237368</v>
      </c>
      <c r="C6410" s="8" t="s">
        <v>651</v>
      </c>
    </row>
    <row r="6411" spans="1:3" x14ac:dyDescent="0.25">
      <c r="A6411" s="8" t="str">
        <f>"American Water Works Association - American Water Works Association Association Annual Conference and Exposition, ACE 2008"</f>
        <v>American Water Works Association - American Water Works Association Association Annual Conference and Exposition, ACE 2008</v>
      </c>
      <c r="B6411" s="8" t="str">
        <f>"9781605607801"</f>
        <v>9781605607801</v>
      </c>
      <c r="C6411" s="8" t="s">
        <v>651</v>
      </c>
    </row>
    <row r="6412" spans="1:3" x14ac:dyDescent="0.25">
      <c r="A6412" s="8" t="str">
        <f>"American Water Works Association - AWWA Annual Conference and Exposition, ACE 2006: The World's Water Event"</f>
        <v>American Water Works Association - AWWA Annual Conference and Exposition, ACE 2006: The World's Water Event</v>
      </c>
      <c r="B6412" s="8" t="str">
        <f>"9781604237207"</f>
        <v>9781604237207</v>
      </c>
      <c r="C6412" s="8" t="s">
        <v>651</v>
      </c>
    </row>
    <row r="6413" spans="1:3" x14ac:dyDescent="0.25">
      <c r="A6413" s="8" t="str">
        <f>"American Water Works Association - AWWA Annual Conference and Exposition, ACE 2007"</f>
        <v>American Water Works Association - AWWA Annual Conference and Exposition, ACE 2007</v>
      </c>
      <c r="B6413" s="8" t="str">
        <f>"9781604239256"</f>
        <v>9781604239256</v>
      </c>
      <c r="C6413" s="8" t="s">
        <v>651</v>
      </c>
    </row>
    <row r="6414" spans="1:3" x14ac:dyDescent="0.25">
      <c r="A6414" s="8" t="str">
        <f>"American Water Works Association - AWWA Inorganic Contaminants Workshop 2008"</f>
        <v>American Water Works Association - AWWA Inorganic Contaminants Workshop 2008</v>
      </c>
      <c r="B6414" s="8" t="str">
        <f>"9781605601410"</f>
        <v>9781605601410</v>
      </c>
      <c r="C6414" s="8" t="s">
        <v>651</v>
      </c>
    </row>
    <row r="6415" spans="1:3" x14ac:dyDescent="0.25">
      <c r="A6415" s="8" t="str">
        <f>"American Water Works Association - AWWA/WEF Information Management and Technology Joint Conference and Exposition, 2008 CUSTOMER SERVICE"</f>
        <v>American Water Works Association - AWWA/WEF Information Management and Technology Joint Conference and Exposition, 2008 CUSTOMER SERVICE</v>
      </c>
      <c r="B6415" s="8" t="str">
        <f>"9781605603773"</f>
        <v>9781605603773</v>
      </c>
      <c r="C6415" s="8" t="s">
        <v>651</v>
      </c>
    </row>
    <row r="6416" spans="1:3" x14ac:dyDescent="0.25">
      <c r="A6416" s="8" t="str">
        <f>"American Water Works Association - Conference and Exposition on Sustainable Water Sources: Conservation and Resource Planning 2008"</f>
        <v>American Water Works Association - Conference and Exposition on Sustainable Water Sources: Conservation and Resource Planning 2008</v>
      </c>
      <c r="B6416" s="8" t="str">
        <f>"9781605601281"</f>
        <v>9781605601281</v>
      </c>
      <c r="C6416" s="8" t="s">
        <v>651</v>
      </c>
    </row>
    <row r="6417" spans="1:3" x14ac:dyDescent="0.25">
      <c r="A6417" s="8" t="str">
        <f>"American Water Works Association - Distribution Systems Symposium, DSS 2007"</f>
        <v>American Water Works Association - Distribution Systems Symposium, DSS 2007</v>
      </c>
      <c r="B6417" s="8" t="str">
        <f>"9781605600505"</f>
        <v>9781605600505</v>
      </c>
      <c r="C6417" s="8" t="s">
        <v>651</v>
      </c>
    </row>
    <row r="6418" spans="1:3" x14ac:dyDescent="0.25">
      <c r="A6418" s="8" t="str">
        <f>"American Water Works Association - Distribution Systems Symposium, DSS 2008"</f>
        <v>American Water Works Association - Distribution Systems Symposium, DSS 2008</v>
      </c>
      <c r="B6418" s="8" t="str">
        <f>"9781605607924"</f>
        <v>9781605607924</v>
      </c>
      <c r="C6418" s="8" t="s">
        <v>651</v>
      </c>
    </row>
    <row r="6419" spans="1:3" x14ac:dyDescent="0.25">
      <c r="A6419" s="8" t="str">
        <f>"American Water Works Association - The Conference and Exposition for Distribution, Engineering, and Plant Operations Professionals 2006, DSS 2006"</f>
        <v>American Water Works Association - The Conference and Exposition for Distribution, Engineering, and Plant Operations Professionals 2006, DSS 2006</v>
      </c>
      <c r="B6419" s="8" t="str">
        <f>"9781604236552"</f>
        <v>9781604236552</v>
      </c>
      <c r="C6419" s="8" t="s">
        <v>651</v>
      </c>
    </row>
    <row r="6420" spans="1:3" x14ac:dyDescent="0.25">
      <c r="A6420" s="8" t="str">
        <f>"American Water Works Association - Water Quality Technology Conference and Exposition 2006: Taking Water Quality to New Heights"</f>
        <v>American Water Works Association - Water Quality Technology Conference and Exposition 2006: Taking Water Quality to New Heights</v>
      </c>
      <c r="B6420" s="8" t="str">
        <f>"9781604237306"</f>
        <v>9781604237306</v>
      </c>
      <c r="C6420" s="8" t="s">
        <v>651</v>
      </c>
    </row>
    <row r="6421" spans="1:3" x14ac:dyDescent="0.25">
      <c r="A6421" s="8" t="str">
        <f>"American Water Works Association - Water Quality Technology Conference and Exposition 2007: Fast Tracks to Water Quality"</f>
        <v>American Water Works Association - Water Quality Technology Conference and Exposition 2007: Fast Tracks to Water Quality</v>
      </c>
      <c r="B6421" s="8" t="str">
        <f>"9781605600499"</f>
        <v>9781605600499</v>
      </c>
      <c r="C6421" s="8" t="s">
        <v>651</v>
      </c>
    </row>
    <row r="6422" spans="1:3" x14ac:dyDescent="0.25">
      <c r="A6422" s="8" t="str">
        <f>"American Water Works Association - Water Security Congress 2006"</f>
        <v>American Water Works Association - Water Security Congress 2006</v>
      </c>
      <c r="B6422" s="8" t="str">
        <f>"9781604237375"</f>
        <v>9781604237375</v>
      </c>
      <c r="C6422" s="8" t="s">
        <v>651</v>
      </c>
    </row>
    <row r="6423" spans="1:3" x14ac:dyDescent="0.25">
      <c r="A6423" s="8" t="str">
        <f>"American Water Works Association - Water Security Congress 2008"</f>
        <v>American Water Works Association - Water Security Congress 2008</v>
      </c>
      <c r="B6423" s="8" t="str">
        <f>"9781605603780"</f>
        <v>9781605603780</v>
      </c>
      <c r="C6423" s="8" t="s">
        <v>651</v>
      </c>
    </row>
    <row r="6424" spans="1:3" x14ac:dyDescent="0.25">
      <c r="A6424" s="8" t="str">
        <f>"American Water Works Association (AWWA) 2013 Distribution Systems Symposium/Emergency Preparedness and Security Conference and Exposition"</f>
        <v>American Water Works Association (AWWA) 2013 Distribution Systems Symposium/Emergency Preparedness and Security Conference and Exposition</v>
      </c>
      <c r="B6424" s="8" t="str">
        <f>"-"</f>
        <v>-</v>
      </c>
      <c r="C6424" s="8" t="s">
        <v>651</v>
      </c>
    </row>
    <row r="6425" spans="1:3" x14ac:dyDescent="0.25">
      <c r="A6425" s="8" t="str">
        <f>"American Water Works Association Annual Conference and Exposition 2009, ACE 2009"</f>
        <v>American Water Works Association Annual Conference and Exposition 2009, ACE 2009</v>
      </c>
      <c r="B6425" s="8" t="str">
        <f>"9781615676132"</f>
        <v>9781615676132</v>
      </c>
      <c r="C6425" s="8" t="s">
        <v>651</v>
      </c>
    </row>
    <row r="6426" spans="1:3" x14ac:dyDescent="0.25">
      <c r="A6426" s="8" t="str">
        <f>"American Water Works Association Annual Conference and Exposition 2010, ACE 2010, Papers"</f>
        <v>American Water Works Association Annual Conference and Exposition 2010, ACE 2010, Papers</v>
      </c>
      <c r="B6426" s="8" t="str">
        <f>"9781617389696"</f>
        <v>9781617389696</v>
      </c>
      <c r="C6426" s="8" t="s">
        <v>651</v>
      </c>
    </row>
    <row r="6427" spans="1:3" x14ac:dyDescent="0.25">
      <c r="A6427" s="8" t="str">
        <f>"American Water Works Association Annual Conference and Exposition 2011, ACE 2011"</f>
        <v>American Water Works Association Annual Conference and Exposition 2011, ACE 2011</v>
      </c>
      <c r="B6427" s="8" t="str">
        <f>"9781618391605"</f>
        <v>9781618391605</v>
      </c>
      <c r="C6427" s="8" t="s">
        <v>651</v>
      </c>
    </row>
    <row r="6428" spans="1:3" x14ac:dyDescent="0.25">
      <c r="A6428" s="8" t="str">
        <f>"American Water Works Association Annual Conference and Exposition 2012, ACE 2012"</f>
        <v>American Water Works Association Annual Conference and Exposition 2012, ACE 2012</v>
      </c>
      <c r="B6428" s="8" t="str">
        <f>"9781622763030"</f>
        <v>9781622763030</v>
      </c>
      <c r="C6428" s="8" t="s">
        <v>651</v>
      </c>
    </row>
    <row r="6429" spans="1:3" x14ac:dyDescent="0.25">
      <c r="A6429" s="8" t="str">
        <f>"aMISS 2013 - Proceedings of the 3rd Workshop on Modularity in Systems Software"</f>
        <v>aMISS 2013 - Proceedings of the 3rd Workshop on Modularity in Systems Software</v>
      </c>
      <c r="B6429" s="8" t="str">
        <f>"9781450318730"</f>
        <v>9781450318730</v>
      </c>
      <c r="C6429" s="8" t="s">
        <v>21</v>
      </c>
    </row>
    <row r="6430" spans="1:3" x14ac:dyDescent="0.25">
      <c r="A6430" s="8" t="str">
        <f>"AMPS 2010 - 2010 IEEE International Conference on Applied Measurements for Power Systems, Proceedings"</f>
        <v>AMPS 2010 - 2010 IEEE International Conference on Applied Measurements for Power Systems, Proceedings</v>
      </c>
      <c r="B6430" s="8" t="str">
        <f>"9781424473731"</f>
        <v>9781424473731</v>
      </c>
      <c r="C6430" s="8" t="s">
        <v>9</v>
      </c>
    </row>
    <row r="6431" spans="1:3" x14ac:dyDescent="0.25">
      <c r="A6431" s="8" t="str">
        <f>"AMS 2014 - 2014 1st Australian Microwave Symposium, Conference Proceedings"</f>
        <v>AMS 2014 - 2014 1st Australian Microwave Symposium, Conference Proceedings</v>
      </c>
      <c r="B6431" s="8" t="str">
        <f>"9781479955411"</f>
        <v>9781479955411</v>
      </c>
      <c r="C6431" s="8" t="s">
        <v>105</v>
      </c>
    </row>
    <row r="6432" spans="1:3" x14ac:dyDescent="0.25">
      <c r="A6432" s="8" t="str">
        <f>"AMS2010: Asia Modelling Symposium 2010 - 4th International Conference on Mathematical Modelling and Computer Simulation"</f>
        <v>AMS2010: Asia Modelling Symposium 2010 - 4th International Conference on Mathematical Modelling and Computer Simulation</v>
      </c>
      <c r="B6432" s="8" t="str">
        <f>"9780769540627"</f>
        <v>9780769540627</v>
      </c>
      <c r="C6432" s="8" t="s">
        <v>9</v>
      </c>
    </row>
    <row r="6433" spans="1:3" x14ac:dyDescent="0.25">
      <c r="A6433" s="8" t="str">
        <f>"AMTA 2006 - Proceedings of the 7th Conference of the Association for Machine Translation of the Americas: Visions for the Future of Machine Translation"</f>
        <v>AMTA 2006 - Proceedings of the 7th Conference of the Association for Machine Translation of the Americas: Visions for the Future of Machine Translation</v>
      </c>
      <c r="B6433" s="8" t="str">
        <f>"-"</f>
        <v>-</v>
      </c>
      <c r="C6433" s="8" t="s">
        <v>1668</v>
      </c>
    </row>
    <row r="6434" spans="1:3" x14ac:dyDescent="0.25">
      <c r="A6434" s="8" t="str">
        <f>"AMTA 2008 - 8th Conference of the Association for Machine Translation in the Americas"</f>
        <v>AMTA 2008 - 8th Conference of the Association for Machine Translation in the Americas</v>
      </c>
      <c r="B6434" s="8" t="str">
        <f>"-"</f>
        <v>-</v>
      </c>
      <c r="C6434" s="8" t="s">
        <v>1668</v>
      </c>
    </row>
    <row r="6435" spans="1:3" x14ac:dyDescent="0.25">
      <c r="A6435" s="8" t="str">
        <f>"AMTA 2010 - 9th Conference of the Association for Machine Translation in the Americas"</f>
        <v>AMTA 2010 - 9th Conference of the Association for Machine Translation in the Americas</v>
      </c>
      <c r="B6435" s="8" t="str">
        <f>"-"</f>
        <v>-</v>
      </c>
      <c r="C6435" s="8" t="s">
        <v>1668</v>
      </c>
    </row>
    <row r="6436" spans="1:3" x14ac:dyDescent="0.25">
      <c r="A6436" s="8" t="str">
        <f>"AMTA/AWWA Membrane Technology Conference and Exposition 2013"</f>
        <v>AMTA/AWWA Membrane Technology Conference and Exposition 2013</v>
      </c>
      <c r="B6436" s="8" t="str">
        <f>"9781627484152"</f>
        <v>9781627484152</v>
      </c>
      <c r="C6436" s="8" t="s">
        <v>651</v>
      </c>
    </row>
    <row r="6437" spans="1:3" x14ac:dyDescent="0.25">
      <c r="A6437" s="8" t="str">
        <f>"AMUEM 2007 - Proceedings of the 2007 IEEE International Workshop on Advanced Methods for Uncertainty Estimation in Measurement"</f>
        <v>AMUEM 2007 - Proceedings of the 2007 IEEE International Workshop on Advanced Methods for Uncertainty Estimation in Measurement</v>
      </c>
      <c r="B6437" s="8" t="str">
        <f>"9781424409334"</f>
        <v>9781424409334</v>
      </c>
      <c r="C6437" s="8" t="s">
        <v>9</v>
      </c>
    </row>
    <row r="6438" spans="1:3" x14ac:dyDescent="0.25">
      <c r="A6438" s="8" t="str">
        <f>"AMUEM 2008 - IEEE Workshop on Advanced Methods for Uncertainty Estimation Measurement Proceedings"</f>
        <v>AMUEM 2008 - IEEE Workshop on Advanced Methods for Uncertainty Estimation Measurement Proceedings</v>
      </c>
      <c r="B6438" s="8" t="str">
        <f>"9781424422371"</f>
        <v>9781424422371</v>
      </c>
      <c r="C6438" s="8" t="s">
        <v>9</v>
      </c>
    </row>
    <row r="6439" spans="1:3" x14ac:dyDescent="0.25">
      <c r="A6439" s="8" t="str">
        <f>"An Introduction to QED and QCD - Lecture Delivered at the School for Experimental High Energy Physics Students"</f>
        <v>An Introduction to QED and QCD - Lecture Delivered at the School for Experimental High Energy Physics Students</v>
      </c>
      <c r="B6439" s="8" t="str">
        <f>"-"</f>
        <v>-</v>
      </c>
      <c r="C6439" s="8" t="s">
        <v>1669</v>
      </c>
    </row>
    <row r="6440" spans="1:3" x14ac:dyDescent="0.25">
      <c r="A6440" s="8" t="str">
        <f>"Anais - 10th Semiario de Metals nao Ferrosos"</f>
        <v>Anais - 10th Semiario de Metals nao Ferrosos</v>
      </c>
      <c r="B6440" s="8" t="str">
        <f>"-"</f>
        <v>-</v>
      </c>
      <c r="C6440" s="8" t="s">
        <v>872</v>
      </c>
    </row>
    <row r="6441" spans="1:3" x14ac:dyDescent="0.25">
      <c r="A6441" s="8" t="str">
        <f>"Anais do WER 2013 - Workshop em Engenharia de Requisitos"</f>
        <v>Anais do WER 2013 - Workshop em Engenharia de Requisitos</v>
      </c>
      <c r="B6441" s="8" t="str">
        <f>"9789974837928"</f>
        <v>9789974837928</v>
      </c>
      <c r="C6441" s="8" t="s">
        <v>1236</v>
      </c>
    </row>
    <row r="6442" spans="1:3" x14ac:dyDescent="0.25">
      <c r="A6442" s="8" t="str">
        <f>"Analog Circuit Design - High-Speed A-D Converters, Automotive Electronics and Ultra-Low Power Wireless, AACD 2006"</f>
        <v>Analog Circuit Design - High-Speed A-D Converters, Automotive Electronics and Ultra-Low Power Wireless, AACD 2006</v>
      </c>
      <c r="B6442" s="8" t="str">
        <f>"9781402051852"</f>
        <v>9781402051852</v>
      </c>
      <c r="C6442" s="8" t="s">
        <v>162</v>
      </c>
    </row>
    <row r="6443" spans="1:3" x14ac:dyDescent="0.25">
      <c r="A6443" s="8" t="str">
        <f>"Analog Circuit Design - High-Speed Clock and Data Recovery, High-Performance Amplifiers, Power Management"</f>
        <v>Analog Circuit Design - High-Speed Clock and Data Recovery, High-Performance Amplifiers, Power Management</v>
      </c>
      <c r="B6443" s="8" t="str">
        <f>"9781402089435"</f>
        <v>9781402089435</v>
      </c>
      <c r="C6443" s="8" t="s">
        <v>62</v>
      </c>
    </row>
    <row r="6444" spans="1:3" x14ac:dyDescent="0.25">
      <c r="A6444" s="8" t="str">
        <f>"Analog Circuit Design - Low Voltage Low Power; Short Range Wireless Front-Ends; Power Management and DC-DC, AACD 2011"</f>
        <v>Analog Circuit Design - Low Voltage Low Power; Short Range Wireless Front-Ends; Power Management and DC-DC, AACD 2011</v>
      </c>
      <c r="B6444" s="8" t="str">
        <f>"9789400719255"</f>
        <v>9789400719255</v>
      </c>
      <c r="C6444" s="8" t="s">
        <v>162</v>
      </c>
    </row>
    <row r="6445" spans="1:3" x14ac:dyDescent="0.25">
      <c r="A6445" s="8" t="str">
        <f>"Analog Circuit Design - RF Circuits: Wide Band, Front-Ends, DAC's, Design Methodology and Verification for RF and Mixed-Signal Systems, Low Power and Low Voltage, AACD 2005"</f>
        <v>Analog Circuit Design - RF Circuits: Wide Band, Front-Ends, DAC's, Design Methodology and Verification for RF and Mixed-Signal Systems, Low Power and Low Voltage, AACD 2005</v>
      </c>
      <c r="B6445" s="8" t="str">
        <f>"9781402038846"</f>
        <v>9781402038846</v>
      </c>
      <c r="C6445" s="8" t="s">
        <v>162</v>
      </c>
    </row>
    <row r="6446" spans="1:3" x14ac:dyDescent="0.25">
      <c r="A6446" s="8" t="str">
        <f>"Analog Circuit Design - Robust Design, Sigma Delta Converters, RFID"</f>
        <v>Analog Circuit Design - Robust Design, Sigma Delta Converters, RFID</v>
      </c>
      <c r="B6446" s="8" t="str">
        <f>"9789400703902"</f>
        <v>9789400703902</v>
      </c>
      <c r="C6446" s="8" t="s">
        <v>62</v>
      </c>
    </row>
    <row r="6447" spans="1:3" x14ac:dyDescent="0.25">
      <c r="A6447" s="8" t="str">
        <f>"Analog Circuit Design - Sensors, Actuators and Power Drivers; Integrated Power Amplifiers from Wireline to RF; Very High Frequency Front Ends, AACD 2007"</f>
        <v>Analog Circuit Design - Sensors, Actuators and Power Drivers; Integrated Power Amplifiers from Wireline to RF; Very High Frequency Front Ends, AACD 2007</v>
      </c>
      <c r="B6447" s="8" t="str">
        <f>"9781402082627"</f>
        <v>9781402082627</v>
      </c>
      <c r="C6447" s="8" t="s">
        <v>162</v>
      </c>
    </row>
    <row r="6448" spans="1:3" x14ac:dyDescent="0.25">
      <c r="A6448" s="8" t="str">
        <f>"Analog Circuit Design - Smart Data Converters, Filters on Chip, Multimode Transmitters"</f>
        <v>Analog Circuit Design - Smart Data Converters, Filters on Chip, Multimode Transmitters</v>
      </c>
      <c r="B6448" s="8" t="str">
        <f>"9789048130825"</f>
        <v>9789048130825</v>
      </c>
      <c r="C6448" s="8" t="s">
        <v>162</v>
      </c>
    </row>
    <row r="6449" spans="1:3" x14ac:dyDescent="0.25">
      <c r="A6449" s="8" t="str">
        <f>"Analysis and Design of Marine Structures - Proceedings of the 4th International Conference on Marine Structures, MARSTRUCT 2013"</f>
        <v>Analysis and Design of Marine Structures - Proceedings of the 4th International Conference on Marine Structures, MARSTRUCT 2013</v>
      </c>
      <c r="B6449" s="8" t="str">
        <f>"9781138000452"</f>
        <v>9781138000452</v>
      </c>
      <c r="C6449" s="8" t="s">
        <v>1635</v>
      </c>
    </row>
    <row r="6450" spans="1:3" x14ac:dyDescent="0.25">
      <c r="A6450" s="8" t="str">
        <f>"Analysis and Design of Marine Structures - Proceedings of the 5th International Conference on Marine Structures, MARSTRUCT 2015"</f>
        <v>Analysis and Design of Marine Structures - Proceedings of the 5th International Conference on Marine Structures, MARSTRUCT 2015</v>
      </c>
      <c r="B6450" s="8" t="str">
        <f>"9781138027893"</f>
        <v>9781138027893</v>
      </c>
      <c r="C6450" s="8" t="s">
        <v>1635</v>
      </c>
    </row>
    <row r="6451" spans="1:3" x14ac:dyDescent="0.25">
      <c r="A6451" s="8" t="str">
        <f>"Analysis of Discontinuous Deformation: New Developments and Applications"</f>
        <v>Analysis of Discontinuous Deformation: New Developments and Applications</v>
      </c>
      <c r="B6451" s="8" t="str">
        <f>"9789810844554"</f>
        <v>9789810844554</v>
      </c>
      <c r="C6451" s="8" t="s">
        <v>1554</v>
      </c>
    </row>
    <row r="6452" spans="1:3" x14ac:dyDescent="0.25">
      <c r="A6452" s="8" t="str">
        <f>"Analytical and Computational Methods - Proceedings of the 10th East Asia-Pacific Conference on Structural Engineering and Construction, EASEC 2010"</f>
        <v>Analytical and Computational Methods - Proceedings of the 10th East Asia-Pacific Conference on Structural Engineering and Construction, EASEC 2010</v>
      </c>
      <c r="B6452" s="8" t="str">
        <f>"-"</f>
        <v>-</v>
      </c>
      <c r="C6452" s="8" t="s">
        <v>1670</v>
      </c>
    </row>
    <row r="6453" spans="1:3" x14ac:dyDescent="0.25">
      <c r="A6453" s="8" t="str">
        <f>"Anatomical Imaging: Towards a New Morphology"</f>
        <v>Anatomical Imaging: Towards a New Morphology</v>
      </c>
      <c r="B6453" s="8" t="str">
        <f>"9784431769323"</f>
        <v>9784431769323</v>
      </c>
      <c r="C6453" s="8" t="s">
        <v>42</v>
      </c>
    </row>
    <row r="6454" spans="1:3" x14ac:dyDescent="0.25">
      <c r="A6454" s="8" t="str">
        <f>"Ancient Underground Opening and Preservation - Proceedings of the International Symposium on Scientific Problems and Long-Term Preservation of Large-Scale Ancient Underground Engineering, 2015"</f>
        <v>Ancient Underground Opening and Preservation - Proceedings of the International Symposium on Scientific Problems and Long-Term Preservation of Large-Scale Ancient Underground Engineering, 2015</v>
      </c>
      <c r="B6454" s="8" t="str">
        <f>"9781138028999"</f>
        <v>9781138028999</v>
      </c>
      <c r="C6454" s="8" t="s">
        <v>1635</v>
      </c>
    </row>
    <row r="6455" spans="1:3" x14ac:dyDescent="0.25">
      <c r="A6455" s="8" t="str">
        <f>"ANCS 2006 - Proceedings of the 2006 ACM/IEEE Symposium on Architectures for Networking and Communications Systems"</f>
        <v>ANCS 2006 - Proceedings of the 2006 ACM/IEEE Symposium on Architectures for Networking and Communications Systems</v>
      </c>
      <c r="B6455" s="8" t="str">
        <f>"9781595935809"</f>
        <v>9781595935809</v>
      </c>
      <c r="C6455" s="8" t="s">
        <v>21</v>
      </c>
    </row>
    <row r="6456" spans="1:3" x14ac:dyDescent="0.25">
      <c r="A6456" s="8" t="str">
        <f>"ANCS 2010 - Proceedings of the 6th ACM/IEEE Symposium on Architectures for Networking and Communications Systems"</f>
        <v>ANCS 2010 - Proceedings of the 6th ACM/IEEE Symposium on Architectures for Networking and Communications Systems</v>
      </c>
      <c r="B6456" s="8" t="str">
        <f>"9781450303798"</f>
        <v>9781450303798</v>
      </c>
      <c r="C6456" s="8" t="s">
        <v>21</v>
      </c>
    </row>
    <row r="6457" spans="1:3" x14ac:dyDescent="0.25">
      <c r="A6457" s="8" t="str">
        <f>"ANCS 2010 - Proceedings of the 6th ACM/IEEE Symposium on Architectures for Networking and Communications Systems"</f>
        <v>ANCS 2010 - Proceedings of the 6th ACM/IEEE Symposium on Architectures for Networking and Communications Systems</v>
      </c>
      <c r="B6457" s="8" t="str">
        <f>"9781450303798"</f>
        <v>9781450303798</v>
      </c>
      <c r="C6457" s="8" t="s">
        <v>9</v>
      </c>
    </row>
    <row r="6458" spans="1:3" x14ac:dyDescent="0.25">
      <c r="A6458" s="8" t="str">
        <f>"ANCS 2012 - Proceedings of the 8th ACM/IEEE Symposium on Architectures for Networking and Communications Systems"</f>
        <v>ANCS 2012 - Proceedings of the 8th ACM/IEEE Symposium on Architectures for Networking and Communications Systems</v>
      </c>
      <c r="B6458" s="8" t="str">
        <f>"9781450316859"</f>
        <v>9781450316859</v>
      </c>
      <c r="C6458" s="8" t="s">
        <v>21</v>
      </c>
    </row>
    <row r="6459" spans="1:3" x14ac:dyDescent="0.25">
      <c r="A6459" s="8" t="str">
        <f>"ANCS 2013 - Proceedings of the 9th ACM/IEEE Symposium on Architectures for Networking and Communications Systems"</f>
        <v>ANCS 2013 - Proceedings of the 9th ACM/IEEE Symposium on Architectures for Networking and Communications Systems</v>
      </c>
      <c r="B6459" s="8" t="str">
        <f>"9781479916405"</f>
        <v>9781479916405</v>
      </c>
      <c r="C6459" s="8" t="s">
        <v>9</v>
      </c>
    </row>
    <row r="6460" spans="1:3" x14ac:dyDescent="0.25">
      <c r="A6460" s="8" t="str">
        <f>"ANCS 2014 - 10th 2014 ACM/IEEE Symposium on Architectures for Networking and Communications Systems"</f>
        <v>ANCS 2014 - 10th 2014 ACM/IEEE Symposium on Architectures for Networking and Communications Systems</v>
      </c>
      <c r="B6460" s="8" t="str">
        <f>"9781450328395"</f>
        <v>9781450328395</v>
      </c>
      <c r="C6460" s="8" t="s">
        <v>1235</v>
      </c>
    </row>
    <row r="6461" spans="1:3" x14ac:dyDescent="0.25">
      <c r="A6461" s="8" t="str">
        <f>"ANCS 2015 - 11th 2015 ACM/IEEE Symposium on Architectures for Networking and Communications Systems"</f>
        <v>ANCS 2015 - 11th 2015 ACM/IEEE Symposium on Architectures for Networking and Communications Systems</v>
      </c>
      <c r="B6461" s="8" t="str">
        <f>"9781467366335"</f>
        <v>9781467366335</v>
      </c>
      <c r="C6461" s="8" t="s">
        <v>105</v>
      </c>
    </row>
    <row r="6462" spans="1:3" x14ac:dyDescent="0.25">
      <c r="A6462" s="8" t="str">
        <f>"ANCS'07 - Proceedings of the 2007 ACM Symposium on Architecture for Networking and Communications"</f>
        <v>ANCS'07 - Proceedings of the 2007 ACM Symposium on Architecture for Networking and Communications</v>
      </c>
      <c r="B6462" s="8" t="str">
        <f>"9781595939456"</f>
        <v>9781595939456</v>
      </c>
      <c r="C6462" s="8" t="s">
        <v>21</v>
      </c>
    </row>
    <row r="6463" spans="1:3" x14ac:dyDescent="0.25">
      <c r="A6463" s="8" t="str">
        <f>"ANCS'09: Symposium on Architecture for Networking and Communications Systems"</f>
        <v>ANCS'09: Symposium on Architecture for Networking and Communications Systems</v>
      </c>
      <c r="B6463" s="8" t="str">
        <f>"9781605586304"</f>
        <v>9781605586304</v>
      </c>
      <c r="C6463" s="8" t="s">
        <v>21</v>
      </c>
    </row>
    <row r="6464" spans="1:3" x14ac:dyDescent="0.25">
      <c r="A6464" s="8" t="str">
        <f>"Animal Agriculture and Processing: Managing Environmental Impacts"</f>
        <v>Animal Agriculture and Processing: Managing Environmental Impacts</v>
      </c>
      <c r="B6464" s="8" t="str">
        <f>"-"</f>
        <v>-</v>
      </c>
      <c r="C6464" s="8" t="s">
        <v>10</v>
      </c>
    </row>
    <row r="6465" spans="1:3" x14ac:dyDescent="0.25">
      <c r="A6465" s="8" t="str">
        <f>"ANIMMA 2009 - 2009 1st International Conference on Advancements in Nuclear Instrumentation, Measurement Methods and their Applications"</f>
        <v>ANIMMA 2009 - 2009 1st International Conference on Advancements in Nuclear Instrumentation, Measurement Methods and their Applications</v>
      </c>
      <c r="B6465" s="8" t="str">
        <f>"9781424452088"</f>
        <v>9781424452088</v>
      </c>
      <c r="C6465" s="8" t="s">
        <v>9</v>
      </c>
    </row>
    <row r="6466" spans="1:3" x14ac:dyDescent="0.25">
      <c r="A6466" s="8" t="str">
        <f>"ANIMMA 2011 - Proceedings: 2nd International Conference on Advancements in Nuclear Instrumentation, Measurement Methods and their Applications"</f>
        <v>ANIMMA 2011 - Proceedings: 2nd International Conference on Advancements in Nuclear Instrumentation, Measurement Methods and their Applications</v>
      </c>
      <c r="B6466" s="8" t="str">
        <f>"9781457709265"</f>
        <v>9781457709265</v>
      </c>
      <c r="C6466" s="8" t="s">
        <v>9</v>
      </c>
    </row>
    <row r="6467" spans="1:3" x14ac:dyDescent="0.25">
      <c r="A6467" s="8" t="str">
        <f>"ANNALS - 3rd International Meeting on Ironmaking and 2nd International Symposium on Iron Ore"</f>
        <v>ANNALS - 3rd International Meeting on Ironmaking and 2nd International Symposium on Iron Ore</v>
      </c>
      <c r="B6467" s="8" t="str">
        <f>"9788577370320"</f>
        <v>9788577370320</v>
      </c>
      <c r="C6467" s="8" t="s">
        <v>1671</v>
      </c>
    </row>
    <row r="6468" spans="1:3" x14ac:dyDescent="0.25">
      <c r="A6468" s="8" t="str">
        <f>"Annals of Advances in Automotive Medicine - 52nd Annual Scientific Conference"</f>
        <v>Annals of Advances in Automotive Medicine - 52nd Annual Scientific Conference</v>
      </c>
      <c r="B6468" s="8" t="str">
        <f>"-"</f>
        <v>-</v>
      </c>
      <c r="C6468" s="8" t="s">
        <v>124</v>
      </c>
    </row>
    <row r="6469" spans="1:3" x14ac:dyDescent="0.25">
      <c r="A6469" s="8" t="str">
        <f>"Annals of Advances in Automotive Medicine - 53rd Annual Scientific Conference"</f>
        <v>Annals of Advances in Automotive Medicine - 53rd Annual Scientific Conference</v>
      </c>
      <c r="B6469" s="8" t="str">
        <f>"-"</f>
        <v>-</v>
      </c>
      <c r="C6469" s="8" t="s">
        <v>124</v>
      </c>
    </row>
    <row r="6470" spans="1:3" x14ac:dyDescent="0.25">
      <c r="A6470" s="8" t="str">
        <f>"Annals of Advances in Automotive Medicine - 54th Annual Scientific Conference"</f>
        <v>Annals of Advances in Automotive Medicine - 54th Annual Scientific Conference</v>
      </c>
      <c r="B6470" s="8" t="str">
        <f>"-"</f>
        <v>-</v>
      </c>
      <c r="C6470" s="8" t="s">
        <v>124</v>
      </c>
    </row>
    <row r="6471" spans="1:3" x14ac:dyDescent="0.25">
      <c r="A6471" s="8" t="str">
        <f>"Annual Canadian Nuclear Society Conference"</f>
        <v>Annual Canadian Nuclear Society Conference</v>
      </c>
      <c r="B6471" s="8" t="str">
        <f>"9780919784796"</f>
        <v>9780919784796</v>
      </c>
      <c r="C6471" s="8" t="s">
        <v>1437</v>
      </c>
    </row>
    <row r="6472" spans="1:3" x14ac:dyDescent="0.25">
      <c r="A6472" s="8" t="str">
        <f>"Annual Conference for Protective Relay Engineers"</f>
        <v>Annual Conference for Protective Relay Engineers</v>
      </c>
      <c r="B6472" s="8" t="str">
        <f>"9780780384323"</f>
        <v>9780780384323</v>
      </c>
      <c r="C6472" s="8" t="s">
        <v>105</v>
      </c>
    </row>
    <row r="6473" spans="1:3" x14ac:dyDescent="0.25">
      <c r="A6473" s="8" t="str">
        <f>"Annual Conference of the Australasian Corrosion Association 2012"</f>
        <v>Annual Conference of the Australasian Corrosion Association 2012</v>
      </c>
      <c r="B6473" s="8" t="str">
        <f>"9781622769698"</f>
        <v>9781622769698</v>
      </c>
      <c r="C6473" s="8" t="s">
        <v>310</v>
      </c>
    </row>
    <row r="6474" spans="1:3" x14ac:dyDescent="0.25">
      <c r="A6474" s="8" t="str">
        <f>"Annual Conference of the Australasian Corrosion Association 2013: Corrosion and Prevention 2013"</f>
        <v>Annual Conference of the Australasian Corrosion Association 2013: Corrosion and Prevention 2013</v>
      </c>
      <c r="B6474" s="8" t="str">
        <f>"9781634394369"</f>
        <v>9781634394369</v>
      </c>
      <c r="C6474" s="8" t="s">
        <v>310</v>
      </c>
    </row>
    <row r="6475" spans="1:3" x14ac:dyDescent="0.25">
      <c r="A6475" s="8" t="str">
        <f>"Annual Conference of the Australasian Corrosion Association 2014: Corrosion and Prevention 2014"</f>
        <v>Annual Conference of the Australasian Corrosion Association 2014: Corrosion and Prevention 2014</v>
      </c>
      <c r="B6475" s="8" t="str">
        <f>"9781634395441"</f>
        <v>9781634395441</v>
      </c>
      <c r="C6475" s="8" t="s">
        <v>310</v>
      </c>
    </row>
    <row r="6476" spans="1:3" x14ac:dyDescent="0.25">
      <c r="A6476" s="8" t="str">
        <f>"Annual Conference of the Australian Acoustical Society 2005, Acoustics 2005: Acoustics in a Changing Environment"</f>
        <v>Annual Conference of the Australian Acoustical Society 2005, Acoustics 2005: Acoustics in a Changing Environment</v>
      </c>
      <c r="B6476" s="8" t="str">
        <f>"9781622762682"</f>
        <v>9781622762682</v>
      </c>
      <c r="C6476" s="8" t="s">
        <v>1270</v>
      </c>
    </row>
    <row r="6477" spans="1:3" x14ac:dyDescent="0.25">
      <c r="A6477" s="8" t="str">
        <f>"Annual Conference of the Australian Acoustical Society 2009 - Acoustics 2009: Research to Consulting"</f>
        <v>Annual Conference of the Australian Acoustical Society 2009 - Acoustics 2009: Research to Consulting</v>
      </c>
      <c r="B6477" s="8" t="str">
        <f>"9781617380310"</f>
        <v>9781617380310</v>
      </c>
      <c r="C6477" s="8" t="s">
        <v>1270</v>
      </c>
    </row>
    <row r="6478" spans="1:3" x14ac:dyDescent="0.25">
      <c r="A6478" s="8" t="str">
        <f>"Annual Conference of the Australian Acoustical Society, AAS'08"</f>
        <v>Annual Conference of the Australian Acoustical Society, AAS'08</v>
      </c>
      <c r="B6478" s="8" t="str">
        <f>"9781615670178"</f>
        <v>9781615670178</v>
      </c>
      <c r="C6478" s="8" t="s">
        <v>1270</v>
      </c>
    </row>
    <row r="6479" spans="1:3" x14ac:dyDescent="0.25">
      <c r="A6479" s="8" t="str">
        <f>"Annual Conference of the Prognostics and Health Management Society, PHM 2009"</f>
        <v>Annual Conference of the Prognostics and Health Management Society, PHM 2009</v>
      </c>
      <c r="B6479" s="8" t="str">
        <f>"9781936263004"</f>
        <v>9781936263004</v>
      </c>
      <c r="C6479" s="8" t="s">
        <v>967</v>
      </c>
    </row>
    <row r="6480" spans="1:3" x14ac:dyDescent="0.25">
      <c r="A6480" s="8" t="str">
        <f>"Annual Conference of the Prognostics and Health Management Society, PHM 2010"</f>
        <v>Annual Conference of the Prognostics and Health Management Society, PHM 2010</v>
      </c>
      <c r="B6480" s="8" t="str">
        <f>"9781936263011"</f>
        <v>9781936263011</v>
      </c>
      <c r="C6480" s="8" t="s">
        <v>967</v>
      </c>
    </row>
    <row r="6481" spans="1:3" x14ac:dyDescent="0.25">
      <c r="A6481" s="8" t="str">
        <f>"Annual International Conference of the American Society for Engineering Management 2011, ASEM 2011"</f>
        <v>Annual International Conference of the American Society for Engineering Management 2011, ASEM 2011</v>
      </c>
      <c r="B6481" s="8" t="str">
        <f>"9781618393616"</f>
        <v>9781618393616</v>
      </c>
      <c r="C6481" s="8" t="s">
        <v>1385</v>
      </c>
    </row>
    <row r="6482" spans="1:3" x14ac:dyDescent="0.25">
      <c r="A6482" s="8" t="str">
        <f>"Annual International Conference of the American Society for Engineering Management 2012, ASEM 2012 - Agile Management: Embracing Change and Uncertainty in Engineering Management"</f>
        <v>Annual International Conference of the American Society for Engineering Management 2012, ASEM 2012 - Agile Management: Embracing Change and Uncertainty in Engineering Management</v>
      </c>
      <c r="B6482" s="8" t="str">
        <f>"9781627482820"</f>
        <v>9781627482820</v>
      </c>
      <c r="C6482" s="8" t="s">
        <v>1385</v>
      </c>
    </row>
    <row r="6483" spans="1:3" x14ac:dyDescent="0.25">
      <c r="A6483" s="8" t="str">
        <f>"Annual International Conference of the Computer Measurement Group, CMG 2013"</f>
        <v>Annual International Conference of the Computer Measurement Group, CMG 2013</v>
      </c>
      <c r="B6483" s="8" t="str">
        <f>"9781629935836"</f>
        <v>9781629935836</v>
      </c>
      <c r="C6483" s="8" t="s">
        <v>1473</v>
      </c>
    </row>
    <row r="6484" spans="1:3" x14ac:dyDescent="0.25">
      <c r="A6484" s="8" t="str">
        <f>"Annual International Conference on Mobile Computing and Networking Workshops, MobiCom'09 - Proceedings of the 4th ACM Workshop on Challenged Networks, CHANTS'09"</f>
        <v>Annual International Conference on Mobile Computing and Networking Workshops, MobiCom'09 - Proceedings of the 4th ACM Workshop on Challenged Networks, CHANTS'09</v>
      </c>
      <c r="B6484" s="8" t="str">
        <f>"9781605587417"</f>
        <v>9781605587417</v>
      </c>
      <c r="C6484" s="8" t="s">
        <v>21</v>
      </c>
    </row>
    <row r="6485" spans="1:3" x14ac:dyDescent="0.25">
      <c r="A6485" s="8" t="str">
        <f>"Annual International Technical Conference of the National Association for Surface Finishing, SUR/FIN 2007"</f>
        <v>Annual International Technical Conference of the National Association for Surface Finishing, SUR/FIN 2007</v>
      </c>
      <c r="B6485" s="8" t="str">
        <f>"9781604238709"</f>
        <v>9781604238709</v>
      </c>
      <c r="C6485" s="8" t="s">
        <v>394</v>
      </c>
    </row>
    <row r="6486" spans="1:3" x14ac:dyDescent="0.25">
      <c r="A6486" s="8" t="str">
        <f>"Annual Meeting of the American Electrophoresis Society 2013, AES 2013 - Topical Conference at the 2013 AIChE Annual Meeting: Global Challenges for Engineering a Sustainable Future"</f>
        <v>Annual Meeting of the American Electrophoresis Society 2013, AES 2013 - Topical Conference at the 2013 AIChE Annual Meeting: Global Challenges for Engineering a Sustainable Future</v>
      </c>
      <c r="B6486" s="8" t="str">
        <f>"9781634390231"</f>
        <v>9781634390231</v>
      </c>
      <c r="C6486" s="8" t="s">
        <v>1219</v>
      </c>
    </row>
    <row r="6487" spans="1:3" x14ac:dyDescent="0.25">
      <c r="A6487" s="8" t="str">
        <f>"Annual North American Waste To Energy Conference, NAWTEC"</f>
        <v>Annual North American Waste To Energy Conference, NAWTEC</v>
      </c>
      <c r="B6487" s="8" t="str">
        <f>"9780791835258"</f>
        <v>9780791835258</v>
      </c>
      <c r="C6487" s="8" t="s">
        <v>73</v>
      </c>
    </row>
    <row r="6488" spans="1:3" x14ac:dyDescent="0.25">
      <c r="A6488" s="8" t="str">
        <f>"Annual North American Waste to Energy Conference, NAWTEC"</f>
        <v>Annual North American Waste to Energy Conference, NAWTEC</v>
      </c>
      <c r="B6488" s="8" t="str">
        <f>"9780791836651"</f>
        <v>9780791836651</v>
      </c>
      <c r="C6488" s="8" t="s">
        <v>73</v>
      </c>
    </row>
    <row r="6489" spans="1:3" x14ac:dyDescent="0.25">
      <c r="A6489" s="8" t="str">
        <f>"Annual North American Waste to Energy Conference, NAWTEC"</f>
        <v>Annual North American Waste to Energy Conference, NAWTEC</v>
      </c>
      <c r="B6489" s="8" t="str">
        <f>"9780791835944"</f>
        <v>9780791835944</v>
      </c>
      <c r="C6489" s="8" t="s">
        <v>73</v>
      </c>
    </row>
    <row r="6490" spans="1:3" x14ac:dyDescent="0.25">
      <c r="A6490" s="8" t="str">
        <f>"Annual Scientific-Technical Colletion - Mining of Mineral Deposits 2013"</f>
        <v>Annual Scientific-Technical Colletion - Mining of Mineral Deposits 2013</v>
      </c>
      <c r="B6490" s="8" t="str">
        <f>"9781138001084"</f>
        <v>9781138001084</v>
      </c>
      <c r="C6490" s="8" t="s">
        <v>1619</v>
      </c>
    </row>
    <row r="6491" spans="1:3" x14ac:dyDescent="0.25">
      <c r="A6491" s="8" t="str">
        <f>"Annual Technical Meeting of the Institute of Environmental Sciences and Technology 2005, ESTECH 2005 - Building a Solid Foundation"</f>
        <v>Annual Technical Meeting of the Institute of Environmental Sciences and Technology 2005, ESTECH 2005 - Building a Solid Foundation</v>
      </c>
      <c r="B6491" s="8" t="str">
        <f>"9781627482691"</f>
        <v>9781627482691</v>
      </c>
      <c r="C6491" s="8" t="s">
        <v>784</v>
      </c>
    </row>
    <row r="6492" spans="1:3" x14ac:dyDescent="0.25">
      <c r="A6492" s="8" t="str">
        <f>"Annual Technical Meeting of the Institute of Environmental Sciences and Technology 2009, ESTECH 2009"</f>
        <v>Annual Technical Meeting of the Institute of Environmental Sciences and Technology 2009, ESTECH 2009</v>
      </c>
      <c r="B6492" s="8" t="str">
        <f>"9781615670840"</f>
        <v>9781615670840</v>
      </c>
      <c r="C6492" s="8" t="s">
        <v>784</v>
      </c>
    </row>
    <row r="6493" spans="1:3" x14ac:dyDescent="0.25">
      <c r="A6493" s="8" t="str">
        <f>"Annual Technical Meeting of the Institute of Environmental Sciences and Technology 2010, ESTECH 2010"</f>
        <v>Annual Technical Meeting of the Institute of Environmental Sciences and Technology 2010, ESTECH 2010</v>
      </c>
      <c r="B6493" s="8" t="str">
        <f>"9781617386381"</f>
        <v>9781617386381</v>
      </c>
      <c r="C6493" s="8" t="s">
        <v>784</v>
      </c>
    </row>
    <row r="6494" spans="1:3" x14ac:dyDescent="0.25">
      <c r="A6494" s="8" t="str">
        <f>"Annual Technical Meeting of the Institute of Environmental Sciences and Technology 2011, ESTECH 2011"</f>
        <v>Annual Technical Meeting of the Institute of Environmental Sciences and Technology 2011, ESTECH 2011</v>
      </c>
      <c r="B6494" s="8" t="str">
        <f>"9781617829789"</f>
        <v>9781617829789</v>
      </c>
      <c r="C6494" s="8" t="s">
        <v>784</v>
      </c>
    </row>
    <row r="6495" spans="1:3" x14ac:dyDescent="0.25">
      <c r="A6495" s="8" t="str">
        <f>"Annual Technical Meeting of the Institute of Environmental Sciences and Technology 2012, ESTECH 2012"</f>
        <v>Annual Technical Meeting of the Institute of Environmental Sciences and Technology 2012, ESTECH 2012</v>
      </c>
      <c r="B6495" s="8" t="str">
        <f>"9781622760879"</f>
        <v>9781622760879</v>
      </c>
      <c r="C6495" s="8" t="s">
        <v>784</v>
      </c>
    </row>
    <row r="6496" spans="1:3" x14ac:dyDescent="0.25">
      <c r="A6496" s="8" t="str">
        <f>"Annual Technical Meeting of the Institute of Environmental Sciences and Technology, ESTECH 2007"</f>
        <v>Annual Technical Meeting of the Institute of Environmental Sciences and Technology, ESTECH 2007</v>
      </c>
      <c r="B6496" s="8" t="str">
        <f>"9781604234428"</f>
        <v>9781604234428</v>
      </c>
      <c r="C6496" s="8" t="s">
        <v>784</v>
      </c>
    </row>
    <row r="6497" spans="1:3" x14ac:dyDescent="0.25">
      <c r="A6497" s="8" t="str">
        <f>"Annual Technical Meeting of the Institute of Environmental Sciences and Technology, ESTECH 2008"</f>
        <v>Annual Technical Meeting of the Institute of Environmental Sciences and Technology, ESTECH 2008</v>
      </c>
      <c r="B6497" s="8" t="str">
        <f>"9781605604121"</f>
        <v>9781605604121</v>
      </c>
      <c r="C6497" s="8" t="s">
        <v>784</v>
      </c>
    </row>
    <row r="6498" spans="1:3" x14ac:dyDescent="0.25">
      <c r="A6498" s="8" t="s">
        <v>1672</v>
      </c>
      <c r="B6498" s="8" t="str">
        <f>"9780415413794"</f>
        <v>9780415413794</v>
      </c>
      <c r="C6498" s="8" t="s">
        <v>1619</v>
      </c>
    </row>
    <row r="6499" spans="1:3" x14ac:dyDescent="0.25">
      <c r="A6499" s="8" t="str">
        <f>"ANTARES Collaboration Proceedings of ICRC 2007"</f>
        <v>ANTARES Collaboration Proceedings of ICRC 2007</v>
      </c>
      <c r="B6499" s="8" t="str">
        <f>"-"</f>
        <v>-</v>
      </c>
      <c r="C6499" s="8" t="s">
        <v>1673</v>
      </c>
    </row>
    <row r="6500" spans="1:3" x14ac:dyDescent="0.25">
      <c r="A6500" s="8" t="str">
        <f>"Anti-Aging Therapeutics - 2005 Conference Year"</f>
        <v>Anti-Aging Therapeutics - 2005 Conference Year</v>
      </c>
      <c r="B6500" s="8" t="str">
        <f>"-"</f>
        <v>-</v>
      </c>
      <c r="C6500" s="8" t="s">
        <v>1674</v>
      </c>
    </row>
    <row r="6501" spans="1:3" x14ac:dyDescent="0.25">
      <c r="A6501" s="8" t="str">
        <f>"Anti-Aging Therapeutics - 2006 Conference Year"</f>
        <v>Anti-Aging Therapeutics - 2006 Conference Year</v>
      </c>
      <c r="B6501" s="8" t="str">
        <f>"9781934715000"</f>
        <v>9781934715000</v>
      </c>
      <c r="C6501" s="8" t="s">
        <v>1674</v>
      </c>
    </row>
    <row r="6502" spans="1:3" x14ac:dyDescent="0.25">
      <c r="A6502" s="8" t="str">
        <f>"Anti-Aging Therapeutics - 2007 Conference Year"</f>
        <v>Anti-Aging Therapeutics - 2007 Conference Year</v>
      </c>
      <c r="B6502" s="8" t="str">
        <f>"9781934715017"</f>
        <v>9781934715017</v>
      </c>
      <c r="C6502" s="8" t="s">
        <v>1674</v>
      </c>
    </row>
    <row r="6503" spans="1:3" x14ac:dyDescent="0.25">
      <c r="A6503" s="8" t="str">
        <f>"Anti-Aging Therapeutics - 2008 Conference Year"</f>
        <v>Anti-Aging Therapeutics - 2008 Conference Year</v>
      </c>
      <c r="B6503" s="8" t="str">
        <f>"9781934715024"</f>
        <v>9781934715024</v>
      </c>
      <c r="C6503" s="8" t="s">
        <v>1674</v>
      </c>
    </row>
    <row r="6504" spans="1:3" x14ac:dyDescent="0.25">
      <c r="A6504" s="8" t="str">
        <f>"Anti-Aging Therapeutics - 2009 Conference Year"</f>
        <v>Anti-Aging Therapeutics - 2009 Conference Year</v>
      </c>
      <c r="B6504" s="8" t="str">
        <f>"9781934715055"</f>
        <v>9781934715055</v>
      </c>
      <c r="C6504" s="8" t="s">
        <v>1674</v>
      </c>
    </row>
    <row r="6505" spans="1:3" x14ac:dyDescent="0.25">
      <c r="A6505" s="8" t="str">
        <f>"Anti-Aging Therapeutics - 2010 Conference Year"</f>
        <v>Anti-Aging Therapeutics - 2010 Conference Year</v>
      </c>
      <c r="B6505" s="8" t="str">
        <f>"9781934715079"</f>
        <v>9781934715079</v>
      </c>
      <c r="C6505" s="8" t="s">
        <v>1674</v>
      </c>
    </row>
    <row r="6506" spans="1:3" x14ac:dyDescent="0.25">
      <c r="A6506" s="8" t="str">
        <f>"Anti-Aging Therapeutics - 2011 Conference Year"</f>
        <v>Anti-Aging Therapeutics - 2011 Conference Year</v>
      </c>
      <c r="B6506" s="8" t="str">
        <f>"9781934715093"</f>
        <v>9781934715093</v>
      </c>
      <c r="C6506" s="8" t="s">
        <v>1674</v>
      </c>
    </row>
    <row r="6507" spans="1:3" x14ac:dyDescent="0.25">
      <c r="A6507" s="8" t="str">
        <f>"Anti-Aging Therapeutics - 2012 Conference Year"</f>
        <v>Anti-Aging Therapeutics - 2012 Conference Year</v>
      </c>
      <c r="B6507" s="8" t="str">
        <f>"9781934715147"</f>
        <v>9781934715147</v>
      </c>
      <c r="C6507" s="8" t="s">
        <v>1674</v>
      </c>
    </row>
    <row r="6508" spans="1:3" x14ac:dyDescent="0.25">
      <c r="A6508" s="8" t="str">
        <f>"Anti-Aging Therapeutics - 2013 Conference Year"</f>
        <v>Anti-Aging Therapeutics - 2013 Conference Year</v>
      </c>
      <c r="B6508" s="8" t="str">
        <f>"9781934715161"</f>
        <v>9781934715161</v>
      </c>
      <c r="C6508" s="8" t="s">
        <v>1674</v>
      </c>
    </row>
    <row r="6509" spans="1:3" x14ac:dyDescent="0.25">
      <c r="A6509" s="8" t="str">
        <f>"AOAsia 2013: Proceedings of the 8th International Workshop on Advanced Modularization Techniques - AOAsia/Pacific"</f>
        <v>AOAsia 2013: Proceedings of the 8th International Workshop on Advanced Modularization Techniques - AOAsia/Pacific</v>
      </c>
      <c r="B6509" s="8" t="str">
        <f>"9781450318617"</f>
        <v>9781450318617</v>
      </c>
      <c r="C6509" s="8" t="s">
        <v>21</v>
      </c>
    </row>
    <row r="6510" spans="1:3" x14ac:dyDescent="0.25">
      <c r="A6510" s="8" t="str">
        <f>"AOSD 2004: 3rd International Conference on Aspect-Oriented Software Development - Conference Proceedings"</f>
        <v>AOSD 2004: 3rd International Conference on Aspect-Oriented Software Development - Conference Proceedings</v>
      </c>
      <c r="B6510" s="8" t="str">
        <f>"9781581138429"</f>
        <v>9781581138429</v>
      </c>
      <c r="C6510" s="8" t="s">
        <v>21</v>
      </c>
    </row>
    <row r="6511" spans="1:3" x14ac:dyDescent="0.25">
      <c r="A6511" s="8" t="str">
        <f>"AOSD 2005: 4th International Conference on Aspect-Oriented Software Development - Conference Proceedings"</f>
        <v>AOSD 2005: 4th International Conference on Aspect-Oriented Software Development - Conference Proceedings</v>
      </c>
      <c r="B6511" s="8" t="str">
        <f>"9781595930439"</f>
        <v>9781595930439</v>
      </c>
      <c r="C6511" s="8" t="s">
        <v>21</v>
      </c>
    </row>
    <row r="6512" spans="1:3" x14ac:dyDescent="0.25">
      <c r="A6512" s="8" t="str">
        <f>"AOSD 2013 - Proceedings of the 2013 ACM on Aspect-Oriented Software Development"</f>
        <v>AOSD 2013 - Proceedings of the 2013 ACM on Aspect-Oriented Software Development</v>
      </c>
      <c r="B6512" s="8" t="str">
        <f>"9781450317665"</f>
        <v>9781450317665</v>
      </c>
      <c r="C6512" s="8" t="s">
        <v>21</v>
      </c>
    </row>
    <row r="6513" spans="1:3" x14ac:dyDescent="0.25">
      <c r="A6513" s="8" t="str">
        <f>"AOSD 2013 Companion - Proceedings of the 2013 ACM on Aspect-Oriented Software Development"</f>
        <v>AOSD 2013 Companion - Proceedings of the 2013 ACM on Aspect-Oriented Software Development</v>
      </c>
      <c r="B6513" s="8" t="str">
        <f>"9781450318730"</f>
        <v>9781450318730</v>
      </c>
      <c r="C6513" s="8" t="s">
        <v>21</v>
      </c>
    </row>
    <row r="6514" spans="1:3" x14ac:dyDescent="0.25">
      <c r="A6514" s="8" t="str">
        <f>"AOSD.10 - 9th International Conference on Aspect-Oriented Software Development"</f>
        <v>AOSD.10 - 9th International Conference on Aspect-Oriented Software Development</v>
      </c>
      <c r="B6514" s="8" t="str">
        <f>"9781605589589"</f>
        <v>9781605589589</v>
      </c>
      <c r="C6514" s="8" t="s">
        <v>21</v>
      </c>
    </row>
    <row r="6515" spans="1:3" x14ac:dyDescent="0.25">
      <c r="A6515" s="8" t="str">
        <f>"AOSD'12 - Proceedings of the 11th Annual International Conference on Aspect Oriented Software Development"</f>
        <v>AOSD'12 - Proceedings of the 11th Annual International Conference on Aspect Oriented Software Development</v>
      </c>
      <c r="B6515" s="8" t="str">
        <f>"9781450310925"</f>
        <v>9781450310925</v>
      </c>
      <c r="C6515" s="8" t="s">
        <v>21</v>
      </c>
    </row>
    <row r="6516" spans="1:3" x14ac:dyDescent="0.25">
      <c r="A6516" s="8" t="str">
        <f>"AOSD'12 Companion - Proceedings of the 11th Annual International Conference on Aspect Oriented Software Development"</f>
        <v>AOSD'12 Companion - Proceedings of the 11th Annual International Conference on Aspect Oriented Software Development</v>
      </c>
      <c r="B6516" s="8" t="str">
        <f>"9781450312226"</f>
        <v>9781450312226</v>
      </c>
      <c r="C6516" s="8" t="s">
        <v>21</v>
      </c>
    </row>
    <row r="6517" spans="1:3" x14ac:dyDescent="0.25">
      <c r="A6517" s="8" t="str">
        <f>"AP2PS 2010 - 2nd International Conference on Advances in P2P Systems"</f>
        <v>AP2PS 2010 - 2nd International Conference on Advances in P2P Systems</v>
      </c>
      <c r="B6517" s="8" t="str">
        <f>"9781612081021"</f>
        <v>9781612081021</v>
      </c>
      <c r="C6517" s="8" t="s">
        <v>373</v>
      </c>
    </row>
    <row r="6518" spans="1:3" x14ac:dyDescent="0.25">
      <c r="A6518" s="8" t="str">
        <f>"AP2PS 2011 - 3rd International Conference on Advances in P2P Systems"</f>
        <v>AP2PS 2011 - 3rd International Conference on Advances in P2P Systems</v>
      </c>
      <c r="B6518" s="8" t="str">
        <f>"9781612081731"</f>
        <v>9781612081731</v>
      </c>
      <c r="C6518" s="8" t="s">
        <v>373</v>
      </c>
    </row>
    <row r="6519" spans="1:3" x14ac:dyDescent="0.25">
      <c r="A6519" s="8" t="str">
        <f>"AP2PS 2012 - 4th International Conference on Advances in P2P Systems"</f>
        <v>AP2PS 2012 - 4th International Conference on Advances in P2P Systems</v>
      </c>
      <c r="B6519" s="8" t="str">
        <f>"9781612082387"</f>
        <v>9781612082387</v>
      </c>
      <c r="C6519" s="8" t="s">
        <v>373</v>
      </c>
    </row>
    <row r="6520" spans="1:3" x14ac:dyDescent="0.25">
      <c r="A6520" s="8" t="str">
        <f>"APAP 2011 - Proceedings: 2011 International Conference on Advanced Power System Automation and Protection"</f>
        <v>APAP 2011 - Proceedings: 2011 International Conference on Advanced Power System Automation and Protection</v>
      </c>
      <c r="B6520" s="8" t="str">
        <f>"9781424496198"</f>
        <v>9781424496198</v>
      </c>
      <c r="C6520" s="8" t="s">
        <v>9</v>
      </c>
    </row>
    <row r="6521" spans="1:3" x14ac:dyDescent="0.25">
      <c r="A6521" s="8" t="str">
        <f>"APBioNet - 5th International Conference on Bioinformatics, InCoB 2006 - Proceedings"</f>
        <v>APBioNet - 5th International Conference on Bioinformatics, InCoB 2006 - Proceedings</v>
      </c>
      <c r="B6521" s="8" t="str">
        <f>"-"</f>
        <v>-</v>
      </c>
      <c r="C6521" s="8" t="s">
        <v>186</v>
      </c>
    </row>
    <row r="6522" spans="1:3" x14ac:dyDescent="0.25">
      <c r="A6522" s="8" t="str">
        <f>"APBITM 2011 - Proceedings2011 IEEE International Summer Conference of Asia Pacific Business Innovation and Technology Management"</f>
        <v>APBITM 2011 - Proceedings2011 IEEE International Summer Conference of Asia Pacific Business Innovation and Technology Management</v>
      </c>
      <c r="B6522" s="8" t="str">
        <f>"9781424496525"</f>
        <v>9781424496525</v>
      </c>
      <c r="C6522" s="8" t="s">
        <v>9</v>
      </c>
    </row>
    <row r="6523" spans="1:3" x14ac:dyDescent="0.25">
      <c r="A6523" s="8" t="str">
        <f>"APCC 2003 - 9th Asia-Pacific Conference on Communications, in conjunction with 6th Malaysia International Conference on Communications, MICC 2003, Proceedings"</f>
        <v>APCC 2003 - 9th Asia-Pacific Conference on Communications, in conjunction with 6th Malaysia International Conference on Communications, MICC 2003, Proceedings</v>
      </c>
      <c r="B6523" s="8" t="str">
        <f>"-"</f>
        <v>-</v>
      </c>
      <c r="C6523" s="8" t="s">
        <v>105</v>
      </c>
    </row>
    <row r="6524" spans="1:3" x14ac:dyDescent="0.25">
      <c r="A6524" s="8" t="s">
        <v>1675</v>
      </c>
      <c r="B6524" s="8" t="str">
        <f>"-"</f>
        <v>-</v>
      </c>
      <c r="C6524" s="8" t="s">
        <v>9</v>
      </c>
    </row>
    <row r="6525" spans="1:3" x14ac:dyDescent="0.25">
      <c r="A6525" s="8" t="str">
        <f>"APCHI'12 - Proceedings of the 2012 Asia Pacific Conference on Computer-Human Interaction"</f>
        <v>APCHI'12 - Proceedings of the 2012 Asia Pacific Conference on Computer-Human Interaction</v>
      </c>
      <c r="B6525" s="8" t="str">
        <f>"9781450314961"</f>
        <v>9781450314961</v>
      </c>
      <c r="C6525" s="8" t="s">
        <v>21</v>
      </c>
    </row>
    <row r="6526" spans="1:3" x14ac:dyDescent="0.25">
      <c r="A6526" s="8" t="str">
        <f>"APEC 1987 - 2nd Annual IEEE Applied Power Electronics Conference and Exposition, Conference Proceedings"</f>
        <v>APEC 1987 - 2nd Annual IEEE Applied Power Electronics Conference and Exposition, Conference Proceedings</v>
      </c>
      <c r="B6526" s="8" t="str">
        <f>"9780000000002"</f>
        <v>9780000000002</v>
      </c>
      <c r="C6526" s="8" t="s">
        <v>105</v>
      </c>
    </row>
    <row r="6527" spans="1:3" x14ac:dyDescent="0.25">
      <c r="A6527" s="8" t="str">
        <f>"APGV 2008 - Proceedings of the Symposium on Applied Perception in Graphics and Visualization"</f>
        <v>APGV 2008 - Proceedings of the Symposium on Applied Perception in Graphics and Visualization</v>
      </c>
      <c r="B6527" s="8" t="str">
        <f>"9781595939814"</f>
        <v>9781595939814</v>
      </c>
      <c r="C6527" s="8" t="s">
        <v>21</v>
      </c>
    </row>
    <row r="6528" spans="1:3" x14ac:dyDescent="0.25">
      <c r="A6528" s="8" t="str">
        <f>"APLIMAT 2015 - 14th Conference on Applied Mathematics, Proceedings"</f>
        <v>APLIMAT 2015 - 14th Conference on Applied Mathematics, Proceedings</v>
      </c>
      <c r="B6528" s="8" t="str">
        <f>"9788022743143"</f>
        <v>9788022743143</v>
      </c>
      <c r="C6528" s="8" t="s">
        <v>1676</v>
      </c>
    </row>
    <row r="6529" spans="1:3" x14ac:dyDescent="0.25">
      <c r="A6529" s="8" t="str">
        <f>"APLWACA 2010 - Proceedings of the 2010 Workshop on Analysis and Programming Languages for Web Applications and Cloud Applications"</f>
        <v>APLWACA 2010 - Proceedings of the 2010 Workshop on Analysis and Programming Languages for Web Applications and Cloud Applications</v>
      </c>
      <c r="B6529" s="8" t="str">
        <f>"9781605589138"</f>
        <v>9781605589138</v>
      </c>
      <c r="C6529" s="8" t="s">
        <v>21</v>
      </c>
    </row>
    <row r="6530" spans="1:3" x14ac:dyDescent="0.25">
      <c r="A6530" s="8" t="str">
        <f>"APMC 2009 - Asia Pacific Microwave Conference 2009"</f>
        <v>APMC 2009 - Asia Pacific Microwave Conference 2009</v>
      </c>
      <c r="B6530" s="8" t="str">
        <f>"9781424428021"</f>
        <v>9781424428021</v>
      </c>
      <c r="C6530" s="8" t="s">
        <v>9</v>
      </c>
    </row>
    <row r="6531" spans="1:3" x14ac:dyDescent="0.25">
      <c r="A6531" s="8" t="str">
        <f>"APNOMS 2005 - 8th Asia-Pacific Network Operations and Management Symposium :Toward Managed Ubiquitous Information Society, Proceedings"</f>
        <v>APNOMS 2005 - 8th Asia-Pacific Network Operations and Management Symposium :Toward Managed Ubiquitous Information Society, Proceedings</v>
      </c>
      <c r="B6531" s="8" t="str">
        <f>"9780977586110"</f>
        <v>9780977586110</v>
      </c>
      <c r="C6531" s="8" t="s">
        <v>1677</v>
      </c>
    </row>
    <row r="6532" spans="1:3" x14ac:dyDescent="0.25">
      <c r="A6532" s="8" t="str">
        <f>"APNOMS 2011 - 13th Asia-Pacific Network Operations and Management Symposium: Managing Clouds, Smart Networks and Services, Final Program"</f>
        <v>APNOMS 2011 - 13th Asia-Pacific Network Operations and Management Symposium: Managing Clouds, Smart Networks and Services, Final Program</v>
      </c>
      <c r="B6532" s="8" t="str">
        <f>"9781457716706"</f>
        <v>9781457716706</v>
      </c>
      <c r="C6532" s="8" t="s">
        <v>9</v>
      </c>
    </row>
    <row r="6533" spans="1:3" x14ac:dyDescent="0.25">
      <c r="A6533" s="8" t="str">
        <f>"APNOMS 2014 - 16th Asia-Pacific Network Operations and Management Symposium"</f>
        <v>APNOMS 2014 - 16th Asia-Pacific Network Operations and Management Symposium</v>
      </c>
      <c r="B6533" s="8" t="str">
        <f>"9784885522888"</f>
        <v>9784885522888</v>
      </c>
      <c r="C6533" s="8" t="s">
        <v>105</v>
      </c>
    </row>
    <row r="6534" spans="1:3" x14ac:dyDescent="0.25">
      <c r="A6534" s="8" t="str">
        <f>"Application of Computers and Operations Research in the Mineral Industry - Proc. of the 32nd Int. Symposium on the Application of Computers and Operations Research in the Mineral Industry, APCOM 2005"</f>
        <v>Application of Computers and Operations Research in the Mineral Industry - Proc. of the 32nd Int. Symposium on the Application of Computers and Operations Research in the Mineral Industry, APCOM 2005</v>
      </c>
      <c r="B6534" s="8" t="str">
        <f>"9780415374491"</f>
        <v>9780415374491</v>
      </c>
      <c r="C6534" s="8" t="s">
        <v>1558</v>
      </c>
    </row>
    <row r="6535" spans="1:3" x14ac:dyDescent="0.25">
      <c r="A6535" s="8" t="str">
        <f>"Applications and Challenges of Rock Physics for Quantitative Geophysical Interpretation"</f>
        <v>Applications and Challenges of Rock Physics for Quantitative Geophysical Interpretation</v>
      </c>
      <c r="B6535" s="8" t="str">
        <f>"-"</f>
        <v>-</v>
      </c>
      <c r="C6535" s="8" t="s">
        <v>1251</v>
      </c>
    </row>
    <row r="6536" spans="1:3" x14ac:dyDescent="0.25">
      <c r="A6536" s="8" t="str">
        <f>"Applications and Innovations in Intelligent Systems XVI - Proceedings of AI 2008, the 28th SGAI International Conference on Innovative Techniques and Applications of Artificial Intelligence"</f>
        <v>Applications and Innovations in Intelligent Systems XVI - Proceedings of AI 2008, the 28th SGAI International Conference on Innovative Techniques and Applications of Artificial Intelligence</v>
      </c>
      <c r="B6536" s="8" t="str">
        <f>"9781848822146"</f>
        <v>9781848822146</v>
      </c>
      <c r="C6536" s="8" t="s">
        <v>62</v>
      </c>
    </row>
    <row r="6537" spans="1:3" x14ac:dyDescent="0.25">
      <c r="A6537" s="8" t="str">
        <f>"Applications of Advanced Technology in Transportation - Proceedings of the Ninth International Conference on Applications of Advanced Technology in Transportation"</f>
        <v>Applications of Advanced Technology in Transportation - Proceedings of the Ninth International Conference on Applications of Advanced Technology in Transportation</v>
      </c>
      <c r="B6537" s="8" t="str">
        <f>"9780784407998"</f>
        <v>9780784407998</v>
      </c>
      <c r="C6537" s="8" t="s">
        <v>111</v>
      </c>
    </row>
    <row r="6538" spans="1:3" x14ac:dyDescent="0.25">
      <c r="A6538" s="8" t="str">
        <f>"Applications of Biotechnology to Mitigation of Greenhouse Warming: Proceedings of the St. Michaels II Workshop"</f>
        <v>Applications of Biotechnology to Mitigation of Greenhouse Warming: Proceedings of the St. Michaels II Workshop</v>
      </c>
      <c r="B6538" s="8" t="str">
        <f>"9781574771411"</f>
        <v>9781574771411</v>
      </c>
      <c r="C6538" s="8" t="s">
        <v>1678</v>
      </c>
    </row>
    <row r="6539" spans="1:3" x14ac:dyDescent="0.25">
      <c r="A6539" s="8" t="str">
        <f>"Applications of Computational Mechanics in Geotechnical Engineering - Proceedings of the 5th International Workshop on Applications of Computational Mechanics in Geotechnical Engineering"</f>
        <v>Applications of Computational Mechanics in Geotechnical Engineering - Proceedings of the 5th International Workshop on Applications of Computational Mechanics in Geotechnical Engineering</v>
      </c>
      <c r="B6539" s="8" t="str">
        <f>"9780415437899"</f>
        <v>9780415437899</v>
      </c>
      <c r="C6539" s="8" t="s">
        <v>1619</v>
      </c>
    </row>
    <row r="6540" spans="1:3" x14ac:dyDescent="0.25">
      <c r="A6540" s="8" t="str">
        <f>"Applications of Mathematics and Computer Engineering - American Conference on Applied Mathematics, AMERICAN-MATH'11, 5th WSEAS International Conference on Computer Engineering and Applications, CEA'11"</f>
        <v>Applications of Mathematics and Computer Engineering - American Conference on Applied Mathematics, AMERICAN-MATH'11, 5th WSEAS International Conference on Computer Engineering and Applications, CEA'11</v>
      </c>
      <c r="B6540" s="8" t="str">
        <f>"9789604742707"</f>
        <v>9789604742707</v>
      </c>
      <c r="C6540" s="8" t="s">
        <v>553</v>
      </c>
    </row>
    <row r="6541" spans="1:3" x14ac:dyDescent="0.25">
      <c r="A6541" s="8" t="str">
        <f>"Applications of Statistics and Probability in Civil Engineering - Proceedings of the 10th International Conference on Applications of Statistics and Probability, ICASP10"</f>
        <v>Applications of Statistics and Probability in Civil Engineering - Proceedings of the 10th International Conference on Applications of Statistics and Probability, ICASP10</v>
      </c>
      <c r="B6541" s="8" t="str">
        <f>"9780415451345"</f>
        <v>9780415451345</v>
      </c>
      <c r="C6541" s="8" t="s">
        <v>1619</v>
      </c>
    </row>
    <row r="6542" spans="1:3" x14ac:dyDescent="0.25">
      <c r="A6542" s="8" t="str">
        <f>"Applications of Statistics and Probability in Civil Engineering -Proceedings of the 11th International Conference on Applications of Statistics and Probability in Civil Engineering"</f>
        <v>Applications of Statistics and Probability in Civil Engineering -Proceedings of the 11th International Conference on Applications of Statistics and Probability in Civil Engineering</v>
      </c>
      <c r="B6542" s="8" t="str">
        <f>"9780415669863"</f>
        <v>9780415669863</v>
      </c>
      <c r="C6542" s="8" t="s">
        <v>96</v>
      </c>
    </row>
    <row r="6543" spans="1:3" x14ac:dyDescent="0.25">
      <c r="A6543" s="8" t="str">
        <f>"Applications of X-Rays in Mechanical Engineering 2004"</f>
        <v>Applications of X-Rays in Mechanical Engineering 2004</v>
      </c>
      <c r="B6543" s="8" t="str">
        <f>"9780791847244"</f>
        <v>9780791847244</v>
      </c>
      <c r="C6543" s="8" t="s">
        <v>1308</v>
      </c>
    </row>
    <row r="6544" spans="1:3" x14ac:dyDescent="0.25">
      <c r="A6544" s="8" t="str">
        <f>"Applied Computational Intelligence - Proceedings of the 6th International FLINS Conference"</f>
        <v>Applied Computational Intelligence - Proceedings of the 6th International FLINS Conference</v>
      </c>
      <c r="B6544" s="8" t="str">
        <f>"9789812388735"</f>
        <v>9789812388735</v>
      </c>
      <c r="C6544" s="8" t="s">
        <v>157</v>
      </c>
    </row>
    <row r="6545" spans="1:3" x14ac:dyDescent="0.25">
      <c r="A6545" s="8" t="str">
        <f>"Applied Electromagnetics Conference, AEMC 2009 and URSI Commission B Meeting"</f>
        <v>Applied Electromagnetics Conference, AEMC 2009 and URSI Commission B Meeting</v>
      </c>
      <c r="B6545" s="8" t="str">
        <f>"9781424448197"</f>
        <v>9781424448197</v>
      </c>
      <c r="C6545" s="8" t="s">
        <v>9</v>
      </c>
    </row>
    <row r="6546" spans="1:3" x14ac:dyDescent="0.25">
      <c r="A6546" s="8" t="str">
        <f>"Applied Ergonomics Conference and Expo 2009"</f>
        <v>Applied Ergonomics Conference and Expo 2009</v>
      </c>
      <c r="B6546" s="8" t="str">
        <f>"-"</f>
        <v>-</v>
      </c>
      <c r="C6546" s="8" t="s">
        <v>530</v>
      </c>
    </row>
    <row r="6547" spans="1:3" x14ac:dyDescent="0.25">
      <c r="A6547" s="8" t="str">
        <f>"Applied Industrial Optics: Spectroscopy, Imaging and Metrology, AIO 2012"</f>
        <v>Applied Industrial Optics: Spectroscopy, Imaging and Metrology, AIO 2012</v>
      </c>
      <c r="B6547" s="8" t="str">
        <f>"9781557529473"</f>
        <v>9781557529473</v>
      </c>
      <c r="C6547" s="8" t="s">
        <v>86</v>
      </c>
    </row>
    <row r="6548" spans="1:3" x14ac:dyDescent="0.25">
      <c r="A6548" s="8" t="str">
        <f>"Applied Mathematics Entering the 21st Century: Invited Talks from the ICIAM 2003 Congress"</f>
        <v>Applied Mathematics Entering the 21st Century: Invited Talks from the ICIAM 2003 Congress</v>
      </c>
      <c r="B6548" s="8" t="str">
        <f>"9780898715590"</f>
        <v>9780898715590</v>
      </c>
      <c r="C6548" s="8" t="s">
        <v>249</v>
      </c>
    </row>
    <row r="6549" spans="1:3" x14ac:dyDescent="0.25">
      <c r="A6549" s="8" t="str">
        <f>"Appropriate Technologies for Environmental Protection in the Developing World - Selected Papers from ERTEP 2007"</f>
        <v>Appropriate Technologies for Environmental Protection in the Developing World - Selected Papers from ERTEP 2007</v>
      </c>
      <c r="B6549" s="8" t="str">
        <f>"9781402091384"</f>
        <v>9781402091384</v>
      </c>
      <c r="C6549" s="8" t="s">
        <v>162</v>
      </c>
    </row>
    <row r="6550" spans="1:3" x14ac:dyDescent="0.25">
      <c r="A6550" s="8" t="str">
        <f>"APSAR 2009 - 2009 Asia-Pacific Conference on Synthetic Aperture Radar, Proceedings"</f>
        <v>APSAR 2009 - 2009 Asia-Pacific Conference on Synthetic Aperture Radar, Proceedings</v>
      </c>
      <c r="B6550" s="8" t="str">
        <f>"9781424427314"</f>
        <v>9781424427314</v>
      </c>
      <c r="C6550" s="8" t="s">
        <v>9</v>
      </c>
    </row>
    <row r="6551" spans="1:3" x14ac:dyDescent="0.25">
      <c r="A6551" s="8" t="str">
        <f>"APSIPA ASC 2009 - Asia-Pacific Signal and Information Processing Association 2009 Annual Summit and Conference"</f>
        <v>APSIPA ASC 2009 - Asia-Pacific Signal and Information Processing Association 2009 Annual Summit and Conference</v>
      </c>
      <c r="B6551" s="8" t="str">
        <f>"-"</f>
        <v>-</v>
      </c>
      <c r="C6551" s="8" t="s">
        <v>1679</v>
      </c>
    </row>
    <row r="6552" spans="1:3" x14ac:dyDescent="0.25">
      <c r="A6552" s="8" t="str">
        <f>"APSIPA ASC 2010 - Asia-Pacific Signal and Information Processing Association Annual Summit and Conference"</f>
        <v>APSIPA ASC 2010 - Asia-Pacific Signal and Information Processing Association Annual Summit and Conference</v>
      </c>
      <c r="B6552" s="8" t="str">
        <f>"-"</f>
        <v>-</v>
      </c>
      <c r="C6552" s="8" t="s">
        <v>1679</v>
      </c>
    </row>
    <row r="6553" spans="1:3" x14ac:dyDescent="0.25">
      <c r="A6553" s="8" t="str">
        <f>"APSIPA ASC 2011 - Asia-Pacific Signal and Information Processing Association Annual Summit and Conference 2011"</f>
        <v>APSIPA ASC 2011 - Asia-Pacific Signal and Information Processing Association Annual Summit and Conference 2011</v>
      </c>
      <c r="B6553" s="8" t="str">
        <f>"-"</f>
        <v>-</v>
      </c>
      <c r="C6553" s="8" t="s">
        <v>1679</v>
      </c>
    </row>
    <row r="6554" spans="1:3" x14ac:dyDescent="0.25">
      <c r="A6554" s="8" t="str">
        <f>"APWCS 2010 - 2010 Asia-Pacific Conference on Wearable Computing Systems"</f>
        <v>APWCS 2010 - 2010 Asia-Pacific Conference on Wearable Computing Systems</v>
      </c>
      <c r="B6554" s="8" t="str">
        <f>"9780769540030"</f>
        <v>9780769540030</v>
      </c>
      <c r="C6554" s="8" t="s">
        <v>9</v>
      </c>
    </row>
    <row r="6555" spans="1:3" x14ac:dyDescent="0.25">
      <c r="A6555" s="8" t="str">
        <f>"Aramis 2008 - 1st International Workshop on Automated engineeRing of Autonomous and runtiMe evolvIng Systems, and ASE2008 the 23rd IEEE/ACM Int. Conf. Automated Software Engineering"</f>
        <v>Aramis 2008 - 1st International Workshop on Automated engineeRing of Autonomous and runtiMe evolvIng Systems, and ASE2008 the 23rd IEEE/ACM Int. Conf. Automated Software Engineering</v>
      </c>
      <c r="B6555" s="8" t="str">
        <f>"9781424427765"</f>
        <v>9781424427765</v>
      </c>
      <c r="C6555" s="8" t="s">
        <v>9</v>
      </c>
    </row>
    <row r="6556" spans="1:3" x14ac:dyDescent="0.25">
      <c r="A6556" s="8" t="str">
        <f>"ARC 2005 - International Workshop on Applied Reconfigurable Computing 2005"</f>
        <v>ARC 2005 - International Workshop on Applied Reconfigurable Computing 2005</v>
      </c>
      <c r="B6556" s="8" t="str">
        <f>"9789729935381"</f>
        <v>9789729935381</v>
      </c>
      <c r="C6556" s="8" t="s">
        <v>1228</v>
      </c>
    </row>
    <row r="6557" spans="1:3" x14ac:dyDescent="0.25">
      <c r="A6557" s="8" t="str">
        <f>"Architectural Engineering, Building Integration Solutions"</f>
        <v>Architectural Engineering, Building Integration Solutions</v>
      </c>
      <c r="B6557" s="8" t="str">
        <f>"9780784406991"</f>
        <v>9780784406991</v>
      </c>
      <c r="C6557" s="8" t="s">
        <v>111</v>
      </c>
    </row>
    <row r="6558" spans="1:3" x14ac:dyDescent="0.25">
      <c r="A6558" s="8" t="str">
        <f>"Archiving 2005 - Final Program and Proceedings"</f>
        <v>Archiving 2005 - Final Program and Proceedings</v>
      </c>
      <c r="B6558" s="8" t="str">
        <f>"-"</f>
        <v>-</v>
      </c>
      <c r="C6558" s="8" t="s">
        <v>415</v>
      </c>
    </row>
    <row r="6559" spans="1:3" x14ac:dyDescent="0.25">
      <c r="A6559" s="8" t="str">
        <f>"Archiving 2006 - Final Program and Proceedings"</f>
        <v>Archiving 2006 - Final Program and Proceedings</v>
      </c>
      <c r="B6559" s="8" t="str">
        <f>"9780892082612"</f>
        <v>9780892082612</v>
      </c>
      <c r="C6559" s="8" t="s">
        <v>415</v>
      </c>
    </row>
    <row r="6560" spans="1:3" x14ac:dyDescent="0.25">
      <c r="A6560" s="8" t="str">
        <f>"Archiving 2007 - Final Program and Proceedings"</f>
        <v>Archiving 2007 - Final Program and Proceedings</v>
      </c>
      <c r="B6560" s="8" t="str">
        <f>"9780892082704"</f>
        <v>9780892082704</v>
      </c>
      <c r="C6560" s="8" t="s">
        <v>415</v>
      </c>
    </row>
    <row r="6561" spans="1:3" x14ac:dyDescent="0.25">
      <c r="A6561" s="8" t="str">
        <f>"Archiving 2008 - Final Program and Proceedings"</f>
        <v>Archiving 2008 - Final Program and Proceedings</v>
      </c>
      <c r="B6561" s="8" t="str">
        <f>"9780892082773"</f>
        <v>9780892082773</v>
      </c>
      <c r="C6561" s="8" t="s">
        <v>415</v>
      </c>
    </row>
    <row r="6562" spans="1:3" x14ac:dyDescent="0.25">
      <c r="A6562" s="8" t="str">
        <f>"Archiving 2009 - Preservation Strategies and Imaging Technologies for Cultural Heritage Institutions and Memory Organizations - Final Program and Proceedings"</f>
        <v>Archiving 2009 - Preservation Strategies and Imaging Technologies for Cultural Heritage Institutions and Memory Organizations - Final Program and Proceedings</v>
      </c>
      <c r="B6562" s="8" t="str">
        <f>"9780892082841"</f>
        <v>9780892082841</v>
      </c>
      <c r="C6562" s="8" t="s">
        <v>415</v>
      </c>
    </row>
    <row r="6563" spans="1:3" x14ac:dyDescent="0.25">
      <c r="A6563" s="8" t="str">
        <f>"Archiving 2010 - Preservation Strategies and Imaging Technologies for Cultural Heritage Institutions and Memory Organizations, Final Program and Proceedings"</f>
        <v>Archiving 2010 - Preservation Strategies and Imaging Technologies for Cultural Heritage Institutions and Memory Organizations, Final Program and Proceedings</v>
      </c>
      <c r="B6563" s="8" t="str">
        <f>"9780892082902"</f>
        <v>9780892082902</v>
      </c>
      <c r="C6563" s="8" t="s">
        <v>415</v>
      </c>
    </row>
    <row r="6564" spans="1:3" x14ac:dyDescent="0.25">
      <c r="A6564" s="8" t="str">
        <f>"Archiving 2011 - Preservation Strategies and Imaging Technologies for Cultural Heritage Institutions and Memory Organizations - Final Program and Proceedings"</f>
        <v>Archiving 2011 - Preservation Strategies and Imaging Technologies for Cultural Heritage Institutions and Memory Organizations - Final Program and Proceedings</v>
      </c>
      <c r="B6564" s="8" t="str">
        <f>"9780892082940"</f>
        <v>9780892082940</v>
      </c>
      <c r="C6564" s="8" t="s">
        <v>415</v>
      </c>
    </row>
    <row r="6565" spans="1:3" x14ac:dyDescent="0.25">
      <c r="A6565" s="8" t="str">
        <f>"Archiving 2012 - Preservation Strategies and Imaging Technologies for Cultural Heritage Institutions and Memory Organizations, Final Program and Proceedings"</f>
        <v>Archiving 2012 - Preservation Strategies and Imaging Technologies for Cultural Heritage Institutions and Memory Organizations, Final Program and Proceedings</v>
      </c>
      <c r="B6565" s="8" t="str">
        <f>"9780892083008"</f>
        <v>9780892083008</v>
      </c>
      <c r="C6565" s="8" t="s">
        <v>415</v>
      </c>
    </row>
    <row r="6566" spans="1:3" x14ac:dyDescent="0.25">
      <c r="A6566" s="8" t="str">
        <f>"Archiving 2013 - Final Program and Proceedings"</f>
        <v>Archiving 2013 - Final Program and Proceedings</v>
      </c>
      <c r="B6566" s="8" t="str">
        <f>"9780892083046"</f>
        <v>9780892083046</v>
      </c>
      <c r="C6566" s="8" t="s">
        <v>415</v>
      </c>
    </row>
    <row r="6567" spans="1:3" x14ac:dyDescent="0.25">
      <c r="A6567" s="8" t="str">
        <f>"ARCS Workshops, ARCS 2012"</f>
        <v>ARCS Workshops, ARCS 2012</v>
      </c>
      <c r="B6567" s="8" t="str">
        <f>"9781467319133"</f>
        <v>9781467319133</v>
      </c>
      <c r="C6567" s="8" t="s">
        <v>9</v>
      </c>
    </row>
    <row r="6568" spans="1:3" x14ac:dyDescent="0.25">
      <c r="A6568" s="8" t="str">
        <f>"ARES 2008 - 3rd International Conference on Availability, Security, and Reliability, Proceedings"</f>
        <v>ARES 2008 - 3rd International Conference on Availability, Security, and Reliability, Proceedings</v>
      </c>
      <c r="B6568" s="8" t="str">
        <f>"9780769531021"</f>
        <v>9780769531021</v>
      </c>
      <c r="C6568" s="8" t="s">
        <v>9</v>
      </c>
    </row>
    <row r="6569" spans="1:3" x14ac:dyDescent="0.25">
      <c r="A6569" s="8" t="str">
        <f>"ARES 2010 - 5th International Conference on Availability, Reliability, and Security"</f>
        <v>ARES 2010 - 5th International Conference on Availability, Reliability, and Security</v>
      </c>
      <c r="B6569" s="8" t="str">
        <f>"9780769539652"</f>
        <v>9780769539652</v>
      </c>
      <c r="C6569" s="8" t="s">
        <v>9</v>
      </c>
    </row>
    <row r="6570" spans="1:3" x14ac:dyDescent="0.25">
      <c r="A6570" s="8" t="str">
        <f>"Arid Land Hydrogeology: In Search of a Solution to a Threatened Resource - Proceedings of the 3rd UAE-Japan Symposium on Sustainable GCC Environment and Water Resources, EWR 2006"</f>
        <v>Arid Land Hydrogeology: In Search of a Solution to a Threatened Resource - Proceedings of the 3rd UAE-Japan Symposium on Sustainable GCC Environment and Water Resources, EWR 2006</v>
      </c>
      <c r="B6570" s="8" t="str">
        <f>"9780415411271"</f>
        <v>9780415411271</v>
      </c>
      <c r="C6570" s="8" t="s">
        <v>1619</v>
      </c>
    </row>
    <row r="6571" spans="1:3" x14ac:dyDescent="0.25">
      <c r="A6571" s="8" t="str">
        <f>"ARM 2009 - Proceedings of the 8th Workshop on Adaptive and Reflective Middleware co-located with the 10th ACM/IFIP/USENIX International Middleware Conference"</f>
        <v>ARM 2009 - Proceedings of the 8th Workshop on Adaptive and Reflective Middleware co-located with the 10th ACM/IFIP/USENIX International Middleware Conference</v>
      </c>
      <c r="B6571" s="8" t="str">
        <f>"9781605588506"</f>
        <v>9781605588506</v>
      </c>
      <c r="C6571" s="8" t="s">
        <v>21</v>
      </c>
    </row>
    <row r="6572" spans="1:3" x14ac:dyDescent="0.25">
      <c r="A6572" s="8" t="str">
        <f>"ARM'07: Proceedings of the 6th Workshop on Adaptive and Reflective Middleware held at the ACM/IFIP/USENIX International Middleware Conference"</f>
        <v>ARM'07: Proceedings of the 6th Workshop on Adaptive and Reflective Middleware held at the ACM/IFIP/USENIX International Middleware Conference</v>
      </c>
      <c r="B6572" s="8" t="str">
        <f>"9781595939319"</f>
        <v>9781595939319</v>
      </c>
      <c r="C6572" s="8" t="s">
        <v>21</v>
      </c>
    </row>
    <row r="6573" spans="1:3" x14ac:dyDescent="0.25">
      <c r="A6573" s="8" t="str">
        <f>"Arsenic in Geosphere and Human Diseases, As 2010 - 3rd International Congress: Arsenic in the Environment"</f>
        <v>Arsenic in Geosphere and Human Diseases, As 2010 - 3rd International Congress: Arsenic in the Environment</v>
      </c>
      <c r="B6573" s="8" t="str">
        <f>"9780415578981"</f>
        <v>9780415578981</v>
      </c>
      <c r="C6573" s="8" t="s">
        <v>1619</v>
      </c>
    </row>
    <row r="6574" spans="1:3" x14ac:dyDescent="0.25">
      <c r="A6574" s="8" t="str">
        <f>"ART 2002 - 1st IEEE International Augmented Reality Toolkit Workshop, Proceedings"</f>
        <v>ART 2002 - 1st IEEE International Augmented Reality Toolkit Workshop, Proceedings</v>
      </c>
      <c r="B6574" s="8" t="str">
        <f>"9780780376809"</f>
        <v>9780780376809</v>
      </c>
      <c r="C6574" s="8" t="s">
        <v>105</v>
      </c>
    </row>
    <row r="6575" spans="1:3" x14ac:dyDescent="0.25">
      <c r="A6575" s="8" t="str">
        <f>"ART 2003 - IEEE International Augmented Reality Toolkit Workshop"</f>
        <v>ART 2003 - IEEE International Augmented Reality Toolkit Workshop</v>
      </c>
      <c r="B6575" s="8" t="str">
        <f>"9780780382404"</f>
        <v>9780780382404</v>
      </c>
      <c r="C6575" s="8" t="s">
        <v>105</v>
      </c>
    </row>
    <row r="6576" spans="1:3" x14ac:dyDescent="0.25">
      <c r="A6576" s="8" t="str">
        <f>"Art Gallery: Global Eyes, SIGGRAPH'07"</f>
        <v>Art Gallery: Global Eyes, SIGGRAPH'07</v>
      </c>
      <c r="B6576" s="8" t="str">
        <f>"9781450318273"</f>
        <v>9781450318273</v>
      </c>
      <c r="C6576" s="8" t="s">
        <v>21</v>
      </c>
    </row>
    <row r="6577" spans="1:3" x14ac:dyDescent="0.25">
      <c r="A6577" s="8" t="str">
        <f>"ARTCom 2009 - International Conference on Advances in Recent Technologies in Communication and Computing"</f>
        <v>ARTCom 2009 - International Conference on Advances in Recent Technologies in Communication and Computing</v>
      </c>
      <c r="B6577" s="8" t="str">
        <f>"9780769538457"</f>
        <v>9780769538457</v>
      </c>
      <c r="C6577" s="8" t="s">
        <v>9</v>
      </c>
    </row>
    <row r="6578" spans="1:3" x14ac:dyDescent="0.25">
      <c r="A6578" s="8" t="str">
        <f>"ARTEMIS 2013 - Proceedings of the 4th ACM/IEEE International Workshop on Analysis and Retrieval of Tracked Events and Motion in Imagery Stream"</f>
        <v>ARTEMIS 2013 - Proceedings of the 4th ACM/IEEE International Workshop on Analysis and Retrieval of Tracked Events and Motion in Imagery Stream</v>
      </c>
      <c r="B6578" s="8" t="str">
        <f>"9781450323932"</f>
        <v>9781450323932</v>
      </c>
      <c r="C6578" s="8" t="s">
        <v>21</v>
      </c>
    </row>
    <row r="6579" spans="1:3" x14ac:dyDescent="0.25">
      <c r="A6579" s="8" t="str">
        <f>"ARTEMIS'10 - Proceedings of the 1st ACM Workshop on Analysis and Retrieval of Tracked Events and Motion in Imagery Streams, Co-located with ACM Multimedia 2010"</f>
        <v>ARTEMIS'10 - Proceedings of the 1st ACM Workshop on Analysis and Retrieval of Tracked Events and Motion in Imagery Streams, Co-located with ACM Multimedia 2010</v>
      </c>
      <c r="B6579" s="8" t="str">
        <f>"9781450301633"</f>
        <v>9781450301633</v>
      </c>
      <c r="C6579" s="8" t="s">
        <v>21</v>
      </c>
    </row>
    <row r="6580" spans="1:3" x14ac:dyDescent="0.25">
      <c r="A6580" s="8" t="str">
        <f>"Artificial General Intelligence - Proceedings of the Third Conference on Artificial General Intelligence, AGI 2010"</f>
        <v>Artificial General Intelligence - Proceedings of the Third Conference on Artificial General Intelligence, AGI 2010</v>
      </c>
      <c r="B6580" s="8" t="str">
        <f>"9789078677369"</f>
        <v>9789078677369</v>
      </c>
      <c r="C6580" s="8" t="s">
        <v>1380</v>
      </c>
    </row>
    <row r="6581" spans="1:3" x14ac:dyDescent="0.25">
      <c r="A6581" s="8" t="str">
        <f>"Artificial Intelligence and Poetry - AISB Convention 2013"</f>
        <v>Artificial Intelligence and Poetry - AISB Convention 2013</v>
      </c>
      <c r="B6581" s="8" t="str">
        <f>"9781908187307"</f>
        <v>9781908187307</v>
      </c>
      <c r="C6581" s="8" t="s">
        <v>1465</v>
      </c>
    </row>
    <row r="6582" spans="1:3" x14ac:dyDescent="0.25">
      <c r="A6582" s="8" t="str">
        <f>"Artificial Intelligence Applications and Innovations - IFIP TC12 WG12.5 - 2nd IFIP Conference on Artificial Intelligence Applications and Innovations, AIAI 2005"</f>
        <v>Artificial Intelligence Applications and Innovations - IFIP TC12 WG12.5 - 2nd IFIP Conference on Artificial Intelligence Applications and Innovations, AIAI 2005</v>
      </c>
      <c r="B6582" s="8" t="str">
        <f>"9780387283180"</f>
        <v>9780387283180</v>
      </c>
      <c r="C6582" s="8" t="s">
        <v>834</v>
      </c>
    </row>
    <row r="6583" spans="1:3" x14ac:dyDescent="0.25">
      <c r="A6583" s="8" t="str">
        <f>"Artificial Intelligence in the Game Design Process - Papers from the 2011 AIIDE Workshop"</f>
        <v>Artificial Intelligence in the Game Design Process - Papers from the 2011 AIIDE Workshop</v>
      </c>
      <c r="B6583" s="8" t="str">
        <f>"-"</f>
        <v>-</v>
      </c>
      <c r="C6583" s="8" t="s">
        <v>1257</v>
      </c>
    </row>
    <row r="6584" spans="1:3" x14ac:dyDescent="0.25">
      <c r="A6584" s="8" t="str">
        <f>"Artificial Life 13: Proceedings of the 13th International Conference on the Simulation and Synthesis of Living Systems, ALIFE 2012"</f>
        <v>Artificial Life 13: Proceedings of the 13th International Conference on the Simulation and Synthesis of Living Systems, ALIFE 2012</v>
      </c>
      <c r="B6584" s="8" t="str">
        <f>"9780262310505"</f>
        <v>9780262310505</v>
      </c>
      <c r="C6584" s="8" t="s">
        <v>153</v>
      </c>
    </row>
    <row r="6585" spans="1:3" x14ac:dyDescent="0.25">
      <c r="A6585" s="8" t="str">
        <f>"Artificial Life XI: Proceedings of the 11th International Conference on the Simulation and Synthesis of Living Systems, ALIFE 2008"</f>
        <v>Artificial Life XI: Proceedings of the 11th International Conference on the Simulation and Synthesis of Living Systems, ALIFE 2008</v>
      </c>
      <c r="B6585" s="8" t="str">
        <f>"9780262750172"</f>
        <v>9780262750172</v>
      </c>
      <c r="C6585" s="8" t="s">
        <v>153</v>
      </c>
    </row>
    <row r="6586" spans="1:3" x14ac:dyDescent="0.25">
      <c r="A6586" s="8" t="str">
        <f>"Artificial Life XII: Proceedings of the 12th International Conference on the Synthesis and Simulation of Living Systems, ALIFE 2010"</f>
        <v>Artificial Life XII: Proceedings of the 12th International Conference on the Synthesis and Simulation of Living Systems, ALIFE 2010</v>
      </c>
      <c r="B6586" s="8" t="str">
        <f>"9780262290753"</f>
        <v>9780262290753</v>
      </c>
      <c r="C6586" s="8" t="s">
        <v>153</v>
      </c>
    </row>
    <row r="6587" spans="1:3" x14ac:dyDescent="0.25">
      <c r="A6587" s="8" t="str">
        <f>"Artificial Neural Networks and Intelligent Information Processing - Proc. 4th Int. Workshop on Artificial Neural Networks and Intelligent Information Processing, ANNIIP 2008; ICINCO 2008"</f>
        <v>Artificial Neural Networks and Intelligent Information Processing - Proc. 4th Int. Workshop on Artificial Neural Networks and Intelligent Information Processing, ANNIIP 2008; ICINCO 2008</v>
      </c>
      <c r="B6587" s="8" t="str">
        <f>"9789898111333"</f>
        <v>9789898111333</v>
      </c>
      <c r="C6587" s="8" t="s">
        <v>1553</v>
      </c>
    </row>
    <row r="6588" spans="1:3" x14ac:dyDescent="0.25">
      <c r="A6588" s="8" t="str">
        <f>"Artificial Neural Networks and Intelligent Information Processing - Proc. 5th Int. Workshop on Artificial Neural Networks and Intelligent Information Processing - ANNIIP 2009, held with ICINCO 2009"</f>
        <v>Artificial Neural Networks and Intelligent Information Processing - Proc. 5th Int. Workshop on Artificial Neural Networks and Intelligent Information Processing - ANNIIP 2009, held with ICINCO 2009</v>
      </c>
      <c r="B6588" s="8" t="str">
        <f>"9789896740023"</f>
        <v>9789896740023</v>
      </c>
      <c r="C6588" s="8" t="s">
        <v>1680</v>
      </c>
    </row>
    <row r="6589" spans="1:3" x14ac:dyDescent="0.25">
      <c r="A6589" s="8" t="str">
        <f>"Arts, Media and Humanities Proceedings - IEEE 2009 International Symposium on Mixed and Augmented Reality, ISMAR-AMH 2009"</f>
        <v>Arts, Media and Humanities Proceedings - IEEE 2009 International Symposium on Mixed and Augmented Reality, ISMAR-AMH 2009</v>
      </c>
      <c r="B6589" s="8" t="str">
        <f>"9781424455089"</f>
        <v>9781424455089</v>
      </c>
      <c r="C6589" s="8" t="s">
        <v>9</v>
      </c>
    </row>
    <row r="6590" spans="1:3" x14ac:dyDescent="0.25">
      <c r="A6590" s="8" t="str">
        <f>"ASABE - 21st Century Watershed Technology Conference and Workshop 2012: Improving Water Quality and the Environment"</f>
        <v>ASABE - 21st Century Watershed Technology Conference and Workshop 2012: Improving Water Quality and the Environment</v>
      </c>
      <c r="B6590" s="8" t="str">
        <f>"9781622769261"</f>
        <v>9781622769261</v>
      </c>
      <c r="C6590" s="8" t="s">
        <v>140</v>
      </c>
    </row>
    <row r="6591" spans="1:3" x14ac:dyDescent="0.25">
      <c r="A6591" s="8" t="str">
        <f>"ASABE - 21st Century Watershed Technology: Improving Water Quality and Environment 2010"</f>
        <v>ASABE - 21st Century Watershed Technology: Improving Water Quality and Environment 2010</v>
      </c>
      <c r="B6591" s="8" t="str">
        <f>"9781617823589"</f>
        <v>9781617823589</v>
      </c>
      <c r="C6591" s="8" t="s">
        <v>140</v>
      </c>
    </row>
    <row r="6592" spans="1:3" x14ac:dyDescent="0.25">
      <c r="A6592" s="8" t="str">
        <f>"ASABE - 5th National Decennial Irrigation Conference 2010, Held in Conjunction with Irrigation Show 2010"</f>
        <v>ASABE - 5th National Decennial Irrigation Conference 2010, Held in Conjunction with Irrigation Show 2010</v>
      </c>
      <c r="B6592" s="8" t="str">
        <f>"9781617822735"</f>
        <v>9781617822735</v>
      </c>
      <c r="C6592" s="8" t="s">
        <v>140</v>
      </c>
    </row>
    <row r="6593" spans="1:3" x14ac:dyDescent="0.25">
      <c r="A6593" s="8" t="str">
        <f>"ASABE - 7th World Congress on Computers in Agriculture and Natural Resources 2009, WCCA 2009"</f>
        <v>ASABE - 7th World Congress on Computers in Agriculture and Natural Resources 2009, WCCA 2009</v>
      </c>
      <c r="B6593" s="8" t="str">
        <f>"9781615673902"</f>
        <v>9781615673902</v>
      </c>
      <c r="C6593" s="8" t="s">
        <v>140</v>
      </c>
    </row>
    <row r="6594" spans="1:3" x14ac:dyDescent="0.25">
      <c r="A6594" s="8" t="str">
        <f>"ASABE - 9th International Drainage Symposium 2010, Held Jointly with CIGR and CSBE/SCGAB"</f>
        <v>ASABE - 9th International Drainage Symposium 2010, Held Jointly with CIGR and CSBE/SCGAB</v>
      </c>
      <c r="B6594" s="8" t="str">
        <f>"9781617824487"</f>
        <v>9781617824487</v>
      </c>
      <c r="C6594" s="8" t="s">
        <v>140</v>
      </c>
    </row>
    <row r="6595" spans="1:3" x14ac:dyDescent="0.25">
      <c r="A6595" s="8" t="str">
        <f>"ASABE - 9th International Livestock Environment Symposium 2012, ILES 2012"</f>
        <v>ASABE - 9th International Livestock Environment Symposium 2012, ILES 2012</v>
      </c>
      <c r="B6595" s="8" t="str">
        <f>"9781622769278"</f>
        <v>9781622769278</v>
      </c>
      <c r="C6595" s="8" t="s">
        <v>140</v>
      </c>
    </row>
    <row r="6596" spans="1:3" x14ac:dyDescent="0.25">
      <c r="A6596" s="8" t="str">
        <f>"ASABE - Bioenergy Engineering Conference 2009"</f>
        <v>ASABE - Bioenergy Engineering Conference 2009</v>
      </c>
      <c r="B6596" s="8" t="str">
        <f>"9781617824494"</f>
        <v>9781617824494</v>
      </c>
      <c r="C6596" s="8" t="s">
        <v>140</v>
      </c>
    </row>
    <row r="6597" spans="1:3" x14ac:dyDescent="0.25">
      <c r="A6597" s="8" t="str">
        <f>"ASABE - Individual and Small Community Sewage Systems XI, Proceedings of the 11th National Symposium"</f>
        <v>ASABE - Individual and Small Community Sewage Systems XI, Proceedings of the 11th National Symposium</v>
      </c>
      <c r="B6597" s="8" t="str">
        <f>"-"</f>
        <v>-</v>
      </c>
      <c r="C6597" s="8" t="s">
        <v>140</v>
      </c>
    </row>
    <row r="6598" spans="1:3" x14ac:dyDescent="0.25">
      <c r="A6598" s="8" t="str">
        <f>"ASABE - International Symposium on Air Quality and Waste Management for Agriculture 2010"</f>
        <v>ASABE - International Symposium on Air Quality and Waste Management for Agriculture 2010</v>
      </c>
      <c r="B6598" s="8" t="str">
        <f>"9781617823572"</f>
        <v>9781617823572</v>
      </c>
      <c r="C6598" s="8" t="s">
        <v>140</v>
      </c>
    </row>
    <row r="6599" spans="1:3" x14ac:dyDescent="0.25">
      <c r="A6599" s="8" t="str">
        <f>"ASABE - International Symposium on Erosion and Landscape Evolution 2011"</f>
        <v>ASABE - International Symposium on Erosion and Landscape Evolution 2011</v>
      </c>
      <c r="B6599" s="8" t="str">
        <f>"9781618397966"</f>
        <v>9781618397966</v>
      </c>
      <c r="C6599" s="8" t="s">
        <v>140</v>
      </c>
    </row>
    <row r="6600" spans="1:3" x14ac:dyDescent="0.25">
      <c r="A6600" s="8" t="str">
        <f>"ASABE - Proceedings of the International Symposium on Air Quality and Waste Management for Agriculture"</f>
        <v>ASABE - Proceedings of the International Symposium on Air Quality and Waste Management for Agriculture</v>
      </c>
      <c r="B6600" s="8" t="str">
        <f>"-"</f>
        <v>-</v>
      </c>
      <c r="C6600" s="8" t="s">
        <v>140</v>
      </c>
    </row>
    <row r="6601" spans="1:3" x14ac:dyDescent="0.25">
      <c r="A6601" s="8" t="str">
        <f>"ASABE - TMDL 2010: Watershed Management to Improve Water Quality"</f>
        <v>ASABE - TMDL 2010: Watershed Management to Improve Water Quality</v>
      </c>
      <c r="B6601" s="8" t="str">
        <f>"9781617823565"</f>
        <v>9781617823565</v>
      </c>
      <c r="C6601" s="8" t="s">
        <v>140</v>
      </c>
    </row>
    <row r="6602" spans="1:3" x14ac:dyDescent="0.25">
      <c r="A6602" s="8" t="str">
        <f>"ASABE 1st Climate Change Symposium: Adaptation and Mitigation"</f>
        <v>ASABE 1st Climate Change Symposium: Adaptation and Mitigation</v>
      </c>
      <c r="B6602" s="8" t="str">
        <f>"9781510806610"</f>
        <v>9781510806610</v>
      </c>
      <c r="C6602" s="8" t="s">
        <v>140</v>
      </c>
    </row>
    <row r="6603" spans="1:3" x14ac:dyDescent="0.25">
      <c r="A6603" s="8" t="str">
        <f>"ASABE Distinguished Lecture Series - Agricultural Automatic Vehicle Guidance from Horses to GPS: How We Got Here, and Where We are Going"</f>
        <v>ASABE Distinguished Lecture Series - Agricultural Automatic Vehicle Guidance from Horses to GPS: How We Got Here, and Where We are Going</v>
      </c>
      <c r="B6603" s="8" t="str">
        <f>"-"</f>
        <v>-</v>
      </c>
      <c r="C6603" s="8" t="s">
        <v>140</v>
      </c>
    </row>
    <row r="6604" spans="1:3" x14ac:dyDescent="0.25">
      <c r="A6604" s="8" t="str">
        <f>"ASABE Distinguished Lecture Series - Power Hop Instability of Tractors"</f>
        <v>ASABE Distinguished Lecture Series - Power Hop Instability of Tractors</v>
      </c>
      <c r="B6604" s="8" t="str">
        <f>"-"</f>
        <v>-</v>
      </c>
      <c r="C6604" s="8" t="s">
        <v>140</v>
      </c>
    </row>
    <row r="6605" spans="1:3" x14ac:dyDescent="0.25">
      <c r="A6605" s="8" t="str">
        <f>"ASAE Annual International Meeting 2004"</f>
        <v>ASAE Annual International Meeting 2004</v>
      </c>
      <c r="B6605" s="8" t="str">
        <f>"-"</f>
        <v>-</v>
      </c>
      <c r="C6605" s="8" t="s">
        <v>140</v>
      </c>
    </row>
    <row r="6606" spans="1:3" x14ac:dyDescent="0.25">
      <c r="A6606" s="8" t="str">
        <f>"ASAS'11 - Proceedings of the 8th Workshop on Assurances for Self-Adaptive Systems"</f>
        <v>ASAS'11 - Proceedings of the 8th Workshop on Assurances for Self-Adaptive Systems</v>
      </c>
      <c r="B6606" s="8" t="str">
        <f>"9781450308533"</f>
        <v>9781450308533</v>
      </c>
      <c r="C6606" s="8" t="s">
        <v>21</v>
      </c>
    </row>
    <row r="6607" spans="1:3" x14ac:dyDescent="0.25">
      <c r="A6607" s="8" t="str">
        <f>"ASCC 2011 - 8th Asian Control Conference - Final Program and Proceedings"</f>
        <v>ASCC 2011 - 8th Asian Control Conference - Final Program and Proceedings</v>
      </c>
      <c r="B6607" s="8" t="str">
        <f>"9788995605646"</f>
        <v>9788995605646</v>
      </c>
      <c r="C6607" s="8" t="s">
        <v>9</v>
      </c>
    </row>
    <row r="6608" spans="1:3" x14ac:dyDescent="0.25">
      <c r="A6608" s="8" t="str">
        <f>"ASCILITE 2005 - The Australasian Society for Computers in Learning in Tertiary Education"</f>
        <v>ASCILITE 2005 - The Australasian Society for Computers in Learning in Tertiary Education</v>
      </c>
      <c r="B6608" s="8" t="str">
        <f>"-"</f>
        <v>-</v>
      </c>
      <c r="C6608" s="8" t="s">
        <v>1681</v>
      </c>
    </row>
    <row r="6609" spans="1:3" x14ac:dyDescent="0.25">
      <c r="A6609" s="8" t="str">
        <f>"ASCILITE 2006 - The Australasian Society for Computers in Learning in Tertiary Education"</f>
        <v>ASCILITE 2006 - The Australasian Society for Computers in Learning in Tertiary Education</v>
      </c>
      <c r="B6609" s="8" t="str">
        <f>"9781920898564"</f>
        <v>9781920898564</v>
      </c>
      <c r="C6609" s="8" t="s">
        <v>1682</v>
      </c>
    </row>
    <row r="6610" spans="1:3" x14ac:dyDescent="0.25">
      <c r="A6610" s="8" t="str">
        <f>"ASCILITE 2007 - The Australasian Society for Computers in Learning in Tertiary Education"</f>
        <v>ASCILITE 2007 - The Australasian Society for Computers in Learning in Tertiary Education</v>
      </c>
      <c r="B6610" s="8" t="str">
        <f>"9789810595791"</f>
        <v>9789810595791</v>
      </c>
      <c r="C6610" s="8" t="s">
        <v>1681</v>
      </c>
    </row>
    <row r="6611" spans="1:3" x14ac:dyDescent="0.25">
      <c r="A6611" s="8" t="str">
        <f>"ASCILITE 2008 - The Australasian Society for Computers in Learning in Tertiary Education"</f>
        <v>ASCILITE 2008 - The Australasian Society for Computers in Learning in Tertiary Education</v>
      </c>
      <c r="B6611" s="8" t="str">
        <f>"9780980592702"</f>
        <v>9780980592702</v>
      </c>
      <c r="C6611" s="8" t="s">
        <v>1622</v>
      </c>
    </row>
    <row r="6612" spans="1:3" x14ac:dyDescent="0.25">
      <c r="A6612" s="8" t="str">
        <f>"ASCILITE 2009 - The Australasian Society for Computers in Learning in Tertiary Education"</f>
        <v>ASCILITE 2009 - The Australasian Society for Computers in Learning in Tertiary Education</v>
      </c>
      <c r="B6612" s="8" t="str">
        <f>"9781877314827"</f>
        <v>9781877314827</v>
      </c>
      <c r="C6612" s="8" t="s">
        <v>1681</v>
      </c>
    </row>
    <row r="6613" spans="1:3" x14ac:dyDescent="0.25">
      <c r="A6613" s="8" t="str">
        <f>"ASCILITE 2010 - The Australasian Society for Computers in Learning in Tertiary Education"</f>
        <v>ASCILITE 2010 - The Australasian Society for Computers in Learning in Tertiary Education</v>
      </c>
      <c r="B6613" s="8" t="str">
        <f>"9781742720166"</f>
        <v>9781742720166</v>
      </c>
      <c r="C6613" s="8" t="s">
        <v>1683</v>
      </c>
    </row>
    <row r="6614" spans="1:3" x14ac:dyDescent="0.25">
      <c r="A6614" s="8" t="str">
        <f>"ASCILITE 2011 - The Australasian Society for Computers in Learning in Tertiary Education"</f>
        <v>ASCILITE 2011 - The Australasian Society for Computers in Learning in Tertiary Education</v>
      </c>
      <c r="B6614" s="8" t="str">
        <f>"9781862956445"</f>
        <v>9781862956445</v>
      </c>
      <c r="C6614" s="8" t="s">
        <v>1684</v>
      </c>
    </row>
    <row r="6615" spans="1:3" x14ac:dyDescent="0.25">
      <c r="A6615" s="8" t="str">
        <f>"ASCILITE 2012 - Annual conference of the Australian Society for Computers in Tertiary Education"</f>
        <v>ASCILITE 2012 - Annual conference of the Australian Society for Computers in Tertiary Education</v>
      </c>
      <c r="B6615" s="8" t="str">
        <f>"9780473229894"</f>
        <v>9780473229894</v>
      </c>
      <c r="C6615" s="8" t="s">
        <v>1467</v>
      </c>
    </row>
    <row r="6616" spans="1:3" x14ac:dyDescent="0.25">
      <c r="A6616" s="8" t="str">
        <f>"ASDAM 2000 - Conference Proceedings: 3rd International EuroConference on Advanced Semiconductor Devices and Microsystems"</f>
        <v>ASDAM 2000 - Conference Proceedings: 3rd International EuroConference on Advanced Semiconductor Devices and Microsystems</v>
      </c>
      <c r="B6616" s="8" t="str">
        <f>"9780780359390"</f>
        <v>9780780359390</v>
      </c>
      <c r="C6616" s="8" t="s">
        <v>105</v>
      </c>
    </row>
    <row r="6617" spans="1:3" x14ac:dyDescent="0.25">
      <c r="A6617" s="8" t="str">
        <f>"ASDAM 2002 - Conference Proceedings, 4th International Conference on Advanced Semiconductor Devices and Microsystems"</f>
        <v>ASDAM 2002 - Conference Proceedings, 4th International Conference on Advanced Semiconductor Devices and Microsystems</v>
      </c>
      <c r="B6617" s="8" t="str">
        <f>"9780780372764"</f>
        <v>9780780372764</v>
      </c>
      <c r="C6617" s="8" t="s">
        <v>105</v>
      </c>
    </row>
    <row r="6618" spans="1:3" x14ac:dyDescent="0.25">
      <c r="A6618" s="8" t="str">
        <f>"ASDAM 2004 - Conference Proceedings, 5th International Conference on Semiconductor Devices and Microsystmes"</f>
        <v>ASDAM 2004 - Conference Proceedings, 5th International Conference on Semiconductor Devices and Microsystmes</v>
      </c>
      <c r="B6618" s="8" t="str">
        <f>"9780780385351"</f>
        <v>9780780385351</v>
      </c>
      <c r="C6618" s="8" t="s">
        <v>9</v>
      </c>
    </row>
    <row r="6619" spans="1:3" x14ac:dyDescent="0.25">
      <c r="A6619" s="8" t="str">
        <f>"ASDAM 2008 - Conference Proceedings of the 7th International Conference on Advanced Semiconductor Devices and Microsystems"</f>
        <v>ASDAM 2008 - Conference Proceedings of the 7th International Conference on Advanced Semiconductor Devices and Microsystems</v>
      </c>
      <c r="B6619" s="8" t="str">
        <f>"9781424423262"</f>
        <v>9781424423262</v>
      </c>
      <c r="C6619" s="8" t="s">
        <v>9</v>
      </c>
    </row>
    <row r="6620" spans="1:3" x14ac:dyDescent="0.25">
      <c r="A6620" s="8" t="str">
        <f>"ASDAM 2012 - Conference Proceedings: The 9th International Conference on Advanced Semiconductor Devices and Microsystems"</f>
        <v>ASDAM 2012 - Conference Proceedings: The 9th International Conference on Advanced Semiconductor Devices and Microsystems</v>
      </c>
      <c r="B6620" s="8" t="str">
        <f>"9781467311984"</f>
        <v>9781467311984</v>
      </c>
      <c r="C6620" s="8" t="s">
        <v>9</v>
      </c>
    </row>
    <row r="6621" spans="1:3" x14ac:dyDescent="0.25">
      <c r="A6621" s="8" t="str">
        <f>"ASE 2008 - 23rd IEEE/ACM International Conference on Automated Software Engineering, Proceedings"</f>
        <v>ASE 2008 - 23rd IEEE/ACM International Conference on Automated Software Engineering, Proceedings</v>
      </c>
      <c r="B6621" s="8" t="str">
        <f>"9781424421886"</f>
        <v>9781424421886</v>
      </c>
      <c r="C6621" s="8" t="s">
        <v>9</v>
      </c>
    </row>
    <row r="6622" spans="1:3" x14ac:dyDescent="0.25">
      <c r="A6622" s="8" t="str">
        <f>"ASE 2014 - Proceedings of the 29th ACM/IEEE International Conference on Automated Software Engineering"</f>
        <v>ASE 2014 - Proceedings of the 29th ACM/IEEE International Conference on Automated Software Engineering</v>
      </c>
      <c r="B6622" s="8" t="str">
        <f>"9781450330138"</f>
        <v>9781450330138</v>
      </c>
      <c r="C6622" s="8" t="s">
        <v>1235</v>
      </c>
    </row>
    <row r="6623" spans="1:3" x14ac:dyDescent="0.25">
      <c r="A6623" s="8" t="str">
        <f>"ASE'07 - 2007 ACM/IEEE International Conference on Automated Software Engineering"</f>
        <v>ASE'07 - 2007 ACM/IEEE International Conference on Automated Software Engineering</v>
      </c>
      <c r="B6623" s="8" t="str">
        <f>"9781595938824"</f>
        <v>9781595938824</v>
      </c>
      <c r="C6623" s="8" t="s">
        <v>21</v>
      </c>
    </row>
    <row r="6624" spans="1:3" x14ac:dyDescent="0.25">
      <c r="A6624" s="8" t="str">
        <f>"ASE'10 - Proceedings of the IEEE/ACM International Conference on Automated Software Engineering"</f>
        <v>ASE'10 - Proceedings of the IEEE/ACM International Conference on Automated Software Engineering</v>
      </c>
      <c r="B6624" s="8" t="str">
        <f>"9781450301169"</f>
        <v>9781450301169</v>
      </c>
      <c r="C6624" s="8" t="s">
        <v>21</v>
      </c>
    </row>
    <row r="6625" spans="1:3" x14ac:dyDescent="0.25">
      <c r="A6625" s="8" t="str">
        <f>"ASE2009 - 24th IEEE/ACM International Conference on Automated Software Engineering"</f>
        <v>ASE2009 - 24th IEEE/ACM International Conference on Automated Software Engineering</v>
      </c>
      <c r="B6625" s="8" t="str">
        <f>"9780769538914"</f>
        <v>9780769538914</v>
      </c>
      <c r="C6625" s="8" t="s">
        <v>9</v>
      </c>
    </row>
    <row r="6626" spans="1:3" x14ac:dyDescent="0.25">
      <c r="A6626" s="8" t="str">
        <f>"ASHRAE Winter Meeting CD, Technical and Symposium Papers"</f>
        <v>ASHRAE Winter Meeting CD, Technical and Symposium Papers</v>
      </c>
      <c r="B6626" s="8" t="str">
        <f>"-"</f>
        <v>-</v>
      </c>
      <c r="C6626" s="8" t="s">
        <v>155</v>
      </c>
    </row>
    <row r="6627" spans="1:3" x14ac:dyDescent="0.25">
      <c r="A6627" s="8" t="str">
        <f>"ASHRAE Winter Meetings CD, Technical and Symposium Papers"</f>
        <v>ASHRAE Winter Meetings CD, Technical and Symposium Papers</v>
      </c>
      <c r="B6627" s="8" t="str">
        <f>"-"</f>
        <v>-</v>
      </c>
      <c r="C6627" s="8" t="s">
        <v>155</v>
      </c>
    </row>
    <row r="6628" spans="1:3" x14ac:dyDescent="0.25">
      <c r="A6628" s="8" t="str">
        <f>"ASHRAE/NIST Refrigerants Conference: Moving Towards Sustainability"</f>
        <v>ASHRAE/NIST Refrigerants Conference: Moving Towards Sustainability</v>
      </c>
      <c r="B6628" s="8" t="str">
        <f>"-"</f>
        <v>-</v>
      </c>
      <c r="C6628" s="8" t="s">
        <v>1325</v>
      </c>
    </row>
    <row r="6629" spans="1:3" x14ac:dyDescent="0.25">
      <c r="A6629" s="8" t="str">
        <f>"Asia Ascending: Age of the Sustainable Skyscraper City - A Collection of State-of-the-Art, Multi-Disciplinary Papers on Tall Buildings and Sustainable Cities, Proc. of the CTBUH 9th World Congress"</f>
        <v>Asia Ascending: Age of the Sustainable Skyscraper City - A Collection of State-of-the-Art, Multi-Disciplinary Papers on Tall Buildings and Sustainable Cities, Proc. of the CTBUH 9th World Congress</v>
      </c>
      <c r="B6629" s="8" t="str">
        <f>"9780939493333"</f>
        <v>9780939493333</v>
      </c>
      <c r="C6629" s="8" t="s">
        <v>313</v>
      </c>
    </row>
    <row r="6630" spans="1:3" x14ac:dyDescent="0.25">
      <c r="A6630" s="8" t="str">
        <f>"ASIA CCS 2013 - Proceedings of the 8th ACM SIGSAC Symposium on Information, Computer and Communications Security"</f>
        <v>ASIA CCS 2013 - Proceedings of the 8th ACM SIGSAC Symposium on Information, Computer and Communications Security</v>
      </c>
      <c r="B6630" s="8" t="str">
        <f>"9781450317672"</f>
        <v>9781450317672</v>
      </c>
      <c r="C6630" s="8" t="s">
        <v>21</v>
      </c>
    </row>
    <row r="6631" spans="1:3" x14ac:dyDescent="0.25">
      <c r="A6631" s="8" t="str">
        <f>"Asia Communications and Photonics Conference and Exhibition, ACP 2011"</f>
        <v>Asia Communications and Photonics Conference and Exhibition, ACP 2011</v>
      </c>
      <c r="B6631" s="8" t="str">
        <f>"9780819489579"</f>
        <v>9780819489579</v>
      </c>
      <c r="C6631" s="8" t="s">
        <v>86</v>
      </c>
    </row>
    <row r="6632" spans="1:3" x14ac:dyDescent="0.25">
      <c r="A6632" s="8" t="str">
        <f>"Asia Communications and Photonics Conference, ACP 2012"</f>
        <v>Asia Communications and Photonics Conference, ACP 2012</v>
      </c>
      <c r="B6632" s="8" t="str">
        <f>"9781557529572"</f>
        <v>9781557529572</v>
      </c>
      <c r="C6632" s="8" t="s">
        <v>86</v>
      </c>
    </row>
    <row r="6633" spans="1:3" x14ac:dyDescent="0.25">
      <c r="A6633" s="8" t="str">
        <f>"Asia Communications and Photonics Conference, ACPC 2014"</f>
        <v>Asia Communications and Photonics Conference, ACPC 2014</v>
      </c>
      <c r="B6633" s="8" t="str">
        <f>"9781557528520"</f>
        <v>9781557528520</v>
      </c>
      <c r="C6633" s="8" t="s">
        <v>86</v>
      </c>
    </row>
    <row r="6634" spans="1:3" x14ac:dyDescent="0.25">
      <c r="A6634" s="8" t="str">
        <f>"Asia Optical Fiber Communication and Optoelectronic Exposition and Conference, AOE 2006"</f>
        <v>Asia Optical Fiber Communication and Optoelectronic Exposition and Conference, AOE 2006</v>
      </c>
      <c r="B6634" s="8" t="str">
        <f>"9780978921705"</f>
        <v>9780978921705</v>
      </c>
      <c r="C6634" s="8" t="s">
        <v>9</v>
      </c>
    </row>
    <row r="6635" spans="1:3" x14ac:dyDescent="0.25">
      <c r="A6635" s="8" t="str">
        <f>"Asia Pacific Bioinformatics Network (APBioNet) 6th International Conference on Bioinformatics, InCoB 2007 - Proceedings"</f>
        <v>Asia Pacific Bioinformatics Network (APBioNet) 6th International Conference on Bioinformatics, InCoB 2007 - Proceedings</v>
      </c>
      <c r="B6635" s="8" t="str">
        <f>"-"</f>
        <v>-</v>
      </c>
      <c r="C6635" s="8" t="s">
        <v>186</v>
      </c>
    </row>
    <row r="6636" spans="1:3" x14ac:dyDescent="0.25">
      <c r="A6636" s="8" t="str">
        <f>"Asia Pacific Network of Housing Research Conference, APNHR 2009 and 4th Australasian Housing Researchers Conference, AHRC 2009"</f>
        <v>Asia Pacific Network of Housing Research Conference, APNHR 2009 and 4th Australasian Housing Researchers Conference, AHRC 2009</v>
      </c>
      <c r="B6636" s="8" t="str">
        <f>"-"</f>
        <v>-</v>
      </c>
      <c r="C6636" s="8" t="s">
        <v>1496</v>
      </c>
    </row>
    <row r="6637" spans="1:3" x14ac:dyDescent="0.25">
      <c r="A6637" s="8" t="str">
        <f>"ASIACCS 2012 - 7th ACM Symposium on Information, Computer and Communications Security"</f>
        <v>ASIACCS 2012 - 7th ACM Symposium on Information, Computer and Communications Security</v>
      </c>
      <c r="B6637" s="8" t="str">
        <f>"9781450313032"</f>
        <v>9781450313032</v>
      </c>
      <c r="C6637" s="8" t="s">
        <v>21</v>
      </c>
    </row>
    <row r="6638" spans="1:3" x14ac:dyDescent="0.25">
      <c r="A6638" s="8" t="str">
        <f>"ASIACCS 2015 - Proceedings of the 10th ACM Symposium on Information, Computer and Communications Security"</f>
        <v>ASIACCS 2015 - Proceedings of the 10th ACM Symposium on Information, Computer and Communications Security</v>
      </c>
      <c r="B6638" s="8" t="str">
        <f>"9781450332453"</f>
        <v>9781450332453</v>
      </c>
      <c r="C6638" s="8" t="s">
        <v>1235</v>
      </c>
    </row>
    <row r="6639" spans="1:3" x14ac:dyDescent="0.25">
      <c r="A6639" s="8" t="str">
        <f>"Asian Association on Remote Sensing - 26th Asian Conference on Remote Sensing and 2nd Asian Space Conference, ACRS 2005"</f>
        <v>Asian Association on Remote Sensing - 26th Asian Conference on Remote Sensing and 2nd Asian Space Conference, ACRS 2005</v>
      </c>
      <c r="B6639" s="8" t="str">
        <f>"9781604237511"</f>
        <v>9781604237511</v>
      </c>
      <c r="C6639" s="8" t="s">
        <v>1448</v>
      </c>
    </row>
    <row r="6640" spans="1:3" x14ac:dyDescent="0.25">
      <c r="A6640" s="8" t="str">
        <f>"Asian Association on Remote Sensing - 27th Asian Conference on Remote Sensing, ACRS 2006"</f>
        <v>Asian Association on Remote Sensing - 27th Asian Conference on Remote Sensing, ACRS 2006</v>
      </c>
      <c r="B6640" s="8" t="str">
        <f>"9781604231380"</f>
        <v>9781604231380</v>
      </c>
      <c r="C6640" s="8" t="s">
        <v>1448</v>
      </c>
    </row>
    <row r="6641" spans="1:3" x14ac:dyDescent="0.25">
      <c r="A6641" s="8" t="str">
        <f>"Asian Internet Engineeering Conference, AINTEC 2009"</f>
        <v>Asian Internet Engineeering Conference, AINTEC 2009</v>
      </c>
      <c r="B6641" s="8" t="str">
        <f>"9781605586144"</f>
        <v>9781605586144</v>
      </c>
      <c r="C6641" s="8" t="s">
        <v>21</v>
      </c>
    </row>
    <row r="6642" spans="1:3" x14ac:dyDescent="0.25">
      <c r="A6642" s="8" t="str">
        <f>"Asian Internet Engineeering Conference, AINTEC 2011"</f>
        <v>Asian Internet Engineeering Conference, AINTEC 2011</v>
      </c>
      <c r="B6642" s="8" t="str">
        <f>"9781450310628"</f>
        <v>9781450310628</v>
      </c>
      <c r="C6642" s="8" t="s">
        <v>21</v>
      </c>
    </row>
    <row r="6643" spans="1:3" x14ac:dyDescent="0.25">
      <c r="A6643" s="8" t="str">
        <f>"Asian Internet Engineeering Conference, AINTEC 2012"</f>
        <v>Asian Internet Engineeering Conference, AINTEC 2012</v>
      </c>
      <c r="B6643" s="8" t="str">
        <f>"9781450318143"</f>
        <v>9781450318143</v>
      </c>
      <c r="C6643" s="8" t="s">
        <v>21</v>
      </c>
    </row>
    <row r="6644" spans="1:3" x14ac:dyDescent="0.25">
      <c r="A6644" s="8" t="str">
        <f>"Asian Internet Engineeering Conference, AINTEC 2013"</f>
        <v>Asian Internet Engineeering Conference, AINTEC 2013</v>
      </c>
      <c r="B6644" s="8" t="str">
        <f>"9781450324519"</f>
        <v>9781450324519</v>
      </c>
      <c r="C6644" s="8" t="s">
        <v>21</v>
      </c>
    </row>
    <row r="6645" spans="1:3" x14ac:dyDescent="0.25">
      <c r="A6645" s="8" t="str">
        <f>"Asian Internet Engineering Conference, AINTEC 2010"</f>
        <v>Asian Internet Engineering Conference, AINTEC 2010</v>
      </c>
      <c r="B6645" s="8" t="str">
        <f>"9781450304016"</f>
        <v>9781450304016</v>
      </c>
      <c r="C6645" s="8" t="s">
        <v>21</v>
      </c>
    </row>
    <row r="6646" spans="1:3" x14ac:dyDescent="0.25">
      <c r="A6646" s="8" t="str">
        <f>"Asian Internet Engineering Conference, AINTEC 2014"</f>
        <v>Asian Internet Engineering Conference, AINTEC 2014</v>
      </c>
      <c r="B6646" s="8" t="str">
        <f>"9781450332514"</f>
        <v>9781450332514</v>
      </c>
      <c r="C6646" s="8" t="s">
        <v>1235</v>
      </c>
    </row>
    <row r="6647" spans="1:3" x14ac:dyDescent="0.25">
      <c r="A6647" s="8" t="str">
        <f>"Asian Paper - New Applied Technology Conference"</f>
        <v>Asian Paper - New Applied Technology Conference</v>
      </c>
      <c r="B6647" s="8" t="str">
        <f>"-"</f>
        <v>-</v>
      </c>
      <c r="C6647" s="8" t="s">
        <v>1685</v>
      </c>
    </row>
    <row r="6648" spans="1:3" x14ac:dyDescent="0.25">
      <c r="A6648" s="8" t="str">
        <f>"Asian Paper 2008 - New Applied Technology (NAT) Conference Proceedings"</f>
        <v>Asian Paper 2008 - New Applied Technology (NAT) Conference Proceedings</v>
      </c>
      <c r="B6648" s="8" t="str">
        <f>"-"</f>
        <v>-</v>
      </c>
      <c r="C6648" s="8" t="s">
        <v>1685</v>
      </c>
    </row>
    <row r="6649" spans="1:3" x14ac:dyDescent="0.25">
      <c r="A6649" s="8" t="str">
        <f>"Asian Paper 2010 - New Applied Technology (NAT) Conference Proceedings"</f>
        <v>Asian Paper 2010 - New Applied Technology (NAT) Conference Proceedings</v>
      </c>
      <c r="B6649" s="8" t="str">
        <f>"-"</f>
        <v>-</v>
      </c>
      <c r="C6649" s="8" t="s">
        <v>1685</v>
      </c>
    </row>
    <row r="6650" spans="1:3" x14ac:dyDescent="0.25">
      <c r="A6650" s="8" t="str">
        <f>"Asian Paper 2012 - New Applied Technology (NAT) Conference Proceedings"</f>
        <v>Asian Paper 2012 - New Applied Technology (NAT) Conference Proceedings</v>
      </c>
      <c r="B6650" s="8" t="str">
        <f>"-"</f>
        <v>-</v>
      </c>
      <c r="C6650" s="8" t="s">
        <v>1685</v>
      </c>
    </row>
    <row r="6651" spans="1:3" x14ac:dyDescent="0.25">
      <c r="A6651" s="8" t="str">
        <f>"Asian Paper: New Applied Technology Conference 2006 - Conference Proceedings"</f>
        <v>Asian Paper: New Applied Technology Conference 2006 - Conference Proceedings</v>
      </c>
      <c r="B6651" s="8" t="str">
        <f>"-"</f>
        <v>-</v>
      </c>
      <c r="C6651" s="8" t="s">
        <v>1685</v>
      </c>
    </row>
    <row r="6652" spans="1:3" x14ac:dyDescent="0.25">
      <c r="A6652" s="8" t="str">
        <f>"Asia-Pacific Magnetic Recording Conference 2004, Digest of APMRC 2004"</f>
        <v>Asia-Pacific Magnetic Recording Conference 2004, Digest of APMRC 2004</v>
      </c>
      <c r="B6652" s="8" t="str">
        <f>"9780780387171"</f>
        <v>9780780387171</v>
      </c>
      <c r="C6652" s="8" t="s">
        <v>105</v>
      </c>
    </row>
    <row r="6653" spans="1:3" x14ac:dyDescent="0.25">
      <c r="A6653" s="8" t="str">
        <f>"Asia-Pacific Magnetic Recording Conference 2006, Digest of APMRC 2006"</f>
        <v>Asia-Pacific Magnetic Recording Conference 2006, Digest of APMRC 2006</v>
      </c>
      <c r="B6653" s="8" t="str">
        <f>"9781424408634"</f>
        <v>9781424408634</v>
      </c>
      <c r="C6653" s="8" t="s">
        <v>9</v>
      </c>
    </row>
    <row r="6654" spans="1:3" x14ac:dyDescent="0.25">
      <c r="A6654" s="8" t="str">
        <f>"Asia-Pacific Magnetic Recording Conference, Digest of APMRC 2009"</f>
        <v>Asia-Pacific Magnetic Recording Conference, Digest of APMRC 2009</v>
      </c>
      <c r="B6654" s="8" t="str">
        <f>"9789810821913"</f>
        <v>9789810821913</v>
      </c>
      <c r="C6654" s="8" t="s">
        <v>9</v>
      </c>
    </row>
    <row r="6655" spans="1:3" x14ac:dyDescent="0.25">
      <c r="A6655" s="8" t="str">
        <f>"Asia-Pacific Symposium on Visualisation 2007, APVIS 2007, Proceedings"</f>
        <v>Asia-Pacific Symposium on Visualisation 2007, APVIS 2007, Proceedings</v>
      </c>
      <c r="B6655" s="8" t="str">
        <f>"9781424408085"</f>
        <v>9781424408085</v>
      </c>
      <c r="C6655" s="8" t="s">
        <v>9</v>
      </c>
    </row>
    <row r="6656" spans="1:3" x14ac:dyDescent="0.25">
      <c r="A6656" s="8" t="str">
        <f>"Asia-Pacific World Congress on Computer Science and Engineering, APWC on CSE 2014"</f>
        <v>Asia-Pacific World Congress on Computer Science and Engineering, APWC on CSE 2014</v>
      </c>
      <c r="B6656" s="8" t="str">
        <f>"9781479919550"</f>
        <v>9781479919550</v>
      </c>
      <c r="C6656" s="8" t="s">
        <v>105</v>
      </c>
    </row>
    <row r="6657" spans="1:3" x14ac:dyDescent="0.25">
      <c r="A6657" s="8" t="str">
        <f>"AsiaPKC 2013 - Proceedings of the 1st ACM Workshop on Asia Public-Key Cryptography"</f>
        <v>AsiaPKC 2013 - Proceedings of the 1st ACM Workshop on Asia Public-Key Cryptography</v>
      </c>
      <c r="B6657" s="8" t="str">
        <f>"9781450320696"</f>
        <v>9781450320696</v>
      </c>
      <c r="C6657" s="8" t="s">
        <v>21</v>
      </c>
    </row>
    <row r="6658" spans="1:3" x14ac:dyDescent="0.25">
      <c r="A6658" s="8" t="str">
        <f>"ASICON 2005: 2005 6th International Conference on ASIC, Proceedings"</f>
        <v>ASICON 2005: 2005 6th International Conference on ASIC, Proceedings</v>
      </c>
      <c r="B6658" s="8" t="str">
        <f>"9780780392106"</f>
        <v>9780780392106</v>
      </c>
      <c r="C6658" s="8" t="s">
        <v>9</v>
      </c>
    </row>
    <row r="6659" spans="1:3" x14ac:dyDescent="0.25">
      <c r="A6659" s="8" t="str">
        <f>"ASICON 2007 - 2007 7th International Conference on ASIC Proceeding"</f>
        <v>ASICON 2007 - 2007 7th International Conference on ASIC Proceeding</v>
      </c>
      <c r="B6659" s="8" t="str">
        <f>"9781424411320"</f>
        <v>9781424411320</v>
      </c>
      <c r="C6659" s="8" t="s">
        <v>9</v>
      </c>
    </row>
    <row r="6660" spans="1:3" x14ac:dyDescent="0.25">
      <c r="A6660" s="8" t="str">
        <f>"ASICON 2009 - Proceedings 2009 8th IEEE International Conference on ASIC"</f>
        <v>ASICON 2009 - Proceedings 2009 8th IEEE International Conference on ASIC</v>
      </c>
      <c r="B6660" s="8" t="str">
        <f>"9781424438686"</f>
        <v>9781424438686</v>
      </c>
      <c r="C6660" s="8" t="s">
        <v>9</v>
      </c>
    </row>
    <row r="6661" spans="1:3" x14ac:dyDescent="0.25">
      <c r="A6661" s="8" t="str">
        <f>"ASID 2011 - Proceedings: 2011 IEEE International Conference on Anti-Counterfeiting, Security and Identification"</f>
        <v>ASID 2011 - Proceedings: 2011 IEEE International Conference on Anti-Counterfeiting, Security and Identification</v>
      </c>
      <c r="B6661" s="8" t="str">
        <f>"9781612846293"</f>
        <v>9781612846293</v>
      </c>
      <c r="C6661" s="8" t="s">
        <v>9</v>
      </c>
    </row>
    <row r="6662" spans="1:3" x14ac:dyDescent="0.25">
      <c r="A6662" s="8" t="str">
        <f>"ASID'06: 1st Workshop on Architectural and System Support for Improving Software Dependability"</f>
        <v>ASID'06: 1st Workshop on Architectural and System Support for Improving Software Dependability</v>
      </c>
      <c r="B6662" s="8" t="str">
        <f>"9781595935762"</f>
        <v>9781595935762</v>
      </c>
      <c r="C6662" s="8" t="s">
        <v>21</v>
      </c>
    </row>
    <row r="6663" spans="1:3" x14ac:dyDescent="0.25">
      <c r="A6663" s="8" t="str">
        <f>"ASM Heat Treating Society - 25th Conference and Exposition: Gearing Up for the Winds of Change"</f>
        <v>ASM Heat Treating Society - 25th Conference and Exposition: Gearing Up for the Winds of Change</v>
      </c>
      <c r="B6663" s="8" t="str">
        <f>"9781615030149"</f>
        <v>9781615030149</v>
      </c>
      <c r="C6663" s="8" t="s">
        <v>65</v>
      </c>
    </row>
    <row r="6664" spans="1:3" x14ac:dyDescent="0.25">
      <c r="A6664" s="8" t="str">
        <f>"ASM Heat Treating Society - 26th Conference and Exposition: Gearing Up for Success"</f>
        <v>ASM Heat Treating Society - 26th Conference and Exposition: Gearing Up for Success</v>
      </c>
      <c r="B6664" s="8" t="str">
        <f>"9781615038398"</f>
        <v>9781615038398</v>
      </c>
      <c r="C6664" s="8" t="s">
        <v>65</v>
      </c>
    </row>
    <row r="6665" spans="1:3" x14ac:dyDescent="0.25">
      <c r="A6665" s="8" t="str">
        <f>"ASM International - 24th Heat Treating Society Conference 2007, Driving the Engines of Change in Manufacturing"</f>
        <v>ASM International - 24th Heat Treating Society Conference 2007, Driving the Engines of Change in Manufacturing</v>
      </c>
      <c r="B6665" s="8" t="str">
        <f>"9781604239300"</f>
        <v>9781604239300</v>
      </c>
      <c r="C6665" s="8" t="s">
        <v>394</v>
      </c>
    </row>
    <row r="6666" spans="1:3" x14ac:dyDescent="0.25">
      <c r="A6666" s="8" t="str">
        <f>"ASM International - International Conference on Shape Memory and Superelastic Technologies, SMST 2015"</f>
        <v>ASM International - International Conference on Shape Memory and Superelastic Technologies, SMST 2015</v>
      </c>
      <c r="B6666" s="8" t="str">
        <f>"9781510804142"</f>
        <v>9781510804142</v>
      </c>
      <c r="C6666" s="8" t="s">
        <v>65</v>
      </c>
    </row>
    <row r="6667" spans="1:3" x14ac:dyDescent="0.25">
      <c r="A6667" s="8" t="str">
        <f>"ASME 1992 International Gas Turbine and Aeroengine Congress and Exposition, GT 1992"</f>
        <v>ASME 1992 International Gas Turbine and Aeroengine Congress and Exposition, GT 1992</v>
      </c>
      <c r="B6667" s="8" t="str">
        <f>"-"</f>
        <v>-</v>
      </c>
      <c r="C6667" s="8" t="s">
        <v>1308</v>
      </c>
    </row>
    <row r="6668" spans="1:3" x14ac:dyDescent="0.25">
      <c r="A6668" s="8" t="str">
        <f>"ASME 1993 International Gas Turbine and Aeroengine Congress and Exposition, GT 1993"</f>
        <v>ASME 1993 International Gas Turbine and Aeroengine Congress and Exposition, GT 1993</v>
      </c>
      <c r="B6668" s="8" t="str">
        <f>"-"</f>
        <v>-</v>
      </c>
      <c r="C6668" s="8" t="s">
        <v>1308</v>
      </c>
    </row>
    <row r="6669" spans="1:3" x14ac:dyDescent="0.25">
      <c r="A6669" s="8" t="str">
        <f>"ASME 1996 International Gas Turbine and Aeroengine Congress and Exhibition, GT 1996"</f>
        <v>ASME 1996 International Gas Turbine and Aeroengine Congress and Exhibition, GT 1996</v>
      </c>
      <c r="B6669" s="8" t="str">
        <f>"-"</f>
        <v>-</v>
      </c>
      <c r="C6669" s="8" t="s">
        <v>1308</v>
      </c>
    </row>
    <row r="6670" spans="1:3" x14ac:dyDescent="0.25">
      <c r="A6670" s="8" t="str">
        <f>"ASME 2002 Internal Combustion Engine Division Fall Technical Conference, ICEF2002"</f>
        <v>ASME 2002 Internal Combustion Engine Division Fall Technical Conference, ICEF2002</v>
      </c>
      <c r="B6670" s="8" t="str">
        <f>"9780791846629"</f>
        <v>9780791846629</v>
      </c>
      <c r="C6670" s="8" t="s">
        <v>1308</v>
      </c>
    </row>
    <row r="6671" spans="1:3" x14ac:dyDescent="0.25">
      <c r="A6671" s="8" t="str">
        <f>"ASME 2002 International Design Engineering Technical Conferences and Computers and Information in Engineering Conference, IDETC/CIE2002"</f>
        <v>ASME 2002 International Design Engineering Technical Conferences and Computers and Information in Engineering Conference, IDETC/CIE2002</v>
      </c>
      <c r="B6671" s="8" t="str">
        <f>"9780791836217"</f>
        <v>9780791836217</v>
      </c>
      <c r="C6671" s="8" t="s">
        <v>1308</v>
      </c>
    </row>
    <row r="6672" spans="1:3" x14ac:dyDescent="0.25">
      <c r="A6672" s="8" t="str">
        <f>"ASME 2002 Wind Energy Symposium, WIND2002"</f>
        <v>ASME 2002 Wind Energy Symposium, WIND2002</v>
      </c>
      <c r="B6672" s="8" t="str">
        <f>"9781563474767"</f>
        <v>9781563474767</v>
      </c>
      <c r="C6672" s="8" t="s">
        <v>1308</v>
      </c>
    </row>
    <row r="6673" spans="1:3" x14ac:dyDescent="0.25">
      <c r="A6673" s="8" t="str">
        <f>"ASME 2003 Internal Combustion Engine and Rail Transportation Divisions Fall Technical Conference, ICERT2003"</f>
        <v>ASME 2003 Internal Combustion Engine and Rail Transportation Divisions Fall Technical Conference, ICERT2003</v>
      </c>
      <c r="B6673" s="8" t="str">
        <f>"9780791841617"</f>
        <v>9780791841617</v>
      </c>
      <c r="C6673" s="8" t="s">
        <v>1308</v>
      </c>
    </row>
    <row r="6674" spans="1:3" x14ac:dyDescent="0.25">
      <c r="A6674" s="8" t="str">
        <f>"ASME 2003 International Electronic Packaging Technical Conference and Exhibition, InterPACK2003"</f>
        <v>ASME 2003 International Electronic Packaging Technical Conference and Exhibition, InterPACK2003</v>
      </c>
      <c r="B6674" s="8" t="str">
        <f>"9780791836903"</f>
        <v>9780791836903</v>
      </c>
      <c r="C6674" s="8" t="s">
        <v>1308</v>
      </c>
    </row>
    <row r="6675" spans="1:3" x14ac:dyDescent="0.25">
      <c r="A6675" s="8" t="str">
        <f>"ASME 2003 Wind Energy Symposium, WIND2003"</f>
        <v>ASME 2003 Wind Energy Symposium, WIND2003</v>
      </c>
      <c r="B6675" s="8" t="str">
        <f>"9781563475948"</f>
        <v>9781563475948</v>
      </c>
      <c r="C6675" s="8" t="s">
        <v>1308</v>
      </c>
    </row>
    <row r="6676" spans="1:3" x14ac:dyDescent="0.25">
      <c r="A6676" s="8" t="str">
        <f>"ASME 2010 10th Biennial Conference on Engineering Systems Design and Analysis, ESDA 2010"</f>
        <v>ASME 2010 10th Biennial Conference on Engineering Systems Design and Analysis, ESDA 2010</v>
      </c>
      <c r="B6676" s="8" t="str">
        <f>"-"</f>
        <v>-</v>
      </c>
      <c r="C6676" s="8" t="s">
        <v>1308</v>
      </c>
    </row>
    <row r="6677" spans="1:3" x14ac:dyDescent="0.25">
      <c r="A6677" s="8" t="str">
        <f>"ASME 2010 4th International Conference on Energy Sustainability, ES 2010"</f>
        <v>ASME 2010 4th International Conference on Energy Sustainability, ES 2010</v>
      </c>
      <c r="B6677" s="8" t="str">
        <f>"9780791843949"</f>
        <v>9780791843949</v>
      </c>
      <c r="C6677" s="8" t="s">
        <v>73</v>
      </c>
    </row>
    <row r="6678" spans="1:3" x14ac:dyDescent="0.25">
      <c r="A6678" s="8" t="str">
        <f>"ASME 2010 5th Frontiers in Biomedical Devices Conference and Exhibition, BIOMED 2010"</f>
        <v>ASME 2010 5th Frontiers in Biomedical Devices Conference and Exhibition, BIOMED 2010</v>
      </c>
      <c r="B6678" s="8" t="str">
        <f>"9780791849453"</f>
        <v>9780791849453</v>
      </c>
      <c r="C6678" s="8" t="s">
        <v>73</v>
      </c>
    </row>
    <row r="6679" spans="1:3" x14ac:dyDescent="0.25">
      <c r="A6679" s="8" t="str">
        <f>"ASME 2010 8th International Conference on Fuel Cell Science, Engineering and Technology, FUELCELL 2010"</f>
        <v>ASME 2010 8th International Conference on Fuel Cell Science, Engineering and Technology, FUELCELL 2010</v>
      </c>
      <c r="B6679" s="8" t="str">
        <f>"-"</f>
        <v>-</v>
      </c>
      <c r="C6679" s="8" t="s">
        <v>73</v>
      </c>
    </row>
    <row r="6680" spans="1:3" x14ac:dyDescent="0.25">
      <c r="A6680" s="8" t="str">
        <f>"ASME 2010 8th International Conference on Nanochannels, Microchannels, and Minichannels Collocated with 3rd Joint US-European Fluids Engineering Summer Meeting, ICNMM2010"</f>
        <v>ASME 2010 8th International Conference on Nanochannels, Microchannels, and Minichannels Collocated with 3rd Joint US-European Fluids Engineering Summer Meeting, ICNMM2010</v>
      </c>
      <c r="B6680" s="8" t="str">
        <f>"9780791854501"</f>
        <v>9780791854501</v>
      </c>
      <c r="C6680" s="8" t="s">
        <v>73</v>
      </c>
    </row>
    <row r="6681" spans="1:3" x14ac:dyDescent="0.25">
      <c r="A6681" s="8" t="str">
        <f>"ASME 2010 Conference on Smart Materials, Adaptive Structures and Intelligent Systems, SMASIS 2010"</f>
        <v>ASME 2010 Conference on Smart Materials, Adaptive Structures and Intelligent Systems, SMASIS 2010</v>
      </c>
      <c r="B6681" s="8" t="str">
        <f>"-"</f>
        <v>-</v>
      </c>
      <c r="C6681" s="8" t="s">
        <v>1308</v>
      </c>
    </row>
    <row r="6682" spans="1:3" x14ac:dyDescent="0.25">
      <c r="A6682" s="8" t="str">
        <f>"ASME 2010 Dynamic Systems and Control Conference, DSCC2010"</f>
        <v>ASME 2010 Dynamic Systems and Control Conference, DSCC2010</v>
      </c>
      <c r="B6682" s="8" t="str">
        <f>"9780791844175"</f>
        <v>9780791844175</v>
      </c>
      <c r="C6682" s="8" t="s">
        <v>73</v>
      </c>
    </row>
    <row r="6683" spans="1:3" x14ac:dyDescent="0.25">
      <c r="A6683" s="8" t="str">
        <f>"ASME 2010 International Manufacturing Science and Engineering Conference, MSEC 2010"</f>
        <v>ASME 2010 International Manufacturing Science and Engineering Conference, MSEC 2010</v>
      </c>
      <c r="B6683" s="8" t="str">
        <f>"-"</f>
        <v>-</v>
      </c>
      <c r="C6683" s="8" t="s">
        <v>73</v>
      </c>
    </row>
    <row r="6684" spans="1:3" x14ac:dyDescent="0.25">
      <c r="A6684" s="8" t="str">
        <f>"ASME 2010 Summer Bioengineering Conference, SBC 2010"</f>
        <v>ASME 2010 Summer Bioengineering Conference, SBC 2010</v>
      </c>
      <c r="B6684" s="8" t="str">
        <f>"9780791844038"</f>
        <v>9780791844038</v>
      </c>
      <c r="C6684" s="8" t="s">
        <v>73</v>
      </c>
    </row>
    <row r="6685" spans="1:3" x14ac:dyDescent="0.25">
      <c r="A6685" s="8" t="str">
        <f>"ASME 2010 World Conference on Innovative Virtual Reality, WINVR 2010"</f>
        <v>ASME 2010 World Conference on Innovative Virtual Reality, WINVR 2010</v>
      </c>
      <c r="B6685" s="8" t="str">
        <f>"9780791849088"</f>
        <v>9780791849088</v>
      </c>
      <c r="C6685" s="8" t="s">
        <v>1308</v>
      </c>
    </row>
    <row r="6686" spans="1:3" x14ac:dyDescent="0.25">
      <c r="A6686" s="8" t="str">
        <f>"ASME 2011 5th International Conference on Energy Sustainability, ES 2011"</f>
        <v>ASME 2011 5th International Conference on Energy Sustainability, ES 2011</v>
      </c>
      <c r="B6686" s="8" t="str">
        <f>"9780791854686"</f>
        <v>9780791854686</v>
      </c>
      <c r="C6686" s="8" t="s">
        <v>73</v>
      </c>
    </row>
    <row r="6687" spans="1:3" x14ac:dyDescent="0.25">
      <c r="A6687" s="8" t="str">
        <f>"ASME 2011 6th Frontiers in Biomedical Devices Conference and Exhibition, BioMed 2011"</f>
        <v>ASME 2011 6th Frontiers in Biomedical Devices Conference and Exhibition, BioMed 2011</v>
      </c>
      <c r="B6687" s="8" t="str">
        <f>"-"</f>
        <v>-</v>
      </c>
      <c r="C6687" s="8" t="s">
        <v>73</v>
      </c>
    </row>
    <row r="6688" spans="1:3" x14ac:dyDescent="0.25">
      <c r="A6688" s="8" t="str">
        <f>"ASME 2011 9th International Conference on Fuel Cell Science, Engineering and Technology. Collocated with ASME 2011 5th International Conference on Energy Sustainability, FUELCELL 2011"</f>
        <v>ASME 2011 9th International Conference on Fuel Cell Science, Engineering and Technology. Collocated with ASME 2011 5th International Conference on Energy Sustainability, FUELCELL 2011</v>
      </c>
      <c r="B6688" s="8" t="str">
        <f>"9780791854693"</f>
        <v>9780791854693</v>
      </c>
      <c r="C6688" s="8" t="s">
        <v>73</v>
      </c>
    </row>
    <row r="6689" spans="1:3" x14ac:dyDescent="0.25">
      <c r="A6689" s="8" t="str">
        <f>"ASME 2011 9th International Conference on Nanochannels, Microchannels, and Minichannels, ICNMM 2011"</f>
        <v>ASME 2011 9th International Conference on Nanochannels, Microchannels, and Minichannels, ICNMM 2011</v>
      </c>
      <c r="B6689" s="8" t="str">
        <f>"-"</f>
        <v>-</v>
      </c>
      <c r="C6689" s="8" t="s">
        <v>73</v>
      </c>
    </row>
    <row r="6690" spans="1:3" x14ac:dyDescent="0.25">
      <c r="A6690" s="8" t="str">
        <f>"ASME 2011 Conference on Smart Materials, Adaptive Structures and Intelligent Systems, SMASIS 2011"</f>
        <v>ASME 2011 Conference on Smart Materials, Adaptive Structures and Intelligent Systems, SMASIS 2011</v>
      </c>
      <c r="B6690" s="8" t="str">
        <f>"-"</f>
        <v>-</v>
      </c>
      <c r="C6690" s="8" t="s">
        <v>1308</v>
      </c>
    </row>
    <row r="6691" spans="1:3" x14ac:dyDescent="0.25">
      <c r="A6691" s="8" t="str">
        <f>"ASME 2011 Dynamic Systems and Control Conference and Bath/ASME Symposium on Fluid Power and Motion Control, DSCC 2011"</f>
        <v>ASME 2011 Dynamic Systems and Control Conference and Bath/ASME Symposium on Fluid Power and Motion Control, DSCC 2011</v>
      </c>
      <c r="B6691" s="8" t="str">
        <f>"-"</f>
        <v>-</v>
      </c>
      <c r="C6691" s="8" t="s">
        <v>73</v>
      </c>
    </row>
    <row r="6692" spans="1:3" x14ac:dyDescent="0.25">
      <c r="A6692" s="8" t="str">
        <f>"ASME 2011 International Manufacturing Science and Engineering Conference, MSEC 2011"</f>
        <v>ASME 2011 International Manufacturing Science and Engineering Conference, MSEC 2011</v>
      </c>
      <c r="B6692" s="8" t="str">
        <f>"-"</f>
        <v>-</v>
      </c>
      <c r="C6692" s="8" t="s">
        <v>73</v>
      </c>
    </row>
    <row r="6693" spans="1:3" x14ac:dyDescent="0.25">
      <c r="A6693" s="8" t="str">
        <f>"ASME 2011 International Mechanical Engineering Congress and Exposition, IMECE 2011"</f>
        <v>ASME 2011 International Mechanical Engineering Congress and Exposition, IMECE 2011</v>
      </c>
      <c r="B6693" s="8" t="str">
        <f>"-"</f>
        <v>-</v>
      </c>
      <c r="C6693" s="8" t="s">
        <v>73</v>
      </c>
    </row>
    <row r="6694" spans="1:3" x14ac:dyDescent="0.25">
      <c r="A6694" s="8" t="str">
        <f>"ASME 2011 Pacific Rim Technical Conference and Exhibition on Packaging and Integration of Electronic and Photonic Systems, InterPACK 2011"</f>
        <v>ASME 2011 Pacific Rim Technical Conference and Exhibition on Packaging and Integration of Electronic and Photonic Systems, InterPACK 2011</v>
      </c>
      <c r="B6694" s="8" t="str">
        <f>"9780791844618"</f>
        <v>9780791844618</v>
      </c>
      <c r="C6694" s="8" t="s">
        <v>73</v>
      </c>
    </row>
    <row r="6695" spans="1:3" x14ac:dyDescent="0.25">
      <c r="A6695" s="8" t="str">
        <f>"ASME 2011 Small Modular Reactors Symposium, SMR 2011"</f>
        <v>ASME 2011 Small Modular Reactors Symposium, SMR 2011</v>
      </c>
      <c r="B6695" s="8" t="str">
        <f>"9780791854730"</f>
        <v>9780791854730</v>
      </c>
      <c r="C6695" s="8" t="s">
        <v>73</v>
      </c>
    </row>
    <row r="6696" spans="1:3" x14ac:dyDescent="0.25">
      <c r="A6696" s="8" t="str">
        <f>"ASME 2011 Summer Bioengineering Conference, SBC 2011"</f>
        <v>ASME 2011 Summer Bioengineering Conference, SBC 2011</v>
      </c>
      <c r="B6696" s="8" t="str">
        <f>"9780791854587"</f>
        <v>9780791854587</v>
      </c>
      <c r="C6696" s="8" t="s">
        <v>73</v>
      </c>
    </row>
    <row r="6697" spans="1:3" x14ac:dyDescent="0.25">
      <c r="A6697" s="8" t="str">
        <f>"ASME 2011 World Conference on Innovative Virtual Reality, WINVR 2011"</f>
        <v>ASME 2011 World Conference on Innovative Virtual Reality, WINVR 2011</v>
      </c>
      <c r="B6697" s="8" t="str">
        <f>"9780791844328"</f>
        <v>9780791844328</v>
      </c>
      <c r="C6697" s="8" t="s">
        <v>73</v>
      </c>
    </row>
    <row r="6698" spans="1:3" x14ac:dyDescent="0.25">
      <c r="A6698" s="8" t="str">
        <f>"ASME 2012 10th Int. Conf. on Nanochannels, Microchannels, and Minichannels Collocated with the ASME 2012 Heat Transfer Summer Conf. and the ASME 2012 Fluids Engineering Division Sum, ICNMM 2012"</f>
        <v>ASME 2012 10th Int. Conf. on Nanochannels, Microchannels, and Minichannels Collocated with the ASME 2012 Heat Transfer Summer Conf. and the ASME 2012 Fluids Engineering Division Sum, ICNMM 2012</v>
      </c>
      <c r="B6698" s="8" t="str">
        <f>"9780791844793"</f>
        <v>9780791844793</v>
      </c>
      <c r="C6698" s="8" t="s">
        <v>73</v>
      </c>
    </row>
    <row r="6699" spans="1:3" x14ac:dyDescent="0.25">
      <c r="A6699" s="8" t="str">
        <f>"ASME 2012 10th International Conference on Fuel Cell Science, Engineering and Technology Collocated with the ASME 2012 6th International Conference on Energy Sustainability, FUELCELL 2012"</f>
        <v>ASME 2012 10th International Conference on Fuel Cell Science, Engineering and Technology Collocated with the ASME 2012 6th International Conference on Energy Sustainability, FUELCELL 2012</v>
      </c>
      <c r="B6699" s="8" t="str">
        <f>"9780791844823"</f>
        <v>9780791844823</v>
      </c>
      <c r="C6699" s="8" t="s">
        <v>73</v>
      </c>
    </row>
    <row r="6700" spans="1:3" x14ac:dyDescent="0.25">
      <c r="A6700" s="8" t="str">
        <f>"ASME 2012 11th Biennial Conference on Engineering Systems Design and Analysis, ESDA 2012"</f>
        <v>ASME 2012 11th Biennial Conference on Engineering Systems Design and Analysis, ESDA 2012</v>
      </c>
      <c r="B6700" s="8" t="str">
        <f>"-"</f>
        <v>-</v>
      </c>
      <c r="C6700" s="8" t="s">
        <v>73</v>
      </c>
    </row>
    <row r="6701" spans="1:3" x14ac:dyDescent="0.25">
      <c r="A6701" s="8" t="str">
        <f>"ASME 2012 3rd International Conference on Micro/Nanoscale Heat and Mass Transfer, MNHMT 2012"</f>
        <v>ASME 2012 3rd International Conference on Micro/Nanoscale Heat and Mass Transfer, MNHMT 2012</v>
      </c>
      <c r="B6701" s="8" t="str">
        <f>"9780791854778"</f>
        <v>9780791854778</v>
      </c>
      <c r="C6701" s="8" t="s">
        <v>73</v>
      </c>
    </row>
    <row r="6702" spans="1:3" x14ac:dyDescent="0.25">
      <c r="A6702" s="8" t="str">
        <f>"ASME 2012 5th Annual Dynamic Systems and Control Conference Joint with the JSME 2012 11th Motion and Vibration Conference, DSCC 2012-MOVIC 2012"</f>
        <v>ASME 2012 5th Annual Dynamic Systems and Control Conference Joint with the JSME 2012 11th Motion and Vibration Conference, DSCC 2012-MOVIC 2012</v>
      </c>
      <c r="B6702" s="8" t="str">
        <f>"-"</f>
        <v>-</v>
      </c>
      <c r="C6702" s="8" t="s">
        <v>73</v>
      </c>
    </row>
    <row r="6703" spans="1:3" x14ac:dyDescent="0.25">
      <c r="A6703" s="8" t="str">
        <f>"ASME 2012 6th International Conference on Energy Sustainability, ES 2012, Collocated with the ASME 2012 10th International Conference on Fuel Cell Science, Engineering and Technology"</f>
        <v>ASME 2012 6th International Conference on Energy Sustainability, ES 2012, Collocated with the ASME 2012 10th International Conference on Fuel Cell Science, Engineering and Technology</v>
      </c>
      <c r="B6703" s="8" t="str">
        <f>"9780791844816"</f>
        <v>9780791844816</v>
      </c>
      <c r="C6703" s="8" t="s">
        <v>73</v>
      </c>
    </row>
    <row r="6704" spans="1:3" x14ac:dyDescent="0.25">
      <c r="A6704" s="8" t="str">
        <f>"ASME 2012 Conference on Smart Materials, Adaptive Structures and Intelligent Systems, SMASIS 2012"</f>
        <v>ASME 2012 Conference on Smart Materials, Adaptive Structures and Intelligent Systems, SMASIS 2012</v>
      </c>
      <c r="B6704" s="8" t="str">
        <f>"-"</f>
        <v>-</v>
      </c>
      <c r="C6704" s="8" t="s">
        <v>73</v>
      </c>
    </row>
    <row r="6705" spans="1:3" x14ac:dyDescent="0.25">
      <c r="A6705" s="8" t="str">
        <f>"ASME 2012 Gas Turbine India Conference, GTINDIA 2012"</f>
        <v>ASME 2012 Gas Turbine India Conference, GTINDIA 2012</v>
      </c>
      <c r="B6705" s="8" t="str">
        <f>"9780791845165"</f>
        <v>9780791845165</v>
      </c>
      <c r="C6705" s="8" t="s">
        <v>73</v>
      </c>
    </row>
    <row r="6706" spans="1:3" x14ac:dyDescent="0.25">
      <c r="A6706" s="8" t="str">
        <f>"ASME 2012 Heat Transfer Summer Conf. Collocated with the ASME 2012 Fluids Engineering Div. Summer Meeting and the ASME 2012 10th Int. Conf. on Nanochannels, Microchannels and Minichannels, HT 2012"</f>
        <v>ASME 2012 Heat Transfer Summer Conf. Collocated with the ASME 2012 Fluids Engineering Div. Summer Meeting and the ASME 2012 10th Int. Conf. on Nanochannels, Microchannels and Minichannels, HT 2012</v>
      </c>
      <c r="B6706" s="8" t="str">
        <f>"-"</f>
        <v>-</v>
      </c>
      <c r="C6706" s="8" t="s">
        <v>73</v>
      </c>
    </row>
    <row r="6707" spans="1:3" x14ac:dyDescent="0.25">
      <c r="A6707" s="8" t="str">
        <f>"ASME 2012 Internal Combustion Engine Division Fall Technical Conference, ICEF 2012"</f>
        <v>ASME 2012 Internal Combustion Engine Division Fall Technical Conference, ICEF 2012</v>
      </c>
      <c r="B6707" s="8" t="str">
        <f>"9780791855096"</f>
        <v>9780791855096</v>
      </c>
      <c r="C6707" s="8" t="s">
        <v>73</v>
      </c>
    </row>
    <row r="6708" spans="1:3" x14ac:dyDescent="0.25">
      <c r="A6708" s="8" t="str">
        <f>"ASME 2012 International Manufacturing Science and Engineering Conference Collocated with the 40th North American Manufacturing Research Conference and in Participation with the Int. Conf., MSEC 2012"</f>
        <v>ASME 2012 International Manufacturing Science and Engineering Conference Collocated with the 40th North American Manufacturing Research Conference and in Participation with the Int. Conf., MSEC 2012</v>
      </c>
      <c r="B6708" s="8" t="str">
        <f>"9780791854990"</f>
        <v>9780791854990</v>
      </c>
      <c r="C6708" s="8" t="s">
        <v>73</v>
      </c>
    </row>
    <row r="6709" spans="1:3" x14ac:dyDescent="0.25">
      <c r="A6709" s="8" t="str">
        <f>"ASME 2012 Summer Bioengineering Conference, SBC 2012"</f>
        <v>ASME 2012 Summer Bioengineering Conference, SBC 2012</v>
      </c>
      <c r="B6709" s="8" t="str">
        <f>"9780791844809"</f>
        <v>9780791844809</v>
      </c>
      <c r="C6709" s="8" t="s">
        <v>73</v>
      </c>
    </row>
    <row r="6710" spans="1:3" x14ac:dyDescent="0.25">
      <c r="A6710" s="8" t="str">
        <f>"ASME 2013 11th Int. Conf. on Fuel Cell Science, Eng. and Technology Collocated with the ASME 2013 Heat Transfer Summer Conf. and the ASME 2013 7th Int. Conf. on Energy Sustainability, FUELCELL 2013"</f>
        <v>ASME 2013 11th Int. Conf. on Fuel Cell Science, Eng. and Technology Collocated with the ASME 2013 Heat Transfer Summer Conf. and the ASME 2013 7th Int. Conf. on Energy Sustainability, FUELCELL 2013</v>
      </c>
      <c r="B6710" s="8" t="str">
        <f>"9780791855522"</f>
        <v>9780791855522</v>
      </c>
      <c r="C6710" s="8" t="s">
        <v>73</v>
      </c>
    </row>
    <row r="6711" spans="1:3" x14ac:dyDescent="0.25">
      <c r="A6711" s="8" t="str">
        <f>"ASME 2013 11th International Conference on Nanochannels, Microchannels and Minichannels, ICNMM 2013"</f>
        <v>ASME 2013 11th International Conference on Nanochannels, Microchannels and Minichannels, ICNMM 2013</v>
      </c>
      <c r="B6711" s="8" t="str">
        <f>"9780791855591"</f>
        <v>9780791855591</v>
      </c>
      <c r="C6711" s="8" t="s">
        <v>73</v>
      </c>
    </row>
    <row r="6712" spans="1:3" x14ac:dyDescent="0.25">
      <c r="A6712" s="8" t="str">
        <f>"ASME 2013 2nd Global Congress on NanoEngineering for Medicine and Biology, NEMB 2013"</f>
        <v>ASME 2013 2nd Global Congress on NanoEngineering for Medicine and Biology, NEMB 2013</v>
      </c>
      <c r="B6712" s="8" t="str">
        <f>"9780791845332"</f>
        <v>9780791845332</v>
      </c>
      <c r="C6712" s="8" t="s">
        <v>73</v>
      </c>
    </row>
    <row r="6713" spans="1:3" x14ac:dyDescent="0.25">
      <c r="A6713" s="8" t="str">
        <f>"ASME 2013 7th Int. Conf. on Energy Sustainability Collocated with the ASME 2013 Heat Transfer Summer Conf. and the ASME 2013 11th Int. Conf. on Fuel Cell Science, Engineering and Technology, ES 2013"</f>
        <v>ASME 2013 7th Int. Conf. on Energy Sustainability Collocated with the ASME 2013 Heat Transfer Summer Conf. and the ASME 2013 11th Int. Conf. on Fuel Cell Science, Engineering and Technology, ES 2013</v>
      </c>
      <c r="B6713" s="8" t="str">
        <f>"9780791855515"</f>
        <v>9780791855515</v>
      </c>
      <c r="C6713" s="8" t="s">
        <v>73</v>
      </c>
    </row>
    <row r="6714" spans="1:3" x14ac:dyDescent="0.25">
      <c r="A6714" s="8" t="str">
        <f>"ASME 2013 Conference on Frontiers in Medical Devices: Applications of Computer Modeling and Simulation, FMD 2013"</f>
        <v>ASME 2013 Conference on Frontiers in Medical Devices: Applications of Computer Modeling and Simulation, FMD 2013</v>
      </c>
      <c r="B6714" s="8" t="str">
        <f>"9780791856000"</f>
        <v>9780791856000</v>
      </c>
      <c r="C6714" s="8" t="s">
        <v>73</v>
      </c>
    </row>
    <row r="6715" spans="1:3" x14ac:dyDescent="0.25">
      <c r="A6715" s="8" t="str">
        <f>"ASME 2013 Conference on Information Storage and Processing Systems, ISPS 2013"</f>
        <v>ASME 2013 Conference on Information Storage and Processing Systems, ISPS 2013</v>
      </c>
      <c r="B6715" s="8" t="str">
        <f>"9780791855539"</f>
        <v>9780791855539</v>
      </c>
      <c r="C6715" s="8" t="s">
        <v>73</v>
      </c>
    </row>
    <row r="6716" spans="1:3" x14ac:dyDescent="0.25">
      <c r="A6716" s="8" t="str">
        <f>"ASME 2013 Conference on Smart Materials, Adaptive Structures and Intelligent Systems, SMASIS 2013"</f>
        <v>ASME 2013 Conference on Smart Materials, Adaptive Structures and Intelligent Systems, SMASIS 2013</v>
      </c>
      <c r="B6716" s="8" t="str">
        <f>"-"</f>
        <v>-</v>
      </c>
      <c r="C6716" s="8" t="s">
        <v>73</v>
      </c>
    </row>
    <row r="6717" spans="1:3" x14ac:dyDescent="0.25">
      <c r="A6717" s="8" t="str">
        <f>"ASME 2013 Gas Turbine India Conference, GTINDIA 2013"</f>
        <v>ASME 2013 Gas Turbine India Conference, GTINDIA 2013</v>
      </c>
      <c r="B6717" s="8" t="str">
        <f>"-"</f>
        <v>-</v>
      </c>
      <c r="C6717" s="8" t="s">
        <v>73</v>
      </c>
    </row>
    <row r="6718" spans="1:3" x14ac:dyDescent="0.25">
      <c r="A6718" s="8" t="str">
        <f>"ASME 2013 Heat Transfer Summer Conf. Collocated with the ASME 2013 7th Int. Conf. on Energy Sustainability and the ASME 2013 11th Int. Conf. on Fuel Cell Science, Engineering and Technology, HT 2013"</f>
        <v>ASME 2013 Heat Transfer Summer Conf. Collocated with the ASME 2013 7th Int. Conf. on Energy Sustainability and the ASME 2013 11th Int. Conf. on Fuel Cell Science, Engineering and Technology, HT 2013</v>
      </c>
      <c r="B6718" s="8" t="str">
        <f>"-"</f>
        <v>-</v>
      </c>
      <c r="C6718" s="8" t="s">
        <v>73</v>
      </c>
    </row>
    <row r="6719" spans="1:3" x14ac:dyDescent="0.25">
      <c r="A6719" s="8" t="str">
        <f>"ASME 2013 India Oil and Gas Pipeline Conference, IOGPC 2013"</f>
        <v>ASME 2013 India Oil and Gas Pipeline Conference, IOGPC 2013</v>
      </c>
      <c r="B6719" s="8" t="str">
        <f>"9780791845349"</f>
        <v>9780791845349</v>
      </c>
      <c r="C6719" s="8" t="s">
        <v>73</v>
      </c>
    </row>
    <row r="6720" spans="1:3" x14ac:dyDescent="0.25">
      <c r="A6720" s="8" t="str">
        <f>"ASME 2013 International Manufacturing Science and Engineering Conference Collocated with the 41st North American Manufacturing Research Conference, MSEC 2013"</f>
        <v>ASME 2013 International Manufacturing Science and Engineering Conference Collocated with the 41st North American Manufacturing Research Conference, MSEC 2013</v>
      </c>
      <c r="B6720" s="8" t="str">
        <f>"-"</f>
        <v>-</v>
      </c>
      <c r="C6720" s="8" t="s">
        <v>73</v>
      </c>
    </row>
    <row r="6721" spans="1:3" x14ac:dyDescent="0.25">
      <c r="A6721" s="8" t="str">
        <f>"ASME 2013 International Pipeline Geotechnical Conference, IPG 2013"</f>
        <v>ASME 2013 International Pipeline Geotechnical Conference, IPG 2013</v>
      </c>
      <c r="B6721" s="8" t="str">
        <f>"9780791855775"</f>
        <v>9780791855775</v>
      </c>
      <c r="C6721" s="8" t="s">
        <v>73</v>
      </c>
    </row>
    <row r="6722" spans="1:3" x14ac:dyDescent="0.25">
      <c r="A6722" s="8" t="str">
        <f>"ASME 2013 International Technical Conference and Exhibition on Packaging and Integration of Electronic and Photonic Microsystems, InterPACK 2013"</f>
        <v>ASME 2013 International Technical Conference and Exhibition on Packaging and Integration of Electronic and Photonic Microsystems, InterPACK 2013</v>
      </c>
      <c r="B6722" s="8" t="str">
        <f>"-"</f>
        <v>-</v>
      </c>
      <c r="C6722" s="8" t="s">
        <v>73</v>
      </c>
    </row>
    <row r="6723" spans="1:3" x14ac:dyDescent="0.25">
      <c r="A6723" s="8" t="str">
        <f>"ASME 2013 Summer Bioengineering Conference, SBC 2013"</f>
        <v>ASME 2013 Summer Bioengineering Conference, SBC 2013</v>
      </c>
      <c r="B6723" s="8" t="str">
        <f>"-"</f>
        <v>-</v>
      </c>
      <c r="C6723" s="8" t="s">
        <v>73</v>
      </c>
    </row>
    <row r="6724" spans="1:3" x14ac:dyDescent="0.25">
      <c r="A6724" s="8" t="str">
        <f>"ASME 2013 Turbine Blade Tip Symposium, TBTS 2013"</f>
        <v>ASME 2013 Turbine Blade Tip Symposium, TBTS 2013</v>
      </c>
      <c r="B6724" s="8" t="str">
        <f>"9780791856079"</f>
        <v>9780791856079</v>
      </c>
      <c r="C6724" s="8" t="s">
        <v>73</v>
      </c>
    </row>
    <row r="6725" spans="1:3" x14ac:dyDescent="0.25">
      <c r="A6725" s="8" t="str">
        <f>"ASME 2014 12th Biennial Conference on Engineering Systems Design and Analysis, ESDA 2014"</f>
        <v>ASME 2014 12th Biennial Conference on Engineering Systems Design and Analysis, ESDA 2014</v>
      </c>
      <c r="B6725" s="8" t="str">
        <f>"-"</f>
        <v>-</v>
      </c>
      <c r="C6725" s="8" t="s">
        <v>1308</v>
      </c>
    </row>
    <row r="6726" spans="1:3" x14ac:dyDescent="0.25">
      <c r="A6726" s="8" t="str">
        <f>"ASME 2014 12th International Conference on Fuel Cell Science, Engineering and Technology, FUELCELL 2014 Collocated with the ASME 2014 8th International Conference on Energy Sustainability"</f>
        <v>ASME 2014 12th International Conference on Fuel Cell Science, Engineering and Technology, FUELCELL 2014 Collocated with the ASME 2014 8th International Conference on Energy Sustainability</v>
      </c>
      <c r="B6726" s="8" t="str">
        <f>"9780791845882"</f>
        <v>9780791845882</v>
      </c>
      <c r="C6726" s="8" t="s">
        <v>1308</v>
      </c>
    </row>
    <row r="6727" spans="1:3" x14ac:dyDescent="0.25">
      <c r="A6727" s="8" t="str">
        <f>"ASME 2014 12th International Conference on Nanochannels, Microchannels, and Minichannels, ICNMM 2014, Collocated with the ASME 2014 4th Joint US-European Fluids Engineering Division Summer Meeting"</f>
        <v>ASME 2014 12th International Conference on Nanochannels, Microchannels, and Minichannels, ICNMM 2014, Collocated with the ASME 2014 4th Joint US-European Fluids Engineering Division Summer Meeting</v>
      </c>
      <c r="B6727" s="8" t="str">
        <f>"9780791846278"</f>
        <v>9780791846278</v>
      </c>
      <c r="C6727" s="8" t="s">
        <v>1308</v>
      </c>
    </row>
    <row r="6728" spans="1:3" x14ac:dyDescent="0.25">
      <c r="A6728" s="8" t="str">
        <f>"ASME 2014 8th International Conference on Energy Sustainability, ES 2014 Collocated with the ASME 2014 12th International Conference on Fuel Cell Science, Engineering and Technology"</f>
        <v>ASME 2014 8th International Conference on Energy Sustainability, ES 2014 Collocated with the ASME 2014 12th International Conference on Fuel Cell Science, Engineering and Technology</v>
      </c>
      <c r="B6728" s="8" t="str">
        <f>"-"</f>
        <v>-</v>
      </c>
      <c r="C6728" s="8" t="s">
        <v>1308</v>
      </c>
    </row>
    <row r="6729" spans="1:3" x14ac:dyDescent="0.25">
      <c r="A6729" s="8" t="str">
        <f>"ASME 2014 Conference on Information Storage and Processing Systems, ISPS 2014"</f>
        <v>ASME 2014 Conference on Information Storage and Processing Systems, ISPS 2014</v>
      </c>
      <c r="B6729" s="8" t="str">
        <f>"9780791845790"</f>
        <v>9780791845790</v>
      </c>
      <c r="C6729" s="8" t="s">
        <v>1308</v>
      </c>
    </row>
    <row r="6730" spans="1:3" x14ac:dyDescent="0.25">
      <c r="A6730" s="8" t="str">
        <f>"ASME 2014 Conference on Smart Materials, Adaptive Structures and Intelligent Systems, SMASIS 2014"</f>
        <v>ASME 2014 Conference on Smart Materials, Adaptive Structures and Intelligent Systems, SMASIS 2014</v>
      </c>
      <c r="B6730" s="8" t="str">
        <f>"-"</f>
        <v>-</v>
      </c>
      <c r="C6730" s="8" t="s">
        <v>73</v>
      </c>
    </row>
    <row r="6731" spans="1:3" x14ac:dyDescent="0.25">
      <c r="A6731" s="8" t="str">
        <f>"ASME 2014 Dynamic Systems and Control Conference, DSCC 2014"</f>
        <v>ASME 2014 Dynamic Systems and Control Conference, DSCC 2014</v>
      </c>
      <c r="B6731" s="8" t="str">
        <f>"-"</f>
        <v>-</v>
      </c>
      <c r="C6731" s="8" t="s">
        <v>1308</v>
      </c>
    </row>
    <row r="6732" spans="1:3" x14ac:dyDescent="0.25">
      <c r="A6732" s="8" t="str">
        <f>"ASME 2014 Gas Turbine India Conference, GTINDIA 2014"</f>
        <v>ASME 2014 Gas Turbine India Conference, GTINDIA 2014</v>
      </c>
      <c r="B6732" s="8" t="str">
        <f>"9780791849644"</f>
        <v>9780791849644</v>
      </c>
      <c r="C6732" s="8" t="s">
        <v>1308</v>
      </c>
    </row>
    <row r="6733" spans="1:3" x14ac:dyDescent="0.25">
      <c r="A6733" s="8" t="str">
        <f>"ASME 2014 Internal Combustion Engine Division Fall Technical Conference, ICEF 2014"</f>
        <v>ASME 2014 Internal Combustion Engine Division Fall Technical Conference, ICEF 2014</v>
      </c>
      <c r="B6733" s="8" t="str">
        <f>"-"</f>
        <v>-</v>
      </c>
      <c r="C6733" s="8" t="s">
        <v>1308</v>
      </c>
    </row>
    <row r="6734" spans="1:3" x14ac:dyDescent="0.25">
      <c r="A6734" s="8" t="str">
        <f>"ASME 2014 International Manufacturing Science and Engineering Conference, MSEC 2014 Collocated with the JSME 2014 International Conference on Materials and Processing and the 42nd North American Manufacturing Research Conference"</f>
        <v>ASME 2014 International Manufacturing Science and Engineering Conference, MSEC 2014 Collocated with the JSME 2014 International Conference on Materials and Processing and the 42nd North American Manufacturing Research Conference</v>
      </c>
      <c r="B6734" s="8" t="str">
        <f>"-"</f>
        <v>-</v>
      </c>
      <c r="C6734" s="8" t="s">
        <v>1308</v>
      </c>
    </row>
    <row r="6735" spans="1:3" x14ac:dyDescent="0.25">
      <c r="A6735" s="8" t="str">
        <f>"ASME 2015 13th International Conference on Fuel Cell Science, Engineering and Technology, FUELCELL 2015, collocated with the ASME 2015 Power Conference, the ASME 2015 9th International Conference on Energy Sustainability, and the ASME 2015 Nuclear Forum"</f>
        <v>ASME 2015 13th International Conference on Fuel Cell Science, Engineering and Technology, FUELCELL 2015, collocated with the ASME 2015 Power Conference, the ASME 2015 9th International Conference on Energy Sustainability, and the ASME 2015 Nuclear Forum</v>
      </c>
      <c r="B6735" s="8" t="str">
        <f>"9780791856611"</f>
        <v>9780791856611</v>
      </c>
      <c r="C6735" s="8" t="s">
        <v>1308</v>
      </c>
    </row>
    <row r="6736" spans="1:3" x14ac:dyDescent="0.25">
      <c r="A6736" s="8" t="str">
        <f>"ASME 2015 9th International Conference on Energy Sustainability, ES 2015, collocated with the ASME 2015 Power Conference, the ASME 2015 13th International Conference on Fuel Cell Science, Engineering and Technology, and the ASME 2015 Nuclear Forum"</f>
        <v>ASME 2015 9th International Conference on Energy Sustainability, ES 2015, collocated with the ASME 2015 Power Conference, the ASME 2015 13th International Conference on Fuel Cell Science, Engineering and Technology, and the ASME 2015 Nuclear Forum</v>
      </c>
      <c r="B6736" s="8" t="str">
        <f>"-"</f>
        <v>-</v>
      </c>
      <c r="C6736" s="8" t="s">
        <v>1308</v>
      </c>
    </row>
    <row r="6737" spans="1:3" x14ac:dyDescent="0.25">
      <c r="A6737" s="8" t="str">
        <f>"ASME 2015 India International Oil and Gas Pipeline Conference, IOGPC 2015"</f>
        <v>ASME 2015 India International Oil and Gas Pipeline Conference, IOGPC 2015</v>
      </c>
      <c r="B6737" s="8" t="str">
        <f>"9780791856468"</f>
        <v>9780791856468</v>
      </c>
      <c r="C6737" s="8" t="s">
        <v>1308</v>
      </c>
    </row>
    <row r="6738" spans="1:3" x14ac:dyDescent="0.25">
      <c r="A6738" s="8" t="str">
        <f>"ASME 2015 International Manufacturing Science and Engineering Conference, MSEC 2015"</f>
        <v>ASME 2015 International Manufacturing Science and Engineering Conference, MSEC 2015</v>
      </c>
      <c r="B6738" s="8" t="str">
        <f>"-"</f>
        <v>-</v>
      </c>
      <c r="C6738" s="8" t="s">
        <v>1308</v>
      </c>
    </row>
    <row r="6739" spans="1:3" x14ac:dyDescent="0.25">
      <c r="A6739" s="8" t="str">
        <f>"ASME 2015 Nuclear Forum, NUCLRF 2015, collocated with the ASME 2015 Power Conference, the ASME 2015 9th International Conference on Energy Sustainability, and the ASME 2015 13th International Conference on Fuel Cell Science, Engineering and Technology"</f>
        <v>ASME 2015 Nuclear Forum, NUCLRF 2015, collocated with the ASME 2015 Power Conference, the ASME 2015 9th International Conference on Energy Sustainability, and the ASME 2015 13th International Conference on Fuel Cell Science, Engineering and Technology</v>
      </c>
      <c r="B6739" s="8" t="str">
        <f>"9780791856864"</f>
        <v>9780791856864</v>
      </c>
      <c r="C6739" s="8" t="s">
        <v>1308</v>
      </c>
    </row>
    <row r="6740" spans="1:3" x14ac:dyDescent="0.25">
      <c r="A6740" s="8" t="str">
        <f>"ASME/BATH 2013 Symposium on Fluid Power and Motion Control, FPMC 2013"</f>
        <v>ASME/BATH 2013 Symposium on Fluid Power and Motion Control, FPMC 2013</v>
      </c>
      <c r="B6740" s="8" t="str">
        <f>"9780791856086"</f>
        <v>9780791856086</v>
      </c>
      <c r="C6740" s="8" t="s">
        <v>73</v>
      </c>
    </row>
    <row r="6741" spans="1:3" x14ac:dyDescent="0.25">
      <c r="A6741" s="8" t="str">
        <f>"ASME/BATH 2014 Symposium on Fluid Power and Motion Control, FPMC 2014"</f>
        <v>ASME/BATH 2014 Symposium on Fluid Power and Motion Control, FPMC 2014</v>
      </c>
      <c r="B6741" s="8" t="str">
        <f>"9780791845974"</f>
        <v>9780791845974</v>
      </c>
      <c r="C6741" s="8" t="s">
        <v>1308</v>
      </c>
    </row>
    <row r="6742" spans="1:3" x14ac:dyDescent="0.25">
      <c r="A6742" s="8" t="str">
        <f>"ASME/IEEE 2002 Joint Rail Conference, RTD 2002"</f>
        <v>ASME/IEEE 2002 Joint Rail Conference, RTD 2002</v>
      </c>
      <c r="B6742" s="8" t="str">
        <f>"9780791835937"</f>
        <v>9780791835937</v>
      </c>
      <c r="C6742" s="8" t="s">
        <v>73</v>
      </c>
    </row>
    <row r="6743" spans="1:3" x14ac:dyDescent="0.25">
      <c r="A6743" s="8" t="str">
        <f>"ASME/IEEE 2006 Joint Rail Conference, JRC2006"</f>
        <v>ASME/IEEE 2006 Joint Rail Conference, JRC2006</v>
      </c>
      <c r="B6743" s="8" t="str">
        <f>"9780791842034"</f>
        <v>9780791842034</v>
      </c>
      <c r="C6743" s="8" t="s">
        <v>1308</v>
      </c>
    </row>
    <row r="6744" spans="1:3" x14ac:dyDescent="0.25">
      <c r="A6744" s="8" t="str">
        <f>"ASME/ISCIE 2012 International Symposium on Flexible Automation, ISFA 2012"</f>
        <v>ASME/ISCIE 2012 International Symposium on Flexible Automation, ISFA 2012</v>
      </c>
      <c r="B6744" s="8" t="str">
        <f>"9780791845110"</f>
        <v>9780791845110</v>
      </c>
      <c r="C6744" s="8" t="s">
        <v>73</v>
      </c>
    </row>
    <row r="6745" spans="1:3" x14ac:dyDescent="0.25">
      <c r="A6745" s="8" t="str">
        <f>"ASME/JSME 2011 8th Thermal Engineering Joint Conference, AJTEC 2011"</f>
        <v>ASME/JSME 2011 8th Thermal Engineering Joint Conference, AJTEC 2011</v>
      </c>
      <c r="B6745" s="8" t="str">
        <f>"9780791838921"</f>
        <v>9780791838921</v>
      </c>
      <c r="C6745" s="8" t="s">
        <v>1308</v>
      </c>
    </row>
    <row r="6746" spans="1:3" x14ac:dyDescent="0.25">
      <c r="A6746" s="8" t="str">
        <f>"ASME-JSME-KSME 2011 Joint Fluids Engineering Conference, AJK 2011"</f>
        <v>ASME-JSME-KSME 2011 Joint Fluids Engineering Conference, AJK 2011</v>
      </c>
      <c r="B6746" s="8" t="str">
        <f>"-"</f>
        <v>-</v>
      </c>
      <c r="C6746" s="8" t="s">
        <v>73</v>
      </c>
    </row>
    <row r="6747" spans="1:3" x14ac:dyDescent="0.25">
      <c r="A6747" s="8" t="str">
        <f>"ASMS/SPSC 2010: 2010 5th Advanced Satellite Multimedia Systems Conference and the 11th Signal Processing for Space Communications Workshop"</f>
        <v>ASMS/SPSC 2010: 2010 5th Advanced Satellite Multimedia Systems Conference and the 11th Signal Processing for Space Communications Workshop</v>
      </c>
      <c r="B6747" s="8" t="str">
        <f>"9781424468331"</f>
        <v>9781424468331</v>
      </c>
      <c r="C6747" s="8" t="s">
        <v>9</v>
      </c>
    </row>
    <row r="6748" spans="1:3" x14ac:dyDescent="0.25">
      <c r="A6748" s="8" t="str">
        <f>"ASONAM 2014 - Proceedings of the 2014 IEEE/ACM International Conference on Advances in Social Networks Analysis and Mining"</f>
        <v>ASONAM 2014 - Proceedings of the 2014 IEEE/ACM International Conference on Advances in Social Networks Analysis and Mining</v>
      </c>
      <c r="B6748" s="8" t="str">
        <f>"9781479958771"</f>
        <v>9781479958771</v>
      </c>
      <c r="C6748" s="8" t="s">
        <v>105</v>
      </c>
    </row>
    <row r="6749" spans="1:3" x14ac:dyDescent="0.25">
      <c r="A6749" s="8" t="str">
        <f>"ASPACC 2015 - 10th Asia-Pacific Conference on Combustion"</f>
        <v>ASPACC 2015 - 10th Asia-Pacific Conference on Combustion</v>
      </c>
      <c r="B6749" s="8" t="str">
        <f>"-"</f>
        <v>-</v>
      </c>
      <c r="C6749" s="8" t="s">
        <v>263</v>
      </c>
    </row>
    <row r="6750" spans="1:3" x14ac:dyDescent="0.25">
      <c r="A6750" s="8" t="str">
        <f>"Assessment of Performance of Vital Long-Span Bridges in the United States"</f>
        <v>Assessment of Performance of Vital Long-Span Bridges in the United States</v>
      </c>
      <c r="B6750" s="8" t="str">
        <f>"9780784407103"</f>
        <v>9780784407103</v>
      </c>
      <c r="C6750" s="8" t="s">
        <v>111</v>
      </c>
    </row>
    <row r="6751" spans="1:3" x14ac:dyDescent="0.25">
      <c r="A6751" s="8" t="str">
        <f>"Assessment, Upgrading and Refurbishment of Infrastructures"</f>
        <v>Assessment, Upgrading and Refurbishment of Infrastructures</v>
      </c>
      <c r="B6751" s="8" t="str">
        <f>"9783857481239"</f>
        <v>9783857481239</v>
      </c>
      <c r="C6751" s="8" t="s">
        <v>1686</v>
      </c>
    </row>
    <row r="6752" spans="1:3" x14ac:dyDescent="0.25">
      <c r="A6752" s="8" t="str">
        <f>"ASSETS 2004 - The Sixth International ACM SIGACCESS Conference on Computers and Accessibility"</f>
        <v>ASSETS 2004 - The Sixth International ACM SIGACCESS Conference on Computers and Accessibility</v>
      </c>
      <c r="B6752" s="8" t="str">
        <f>"9781581139112"</f>
        <v>9781581139112</v>
      </c>
      <c r="C6752" s="8" t="s">
        <v>21</v>
      </c>
    </row>
    <row r="6753" spans="1:3" x14ac:dyDescent="0.25">
      <c r="A6753" s="8" t="str">
        <f>"ASSETS 2005 - The Seventh International ACM SIGACCESS Conference on Computers and Accessibility"</f>
        <v>ASSETS 2005 - The Seventh International ACM SIGACCESS Conference on Computers and Accessibility</v>
      </c>
      <c r="B6753" s="8" t="str">
        <f>"9781595931597"</f>
        <v>9781595931597</v>
      </c>
      <c r="C6753" s="8" t="s">
        <v>21</v>
      </c>
    </row>
    <row r="6754" spans="1:3" x14ac:dyDescent="0.25">
      <c r="A6754" s="8" t="str">
        <f>"ASSETS'07: Proceedings of the Ninth International ACM SIGACCESS Conference on Computers and Accessibility"</f>
        <v>ASSETS'07: Proceedings of the Ninth International ACM SIGACCESS Conference on Computers and Accessibility</v>
      </c>
      <c r="B6754" s="8" t="str">
        <f>"9781595935731"</f>
        <v>9781595935731</v>
      </c>
      <c r="C6754" s="8" t="s">
        <v>21</v>
      </c>
    </row>
    <row r="6755" spans="1:3" x14ac:dyDescent="0.25">
      <c r="A6755" s="8" t="str">
        <f>"ASSETS'08: The 10th International ACM SIGACCESS Conference on Computers and Accessibility"</f>
        <v>ASSETS'08: The 10th International ACM SIGACCESS Conference on Computers and Accessibility</v>
      </c>
      <c r="B6755" s="8" t="str">
        <f>"9781595939760"</f>
        <v>9781595939760</v>
      </c>
      <c r="C6755" s="8" t="s">
        <v>21</v>
      </c>
    </row>
    <row r="6756" spans="1:3" x14ac:dyDescent="0.25">
      <c r="A6756" s="8" t="str">
        <f>"ASSETS'09 - Proceedings of the 11th International ACM SIGACCESS Conference on Computers and Accessibility"</f>
        <v>ASSETS'09 - Proceedings of the 11th International ACM SIGACCESS Conference on Computers and Accessibility</v>
      </c>
      <c r="B6756" s="8" t="str">
        <f>"9781605588193"</f>
        <v>9781605588193</v>
      </c>
      <c r="C6756" s="8" t="s">
        <v>21</v>
      </c>
    </row>
    <row r="6757" spans="1:3" x14ac:dyDescent="0.25">
      <c r="A6757" s="8" t="str">
        <f>"ASSETS'10 - Proceedings of the 12th International ACM SIGACCESS Conference on Computers and Accessibility"</f>
        <v>ASSETS'10 - Proceedings of the 12th International ACM SIGACCESS Conference on Computers and Accessibility</v>
      </c>
      <c r="B6757" s="8" t="str">
        <f>"9781605588810"</f>
        <v>9781605588810</v>
      </c>
      <c r="C6757" s="8" t="s">
        <v>21</v>
      </c>
    </row>
    <row r="6758" spans="1:3" x14ac:dyDescent="0.25">
      <c r="A6758" s="8" t="str">
        <f>"ASSETS'11: Proceedings of the 13th International ACM SIGACCESS Conference on Computers and Accessibility"</f>
        <v>ASSETS'11: Proceedings of the 13th International ACM SIGACCESS Conference on Computers and Accessibility</v>
      </c>
      <c r="B6758" s="8" t="str">
        <f>"9781450309196"</f>
        <v>9781450309196</v>
      </c>
      <c r="C6758" s="8" t="s">
        <v>21</v>
      </c>
    </row>
    <row r="6759" spans="1:3" x14ac:dyDescent="0.25">
      <c r="A6759" s="8" t="str">
        <f>"ASSETS'12 - Proceedings of the 14th International ACM SIGACCESS Conference on Computers and Accessibility"</f>
        <v>ASSETS'12 - Proceedings of the 14th International ACM SIGACCESS Conference on Computers and Accessibility</v>
      </c>
      <c r="B6759" s="8" t="str">
        <f>"9781450313216"</f>
        <v>9781450313216</v>
      </c>
      <c r="C6759" s="8" t="s">
        <v>21</v>
      </c>
    </row>
    <row r="6760" spans="1:3" x14ac:dyDescent="0.25">
      <c r="A6760" s="8" t="str">
        <f>"ASSETS14 - Proceedings of the 16th International ACM SIGACCESS Conference on Computers and Accessibility"</f>
        <v>ASSETS14 - Proceedings of the 16th International ACM SIGACCESS Conference on Computers and Accessibility</v>
      </c>
      <c r="B6760" s="8" t="str">
        <f>"9781450327206"</f>
        <v>9781450327206</v>
      </c>
      <c r="C6760" s="8" t="s">
        <v>1235</v>
      </c>
    </row>
    <row r="6761" spans="1:3" x14ac:dyDescent="0.25">
      <c r="A6761" s="8" t="str">
        <f>"Association for Environmental Health and Sciences - 21st Annual International Conference on Contaminated Soils, Sediments and Water 2005"</f>
        <v>Association for Environmental Health and Sciences - 21st Annual International Conference on Contaminated Soils, Sediments and Water 2005</v>
      </c>
      <c r="B6761" s="8" t="str">
        <f>"9781604239522"</f>
        <v>9781604239522</v>
      </c>
      <c r="C6761" s="8" t="s">
        <v>394</v>
      </c>
    </row>
    <row r="6762" spans="1:3" x14ac:dyDescent="0.25">
      <c r="A6762" s="8" t="str">
        <f>"Association for Environmental Health and Sciences - 22nd Annual International Conference on Contaminated Soils, Sediments and Water 2006"</f>
        <v>Association for Environmental Health and Sciences - 22nd Annual International Conference on Contaminated Soils, Sediments and Water 2006</v>
      </c>
      <c r="B6762" s="8" t="str">
        <f>"9781604239515"</f>
        <v>9781604239515</v>
      </c>
    </row>
    <row r="6763" spans="1:3" x14ac:dyDescent="0.25">
      <c r="A6763" s="8" t="str">
        <f>"Association for Environmental Health and Sciences - 23rd Annual International Conference on Soils, Sediments and Water 2007"</f>
        <v>Association for Environmental Health and Sciences - 23rd Annual International Conference on Soils, Sediments and Water 2007</v>
      </c>
      <c r="B6763" s="8" t="str">
        <f>"9781605606255"</f>
        <v>9781605606255</v>
      </c>
      <c r="C6763" s="8" t="s">
        <v>1687</v>
      </c>
    </row>
    <row r="6764" spans="1:3" x14ac:dyDescent="0.25">
      <c r="A6764" s="8" t="str">
        <f>"Association for Information Systems - 11th Americas Conference on Information Systems, AMCIS 2005: A Conference on a Human Scale"</f>
        <v>Association for Information Systems - 11th Americas Conference on Information Systems, AMCIS 2005: A Conference on a Human Scale</v>
      </c>
      <c r="B6764" s="8" t="str">
        <f>"9781604235531"</f>
        <v>9781604235531</v>
      </c>
      <c r="C6764" s="8" t="s">
        <v>1262</v>
      </c>
    </row>
    <row r="6765" spans="1:3" x14ac:dyDescent="0.25">
      <c r="A6765" s="8" t="str">
        <f>"Association for Information Systems - 12th Americas Conference On Information Systems, AMCIS 2006"</f>
        <v>Association for Information Systems - 12th Americas Conference On Information Systems, AMCIS 2006</v>
      </c>
      <c r="B6765" s="8" t="str">
        <f>"9781604236262"</f>
        <v>9781604236262</v>
      </c>
      <c r="C6765" s="8" t="s">
        <v>1262</v>
      </c>
    </row>
    <row r="6766" spans="1:3" x14ac:dyDescent="0.25">
      <c r="A6766" s="8" t="str">
        <f>"Association for Information Systems - 13th Americas Conference on Information Systems, AMCIS 2007: Reaching New Heights"</f>
        <v>Association for Information Systems - 13th Americas Conference on Information Systems, AMCIS 2007: Reaching New Heights</v>
      </c>
      <c r="B6766" s="8" t="str">
        <f>"9781604233810"</f>
        <v>9781604233810</v>
      </c>
      <c r="C6766" s="8" t="s">
        <v>1262</v>
      </c>
    </row>
    <row r="6767" spans="1:3" x14ac:dyDescent="0.25">
      <c r="A6767" s="8" t="str">
        <f>"Association for Information Systems - 26th International Conference on Information Systems, ICIS 2005: Forever New Frontiers"</f>
        <v>Association for Information Systems - 26th International Conference on Information Systems, ICIS 2005: Forever New Frontiers</v>
      </c>
      <c r="B6767" s="8" t="str">
        <f>"-"</f>
        <v>-</v>
      </c>
      <c r="C6767" s="8" t="s">
        <v>1262</v>
      </c>
    </row>
    <row r="6768" spans="1:3" x14ac:dyDescent="0.25">
      <c r="A6768" s="8" t="str">
        <f>"Association for Unmanned Vehicle Systems International - Unmanned Systems North America Conference 2007"</f>
        <v>Association for Unmanned Vehicle Systems International - Unmanned Systems North America Conference 2007</v>
      </c>
      <c r="B6768" s="8" t="str">
        <f>"9781605604572"</f>
        <v>9781605604572</v>
      </c>
      <c r="C6768" s="8" t="s">
        <v>1688</v>
      </c>
    </row>
    <row r="6769" spans="1:3" x14ac:dyDescent="0.25">
      <c r="A6769" s="8" t="str">
        <f>"Association of Dam Safety Officials - Dam Safety 2008"</f>
        <v>Association of Dam Safety Officials - Dam Safety 2008</v>
      </c>
      <c r="B6769" s="8" t="str">
        <f>"9781605605029"</f>
        <v>9781605605029</v>
      </c>
      <c r="C6769" s="8" t="s">
        <v>1403</v>
      </c>
    </row>
    <row r="6770" spans="1:3" x14ac:dyDescent="0.25">
      <c r="A6770" s="8" t="str">
        <f>"Association of Industrial Metallizers, Coaters and Laminators - Fall Technical Conf. of the Association of Industrial Metallizers, Coaters and Laminators 2007 and 21st Int. Vacuum Web Coating Conf."</f>
        <v>Association of Industrial Metallizers, Coaters and Laminators - Fall Technical Conf. of the Association of Industrial Metallizers, Coaters and Laminators 2007 and 21st Int. Vacuum Web Coating Conf.</v>
      </c>
      <c r="B6770" s="8" t="str">
        <f>"9781605600703"</f>
        <v>9781605600703</v>
      </c>
      <c r="C6770" s="8" t="s">
        <v>1689</v>
      </c>
    </row>
    <row r="6771" spans="1:3" x14ac:dyDescent="0.25">
      <c r="A6771" s="8" t="str">
        <f>"Association of Industrial Metallizers, Coaters and Laminators - Fall Technical Conference and 20th International Vacuum Web Coating Conference 2006"</f>
        <v>Association of Industrial Metallizers, Coaters and Laminators - Fall Technical Conference and 20th International Vacuum Web Coating Conference 2006</v>
      </c>
      <c r="B6771" s="8" t="str">
        <f>"9781604237269"</f>
        <v>9781604237269</v>
      </c>
      <c r="C6771" s="8" t="s">
        <v>1689</v>
      </c>
    </row>
    <row r="6772" spans="1:3" x14ac:dyDescent="0.25">
      <c r="A6772" s="8" t="str">
        <f>"Association of Industrial Metallizers, Coaters and Laminators Fall Technical Conference and 22nd International Vacuum Web Coating Conference 2008"</f>
        <v>Association of Industrial Metallizers, Coaters and Laminators Fall Technical Conference and 22nd International Vacuum Web Coating Conference 2008</v>
      </c>
      <c r="B6772" s="8" t="str">
        <f>"9781605607962"</f>
        <v>9781605607962</v>
      </c>
      <c r="C6772" s="8" t="s">
        <v>1689</v>
      </c>
    </row>
    <row r="6773" spans="1:3" x14ac:dyDescent="0.25">
      <c r="A6773" s="8" t="str">
        <f>"Association of Industrial Metallizers, Coaters and Laminators Fall Technical Conference and 23rd International Vacuum Web Coating Conference 2009"</f>
        <v>Association of Industrial Metallizers, Coaters and Laminators Fall Technical Conference and 23rd International Vacuum Web Coating Conference 2009</v>
      </c>
      <c r="B6773" s="8" t="str">
        <f>"9781615676620"</f>
        <v>9781615676620</v>
      </c>
      <c r="C6773" s="8" t="s">
        <v>1689</v>
      </c>
    </row>
    <row r="6774" spans="1:3" x14ac:dyDescent="0.25">
      <c r="A6774" s="8" t="str">
        <f>"Association of Industrial Metallizers, Coaters and Laminators Fall Technical Conference and 24th International Vacuum Web Coating Conference 2010"</f>
        <v>Association of Industrial Metallizers, Coaters and Laminators Fall Technical Conference and 24th International Vacuum Web Coating Conference 2010</v>
      </c>
      <c r="B6774" s="8" t="str">
        <f>"9781617820236"</f>
        <v>9781617820236</v>
      </c>
      <c r="C6774" s="8" t="s">
        <v>1689</v>
      </c>
    </row>
    <row r="6775" spans="1:3" x14ac:dyDescent="0.25">
      <c r="A6775" s="8" t="str">
        <f>"Association of Industrial Metallizers, Coaters and Laminators Fall Technical Conference and 25th International Vacuum Web Coating Conference 2011"</f>
        <v>Association of Industrial Metallizers, Coaters and Laminators Fall Technical Conference and 25th International Vacuum Web Coating Conference 2011</v>
      </c>
      <c r="B6775" s="8" t="str">
        <f>"9781618393364"</f>
        <v>9781618393364</v>
      </c>
      <c r="C6775" s="8" t="s">
        <v>1689</v>
      </c>
    </row>
    <row r="6776" spans="1:3" x14ac:dyDescent="0.25">
      <c r="A6776" s="8" t="str">
        <f>"Association of Researchers in Construction Management, ARCOM 2005 - Proceedings of the 21st Annual Conference"</f>
        <v>Association of Researchers in Construction Management, ARCOM 2005 - Proceedings of the 21st Annual Conference</v>
      </c>
      <c r="B6776" s="8" t="str">
        <f>"9780902896932"</f>
        <v>9780902896932</v>
      </c>
      <c r="C6776" s="8" t="s">
        <v>1690</v>
      </c>
    </row>
    <row r="6777" spans="1:3" x14ac:dyDescent="0.25">
      <c r="A6777" s="8" t="str">
        <f>"Association of Researchers in Construction Management, ARCOM 2006 - Procs 22nd Annual ARCOM Conference"</f>
        <v>Association of Researchers in Construction Management, ARCOM 2006 - Procs 22nd Annual ARCOM Conference</v>
      </c>
      <c r="B6777" s="8" t="str">
        <f>"9780955239007"</f>
        <v>9780955239007</v>
      </c>
      <c r="C6777" s="8" t="s">
        <v>1690</v>
      </c>
    </row>
    <row r="6778" spans="1:3" x14ac:dyDescent="0.25">
      <c r="A6778" s="8" t="str">
        <f>"Association of Researchers in Construction Management, ARCOM 2007 - Proceedings of the 23rd Annual Conference"</f>
        <v>Association of Researchers in Construction Management, ARCOM 2007 - Proceedings of the 23rd Annual Conference</v>
      </c>
      <c r="B6778" s="8" t="str">
        <f>"9780955239007"</f>
        <v>9780955239007</v>
      </c>
      <c r="C6778" s="8" t="s">
        <v>1690</v>
      </c>
    </row>
    <row r="6779" spans="1:3" x14ac:dyDescent="0.25">
      <c r="A6779" s="8" t="str">
        <f>"Association of Researchers in Construction Management, ARCOM 2008 - Proceedings of the 24th Annual Conference"</f>
        <v>Association of Researchers in Construction Management, ARCOM 2008 - Proceedings of the 24th Annual Conference</v>
      </c>
      <c r="B6779" s="8" t="str">
        <f>"9780955239014"</f>
        <v>9780955239014</v>
      </c>
      <c r="C6779" s="8" t="s">
        <v>1690</v>
      </c>
    </row>
    <row r="6780" spans="1:3" x14ac:dyDescent="0.25">
      <c r="A6780" s="8" t="str">
        <f>"Association of Researchers in Construction Management, ARCOM 2009 - Proceedings of the 25th Annual Conference"</f>
        <v>Association of Researchers in Construction Management, ARCOM 2009 - Proceedings of the 25th Annual Conference</v>
      </c>
      <c r="B6780" s="8" t="str">
        <f>"9780955239014"</f>
        <v>9780955239014</v>
      </c>
      <c r="C6780" s="8" t="s">
        <v>1690</v>
      </c>
    </row>
    <row r="6781" spans="1:3" x14ac:dyDescent="0.25">
      <c r="A6781" s="8" t="str">
        <f>"Association of Researchers in Construction Management, ARCOM 2010 - Proceedings of the 26th Annual Conference"</f>
        <v>Association of Researchers in Construction Management, ARCOM 2010 - Proceedings of the 26th Annual Conference</v>
      </c>
      <c r="B6781" s="8" t="str">
        <f>"9780955239045"</f>
        <v>9780955239045</v>
      </c>
      <c r="C6781" s="8" t="s">
        <v>1690</v>
      </c>
    </row>
    <row r="6782" spans="1:3" x14ac:dyDescent="0.25">
      <c r="A6782" s="8" t="str">
        <f>"Association of Researchers in Construction Management, ARCOM 2011 - Proceedings of the 27th Annual Conference"</f>
        <v>Association of Researchers in Construction Management, ARCOM 2011 - Proceedings of the 27th Annual Conference</v>
      </c>
      <c r="B6782" s="8" t="str">
        <f>"9780955239052"</f>
        <v>9780955239052</v>
      </c>
      <c r="C6782" s="8" t="s">
        <v>1690</v>
      </c>
    </row>
    <row r="6783" spans="1:3" x14ac:dyDescent="0.25">
      <c r="A6783" s="8" t="str">
        <f>"Association of Researchers in Construction Management, ARCOM 2012 - Proceedings of the 28th Annual Conference"</f>
        <v>Association of Researchers in Construction Management, ARCOM 2012 - Proceedings of the 28th Annual Conference</v>
      </c>
      <c r="B6783" s="8" t="str">
        <f t="shared" ref="B6783:B6789" si="15">"-"</f>
        <v>-</v>
      </c>
      <c r="C6783" s="8" t="s">
        <v>1690</v>
      </c>
    </row>
    <row r="6784" spans="1:3" x14ac:dyDescent="0.25">
      <c r="A6784" s="8" t="str">
        <f>"Association of State Dam Safety Officials - 2009 Dam Safety"</f>
        <v>Association of State Dam Safety Officials - 2009 Dam Safety</v>
      </c>
      <c r="B6784" s="8" t="str">
        <f t="shared" si="15"/>
        <v>-</v>
      </c>
      <c r="C6784" s="8" t="s">
        <v>1403</v>
      </c>
    </row>
    <row r="6785" spans="1:3" x14ac:dyDescent="0.25">
      <c r="A6785" s="8" t="str">
        <f>"Association of State Dam Safety Officials - Dam Safety 2006, Proceedings from the 2006 Annual Conference"</f>
        <v>Association of State Dam Safety Officials - Dam Safety 2006, Proceedings from the 2006 Annual Conference</v>
      </c>
      <c r="B6785" s="8" t="str">
        <f t="shared" si="15"/>
        <v>-</v>
      </c>
      <c r="C6785" s="8" t="s">
        <v>1403</v>
      </c>
    </row>
    <row r="6786" spans="1:3" x14ac:dyDescent="0.25">
      <c r="A6786" s="8" t="str">
        <f>"Association of State Dam Safety Officials - Dam Safety 2007"</f>
        <v>Association of State Dam Safety Officials - Dam Safety 2007</v>
      </c>
      <c r="B6786" s="8" t="str">
        <f t="shared" si="15"/>
        <v>-</v>
      </c>
      <c r="C6786" s="8" t="s">
        <v>1403</v>
      </c>
    </row>
    <row r="6787" spans="1:3" x14ac:dyDescent="0.25">
      <c r="A6787" s="8" t="str">
        <f>"Association of State Dam Safety Officials - Dam Safety 2010 Proceedings"</f>
        <v>Association of State Dam Safety Officials - Dam Safety 2010 Proceedings</v>
      </c>
      <c r="B6787" s="8" t="str">
        <f t="shared" si="15"/>
        <v>-</v>
      </c>
      <c r="C6787" s="8" t="s">
        <v>1403</v>
      </c>
    </row>
    <row r="6788" spans="1:3" x14ac:dyDescent="0.25">
      <c r="A6788" s="8" t="str">
        <f>"Association of State Dam Safety Officials - Dam Safety 2011"</f>
        <v>Association of State Dam Safety Officials - Dam Safety 2011</v>
      </c>
      <c r="B6788" s="8" t="str">
        <f t="shared" si="15"/>
        <v>-</v>
      </c>
      <c r="C6788" s="8" t="s">
        <v>1403</v>
      </c>
    </row>
    <row r="6789" spans="1:3" x14ac:dyDescent="0.25">
      <c r="A6789" s="8" t="str">
        <f>"Association of State Dam Safety Officials - Dam Safety 2012"</f>
        <v>Association of State Dam Safety Officials - Dam Safety 2012</v>
      </c>
      <c r="B6789" s="8" t="str">
        <f t="shared" si="15"/>
        <v>-</v>
      </c>
      <c r="C6789" s="8" t="s">
        <v>1403</v>
      </c>
    </row>
    <row r="6790" spans="1:3" x14ac:dyDescent="0.25">
      <c r="A6790" s="8" t="str">
        <f>"Association of State Dam Safety Officials Annual Conference 2005, Dam Safety 2005"</f>
        <v>Association of State Dam Safety Officials Annual Conference 2005, Dam Safety 2005</v>
      </c>
      <c r="B6790" s="8" t="str">
        <f>"9781627481892"</f>
        <v>9781627481892</v>
      </c>
      <c r="C6790" s="8" t="s">
        <v>690</v>
      </c>
    </row>
    <row r="6791" spans="1:3" x14ac:dyDescent="0.25">
      <c r="A6791" s="8" t="str">
        <f>"Association of State Dam Safety Officials Annual Conference 2009, Dam Safety 2009"</f>
        <v>Association of State Dam Safety Officials Annual Conference 2009, Dam Safety 2009</v>
      </c>
      <c r="B6791" s="8" t="str">
        <f>"9781615675791"</f>
        <v>9781615675791</v>
      </c>
      <c r="C6791" s="8" t="s">
        <v>690</v>
      </c>
    </row>
    <row r="6792" spans="1:3" x14ac:dyDescent="0.25">
      <c r="A6792" s="8" t="str">
        <f>"Association of State Dam Safety Officials Annual Conference 2010, Dam Safety 2010"</f>
        <v>Association of State Dam Safety Officials Annual Conference 2010, Dam Safety 2010</v>
      </c>
      <c r="B6792" s="8" t="str">
        <f>"9781617829796"</f>
        <v>9781617829796</v>
      </c>
      <c r="C6792" s="8" t="s">
        <v>690</v>
      </c>
    </row>
    <row r="6793" spans="1:3" x14ac:dyDescent="0.25">
      <c r="A6793" s="8" t="str">
        <f>"Association of State Dam Safety Officials Annual Conference 2011, Dam Safety 2011"</f>
        <v>Association of State Dam Safety Officials Annual Conference 2011, Dam Safety 2011</v>
      </c>
      <c r="B6793" s="8" t="str">
        <f>"9781618392091"</f>
        <v>9781618392091</v>
      </c>
      <c r="C6793" s="8" t="s">
        <v>690</v>
      </c>
    </row>
    <row r="6794" spans="1:3" x14ac:dyDescent="0.25">
      <c r="A6794" s="8" t="str">
        <f>"Association of State Dam Safety Officials Annual Conference 2012, Dam Safety 2012"</f>
        <v>Association of State Dam Safety Officials Annual Conference 2012, Dam Safety 2012</v>
      </c>
      <c r="B6794" s="8" t="str">
        <f>"9781622766062"</f>
        <v>9781622766062</v>
      </c>
      <c r="C6794" s="8" t="s">
        <v>690</v>
      </c>
    </row>
    <row r="6795" spans="1:3" x14ac:dyDescent="0.25">
      <c r="A6795" s="8" t="str">
        <f>"Association of State Dam Safety Officials Annual Conference 2013, Dam Safety 2013"</f>
        <v>Association of State Dam Safety Officials Annual Conference 2013, Dam Safety 2013</v>
      </c>
      <c r="B6795" s="8" t="str">
        <f>"9781629931470"</f>
        <v>9781629931470</v>
      </c>
      <c r="C6795" s="8" t="s">
        <v>690</v>
      </c>
    </row>
    <row r="6796" spans="1:3" x14ac:dyDescent="0.25">
      <c r="A6796" s="8" t="str">
        <f>"Association of State Dam Safety Officials Annual Conference 2014, Dam Safety 2014"</f>
        <v>Association of State Dam Safety Officials Annual Conference 2014, Dam Safety 2014</v>
      </c>
      <c r="B6796" s="8" t="str">
        <f>"-"</f>
        <v>-</v>
      </c>
      <c r="C6796" s="8" t="s">
        <v>690</v>
      </c>
    </row>
    <row r="6797" spans="1:3" x14ac:dyDescent="0.25">
      <c r="A6797" s="8" t="str">
        <f>"Astrodynamics Specialist Conference"</f>
        <v>Astrodynamics Specialist Conference</v>
      </c>
      <c r="B6797" s="8" t="str">
        <f>"-"</f>
        <v>-</v>
      </c>
      <c r="C6797" s="8" t="s">
        <v>104</v>
      </c>
    </row>
    <row r="6798" spans="1:3" x14ac:dyDescent="0.25">
      <c r="A6798" s="8" t="str">
        <f>"Astro-HPC '12 - Workshop on High-Performance Computing for Astronomy"</f>
        <v>Astro-HPC '12 - Workshop on High-Performance Computing for Astronomy</v>
      </c>
      <c r="B6798" s="8" t="str">
        <f>"9781450313384"</f>
        <v>9781450313384</v>
      </c>
      <c r="C6798" s="8" t="s">
        <v>21</v>
      </c>
    </row>
    <row r="6799" spans="1:3" x14ac:dyDescent="0.25">
      <c r="A6799" s="8" t="str">
        <f>"Astroparticle, Particle and Space Physics, Detectors and Medical Physics Applications - Proceedings of the 10th Conference"</f>
        <v>Astroparticle, Particle and Space Physics, Detectors and Medical Physics Applications - Proceedings of the 10th Conference</v>
      </c>
      <c r="B6799" s="8" t="str">
        <f>"9789812819086"</f>
        <v>9789812819086</v>
      </c>
      <c r="C6799" s="8" t="s">
        <v>157</v>
      </c>
    </row>
    <row r="6800" spans="1:3" x14ac:dyDescent="0.25">
      <c r="A6800" s="8" t="str">
        <f>"Astroparticle, Particle and Space Physics, Detectors and Medical Physics Applications - Proceedings of the 11th Conference"</f>
        <v>Astroparticle, Particle and Space Physics, Detectors and Medical Physics Applications - Proceedings of the 11th Conference</v>
      </c>
      <c r="B6800" s="8" t="str">
        <f>"9789814307512"</f>
        <v>9789814307512</v>
      </c>
      <c r="C6800" s="8" t="s">
        <v>157</v>
      </c>
    </row>
    <row r="6801" spans="1:3" x14ac:dyDescent="0.25">
      <c r="A6801" s="8" t="str">
        <f>"Astroparticle, Particle and Space Physics, Detectors and Medical Physics Applications - Proceedings of the 9th Conference"</f>
        <v>Astroparticle, Particle and Space Physics, Detectors and Medical Physics Applications - Proceedings of the 9th Conference</v>
      </c>
      <c r="B6801" s="8" t="str">
        <f>"9789812567987"</f>
        <v>9789812567987</v>
      </c>
      <c r="C6801" s="8" t="s">
        <v>157</v>
      </c>
    </row>
    <row r="6802" spans="1:3" x14ac:dyDescent="0.25">
      <c r="A6802" s="8" t="str">
        <f>"Astroparticle, Particle, Space Physics and Detectors for Physics Applications - Proceedings of the 13th ICATPP Conference"</f>
        <v>Astroparticle, Particle, Space Physics and Detectors for Physics Applications - Proceedings of the 13th ICATPP Conference</v>
      </c>
      <c r="B6802" s="8" t="str">
        <f>"9789814405065"</f>
        <v>9789814405065</v>
      </c>
      <c r="C6802" s="8" t="s">
        <v>157</v>
      </c>
    </row>
    <row r="6803" spans="1:3" x14ac:dyDescent="0.25">
      <c r="A6803" s="8" t="str">
        <f>"ATC 2009 - Proceedings of the 2009 International Conference on Advanced Technologies for Communications"</f>
        <v>ATC 2009 - Proceedings of the 2009 International Conference on Advanced Technologies for Communications</v>
      </c>
      <c r="B6803" s="8" t="str">
        <f>"9781424451395"</f>
        <v>9781424451395</v>
      </c>
      <c r="C6803" s="8" t="s">
        <v>9</v>
      </c>
    </row>
    <row r="6804" spans="1:3" x14ac:dyDescent="0.25">
      <c r="A6804" s="8" t="str">
        <f>"Atmosphere-Ocean Interactions"</f>
        <v>Atmosphere-Ocean Interactions</v>
      </c>
      <c r="B6804" s="8" t="str">
        <f>"9781853129292"</f>
        <v>9781853129292</v>
      </c>
      <c r="C6804" s="8" t="s">
        <v>1641</v>
      </c>
    </row>
    <row r="6805" spans="1:3" x14ac:dyDescent="0.25">
      <c r="A6805" s="8" t="str">
        <f>"Atmospheric Ammonia: Detecting Emission Changes and Environmental Impacts - Results of an Expert Workshop under the Convention on Long-Range Transboundary Air Pollution"</f>
        <v>Atmospheric Ammonia: Detecting Emission Changes and Environmental Impacts - Results of an Expert Workshop under the Convention on Long-Range Transboundary Air Pollution</v>
      </c>
      <c r="B6805" s="8" t="str">
        <f>"9781402091209"</f>
        <v>9781402091209</v>
      </c>
      <c r="C6805" s="8" t="s">
        <v>162</v>
      </c>
    </row>
    <row r="6806" spans="1:3" x14ac:dyDescent="0.25">
      <c r="A6806" s="8" t="str">
        <f>"Atmospheric Flight Mechanics Conference"</f>
        <v>Atmospheric Flight Mechanics Conference</v>
      </c>
      <c r="B6806" s="8" t="str">
        <f>"-"</f>
        <v>-</v>
      </c>
      <c r="C6806" s="8" t="s">
        <v>104</v>
      </c>
    </row>
    <row r="6807" spans="1:3" x14ac:dyDescent="0.25">
      <c r="A6807" s="8" t="str">
        <f>"ATRF 2010: 33rd Australasian Transport Research Forum"</f>
        <v>ATRF 2010: 33rd Australasian Transport Research Forum</v>
      </c>
      <c r="B6807" s="8" t="str">
        <f>"-"</f>
        <v>-</v>
      </c>
      <c r="C6807" s="8" t="s">
        <v>1451</v>
      </c>
    </row>
    <row r="6808" spans="1:3" x14ac:dyDescent="0.25">
      <c r="A6808" s="8" t="str">
        <f>"ATRF 2011 - 34th Australasian Transport Research Forum"</f>
        <v>ATRF 2011 - 34th Australasian Transport Research Forum</v>
      </c>
      <c r="B6808" s="8" t="str">
        <f>"-"</f>
        <v>-</v>
      </c>
      <c r="C6808" s="8" t="s">
        <v>1691</v>
      </c>
    </row>
    <row r="6809" spans="1:3" x14ac:dyDescent="0.25">
      <c r="A6809" s="8" t="str">
        <f>"AUA Guidelines for Backfilling and Contact Grouting of Tunnels and Shafts"</f>
        <v>AUA Guidelines for Backfilling and Contact Grouting of Tunnels and Shafts</v>
      </c>
      <c r="B6809" s="8" t="str">
        <f>"9780784406342"</f>
        <v>9780784406342</v>
      </c>
      <c r="C6809" s="8" t="s">
        <v>111</v>
      </c>
    </row>
    <row r="6810" spans="1:3" x14ac:dyDescent="0.25">
      <c r="A6810" s="8" t="str">
        <f>"Audio Engineering Society - 118th Convention Spring Preprints 2005"</f>
        <v>Audio Engineering Society - 118th Convention Spring Preprints 2005</v>
      </c>
      <c r="B6810" s="8" t="str">
        <f>"9781604234848"</f>
        <v>9781604234848</v>
      </c>
      <c r="C6810" s="8" t="s">
        <v>98</v>
      </c>
    </row>
    <row r="6811" spans="1:3" x14ac:dyDescent="0.25">
      <c r="A6811" s="8" t="str">
        <f>"Audio Engineering Society - 119th Convention Fall Preprints 2005"</f>
        <v>Audio Engineering Society - 119th Convention Fall Preprints 2005</v>
      </c>
      <c r="B6811" s="8" t="str">
        <f>"9781604234855"</f>
        <v>9781604234855</v>
      </c>
      <c r="C6811" s="8" t="s">
        <v>98</v>
      </c>
    </row>
    <row r="6812" spans="1:3" x14ac:dyDescent="0.25">
      <c r="A6812" s="8" t="str">
        <f>"Audio Engineering Society - 120th Convention Spring Preprints 2006"</f>
        <v>Audio Engineering Society - 120th Convention Spring Preprints 2006</v>
      </c>
      <c r="B6812" s="8" t="str">
        <f>"9781604235975"</f>
        <v>9781604235975</v>
      </c>
      <c r="C6812" s="8" t="s">
        <v>98</v>
      </c>
    </row>
    <row r="6813" spans="1:3" x14ac:dyDescent="0.25">
      <c r="A6813" s="8" t="str">
        <f>"Audio Engineering Society - 121st Convention Papers 2006"</f>
        <v>Audio Engineering Society - 121st Convention Papers 2006</v>
      </c>
      <c r="B6813" s="8" t="str">
        <f>"9781604236637"</f>
        <v>9781604236637</v>
      </c>
      <c r="C6813" s="8" t="s">
        <v>98</v>
      </c>
    </row>
    <row r="6814" spans="1:3" x14ac:dyDescent="0.25">
      <c r="A6814" s="8" t="str">
        <f>"Audio Engineering Society - 122nd Audio Engineering Society Convention 2007"</f>
        <v>Audio Engineering Society - 122nd Audio Engineering Society Convention 2007</v>
      </c>
      <c r="B6814" s="8" t="str">
        <f>"9781604231403"</f>
        <v>9781604231403</v>
      </c>
      <c r="C6814" s="8" t="s">
        <v>98</v>
      </c>
    </row>
    <row r="6815" spans="1:3" x14ac:dyDescent="0.25">
      <c r="A6815" s="8" t="str">
        <f>"Audio Engineering Society - 123rd Audio Engineering Society Convention 2007"</f>
        <v>Audio Engineering Society - 123rd Audio Engineering Society Convention 2007</v>
      </c>
      <c r="B6815" s="8" t="str">
        <f>"9781604239027"</f>
        <v>9781604239027</v>
      </c>
      <c r="C6815" s="8" t="s">
        <v>98</v>
      </c>
    </row>
    <row r="6816" spans="1:3" x14ac:dyDescent="0.25">
      <c r="A6816" s="8" t="str">
        <f>"Audio Engineering Society - 124th Audio Engineering Society Convention 2008"</f>
        <v>Audio Engineering Society - 124th Audio Engineering Society Convention 2008</v>
      </c>
      <c r="B6816" s="8" t="str">
        <f>"9781605602950"</f>
        <v>9781605602950</v>
      </c>
      <c r="C6816" s="8" t="s">
        <v>98</v>
      </c>
    </row>
    <row r="6817" spans="1:3" x14ac:dyDescent="0.25">
      <c r="A6817" s="8" t="str">
        <f>"Audio Engineering Society - 125th Audio Engineering Society Convention 2008"</f>
        <v>Audio Engineering Society - 125th Audio Engineering Society Convention 2008</v>
      </c>
      <c r="B6817" s="8" t="str">
        <f>"9781605607122"</f>
        <v>9781605607122</v>
      </c>
      <c r="C6817" s="8" t="s">
        <v>98</v>
      </c>
    </row>
    <row r="6818" spans="1:3" x14ac:dyDescent="0.25">
      <c r="A6818" s="8" t="str">
        <f>"Audio Mostly 2006 - Proceedings of the Audio Mostly Conference: A Conference on Sound in Games"</f>
        <v>Audio Mostly 2006 - Proceedings of the Audio Mostly Conference: A Conference on Sound in Games</v>
      </c>
      <c r="B6818" s="8" t="str">
        <f>"-"</f>
        <v>-</v>
      </c>
      <c r="C6818" s="8" t="s">
        <v>1692</v>
      </c>
    </row>
    <row r="6819" spans="1:3" x14ac:dyDescent="0.25">
      <c r="A6819" s="8" t="str">
        <f>"Audio Mostly 2006: A Conference on Sound in Games, AM 2006 - Proceedings"</f>
        <v>Audio Mostly 2006: A Conference on Sound in Games, AM 2006 - Proceedings</v>
      </c>
      <c r="B6819" s="8" t="str">
        <f>"-"</f>
        <v>-</v>
      </c>
      <c r="C6819" s="8" t="s">
        <v>1692</v>
      </c>
    </row>
    <row r="6820" spans="1:3" x14ac:dyDescent="0.25">
      <c r="A6820" s="8" t="str">
        <f>"Audio Mostly 2007 - 2nd Conference on Interaction with Sound, Conference Proceedings"</f>
        <v>Audio Mostly 2007 - 2nd Conference on Interaction with Sound, Conference Proceedings</v>
      </c>
      <c r="B6820" s="8" t="str">
        <f>"9783000228230"</f>
        <v>9783000228230</v>
      </c>
      <c r="C6820" s="8" t="s">
        <v>1693</v>
      </c>
    </row>
    <row r="6821" spans="1:3" x14ac:dyDescent="0.25">
      <c r="A6821" s="8" t="s">
        <v>1694</v>
      </c>
      <c r="B6821" s="8" t="str">
        <f>"9780473182366"</f>
        <v>9780473182366</v>
      </c>
      <c r="C6821" s="8" t="s">
        <v>9</v>
      </c>
    </row>
    <row r="6822" spans="1:3" x14ac:dyDescent="0.25">
      <c r="A6822" s="8" t="str">
        <f>"AUPEC'09 - 19th Australasian Universities Power Engineering Conference: Sustainable Energy Technologies and Systems"</f>
        <v>AUPEC'09 - 19th Australasian Universities Power Engineering Conference: Sustainable Energy Technologies and Systems</v>
      </c>
      <c r="B6822" s="8" t="str">
        <f>"9780863967184"</f>
        <v>9780863967184</v>
      </c>
      <c r="C6822" s="8" t="s">
        <v>9</v>
      </c>
    </row>
    <row r="6823" spans="1:3" x14ac:dyDescent="0.25">
      <c r="A6823" s="8" t="str">
        <f>"AusDM 2005 Proc. - 4th Australasian Data Mining Conf. - Collocated with the 18th Australian Joint Conf. on Artificial Intelligence, AI 2005 and the 2nd Australian Conf. on Artifical Life, ACAL 2005"</f>
        <v>AusDM 2005 Proc. - 4th Australasian Data Mining Conf. - Collocated with the 18th Australian Joint Conf. on Artificial Intelligence, AI 2005 and the 2nd Australian Conf. on Artifical Life, ACAL 2005</v>
      </c>
      <c r="B6823" s="8" t="str">
        <f>"9781863657167"</f>
        <v>9781863657167</v>
      </c>
      <c r="C6823" s="8" t="s">
        <v>1475</v>
      </c>
    </row>
    <row r="6824" spans="1:3" x14ac:dyDescent="0.25">
      <c r="A6824" s="8" t="str">
        <f>"AUSDM05 - Proceedings of the 4th Australasian Data Mining Conference"</f>
        <v>AUSDM05 - Proceedings of the 4th Australasian Data Mining Conference</v>
      </c>
      <c r="B6824" s="8" t="str">
        <f>"-"</f>
        <v>-</v>
      </c>
      <c r="C6824" s="8" t="s">
        <v>1475</v>
      </c>
    </row>
    <row r="6825" spans="1:3" x14ac:dyDescent="0.25">
      <c r="A6825" s="8" t="str">
        <f>"AusIMM New Leaders' Conference 2007: Mining - The Big Picture - Proceedings"</f>
        <v>AusIMM New Leaders' Conference 2007: Mining - The Big Picture - Proceedings</v>
      </c>
      <c r="B6825" s="8" t="str">
        <f>"9781920806637"</f>
        <v>9781920806637</v>
      </c>
      <c r="C6825" s="8" t="s">
        <v>167</v>
      </c>
    </row>
    <row r="6826" spans="1:3" x14ac:dyDescent="0.25">
      <c r="A6826" s="8" t="str">
        <f>"Australasian Computer-Human Interaction Conference, OZCHI'07"</f>
        <v>Australasian Computer-Human Interaction Conference, OZCHI'07</v>
      </c>
      <c r="B6826" s="8" t="str">
        <f>"9781595938725"</f>
        <v>9781595938725</v>
      </c>
      <c r="C6826" s="8" t="s">
        <v>21</v>
      </c>
    </row>
    <row r="6827" spans="1:3" x14ac:dyDescent="0.25">
      <c r="A6827" s="8" t="str">
        <f>"Australasian Housing Researchers Conference"</f>
        <v>Australasian Housing Researchers Conference</v>
      </c>
      <c r="B6827" s="8" t="str">
        <f>"-"</f>
        <v>-</v>
      </c>
      <c r="C6827" s="8" t="s">
        <v>1496</v>
      </c>
    </row>
    <row r="6828" spans="1:3" x14ac:dyDescent="0.25">
      <c r="A6828" s="8" t="str">
        <f>"Australasian Society for Trenchless Technology - 24th No-Dig International Conference and Exhibition, No-Dig Down Under 2006"</f>
        <v>Australasian Society for Trenchless Technology - 24th No-Dig International Conference and Exhibition, No-Dig Down Under 2006</v>
      </c>
      <c r="B6828" s="8" t="str">
        <f>"9781604232899"</f>
        <v>9781604232899</v>
      </c>
      <c r="C6828" s="8" t="s">
        <v>1381</v>
      </c>
    </row>
    <row r="6829" spans="1:3" x14ac:dyDescent="0.25">
      <c r="A6829" s="8" t="str">
        <f>"Australasian Telecommunication Networks and Applications Conference, ATNAC 2011"</f>
        <v>Australasian Telecommunication Networks and Applications Conference, ATNAC 2011</v>
      </c>
      <c r="B6829" s="8" t="str">
        <f>"9781457717109"</f>
        <v>9781457717109</v>
      </c>
      <c r="C6829" s="8" t="s">
        <v>9</v>
      </c>
    </row>
    <row r="6830" spans="1:3" x14ac:dyDescent="0.25">
      <c r="A6830" s="8" t="str">
        <f>"Australasian Telecommunication Networks and Applications Conference, ATNAC 2012"</f>
        <v>Australasian Telecommunication Networks and Applications Conference, ATNAC 2012</v>
      </c>
      <c r="B6830" s="8" t="str">
        <f>"9781467344098"</f>
        <v>9781467344098</v>
      </c>
      <c r="C6830" s="8" t="s">
        <v>9</v>
      </c>
    </row>
    <row r="6831" spans="1:3" x14ac:dyDescent="0.25">
      <c r="A6831" s="8" t="str">
        <f>"Australasian Transport Research Forum, ATRF 2012  - Proceedings"</f>
        <v>Australasian Transport Research Forum, ATRF 2012  - Proceedings</v>
      </c>
      <c r="B6831" s="8" t="str">
        <f>"-"</f>
        <v>-</v>
      </c>
      <c r="C6831" s="8" t="s">
        <v>1691</v>
      </c>
    </row>
    <row r="6832" spans="1:3" x14ac:dyDescent="0.25">
      <c r="A6832" s="8" t="str">
        <f>"Australasian Transport Research Forum, ATRF 2013  - Proceedings"</f>
        <v>Australasian Transport Research Forum, ATRF 2013  - Proceedings</v>
      </c>
      <c r="B6832" s="8" t="str">
        <f>"-"</f>
        <v>-</v>
      </c>
      <c r="C6832" s="8" t="s">
        <v>1691</v>
      </c>
    </row>
    <row r="6833" spans="1:3" x14ac:dyDescent="0.25">
      <c r="A6833" s="8" t="str">
        <f>"Australian Acoustical Society Conference 2012, Acoustics 2012: Acoustics, Development, and the Environment"</f>
        <v>Australian Acoustical Society Conference 2012, Acoustics 2012: Acoustics, Development, and the Environment</v>
      </c>
      <c r="B6833" s="8" t="str">
        <f>"9781622769704"</f>
        <v>9781622769704</v>
      </c>
      <c r="C6833" s="8" t="s">
        <v>1270</v>
      </c>
    </row>
    <row r="6834" spans="1:3" x14ac:dyDescent="0.25">
      <c r="A6834" s="8" t="str">
        <f>"Australian Acoustical SocietyConference 2011, Acoustics 2011: Breaking New Ground"</f>
        <v>Australian Acoustical SocietyConference 2011, Acoustics 2011: Breaking New Ground</v>
      </c>
      <c r="B6834" s="8" t="str">
        <f>"9781622762699"</f>
        <v>9781622762699</v>
      </c>
      <c r="C6834" s="8" t="s">
        <v>1270</v>
      </c>
    </row>
    <row r="6835" spans="1:3" x14ac:dyDescent="0.25">
      <c r="A6835" s="8" t="str">
        <f>"AusWeb 2006: 12th Australasian World Wide Web Conference"</f>
        <v>AusWeb 2006: 12th Australasian World Wide Web Conference</v>
      </c>
      <c r="B6835" s="8" t="str">
        <f>"-"</f>
        <v>-</v>
      </c>
      <c r="C6835" s="8" t="s">
        <v>1695</v>
      </c>
    </row>
    <row r="6836" spans="1:3" x14ac:dyDescent="0.25">
      <c r="A6836" s="8" t="str">
        <f>"AusWeb 2007: 13th Australasian World Wide Web Conference"</f>
        <v>AusWeb 2007: 13th Australasian World Wide Web Conference</v>
      </c>
      <c r="B6836" s="8" t="str">
        <f>"-"</f>
        <v>-</v>
      </c>
      <c r="C6836" s="8" t="s">
        <v>1695</v>
      </c>
    </row>
    <row r="6837" spans="1:3" x14ac:dyDescent="0.25">
      <c r="A6837" s="8" t="str">
        <f>"AusWeb 2008: 14th Australasian World Wide Web Conference"</f>
        <v>AusWeb 2008: 14th Australasian World Wide Web Conference</v>
      </c>
      <c r="B6837" s="8" t="str">
        <f>"-"</f>
        <v>-</v>
      </c>
      <c r="C6837" s="8" t="s">
        <v>1695</v>
      </c>
    </row>
    <row r="6838" spans="1:3" x14ac:dyDescent="0.25">
      <c r="A6838" s="8" t="str">
        <f>"AusWeb05: 11th Australasian World Wide Web Conference"</f>
        <v>AusWeb05: 11th Australasian World Wide Web Conference</v>
      </c>
      <c r="B6838" s="8" t="str">
        <f>"-"</f>
        <v>-</v>
      </c>
      <c r="C6838" s="8" t="s">
        <v>1695</v>
      </c>
    </row>
    <row r="6839" spans="1:3" x14ac:dyDescent="0.25">
      <c r="A6839" s="8" t="str">
        <f>"Autoclaved Aerated Concrete Innovation and Development - Proceedings of the 4th International Conference on Autoclaved Aerated Concrete"</f>
        <v>Autoclaved Aerated Concrete Innovation and Development - Proceedings of the 4th International Conference on Autoclaved Aerated Concrete</v>
      </c>
      <c r="B6839" s="8" t="str">
        <f>"9780415383561"</f>
        <v>9780415383561</v>
      </c>
      <c r="C6839" s="8" t="s">
        <v>1558</v>
      </c>
    </row>
    <row r="6840" spans="1:3" x14ac:dyDescent="0.25">
      <c r="A6840" s="8" t="str">
        <f>"Automated People Movers and Transit Systems 2011: From People Movers to Fully Automated Urban Mass Transit - Proceedings of the 13th Int. Conference on Automated People Movers and Transit Systems"</f>
        <v>Automated People Movers and Transit Systems 2011: From People Movers to Fully Automated Urban Mass Transit - Proceedings of the 13th Int. Conference on Automated People Movers and Transit Systems</v>
      </c>
      <c r="B6840" s="8" t="str">
        <f>"9780784411933"</f>
        <v>9780784411933</v>
      </c>
      <c r="C6840" s="8" t="s">
        <v>111</v>
      </c>
    </row>
    <row r="6841" spans="1:3" x14ac:dyDescent="0.25">
      <c r="A6841" s="8" t="str">
        <f>"Automated People Movers and Transit Systems 2013: Half a Century of Automated Transit - Past, Present, and Future - Proceedings of the 14th International Conference"</f>
        <v>Automated People Movers and Transit Systems 2013: Half a Century of Automated Transit - Past, Present, and Future - Proceedings of the 14th International Conference</v>
      </c>
      <c r="B6841" s="8" t="str">
        <f>"9780784477823"</f>
        <v>9780784477823</v>
      </c>
      <c r="C6841" s="8" t="s">
        <v>111</v>
      </c>
    </row>
    <row r="6842" spans="1:3" x14ac:dyDescent="0.25">
      <c r="A6842" s="8" t="str">
        <f>"Automation and Robotics in Construction - Proceedings of the 24th International Symposium on Automation and Robotics in Construction"</f>
        <v>Automation and Robotics in Construction - Proceedings of the 24th International Symposium on Automation and Robotics in Construction</v>
      </c>
      <c r="B6842" s="8" t="str">
        <f>"9788190423519"</f>
        <v>9788190423519</v>
      </c>
      <c r="C6842" s="8" t="s">
        <v>1351</v>
      </c>
    </row>
    <row r="6843" spans="1:3" x14ac:dyDescent="0.25">
      <c r="A6843" s="8" t="str">
        <f>"Automotive - Safety and Security 2006: Sicherheit und Zuverlassigkeit fur Automobile Informationstechnik"</f>
        <v>Automotive - Safety and Security 2006: Sicherheit und Zuverlassigkeit fur Automobile Informationstechnik</v>
      </c>
      <c r="B6843" s="8" t="str">
        <f>"-"</f>
        <v>-</v>
      </c>
      <c r="C6843" s="8" t="s">
        <v>833</v>
      </c>
    </row>
    <row r="6844" spans="1:3" x14ac:dyDescent="0.25">
      <c r="A6844" s="8" t="str">
        <f>"Automotive - Safety and Security 2008: Sicherheit und Zuverlassigkeit fur Automobile Informationstechnik"</f>
        <v>Automotive - Safety and Security 2008: Sicherheit und Zuverlassigkeit fur Automobile Informationstechnik</v>
      </c>
      <c r="B6844" s="8" t="str">
        <f>"-"</f>
        <v>-</v>
      </c>
      <c r="C6844" s="8" t="s">
        <v>1696</v>
      </c>
    </row>
    <row r="6845" spans="1:3" x14ac:dyDescent="0.25">
      <c r="A6845" s="8" t="str">
        <f>"Automotive TPO Global Conference, TPO Conference 2008"</f>
        <v>Automotive TPO Global Conference, TPO Conference 2008</v>
      </c>
      <c r="B6845" s="8" t="str">
        <f>"9781615670376"</f>
        <v>9781615670376</v>
      </c>
      <c r="C6845" s="8" t="s">
        <v>132</v>
      </c>
    </row>
    <row r="6846" spans="1:3" x14ac:dyDescent="0.25">
      <c r="A6846" s="8" t="str">
        <f>"AutomotiveUI 2010 - 2nd International Conference on Automotive User Interfaces and Interactive Vehicular Applications, Conference Proceedings"</f>
        <v>AutomotiveUI 2010 - 2nd International Conference on Automotive User Interfaces and Interactive Vehicular Applications, Conference Proceedings</v>
      </c>
      <c r="B6846" s="8" t="str">
        <f>"9781450304375"</f>
        <v>9781450304375</v>
      </c>
      <c r="C6846" s="8" t="s">
        <v>21</v>
      </c>
    </row>
    <row r="6847" spans="1:3" x14ac:dyDescent="0.25">
      <c r="A6847" s="8" t="str">
        <f>"AutomotiveUI 2012 - 4th International Conference on Automotive User Interfaces and Interactive Vehicular Applications, In-cooperation with ACM SIGCHI - Proceedings"</f>
        <v>AutomotiveUI 2012 - 4th International Conference on Automotive User Interfaces and Interactive Vehicular Applications, In-cooperation with ACM SIGCHI - Proceedings</v>
      </c>
      <c r="B6847" s="8" t="str">
        <f>"9781450317511"</f>
        <v>9781450317511</v>
      </c>
      <c r="C6847" s="8" t="s">
        <v>21</v>
      </c>
    </row>
    <row r="6848" spans="1:3" x14ac:dyDescent="0.25">
      <c r="A6848" s="8" t="str">
        <f>"AutomotiveUI 2014 - 6th International Conference on Automotive User Interfaces and Interactive Vehicular Applications, in Cooperation with ACM SIGCHI - Adjunct Proceedings"</f>
        <v>AutomotiveUI 2014 - 6th International Conference on Automotive User Interfaces and Interactive Vehicular Applications, in Cooperation with ACM SIGCHI - Adjunct Proceedings</v>
      </c>
      <c r="B6848" s="8" t="str">
        <f>"9781450307253"</f>
        <v>9781450307253</v>
      </c>
      <c r="C6848" s="8" t="s">
        <v>1235</v>
      </c>
    </row>
    <row r="6849" spans="1:3" x14ac:dyDescent="0.25">
      <c r="A6849" s="8" t="str">
        <f>"AutomotiveUI 2014 - 6th International Conference on Automotive User Interfaces and Interactive Vehicular Applications, in Cooperation with ACM SIGCHI - Proceedings"</f>
        <v>AutomotiveUI 2014 - 6th International Conference on Automotive User Interfaces and Interactive Vehicular Applications, in Cooperation with ACM SIGCHI - Proceedings</v>
      </c>
      <c r="B6849" s="8" t="str">
        <f>"9781450332125"</f>
        <v>9781450332125</v>
      </c>
      <c r="C6849" s="8" t="s">
        <v>1235</v>
      </c>
    </row>
    <row r="6850" spans="1:3" x14ac:dyDescent="0.25">
      <c r="A6850" s="8" t="s">
        <v>1697</v>
      </c>
      <c r="B6850" s="8" t="str">
        <f>"9789639799349"</f>
        <v>9789639799349</v>
      </c>
      <c r="C6850" s="8" t="s">
        <v>1504</v>
      </c>
    </row>
    <row r="6851" spans="1:3" x14ac:dyDescent="0.25">
      <c r="A6851" s="8" t="str">
        <f>"Autonomous Minirobots for Research and Edutainment, AMiRE 2007 - Proceedings of the 4th International AMiRE Symposium"</f>
        <v>Autonomous Minirobots for Research and Edutainment, AMiRE 2007 - Proceedings of the 4th International AMiRE Symposium</v>
      </c>
      <c r="B6851" s="8" t="str">
        <f>"-"</f>
        <v>-</v>
      </c>
      <c r="C6851" s="8" t="s">
        <v>1698</v>
      </c>
    </row>
    <row r="6852" spans="1:3" x14ac:dyDescent="0.25">
      <c r="A6852" s="8" t="str">
        <f>"AUVSI Unmanned Systems 2013"</f>
        <v>AUVSI Unmanned Systems 2013</v>
      </c>
      <c r="B6852" s="8" t="str">
        <f>"9781629933245"</f>
        <v>9781629933245</v>
      </c>
      <c r="C6852" s="8" t="s">
        <v>1688</v>
      </c>
    </row>
    <row r="6853" spans="1:3" x14ac:dyDescent="0.25">
      <c r="A6853" s="8" t="str">
        <f>"AUVSI Unmanned Systems 2014"</f>
        <v>AUVSI Unmanned Systems 2014</v>
      </c>
      <c r="B6853" s="8" t="str">
        <f>"-"</f>
        <v>-</v>
      </c>
      <c r="C6853" s="8" t="s">
        <v>1688</v>
      </c>
    </row>
    <row r="6854" spans="1:3" x14ac:dyDescent="0.25">
      <c r="A6854" s="8" t="str">
        <f>"AUVSI Unmanned Systems North America Conference 2006"</f>
        <v>AUVSI Unmanned Systems North America Conference 2006</v>
      </c>
      <c r="B6854" s="8" t="str">
        <f>"9781605604589"</f>
        <v>9781605604589</v>
      </c>
      <c r="C6854" s="8" t="s">
        <v>1688</v>
      </c>
    </row>
    <row r="6855" spans="1:3" x14ac:dyDescent="0.25">
      <c r="A6855" s="8" t="str">
        <f>"AUVSI Unmanned Systems North America Conference 2008"</f>
        <v>AUVSI Unmanned Systems North America Conference 2008</v>
      </c>
      <c r="B6855" s="8" t="str">
        <f>"9781615671946"</f>
        <v>9781615671946</v>
      </c>
      <c r="C6855" s="8" t="s">
        <v>1688</v>
      </c>
    </row>
    <row r="6856" spans="1:3" x14ac:dyDescent="0.25">
      <c r="A6856" s="8" t="str">
        <f>"AUVSI Unmanned Systems North America Conference 2009"</f>
        <v>AUVSI Unmanned Systems North America Conference 2009</v>
      </c>
      <c r="B6856" s="8" t="str">
        <f>"9781615675807"</f>
        <v>9781615675807</v>
      </c>
      <c r="C6856" s="8" t="s">
        <v>1688</v>
      </c>
    </row>
    <row r="6857" spans="1:3" x14ac:dyDescent="0.25">
      <c r="A6857" s="8" t="str">
        <f>"AUVSI Unmanned Systems North America Conference 2010"</f>
        <v>AUVSI Unmanned Systems North America Conference 2010</v>
      </c>
      <c r="B6857" s="8" t="str">
        <f>"9781617389887"</f>
        <v>9781617389887</v>
      </c>
      <c r="C6857" s="8" t="s">
        <v>1688</v>
      </c>
    </row>
    <row r="6858" spans="1:3" x14ac:dyDescent="0.25">
      <c r="A6858" s="8" t="str">
        <f>"AUVSI Unmanned Systems North America Conference 2011"</f>
        <v>AUVSI Unmanned Systems North America Conference 2011</v>
      </c>
      <c r="B6858" s="8" t="str">
        <f>"9781618393487"</f>
        <v>9781618393487</v>
      </c>
      <c r="C6858" s="8" t="s">
        <v>1688</v>
      </c>
    </row>
    <row r="6859" spans="1:3" x14ac:dyDescent="0.25">
      <c r="A6859" s="8" t="str">
        <f>"AUVSI Unmanned Systems North America Conference 2012"</f>
        <v>AUVSI Unmanned Systems North America Conference 2012</v>
      </c>
      <c r="B6859" s="8" t="str">
        <f>"9781622765157"</f>
        <v>9781622765157</v>
      </c>
      <c r="C6859" s="8" t="s">
        <v>1688</v>
      </c>
    </row>
    <row r="6860" spans="1:3" x14ac:dyDescent="0.25">
      <c r="A6860" s="8" t="str">
        <f>"AUVSI's Unmanned Systems North America 2004 - Proceedings"</f>
        <v>AUVSI's Unmanned Systems North America 2004 - Proceedings</v>
      </c>
      <c r="B6860" s="8" t="str">
        <f>"-"</f>
        <v>-</v>
      </c>
      <c r="C6860" s="8" t="s">
        <v>1688</v>
      </c>
    </row>
    <row r="6861" spans="1:3" x14ac:dyDescent="0.25">
      <c r="A6861" s="8" t="str">
        <f>"AUVSI's Unmanned Systems North America 2005 - Proceedings"</f>
        <v>AUVSI's Unmanned Systems North America 2005 - Proceedings</v>
      </c>
      <c r="B6861" s="8" t="str">
        <f>"-"</f>
        <v>-</v>
      </c>
      <c r="C6861" s="8" t="s">
        <v>1688</v>
      </c>
    </row>
    <row r="6862" spans="1:3" x14ac:dyDescent="0.25">
      <c r="A6862" s="8" t="str">
        <f>"AVEC 2013 - Proceedings of the 3rd ACM International Workshop on Audio/Visual Emotion Challenge"</f>
        <v>AVEC 2013 - Proceedings of the 3rd ACM International Workshop on Audio/Visual Emotion Challenge</v>
      </c>
      <c r="B6862" s="8" t="str">
        <f>"9781450323956"</f>
        <v>9781450323956</v>
      </c>
      <c r="C6862" s="8" t="s">
        <v>21</v>
      </c>
    </row>
    <row r="6863" spans="1:3" x14ac:dyDescent="0.25">
      <c r="A6863" s="8" t="str">
        <f>"AVEC 2014 - Proceedings of the 4th International Workshop on Audio/Visual Emotion Challenge, Workshop of MM 2014"</f>
        <v>AVEC 2014 - Proceedings of the 4th International Workshop on Audio/Visual Emotion Challenge, Workshop of MM 2014</v>
      </c>
      <c r="B6863" s="8" t="str">
        <f>"9781450331197"</f>
        <v>9781450331197</v>
      </c>
      <c r="C6863" s="8" t="s">
        <v>1235</v>
      </c>
    </row>
    <row r="6864" spans="1:3" x14ac:dyDescent="0.25">
      <c r="A6864" s="8" t="str">
        <f>"Aviation: A World of Growth - Proceedings of the 29th International Air Transport Conference, IATC 2007"</f>
        <v>Aviation: A World of Growth - Proceedings of the 29th International Air Transport Conference, IATC 2007</v>
      </c>
      <c r="B6864" s="8" t="str">
        <f>"9780784409381"</f>
        <v>9780784409381</v>
      </c>
      <c r="C6864" s="8" t="s">
        <v>111</v>
      </c>
    </row>
    <row r="6865" spans="1:3" x14ac:dyDescent="0.25">
      <c r="A6865" s="8" t="str">
        <f>"AVMA'12 - Proceedings of the 2012 ACM Workshop on Audio and Multimedia Methods for Large-Scale Video Analysis, Co-located with ACM Multimedia 2012"</f>
        <v>AVMA'12 - Proceedings of the 2012 ACM Workshop on Audio and Multimedia Methods for Large-Scale Video Analysis, Co-located with ACM Multimedia 2012</v>
      </c>
      <c r="B6865" s="8" t="str">
        <f>"9781450315852"</f>
        <v>9781450315852</v>
      </c>
      <c r="C6865" s="8" t="s">
        <v>21</v>
      </c>
    </row>
    <row r="6866" spans="1:3" x14ac:dyDescent="0.25">
      <c r="A6866" s="8" t="str">
        <f>"AVSTP2P'10 - Proceedings of the 2010 ACM Workshop on Advanced Video Streaming Techniques for Peer-to-Peer Networks and Social Networking, Co-located with ACM Multimedia 2010"</f>
        <v>AVSTP2P'10 - Proceedings of the 2010 ACM Workshop on Advanced Video Streaming Techniques for Peer-to-Peer Networks and Social Networking, Co-located with ACM Multimedia 2010</v>
      </c>
      <c r="B6866" s="8" t="str">
        <f>"9781450301695"</f>
        <v>9781450301695</v>
      </c>
      <c r="C6866" s="8" t="s">
        <v>21</v>
      </c>
    </row>
    <row r="6867" spans="1:3" x14ac:dyDescent="0.25">
      <c r="A6867" s="8" t="str">
        <f>"AWWA 124th Annual Conference and Exposition: The World's Water Event, ACE 2005"</f>
        <v>AWWA 124th Annual Conference and Exposition: The World's Water Event, ACE 2005</v>
      </c>
      <c r="B6867" s="8" t="str">
        <f>"9781583213827"</f>
        <v>9781583213827</v>
      </c>
      <c r="C6867" s="8" t="s">
        <v>651</v>
      </c>
    </row>
    <row r="6868" spans="1:3" x14ac:dyDescent="0.25">
      <c r="A6868" s="8" t="str">
        <f>"AWWA 2010 Inorganic Contaminants Workshop"</f>
        <v>AWWA 2010 Inorganic Contaminants Workshop</v>
      </c>
      <c r="B6868" s="8" t="str">
        <f>"9781583217856"</f>
        <v>9781583217856</v>
      </c>
      <c r="C6868" s="8" t="s">
        <v>651</v>
      </c>
    </row>
    <row r="6869" spans="1:3" x14ac:dyDescent="0.25">
      <c r="A6869" s="8" t="str">
        <f>"AWWA Sustainable Water Management Conference and Exposition 2010"</f>
        <v>AWWA Sustainable Water Management Conference and Exposition 2010</v>
      </c>
      <c r="B6869" s="8" t="str">
        <f>"9781583217894"</f>
        <v>9781583217894</v>
      </c>
      <c r="C6869" s="8" t="s">
        <v>651</v>
      </c>
    </row>
    <row r="6870" spans="1:3" x14ac:dyDescent="0.25">
      <c r="A6870" s="8" t="str">
        <f>"AWWA Sustainable Water Management Conference and Exposition 2012"</f>
        <v>AWWA Sustainable Water Management Conference and Exposition 2012</v>
      </c>
      <c r="B6870" s="8" t="str">
        <f>"9781622760602"</f>
        <v>9781622760602</v>
      </c>
      <c r="C6870" s="8" t="s">
        <v>651</v>
      </c>
    </row>
    <row r="6871" spans="1:3" x14ac:dyDescent="0.25">
      <c r="A6871" s="8" t="str">
        <f>"AWWA/AMTA 2014 Membrane Technology Conference and Exposition"</f>
        <v>AWWA/AMTA 2014 Membrane Technology Conference and Exposition</v>
      </c>
      <c r="B6871" s="8" t="str">
        <f>"-"</f>
        <v>-</v>
      </c>
      <c r="C6871" s="8" t="s">
        <v>651</v>
      </c>
    </row>
    <row r="6872" spans="1:3" x14ac:dyDescent="0.25">
      <c r="A6872" s="8" t="str">
        <f>"AWWA/AMTA Membrane Technology Conference and Exposition 2012"</f>
        <v>AWWA/AMTA Membrane Technology Conference and Exposition 2012</v>
      </c>
      <c r="B6872" s="8" t="str">
        <f>"9781622760619"</f>
        <v>9781622760619</v>
      </c>
      <c r="C6872" s="8" t="s">
        <v>651</v>
      </c>
    </row>
    <row r="6873" spans="1:3" x14ac:dyDescent="0.25">
      <c r="A6873" s="8" t="str">
        <f>"AWWA/WEF Utility Management Conference 2013"</f>
        <v>AWWA/WEF Utility Management Conference 2013</v>
      </c>
      <c r="B6873" s="8" t="str">
        <f>"9781627484169"</f>
        <v>9781627484169</v>
      </c>
      <c r="C6873" s="8" t="s">
        <v>651</v>
      </c>
    </row>
    <row r="6874" spans="1:3" x14ac:dyDescent="0.25">
      <c r="A6874" s="8" t="str">
        <f>"Baltimore Civil Engineering History"</f>
        <v>Baltimore Civil Engineering History</v>
      </c>
      <c r="B6874" s="8" t="str">
        <f>"9780784407592"</f>
        <v>9780784407592</v>
      </c>
      <c r="C6874" s="8" t="s">
        <v>111</v>
      </c>
    </row>
    <row r="6875" spans="1:3" x14ac:dyDescent="0.25">
      <c r="A6875" s="8" t="str">
        <f>"BALTTRIB 2007 International Scientific Conference, Proceedings"</f>
        <v>BALTTRIB 2007 International Scientific Conference, Proceedings</v>
      </c>
      <c r="B6875" s="8" t="str">
        <f>"-"</f>
        <v>-</v>
      </c>
      <c r="C6875" s="8" t="s">
        <v>1266</v>
      </c>
    </row>
    <row r="6876" spans="1:3" x14ac:dyDescent="0.25">
      <c r="A6876" s="8" t="str">
        <f>"Bath Workshop on Power Transmission and Motion Control, PTMC 2004"</f>
        <v>Bath Workshop on Power Transmission and Motion Control, PTMC 2004</v>
      </c>
      <c r="B6876" s="8" t="str">
        <f>"9781860584664"</f>
        <v>9781860584664</v>
      </c>
      <c r="C6876" s="8" t="s">
        <v>1645</v>
      </c>
    </row>
    <row r="6877" spans="1:3" x14ac:dyDescent="0.25">
      <c r="A6877" s="8" t="str">
        <f>"Battelle Press - 9th International In Situ and On-Site Bioremediation Symposium 2007"</f>
        <v>Battelle Press - 9th International In Situ and On-Site Bioremediation Symposium 2007</v>
      </c>
      <c r="B6877" s="8" t="str">
        <f>"9781604239485"</f>
        <v>9781604239485</v>
      </c>
      <c r="C6877" s="8" t="s">
        <v>394</v>
      </c>
    </row>
    <row r="6878" spans="1:3" x14ac:dyDescent="0.25">
      <c r="A6878" s="8" t="str">
        <f>"Battery Congress 2014, Papers and Presentations"</f>
        <v>Battery Congress 2014, Papers and Presentations</v>
      </c>
      <c r="B6878" s="8" t="str">
        <f>"9781634390019"</f>
        <v>9781634390019</v>
      </c>
      <c r="C6878" s="8" t="s">
        <v>1699</v>
      </c>
    </row>
    <row r="6879" spans="1:3" x14ac:dyDescent="0.25">
      <c r="A6879" s="8" t="str">
        <f>"Battery Power 2009"</f>
        <v>Battery Power 2009</v>
      </c>
      <c r="B6879" s="8" t="str">
        <f>"9781615678693"</f>
        <v>9781615678693</v>
      </c>
      <c r="C6879" s="8" t="s">
        <v>1700</v>
      </c>
    </row>
    <row r="6880" spans="1:3" x14ac:dyDescent="0.25">
      <c r="A6880" s="8" t="str">
        <f>"Battery Power 2010"</f>
        <v>Battery Power 2010</v>
      </c>
      <c r="B6880" s="8" t="str">
        <f>"9781617822957"</f>
        <v>9781617822957</v>
      </c>
      <c r="C6880" s="8" t="s">
        <v>1700</v>
      </c>
    </row>
    <row r="6881" spans="1:3" x14ac:dyDescent="0.25">
      <c r="A6881" s="8" t="str">
        <f>"Battery Power 2011"</f>
        <v>Battery Power 2011</v>
      </c>
      <c r="B6881" s="8" t="str">
        <f>"9781618393562"</f>
        <v>9781618393562</v>
      </c>
      <c r="C6881" s="8" t="s">
        <v>1700</v>
      </c>
    </row>
    <row r="6882" spans="1:3" x14ac:dyDescent="0.25">
      <c r="A6882" s="8" t="str">
        <f>"Battery Power 2012"</f>
        <v>Battery Power 2012</v>
      </c>
      <c r="B6882" s="8" t="str">
        <f>"9781622769964"</f>
        <v>9781622769964</v>
      </c>
      <c r="C6882" s="8" t="s">
        <v>1700</v>
      </c>
    </row>
    <row r="6883" spans="1:3" x14ac:dyDescent="0.25">
      <c r="A6883" s="8" t="str">
        <f>"Battery Power Conference 2013"</f>
        <v>Battery Power Conference 2013</v>
      </c>
      <c r="B6883" s="8" t="str">
        <f>"9781627489027"</f>
        <v>9781627489027</v>
      </c>
      <c r="C6883" s="8" t="s">
        <v>1700</v>
      </c>
    </row>
    <row r="6884" spans="1:3" x14ac:dyDescent="0.25">
      <c r="A6884" s="8" t="str">
        <f>"Battery Power Conference 2014"</f>
        <v>Battery Power Conference 2014</v>
      </c>
      <c r="B6884" s="8" t="str">
        <f>"9781634392761"</f>
        <v>9781634392761</v>
      </c>
      <c r="C6884" s="8" t="s">
        <v>1700</v>
      </c>
    </row>
    <row r="6885" spans="1:3" x14ac:dyDescent="0.25">
      <c r="A6885" s="8" t="str">
        <f>"BEAMS 2002 - 14th International Conference on High-Power Particle Beams"</f>
        <v>BEAMS 2002 - 14th International Conference on High-Power Particle Beams</v>
      </c>
      <c r="B6885" s="8" t="str">
        <f>"9780735401075"</f>
        <v>9780735401075</v>
      </c>
      <c r="C6885" s="8" t="s">
        <v>9</v>
      </c>
    </row>
    <row r="6886" spans="1:3" x14ac:dyDescent="0.25">
      <c r="A6886" s="8" t="str">
        <f>"Beams 92 - Proceedings of the 9th International Conference on High-Power Particle Beams"</f>
        <v>Beams 92 - Proceedings of the 9th International Conference on High-Power Particle Beams</v>
      </c>
      <c r="B6886" s="8" t="str">
        <f>"-"</f>
        <v>-</v>
      </c>
      <c r="C6886" s="8" t="s">
        <v>9</v>
      </c>
    </row>
    <row r="6887" spans="1:3" x14ac:dyDescent="0.25">
      <c r="A6887" s="8" t="str">
        <f>"Bearing Capacity of Roads, Railways and Airfields - Proceedings of the 8th International Conference on the Bearing Capacity of Roads, Railways and Airfields"</f>
        <v>Bearing Capacity of Roads, Railways and Airfields - Proceedings of the 8th International Conference on the Bearing Capacity of Roads, Railways and Airfields</v>
      </c>
      <c r="B6887" s="8" t="str">
        <f>"9780415804325"</f>
        <v>9780415804325</v>
      </c>
      <c r="C6887" s="8" t="s">
        <v>1637</v>
      </c>
    </row>
    <row r="6888" spans="1:3" x14ac:dyDescent="0.25">
      <c r="A6888" s="8" t="str">
        <f>"BEC 2006 - 2006 International Baltic Electronics Conference; Proceedings of the 10th Biennial Baltic Electronics Conference"</f>
        <v>BEC 2006 - 2006 International Baltic Electronics Conference; Proceedings of the 10th Biennial Baltic Electronics Conference</v>
      </c>
      <c r="B6888" s="8" t="str">
        <f>"9781424404155"</f>
        <v>9781424404155</v>
      </c>
      <c r="C6888" s="8" t="s">
        <v>9</v>
      </c>
    </row>
    <row r="6889" spans="1:3" x14ac:dyDescent="0.25">
      <c r="A6889" s="8" t="str">
        <f>"BEC 2008 - 2008 International Biennial Baltic Electronics Conference, Proceedings of the 11th Biennial Baltic Electronics Conference"</f>
        <v>BEC 2008 - 2008 International Biennial Baltic Electronics Conference, Proceedings of the 11th Biennial Baltic Electronics Conference</v>
      </c>
      <c r="B6889" s="8" t="str">
        <f>"9781424420605"</f>
        <v>9781424420605</v>
      </c>
      <c r="C6889" s="8" t="s">
        <v>9</v>
      </c>
    </row>
    <row r="6890" spans="1:3" x14ac:dyDescent="0.25">
      <c r="A6890" s="8" t="str">
        <f>"BEC 2010 - 2010 12th Biennial Baltic Electronics Conference, Proceedings of the 12th Biennial Baltic Electronics Conference"</f>
        <v>BEC 2010 - 2010 12th Biennial Baltic Electronics Conference, Proceedings of the 12th Biennial Baltic Electronics Conference</v>
      </c>
      <c r="B6890" s="8" t="str">
        <f>"9781424473588"</f>
        <v>9781424473588</v>
      </c>
      <c r="C6890" s="8" t="s">
        <v>9</v>
      </c>
    </row>
    <row r="6891" spans="1:3" x14ac:dyDescent="0.25">
      <c r="A6891" s="8" t="str">
        <f>"Behavioral and Quantitative Game Theory: Conference on Future Directions 2010, BQGT 2010"</f>
        <v>Behavioral and Quantitative Game Theory: Conference on Future Directions 2010, BQGT 2010</v>
      </c>
      <c r="B6891" s="8" t="str">
        <f>"9781605589190"</f>
        <v>9781605589190</v>
      </c>
      <c r="C6891" s="8" t="s">
        <v>21</v>
      </c>
    </row>
    <row r="6892" spans="1:3" x14ac:dyDescent="0.25">
      <c r="A6892" s="8" t="str">
        <f>"BEIAC 2012 - 2012 IEEE Business, Engineering and Industrial Applications Colloquium"</f>
        <v>BEIAC 2012 - 2012 IEEE Business, Engineering and Industrial Applications Colloquium</v>
      </c>
      <c r="B6892" s="8" t="str">
        <f>"9781467304269"</f>
        <v>9781467304269</v>
      </c>
      <c r="C6892" s="8" t="s">
        <v>9</v>
      </c>
    </row>
    <row r="6893" spans="1:3" x14ac:dyDescent="0.25">
      <c r="A6893" s="8" t="str">
        <f>"BEIAC 2013 - 2013 IEEE Business Engineering and Industrial Applications Colloquium"</f>
        <v>BEIAC 2013 - 2013 IEEE Business Engineering and Industrial Applications Colloquium</v>
      </c>
      <c r="B6893" s="8" t="str">
        <f>"9781467359689"</f>
        <v>9781467359689</v>
      </c>
      <c r="C6893" s="8" t="s">
        <v>9</v>
      </c>
    </row>
    <row r="6894" spans="1:3" x14ac:dyDescent="0.25">
      <c r="A6894" s="8" t="str">
        <f>"Beitrage des Workshops der GI-Fachgruppe Entwicklungsmethoden fur Informationssysteme und Deren Anwendung"</f>
        <v>Beitrage des Workshops der GI-Fachgruppe Entwicklungsmethoden fur Informationssysteme und Deren Anwendung</v>
      </c>
      <c r="B6894" s="8" t="str">
        <f>"9783885791898"</f>
        <v>9783885791898</v>
      </c>
      <c r="C6894" s="8" t="s">
        <v>833</v>
      </c>
    </row>
    <row r="6895" spans="1:3" x14ac:dyDescent="0.25">
      <c r="A6895" s="8" t="str">
        <f>"Bericht der Fruhjahrstagung der Studiengruppe fur Elektronische Instrumentierung, SEI 2005"</f>
        <v>Bericht der Fruhjahrstagung der Studiengruppe fur Elektronische Instrumentierung, SEI 2005</v>
      </c>
      <c r="B6895" s="8" t="str">
        <f t="shared" ref="B6895:B6905" si="16">"-"</f>
        <v>-</v>
      </c>
      <c r="C6895" s="8" t="s">
        <v>1701</v>
      </c>
    </row>
    <row r="6896" spans="1:3" x14ac:dyDescent="0.25">
      <c r="A6896" s="8" t="str">
        <f>"Bericht der Fruhjahrstagung der Studiengruppe fur Elektronische Instrumentierung, SEI 2006"</f>
        <v>Bericht der Fruhjahrstagung der Studiengruppe fur Elektronische Instrumentierung, SEI 2006</v>
      </c>
      <c r="B6896" s="8" t="str">
        <f t="shared" si="16"/>
        <v>-</v>
      </c>
      <c r="C6896" s="8" t="s">
        <v>1701</v>
      </c>
    </row>
    <row r="6897" spans="1:3" x14ac:dyDescent="0.25">
      <c r="A6897" s="8" t="str">
        <f>"Bericht der Fruhjahrstagung der Studiengruppe fur Elektronische Instrumentierung, SEI 2007"</f>
        <v>Bericht der Fruhjahrstagung der Studiengruppe fur Elektronische Instrumentierung, SEI 2007</v>
      </c>
      <c r="B6897" s="8" t="str">
        <f t="shared" si="16"/>
        <v>-</v>
      </c>
      <c r="C6897" s="8" t="s">
        <v>1701</v>
      </c>
    </row>
    <row r="6898" spans="1:3" x14ac:dyDescent="0.25">
      <c r="A6898" s="8" t="str">
        <f>"Bericht der Fruhjahrstagung der Studiengruppe fur Elektronische Instrumentierung, SEI 2008"</f>
        <v>Bericht der Fruhjahrstagung der Studiengruppe fur Elektronische Instrumentierung, SEI 2008</v>
      </c>
      <c r="B6898" s="8" t="str">
        <f t="shared" si="16"/>
        <v>-</v>
      </c>
      <c r="C6898" s="8" t="s">
        <v>1702</v>
      </c>
    </row>
    <row r="6899" spans="1:3" x14ac:dyDescent="0.25">
      <c r="A6899" s="8" t="str">
        <f>"Bericht der Fruhjahrstagung der Studiengruppe fur Elektronische Instrumentierung, SEI 2009"</f>
        <v>Bericht der Fruhjahrstagung der Studiengruppe fur Elektronische Instrumentierung, SEI 2009</v>
      </c>
      <c r="B6899" s="8" t="str">
        <f t="shared" si="16"/>
        <v>-</v>
      </c>
      <c r="C6899" s="8" t="s">
        <v>1702</v>
      </c>
    </row>
    <row r="6900" spans="1:3" x14ac:dyDescent="0.25">
      <c r="A6900" s="8" t="str">
        <f>"Bericht der Fruhjahrstagung der Studiengruppe fur Elektronische Instrumentierung, SEI 2010"</f>
        <v>Bericht der Fruhjahrstagung der Studiengruppe fur Elektronische Instrumentierung, SEI 2010</v>
      </c>
      <c r="B6900" s="8" t="str">
        <f t="shared" si="16"/>
        <v>-</v>
      </c>
      <c r="C6900" s="8" t="s">
        <v>1702</v>
      </c>
    </row>
    <row r="6901" spans="1:3" x14ac:dyDescent="0.25">
      <c r="A6901" s="8" t="str">
        <f>"Bericht der Herbsttagung der Studiengruppe fur Elektronische Instrumentierung, SEI 2005"</f>
        <v>Bericht der Herbsttagung der Studiengruppe fur Elektronische Instrumentierung, SEI 2005</v>
      </c>
      <c r="B6901" s="8" t="str">
        <f t="shared" si="16"/>
        <v>-</v>
      </c>
      <c r="C6901" s="8" t="s">
        <v>1701</v>
      </c>
    </row>
    <row r="6902" spans="1:3" x14ac:dyDescent="0.25">
      <c r="A6902" s="8" t="str">
        <f>"Bericht der Herbsttagung der Studiengruppe fur Elektronische Instrumentierung, SEI 2006"</f>
        <v>Bericht der Herbsttagung der Studiengruppe fur Elektronische Instrumentierung, SEI 2006</v>
      </c>
      <c r="B6902" s="8" t="str">
        <f t="shared" si="16"/>
        <v>-</v>
      </c>
      <c r="C6902" s="8" t="s">
        <v>1701</v>
      </c>
    </row>
    <row r="6903" spans="1:3" x14ac:dyDescent="0.25">
      <c r="A6903" s="8" t="str">
        <f>"Bericht der Herbsttagung der Studiengruppe fur Elektronische Instrumentierung, SEI 2007"</f>
        <v>Bericht der Herbsttagung der Studiengruppe fur Elektronische Instrumentierung, SEI 2007</v>
      </c>
      <c r="B6903" s="8" t="str">
        <f t="shared" si="16"/>
        <v>-</v>
      </c>
      <c r="C6903" s="8" t="s">
        <v>1701</v>
      </c>
    </row>
    <row r="6904" spans="1:3" x14ac:dyDescent="0.25">
      <c r="A6904" s="8" t="str">
        <f>"Bericht der Herbsttagung der Studiengruppe fur Elektronische Instrumentierung, SEI 2008"</f>
        <v>Bericht der Herbsttagung der Studiengruppe fur Elektronische Instrumentierung, SEI 2008</v>
      </c>
      <c r="B6904" s="8" t="str">
        <f t="shared" si="16"/>
        <v>-</v>
      </c>
      <c r="C6904" s="8" t="s">
        <v>1702</v>
      </c>
    </row>
    <row r="6905" spans="1:3" x14ac:dyDescent="0.25">
      <c r="A6905" s="8" t="str">
        <f>"Bericht der Herbsttagung der Studiengruppe fur Elektronische Instrumentierung, SEI 2009"</f>
        <v>Bericht der Herbsttagung der Studiengruppe fur Elektronische Instrumentierung, SEI 2009</v>
      </c>
      <c r="B6905" s="8" t="str">
        <f t="shared" si="16"/>
        <v>-</v>
      </c>
      <c r="C6905" s="8" t="s">
        <v>1702</v>
      </c>
    </row>
    <row r="6906" spans="1:3" x14ac:dyDescent="0.25">
      <c r="A6906" s="8" t="str">
        <f>"Beyond Codes and Pixels - Proceedings of the 17th International Conference on Computer-Aided Architectural Design Research in Asia, CAADRIA 2012"</f>
        <v>Beyond Codes and Pixels - Proceedings of the 17th International Conference on Computer-Aided Architectural Design Research in Asia, CAADRIA 2012</v>
      </c>
      <c r="B6906" s="8" t="str">
        <f>"9789881902634"</f>
        <v>9789881902634</v>
      </c>
      <c r="C6906" s="8" t="s">
        <v>1703</v>
      </c>
    </row>
    <row r="6907" spans="1:3" x14ac:dyDescent="0.25">
      <c r="A6907" s="8" t="str">
        <f>"Beyond the Desert 2002: Accelerator, Non-Accelerator and Space APproaches in the New Millenium - Proceedings of the 3rd International Conference on Particle Physics Beyond the Standard Model"</f>
        <v>Beyond the Desert 2002: Accelerator, Non-Accelerator and Space APproaches in the New Millenium - Proceedings of the 3rd International Conference on Particle Physics Beyond the Standard Model</v>
      </c>
      <c r="B6907" s="8" t="str">
        <f>"9780750309349"</f>
        <v>9780750309349</v>
      </c>
      <c r="C6907" s="8" t="s">
        <v>184</v>
      </c>
    </row>
    <row r="6908" spans="1:3" x14ac:dyDescent="0.25">
      <c r="A6908" s="8" t="str">
        <f>"Beyond the desert 2002:Accel., Non-accelerator and Space Appr. in the New Millennium - Proc. of the Third Int. Conf. on Part. Phys. Beyond the Standard Model: Accel. and Non-Accel. and Space Appr."</f>
        <v>Beyond the desert 2002:Accel., Non-accelerator and Space Appr. in the New Millennium - Proc. of the Third Int. Conf. on Part. Phys. Beyond the Standard Model: Accel. and Non-Accel. and Space Appr.</v>
      </c>
      <c r="B6908" s="8" t="str">
        <f>"9780750309349"</f>
        <v>9780750309349</v>
      </c>
      <c r="C6908" s="8" t="s">
        <v>108</v>
      </c>
    </row>
    <row r="6909" spans="1:3" x14ac:dyDescent="0.25">
      <c r="A6909" s="8" t="str">
        <f>"BGA International Conference on Foundations, Innovations, Observations, Design and Practice"</f>
        <v>BGA International Conference on Foundations, Innovations, Observations, Design and Practice</v>
      </c>
      <c r="B6909" s="8" t="str">
        <f>"9780727732446"</f>
        <v>9780727732446</v>
      </c>
      <c r="C6909" s="8" t="s">
        <v>74</v>
      </c>
    </row>
    <row r="6910" spans="1:3" x14ac:dyDescent="0.25">
      <c r="A6910" s="8" t="str">
        <f>"BHR Group - 11th International Conferences on Pressure Surges"</f>
        <v>BHR Group - 11th International Conferences on Pressure Surges</v>
      </c>
      <c r="B6910" s="8" t="str">
        <f>"9781855981331"</f>
        <v>9781855981331</v>
      </c>
      <c r="C6910" s="8" t="s">
        <v>1246</v>
      </c>
    </row>
    <row r="6911" spans="1:3" x14ac:dyDescent="0.25">
      <c r="A6911" s="8" t="str">
        <f>"BHR Group - 14th International Symposium on Aerodynamics and Ventilation of Tunnels"</f>
        <v>BHR Group - 14th International Symposium on Aerodynamics and Ventilation of Tunnels</v>
      </c>
      <c r="B6911" s="8" t="str">
        <f>"9781855981232"</f>
        <v>9781855981232</v>
      </c>
      <c r="C6911" s="8" t="s">
        <v>1246</v>
      </c>
    </row>
    <row r="6912" spans="1:3" x14ac:dyDescent="0.25">
      <c r="A6912" s="8" t="str">
        <f>"BHR Group - 15th International Conference on Multiphase Production Technology"</f>
        <v>BHR Group - 15th International Conference on Multiphase Production Technology</v>
      </c>
      <c r="B6912" s="8" t="str">
        <f>"9781855981256"</f>
        <v>9781855981256</v>
      </c>
      <c r="C6912" s="8" t="s">
        <v>1246</v>
      </c>
    </row>
    <row r="6913" spans="1:3" x14ac:dyDescent="0.25">
      <c r="A6913" s="8" t="str">
        <f>"BHR Group - 15th International Symposium on Aerodynamics, Ventilation and Fire in Tunnels 2013"</f>
        <v>BHR Group - 15th International Symposium on Aerodynamics, Ventilation and Fire in Tunnels 2013</v>
      </c>
      <c r="B6913" s="8" t="str">
        <f>"9781629933870"</f>
        <v>9781629933870</v>
      </c>
      <c r="C6913" s="8" t="s">
        <v>1246</v>
      </c>
    </row>
    <row r="6914" spans="1:3" x14ac:dyDescent="0.25">
      <c r="A6914" s="8" t="str">
        <f>"BHR Group - 16th International Conference on Multiphase Production Technology 2013"</f>
        <v>BHR Group - 16th International Conference on Multiphase Production Technology 2013</v>
      </c>
      <c r="B6914" s="8" t="str">
        <f>"9781629932958"</f>
        <v>9781629932958</v>
      </c>
      <c r="C6914" s="8" t="s">
        <v>1246</v>
      </c>
    </row>
    <row r="6915" spans="1:3" x14ac:dyDescent="0.25">
      <c r="A6915" s="8" t="str">
        <f>"BHR Group - 18th International Conference on Pipeline Protection"</f>
        <v>BHR Group - 18th International Conference on Pipeline Protection</v>
      </c>
      <c r="B6915" s="8" t="str">
        <f>"9781855981140"</f>
        <v>9781855981140</v>
      </c>
      <c r="C6915" s="8" t="s">
        <v>1246</v>
      </c>
    </row>
    <row r="6916" spans="1:3" x14ac:dyDescent="0.25">
      <c r="A6916" s="8" t="str">
        <f>"BHR Group - 19th International Conference on Hydrotransport 2014"</f>
        <v>BHR Group - 19th International Conference on Hydrotransport 2014</v>
      </c>
      <c r="B6916" s="8" t="str">
        <f>"9781634394444"</f>
        <v>9781634394444</v>
      </c>
      <c r="C6916" s="8" t="s">
        <v>1246</v>
      </c>
    </row>
    <row r="6917" spans="1:3" x14ac:dyDescent="0.25">
      <c r="A6917" s="8" t="str">
        <f>"BHR Group - 20th International Conference on Fluid Sealing"</f>
        <v>BHR Group - 20th International Conference on Fluid Sealing</v>
      </c>
      <c r="B6917" s="8" t="str">
        <f>"9781855981133"</f>
        <v>9781855981133</v>
      </c>
      <c r="C6917" s="8" t="s">
        <v>1246</v>
      </c>
    </row>
    <row r="6918" spans="1:3" x14ac:dyDescent="0.25">
      <c r="A6918" s="8" t="str">
        <f>"BHR Group - 20th International Conference on Water Jetting"</f>
        <v>BHR Group - 20th International Conference on Water Jetting</v>
      </c>
      <c r="B6918" s="8" t="str">
        <f>"9781855981218"</f>
        <v>9781855981218</v>
      </c>
      <c r="C6918" s="8" t="s">
        <v>1246</v>
      </c>
    </row>
    <row r="6919" spans="1:3" x14ac:dyDescent="0.25">
      <c r="A6919" s="8" t="str">
        <f>"BHR Group - 21st International Conference on Fluid Sealing"</f>
        <v>BHR Group - 21st International Conference on Fluid Sealing</v>
      </c>
      <c r="B6919" s="8" t="str">
        <f>"9781855981270"</f>
        <v>9781855981270</v>
      </c>
      <c r="C6919" s="8" t="s">
        <v>1246</v>
      </c>
    </row>
    <row r="6920" spans="1:3" x14ac:dyDescent="0.25">
      <c r="A6920" s="8" t="str">
        <f>"BHR Group - 21st International Conference on Water Jetting: Looking to the Future, Learning from the Past"</f>
        <v>BHR Group - 21st International Conference on Water Jetting: Looking to the Future, Learning from the Past</v>
      </c>
      <c r="B6920" s="8" t="str">
        <f>"9781855981317"</f>
        <v>9781855981317</v>
      </c>
      <c r="C6920" s="8" t="s">
        <v>1246</v>
      </c>
    </row>
    <row r="6921" spans="1:3" x14ac:dyDescent="0.25">
      <c r="A6921" s="8" t="str">
        <f>"BHR Group - 22nd International Conference on Fluid Sealing 2013"</f>
        <v>BHR Group - 22nd International Conference on Fluid Sealing 2013</v>
      </c>
      <c r="B6921" s="8" t="str">
        <f>"9781632668578"</f>
        <v>9781632668578</v>
      </c>
      <c r="C6921" s="8" t="s">
        <v>1246</v>
      </c>
    </row>
    <row r="6922" spans="1:3" x14ac:dyDescent="0.25">
      <c r="A6922" s="8" t="str">
        <f>"BHR Group - 22nd International Conference on Water Jetting 2014"</f>
        <v>BHR Group - 22nd International Conference on Water Jetting 2014</v>
      </c>
      <c r="B6922" s="8" t="str">
        <f>"9781634394437"</f>
        <v>9781634394437</v>
      </c>
      <c r="C6922" s="8" t="s">
        <v>1246</v>
      </c>
    </row>
    <row r="6923" spans="1:3" x14ac:dyDescent="0.25">
      <c r="A6923" s="8" t="str">
        <f>"BHR Group - 4th International Conference on Water and Wastewater Pumping Stations"</f>
        <v>BHR Group - 4th International Conference on Water and Wastewater Pumping Stations</v>
      </c>
      <c r="B6923" s="8" t="str">
        <f>"9781855980990"</f>
        <v>9781855980990</v>
      </c>
      <c r="C6923" s="8" t="s">
        <v>1246</v>
      </c>
    </row>
    <row r="6924" spans="1:3" x14ac:dyDescent="0.25">
      <c r="A6924" s="8" t="str">
        <f>"BHR Group - 6th North American Conference on Multiphase Technology"</f>
        <v>BHR Group - 6th North American Conference on Multiphase Technology</v>
      </c>
      <c r="B6924" s="8" t="str">
        <f>"-"</f>
        <v>-</v>
      </c>
      <c r="C6924" s="8" t="s">
        <v>1246</v>
      </c>
    </row>
    <row r="6925" spans="1:3" x14ac:dyDescent="0.25">
      <c r="A6925" s="8" t="str">
        <f>"BHR Group - 7th North American Conference on Multiphase Technology"</f>
        <v>BHR Group - 7th North American Conference on Multiphase Technology</v>
      </c>
      <c r="B6925" s="8" t="str">
        <f>"9781855981171"</f>
        <v>9781855981171</v>
      </c>
      <c r="C6925" s="8" t="s">
        <v>1246</v>
      </c>
    </row>
    <row r="6926" spans="1:3" x14ac:dyDescent="0.25">
      <c r="A6926" s="8" t="str">
        <f>"BHR Group - 8th North American Conference on Multiphase Technology"</f>
        <v>BHR Group - 8th North American Conference on Multiphase Technology</v>
      </c>
      <c r="B6926" s="8" t="str">
        <f>"9781855981294"</f>
        <v>9781855981294</v>
      </c>
      <c r="C6926" s="8" t="s">
        <v>1246</v>
      </c>
    </row>
    <row r="6927" spans="1:3" x14ac:dyDescent="0.25">
      <c r="A6927" s="8" t="str">
        <f>"BHR Group - Surge Analysis - System Design, Simulation, Monitoring and Control, 10th International Conference on Pressure Surges"</f>
        <v>BHR Group - Surge Analysis - System Design, Simulation, Monitoring and Control, 10th International Conference on Pressure Surges</v>
      </c>
      <c r="B6927" s="8" t="str">
        <f>"9781855980952"</f>
        <v>9781855980952</v>
      </c>
      <c r="C6927" s="8" t="s">
        <v>1246</v>
      </c>
    </row>
    <row r="6928" spans="1:3" x14ac:dyDescent="0.25">
      <c r="A6928" s="8" t="str">
        <f>"BIC-TA 2009 - Proceedings, 2009 4th International Conference on Bio-Inspired Computing: Theories and Applications"</f>
        <v>BIC-TA 2009 - Proceedings, 2009 4th International Conference on Bio-Inspired Computing: Theories and Applications</v>
      </c>
      <c r="B6928" s="8" t="str">
        <f>"9781424438655"</f>
        <v>9781424438655</v>
      </c>
      <c r="C6928" s="8" t="s">
        <v>9</v>
      </c>
    </row>
    <row r="6929" spans="1:3" x14ac:dyDescent="0.25">
      <c r="A6929" s="8" t="str">
        <f>"BIHTEL 2014 - 10th International Symposium on Telecommunications, Proceedings"</f>
        <v>BIHTEL 2014 - 10th International Symposium on Telecommunications, Proceedings</v>
      </c>
      <c r="B6929" s="8" t="str">
        <f>"9781479941360"</f>
        <v>9781479941360</v>
      </c>
      <c r="C6929" s="8" t="s">
        <v>105</v>
      </c>
    </row>
    <row r="6930" spans="1:3" x14ac:dyDescent="0.25">
      <c r="A6930" s="8" t="str">
        <f>"Bioclimatology and Natural Hazards"</f>
        <v>Bioclimatology and Natural Hazards</v>
      </c>
      <c r="B6930" s="8" t="str">
        <f>"9781402088759"</f>
        <v>9781402088759</v>
      </c>
      <c r="C6930" s="8" t="s">
        <v>162</v>
      </c>
    </row>
    <row r="6931" spans="1:3" x14ac:dyDescent="0.25">
      <c r="A6931" s="8" t="str">
        <f>"Biodental Engineering II - Proceedings of the 2nd International Conference on Biodental Engineering, BIODENTAL 2012"</f>
        <v>Biodental Engineering II - Proceedings of the 2nd International Conference on Biodental Engineering, BIODENTAL 2012</v>
      </c>
      <c r="B6931" s="8" t="str">
        <f>"9781138001312"</f>
        <v>9781138001312</v>
      </c>
      <c r="C6931" s="8" t="s">
        <v>1619</v>
      </c>
    </row>
    <row r="6932" spans="1:3" x14ac:dyDescent="0.25">
      <c r="A6932" s="8" t="str">
        <f>"BIODEVICES 2008 - Proceedings of the 1st International Conference on Biomedical Electronics and Devices"</f>
        <v>BIODEVICES 2008 - Proceedings of the 1st International Conference on Biomedical Electronics and Devices</v>
      </c>
      <c r="B6932" s="8" t="str">
        <f>"9789898111173"</f>
        <v>9789898111173</v>
      </c>
      <c r="C6932" s="8" t="s">
        <v>1553</v>
      </c>
    </row>
    <row r="6933" spans="1:3" x14ac:dyDescent="0.25">
      <c r="A6933" s="8" t="str">
        <f>"BIODEVICES 2009 - Proceedings of the 2nd International Conference on Biomedical Electronics and Devices"</f>
        <v>BIODEVICES 2009 - Proceedings of the 2nd International Conference on Biomedical Electronics and Devices</v>
      </c>
      <c r="B6933" s="8" t="str">
        <f>"9789898111647"</f>
        <v>9789898111647</v>
      </c>
      <c r="C6933" s="8" t="s">
        <v>1525</v>
      </c>
    </row>
    <row r="6934" spans="1:3" x14ac:dyDescent="0.25">
      <c r="A6934" s="8" t="str">
        <f>"BIODEVICES 2010 - 3rd International Conference on Biomedical Electronics and Devices, Proceedings"</f>
        <v>BIODEVICES 2010 - 3rd International Conference on Biomedical Electronics and Devices, Proceedings</v>
      </c>
      <c r="B6934" s="8" t="str">
        <f>"9789896740177"</f>
        <v>9789896740177</v>
      </c>
      <c r="C6934" s="8" t="s">
        <v>1553</v>
      </c>
    </row>
    <row r="6935" spans="1:3" x14ac:dyDescent="0.25">
      <c r="A6935" s="8" t="str">
        <f>"BIODEVICES 2011 - Proceedings of the International Conference on Biomedical Electronics and Devices"</f>
        <v>BIODEVICES 2011 - Proceedings of the International Conference on Biomedical Electronics and Devices</v>
      </c>
      <c r="B6935" s="8" t="str">
        <f>"9789898425379"</f>
        <v>9789898425379</v>
      </c>
      <c r="C6935" s="8" t="s">
        <v>1553</v>
      </c>
    </row>
    <row r="6936" spans="1:3" x14ac:dyDescent="0.25">
      <c r="A6936" s="8" t="str">
        <f>"BIODEVICES 2012 - Proceedings of the International Conference on Biomedical Electronics and Devices"</f>
        <v>BIODEVICES 2012 - Proceedings of the International Conference on Biomedical Electronics and Devices</v>
      </c>
      <c r="B6936" s="8" t="str">
        <f>"9789898425911"</f>
        <v>9789898425911</v>
      </c>
      <c r="C6936" s="8" t="s">
        <v>1197</v>
      </c>
    </row>
    <row r="6937" spans="1:3" x14ac:dyDescent="0.25">
      <c r="A6937" s="8" t="str">
        <f>"BIODEVICES 2013 - Proceedings of the International Conference on Biomedical Electronics and Devices"</f>
        <v>BIODEVICES 2013 - Proceedings of the International Conference on Biomedical Electronics and Devices</v>
      </c>
      <c r="B6937" s="8" t="str">
        <f>"9789898565341"</f>
        <v>9789898565341</v>
      </c>
      <c r="C6937" s="8" t="s">
        <v>1680</v>
      </c>
    </row>
    <row r="6938" spans="1:3" x14ac:dyDescent="0.25">
      <c r="A6938" s="8" t="str">
        <f>"BIODEVICES 2015 - 8th International Conference on Biomedical Electronics and Devices, Proceedings; Part of 8th International Joint Conference on Biomedical Engineering Systems and Technologies, BIOSTEC 2015"</f>
        <v>BIODEVICES 2015 - 8th International Conference on Biomedical Electronics and Devices, Proceedings; Part of 8th International Joint Conference on Biomedical Engineering Systems and Technologies, BIOSTEC 2015</v>
      </c>
      <c r="B6938" s="8" t="str">
        <f>"9789897580710"</f>
        <v>9789897580710</v>
      </c>
      <c r="C6938" s="8" t="s">
        <v>1197</v>
      </c>
    </row>
    <row r="6939" spans="1:3" x14ac:dyDescent="0.25">
      <c r="A6939" s="8" t="str">
        <f>"Biofuels and Energy: Outlook, Efficiency, and Production - Presentations from the 2006 TAPPI Forum on Energy and 2007 TAPPI International Conference on Renewable Energy"</f>
        <v>Biofuels and Energy: Outlook, Efficiency, and Production - Presentations from the 2006 TAPPI Forum on Energy and 2007 TAPPI International Conference on Renewable Energy</v>
      </c>
      <c r="B6939" s="8" t="str">
        <f>"9781615676019"</f>
        <v>9781615676019</v>
      </c>
      <c r="C6939" s="8" t="s">
        <v>1099</v>
      </c>
    </row>
    <row r="6940" spans="1:3" x14ac:dyDescent="0.25">
      <c r="A6940" s="8" t="str">
        <f>"Biofuture for Mankind Conference"</f>
        <v>Biofuture for Mankind Conference</v>
      </c>
      <c r="B6940" s="8" t="str">
        <f>"-"</f>
        <v>-</v>
      </c>
      <c r="C6940" s="8" t="s">
        <v>1704</v>
      </c>
    </row>
    <row r="6941" spans="1:3" x14ac:dyDescent="0.25">
      <c r="A6941" s="8" t="str">
        <f>"Biohydrometallurgy: From the Single Cell to the Environment, IBS 2007"</f>
        <v>Biohydrometallurgy: From the Single Cell to the Environment, IBS 2007</v>
      </c>
      <c r="B6941" s="8" t="str">
        <f>"9780878494521"</f>
        <v>9780878494521</v>
      </c>
      <c r="C6941" s="8" t="s">
        <v>1266</v>
      </c>
    </row>
    <row r="6942" spans="1:3" x14ac:dyDescent="0.25">
      <c r="A6942" s="8" t="str">
        <f>"BIOIMAGING 2015 - 2nd International Conference on Bioimaging, Proceedings; Part of 8th International Joint Conference on Biomedical Engineering Systems and Technologies, BIOSTEC 2015"</f>
        <v>BIOIMAGING 2015 - 2nd International Conference on Bioimaging, Proceedings; Part of 8th International Joint Conference on Biomedical Engineering Systems and Technologies, BIOSTEC 2015</v>
      </c>
      <c r="B6942" s="8" t="str">
        <f>"9789897580727"</f>
        <v>9789897580727</v>
      </c>
      <c r="C6942" s="8" t="s">
        <v>1197</v>
      </c>
    </row>
    <row r="6943" spans="1:3" x14ac:dyDescent="0.25">
      <c r="A6943" s="8" t="str">
        <f>"BIOINFORMATICS 2010 - Proceedings of the 1st International Conference on Bioinformatics"</f>
        <v>BIOINFORMATICS 2010 - Proceedings of the 1st International Conference on Bioinformatics</v>
      </c>
      <c r="B6943" s="8" t="str">
        <f>"9789896740191"</f>
        <v>9789896740191</v>
      </c>
      <c r="C6943" s="8" t="s">
        <v>1266</v>
      </c>
    </row>
    <row r="6944" spans="1:3" x14ac:dyDescent="0.25">
      <c r="A6944" s="8" t="str">
        <f>"BIOINFORMATICS 2011 - Proceedings of the International Conference on Bioinformatics Models, Methods and Algorithms"</f>
        <v>BIOINFORMATICS 2011 - Proceedings of the International Conference on Bioinformatics Models, Methods and Algorithms</v>
      </c>
      <c r="B6944" s="8" t="str">
        <f>"9789898425362"</f>
        <v>9789898425362</v>
      </c>
    </row>
    <row r="6945" spans="1:3" x14ac:dyDescent="0.25">
      <c r="A6945" s="8" t="str">
        <f>"BIOINFORMATICS 2012 - Proceedings of the International Conference on Bioinformatics Models, Methods and Algorithms"</f>
        <v>BIOINFORMATICS 2012 - Proceedings of the International Conference on Bioinformatics Models, Methods and Algorithms</v>
      </c>
      <c r="B6945" s="8" t="str">
        <f>"9789898425904"</f>
        <v>9789898425904</v>
      </c>
      <c r="C6945" s="8" t="s">
        <v>1197</v>
      </c>
    </row>
    <row r="6946" spans="1:3" x14ac:dyDescent="0.25">
      <c r="A6946" s="8" t="str">
        <f>"BIOINFORMATICS 2013 - Proceedings of the International Conference on Bioinformatics Models, Methods and Algorithms"</f>
        <v>BIOINFORMATICS 2013 - Proceedings of the International Conference on Bioinformatics Models, Methods and Algorithms</v>
      </c>
      <c r="B6946" s="8" t="str">
        <f>"9789898565358"</f>
        <v>9789898565358</v>
      </c>
      <c r="C6946" s="8" t="s">
        <v>1680</v>
      </c>
    </row>
    <row r="6947" spans="1:3" x14ac:dyDescent="0.25">
      <c r="A6947" s="8" t="str">
        <f>"BIOINFORMATICS 2015 - 6th International Conference on Bioinformatics Models, Methods and Algorithms, Proceedings; Part of 8th International Joint Conference on Biomedical Engineering Systems and Technologies, BIOSTEC 2015"</f>
        <v>BIOINFORMATICS 2015 - 6th International Conference on Bioinformatics Models, Methods and Algorithms, Proceedings; Part of 8th International Joint Conference on Biomedical Engineering Systems and Technologies, BIOSTEC 2015</v>
      </c>
      <c r="B6947" s="8" t="str">
        <f>"9789897580703"</f>
        <v>9789897580703</v>
      </c>
      <c r="C6947" s="8" t="s">
        <v>1197</v>
      </c>
    </row>
    <row r="6948" spans="1:3" x14ac:dyDescent="0.25">
      <c r="A6948" s="8" t="str">
        <f>"Bioinspired Optimization Methods and their Applications - Proceedings of the 2nd International Conference on Bioinspired Optimization Methods and their Applications, BIOMA 2006"</f>
        <v>Bioinspired Optimization Methods and their Applications - Proceedings of the 2nd International Conference on Bioinspired Optimization Methods and their Applications, BIOMA 2006</v>
      </c>
      <c r="B6948" s="8" t="str">
        <f>"9789616303811"</f>
        <v>9789616303811</v>
      </c>
      <c r="C6948" s="8" t="s">
        <v>1597</v>
      </c>
    </row>
    <row r="6949" spans="1:3" x14ac:dyDescent="0.25">
      <c r="A6949" s="8" t="str">
        <f>"Bioinspired Optimization Methods and their Applications - Proceedings of the 3rd International Conference on Bioinspired Optimization Methods and their Applications, BIOMA 2008"</f>
        <v>Bioinspired Optimization Methods and their Applications - Proceedings of the 3rd International Conference on Bioinspired Optimization Methods and their Applications, BIOMA 2008</v>
      </c>
      <c r="B6949" s="8" t="str">
        <f>"9789612640026"</f>
        <v>9789612640026</v>
      </c>
      <c r="C6949" s="8" t="s">
        <v>1597</v>
      </c>
    </row>
    <row r="6950" spans="1:3" x14ac:dyDescent="0.25">
      <c r="A6950" s="8" t="str">
        <f>"Bioinspired Optimization Methods and their Applications - Proceedings of the 4th International Conference on Bioinspired Optimization Methods and their Applications, BIOMA 2010"</f>
        <v>Bioinspired Optimization Methods and their Applications - Proceedings of the 4th International Conference on Bioinspired Optimization Methods and their Applications, BIOMA 2010</v>
      </c>
      <c r="B6950" s="8" t="str">
        <f>"9789612640170"</f>
        <v>9789612640170</v>
      </c>
      <c r="C6950" s="8" t="s">
        <v>1597</v>
      </c>
    </row>
    <row r="6951" spans="1:3" x14ac:dyDescent="0.25">
      <c r="A6951" s="8" t="str">
        <f>"Bioinspired Optimization Methods and their Applications - Proceedings of the International Conference on Bioinspired Optimization Methods and their Applications, BIOMA 2004"</f>
        <v>Bioinspired Optimization Methods and their Applications - Proceedings of the International Conference on Bioinspired Optimization Methods and their Applications, BIOMA 2004</v>
      </c>
      <c r="B6951" s="8" t="str">
        <f>"9789616303613"</f>
        <v>9789616303613</v>
      </c>
      <c r="C6951" s="8" t="s">
        <v>1597</v>
      </c>
    </row>
    <row r="6952" spans="1:3" x14ac:dyDescent="0.25">
      <c r="A6952" s="8" t="str">
        <f>"Biological Monitoring - Theory and Applications"</f>
        <v>Biological Monitoring - Theory and Applications</v>
      </c>
      <c r="B6952" s="8" t="str">
        <f>"9781845640026"</f>
        <v>9781845640026</v>
      </c>
      <c r="C6952" s="8" t="s">
        <v>1641</v>
      </c>
    </row>
    <row r="6953" spans="1:3" x14ac:dyDescent="0.25">
      <c r="A6953" s="8" t="str">
        <f>"Biological Treatment Symposium 2013"</f>
        <v>Biological Treatment Symposium 2013</v>
      </c>
      <c r="B6953" s="8" t="str">
        <f>"9781627484176"</f>
        <v>9781627484176</v>
      </c>
      <c r="C6953" s="8" t="s">
        <v>651</v>
      </c>
    </row>
    <row r="6954" spans="1:3" x14ac:dyDescent="0.25">
      <c r="A6954" s="8" t="str">
        <f>"BioMedical Engineering and Informatics: New Development and the Future - Proceedings of the 1st International Conference on BioMedical Engineering and Informatics, BMEI 2008"</f>
        <v>BioMedical Engineering and Informatics: New Development and the Future - Proceedings of the 1st International Conference on BioMedical Engineering and Informatics, BMEI 2008</v>
      </c>
      <c r="B6954" s="8" t="str">
        <f>"9780769531182"</f>
        <v>9780769531182</v>
      </c>
      <c r="C6954" s="8" t="s">
        <v>9</v>
      </c>
    </row>
    <row r="6955" spans="1:3" x14ac:dyDescent="0.25">
      <c r="A6955" s="8" t="str">
        <f>"Biomedical Optics, BIOMED 2008"</f>
        <v>Biomedical Optics, BIOMED 2008</v>
      </c>
      <c r="B6955" s="8" t="str">
        <f>"-"</f>
        <v>-</v>
      </c>
      <c r="C6955" s="8" t="s">
        <v>86</v>
      </c>
    </row>
    <row r="6956" spans="1:3" x14ac:dyDescent="0.25">
      <c r="A6956" s="8" t="str">
        <f>"Biomedical Optics, BIOMED 2012"</f>
        <v>Biomedical Optics, BIOMED 2012</v>
      </c>
      <c r="B6956" s="8" t="str">
        <f>"9781557529428"</f>
        <v>9781557529428</v>
      </c>
      <c r="C6956" s="8" t="s">
        <v>86</v>
      </c>
    </row>
    <row r="6957" spans="1:3" x14ac:dyDescent="0.25">
      <c r="A6957" s="8" t="str">
        <f>"Biometrics Symposium, BCC 2006"</f>
        <v>Biometrics Symposium, BCC 2006</v>
      </c>
      <c r="B6957" s="8" t="str">
        <f>"9781424404872"</f>
        <v>9781424404872</v>
      </c>
      <c r="C6957" s="8" t="s">
        <v>9</v>
      </c>
    </row>
    <row r="6958" spans="1:3" x14ac:dyDescent="0.25">
      <c r="A6958" s="8" t="str">
        <f>"BioMS 2010 - 2010 IEEE Workshop on Biometric Measurements and Systems for Security and Medical Applications, Proceedings"</f>
        <v>BioMS 2010 - 2010 IEEE Workshop on Biometric Measurements and Systems for Security and Medical Applications, Proceedings</v>
      </c>
      <c r="B6958" s="8" t="str">
        <f>"9781424463039"</f>
        <v>9781424463039</v>
      </c>
      <c r="C6958" s="8" t="s">
        <v>9</v>
      </c>
    </row>
    <row r="6959" spans="1:3" x14ac:dyDescent="0.25">
      <c r="A6959" s="8" t="str">
        <f>"BioMS 2011 - 2011 IEEE Workshop on Biometric Measurements and Systems for Security and Medical Applications, Proceedings"</f>
        <v>BioMS 2011 - 2011 IEEE Workshop on Biometric Measurements and Systems for Security and Medical Applications, Proceedings</v>
      </c>
      <c r="B6959" s="8" t="str">
        <f>"9781457707643"</f>
        <v>9781457707643</v>
      </c>
      <c r="C6959" s="8" t="s">
        <v>9</v>
      </c>
    </row>
    <row r="6960" spans="1:3" x14ac:dyDescent="0.25">
      <c r="A6960" s="8" t="str">
        <f>"BioMS 2012 - 2012 IEEE Workshop on Biometric Measurements and Systems for Security and Medical Applications, Proceedings"</f>
        <v>BioMS 2012 - 2012 IEEE Workshop on Biometric Measurements and Systems for Security and Medical Applications, Proceedings</v>
      </c>
      <c r="B6960" s="8" t="str">
        <f>"9781467327213"</f>
        <v>9781467327213</v>
      </c>
      <c r="C6960" s="8" t="s">
        <v>9</v>
      </c>
    </row>
    <row r="6961" spans="1:3" x14ac:dyDescent="0.25">
      <c r="A6961" s="8" t="str">
        <f>"BIOMS 2014 - 2014 IEEE Workshop on Biometric Measurements and Systems for Security and Medical Applications, Proceedings"</f>
        <v>BIOMS 2014 - 2014 IEEE Workshop on Biometric Measurements and Systems for Security and Medical Applications, Proceedings</v>
      </c>
      <c r="B6961" s="8" t="str">
        <f>"9781479951758"</f>
        <v>9781479951758</v>
      </c>
      <c r="C6961" s="8" t="s">
        <v>105</v>
      </c>
    </row>
    <row r="6962" spans="1:3" x14ac:dyDescent="0.25">
      <c r="A6962" s="8" t="str">
        <f>"Bio-Optics: Design and Application, BODA 2013"</f>
        <v>Bio-Optics: Design and Application, BODA 2013</v>
      </c>
      <c r="B6962" s="8" t="str">
        <f>"9781557529664"</f>
        <v>9781557529664</v>
      </c>
      <c r="C6962" s="8" t="s">
        <v>86</v>
      </c>
    </row>
    <row r="6963" spans="1:3" x14ac:dyDescent="0.25">
      <c r="A6963" s="8" t="str">
        <f>"Bio-Optics: Design and Application, BODA 2015"</f>
        <v>Bio-Optics: Design and Application, BODA 2015</v>
      </c>
      <c r="B6963" s="8" t="str">
        <f>"9781557529541"</f>
        <v>9781557529541</v>
      </c>
      <c r="C6963" s="8" t="s">
        <v>86</v>
      </c>
    </row>
    <row r="6964" spans="1:3" x14ac:dyDescent="0.25">
      <c r="A6964" s="8" t="str">
        <f>"BIOSIG 2013 - Proceedings of the 12th International Conference of the Biometrics Special Interest Group"</f>
        <v>BIOSIG 2013 - Proceedings of the 12th International Conference of the Biometrics Special Interest Group</v>
      </c>
      <c r="B6964" s="8" t="str">
        <f>"9783885796060"</f>
        <v>9783885796060</v>
      </c>
      <c r="C6964" s="8" t="s">
        <v>105</v>
      </c>
    </row>
    <row r="6965" spans="1:3" x14ac:dyDescent="0.25">
      <c r="A6965" s="8" t="str">
        <f>"BIOSIGNALS 2008 - Proceedings of the 1st International Conference on Bio-inspired Systems and Signal Processing"</f>
        <v>BIOSIGNALS 2008 - Proceedings of the 1st International Conference on Bio-inspired Systems and Signal Processing</v>
      </c>
      <c r="B6965" s="8" t="str">
        <f>"9789898111180"</f>
        <v>9789898111180</v>
      </c>
      <c r="C6965" s="8" t="s">
        <v>1553</v>
      </c>
    </row>
    <row r="6966" spans="1:3" x14ac:dyDescent="0.25">
      <c r="A6966" s="8" t="str">
        <f>"BIOSIGNALS 2009 - Proceedings of the 2nd International Conference on Bio-Inspired Systems and Signal Processing"</f>
        <v>BIOSIGNALS 2009 - Proceedings of the 2nd International Conference on Bio-Inspired Systems and Signal Processing</v>
      </c>
      <c r="B6966" s="8" t="str">
        <f>"9789898111654"</f>
        <v>9789898111654</v>
      </c>
      <c r="C6966" s="8" t="s">
        <v>1525</v>
      </c>
    </row>
    <row r="6967" spans="1:3" x14ac:dyDescent="0.25">
      <c r="A6967" s="8" t="str">
        <f>"BIOSIGNALS 2010 - Proceedings of the 3rd International Conference on Bio-inpsired Systems and Signal Processing, Proceedings"</f>
        <v>BIOSIGNALS 2010 - Proceedings of the 3rd International Conference on Bio-inpsired Systems and Signal Processing, Proceedings</v>
      </c>
      <c r="B6967" s="8" t="str">
        <f>"9789896740184"</f>
        <v>9789896740184</v>
      </c>
      <c r="C6967" s="8" t="s">
        <v>1553</v>
      </c>
    </row>
    <row r="6968" spans="1:3" x14ac:dyDescent="0.25">
      <c r="A6968" s="8" t="str">
        <f>"BIOSIGNALS 2011 - Proceedings of the International Conference on Bio-Inspired Systems and Signal Processing"</f>
        <v>BIOSIGNALS 2011 - Proceedings of the International Conference on Bio-Inspired Systems and Signal Processing</v>
      </c>
      <c r="B6968" s="8" t="str">
        <f>"9789898425355"</f>
        <v>9789898425355</v>
      </c>
      <c r="C6968" s="8" t="s">
        <v>1553</v>
      </c>
    </row>
    <row r="6969" spans="1:3" x14ac:dyDescent="0.25">
      <c r="A6969" s="8" t="str">
        <f>"BIOSIGNALS 2012 - Proceedings of the International Conference on Bio-Inspired Systems and Signal Processing"</f>
        <v>BIOSIGNALS 2012 - Proceedings of the International Conference on Bio-Inspired Systems and Signal Processing</v>
      </c>
      <c r="B6969" s="8" t="str">
        <f>"9789898425898"</f>
        <v>9789898425898</v>
      </c>
      <c r="C6969" s="8" t="s">
        <v>1197</v>
      </c>
    </row>
    <row r="6970" spans="1:3" x14ac:dyDescent="0.25">
      <c r="A6970" s="8" t="str">
        <f>"BIOSIGNALS 2013 - Proceedings of the International Conference on Bio-Inspired Systems and Signal Processing"</f>
        <v>BIOSIGNALS 2013 - Proceedings of the International Conference on Bio-Inspired Systems and Signal Processing</v>
      </c>
      <c r="B6970" s="8" t="str">
        <f>"9789898565365"</f>
        <v>9789898565365</v>
      </c>
      <c r="C6970" s="8" t="s">
        <v>1680</v>
      </c>
    </row>
    <row r="6971" spans="1:3" x14ac:dyDescent="0.25">
      <c r="A6971" s="8" t="str">
        <f>"BIOSIGNALS 2015 - 8th International Conference on Bio-Inspired Systems and Signal Processing, Proceedings; Part of 8th International Joint Conference on Biomedical Engineering Systems and Technologies, BIOSTEC 2015"</f>
        <v>BIOSIGNALS 2015 - 8th International Conference on Bio-Inspired Systems and Signal Processing, Proceedings; Part of 8th International Joint Conference on Biomedical Engineering Systems and Technologies, BIOSTEC 2015</v>
      </c>
      <c r="B6971" s="8" t="str">
        <f>"9789897580697"</f>
        <v>9789897580697</v>
      </c>
      <c r="C6971" s="8" t="s">
        <v>1197</v>
      </c>
    </row>
    <row r="6972" spans="1:3" x14ac:dyDescent="0.25">
      <c r="A6972" s="8" t="str">
        <f>"Biotechniques for Air Pollution Control - Proceedings of the 3rd International Congress on Biotechniques for Air Pollution Control"</f>
        <v>Biotechniques for Air Pollution Control - Proceedings of the 3rd International Congress on Biotechniques for Air Pollution Control</v>
      </c>
      <c r="B6972" s="8" t="str">
        <f>"9780415582704"</f>
        <v>9780415582704</v>
      </c>
      <c r="C6972" s="8" t="s">
        <v>1637</v>
      </c>
    </row>
    <row r="6973" spans="1:3" x14ac:dyDescent="0.25">
      <c r="A6973" s="8" t="str">
        <f>"Biotechnology, Agriculture, Environment and Energy - Proceedings of the International Conference on Biotechnology, Agriculture, Environment and Energy, ICBAEE 2014"</f>
        <v>Biotechnology, Agriculture, Environment and Energy - Proceedings of the International Conference on Biotechnology, Agriculture, Environment and Energy, ICBAEE 2014</v>
      </c>
      <c r="B6973" s="8" t="str">
        <f>"9781138026544"</f>
        <v>9781138026544</v>
      </c>
      <c r="C6973" s="8" t="s">
        <v>1635</v>
      </c>
    </row>
    <row r="6974" spans="1:3" x14ac:dyDescent="0.25">
      <c r="A6974" s="8" t="str">
        <f>"BioVis 2013 - IEEE Symposium on Biological Data Visualization 2013, Proceedings"</f>
        <v>BioVis 2013 - IEEE Symposium on Biological Data Visualization 2013, Proceedings</v>
      </c>
      <c r="B6974" s="8" t="str">
        <f>"9781479916580"</f>
        <v>9781479916580</v>
      </c>
      <c r="C6974" s="8" t="s">
        <v>9</v>
      </c>
    </row>
    <row r="6975" spans="1:3" x14ac:dyDescent="0.25">
      <c r="A6975" s="8" t="str">
        <f>"BioWireleSS 2013 - Proceedings: 2013 IEEE Topical Conference on Biomedical Wireless Technologies, Networks, and Sensing Systems - 2013 IEEE Radio and Wireless Week, RWW 2013"</f>
        <v>BioWireleSS 2013 - Proceedings: 2013 IEEE Topical Conference on Biomedical Wireless Technologies, Networks, and Sensing Systems - 2013 IEEE Radio and Wireless Week, RWW 2013</v>
      </c>
      <c r="B6975" s="8" t="str">
        <f>"9781467329309"</f>
        <v>9781467329309</v>
      </c>
      <c r="C6975" s="8" t="s">
        <v>9</v>
      </c>
    </row>
    <row r="6976" spans="1:3" x14ac:dyDescent="0.25">
      <c r="A6976" s="8" t="str">
        <f>"BIR 2009 - 8th International Conference on Perspectives in Business Informatics Research"</f>
        <v>BIR 2009 - 8th International Conference on Perspectives in Business Informatics Research</v>
      </c>
      <c r="B6976" s="8" t="str">
        <f>"-"</f>
        <v>-</v>
      </c>
      <c r="C6976" s="8" t="s">
        <v>1705</v>
      </c>
    </row>
    <row r="6977" spans="1:3" x14ac:dyDescent="0.25">
      <c r="A6977" s="8" t="str">
        <f>"Bituminous Mixtures and Pavements VI - Proceedings of the 6th International Conference on Bituminous Mixtures and Pavements, ICONFBMP  2015"</f>
        <v>Bituminous Mixtures and Pavements VI - Proceedings of the 6th International Conference on Bituminous Mixtures and Pavements, ICONFBMP  2015</v>
      </c>
      <c r="B6977" s="8" t="str">
        <f>"9781138028661"</f>
        <v>9781138028661</v>
      </c>
      <c r="C6977" s="8" t="s">
        <v>1635</v>
      </c>
    </row>
    <row r="6978" spans="1:3" x14ac:dyDescent="0.25">
      <c r="A6978" s="8" t="str">
        <f>"Blasting in Mines - New Trends: Workshop Hosted by FRAGBLAST 10 - The 10th International Symposium on Rock Fragmentation by Blasting"</f>
        <v>Blasting in Mines - New Trends: Workshop Hosted by FRAGBLAST 10 - The 10th International Symposium on Rock Fragmentation by Blasting</v>
      </c>
      <c r="B6978" s="8" t="str">
        <f>"9780415621397"</f>
        <v>9780415621397</v>
      </c>
      <c r="C6978" s="8" t="s">
        <v>1635</v>
      </c>
    </row>
    <row r="6979" spans="1:3" x14ac:dyDescent="0.25">
      <c r="A6979" s="8" t="str">
        <f>"BMAS 2004 - Proceedings of the 2004 IEEE International Behavioral Modeling and Simulation Conference"</f>
        <v>BMAS 2004 - Proceedings of the 2004 IEEE International Behavioral Modeling and Simulation Conference</v>
      </c>
      <c r="B6979" s="8" t="str">
        <f>"9780780386150"</f>
        <v>9780780386150</v>
      </c>
      <c r="C6979" s="8" t="s">
        <v>105</v>
      </c>
    </row>
    <row r="6980" spans="1:3" x14ac:dyDescent="0.25">
      <c r="A6980" s="8" t="str">
        <f>"BMAS 2005 - Proceedings of the 2005 IEEE International Behavioral Modeling and Simulation Workshop"</f>
        <v>BMAS 2005 - Proceedings of the 2005 IEEE International Behavioral Modeling and Simulation Workshop</v>
      </c>
      <c r="B6980" s="8" t="str">
        <f>"-"</f>
        <v>-</v>
      </c>
      <c r="C6980" s="8" t="s">
        <v>9</v>
      </c>
    </row>
    <row r="6981" spans="1:3" x14ac:dyDescent="0.25">
      <c r="A6981" s="8" t="str">
        <f>"BMAS 2006 - Proceedings of the 2006 IEEE International Behavioral Modeling and Simulation Workshop"</f>
        <v>BMAS 2006 - Proceedings of the 2006 IEEE International Behavioral Modeling and Simulation Workshop</v>
      </c>
      <c r="B6981" s="8" t="str">
        <f>"9780780397422"</f>
        <v>9780780397422</v>
      </c>
      <c r="C6981" s="8" t="s">
        <v>105</v>
      </c>
    </row>
    <row r="6982" spans="1:3" x14ac:dyDescent="0.25">
      <c r="A6982" s="8" t="str">
        <f>"BMAS 2008 - Proceedings of the 2008 IEEE International Behavioral Modeling and Simulation Workshop"</f>
        <v>BMAS 2008 - Proceedings of the 2008 IEEE International Behavioral Modeling and Simulation Workshop</v>
      </c>
      <c r="B6982" s="8" t="str">
        <f>"9781424428960"</f>
        <v>9781424428960</v>
      </c>
      <c r="C6982" s="8" t="s">
        <v>9</v>
      </c>
    </row>
    <row r="6983" spans="1:3" x14ac:dyDescent="0.25">
      <c r="A6983" s="8" t="str">
        <f>"BMAS 2009 - 2009 IEEE International Behavioral Modeling and Simulation Workshop"</f>
        <v>BMAS 2009 - 2009 IEEE International Behavioral Modeling and Simulation Workshop</v>
      </c>
      <c r="B6983" s="8" t="str">
        <f>"9781424453597"</f>
        <v>9781424453597</v>
      </c>
      <c r="C6983" s="8" t="s">
        <v>9</v>
      </c>
    </row>
    <row r="6984" spans="1:3" x14ac:dyDescent="0.25">
      <c r="A6984" s="8" t="str">
        <f>"BMEI 2011 - Proceedings 2011 International Conference on Business Management and Electronic Information"</f>
        <v>BMEI 2011 - Proceedings 2011 International Conference on Business Management and Electronic Information</v>
      </c>
      <c r="B6984" s="8" t="str">
        <f>"9781612841069"</f>
        <v>9781612841069</v>
      </c>
      <c r="C6984" s="8" t="s">
        <v>9</v>
      </c>
    </row>
    <row r="6985" spans="1:3" x14ac:dyDescent="0.25">
      <c r="A6985" s="8" t="str">
        <f>"BMEiCON 2013 - 6th Biomedical Engineering International Conference"</f>
        <v>BMEiCON 2013 - 6th Biomedical Engineering International Conference</v>
      </c>
      <c r="B6985" s="8" t="str">
        <f>"9781479914678"</f>
        <v>9781479914678</v>
      </c>
      <c r="C6985" s="8" t="s">
        <v>9</v>
      </c>
    </row>
    <row r="6986" spans="1:3" x14ac:dyDescent="0.25">
      <c r="A6986" s="8" t="str">
        <f>"BMEiCON 2014 - 7th Biomedical Engineering International Conference"</f>
        <v>BMEiCON 2014 - 7th Biomedical Engineering International Conference</v>
      </c>
      <c r="B6986" s="8" t="str">
        <f>"9781479968015"</f>
        <v>9781479968015</v>
      </c>
      <c r="C6986" s="8" t="s">
        <v>105</v>
      </c>
    </row>
    <row r="6987" spans="1:3" x14ac:dyDescent="0.25">
      <c r="A6987" s="8" t="str">
        <f>"BMEiCON-2011 - 4th Biomedical Engineering International Conference"</f>
        <v>BMEiCON-2011 - 4th Biomedical Engineering International Conference</v>
      </c>
      <c r="B6987" s="8" t="str">
        <f>"9781457721908"</f>
        <v>9781457721908</v>
      </c>
      <c r="C6987" s="8" t="s">
        <v>9</v>
      </c>
    </row>
    <row r="6988" spans="1:3" x14ac:dyDescent="0.25">
      <c r="A6988" s="8" t="str">
        <f>"BMSD 2011 - Proceedings of the 1st International Symposium on Business Modeling and Software Design"</f>
        <v>BMSD 2011 - Proceedings of the 1st International Symposium on Business Modeling and Software Design</v>
      </c>
      <c r="B6988" s="8" t="str">
        <f>"9789898425683"</f>
        <v>9789898425683</v>
      </c>
      <c r="C6988" s="8" t="s">
        <v>1197</v>
      </c>
    </row>
    <row r="6989" spans="1:3" x14ac:dyDescent="0.25">
      <c r="A6989" s="8" t="str">
        <f>"BMSD 2012 - Proceedings of the 2nd International Symposium on Business Modeling and Software Design"</f>
        <v>BMSD 2012 - Proceedings of the 2nd International Symposium on Business Modeling and Software Design</v>
      </c>
      <c r="B6989" s="8" t="str">
        <f>"9789898565266"</f>
        <v>9789898565266</v>
      </c>
      <c r="C6989" s="8" t="s">
        <v>1197</v>
      </c>
    </row>
    <row r="6990" spans="1:3" x14ac:dyDescent="0.25">
      <c r="A6990" s="8" t="str">
        <f>"BMSD 2013 - Proceedings of the 3rd International Symposium on Business Modeling and Software Design"</f>
        <v>BMSD 2013 - Proceedings of the 3rd International Symposium on Business Modeling and Software Design</v>
      </c>
      <c r="B6990" s="8" t="str">
        <f>"9789898565563"</f>
        <v>9789898565563</v>
      </c>
      <c r="C6990" s="8" t="s">
        <v>1197</v>
      </c>
    </row>
    <row r="6991" spans="1:3" x14ac:dyDescent="0.25">
      <c r="A6991" s="8" t="str">
        <f>"BMSD 2014 - Proceedings of the 4th International Symposium on Business Modeling and Software Design"</f>
        <v>BMSD 2014 - Proceedings of the 4th International Symposium on Business Modeling and Software Design</v>
      </c>
      <c r="B6991" s="8" t="str">
        <f>"9789897580321"</f>
        <v>9789897580321</v>
      </c>
      <c r="C6991" s="8" t="s">
        <v>1197</v>
      </c>
    </row>
    <row r="6992" spans="1:3" x14ac:dyDescent="0.25">
      <c r="A6992" s="8" t="str">
        <f>"BMVC 2005 - Proceedings of the British Machine Vision Conference 2005"</f>
        <v>BMVC 2005 - Proceedings of the British Machine Vision Conference 2005</v>
      </c>
      <c r="B6992" s="8" t="str">
        <f>"9781901725292"</f>
        <v>9781901725292</v>
      </c>
      <c r="C6992" s="8" t="s">
        <v>1706</v>
      </c>
    </row>
    <row r="6993" spans="1:3" x14ac:dyDescent="0.25">
      <c r="A6993" s="8" t="str">
        <f>"BMVC 2006 - Proceedings of the British Machine Vision Conference 2006"</f>
        <v>BMVC 2006 - Proceedings of the British Machine Vision Conference 2006</v>
      </c>
      <c r="B6993" s="8" t="str">
        <f>"9781904410140"</f>
        <v>9781904410140</v>
      </c>
      <c r="C6993" s="8" t="s">
        <v>1706</v>
      </c>
    </row>
    <row r="6994" spans="1:3" x14ac:dyDescent="0.25">
      <c r="A6994" s="8" t="str">
        <f>"BMVC 2007 - Proceedings of the British Machine Vision Conference 2007"</f>
        <v>BMVC 2007 - Proceedings of the British Machine Vision Conference 2007</v>
      </c>
      <c r="B6994" s="8" t="str">
        <f>"9781901725346"</f>
        <v>9781901725346</v>
      </c>
      <c r="C6994" s="8" t="s">
        <v>1706</v>
      </c>
    </row>
    <row r="6995" spans="1:3" x14ac:dyDescent="0.25">
      <c r="A6995" s="8" t="str">
        <f>"BMVC 2008 - Proceedings of the British Machine Vision Conference 2008"</f>
        <v>BMVC 2008 - Proceedings of the British Machine Vision Conference 2008</v>
      </c>
      <c r="B6995" s="8" t="str">
        <f>"9781901725360"</f>
        <v>9781901725360</v>
      </c>
      <c r="C6995" s="8" t="s">
        <v>1706</v>
      </c>
    </row>
    <row r="6996" spans="1:3" x14ac:dyDescent="0.25">
      <c r="A6996" s="8" t="str">
        <f>"BMVC 2011 - Proceedings of the British Machine Vision Conference 2011"</f>
        <v>BMVC 2011 - Proceedings of the British Machine Vision Conference 2011</v>
      </c>
      <c r="B6996" s="8" t="str">
        <f>"9781901725438"</f>
        <v>9781901725438</v>
      </c>
      <c r="C6996" s="8" t="s">
        <v>1706</v>
      </c>
    </row>
    <row r="6997" spans="1:3" x14ac:dyDescent="0.25">
      <c r="A6997" s="8" t="str">
        <f>"BMVC 2012 - Electronic Proceedings of the British Machine Vision Conference 2012"</f>
        <v>BMVC 2012 - Electronic Proceedings of the British Machine Vision Conference 2012</v>
      </c>
      <c r="B6997" s="8" t="str">
        <f>"9781901725469"</f>
        <v>9781901725469</v>
      </c>
      <c r="C6997" s="8" t="s">
        <v>1706</v>
      </c>
    </row>
    <row r="6998" spans="1:3" x14ac:dyDescent="0.25">
      <c r="A6998" s="8" t="str">
        <f>"BMVC 2013 - Electronic Proceedings of the British Machine Vision Conference 2013"</f>
        <v>BMVC 2013 - Electronic Proceedings of the British Machine Vision Conference 2013</v>
      </c>
      <c r="B6998" s="8" t="str">
        <f>"-"</f>
        <v>-</v>
      </c>
      <c r="C6998" s="8" t="s">
        <v>1706</v>
      </c>
    </row>
    <row r="6999" spans="1:3" x14ac:dyDescent="0.25">
      <c r="A6999" s="8" t="str">
        <f>"BMVC 2014 - Proceedings of the British Machine Vision Conference 2014"</f>
        <v>BMVC 2014 - Proceedings of the British Machine Vision Conference 2014</v>
      </c>
      <c r="B6999" s="8" t="str">
        <f>"-"</f>
        <v>-</v>
      </c>
      <c r="C6999" s="8" t="s">
        <v>1706</v>
      </c>
    </row>
    <row r="7000" spans="1:3" x14ac:dyDescent="0.25">
      <c r="A7000" s="8" t="str">
        <f>"BoD 2006 - 2006 1st IEEE International Workshop on Bandwidth on Demand"</f>
        <v>BoD 2006 - 2006 1st IEEE International Workshop on Bandwidth on Demand</v>
      </c>
      <c r="B7000" s="8" t="str">
        <f>"9781424407934"</f>
        <v>9781424407934</v>
      </c>
      <c r="C7000" s="8" t="s">
        <v>9</v>
      </c>
    </row>
    <row r="7001" spans="1:3" x14ac:dyDescent="0.25">
      <c r="A7001" s="8" t="str">
        <f>"BODYNETS 2007 - 2nd International ICST Conference on Body Area Networks"</f>
        <v>BODYNETS 2007 - 2nd International ICST Conference on Body Area Networks</v>
      </c>
      <c r="B7001" s="8" t="str">
        <f>"9789630621939"</f>
        <v>9789630621939</v>
      </c>
      <c r="C7001" s="8" t="s">
        <v>1504</v>
      </c>
    </row>
    <row r="7002" spans="1:3" x14ac:dyDescent="0.25">
      <c r="A7002" s="8" t="str">
        <f>"BODYNETS 2008 - 3rd International ICST Conference on Body Area Networks"</f>
        <v>BODYNETS 2008 - 3rd International ICST Conference on Body Area Networks</v>
      </c>
      <c r="B7002" s="8" t="str">
        <f>"9789639799172"</f>
        <v>9789639799172</v>
      </c>
      <c r="C7002" s="8" t="s">
        <v>1504</v>
      </c>
    </row>
    <row r="7003" spans="1:3" x14ac:dyDescent="0.25">
      <c r="A7003" s="8" t="str">
        <f>"BODYNETS 2009 - 4th International ICST Conference on Body Area Networks"</f>
        <v>BODYNETS 2009 - 4th International ICST Conference on Body Area Networks</v>
      </c>
      <c r="B7003" s="8" t="str">
        <f>"9789639799417"</f>
        <v>9789639799417</v>
      </c>
      <c r="C7003" s="8" t="s">
        <v>1504</v>
      </c>
    </row>
    <row r="7004" spans="1:3" x14ac:dyDescent="0.25">
      <c r="A7004" s="8" t="str">
        <f>"BODYNETS 2012 - 7th International Conference on Body Area Networks"</f>
        <v>BODYNETS 2012 - 7th International Conference on Body Area Networks</v>
      </c>
      <c r="B7004" s="8" t="str">
        <f>"9781936968602"</f>
        <v>9781936968602</v>
      </c>
      <c r="C7004" s="8" t="s">
        <v>1504</v>
      </c>
    </row>
    <row r="7005" spans="1:3" x14ac:dyDescent="0.25">
      <c r="A7005" s="8" t="str">
        <f>"BODYNETS 2013 - 8th International Conference on Body Area Networks"</f>
        <v>BODYNETS 2013 - 8th International Conference on Body Area Networks</v>
      </c>
      <c r="B7005" s="8" t="str">
        <f>"9781936968893"</f>
        <v>9781936968893</v>
      </c>
      <c r="C7005" s="8" t="s">
        <v>1504</v>
      </c>
    </row>
    <row r="7006" spans="1:3" x14ac:dyDescent="0.25">
      <c r="A7006" s="8" t="str">
        <f>"BODYNETS 2014 - 9th International Conference on Body Area Networks"</f>
        <v>BODYNETS 2014 - 9th International Conference on Body Area Networks</v>
      </c>
      <c r="B7006" s="8" t="str">
        <f>"9781631900471"</f>
        <v>9781631900471</v>
      </c>
      <c r="C7006" s="8" t="s">
        <v>1504</v>
      </c>
    </row>
    <row r="7007" spans="1:3" x14ac:dyDescent="0.25">
      <c r="A7007" s="8" t="str">
        <f>"Borehole Geophysics Workshop II - 3D VSP: Benefits, Challenges and Potential"</f>
        <v>Borehole Geophysics Workshop II - 3D VSP: Benefits, Challenges and Potential</v>
      </c>
      <c r="B7007" s="8" t="str">
        <f>"-"</f>
        <v>-</v>
      </c>
      <c r="C7007" s="8" t="s">
        <v>1251</v>
      </c>
    </row>
    <row r="7008" spans="1:3" x14ac:dyDescent="0.25">
      <c r="A7008" s="8" t="str">
        <f>"Borehole Geophysics Workshop: Emphasis on 3D VSP"</f>
        <v>Borehole Geophysics Workshop: Emphasis on 3D VSP</v>
      </c>
      <c r="B7008" s="8" t="str">
        <f>"-"</f>
        <v>-</v>
      </c>
      <c r="C7008" s="8" t="s">
        <v>1251</v>
      </c>
    </row>
    <row r="7009" spans="1:3" x14ac:dyDescent="0.25">
      <c r="A7009" s="8" t="str">
        <f>"Bragg Gratings, Photosensitivity, and Poling in Glass Waveguides, BGPP 2012"</f>
        <v>Bragg Gratings, Photosensitivity, and Poling in Glass Waveguides, BGPP 2012</v>
      </c>
      <c r="B7009" s="8" t="str">
        <f>"9781557529466"</f>
        <v>9781557529466</v>
      </c>
      <c r="C7009" s="8" t="s">
        <v>86</v>
      </c>
    </row>
    <row r="7010" spans="1:3" x14ac:dyDescent="0.25">
      <c r="A7010" s="8" t="str">
        <f>"Bragg Gratings, Photosensitivity, and Poling in Glass Waveguides, BGPP 2014"</f>
        <v>Bragg Gratings, Photosensitivity, and Poling in Glass Waveguides, BGPP 2014</v>
      </c>
      <c r="B7010" s="8" t="str">
        <f>"9781557528209"</f>
        <v>9781557528209</v>
      </c>
      <c r="C7010" s="8" t="s">
        <v>86</v>
      </c>
    </row>
    <row r="7011" spans="1:3" x14ac:dyDescent="0.25">
      <c r="A7011" s="8" t="str">
        <f>"Breaking New Ground: Innovation in Games, Play, Practice and Theory - Proceedings of DiGRA 2009"</f>
        <v>Breaking New Ground: Innovation in Games, Play, Practice and Theory - Proceedings of DiGRA 2009</v>
      </c>
      <c r="B7011" s="8" t="str">
        <f>"-"</f>
        <v>-</v>
      </c>
      <c r="C7011" s="8" t="s">
        <v>1499</v>
      </c>
    </row>
    <row r="7012" spans="1:3" x14ac:dyDescent="0.25">
      <c r="A7012" s="8" t="str">
        <f>"Breakwaters '99 First International Symposium on Monitoring of Breakwaters"</f>
        <v>Breakwaters '99 First International Symposium on Monitoring of Breakwaters</v>
      </c>
      <c r="B7012" s="8" t="str">
        <f>"9780784405970"</f>
        <v>9780784405970</v>
      </c>
      <c r="C7012" s="8" t="s">
        <v>111</v>
      </c>
    </row>
    <row r="7013" spans="1:3" x14ac:dyDescent="0.25">
      <c r="A7013" s="8" t="str">
        <f>"Bridge Design, Construction and Maintenance - Proceedings of the two-day International Conference organised by the Institution of Civil Engineers, ICE"</f>
        <v>Bridge Design, Construction and Maintenance - Proceedings of the two-day International Conference organised by the Institution of Civil Engineers, ICE</v>
      </c>
      <c r="B7013" s="8" t="str">
        <f>"9780727735935"</f>
        <v>9780727735935</v>
      </c>
      <c r="C7013" s="8" t="s">
        <v>1266</v>
      </c>
    </row>
    <row r="7014" spans="1:3" x14ac:dyDescent="0.25">
      <c r="A7014" s="8" t="str">
        <f>"Bridge Maintenance, Safety, Management and Life-Cycle Optimization - Proceedings of the 5th International Conference on Bridge Maintenance, Safety and Management"</f>
        <v>Bridge Maintenance, Safety, Management and Life-Cycle Optimization - Proceedings of the 5th International Conference on Bridge Maintenance, Safety and Management</v>
      </c>
      <c r="B7014" s="8" t="str">
        <f>"9780415877862"</f>
        <v>9780415877862</v>
      </c>
      <c r="C7014" s="8" t="s">
        <v>96</v>
      </c>
    </row>
    <row r="7015" spans="1:3" x14ac:dyDescent="0.25">
      <c r="A7015" s="8" t="str">
        <f>"Bridge Maintenance, Safety, Management and Life-Cycle Optimization - Proceedings of the 5th International Conference on Bridge Maintenance, Safety and Management"</f>
        <v>Bridge Maintenance, Safety, Management and Life-Cycle Optimization - Proceedings of the 5th International Conference on Bridge Maintenance, Safety and Management</v>
      </c>
      <c r="B7015" s="8" t="str">
        <f>"9780415877862"</f>
        <v>9780415877862</v>
      </c>
      <c r="C7015" s="8" t="s">
        <v>21</v>
      </c>
    </row>
    <row r="7016" spans="1:3" x14ac:dyDescent="0.25">
      <c r="A7016" s="8" t="str">
        <f>"Bridge Maintenance, Safety, Management, Health Monitoring and Informatics - Proceedings of the 4th International Conference on Bridge Maintenance, Safety and Management"</f>
        <v>Bridge Maintenance, Safety, Management, Health Monitoring and Informatics - Proceedings of the 4th International Conference on Bridge Maintenance, Safety and Management</v>
      </c>
      <c r="B7016" s="8" t="str">
        <f>"9780415468442"</f>
        <v>9780415468442</v>
      </c>
      <c r="C7016" s="8" t="s">
        <v>1637</v>
      </c>
    </row>
    <row r="7017" spans="1:3" x14ac:dyDescent="0.25">
      <c r="A7017" s="8" t="str">
        <f>"Bridge Maintenance, Safety, Management, Resilience and Sustainability - Proceedings of the Sixth International Conference on Bridge Maintenance, Safety and Management"</f>
        <v>Bridge Maintenance, Safety, Management, Resilience and Sustainability - Proceedings of the Sixth International Conference on Bridge Maintenance, Safety and Management</v>
      </c>
      <c r="B7017" s="8" t="str">
        <f>"9780415621243"</f>
        <v>9780415621243</v>
      </c>
      <c r="C7017" s="8" t="s">
        <v>1619</v>
      </c>
    </row>
    <row r="7018" spans="1:3" x14ac:dyDescent="0.25">
      <c r="A7018" s="8" t="str">
        <f>"Bridge Safety and Reliability"</f>
        <v>Bridge Safety and Reliability</v>
      </c>
      <c r="B7018" s="8" t="str">
        <f>"9780784404423"</f>
        <v>9780784404423</v>
      </c>
      <c r="C7018" s="8" t="s">
        <v>111</v>
      </c>
    </row>
    <row r="7019" spans="1:3" x14ac:dyDescent="0.25">
      <c r="A7019" s="8" t="str">
        <f>"Bridging Research and Good Practices towards Patient Welfare - Proceedings of the 4th International Conference on HealthCare Systems Ergonomics and Patient Safety, HEPS 2014"</f>
        <v>Bridging Research and Good Practices towards Patient Welfare - Proceedings of the 4th International Conference on HealthCare Systems Ergonomics and Patient Safety, HEPS 2014</v>
      </c>
      <c r="B7019" s="8" t="str">
        <f>"9781138027169"</f>
        <v>9781138027169</v>
      </c>
      <c r="C7019" s="8" t="s">
        <v>1635</v>
      </c>
    </row>
    <row r="7020" spans="1:3" x14ac:dyDescent="0.25">
      <c r="A7020" s="8" t="str">
        <f>"Bridging the Gap: Meeting the World's Water and Environmental Resources Challenges - Proceedings of the World Water and Environmental Resources Congress 2001"</f>
        <v>Bridging the Gap: Meeting the World's Water and Environmental Resources Challenges - Proceedings of the World Water and Environmental Resources Congress 2001</v>
      </c>
      <c r="B7020" s="8" t="str">
        <f>"9780784405697"</f>
        <v>9780784405697</v>
      </c>
      <c r="C7020" s="8" t="s">
        <v>111</v>
      </c>
    </row>
    <row r="7021" spans="1:3" x14ac:dyDescent="0.25">
      <c r="A7021" s="8" t="str">
        <f>"British Machine Vision Conference, BMVC 2009 - Proceedings"</f>
        <v>British Machine Vision Conference, BMVC 2009 - Proceedings</v>
      </c>
      <c r="B7021" s="8" t="str">
        <f>"9781901725391"</f>
        <v>9781901725391</v>
      </c>
      <c r="C7021" s="8" t="s">
        <v>1706</v>
      </c>
    </row>
    <row r="7022" spans="1:3" x14ac:dyDescent="0.25">
      <c r="A7022" s="8" t="str">
        <f>"British Machine Vision Conference, BMVC 2010 - Proceedings"</f>
        <v>British Machine Vision Conference, BMVC 2010 - Proceedings</v>
      </c>
      <c r="B7022" s="8" t="str">
        <f>"9781901725407"</f>
        <v>9781901725407</v>
      </c>
      <c r="C7022" s="8" t="s">
        <v>1706</v>
      </c>
    </row>
    <row r="7023" spans="1:3" x14ac:dyDescent="0.25">
      <c r="A7023" s="8" t="str">
        <f>"Brittle Matrix Composites 10, BMC 2010"</f>
        <v>Brittle Matrix Composites 10, BMC 2010</v>
      </c>
      <c r="B7023" s="8" t="str">
        <f>"9780857099884"</f>
        <v>9780857099884</v>
      </c>
      <c r="C7023" s="8" t="s">
        <v>1707</v>
      </c>
    </row>
    <row r="7024" spans="1:3" x14ac:dyDescent="0.25">
      <c r="A7024" s="8" t="str">
        <f>"Brittle Matrix Composites 8, BMC 2006"</f>
        <v>Brittle Matrix Composites 8, BMC 2006</v>
      </c>
      <c r="B7024" s="8" t="str">
        <f>"9781845690311"</f>
        <v>9781845690311</v>
      </c>
      <c r="C7024" s="8" t="s">
        <v>1707</v>
      </c>
    </row>
    <row r="7025" spans="1:3" x14ac:dyDescent="0.25">
      <c r="A7025" s="8" t="str">
        <f>"Brittle Matrix Composites 9, BMC 2009"</f>
        <v>Brittle Matrix Composites 9, BMC 2009</v>
      </c>
      <c r="B7025" s="8" t="str">
        <f>"9781845697754"</f>
        <v>9781845697754</v>
      </c>
      <c r="C7025" s="8" t="s">
        <v>1707</v>
      </c>
    </row>
    <row r="7026" spans="1:3" x14ac:dyDescent="0.25">
      <c r="A7026" s="8" t="str">
        <f>"BROADBANDCOM 2009 - Selected Papers on Broadband Communication, Information Technology and Biomedical Applications"</f>
        <v>BROADBANDCOM 2009 - Selected Papers on Broadband Communication, Information Technology and Biomedical Applications</v>
      </c>
      <c r="B7026" s="8" t="str">
        <f>"9788374934701"</f>
        <v>9788374934701</v>
      </c>
      <c r="C7026" s="8" t="s">
        <v>1708</v>
      </c>
    </row>
    <row r="7027" spans="1:3" x14ac:dyDescent="0.25">
      <c r="A7027" s="8" t="str">
        <f>"Brownfield Sites II: Assessment, Rehabilitation and Development"</f>
        <v>Brownfield Sites II: Assessment, Rehabilitation and Development</v>
      </c>
      <c r="B7027" s="8" t="str">
        <f>"9781853127199"</f>
        <v>9781853127199</v>
      </c>
      <c r="C7027" s="8" t="s">
        <v>80</v>
      </c>
    </row>
    <row r="7028" spans="1:3" x14ac:dyDescent="0.25">
      <c r="A7028" s="8" t="str">
        <f>"Brownfield Sites: Assessment, Rehabilitation and Development"</f>
        <v>Brownfield Sites: Assessment, Rehabilitation and Development</v>
      </c>
      <c r="B7028" s="8" t="str">
        <f>"9781853129186"</f>
        <v>9781853129186</v>
      </c>
      <c r="C7028" s="8" t="s">
        <v>80</v>
      </c>
    </row>
    <row r="7029" spans="1:3" x14ac:dyDescent="0.25">
      <c r="A7029" s="8" t="str">
        <f>"Brownfields: Multimedia Modelling and Assessment"</f>
        <v>Brownfields: Multimedia Modelling and Assessment</v>
      </c>
      <c r="B7029" s="8" t="str">
        <f>"9781853127557"</f>
        <v>9781853127557</v>
      </c>
      <c r="C7029" s="8" t="s">
        <v>80</v>
      </c>
    </row>
    <row r="7030" spans="1:3" x14ac:dyDescent="0.25">
      <c r="A7030" s="8" t="str">
        <f>"Bryozoan Studies 2004 - Proceedings of the 13th International Bryozoology Association Conference"</f>
        <v>Bryozoan Studies 2004 - Proceedings of the 13th International Bryozoology Association Conference</v>
      </c>
      <c r="B7030" s="8" t="str">
        <f>"9780415372930"</f>
        <v>9780415372930</v>
      </c>
      <c r="C7030" s="8" t="s">
        <v>1558</v>
      </c>
    </row>
    <row r="7031" spans="1:3" x14ac:dyDescent="0.25">
      <c r="A7031" s="8" t="str">
        <f>"BTAS 2008 - IEEE 2nd International Conference on Biometrics: Theory, Applications and Systems"</f>
        <v>BTAS 2008 - IEEE 2nd International Conference on Biometrics: Theory, Applications and Systems</v>
      </c>
      <c r="B7031" s="8" t="str">
        <f>"9781424427307"</f>
        <v>9781424427307</v>
      </c>
      <c r="C7031" s="8" t="s">
        <v>9</v>
      </c>
    </row>
    <row r="7032" spans="1:3" x14ac:dyDescent="0.25">
      <c r="A7032" s="8" t="s">
        <v>1709</v>
      </c>
      <c r="B7032" s="8" t="str">
        <f>"9783885793946"</f>
        <v>9783885793946</v>
      </c>
      <c r="C7032" s="8" t="s">
        <v>833</v>
      </c>
    </row>
    <row r="7033" spans="1:3" x14ac:dyDescent="0.25">
      <c r="A7033" s="8" t="str">
        <f>"Building a Sustainable Future - Proceedings of the 2009 Construction Research Congress"</f>
        <v>Building a Sustainable Future - Proceedings of the 2009 Construction Research Congress</v>
      </c>
      <c r="B7033" s="8" t="str">
        <f>"9780784410202"</f>
        <v>9780784410202</v>
      </c>
      <c r="C7033" s="8" t="s">
        <v>111</v>
      </c>
    </row>
    <row r="7034" spans="1:3" x14ac:dyDescent="0.25">
      <c r="A7034" s="8" t="str">
        <f>"Building Intelligence into Healthcare Packaging - Technology Advances in Pharmaceutical and Medical Packaging - Pira International - Seminar Proceedings"</f>
        <v>Building Intelligence into Healthcare Packaging - Technology Advances in Pharmaceutical and Medical Packaging - Pira International - Seminar Proceedings</v>
      </c>
      <c r="B7034" s="8" t="str">
        <f>"-"</f>
        <v>-</v>
      </c>
      <c r="C7034" s="8" t="s">
        <v>202</v>
      </c>
    </row>
    <row r="7035" spans="1:3" x14ac:dyDescent="0.25">
      <c r="A7035" s="8" t="str">
        <f>"BUILDSYS 2009 - Proceedings of the 1st ACM Workshop on Embedded Sensing Systems for Energy-Efficiency in Buildings, Held in Conjunction with ACM SenSys 2009"</f>
        <v>BUILDSYS 2009 - Proceedings of the 1st ACM Workshop on Embedded Sensing Systems for Energy-Efficiency in Buildings, Held in Conjunction with ACM SenSys 2009</v>
      </c>
      <c r="B7035" s="8" t="str">
        <f>"9781605588247"</f>
        <v>9781605588247</v>
      </c>
      <c r="C7035" s="8" t="s">
        <v>21</v>
      </c>
    </row>
    <row r="7036" spans="1:3" x14ac:dyDescent="0.25">
      <c r="A7036" s="8" t="str">
        <f>"BuildSys 2011 - Proceedings of the 3rd ACM Workshop on Embedded Sensing Systems for Energy-Efficiency in Buildings, Held in Conjunction with ACM SenSys 2011"</f>
        <v>BuildSys 2011 - Proceedings of the 3rd ACM Workshop on Embedded Sensing Systems for Energy-Efficiency in Buildings, Held in Conjunction with ACM SenSys 2011</v>
      </c>
      <c r="B7036" s="8" t="str">
        <f>"9781450307499"</f>
        <v>9781450307499</v>
      </c>
      <c r="C7036" s="8" t="s">
        <v>21</v>
      </c>
    </row>
    <row r="7037" spans="1:3" x14ac:dyDescent="0.25">
      <c r="A7037" s="8" t="str">
        <f>"BuildSys 2012 - Proceedings of the 4th ACM Workshop on Embedded Systems for Energy Efficiency in Buildings"</f>
        <v>BuildSys 2012 - Proceedings of the 4th ACM Workshop on Embedded Systems for Energy Efficiency in Buildings</v>
      </c>
      <c r="B7037" s="8" t="str">
        <f>"9781450311700"</f>
        <v>9781450311700</v>
      </c>
      <c r="C7037" s="8" t="s">
        <v>21</v>
      </c>
    </row>
    <row r="7038" spans="1:3" x14ac:dyDescent="0.25">
      <c r="A7038" s="8" t="str">
        <f>"BuildSys 2014 - Proceedings of the 1st ACM Conference on Embedded Systems for Energy-Efficient Buildings"</f>
        <v>BuildSys 2014 - Proceedings of the 1st ACM Conference on Embedded Systems for Energy-Efficient Buildings</v>
      </c>
      <c r="B7038" s="8" t="str">
        <f>"9781450331449"</f>
        <v>9781450331449</v>
      </c>
      <c r="C7038" s="8" t="s">
        <v>1235</v>
      </c>
    </row>
    <row r="7039" spans="1:3" x14ac:dyDescent="0.25">
      <c r="A7039" s="8" t="str">
        <f>"BuildSys'10 - Proceedings of the 2nd ACM Workshop on Embedded Sensing Systems for Energy-Efficiency in Buildings"</f>
        <v>BuildSys'10 - Proceedings of the 2nd ACM Workshop on Embedded Sensing Systems for Energy-Efficiency in Buildings</v>
      </c>
      <c r="B7039" s="8" t="str">
        <f>"9781450304580"</f>
        <v>9781450304580</v>
      </c>
      <c r="C7039" s="8" t="s">
        <v>21</v>
      </c>
    </row>
    <row r="7040" spans="1:3" x14ac:dyDescent="0.25">
      <c r="A7040" s="8" t="str">
        <f>"Bulk Material Handling by Conveyor Belt 6"</f>
        <v>Bulk Material Handling by Conveyor Belt 6</v>
      </c>
      <c r="B7040" s="8" t="str">
        <f>"9780873352482"</f>
        <v>9780873352482</v>
      </c>
      <c r="C7040" s="8" t="s">
        <v>877</v>
      </c>
    </row>
    <row r="7041" spans="1:3" x14ac:dyDescent="0.25">
      <c r="A7041" s="8" t="str">
        <f>"Bulk Material Handling by Conveyor Belt 7"</f>
        <v>Bulk Material Handling by Conveyor Belt 7</v>
      </c>
      <c r="B7041" s="8" t="str">
        <f>"9780873352604"</f>
        <v>9780873352604</v>
      </c>
      <c r="C7041" s="8" t="s">
        <v>877</v>
      </c>
    </row>
    <row r="7042" spans="1:3" x14ac:dyDescent="0.25">
      <c r="A7042" s="8" t="str">
        <f>"Bulk Material Handling by Conveyor Belt V"</f>
        <v>Bulk Material Handling by Conveyor Belt V</v>
      </c>
      <c r="B7042" s="8" t="str">
        <f>"9780873352376"</f>
        <v>9780873352376</v>
      </c>
      <c r="C7042" s="8" t="s">
        <v>877</v>
      </c>
    </row>
    <row r="7043" spans="1:3" x14ac:dyDescent="0.25">
      <c r="A7043" s="8" t="str">
        <f>"Business Information System 2005 - 8th International Conference on Business Information Systems"</f>
        <v>Business Information System 2005 - 8th International Conference on Business Information Systems</v>
      </c>
      <c r="B7043" s="8" t="str">
        <f>"-"</f>
        <v>-</v>
      </c>
      <c r="C7043" s="8" t="s">
        <v>1710</v>
      </c>
    </row>
    <row r="7044" spans="1:3" x14ac:dyDescent="0.25">
      <c r="A7044" s="8" t="str">
        <f>"BUSITAL 2007 - 2nd International Workshop on Business/IT Alignment and Interoperability, Workshop at the 19th International Conference on Advanced Information Systems Engineering, CAiSE 2007"</f>
        <v>BUSITAL 2007 - 2nd International Workshop on Business/IT Alignment and Interoperability, Workshop at the 19th International Conference on Advanced Information Systems Engineering, CAiSE 2007</v>
      </c>
      <c r="B7044" s="8" t="str">
        <f>"9788251922456"</f>
        <v>9788251922456</v>
      </c>
      <c r="C7044" s="8" t="s">
        <v>1711</v>
      </c>
    </row>
    <row r="7045" spans="1:3" x14ac:dyDescent="0.25">
      <c r="A7045" s="8" t="str">
        <f>"C and C 2013 - Proceedings of the 9th ACM Conference on Creativity and Cognition 2013: 'Intersections and Interactions'"</f>
        <v>C and C 2013 - Proceedings of the 9th ACM Conference on Creativity and Cognition 2013: 'Intersections and Interactions'</v>
      </c>
      <c r="B7045" s="8" t="str">
        <f>"9781450321501"</f>
        <v>9781450321501</v>
      </c>
      <c r="C7045" s="8" t="s">
        <v>21</v>
      </c>
    </row>
    <row r="7046" spans="1:3" x14ac:dyDescent="0.25">
      <c r="A7046" s="8" t="str">
        <f>"C and T 2009 - Proceedings of the 4th International Conference on Communities and Technologies"</f>
        <v>C and T 2009 - Proceedings of the 4th International Conference on Communities and Technologies</v>
      </c>
      <c r="B7046" s="8" t="str">
        <f>"9781605587134"</f>
        <v>9781605587134</v>
      </c>
      <c r="C7046" s="8" t="s">
        <v>21</v>
      </c>
    </row>
    <row r="7047" spans="1:3" x14ac:dyDescent="0.25">
      <c r="A7047" s="8" t="str">
        <f>"C and T 2011 - 5th International Conference on Communities and Technologies, Conference Proceedings"</f>
        <v>C and T 2011 - 5th International Conference on Communities and Technologies, Conference Proceedings</v>
      </c>
      <c r="B7047" s="8" t="str">
        <f>"9781450308243"</f>
        <v>9781450308243</v>
      </c>
      <c r="C7047" s="8" t="s">
        <v>21</v>
      </c>
    </row>
    <row r="7048" spans="1:3" x14ac:dyDescent="0.25">
      <c r="A7048" s="8" t="str">
        <f>"c2013 IEEE 7th International Symposium on the Maintenance and Evolution of Service-Oriented and Cloud-Based Systems, MESOCA 2013"</f>
        <v>c2013 IEEE 7th International Symposium on the Maintenance and Evolution of Service-Oriented and Cloud-Based Systems, MESOCA 2013</v>
      </c>
      <c r="B7048" s="8" t="str">
        <f>"9781467348898"</f>
        <v>9781467348898</v>
      </c>
      <c r="C7048" s="8" t="s">
        <v>9</v>
      </c>
    </row>
    <row r="7049" spans="1:3" x14ac:dyDescent="0.25">
      <c r="A7049" s="8" t="str">
        <f>"c2013 IEEE Global Humanitarian Technology Conference: South Asia Satellite, GHTC-SAS 2013"</f>
        <v>c2013 IEEE Global Humanitarian Technology Conference: South Asia Satellite, GHTC-SAS 2013</v>
      </c>
      <c r="B7049" s="8" t="str">
        <f>"9781479910953"</f>
        <v>9781479910953</v>
      </c>
      <c r="C7049" s="8" t="s">
        <v>9</v>
      </c>
    </row>
    <row r="7050" spans="1:3" x14ac:dyDescent="0.25">
      <c r="A7050" s="8" t="str">
        <f>"CAADRIA 2005 - The Association for Computer-Aided Architectural Design Research in Asia: Digital Opportunities"</f>
        <v>CAADRIA 2005 - The Association for Computer-Aided Architectural Design Research in Asia: Digital Opportunities</v>
      </c>
      <c r="B7050" s="8" t="str">
        <f>"-"</f>
        <v>-</v>
      </c>
      <c r="C7050" s="8" t="s">
        <v>1703</v>
      </c>
    </row>
    <row r="7051" spans="1:3" x14ac:dyDescent="0.25">
      <c r="A7051" s="8" t="str">
        <f>"CAADRIA 2006 - The Association for Computer-Aided Architectural Design Research in Asia: Rhythm and Harmony in Digital Space"</f>
        <v>CAADRIA 2006 - The Association for Computer-Aided Architectural Design Research in Asia: Rhythm and Harmony in Digital Space</v>
      </c>
      <c r="B7051" s="8" t="str">
        <f>"-"</f>
        <v>-</v>
      </c>
      <c r="C7051" s="8" t="s">
        <v>1703</v>
      </c>
    </row>
    <row r="7052" spans="1:3" x14ac:dyDescent="0.25">
      <c r="A7052" s="8" t="str">
        <f>"CAADRIA 2007 - The Association for Computer-Aided Architectural Design Research in Asia: Digitization and Globalization"</f>
        <v>CAADRIA 2007 - The Association for Computer-Aided Architectural Design Research in Asia: Digitization and Globalization</v>
      </c>
      <c r="B7052" s="8" t="str">
        <f>"-"</f>
        <v>-</v>
      </c>
      <c r="C7052" s="8" t="s">
        <v>1703</v>
      </c>
    </row>
    <row r="7053" spans="1:3" x14ac:dyDescent="0.25">
      <c r="A7053" s="8" t="str">
        <f>"CAADRIA 2008 - The Association for Computer-Aided Architectural Design Research in Asia: Beyond Computer-Aided Design"</f>
        <v>CAADRIA 2008 - The Association for Computer-Aided Architectural Design Research in Asia: Beyond Computer-Aided Design</v>
      </c>
      <c r="B7053" s="8" t="str">
        <f>"-"</f>
        <v>-</v>
      </c>
      <c r="C7053" s="8" t="s">
        <v>1703</v>
      </c>
    </row>
    <row r="7054" spans="1:3" x14ac:dyDescent="0.25">
      <c r="A7054" s="8" t="str">
        <f>"CAADRIA 2015 - 20th International Conference on Computer-Aided Architectural Design Research in Asia: Emerging Experiences in the Past, Present and Future of Digital Architecture"</f>
        <v>CAADRIA 2015 - 20th International Conference on Computer-Aided Architectural Design Research in Asia: Emerging Experiences in the Past, Present and Future of Digital Architecture</v>
      </c>
      <c r="B7054" s="8" t="str">
        <f>"9789881902665"</f>
        <v>9789881902665</v>
      </c>
      <c r="C7054" s="8" t="s">
        <v>1703</v>
      </c>
    </row>
    <row r="7055" spans="1:3" x14ac:dyDescent="0.25">
      <c r="A7055" s="8" t="str">
        <f>"CACS 2014 - 2014 International Automatic Control Conference, Conference Digest"</f>
        <v>CACS 2014 - 2014 International Automatic Control Conference, Conference Digest</v>
      </c>
      <c r="B7055" s="8" t="str">
        <f>"9781479945849"</f>
        <v>9781479945849</v>
      </c>
      <c r="C7055" s="8" t="s">
        <v>105</v>
      </c>
    </row>
    <row r="7056" spans="1:3" x14ac:dyDescent="0.25">
      <c r="A7056" s="8" t="str">
        <f>"CAD RETEC 2011 - Society of Plastics Engineers Color and Appearance Division"</f>
        <v>CAD RETEC 2011 - Society of Plastics Engineers Color and Appearance Division</v>
      </c>
      <c r="B7056" s="8" t="str">
        <f>"-"</f>
        <v>-</v>
      </c>
      <c r="C7056" s="8" t="s">
        <v>132</v>
      </c>
    </row>
    <row r="7057" spans="1:3" x14ac:dyDescent="0.25">
      <c r="A7057" s="8" t="str">
        <f>"CADS 2012 - 16th CSI International Symposium on Computer Architecture and Digital Systems"</f>
        <v>CADS 2012 - 16th CSI International Symposium on Computer Architecture and Digital Systems</v>
      </c>
      <c r="B7057" s="8" t="str">
        <f>"9781467314824"</f>
        <v>9781467314824</v>
      </c>
      <c r="C7057" s="8" t="s">
        <v>9</v>
      </c>
    </row>
    <row r="7058" spans="1:3" x14ac:dyDescent="0.25">
      <c r="A7058" s="8" t="str">
        <f>"Cae 2014 - Proceedings of the Workshop on Computational Aesthetics - Joint Symposium on Computational Aesthetics and Sketch-Based Interfaces and Modeling and Non-Photorealistic Animation and Rendering, Expressive 2014"</f>
        <v>Cae 2014 - Proceedings of the Workshop on Computational Aesthetics - Joint Symposium on Computational Aesthetics and Sketch-Based Interfaces and Modeling and Non-Photorealistic Animation and Rendering, Expressive 2014</v>
      </c>
      <c r="B7058" s="8" t="str">
        <f>"9781450330190"</f>
        <v>9781450330190</v>
      </c>
      <c r="C7058" s="8" t="s">
        <v>1235</v>
      </c>
    </row>
    <row r="7059" spans="1:3" x14ac:dyDescent="0.25">
      <c r="A7059" s="8" t="str">
        <f>"CAL 2009 - 3rd Conference Francophone sur les Architectures Logicielles"</f>
        <v>CAL 2009 - 3rd Conference Francophone sur les Architectures Logicielles</v>
      </c>
      <c r="B7059" s="8" t="str">
        <f>"-"</f>
        <v>-</v>
      </c>
      <c r="C7059" s="8" t="s">
        <v>1459</v>
      </c>
    </row>
    <row r="7060" spans="1:3" x14ac:dyDescent="0.25">
      <c r="A7060" s="8" t="str">
        <f>"CAL 2010 - 4th Conference Francophone sur les Architectures Logicielles"</f>
        <v>CAL 2010 - 4th Conference Francophone sur les Architectures Logicielles</v>
      </c>
      <c r="B7060" s="8" t="str">
        <f>"-"</f>
        <v>-</v>
      </c>
      <c r="C7060" s="8" t="s">
        <v>1459</v>
      </c>
    </row>
    <row r="7061" spans="1:3" x14ac:dyDescent="0.25">
      <c r="A7061" s="8" t="str">
        <f>"CAL 2011 - 5th Conference Francophone sur les Architectures Logicielles"</f>
        <v>CAL 2011 - 5th Conference Francophone sur les Architectures Logicielles</v>
      </c>
      <c r="B7061" s="8" t="str">
        <f>"-"</f>
        <v>-</v>
      </c>
      <c r="C7061" s="8" t="s">
        <v>1459</v>
      </c>
    </row>
    <row r="7062" spans="1:3" x14ac:dyDescent="0.25">
      <c r="A7062" s="8" t="str">
        <f>"CAL 2013 - 7eme Edition de la Conference Francophone sur les Architectures Logicielles"</f>
        <v>CAL 2013 - 7eme Edition de la Conference Francophone sur les Architectures Logicielles</v>
      </c>
      <c r="B7062" s="8" t="str">
        <f>"-"</f>
        <v>-</v>
      </c>
      <c r="C7062" s="8" t="s">
        <v>1459</v>
      </c>
    </row>
    <row r="7063" spans="1:3" x14ac:dyDescent="0.25">
      <c r="A7063" s="8" t="str">
        <f>"CAMPS 2006 - International Workshop on Computer Architecture for Machine Perception and Sensing, Conference Proceedings"</f>
        <v>CAMPS 2006 - International Workshop on Computer Architecture for Machine Perception and Sensing, Conference Proceedings</v>
      </c>
      <c r="B7063" s="8" t="str">
        <f>"9781424406869"</f>
        <v>9781424406869</v>
      </c>
      <c r="C7063" s="8" t="s">
        <v>9</v>
      </c>
    </row>
    <row r="7064" spans="1:3" x14ac:dyDescent="0.25">
      <c r="A7064" s="8" t="str">
        <f>"CAMSAP 2009 - 2009 3rd IEEE International Workshop on Computational Advances in Multi-Sensor Adaptive Processing"</f>
        <v>CAMSAP 2009 - 2009 3rd IEEE International Workshop on Computational Advances in Multi-Sensor Adaptive Processing</v>
      </c>
      <c r="B7064" s="8" t="str">
        <f>"9781424451807"</f>
        <v>9781424451807</v>
      </c>
      <c r="C7064" s="8" t="s">
        <v>9</v>
      </c>
    </row>
    <row r="7065" spans="1:3" x14ac:dyDescent="0.25">
      <c r="A7065" s="8" t="str">
        <f>"CAMX 2014 - Composites and Advanced Materials Expo: Combined Strength. Unsurpassed Innovation."</f>
        <v>CAMX 2014 - Composites and Advanced Materials Expo: Combined Strength. Unsurpassed Innovation.</v>
      </c>
      <c r="B7065" s="8" t="str">
        <f>"-"</f>
        <v>-</v>
      </c>
      <c r="C7065" s="8" t="s">
        <v>1712</v>
      </c>
    </row>
    <row r="7066" spans="1:3" x14ac:dyDescent="0.25">
      <c r="A7066" s="8" t="str">
        <f>"Canadian Clean Air Policy Conference"</f>
        <v>Canadian Clean Air Policy Conference</v>
      </c>
      <c r="B7066" s="8" t="str">
        <f>"9780923204679"</f>
        <v>9780923204679</v>
      </c>
      <c r="C7066" s="8" t="s">
        <v>10</v>
      </c>
    </row>
    <row r="7067" spans="1:3" x14ac:dyDescent="0.25">
      <c r="A7067" s="8" t="str">
        <f>"Canadian Nuclear Society - 13th International Conference on Environmental Degradation of Materials in Nuclear Power Systems 2007"</f>
        <v>Canadian Nuclear Society - 13th International Conference on Environmental Degradation of Materials in Nuclear Power Systems 2007</v>
      </c>
      <c r="B7067" s="8" t="str">
        <f>"9781605600598"</f>
        <v>9781605600598</v>
      </c>
      <c r="C7067" s="8" t="s">
        <v>1437</v>
      </c>
    </row>
    <row r="7068" spans="1:3" x14ac:dyDescent="0.25">
      <c r="A7068" s="8" t="s">
        <v>1713</v>
      </c>
      <c r="B7068" s="8" t="str">
        <f>"9781604238488"</f>
        <v>9781604238488</v>
      </c>
      <c r="C7068" s="8" t="s">
        <v>1437</v>
      </c>
    </row>
    <row r="7069" spans="1:3" x14ac:dyDescent="0.25">
      <c r="A7069" s="8" t="str">
        <f>"Canadian Nuclear Society - 29th Annual Conference of the Canadian Nuclear Society and 32nd CNS/CNA Student Conference 2008"</f>
        <v>Canadian Nuclear Society - 29th Annual Conference of the Canadian Nuclear Society and 32nd CNS/CNA Student Conference 2008</v>
      </c>
      <c r="B7069" s="8" t="str">
        <f>"9781605607108"</f>
        <v>9781605607108</v>
      </c>
      <c r="C7069" s="8" t="s">
        <v>1437</v>
      </c>
    </row>
    <row r="7070" spans="1:3" x14ac:dyDescent="0.25">
      <c r="A7070" s="8" t="str">
        <f>"Canadian Nuclear Society - 30th Annual Canadian Nuclear Society Conference and 33rd CNS/CNA Student Conference 2009"</f>
        <v>Canadian Nuclear Society - 30th Annual Canadian Nuclear Society Conference and 33rd CNS/CNA Student Conference 2009</v>
      </c>
      <c r="B7070" s="8" t="str">
        <f>"9781615676798"</f>
        <v>9781615676798</v>
      </c>
      <c r="C7070" s="8" t="s">
        <v>1437</v>
      </c>
    </row>
    <row r="7071" spans="1:3" x14ac:dyDescent="0.25">
      <c r="A7071" s="8" t="str">
        <f>"Canadian Nuclear Society - 31st Annual Conference of the Canadian Nuclear Society and 34th CNS/CNA Student Conference 2010"</f>
        <v>Canadian Nuclear Society - 31st Annual Conference of the Canadian Nuclear Society and 34th CNS/CNA Student Conference 2010</v>
      </c>
      <c r="B7071" s="8" t="str">
        <f>"9781617823633"</f>
        <v>9781617823633</v>
      </c>
      <c r="C7071" s="8" t="s">
        <v>1437</v>
      </c>
    </row>
    <row r="7072" spans="1:3" x14ac:dyDescent="0.25">
      <c r="A7072" s="8" t="str">
        <f>"Canadian Nuclear Society - 32nd Annual Conference of the Canadian Nuclear Society and 35th CNS/Can Student Conference 2011"</f>
        <v>Canadian Nuclear Society - 32nd Annual Conference of the Canadian Nuclear Society and 35th CNS/Can Student Conference 2011</v>
      </c>
      <c r="B7072" s="8" t="str">
        <f>"9781618394149"</f>
        <v>9781618394149</v>
      </c>
      <c r="C7072" s="8" t="s">
        <v>1437</v>
      </c>
    </row>
    <row r="7073" spans="1:3" x14ac:dyDescent="0.25">
      <c r="A7073" s="8" t="str">
        <f>"Canadian Nuclear Society - 33rd Annual Conference of the Canadian Nuclear Society and 36th CNS/CNA Student Conference 2012: Building on Our Past... Building for the Future"</f>
        <v>Canadian Nuclear Society - 33rd Annual Conference of the Canadian Nuclear Society and 36th CNS/CNA Student Conference 2012: Building on Our Past... Building for the Future</v>
      </c>
      <c r="B7073" s="8" t="str">
        <f>"9781622767007"</f>
        <v>9781622767007</v>
      </c>
      <c r="C7073" s="8" t="s">
        <v>1437</v>
      </c>
    </row>
    <row r="7074" spans="1:3" x14ac:dyDescent="0.25">
      <c r="A7074" s="8" t="str">
        <f>"Canadian Semantic Web: Technologies and Applications"</f>
        <v>Canadian Semantic Web: Technologies and Applications</v>
      </c>
      <c r="B7074" s="8" t="str">
        <f>"9781441973344"</f>
        <v>9781441973344</v>
      </c>
      <c r="C7074" s="8" t="s">
        <v>834</v>
      </c>
    </row>
    <row r="7075" spans="1:3" x14ac:dyDescent="0.25">
      <c r="A7075" s="8" t="str">
        <f>"CAR 2010 - 2010 2nd International Asia Conference on Informatics in Control, Automation and Robotics"</f>
        <v>CAR 2010 - 2010 2nd International Asia Conference on Informatics in Control, Automation and Robotics</v>
      </c>
      <c r="B7075" s="8" t="str">
        <f>"9781424451937"</f>
        <v>9781424451937</v>
      </c>
      <c r="C7075" s="8" t="s">
        <v>9</v>
      </c>
    </row>
    <row r="7076" spans="1:3" x14ac:dyDescent="0.25">
      <c r="A7076" s="8" t="str">
        <f>"Carbonate Beaches 2000"</f>
        <v>Carbonate Beaches 2000</v>
      </c>
      <c r="B7076" s="8" t="str">
        <f>"9780784406403"</f>
        <v>9780784406403</v>
      </c>
      <c r="C7076" s="8" t="s">
        <v>111</v>
      </c>
    </row>
    <row r="7077" spans="1:3" x14ac:dyDescent="0.25">
      <c r="A7077" s="8" t="str">
        <f>"CARDIOTECHNIX 2013 - Proceedings of the International Congress on Cardiovascular Technologies"</f>
        <v>CARDIOTECHNIX 2013 - Proceedings of the International Congress on Cardiovascular Technologies</v>
      </c>
      <c r="B7077" s="8" t="str">
        <f>"9789898565785"</f>
        <v>9789898565785</v>
      </c>
      <c r="C7077" s="8" t="s">
        <v>1197</v>
      </c>
    </row>
    <row r="7078" spans="1:3" x14ac:dyDescent="0.25">
      <c r="A7078" s="8" t="str">
        <f>"CARDIOTECHNIX 2014 - Proceedings of the 2nd International Congress on Cardiovascular Technologies"</f>
        <v>CARDIOTECHNIX 2014 - Proceedings of the 2nd International Congress on Cardiovascular Technologies</v>
      </c>
      <c r="B7078" s="8" t="str">
        <f>"9789897580550"</f>
        <v>9789897580550</v>
      </c>
      <c r="C7078" s="8" t="s">
        <v>1680</v>
      </c>
    </row>
    <row r="7079" spans="1:3" x14ac:dyDescent="0.25">
      <c r="A7079" s="8" t="str">
        <f>"CARE 2013 - 2013 IEEE International Conference on Control, Automation, Robotics and Embedded Systems, Proceedings"</f>
        <v>CARE 2013 - 2013 IEEE International Conference on Control, Automation, Robotics and Embedded Systems, Proceedings</v>
      </c>
      <c r="B7079" s="8" t="str">
        <f>"9781467361538"</f>
        <v>9781467361538</v>
      </c>
      <c r="C7079" s="8" t="s">
        <v>9</v>
      </c>
    </row>
    <row r="7080" spans="1:3" x14ac:dyDescent="0.25">
      <c r="A7080" s="8" t="str">
        <f>"Carleton University - 18th International Conference on Adaptive Structures and Technologies, ICAST 2007"</f>
        <v>Carleton University - 18th International Conference on Adaptive Structures and Technologies, ICAST 2007</v>
      </c>
      <c r="B7080" s="8" t="str">
        <f>"9781605603476"</f>
        <v>9781605603476</v>
      </c>
      <c r="C7080" s="8" t="s">
        <v>1714</v>
      </c>
    </row>
    <row r="7081" spans="1:3" x14ac:dyDescent="0.25">
      <c r="A7081" s="8" t="str">
        <f>"CARPE'04 - Proceedings of the First ACM Workshop on Continuous Archival and Retrieval of Personal Experiences"</f>
        <v>CARPE'04 - Proceedings of the First ACM Workshop on Continuous Archival and Retrieval of Personal Experiences</v>
      </c>
      <c r="B7081" s="8" t="str">
        <f>"9781581139327"</f>
        <v>9781581139327</v>
      </c>
      <c r="C7081" s="8" t="s">
        <v>21</v>
      </c>
    </row>
    <row r="7082" spans="1:3" x14ac:dyDescent="0.25">
      <c r="A7082" s="8" t="str">
        <f>"CARTS Asia 2005"</f>
        <v>CARTS Asia 2005</v>
      </c>
      <c r="B7082" s="8" t="str">
        <f>"9781627480772"</f>
        <v>9781627480772</v>
      </c>
      <c r="C7082" s="8" t="s">
        <v>1715</v>
      </c>
    </row>
    <row r="7083" spans="1:3" x14ac:dyDescent="0.25">
      <c r="A7083" s="8" t="str">
        <f>"CARTS Asia 2006"</f>
        <v>CARTS Asia 2006</v>
      </c>
      <c r="B7083" s="8" t="str">
        <f>"9781627480789"</f>
        <v>9781627480789</v>
      </c>
      <c r="C7083" s="8" t="s">
        <v>1715</v>
      </c>
    </row>
    <row r="7084" spans="1:3" x14ac:dyDescent="0.25">
      <c r="A7084" s="8" t="str">
        <f>"CARTS Asia 2007"</f>
        <v>CARTS Asia 2007</v>
      </c>
      <c r="B7084" s="8" t="str">
        <f>"9781627480796"</f>
        <v>9781627480796</v>
      </c>
      <c r="C7084" s="8" t="s">
        <v>1715</v>
      </c>
    </row>
    <row r="7085" spans="1:3" x14ac:dyDescent="0.25">
      <c r="A7085" s="8" t="str">
        <f>"CARTS Europe 2005"</f>
        <v>CARTS Europe 2005</v>
      </c>
      <c r="B7085" s="8" t="str">
        <f>"9781627480802"</f>
        <v>9781627480802</v>
      </c>
      <c r="C7085" s="8" t="s">
        <v>1715</v>
      </c>
    </row>
    <row r="7086" spans="1:3" x14ac:dyDescent="0.25">
      <c r="A7086" s="8" t="str">
        <f>"CARTS Europe 2006"</f>
        <v>CARTS Europe 2006</v>
      </c>
      <c r="B7086" s="8" t="str">
        <f>"9781627480819"</f>
        <v>9781627480819</v>
      </c>
      <c r="C7086" s="8" t="s">
        <v>1715</v>
      </c>
    </row>
    <row r="7087" spans="1:3" x14ac:dyDescent="0.25">
      <c r="A7087" s="8" t="str">
        <f>"CARTS Europe 2007"</f>
        <v>CARTS Europe 2007</v>
      </c>
      <c r="B7087" s="8" t="str">
        <f>"9781627480826"</f>
        <v>9781627480826</v>
      </c>
      <c r="C7087" s="8" t="s">
        <v>1715</v>
      </c>
    </row>
    <row r="7088" spans="1:3" x14ac:dyDescent="0.25">
      <c r="A7088" s="8" t="str">
        <f>"CARTS Europe 2008"</f>
        <v>CARTS Europe 2008</v>
      </c>
      <c r="B7088" s="8" t="str">
        <f>"9781627480833"</f>
        <v>9781627480833</v>
      </c>
      <c r="C7088" s="8" t="s">
        <v>1715</v>
      </c>
    </row>
    <row r="7089" spans="1:3" x14ac:dyDescent="0.25">
      <c r="A7089" s="8" t="str">
        <f>"CARTS Europe 2010"</f>
        <v>CARTS Europe 2010</v>
      </c>
      <c r="B7089" s="8" t="str">
        <f>"9781627480840"</f>
        <v>9781627480840</v>
      </c>
      <c r="C7089" s="8" t="s">
        <v>1715</v>
      </c>
    </row>
    <row r="7090" spans="1:3" x14ac:dyDescent="0.25">
      <c r="A7090" s="8" t="str">
        <f>"CARTS Europe 2011"</f>
        <v>CARTS Europe 2011</v>
      </c>
      <c r="B7090" s="8" t="str">
        <f>"9781627480857"</f>
        <v>9781627480857</v>
      </c>
      <c r="C7090" s="8" t="s">
        <v>1715</v>
      </c>
    </row>
    <row r="7091" spans="1:3" x14ac:dyDescent="0.25">
      <c r="A7091" s="8" t="str">
        <f>"CARTS International 2012"</f>
        <v>CARTS International 2012</v>
      </c>
      <c r="B7091" s="8" t="str">
        <f>"9781627481366"</f>
        <v>9781627481366</v>
      </c>
      <c r="C7091" s="8" t="s">
        <v>1715</v>
      </c>
    </row>
    <row r="7092" spans="1:3" x14ac:dyDescent="0.25">
      <c r="A7092" s="8" t="str">
        <f>"CARTS International 2014"</f>
        <v>CARTS International 2014</v>
      </c>
      <c r="B7092" s="8" t="str">
        <f>"-"</f>
        <v>-</v>
      </c>
      <c r="C7092" s="8" t="s">
        <v>1715</v>
      </c>
    </row>
    <row r="7093" spans="1:3" x14ac:dyDescent="0.25">
      <c r="A7093" s="8" t="str">
        <f>"CARTS USA 2005"</f>
        <v>CARTS USA 2005</v>
      </c>
      <c r="B7093" s="8" t="str">
        <f>"9781627480864"</f>
        <v>9781627480864</v>
      </c>
      <c r="C7093" s="8" t="s">
        <v>1715</v>
      </c>
    </row>
    <row r="7094" spans="1:3" x14ac:dyDescent="0.25">
      <c r="A7094" s="8" t="str">
        <f>"CARTS USA 2006"</f>
        <v>CARTS USA 2006</v>
      </c>
      <c r="B7094" s="8" t="str">
        <f>"9781627480871"</f>
        <v>9781627480871</v>
      </c>
      <c r="C7094" s="8" t="s">
        <v>1715</v>
      </c>
    </row>
    <row r="7095" spans="1:3" x14ac:dyDescent="0.25">
      <c r="A7095" s="8" t="str">
        <f>"CARTS USA 2007"</f>
        <v>CARTS USA 2007</v>
      </c>
      <c r="B7095" s="8" t="str">
        <f>"9781627480888"</f>
        <v>9781627480888</v>
      </c>
      <c r="C7095" s="8" t="s">
        <v>1715</v>
      </c>
    </row>
    <row r="7096" spans="1:3" x14ac:dyDescent="0.25">
      <c r="A7096" s="8" t="str">
        <f>"CARTS USA 2008"</f>
        <v>CARTS USA 2008</v>
      </c>
      <c r="B7096" s="8" t="str">
        <f>"9781627480895"</f>
        <v>9781627480895</v>
      </c>
      <c r="C7096" s="8" t="s">
        <v>1715</v>
      </c>
    </row>
    <row r="7097" spans="1:3" x14ac:dyDescent="0.25">
      <c r="A7097" s="8" t="str">
        <f>"CARTS USA 2009"</f>
        <v>CARTS USA 2009</v>
      </c>
      <c r="B7097" s="8" t="str">
        <f>"9781627480901"</f>
        <v>9781627480901</v>
      </c>
      <c r="C7097" s="8" t="s">
        <v>1715</v>
      </c>
    </row>
    <row r="7098" spans="1:3" x14ac:dyDescent="0.25">
      <c r="A7098" s="8" t="str">
        <f>"CARTS USA 2010"</f>
        <v>CARTS USA 2010</v>
      </c>
      <c r="B7098" s="8" t="str">
        <f>"9781627480918"</f>
        <v>9781627480918</v>
      </c>
      <c r="C7098" s="8" t="s">
        <v>1715</v>
      </c>
    </row>
    <row r="7099" spans="1:3" x14ac:dyDescent="0.25">
      <c r="A7099" s="8" t="str">
        <f>"CARTS USA 2011"</f>
        <v>CARTS USA 2011</v>
      </c>
      <c r="B7099" s="8" t="str">
        <f>"9781627480925"</f>
        <v>9781627480925</v>
      </c>
      <c r="C7099" s="8" t="s">
        <v>1715</v>
      </c>
    </row>
    <row r="7100" spans="1:3" x14ac:dyDescent="0.25">
      <c r="A7100" s="8" t="str">
        <f>"CAS 2005 - CERN Accelerator School: Small Accelerators, Proceedings"</f>
        <v>CAS 2005 - CERN Accelerator School: Small Accelerators, Proceedings</v>
      </c>
      <c r="B7100" s="8" t="str">
        <f>"9789290832843"</f>
        <v>9789290832843</v>
      </c>
      <c r="C7100" s="8" t="s">
        <v>259</v>
      </c>
    </row>
    <row r="7101" spans="1:3" x14ac:dyDescent="0.25">
      <c r="A7101" s="8" t="str">
        <f>"CAS 2006 - CERN Accelerator School: Vacuum in Accelerators, Proceedings"</f>
        <v>CAS 2006 - CERN Accelerator School: Vacuum in Accelerators, Proceedings</v>
      </c>
      <c r="B7101" s="8" t="str">
        <f>"9789290832942"</f>
        <v>9789290832942</v>
      </c>
      <c r="C7101" s="8" t="s">
        <v>259</v>
      </c>
    </row>
    <row r="7102" spans="1:3" x14ac:dyDescent="0.25">
      <c r="A7102" s="8" t="str">
        <f>"CAS 2007 - CERN Accelerator School: Digital Signal Processing, Proceedings"</f>
        <v>CAS 2007 - CERN Accelerator School: Digital Signal Processing, Proceedings</v>
      </c>
      <c r="B7102" s="8" t="str">
        <f>"9789290833116"</f>
        <v>9789290833116</v>
      </c>
      <c r="C7102" s="8" t="s">
        <v>259</v>
      </c>
    </row>
    <row r="7103" spans="1:3" x14ac:dyDescent="0.25">
      <c r="A7103" s="8" t="str">
        <f>"CAS 2008 - CERN Accelerator School: Beam Diagnostics, Proceedings"</f>
        <v>CAS 2008 - CERN Accelerator School: Beam Diagnostics, Proceedings</v>
      </c>
      <c r="B7103" s="8" t="str">
        <f>"9789290833338"</f>
        <v>9789290833338</v>
      </c>
      <c r="C7103" s="8" t="s">
        <v>259</v>
      </c>
    </row>
    <row r="7104" spans="1:3" x14ac:dyDescent="0.25">
      <c r="A7104" s="8" t="str">
        <f>"CAS 2009 - CERN Accelerator School: Magnets, Proceedings"</f>
        <v>CAS 2009 - CERN Accelerator School: Magnets, Proceedings</v>
      </c>
      <c r="B7104" s="8" t="str">
        <f>"9789290833550"</f>
        <v>9789290833550</v>
      </c>
      <c r="C7104" s="8" t="s">
        <v>259</v>
      </c>
    </row>
    <row r="7105" spans="1:3" x14ac:dyDescent="0.25">
      <c r="A7105" s="8" t="str">
        <f>"CAS 2010 - CERN Accelerator School: RF for Accelerators, Proceedings"</f>
        <v>CAS 2010 - CERN Accelerator School: RF for Accelerators, Proceedings</v>
      </c>
      <c r="B7105" s="8" t="str">
        <f>"9789290833680"</f>
        <v>9789290833680</v>
      </c>
      <c r="C7105" s="8" t="s">
        <v>259</v>
      </c>
    </row>
    <row r="7106" spans="1:3" x14ac:dyDescent="0.25">
      <c r="A7106" s="8" t="str">
        <f>"CAS-CERN Accelerator School: Ion Sources - Proceedings"</f>
        <v>CAS-CERN Accelerator School: Ion Sources - Proceedings</v>
      </c>
      <c r="B7106" s="8" t="str">
        <f>"9789290833956"</f>
        <v>9789290833956</v>
      </c>
      <c r="C7106" s="8" t="s">
        <v>1341</v>
      </c>
    </row>
    <row r="7107" spans="1:3" x14ac:dyDescent="0.25">
      <c r="A7107" s="8" t="str">
        <f>"CAS-CERN Accelerator School: Superconductivity for Accelerators - Proceedings"</f>
        <v>CAS-CERN Accelerator School: Superconductivity for Accelerators - Proceedings</v>
      </c>
      <c r="B7107" s="8" t="str">
        <f>"9789290834052"</f>
        <v>9789290834052</v>
      </c>
      <c r="C7107" s="8" t="s">
        <v>1341</v>
      </c>
    </row>
    <row r="7108" spans="1:3" x14ac:dyDescent="0.25">
      <c r="A7108" s="8" t="str">
        <f>"Case Studies in Optimal Design and Maintenance Planning of Civil Infrastructure Systems"</f>
        <v>Case Studies in Optimal Design and Maintenance Planning of Civil Infrastructure Systems</v>
      </c>
      <c r="B7108" s="8" t="str">
        <f>"9780784404201"</f>
        <v>9780784404201</v>
      </c>
      <c r="C7108" s="8" t="s">
        <v>111</v>
      </c>
    </row>
    <row r="7109" spans="1:3" x14ac:dyDescent="0.25">
      <c r="A7109" s="8" t="str">
        <f>"CASES 2003: International Conference on Compilers, Architecture, and Synthesis for Embedded Systems"</f>
        <v>CASES 2003: International Conference on Compilers, Architecture, and Synthesis for Embedded Systems</v>
      </c>
      <c r="B7109" s="8" t="str">
        <f>"9781581136760"</f>
        <v>9781581136760</v>
      </c>
      <c r="C7109" s="8" t="s">
        <v>21</v>
      </c>
    </row>
    <row r="7110" spans="1:3" x14ac:dyDescent="0.25">
      <c r="A7110" s="8" t="str">
        <f>"CASES 2004: International Conference on Compilers, Architecture, and Synthesis for Embedded Systems"</f>
        <v>CASES 2004: International Conference on Compilers, Architecture, and Synthesis for Embedded Systems</v>
      </c>
      <c r="B7110" s="8" t="str">
        <f>"9781581138900"</f>
        <v>9781581138900</v>
      </c>
      <c r="C7110" s="8" t="s">
        <v>21</v>
      </c>
    </row>
    <row r="7111" spans="1:3" x14ac:dyDescent="0.25">
      <c r="A7111" s="8" t="str">
        <f>"CASES 2005: International Conference on Compilers, Architecture, and Synthesis for Embedded Systems"</f>
        <v>CASES 2005: International Conference on Compilers, Architecture, and Synthesis for Embedded Systems</v>
      </c>
      <c r="B7111" s="8" t="str">
        <f>"9781595931498"</f>
        <v>9781595931498</v>
      </c>
      <c r="C7111" s="8" t="s">
        <v>21</v>
      </c>
    </row>
    <row r="7112" spans="1:3" x14ac:dyDescent="0.25">
      <c r="A7112" s="8" t="str">
        <f>"CASES 2006: International Conference on Compilers, Architecture and Synthesis for Embedded Systems"</f>
        <v>CASES 2006: International Conference on Compilers, Architecture and Synthesis for Embedded Systems</v>
      </c>
      <c r="B7112" s="8" t="str">
        <f>"9781595935434"</f>
        <v>9781595935434</v>
      </c>
      <c r="C7112" s="8" t="s">
        <v>21</v>
      </c>
    </row>
    <row r="7113" spans="1:3" x14ac:dyDescent="0.25">
      <c r="A7113" s="8" t="str">
        <f>"CASES'07: Proceedings of the 2007 International Conference on Compilers, Architecture, and Synthesis for Embedded Systems"</f>
        <v>CASES'07: Proceedings of the 2007 International Conference on Compilers, Architecture, and Synthesis for Embedded Systems</v>
      </c>
      <c r="B7113" s="8" t="str">
        <f>"9781595938268"</f>
        <v>9781595938268</v>
      </c>
      <c r="C7113" s="8" t="s">
        <v>21</v>
      </c>
    </row>
    <row r="7114" spans="1:3" x14ac:dyDescent="0.25">
      <c r="A7114" s="8" t="str">
        <f>"CASES'12 - Proceedings of the 2012 ACM International Conference on Compilers, Architectures and Synthesis for Embedded Systems, Co-located with ESWEEK"</f>
        <v>CASES'12 - Proceedings of the 2012 ACM International Conference on Compilers, Architectures and Synthesis for Embedded Systems, Co-located with ESWEEK</v>
      </c>
      <c r="B7114" s="8" t="str">
        <f>"9781450314244"</f>
        <v>9781450314244</v>
      </c>
      <c r="C7114" s="8" t="s">
        <v>21</v>
      </c>
    </row>
    <row r="7115" spans="1:3" x14ac:dyDescent="0.25">
      <c r="A7115" s="8" t="str">
        <f>"CASoN 2009 - International Conference on Computational Aspects of Social Networks"</f>
        <v>CASoN 2009 - International Conference on Computational Aspects of Social Networks</v>
      </c>
      <c r="B7115" s="8" t="str">
        <f>"9780769537405"</f>
        <v>9780769537405</v>
      </c>
      <c r="C7115" s="8" t="s">
        <v>9</v>
      </c>
    </row>
    <row r="7116" spans="1:3" x14ac:dyDescent="0.25">
      <c r="A7116" s="8" t="str">
        <f>"CASTA'09 - Proceedings of the 1st International Workshop on Context-Aware Software Technology and Applications"</f>
        <v>CASTA'09 - Proceedings of the 1st International Workshop on Context-Aware Software Technology and Applications</v>
      </c>
      <c r="B7116" s="8" t="str">
        <f>"9781605587073"</f>
        <v>9781605587073</v>
      </c>
      <c r="C7116" s="8" t="s">
        <v>21</v>
      </c>
    </row>
    <row r="7117" spans="1:3" x14ac:dyDescent="0.25">
      <c r="A7117" s="8" t="str">
        <f>"Casting Design and Performance"</f>
        <v>Casting Design and Performance</v>
      </c>
      <c r="B7117" s="8" t="str">
        <f>"9780871707246"</f>
        <v>9780871707246</v>
      </c>
      <c r="C7117" s="8" t="s">
        <v>1716</v>
      </c>
    </row>
    <row r="7118" spans="1:3" x14ac:dyDescent="0.25">
      <c r="A7118" s="8" t="str">
        <f>"Catalysis and Reaction Engineering Division 2013 - Core Programming Area at the 2013 AIChE Annual Meeting: Global Challenges for Engineering a Sustainable Future"</f>
        <v>Catalysis and Reaction Engineering Division 2013 - Core Programming Area at the 2013 AIChE Annual Meeting: Global Challenges for Engineering a Sustainable Future</v>
      </c>
      <c r="B7118" s="8" t="str">
        <f>"-"</f>
        <v>-</v>
      </c>
      <c r="C7118" s="8" t="s">
        <v>1219</v>
      </c>
    </row>
    <row r="7119" spans="1:3" x14ac:dyDescent="0.25">
      <c r="A7119" s="8" t="str">
        <f>"Catalysis and Reaction Engineering Division Conference, Presentations at the 2008 AIChE Spring National Meeting"</f>
        <v>Catalysis and Reaction Engineering Division Conference, Presentations at the 2008 AIChE Spring National Meeting</v>
      </c>
      <c r="B7119" s="8" t="str">
        <f>"9781605602233"</f>
        <v>9781605602233</v>
      </c>
      <c r="C7119" s="8" t="s">
        <v>1219</v>
      </c>
    </row>
    <row r="7120" spans="1:3" x14ac:dyDescent="0.25">
      <c r="A7120" s="8" t="str">
        <f>"CBMAS-EH 2012 - Proceedings of the 2012 ACM Workshop on Cloud-Based Multimedia Applications and Services for E-Health, Co-located with ACM Multimedia 2012"</f>
        <v>CBMAS-EH 2012 - Proceedings of the 2012 ACM Workshop on Cloud-Based Multimedia Applications and Services for E-Health, Co-located with ACM Multimedia 2012</v>
      </c>
      <c r="B7120" s="8" t="str">
        <f>"9781450315876"</f>
        <v>9781450315876</v>
      </c>
      <c r="C7120" s="8" t="s">
        <v>21</v>
      </c>
    </row>
    <row r="7121" spans="1:3" x14ac:dyDescent="0.25">
      <c r="A7121" s="8" t="str">
        <f>"CBMI'2007 - 2007 International Workshop on Content-Based Multimedia Indexing, Proceedings"</f>
        <v>CBMI'2007 - 2007 International Workshop on Content-Based Multimedia Indexing, Proceedings</v>
      </c>
      <c r="B7121" s="8" t="str">
        <f>"9781424410118"</f>
        <v>9781424410118</v>
      </c>
      <c r="C7121" s="8" t="s">
        <v>9</v>
      </c>
    </row>
    <row r="7122" spans="1:3" x14ac:dyDescent="0.25">
      <c r="A7122" s="8" t="str">
        <f>"CBSE 2013 - Proceedings of the 16th ACM SIGSOFT Symposium on Component Based Software Engineering"</f>
        <v>CBSE 2013 - Proceedings of the 16th ACM SIGSOFT Symposium on Component Based Software Engineering</v>
      </c>
      <c r="B7122" s="8" t="str">
        <f>"9781450321228"</f>
        <v>9781450321228</v>
      </c>
      <c r="C7122" s="8" t="s">
        <v>21</v>
      </c>
    </row>
    <row r="7123" spans="1:3" x14ac:dyDescent="0.25">
      <c r="A7123" s="8" t="str">
        <f>"CBSE'12 - Proceedings of the 15th ACM SIGSOFT Symposium on Component Based Software Engineering"</f>
        <v>CBSE'12 - Proceedings of the 15th ACM SIGSOFT Symposium on Component Based Software Engineering</v>
      </c>
      <c r="B7123" s="8" t="str">
        <f>"9781450313452"</f>
        <v>9781450313452</v>
      </c>
      <c r="C7123" s="8" t="s">
        <v>21</v>
      </c>
    </row>
    <row r="7124" spans="1:3" x14ac:dyDescent="0.25">
      <c r="A7124" s="8" t="str">
        <f>"cccc2012 Asia-Pacific Symposium on Electromagnetic Compatibility, APEMC 2012 - Proceedings"</f>
        <v>cccc2012 Asia-Pacific Symposium on Electromagnetic Compatibility, APEMC 2012 - Proceedings</v>
      </c>
      <c r="B7124" s="8" t="str">
        <f>"9781457715587"</f>
        <v>9781457715587</v>
      </c>
      <c r="C7124" s="8" t="s">
        <v>9</v>
      </c>
    </row>
    <row r="7125" spans="1:3" x14ac:dyDescent="0.25">
      <c r="A7125" s="8" t="str">
        <f>"CCCG 2007 - 19th Canadian Conference on Computational Geometry"</f>
        <v>CCCG 2007 - 19th Canadian Conference on Computational Geometry</v>
      </c>
      <c r="B7125" s="8" t="str">
        <f>"-"</f>
        <v>-</v>
      </c>
      <c r="C7125" s="8" t="s">
        <v>1438</v>
      </c>
    </row>
    <row r="7126" spans="1:3" x14ac:dyDescent="0.25">
      <c r="A7126" s="8" t="str">
        <f>"CCCG 2013 - 25th Canadian Conference on Computational Geometry"</f>
        <v>CCCG 2013 - 25th Canadian Conference on Computational Geometry</v>
      </c>
      <c r="B7126" s="8" t="str">
        <f>"-"</f>
        <v>-</v>
      </c>
      <c r="C7126" s="8" t="s">
        <v>1438</v>
      </c>
    </row>
    <row r="7127" spans="1:3" x14ac:dyDescent="0.25">
      <c r="A7127" s="8" t="str">
        <f>"CCE 2011 - 2011 8th International Conference on Electrical Engineering, Computing Science and Automatic Control, Program and Abstract Book"</f>
        <v>CCE 2011 - 2011 8th International Conference on Electrical Engineering, Computing Science and Automatic Control, Program and Abstract Book</v>
      </c>
      <c r="B7127" s="8" t="str">
        <f>"9781457710117"</f>
        <v>9781457710117</v>
      </c>
      <c r="C7127" s="8" t="s">
        <v>9</v>
      </c>
    </row>
    <row r="7128" spans="1:3" x14ac:dyDescent="0.25">
      <c r="A7128" s="8" t="str">
        <f>"CCE 2012 - 2012 9th International Conference on Electrical Engineering, Computing Science and Automatic Control"</f>
        <v>CCE 2012 - 2012 9th International Conference on Electrical Engineering, Computing Science and Automatic Control</v>
      </c>
      <c r="B7128" s="8" t="str">
        <f>"9781467321686"</f>
        <v>9781467321686</v>
      </c>
      <c r="C7128" s="8" t="s">
        <v>9</v>
      </c>
    </row>
    <row r="7129" spans="1:3" x14ac:dyDescent="0.25">
      <c r="A7129" s="8" t="str">
        <f>"CCGrid 2010 - 10th IEEE/ACM International Conference on Cluster, Cloud, and Grid Computing"</f>
        <v>CCGrid 2010 - 10th IEEE/ACM International Conference on Cluster, Cloud, and Grid Computing</v>
      </c>
      <c r="B7129" s="8" t="str">
        <f>"9781424469871"</f>
        <v>9781424469871</v>
      </c>
      <c r="C7129" s="8" t="s">
        <v>9</v>
      </c>
    </row>
    <row r="7130" spans="1:3" x14ac:dyDescent="0.25">
      <c r="A7130" s="8" t="str">
        <f>"CCIE 2011 - Proceedings: 2011 IEEE 2nd International Conference on Computing, Control and Industrial Engineering"</f>
        <v>CCIE 2011 - Proceedings: 2011 IEEE 2nd International Conference on Computing, Control and Industrial Engineering</v>
      </c>
      <c r="B7130" s="8" t="str">
        <f>"9781424495979"</f>
        <v>9781424495979</v>
      </c>
      <c r="C7130" s="8" t="s">
        <v>9</v>
      </c>
    </row>
    <row r="7131" spans="1:3" x14ac:dyDescent="0.25">
      <c r="A7131" s="8" t="str">
        <f>"CCIS 2014 - Proceedings of 2014 IEEE 3rd International Conference on Cloud Computing and Intelligence Systems"</f>
        <v>CCIS 2014 - Proceedings of 2014 IEEE 3rd International Conference on Cloud Computing and Intelligence Systems</v>
      </c>
      <c r="B7131" s="8" t="str">
        <f>"9781479947201"</f>
        <v>9781479947201</v>
      </c>
      <c r="C7131" s="8" t="s">
        <v>105</v>
      </c>
    </row>
    <row r="7132" spans="1:3" x14ac:dyDescent="0.25">
      <c r="A7132" s="8" t="str">
        <f>"CCIS2011 - Proceedings: 2011 IEEE International Conference on Cloud Computing and Intelligence Systems"</f>
        <v>CCIS2011 - Proceedings: 2011 IEEE International Conference on Cloud Computing and Intelligence Systems</v>
      </c>
      <c r="B7132" s="8" t="str">
        <f>"9781612842011"</f>
        <v>9781612842011</v>
      </c>
      <c r="C7132" s="8" t="s">
        <v>9</v>
      </c>
    </row>
    <row r="7133" spans="1:3" x14ac:dyDescent="0.25">
      <c r="A7133" s="8" t="str">
        <f>"CCTAE 2010 - 2010 International Conference on Computer and Communication Technologies in Agriculture Engineering"</f>
        <v>CCTAE 2010 - 2010 International Conference on Computer and Communication Technologies in Agriculture Engineering</v>
      </c>
      <c r="B7133" s="8" t="str">
        <f>"9781424469451"</f>
        <v>9781424469451</v>
      </c>
      <c r="C7133" s="8" t="s">
        <v>9</v>
      </c>
    </row>
    <row r="7134" spans="1:3" x14ac:dyDescent="0.25">
      <c r="A7134" s="8" t="str">
        <f>"CCV 2010 - Annual International Conference on Cloud Computing and Virtualization, Proceedings"</f>
        <v>CCV 2010 - Annual International Conference on Cloud Computing and Virtualization, Proceedings</v>
      </c>
      <c r="B7134" s="8" t="str">
        <f>"9789810858377"</f>
        <v>9789810858377</v>
      </c>
      <c r="C7134" s="8" t="s">
        <v>1717</v>
      </c>
    </row>
    <row r="7135" spans="1:3" x14ac:dyDescent="0.25">
      <c r="A7135" s="8" t="str">
        <f>"CEA 2012 - Proceedings of the 2012 ACM Workshop on Multimedia for Cooking and Eating Activities, Co-located with ACM Multimedia 2012"</f>
        <v>CEA 2012 - Proceedings of the 2012 ACM Workshop on Multimedia for Cooking and Eating Activities, Co-located with ACM Multimedia 2012</v>
      </c>
      <c r="B7135" s="8" t="str">
        <f>"9781450315920"</f>
        <v>9781450315920</v>
      </c>
      <c r="C7135" s="8" t="s">
        <v>21</v>
      </c>
    </row>
    <row r="7136" spans="1:3" x14ac:dyDescent="0.25">
      <c r="A7136" s="8" t="str">
        <f>"CEA 2013 - Proceedings of the 5th International Workshop on Multimedia for Cooking and Eating Activities"</f>
        <v>CEA 2013 - Proceedings of the 5th International Workshop on Multimedia for Cooking and Eating Activities</v>
      </c>
      <c r="B7136" s="8" t="str">
        <f>"9781450323925"</f>
        <v>9781450323925</v>
      </c>
      <c r="C7136" s="8" t="s">
        <v>21</v>
      </c>
    </row>
    <row r="7137" spans="1:3" x14ac:dyDescent="0.25">
      <c r="A7137" s="8" t="str">
        <f>"CEAT 2013 - 2013 IEEE Conference on Clean Energy and Technology"</f>
        <v>CEAT 2013 - 2013 IEEE Conference on Clean Energy and Technology</v>
      </c>
      <c r="B7137" s="8" t="str">
        <f>"9781479932375"</f>
        <v>9781479932375</v>
      </c>
      <c r="C7137" s="8" t="s">
        <v>9</v>
      </c>
    </row>
    <row r="7138" spans="1:3" x14ac:dyDescent="0.25">
      <c r="A7138" s="8" t="str">
        <f>"CEC/EEE 2006 Joint Conferences"</f>
        <v>CEC/EEE 2006 Joint Conferences</v>
      </c>
      <c r="B7138" s="8" t="str">
        <f>"-"</f>
        <v>-</v>
      </c>
      <c r="C7138" s="8" t="s">
        <v>9</v>
      </c>
    </row>
    <row r="7139" spans="1:3" x14ac:dyDescent="0.25">
      <c r="A7139" s="8" t="str">
        <f>"CEEM 2000 - 2nd Asia-Pacific Conference on Environmental Electromagnetics, Proceedings"</f>
        <v>CEEM 2000 - 2nd Asia-Pacific Conference on Environmental Electromagnetics, Proceedings</v>
      </c>
      <c r="B7139" s="8" t="str">
        <f>"9787563504206"</f>
        <v>9787563504206</v>
      </c>
      <c r="C7139" s="8" t="s">
        <v>105</v>
      </c>
    </row>
    <row r="7140" spans="1:3" x14ac:dyDescent="0.25">
      <c r="A7140" s="8" t="str">
        <f>"CEFood 2012 - Proceedings of 6th Central European Congress on Food"</f>
        <v>CEFood 2012 - Proceedings of 6th Central European Congress on Food</v>
      </c>
      <c r="B7140" s="8" t="str">
        <f>"-"</f>
        <v>-</v>
      </c>
      <c r="C7140" s="8" t="s">
        <v>1718</v>
      </c>
    </row>
    <row r="7141" spans="1:3" x14ac:dyDescent="0.25">
      <c r="A7141" s="8" t="str">
        <f>"CellNet 2013 - Proceedings of the 2013 ACM Workshop on Cellular Networks: Operations, Challenges, and Future Design"</f>
        <v>CellNet 2013 - Proceedings of the 2013 ACM Workshop on Cellular Networks: Operations, Challenges, and Future Design</v>
      </c>
      <c r="B7141" s="8" t="str">
        <f>"9781450320740"</f>
        <v>9781450320740</v>
      </c>
      <c r="C7141" s="8" t="s">
        <v>21</v>
      </c>
    </row>
    <row r="7142" spans="1:3" x14ac:dyDescent="0.25">
      <c r="A7142" s="8" t="str">
        <f>"CellNet'12 - Proceedings of the ACM Workshop on Cellular Networks: Operations, Challenges, and Future Design"</f>
        <v>CellNet'12 - Proceedings of the ACM Workshop on Cellular Networks: Operations, Challenges, and Future Design</v>
      </c>
      <c r="B7142" s="8" t="str">
        <f>"9781450314756"</f>
        <v>9781450314756</v>
      </c>
      <c r="C7142" s="8" t="s">
        <v>21</v>
      </c>
    </row>
    <row r="7143" spans="1:3" x14ac:dyDescent="0.25">
      <c r="A7143" s="8" t="str">
        <f>"CEM 2013 - Computational Electromagnetics International Workshop"</f>
        <v>CEM 2013 - Computational Electromagnetics International Workshop</v>
      </c>
      <c r="B7143" s="8" t="str">
        <f>"9781479914326"</f>
        <v>9781479914326</v>
      </c>
      <c r="C7143" s="8" t="s">
        <v>9</v>
      </c>
    </row>
    <row r="7144" spans="1:3" x14ac:dyDescent="0.25">
      <c r="A7144" s="8" t="str">
        <f>"Center for Chemical Process Safety - 19th Annual International Conference - Emergency Planning Preparedness, Prevention and Response"</f>
        <v>Center for Chemical Process Safety - 19th Annual International Conference - Emergency Planning Preparedness, Prevention and Response</v>
      </c>
      <c r="B7144" s="8" t="str">
        <f>"9780816909544"</f>
        <v>9780816909544</v>
      </c>
      <c r="C7144" s="8" t="s">
        <v>106</v>
      </c>
    </row>
    <row r="7145" spans="1:3" x14ac:dyDescent="0.25">
      <c r="A7145" s="8" t="str">
        <f>"Center for Chemical Process Safety 18th Annual International Conference - Managing Chemical Reactivity Hazards and High Energy Release Events"</f>
        <v>Center for Chemical Process Safety 18th Annual International Conference - Managing Chemical Reactivity Hazards and High Energy Release Events</v>
      </c>
      <c r="B7145" s="8" t="str">
        <f>"9780816909001"</f>
        <v>9780816909001</v>
      </c>
      <c r="C7145" s="8" t="s">
        <v>106</v>
      </c>
    </row>
    <row r="7146" spans="1:3" x14ac:dyDescent="0.25">
      <c r="A7146" s="8" t="str">
        <f>"Ceramic Gas Turbine Design and Test Expericence"</f>
        <v>Ceramic Gas Turbine Design and Test Expericence</v>
      </c>
      <c r="B7146" s="8" t="str">
        <f>"9780791801819"</f>
        <v>9780791801819</v>
      </c>
      <c r="C7146" s="8" t="s">
        <v>1308</v>
      </c>
    </row>
    <row r="7147" spans="1:3" x14ac:dyDescent="0.25">
      <c r="A7147" s="8" t="str">
        <f>"CERMA 2009 - Electronics Robotics and Automotive Mechanics Conference"</f>
        <v>CERMA 2009 - Electronics Robotics and Automotive Mechanics Conference</v>
      </c>
      <c r="B7147" s="8" t="str">
        <f>"9780769537993"</f>
        <v>9780769537993</v>
      </c>
      <c r="C7147" s="8" t="s">
        <v>9</v>
      </c>
    </row>
    <row r="7148" spans="1:3" x14ac:dyDescent="0.25">
      <c r="A7148" s="8" t="str">
        <f>"CERN Accelerator School: High Power Hadron Machines, CAS 2011 - Proceedings"</f>
        <v>CERN Accelerator School: High Power Hadron Machines, CAS 2011 - Proceedings</v>
      </c>
      <c r="B7148" s="8" t="str">
        <f>"9789290833840"</f>
        <v>9789290833840</v>
      </c>
      <c r="C7148" s="8" t="s">
        <v>259</v>
      </c>
    </row>
    <row r="7149" spans="1:3" x14ac:dyDescent="0.25">
      <c r="A7149" s="8" t="str">
        <f>"CESB 2013 PRAGUE - Central Europe Towards Sustainable Building 2013: Sustainable Building and Refurbishment for Next Generations"</f>
        <v>CESB 2013 PRAGUE - Central Europe Towards Sustainable Building 2013: Sustainable Building and Refurbishment for Next Generations</v>
      </c>
      <c r="B7149" s="8" t="str">
        <f>"9788024750187"</f>
        <v>9788024750187</v>
      </c>
      <c r="C7149" s="8" t="s">
        <v>1719</v>
      </c>
    </row>
    <row r="7150" spans="1:3" x14ac:dyDescent="0.25">
      <c r="A7150" s="8" t="str">
        <f>"CESNET Conference 2006 - 1st CESNET Conference on Advanced Communications and Grids, Proceedings"</f>
        <v>CESNET Conference 2006 - 1st CESNET Conference on Advanced Communications and Grids, Proceedings</v>
      </c>
      <c r="B7150" s="8" t="str">
        <f>"-"</f>
        <v>-</v>
      </c>
      <c r="C7150" s="8" t="s">
        <v>1720</v>
      </c>
    </row>
    <row r="7151" spans="1:3" x14ac:dyDescent="0.25">
      <c r="A7151" s="8" t="str">
        <f>"CF '12 - Proceedings of the ACM Computing Frontiers Conference"</f>
        <v>CF '12 - Proceedings of the ACM Computing Frontiers Conference</v>
      </c>
      <c r="B7151" s="8" t="str">
        <f>"9781450312158"</f>
        <v>9781450312158</v>
      </c>
      <c r="C7151" s="8" t="s">
        <v>21</v>
      </c>
    </row>
    <row r="7152" spans="1:3" x14ac:dyDescent="0.25">
      <c r="A7152" s="8" t="str">
        <f>"CF 2010 - Proceedings of the 2010 Computing Frontiers Conference"</f>
        <v>CF 2010 - Proceedings of the 2010 Computing Frontiers Conference</v>
      </c>
      <c r="B7152" s="8" t="str">
        <f>"9781450300445"</f>
        <v>9781450300445</v>
      </c>
      <c r="C7152" s="8" t="s">
        <v>21</v>
      </c>
    </row>
    <row r="7153" spans="1:3" x14ac:dyDescent="0.25">
      <c r="A7153" s="8" t="str">
        <f>"CFIP 2006 - Colloque Francophone sur l'Ingenierie des Protocoles"</f>
        <v>CFIP 2006 - Colloque Francophone sur l'Ingenierie des Protocoles</v>
      </c>
      <c r="B7153" s="8" t="str">
        <f>"9782746215870"</f>
        <v>9782746215870</v>
      </c>
      <c r="C7153" s="8" t="s">
        <v>1721</v>
      </c>
    </row>
    <row r="7154" spans="1:3" x14ac:dyDescent="0.25">
      <c r="A7154" s="8" t="str">
        <f>"CGAT 09 - Computer Games, Multimedia and Allied Technology 09 - International Conference and Industry Symposium on Computer Games Animation, Multimedia, IPTV, Edutainment and IT Security"</f>
        <v>CGAT 09 - Computer Games, Multimedia and Allied Technology 09 - International Conference and Industry Symposium on Computer Games Animation, Multimedia, IPTV, Edutainment and IT Security</v>
      </c>
      <c r="B7154" s="8" t="str">
        <f>"9789810831905"</f>
        <v>9789810831905</v>
      </c>
      <c r="C7154" s="8" t="s">
        <v>1722</v>
      </c>
    </row>
    <row r="7155" spans="1:3" x14ac:dyDescent="0.25">
      <c r="A7155" s="8" t="str">
        <f>"CGAT 2010 - Computer Games, Multimedia and Allied Technology, Proceedings"</f>
        <v>CGAT 2010 - Computer Games, Multimedia and Allied Technology, Proceedings</v>
      </c>
      <c r="B7155" s="8" t="str">
        <f>"9789810854799"</f>
        <v>9789810854799</v>
      </c>
      <c r="C7155" s="8" t="s">
        <v>1722</v>
      </c>
    </row>
    <row r="7156" spans="1:3" x14ac:dyDescent="0.25">
      <c r="A7156" s="8" t="str">
        <f>"CGIV 2004 - Second European Conference on Color in Graphics, Imaging, and Vision and Sixth International Symposium on Multispectral Color Science"</f>
        <v>CGIV 2004 - Second European Conference on Color in Graphics, Imaging, and Vision and Sixth International Symposium on Multispectral Color Science</v>
      </c>
      <c r="B7156" s="8" t="str">
        <f>"9780892082506"</f>
        <v>9780892082506</v>
      </c>
      <c r="C7156" s="8" t="s">
        <v>415</v>
      </c>
    </row>
    <row r="7157" spans="1:3" x14ac:dyDescent="0.25">
      <c r="A7157" s="8" t="str">
        <f>"CGIV 2006 - 3rd European Conference on Colour in Graphics, Imaging, and Vision, Final Program and Proceedings"</f>
        <v>CGIV 2006 - 3rd European Conference on Colour in Graphics, Imaging, and Vision, Final Program and Proceedings</v>
      </c>
      <c r="B7157" s="8" t="str">
        <f>"9780892082629"</f>
        <v>9780892082629</v>
      </c>
      <c r="C7157" s="8" t="s">
        <v>415</v>
      </c>
    </row>
    <row r="7158" spans="1:3" x14ac:dyDescent="0.25">
      <c r="A7158" s="8" t="str">
        <f>"CGIV 2006: 3rd European Conference on Color in Graphics, Imaging, and Vision - Final Program and Proceedings"</f>
        <v>CGIV 2006: 3rd European Conference on Color in Graphics, Imaging, and Vision - Final Program and Proceedings</v>
      </c>
      <c r="B7158" s="8" t="str">
        <f>"9780892082629"</f>
        <v>9780892082629</v>
      </c>
      <c r="C7158" s="8" t="s">
        <v>415</v>
      </c>
    </row>
    <row r="7159" spans="1:3" x14ac:dyDescent="0.25">
      <c r="A7159" s="8" t="str">
        <f>"CGiV 2012 - 2012 9th International Conference on Computer Graphics, Imaging and Visualization"</f>
        <v>CGiV 2012 - 2012 9th International Conference on Computer Graphics, Imaging and Visualization</v>
      </c>
      <c r="B7159" s="8" t="str">
        <f>"9780769547787"</f>
        <v>9780769547787</v>
      </c>
      <c r="C7159" s="8" t="s">
        <v>9</v>
      </c>
    </row>
    <row r="7160" spans="1:3" x14ac:dyDescent="0.25">
      <c r="A7160" s="8" t="str">
        <f>"Challenges on Power Engineering and Environment - Proceedings of the International Conference on Power Engineering 2007, ICOPE 2007"</f>
        <v>Challenges on Power Engineering and Environment - Proceedings of the International Conference on Power Engineering 2007, ICOPE 2007</v>
      </c>
      <c r="B7160" s="8" t="str">
        <f>"9787308055956"</f>
        <v>9787308055956</v>
      </c>
      <c r="C7160" s="8" t="s">
        <v>1723</v>
      </c>
    </row>
    <row r="7161" spans="1:3" x14ac:dyDescent="0.25">
      <c r="A7161" s="8" t="str">
        <f>"Challenging Glass 3: Conference on Architectural and Structural Applications of Glass, CGC 2012"</f>
        <v>Challenging Glass 3: Conference on Architectural and Structural Applications of Glass, CGC 2012</v>
      </c>
      <c r="B7161" s="8" t="str">
        <f>"9781614990604"</f>
        <v>9781614990604</v>
      </c>
      <c r="C7161" s="8" t="s">
        <v>103</v>
      </c>
    </row>
    <row r="7162" spans="1:3" x14ac:dyDescent="0.25">
      <c r="A7162" s="8" t="str">
        <f>"Challenging Glass 4 and COST Action TU0905 Final Conference - Proceedings of the Challenging Glass 4 and Cost Action TU0905 Final Conference"</f>
        <v>Challenging Glass 4 and COST Action TU0905 Final Conference - Proceedings of the Challenging Glass 4 and Cost Action TU0905 Final Conference</v>
      </c>
      <c r="B7162" s="8" t="str">
        <f>"9781138001640"</f>
        <v>9781138001640</v>
      </c>
      <c r="C7162" s="8" t="s">
        <v>1619</v>
      </c>
    </row>
    <row r="7163" spans="1:3" x14ac:dyDescent="0.25">
      <c r="A7163" s="8" t="str">
        <f>"Challenging Lean Construction Thinking: What Do We Think and What Do We Know? - 18th Annual Conference of the International Group for Lean Construction, IGLC 18"</f>
        <v>Challenging Lean Construction Thinking: What Do We Think and What Do We Know? - 18th Annual Conference of the International Group for Lean Construction, IGLC 18</v>
      </c>
      <c r="B7163" s="8" t="str">
        <f>"-"</f>
        <v>-</v>
      </c>
      <c r="C7163" s="8" t="s">
        <v>1259</v>
      </c>
    </row>
    <row r="7164" spans="1:3" x14ac:dyDescent="0.25">
      <c r="A7164" s="8" t="str">
        <f>"CHANTS 2014 - Proceedings of the 9th ACM MobiCom Workshop on Challenged Networks"</f>
        <v>CHANTS 2014 - Proceedings of the 9th ACM MobiCom Workshop on Challenged Networks</v>
      </c>
      <c r="B7164" s="8" t="str">
        <f>"9781450330718"</f>
        <v>9781450330718</v>
      </c>
      <c r="C7164" s="8" t="s">
        <v>1235</v>
      </c>
    </row>
    <row r="7165" spans="1:3" x14ac:dyDescent="0.25">
      <c r="A7165" s="8" t="str">
        <f>"Characterisation and Engineering Properties of Natural Soils"</f>
        <v>Characterisation and Engineering Properties of Natural Soils</v>
      </c>
      <c r="B7165" s="8" t="str">
        <f>"9780415402675"</f>
        <v>9780415402675</v>
      </c>
      <c r="C7165" s="8" t="s">
        <v>1619</v>
      </c>
    </row>
    <row r="7166" spans="1:3" x14ac:dyDescent="0.25">
      <c r="A7166" s="8" t="str">
        <f>"Chemical Engineering and the Law Forum 2013 - Core Programming Area at the 2013 AIChE Annual Meeting: Global Challenges for Engineering a Sustainable Future"</f>
        <v>Chemical Engineering and the Law Forum 2013 - Core Programming Area at the 2013 AIChE Annual Meeting: Global Challenges for Engineering a Sustainable Future</v>
      </c>
      <c r="B7166" s="8" t="str">
        <f>"9781634390347"</f>
        <v>9781634390347</v>
      </c>
      <c r="C7166" s="8" t="s">
        <v>1219</v>
      </c>
    </row>
    <row r="7167" spans="1:3" x14ac:dyDescent="0.25">
      <c r="A7167" s="8" t="str">
        <f>"Chemical Engineering and the Law Forum 2014 - Core Programming Area at the 2014 AIChE Spring Meeting and 10th Global Congress on Process Safety"</f>
        <v>Chemical Engineering and the Law Forum 2014 - Core Programming Area at the 2014 AIChE Spring Meeting and 10th Global Congress on Process Safety</v>
      </c>
      <c r="B7167" s="8" t="str">
        <f>"9781634390675"</f>
        <v>9781634390675</v>
      </c>
      <c r="C7167" s="8" t="s">
        <v>1219</v>
      </c>
    </row>
    <row r="7168" spans="1:3" x14ac:dyDescent="0.25">
      <c r="A7168" s="8" t="str">
        <f>"Chemical Engineering III - Proceedings of the 3rd SREE Conference on Chemical Engineering, CCE 2013"</f>
        <v>Chemical Engineering III - Proceedings of the 3rd SREE Conference on Chemical Engineering, CCE 2013</v>
      </c>
      <c r="B7168" s="8" t="str">
        <f>"9781138001299"</f>
        <v>9781138001299</v>
      </c>
      <c r="C7168" s="8" t="s">
        <v>1619</v>
      </c>
    </row>
    <row r="7169" spans="1:3" x14ac:dyDescent="0.25">
      <c r="A7169" s="8" t="str">
        <f>"CHI 2005: Technology, Safety, Community: Conference Proceedings - Conference on Human Factors in Computing Systems"</f>
        <v>CHI 2005: Technology, Safety, Community: Conference Proceedings - Conference on Human Factors in Computing Systems</v>
      </c>
      <c r="B7169" s="8" t="str">
        <f>"9781581139983"</f>
        <v>9781581139983</v>
      </c>
      <c r="C7169" s="8" t="s">
        <v>21</v>
      </c>
    </row>
    <row r="7170" spans="1:3" x14ac:dyDescent="0.25">
      <c r="A7170" s="8" t="str">
        <f>"CHI PLAY 2014 - Proceedings of the 2014 Annual Symposium on Computer-Human Interaction in Play"</f>
        <v>CHI PLAY 2014 - Proceedings of the 2014 Annual Symposium on Computer-Human Interaction in Play</v>
      </c>
      <c r="B7170" s="8" t="str">
        <f>"9781450330145"</f>
        <v>9781450330145</v>
      </c>
      <c r="C7170" s="8" t="s">
        <v>1235</v>
      </c>
    </row>
    <row r="7171" spans="1:3" x14ac:dyDescent="0.25">
      <c r="A7171" s="8" t="str">
        <f>"CHIMIT 09 - Symposium on Computer-Human Interaction for Management of Information Technology"</f>
        <v>CHIMIT 09 - Symposium on Computer-Human Interaction for Management of Information Technology</v>
      </c>
      <c r="B7171" s="8" t="str">
        <f>"9781605585727"</f>
        <v>9781605585727</v>
      </c>
      <c r="C7171" s="8" t="s">
        <v>21</v>
      </c>
    </row>
    <row r="7172" spans="1:3" x14ac:dyDescent="0.25">
      <c r="A7172" s="8" t="str">
        <f>"Chimney and Stack Inspection Guidelines"</f>
        <v>Chimney and Stack Inspection Guidelines</v>
      </c>
      <c r="B7172" s="8" t="str">
        <f>"9780784406939"</f>
        <v>9780784406939</v>
      </c>
      <c r="C7172" s="8" t="s">
        <v>111</v>
      </c>
    </row>
    <row r="7173" spans="1:3" x14ac:dyDescent="0.25">
      <c r="A7173" s="8" t="str">
        <f>"CHINA HPC 2007: Proceedings of the Asian Technology Information Program's (ATIP's) 3rd Workshop on High Performance Computing in China - Solution Approaches to Impediments for High Performance"</f>
        <v>CHINA HPC 2007: Proceedings of the Asian Technology Information Program's (ATIP's) 3rd Workshop on High Performance Computing in China - Solution Approaches to Impediments for High Performance</v>
      </c>
      <c r="B7173" s="8" t="str">
        <f>"9781595939036"</f>
        <v>9781595939036</v>
      </c>
      <c r="C7173" s="8" t="s">
        <v>21</v>
      </c>
    </row>
    <row r="7174" spans="1:3" x14ac:dyDescent="0.25">
      <c r="A7174" s="8" t="str">
        <f>"China International Boat Show and High Performance Marine Vehicles (HPMV) Conference 2008, Proceedings"</f>
        <v>China International Boat Show and High Performance Marine Vehicles (HPMV) Conference 2008, Proceedings</v>
      </c>
      <c r="B7174" s="8" t="str">
        <f>"-"</f>
        <v>-</v>
      </c>
      <c r="C7174" s="8" t="s">
        <v>124</v>
      </c>
    </row>
    <row r="7175" spans="1:3" x14ac:dyDescent="0.25">
      <c r="A7175" s="8" t="str">
        <f>"China Semiconductor Technology International Conference 2015, CSTIC 2015"</f>
        <v>China Semiconductor Technology International Conference 2015, CSTIC 2015</v>
      </c>
      <c r="B7175" s="8" t="str">
        <f>"9781479972418"</f>
        <v>9781479972418</v>
      </c>
      <c r="C7175" s="8" t="s">
        <v>105</v>
      </c>
    </row>
    <row r="7176" spans="1:3" x14ac:dyDescent="0.25">
      <c r="A7176" s="8" t="str">
        <f>"Chinese Control and Decision Conference, 2008, CCDC 2008"</f>
        <v>Chinese Control and Decision Conference, 2008, CCDC 2008</v>
      </c>
      <c r="B7176" s="8" t="str">
        <f>"9781424417346"</f>
        <v>9781424417346</v>
      </c>
      <c r="C7176" s="8" t="s">
        <v>9</v>
      </c>
    </row>
    <row r="7177" spans="1:3" x14ac:dyDescent="0.25">
      <c r="A7177" s="8" t="str">
        <f>"CHINZ 2010 - Proceedings of the 11th International Conference NZ Chapter of the ACM Special Interest Group on Human-Computer Interaction (SIGCHI-NZ)"</f>
        <v>CHINZ 2010 - Proceedings of the 11th International Conference NZ Chapter of the ACM Special Interest Group on Human-Computer Interaction (SIGCHI-NZ)</v>
      </c>
      <c r="B7177" s="8" t="str">
        <f>"9781450301046"</f>
        <v>9781450301046</v>
      </c>
      <c r="C7177" s="8" t="s">
        <v>21</v>
      </c>
    </row>
    <row r="7178" spans="1:3" x14ac:dyDescent="0.25">
      <c r="A7178" s="8" t="str">
        <f>"CHINZ 2011 - Proceedings of the 12th Annual Conference of the New Zealand Chapter of the ACM Special Interest Group on Computer-Human Interaction"</f>
        <v>CHINZ 2011 - Proceedings of the 12th Annual Conference of the New Zealand Chapter of the ACM Special Interest Group on Computer-Human Interaction</v>
      </c>
      <c r="B7178" s="8" t="str">
        <f>"9781450306768"</f>
        <v>9781450306768</v>
      </c>
      <c r="C7178" s="8" t="s">
        <v>21</v>
      </c>
    </row>
    <row r="7179" spans="1:3" x14ac:dyDescent="0.25">
      <c r="A7179" s="8" t="str">
        <f>"Chip in Curitiba 2013 - SBCCI 2013: 26th Symposium on Integrated Circuits and Systems Design"</f>
        <v>Chip in Curitiba 2013 - SBCCI 2013: 26th Symposium on Integrated Circuits and Systems Design</v>
      </c>
      <c r="B7179" s="8" t="str">
        <f>"9781479911325"</f>
        <v>9781479911325</v>
      </c>
      <c r="C7179" s="8" t="s">
        <v>9</v>
      </c>
    </row>
    <row r="7180" spans="1:3" x14ac:dyDescent="0.25">
      <c r="A7180" s="8" t="str">
        <f>"Chip in Curitiba 2013 - SBMicro 2013: 28th Symposium on Microelectronics Technology and Devices"</f>
        <v>Chip in Curitiba 2013 - SBMicro 2013: 28th Symposium on Microelectronics Technology and Devices</v>
      </c>
      <c r="B7180" s="8" t="str">
        <f>"9781479905188"</f>
        <v>9781479905188</v>
      </c>
      <c r="C7180" s="8" t="s">
        <v>9</v>
      </c>
    </row>
    <row r="7181" spans="1:3" x14ac:dyDescent="0.25">
      <c r="A7181" s="8" t="str">
        <f>"Chiral Dynamics 2006 - Proceedings of the 5th International Workshop on Chiral Dynamics, Theory and Experiment, CD 2006"</f>
        <v>Chiral Dynamics 2006 - Proceedings of the 5th International Workshop on Chiral Dynamics, Theory and Experiment, CD 2006</v>
      </c>
      <c r="B7181" s="8" t="str">
        <f>"9789812705662"</f>
        <v>9789812705662</v>
      </c>
      <c r="C7181" s="8" t="s">
        <v>157</v>
      </c>
    </row>
    <row r="7182" spans="1:3" x14ac:dyDescent="0.25">
      <c r="A7182" s="8" t="str">
        <f>"CHISA 2004 - 16th International Congress of Chemical and Process Engineering"</f>
        <v>CHISA 2004 - 16th International Congress of Chemical and Process Engineering</v>
      </c>
      <c r="B7182" s="8" t="str">
        <f>"9788086059402"</f>
        <v>9788086059402</v>
      </c>
      <c r="C7182" s="8" t="s">
        <v>1724</v>
      </c>
    </row>
    <row r="7183" spans="1:3" x14ac:dyDescent="0.25">
      <c r="A7183" s="8" t="str">
        <f>"CHISA 2006 - 17th International Congress of Chemical and Process Engineering"</f>
        <v>CHISA 2006 - 17th International Congress of Chemical and Process Engineering</v>
      </c>
      <c r="B7183" s="8" t="str">
        <f>"9788086059457"</f>
        <v>9788086059457</v>
      </c>
      <c r="C7183" s="8" t="s">
        <v>1724</v>
      </c>
    </row>
    <row r="7184" spans="1:3" x14ac:dyDescent="0.25">
      <c r="A7184" s="8" t="str">
        <f>"CHUSER 2012 - 2012 IEEE Colloquium on Humanities, Science and Engineering Research"</f>
        <v>CHUSER 2012 - 2012 IEEE Colloquium on Humanities, Science and Engineering Research</v>
      </c>
      <c r="B7184" s="8" t="str">
        <f>"9781467346153"</f>
        <v>9781467346153</v>
      </c>
      <c r="C7184" s="8" t="s">
        <v>9</v>
      </c>
    </row>
    <row r="7185" spans="1:3" x14ac:dyDescent="0.25">
      <c r="A7185" s="8" t="s">
        <v>1725</v>
      </c>
      <c r="B7185" s="8" t="str">
        <f>"9789978325100"</f>
        <v>9789978325100</v>
      </c>
      <c r="C7185" s="8" t="s">
        <v>1528</v>
      </c>
    </row>
    <row r="7186" spans="1:3" x14ac:dyDescent="0.25">
      <c r="A7186" s="8" t="str">
        <f>"CIbSE 2013: 16th Ibero-American Conference on Software Engineering - Memorias de la 16th Conferencia Iberoamericana de Ingenieria de Software, CIbSE 2013"</f>
        <v>CIbSE 2013: 16th Ibero-American Conference on Software Engineering - Memorias de la 16th Conferencia Iberoamericana de Ingenieria de Software, CIbSE 2013</v>
      </c>
      <c r="B7186" s="8" t="str">
        <f>"9789974837911"</f>
        <v>9789974837911</v>
      </c>
      <c r="C7186" s="8" t="s">
        <v>1241</v>
      </c>
    </row>
    <row r="7187" spans="1:3" x14ac:dyDescent="0.25">
      <c r="A7187" s="8" t="str">
        <f>"CIbSE 2013: 16th Ibero-American Conference on Software Engineering - Memorias del 10th Workshop Latinoamericano Ingenieria de Software Experimental, ESELAW 2013"</f>
        <v>CIbSE 2013: 16th Ibero-American Conference on Software Engineering - Memorias del 10th Workshop Latinoamericano Ingenieria de Software Experimental, ESELAW 2013</v>
      </c>
      <c r="B7187" s="8" t="str">
        <f>"9789974837935"</f>
        <v>9789974837935</v>
      </c>
      <c r="C7187" s="8" t="s">
        <v>1241</v>
      </c>
    </row>
    <row r="7188" spans="1:3" x14ac:dyDescent="0.25">
      <c r="A7188" s="8" t="str">
        <f>"CIbSE 2013: 16th Ibero-American Conference on Software Engineering - Memorias del 16th Workshop de Ingenieria en Requisitos, WER 2013"</f>
        <v>CIbSE 2013: 16th Ibero-American Conference on Software Engineering - Memorias del 16th Workshop de Ingenieria en Requisitos, WER 2013</v>
      </c>
      <c r="B7188" s="8" t="str">
        <f>"9789974837928"</f>
        <v>9789974837928</v>
      </c>
      <c r="C7188" s="8" t="s">
        <v>1241</v>
      </c>
    </row>
    <row r="7189" spans="1:3" x14ac:dyDescent="0.25">
      <c r="A7189" s="8" t="str">
        <f>"CIBSE 2015 - XVIII Ibero-American Conference on Software Engineering"</f>
        <v>CIBSE 2015 - XVIII Ibero-American Conference on Software Engineering</v>
      </c>
      <c r="B7189" s="8" t="str">
        <f>"9789972825804"</f>
        <v>9789972825804</v>
      </c>
      <c r="C7189" s="8" t="s">
        <v>1726</v>
      </c>
    </row>
    <row r="7190" spans="1:3" x14ac:dyDescent="0.25">
      <c r="A7190" s="8" t="str">
        <f>"CIC18 2010 - 18th Color and Imaging Conference: Color Science and Engineering Systems, Technologies, and Applications, Technical Papers and Proceedings"</f>
        <v>CIC18 2010 - 18th Color and Imaging Conference: Color Science and Engineering Systems, Technologies, and Applications, Technical Papers and Proceedings</v>
      </c>
      <c r="B7190" s="8" t="str">
        <f>"9780892082940"</f>
        <v>9780892082940</v>
      </c>
      <c r="C7190" s="8" t="s">
        <v>415</v>
      </c>
    </row>
    <row r="7191" spans="1:3" x14ac:dyDescent="0.25">
      <c r="A7191" s="8" t="str">
        <f>"CICC-ITOE 2010 - 2010 International Conference on Innovative Computing and Communication, 2010 Asia-Pacific Conference on Information Technology and Ocean Engineering"</f>
        <v>CICC-ITOE 2010 - 2010 International Conference on Innovative Computing and Communication, 2010 Asia-Pacific Conference on Information Technology and Ocean Engineering</v>
      </c>
      <c r="B7191" s="8" t="str">
        <f>"9780769539423"</f>
        <v>9780769539423</v>
      </c>
      <c r="C7191" s="8" t="s">
        <v>9</v>
      </c>
    </row>
    <row r="7192" spans="1:3" x14ac:dyDescent="0.25">
      <c r="A7192" s="8" t="str">
        <f>"CICTP 2012: Multimodal Transportation Systems - Convenient, Safe, Cost-Effective, Efficient - Proceedings of the 12th COTA International Conference of Transportation Professionals"</f>
        <v>CICTP 2012: Multimodal Transportation Systems - Convenient, Safe, Cost-Effective, Efficient - Proceedings of the 12th COTA International Conference of Transportation Professionals</v>
      </c>
      <c r="B7192" s="8" t="str">
        <f>"9780784412442"</f>
        <v>9780784412442</v>
      </c>
      <c r="C7192" s="8" t="s">
        <v>111</v>
      </c>
    </row>
    <row r="7193" spans="1:3" x14ac:dyDescent="0.25">
      <c r="A7193" s="8" t="str">
        <f>"CIDR 2007 - 3rd Biennial Conference on Innovative Data Systems Research"</f>
        <v>CIDR 2007 - 3rd Biennial Conference on Innovative Data Systems Research</v>
      </c>
      <c r="B7193" s="8" t="str">
        <f>"-"</f>
        <v>-</v>
      </c>
      <c r="C7193" s="8" t="s">
        <v>1458</v>
      </c>
    </row>
    <row r="7194" spans="1:3" x14ac:dyDescent="0.25">
      <c r="A7194" s="8" t="str">
        <f>"CIDR 2009 - 4th Biennal Conference on Innovative Data Systems Research"</f>
        <v>CIDR 2009 - 4th Biennal Conference on Innovative Data Systems Research</v>
      </c>
      <c r="B7194" s="8" t="str">
        <f>"-"</f>
        <v>-</v>
      </c>
      <c r="C7194" s="8" t="s">
        <v>1458</v>
      </c>
    </row>
    <row r="7195" spans="1:3" x14ac:dyDescent="0.25">
      <c r="A7195" s="8" t="str">
        <f>"CIDR 2011 - 5th Biennial Conference on Innovative Data Systems Research, Conference Proceedings"</f>
        <v>CIDR 2011 - 5th Biennial Conference on Innovative Data Systems Research, Conference Proceedings</v>
      </c>
      <c r="B7195" s="8" t="str">
        <f>"-"</f>
        <v>-</v>
      </c>
      <c r="C7195" s="8" t="s">
        <v>1458</v>
      </c>
    </row>
    <row r="7196" spans="1:3" x14ac:dyDescent="0.25">
      <c r="A7196" s="8" t="s">
        <v>1727</v>
      </c>
      <c r="B7196" s="8" t="str">
        <f>"-"</f>
        <v>-</v>
      </c>
      <c r="C7196" s="8" t="s">
        <v>1489</v>
      </c>
    </row>
    <row r="7197" spans="1:3" x14ac:dyDescent="0.25">
      <c r="A7197" s="8" t="str">
        <f>"CIG2009 - 2009 IEEE Symposium on Computational Intelligence and Games"</f>
        <v>CIG2009 - 2009 IEEE Symposium on Computational Intelligence and Games</v>
      </c>
      <c r="B7197" s="8" t="str">
        <f>"9781424448159"</f>
        <v>9781424448159</v>
      </c>
      <c r="C7197" s="8" t="s">
        <v>1348</v>
      </c>
    </row>
    <row r="7198" spans="1:3" x14ac:dyDescent="0.25">
      <c r="A7198" s="8" t="str">
        <f>"CIGRE 2011 Bologna Symposium - The Electric Power System of the Future: Integrating Supergrids and Microgrids"</f>
        <v>CIGRE 2011 Bologna Symposium - The Electric Power System of the Future: Integrating Supergrids and Microgrids</v>
      </c>
      <c r="B7198" s="8" t="str">
        <f>"9782858731657"</f>
        <v>9782858731657</v>
      </c>
      <c r="C7198" s="8" t="s">
        <v>1352</v>
      </c>
    </row>
    <row r="7199" spans="1:3" x14ac:dyDescent="0.25">
      <c r="A7199" s="8" t="str">
        <f>"CIGRE International Symposium Guilin 2009: Operation and Development of Power System in the New Context"</f>
        <v>CIGRE International Symposium Guilin 2009: Operation and Development of Power System in the New Context</v>
      </c>
      <c r="B7199" s="8" t="str">
        <f>"9782858730810"</f>
        <v>9782858730810</v>
      </c>
      <c r="C7199" s="8" t="s">
        <v>1352</v>
      </c>
    </row>
    <row r="7200" spans="1:3" x14ac:dyDescent="0.25">
      <c r="A7200" s="8" t="str">
        <f>"CIGRE International Symposium Recife 2011 on Assessing and Improving Power System Security, Reliability and Performance in Light of Changing Energy Sources"</f>
        <v>CIGRE International Symposium Recife 2011 on Assessing and Improving Power System Security, Reliability and Performance in Light of Changing Energy Sources</v>
      </c>
      <c r="B7200" s="8" t="str">
        <f>"9782858731336"</f>
        <v>9782858731336</v>
      </c>
      <c r="C7200" s="8" t="s">
        <v>1352</v>
      </c>
    </row>
    <row r="7201" spans="1:3" x14ac:dyDescent="0.25">
      <c r="A7201" s="8" t="str">
        <f>"CIGRE Symposium Osaka 2007: System Development and Asset Management under Restructuring"</f>
        <v>CIGRE Symposium Osaka 2007: System Development and Asset Management under Restructuring</v>
      </c>
      <c r="B7201" s="8" t="str">
        <f>"9782858730230"</f>
        <v>9782858730230</v>
      </c>
      <c r="C7201" s="8" t="s">
        <v>1352</v>
      </c>
    </row>
    <row r="7202" spans="1:3" x14ac:dyDescent="0.25">
      <c r="A7202" s="8" t="str">
        <f>"CIGRE/IEEE PES International Symposium Quality and Security of Electric Power Delivery Systems, CIGRE/PES 2003"</f>
        <v>CIGRE/IEEE PES International Symposium Quality and Security of Electric Power Delivery Systems, CIGRE/PES 2003</v>
      </c>
      <c r="B7202" s="8" t="str">
        <f>"9782858730155"</f>
        <v>9782858730155</v>
      </c>
      <c r="C7202" s="8" t="s">
        <v>105</v>
      </c>
    </row>
    <row r="7203" spans="1:3" x14ac:dyDescent="0.25">
      <c r="A7203" s="8" t="str">
        <f>"CIKM 2014 - Proceedings of the 2014 ACM International Conference on Information and Knowledge Management"</f>
        <v>CIKM 2014 - Proceedings of the 2014 ACM International Conference on Information and Knowledge Management</v>
      </c>
      <c r="B7203" s="8" t="str">
        <f>"9781450325981"</f>
        <v>9781450325981</v>
      </c>
      <c r="C7203" s="8" t="s">
        <v>1235</v>
      </c>
    </row>
    <row r="7204" spans="1:3" x14ac:dyDescent="0.25">
      <c r="A7204" s="8" t="str">
        <f>"CIM 2002 Computer Integrated Manufacturing and High Speed Machining - 8th International Scientific Conference on Production Engineering"</f>
        <v>CIM 2002 Computer Integrated Manufacturing and High Speed Machining - 8th International Scientific Conference on Production Engineering</v>
      </c>
      <c r="B7204" s="8" t="str">
        <f>"9789539718136"</f>
        <v>9789539718136</v>
      </c>
      <c r="C7204" s="8" t="s">
        <v>1728</v>
      </c>
    </row>
    <row r="7205" spans="1:3" x14ac:dyDescent="0.25">
      <c r="A7205" s="8" t="str">
        <f>"CIMCA 2006: International Conference on Computational Intelligence for Modelling, Control and Automation, Jointly with IAWTIC 2006: International Conference on Intelligent Agents Web Technologies ..."</f>
        <v>CIMCA 2006: International Conference on Computational Intelligence for Modelling, Control and Automation, Jointly with IAWTIC 2006: International Conference on Intelligent Agents Web Technologies ...</v>
      </c>
      <c r="B7205" s="8" t="str">
        <f>"9780769527314"</f>
        <v>9780769527314</v>
      </c>
      <c r="C7205" s="8" t="s">
        <v>9</v>
      </c>
    </row>
    <row r="7206" spans="1:3" x14ac:dyDescent="0.25">
      <c r="A7206" s="8" t="str">
        <f>"CIMSA 2008 - IEEE Conference on Computational Intelligence for Measurement Systems and Applications Proceedings"</f>
        <v>CIMSA 2008 - IEEE Conference on Computational Intelligence for Measurement Systems and Applications Proceedings</v>
      </c>
      <c r="B7206" s="8" t="str">
        <f>"9781424423064"</f>
        <v>9781424423064</v>
      </c>
      <c r="C7206" s="8" t="s">
        <v>9</v>
      </c>
    </row>
    <row r="7207" spans="1:3" x14ac:dyDescent="0.25">
      <c r="A7207" s="8" t="str">
        <f>"CIMSA 2010 - IEEE International Conference on Computational Intelligence for Measurement Systems and Applications, Proceedings"</f>
        <v>CIMSA 2010 - IEEE International Conference on Computational Intelligence for Measurement Systems and Applications, Proceedings</v>
      </c>
      <c r="B7207" s="8" t="str">
        <f>"9781424472291"</f>
        <v>9781424472291</v>
      </c>
      <c r="C7207" s="8" t="s">
        <v>9</v>
      </c>
    </row>
    <row r="7208" spans="1:3" x14ac:dyDescent="0.25">
      <c r="A7208" s="8" t="str">
        <f>"CIMSA 2012 - 2012 IEEE International Conference on Computational Intelligence for Measurement Systems and Applications, Proceedings"</f>
        <v>CIMSA 2012 - 2012 IEEE International Conference on Computational Intelligence for Measurement Systems and Applications, Proceedings</v>
      </c>
      <c r="B7208" s="8" t="str">
        <f>"9781457717772"</f>
        <v>9781457717772</v>
      </c>
      <c r="C7208" s="8" t="s">
        <v>9</v>
      </c>
    </row>
    <row r="7209" spans="1:3" x14ac:dyDescent="0.25">
      <c r="A7209" s="8" t="str">
        <f>"CIMTEC 2008 - Proceedings of the 3rd International Conference on Smart Materials, Structures and Systems - Artificial Muscle Actuators using Electroactive Polymers"</f>
        <v>CIMTEC 2008 - Proceedings of the 3rd International Conference on Smart Materials, Structures and Systems - Artificial Muscle Actuators using Electroactive Polymers</v>
      </c>
      <c r="B7209" s="8" t="str">
        <f>"9783908158189"</f>
        <v>9783908158189</v>
      </c>
      <c r="C7209" s="8" t="s">
        <v>320</v>
      </c>
    </row>
    <row r="7210" spans="1:3" x14ac:dyDescent="0.25">
      <c r="A7210" s="8" t="str">
        <f>"CIMTEC 2008 - Proceedings of the 3rd International Conference on Smart Materials, Structures and Systems - Biomedical Applications of Smart Materials, Nanotechnology and Micro/Nano Engineering"</f>
        <v>CIMTEC 2008 - Proceedings of the 3rd International Conference on Smart Materials, Structures and Systems - Biomedical Applications of Smart Materials, Nanotechnology and Micro/Nano Engineering</v>
      </c>
      <c r="B7210" s="8" t="str">
        <f>"9783908158141"</f>
        <v>9783908158141</v>
      </c>
      <c r="C7210" s="8" t="s">
        <v>320</v>
      </c>
    </row>
    <row r="7211" spans="1:3" x14ac:dyDescent="0.25">
      <c r="A7211" s="8" t="str">
        <f>"CIMTEC 2008 - Proceedings of the 3rd International Conference on Smart Materials, Structures and Systems - Embodying Intelligence in Structures and Integrated Systems"</f>
        <v>CIMTEC 2008 - Proceedings of the 3rd International Conference on Smart Materials, Structures and Systems - Embodying Intelligence in Structures and Integrated Systems</v>
      </c>
      <c r="B7211" s="8" t="str">
        <f>"9783908158134"</f>
        <v>9783908158134</v>
      </c>
      <c r="C7211" s="8" t="s">
        <v>320</v>
      </c>
    </row>
    <row r="7212" spans="1:3" x14ac:dyDescent="0.25">
      <c r="A7212" s="8" t="str">
        <f>"CIMTEC 2008 - Proceedings of the 3rd International Conference on Smart Materials, Structures and Systems - Mining Smartness from Nature"</f>
        <v>CIMTEC 2008 - Proceedings of the 3rd International Conference on Smart Materials, Structures and Systems - Mining Smartness from Nature</v>
      </c>
      <c r="B7212" s="8" t="str">
        <f>"9783908158158"</f>
        <v>9783908158158</v>
      </c>
      <c r="C7212" s="8" t="s">
        <v>320</v>
      </c>
    </row>
    <row r="7213" spans="1:3" x14ac:dyDescent="0.25">
      <c r="A7213" s="8" t="str">
        <f>"CIMTEC 2008 - Proceedings of the 3rd International Conference on Smart Materials, Structures and Systems - Smart Materials and Micro/Nanosystems"</f>
        <v>CIMTEC 2008 - Proceedings of the 3rd International Conference on Smart Materials, Structures and Systems - Smart Materials and Micro/Nanosystems</v>
      </c>
      <c r="B7213" s="8" t="str">
        <f>"9783908158110"</f>
        <v>9783908158110</v>
      </c>
      <c r="C7213" s="8" t="s">
        <v>320</v>
      </c>
    </row>
    <row r="7214" spans="1:3" x14ac:dyDescent="0.25">
      <c r="A7214" s="8" t="str">
        <f>"CIMTEC 2008 - Proceedings of the 3rd International Conference on Smart Materials, Structures and Systems - Smart Optics"</f>
        <v>CIMTEC 2008 - Proceedings of the 3rd International Conference on Smart Materials, Structures and Systems - Smart Optics</v>
      </c>
      <c r="B7214" s="8" t="str">
        <f>"9783908158127"</f>
        <v>9783908158127</v>
      </c>
      <c r="C7214" s="8" t="s">
        <v>320</v>
      </c>
    </row>
    <row r="7215" spans="1:3" x14ac:dyDescent="0.25">
      <c r="A7215" s="8" t="str">
        <f>"CIMTEC 2008 - Proceedings of the 3rd International Conference on Smart Materials, Structures and Systems - Smart Textiles"</f>
        <v>CIMTEC 2008 - Proceedings of the 3rd International Conference on Smart Materials, Structures and Systems - Smart Textiles</v>
      </c>
      <c r="B7215" s="8" t="str">
        <f>"9783908158172"</f>
        <v>9783908158172</v>
      </c>
      <c r="C7215" s="8" t="s">
        <v>320</v>
      </c>
    </row>
    <row r="7216" spans="1:3" x14ac:dyDescent="0.25">
      <c r="A7216" s="8" t="str">
        <f>"CIMTEC 2008 - Proceedings of the 3rd International Conference on Smart Materials, Structures and Systems - State-of-the-art Research and Application of SMAs Technologies"</f>
        <v>CIMTEC 2008 - Proceedings of the 3rd International Conference on Smart Materials, Structures and Systems - State-of-the-art Research and Application of SMAs Technologies</v>
      </c>
      <c r="B7216" s="8" t="str">
        <f>"9783908158165"</f>
        <v>9783908158165</v>
      </c>
      <c r="C7216" s="8" t="s">
        <v>320</v>
      </c>
    </row>
    <row r="7217" spans="1:3" x14ac:dyDescent="0.25">
      <c r="A7217" s="8" t="str">
        <f>"CINTI 2012 - 13th IEEE International Symposium on Computational Intelligence and Informatics, Proceedings"</f>
        <v>CINTI 2012 - 13th IEEE International Symposium on Computational Intelligence and Informatics, Proceedings</v>
      </c>
      <c r="B7217" s="8" t="str">
        <f>"9781467352062"</f>
        <v>9781467352062</v>
      </c>
      <c r="C7217" s="8" t="s">
        <v>9</v>
      </c>
    </row>
    <row r="7218" spans="1:3" x14ac:dyDescent="0.25">
      <c r="A7218" s="8" t="str">
        <f>"CINTI 2013 - 14th IEEE International Symposium on Computational Intelligence and Informatics, Proceedings"</f>
        <v>CINTI 2013 - 14th IEEE International Symposium on Computational Intelligence and Informatics, Proceedings</v>
      </c>
      <c r="B7218" s="8" t="str">
        <f>"9781479901975"</f>
        <v>9781479901975</v>
      </c>
      <c r="C7218" s="8" t="s">
        <v>9</v>
      </c>
    </row>
    <row r="7219" spans="1:3" x14ac:dyDescent="0.25">
      <c r="A7219" s="8" t="str">
        <f>"CINTI 2014 - 15th IEEE International Symposium on Computational Intelligence and Informatics, Proceedings"</f>
        <v>CINTI 2014 - 15th IEEE International Symposium on Computational Intelligence and Informatics, Proceedings</v>
      </c>
      <c r="B7219" s="8" t="str">
        <f>"9781479953387"</f>
        <v>9781479953387</v>
      </c>
      <c r="C7219" s="8" t="s">
        <v>105</v>
      </c>
    </row>
    <row r="7220" spans="1:3" x14ac:dyDescent="0.25">
      <c r="A7220" s="8" t="str">
        <f>"Circuit Bending, Breaking and Mending - Proceedings of the 16th International Conference on Computer-Aided Architectural Design Research in Asia, CAADRIA 2011"</f>
        <v>Circuit Bending, Breaking and Mending - Proceedings of the 16th International Conference on Computer-Aided Architectural Design Research in Asia, CAADRIA 2011</v>
      </c>
      <c r="B7220" s="8" t="str">
        <f>"9789881902627"</f>
        <v>9789881902627</v>
      </c>
      <c r="C7220" s="8" t="s">
        <v>1729</v>
      </c>
    </row>
    <row r="7221" spans="1:3" x14ac:dyDescent="0.25">
      <c r="A7221" s="8" t="str">
        <f>"CIS 2009 - 2009 International Conference on Computational Intelligence and Security"</f>
        <v>CIS 2009 - 2009 International Conference on Computational Intelligence and Security</v>
      </c>
      <c r="B7221" s="8" t="str">
        <f>"9780769539317"</f>
        <v>9780769539317</v>
      </c>
      <c r="C7221" s="8" t="s">
        <v>9</v>
      </c>
    </row>
    <row r="7222" spans="1:3" x14ac:dyDescent="0.25">
      <c r="A7222" s="8" t="str">
        <f>"CISCI 2014 - Decima Tercera Conferencia Iberoamericana en Sistemas, Cibernetica e Informatica, Undecimo Simposium Iberoamericano en Educacion, Cibernetica e Informatica, SIECI 2014 - Memorias"</f>
        <v>CISCI 2014 - Decima Tercera Conferencia Iberoamericana en Sistemas, Cibernetica e Informatica, Undecimo Simposium Iberoamericano en Educacion, Cibernetica e Informatica, SIECI 2014 - Memorias</v>
      </c>
      <c r="B7222" s="8" t="str">
        <f>"9781941763087"</f>
        <v>9781941763087</v>
      </c>
      <c r="C7222" s="8" t="s">
        <v>1502</v>
      </c>
    </row>
    <row r="7223" spans="1:3" x14ac:dyDescent="0.25">
      <c r="A7223" s="8" t="str">
        <f>"CISIS 2010 - The 4th International Conference on Complex, Intelligent and Software Intensive Systems"</f>
        <v>CISIS 2010 - The 4th International Conference on Complex, Intelligent and Software Intensive Systems</v>
      </c>
      <c r="B7223" s="8" t="str">
        <f>"9780769539676"</f>
        <v>9780769539676</v>
      </c>
      <c r="C7223" s="8" t="s">
        <v>9</v>
      </c>
    </row>
    <row r="7224" spans="1:3" x14ac:dyDescent="0.25">
      <c r="A7224" s="8" t="str">
        <f>"CISS 2008, The 42nd Annual Conference on Information Sciences and Systems"</f>
        <v>CISS 2008, The 42nd Annual Conference on Information Sciences and Systems</v>
      </c>
      <c r="B7224" s="8" t="str">
        <f>"9781424422470"</f>
        <v>9781424422470</v>
      </c>
      <c r="C7224" s="8" t="s">
        <v>9</v>
      </c>
    </row>
    <row r="7225" spans="1:3" x14ac:dyDescent="0.25">
      <c r="A7225" s="8" t="str">
        <f>"CiSt 2012 - Proceedings: 2012 Colloquium in Information Science and Technology"</f>
        <v>CiSt 2012 - Proceedings: 2012 Colloquium in Information Science and Technology</v>
      </c>
      <c r="B7225" s="8" t="str">
        <f>"9781467327251"</f>
        <v>9781467327251</v>
      </c>
      <c r="C7225" s="8" t="s">
        <v>9</v>
      </c>
    </row>
    <row r="7226" spans="1:3" x14ac:dyDescent="0.25">
      <c r="A7226" s="8" t="str">
        <f>"CISTI 2006 - Actas da 1a Conferencia Iberica de Sistemas e Tecnologias de Informacao"</f>
        <v>CISTI 2006 - Actas da 1a Conferencia Iberica de Sistemas e Tecnologias de Informacao</v>
      </c>
      <c r="B7226" s="8" t="str">
        <f>"-"</f>
        <v>-</v>
      </c>
      <c r="C7226" s="8" t="s">
        <v>1035</v>
      </c>
    </row>
    <row r="7227" spans="1:3" x14ac:dyDescent="0.25">
      <c r="A7227" s="8" t="str">
        <f>"CIT 2007: 7th IEEE International Conference on Computer and Information Technology"</f>
        <v>CIT 2007: 7th IEEE International Conference on Computer and Information Technology</v>
      </c>
      <c r="B7227" s="8" t="str">
        <f>"9780769529837"</f>
        <v>9780769529837</v>
      </c>
      <c r="C7227" s="8" t="s">
        <v>9</v>
      </c>
    </row>
    <row r="7228" spans="1:3" x14ac:dyDescent="0.25">
      <c r="A7228" s="8" t="str">
        <f>"CITSA 2006 - 3rd Int. Conf. on Cybernetics and Information Technol., Systems and Applications, Jointly with the 4th Int. Conf. on Computing, Communications and Control Technologies, CCCT 2006 - Proc."</f>
        <v>CITSA 2006 - 3rd Int. Conf. on Cybernetics and Information Technol., Systems and Applications, Jointly with the 4th Int. Conf. on Computing, Communications and Control Technologies, CCCT 2006 - Proc.</v>
      </c>
      <c r="B7228" s="8" t="str">
        <f>"-"</f>
        <v>-</v>
      </c>
      <c r="C7228" s="8" t="s">
        <v>1502</v>
      </c>
    </row>
    <row r="7229" spans="1:3" x14ac:dyDescent="0.25">
      <c r="A7229" s="8" t="str">
        <f>"CITSA 2007 - Int. Conference on Cybernetics and Information Technologies, Systems and Applications and CCCT 2007 - Int. Conference on Computing, Communications and Control Technologies, Proceedings"</f>
        <v>CITSA 2007 - Int. Conference on Cybernetics and Information Technologies, Systems and Applications and CCCT 2007 - Int. Conference on Computing, Communications and Control Technologies, Proceedings</v>
      </c>
      <c r="B7229" s="8" t="str">
        <f>"-"</f>
        <v>-</v>
      </c>
      <c r="C7229" s="8" t="s">
        <v>1502</v>
      </c>
    </row>
    <row r="7230" spans="1:3" x14ac:dyDescent="0.25">
      <c r="A7230" s="8" t="str">
        <f>"Civil Engineering '11 - 3rd International Scientific Conference, Proceedings"</f>
        <v>Civil Engineering '11 - 3rd International Scientific Conference, Proceedings</v>
      </c>
      <c r="B7230" s="8" t="str">
        <f>"-"</f>
        <v>-</v>
      </c>
      <c r="C7230" s="8" t="s">
        <v>378</v>
      </c>
    </row>
    <row r="7231" spans="1:3" x14ac:dyDescent="0.25">
      <c r="A7231" s="8" t="str">
        <f>"Civil Engineering and Urban Planning 2012 - Proceedings of the 2012 International Conference on Civil Engineering and Urban Planning"</f>
        <v>Civil Engineering and Urban Planning 2012 - Proceedings of the 2012 International Conference on Civil Engineering and Urban Planning</v>
      </c>
      <c r="B7231" s="8" t="str">
        <f>"9780784412435"</f>
        <v>9780784412435</v>
      </c>
      <c r="C7231" s="8" t="s">
        <v>111</v>
      </c>
    </row>
    <row r="7232" spans="1:3" x14ac:dyDescent="0.25">
      <c r="A7232" s="8" t="str">
        <f>"Civil Engineering Education Issues 2001 Proceedings of the Thirth National Congress"</f>
        <v>Civil Engineering Education Issues 2001 Proceedings of the Thirth National Congress</v>
      </c>
      <c r="B7232" s="8" t="str">
        <f>"9780784405901"</f>
        <v>9780784405901</v>
      </c>
      <c r="C7232" s="8" t="s">
        <v>111</v>
      </c>
    </row>
    <row r="7233" spans="1:3" x14ac:dyDescent="0.25">
      <c r="A7233" s="8" t="str">
        <f>"Civil Engineering in China - Current Practice and Research Report - Proceedings of the 2nd International Conference on Civil Engineering, ICCEHB"</f>
        <v>Civil Engineering in China - Current Practice and Research Report - Proceedings of the 2nd International Conference on Civil Engineering, ICCEHB</v>
      </c>
      <c r="B7233" s="8" t="str">
        <f>"9781921712265"</f>
        <v>9781921712265</v>
      </c>
      <c r="C7233" s="8" t="s">
        <v>1647</v>
      </c>
    </row>
    <row r="7234" spans="1:3" x14ac:dyDescent="0.25">
      <c r="A7234" s="8" t="str">
        <f>"CIVR 2008 - Proceedings of the International Conference on Content-based Image and Video Retrieval"</f>
        <v>CIVR 2008 - Proceedings of the International Conference on Content-based Image and Video Retrieval</v>
      </c>
      <c r="B7234" s="8" t="str">
        <f>"9781605580708"</f>
        <v>9781605580708</v>
      </c>
      <c r="C7234" s="8" t="s">
        <v>21</v>
      </c>
    </row>
    <row r="7235" spans="1:3" x14ac:dyDescent="0.25">
      <c r="A7235" s="8" t="str">
        <f>"CIVR 2009 - Proceedings of the ACM International Conference on Image and Video Retrieval"</f>
        <v>CIVR 2009 - Proceedings of the ACM International Conference on Image and Video Retrieval</v>
      </c>
      <c r="B7235" s="8" t="str">
        <f>"9781605584805"</f>
        <v>9781605584805</v>
      </c>
      <c r="C7235" s="8" t="s">
        <v>21</v>
      </c>
    </row>
    <row r="7236" spans="1:3" x14ac:dyDescent="0.25">
      <c r="A7236" s="8" t="str">
        <f>"CIVR 2010 - 2010 ACM International Conference on Image and Video Retrieval"</f>
        <v>CIVR 2010 - 2010 ACM International Conference on Image and Video Retrieval</v>
      </c>
      <c r="B7236" s="8" t="str">
        <f>"9781450301176"</f>
        <v>9781450301176</v>
      </c>
      <c r="C7236" s="8" t="s">
        <v>21</v>
      </c>
    </row>
    <row r="7237" spans="1:3" x14ac:dyDescent="0.25">
      <c r="A7237" s="8" t="str">
        <f>"CKD-SC'11 - Proceedings of the Climate Knowledge Discovery Workshop at SC'11, Co-located with SC'11"</f>
        <v>CKD-SC'11 - Proceedings of the Climate Knowledge Discovery Workshop at SC'11, Co-located with SC'11</v>
      </c>
      <c r="B7237" s="8" t="str">
        <f>"9781450311816"</f>
        <v>9781450311816</v>
      </c>
      <c r="C7237" s="8" t="s">
        <v>21</v>
      </c>
    </row>
    <row r="7238" spans="1:3" x14ac:dyDescent="0.25">
      <c r="A7238" s="8" t="str">
        <f>"CLADE - Proceedings of the 6th International Workshop on Challenges of Large Applications in Distributed Environments 2008, CLADE'08"</f>
        <v>CLADE - Proceedings of the 6th International Workshop on Challenges of Large Applications in Distributed Environments 2008, CLADE'08</v>
      </c>
      <c r="B7238" s="8" t="str">
        <f>"9781605581569"</f>
        <v>9781605581569</v>
      </c>
      <c r="C7238" s="8" t="s">
        <v>21</v>
      </c>
    </row>
    <row r="7239" spans="1:3" x14ac:dyDescent="0.25">
      <c r="A7239" s="8" t="str">
        <f>"Cleaner Combustion and Sustainable World - Proceedings of the 7th International Symposium on Coal Combustion"</f>
        <v>Cleaner Combustion and Sustainable World - Proceedings of the 7th International Symposium on Coal Combustion</v>
      </c>
      <c r="B7239" s="8" t="str">
        <f>"9783642304446"</f>
        <v>9783642304446</v>
      </c>
      <c r="C7239" s="8" t="s">
        <v>42</v>
      </c>
    </row>
    <row r="7240" spans="1:3" x14ac:dyDescent="0.25">
      <c r="A7240" s="8" t="str">
        <f>"CLEO/Europe - EQEC 2009 - European Conference on Lasers and Electro-Optics and the European Quantum Electronics Conference"</f>
        <v>CLEO/Europe - EQEC 2009 - European Conference on Lasers and Electro-Optics and the European Quantum Electronics Conference</v>
      </c>
      <c r="B7240" s="8" t="str">
        <f>"9781424440801"</f>
        <v>9781424440801</v>
      </c>
      <c r="C7240" s="8" t="s">
        <v>9</v>
      </c>
    </row>
    <row r="7241" spans="1:3" x14ac:dyDescent="0.25">
      <c r="A7241" s="8" t="str">
        <f>"CLEO: Applications and Technology, CLEO_AT 2012"</f>
        <v>CLEO: Applications and Technology, CLEO_AT 2012</v>
      </c>
      <c r="B7241" s="8" t="str">
        <f>"9781557529435"</f>
        <v>9781557529435</v>
      </c>
      <c r="C7241" s="8" t="s">
        <v>86</v>
      </c>
    </row>
    <row r="7242" spans="1:3" x14ac:dyDescent="0.25">
      <c r="A7242" s="8" t="str">
        <f>"CLEO: Applications and Technology, CLEO_AT 2013"</f>
        <v>CLEO: Applications and Technology, CLEO_AT 2013</v>
      </c>
      <c r="B7242" s="8" t="str">
        <f>"9781557529725"</f>
        <v>9781557529725</v>
      </c>
      <c r="C7242" s="8" t="s">
        <v>86</v>
      </c>
    </row>
    <row r="7243" spans="1:3" x14ac:dyDescent="0.25">
      <c r="A7243" s="8" t="str">
        <f>"CLEO: Applications and Technology, CLEO-AT 2015"</f>
        <v>CLEO: Applications and Technology, CLEO-AT 2015</v>
      </c>
      <c r="B7243" s="8" t="str">
        <f>"9781557529688"</f>
        <v>9781557529688</v>
      </c>
      <c r="C7243" s="8" t="s">
        <v>86</v>
      </c>
    </row>
    <row r="7244" spans="1:3" x14ac:dyDescent="0.25">
      <c r="A7244" s="8" t="str">
        <f>"CLEO: QELS - Fundamental Science, CLEO_QELS 2015"</f>
        <v>CLEO: QELS - Fundamental Science, CLEO_QELS 2015</v>
      </c>
      <c r="B7244" s="8" t="str">
        <f>"9781557529688"</f>
        <v>9781557529688</v>
      </c>
      <c r="C7244" s="8" t="s">
        <v>86</v>
      </c>
    </row>
    <row r="7245" spans="1:3" x14ac:dyDescent="0.25">
      <c r="A7245" s="8" t="str">
        <f>"CLEO: QELS_Fundamental Science, CLEO:QELS FS 2013"</f>
        <v>CLEO: QELS_Fundamental Science, CLEO:QELS FS 2013</v>
      </c>
      <c r="B7245" s="8" t="str">
        <f>"9781557529725"</f>
        <v>9781557529725</v>
      </c>
      <c r="C7245" s="8" t="s">
        <v>86</v>
      </c>
    </row>
    <row r="7246" spans="1:3" x14ac:dyDescent="0.25">
      <c r="A7246" s="8" t="str">
        <f>"CLEO: Science and Innovations, CLEO_SI 2012"</f>
        <v>CLEO: Science and Innovations, CLEO_SI 2012</v>
      </c>
      <c r="B7246" s="8" t="str">
        <f>"9781557529435"</f>
        <v>9781557529435</v>
      </c>
      <c r="C7246" s="8" t="s">
        <v>86</v>
      </c>
    </row>
    <row r="7247" spans="1:3" x14ac:dyDescent="0.25">
      <c r="A7247" s="8" t="str">
        <f>"CLEO: Science and Innovations, CLEO_SI 2013"</f>
        <v>CLEO: Science and Innovations, CLEO_SI 2013</v>
      </c>
      <c r="B7247" s="8" t="str">
        <f>"9781557529725"</f>
        <v>9781557529725</v>
      </c>
      <c r="C7247" s="8" t="s">
        <v>86</v>
      </c>
    </row>
    <row r="7248" spans="1:3" x14ac:dyDescent="0.25">
      <c r="A7248" s="8" t="str">
        <f>"CLEO: Science and Innovations, CLEO-SI 2015"</f>
        <v>CLEO: Science and Innovations, CLEO-SI 2015</v>
      </c>
      <c r="B7248" s="8" t="str">
        <f>"9781557529688"</f>
        <v>9781557529688</v>
      </c>
      <c r="C7248" s="8" t="s">
        <v>86</v>
      </c>
    </row>
    <row r="7249" spans="1:3" x14ac:dyDescent="0.25">
      <c r="A7249" s="8" t="str">
        <f>"CLHS 2013 - Proceedings of the ACM Workshop on Changing Landscapes in HPC Security"</f>
        <v>CLHS 2013 - Proceedings of the ACM Workshop on Changing Landscapes in HPC Security</v>
      </c>
      <c r="B7249" s="8" t="str">
        <f>"9781450319843"</f>
        <v>9781450319843</v>
      </c>
      <c r="C7249" s="8" t="s">
        <v>21</v>
      </c>
    </row>
    <row r="7250" spans="1:3" x14ac:dyDescent="0.25">
      <c r="A7250" s="8" t="str">
        <f>"CLOSER 2011 - Proceedings of the 1st International Conference on Cloud Computing and Services Science"</f>
        <v>CLOSER 2011 - Proceedings of the 1st International Conference on Cloud Computing and Services Science</v>
      </c>
      <c r="B7250" s="8" t="str">
        <f>"9789898425522"</f>
        <v>9789898425522</v>
      </c>
      <c r="C7250" s="8" t="s">
        <v>1680</v>
      </c>
    </row>
    <row r="7251" spans="1:3" x14ac:dyDescent="0.25">
      <c r="A7251" s="8" t="str">
        <f>"CLOSER 2012 - Proceedings of the 2nd International Conference on Cloud Computing and Services Science"</f>
        <v>CLOSER 2012 - Proceedings of the 2nd International Conference on Cloud Computing and Services Science</v>
      </c>
      <c r="B7251" s="8" t="str">
        <f>"9789898565051"</f>
        <v>9789898565051</v>
      </c>
      <c r="C7251" s="8" t="s">
        <v>394</v>
      </c>
    </row>
    <row r="7252" spans="1:3" x14ac:dyDescent="0.25">
      <c r="A7252" s="8" t="str">
        <f>"CLOSER 2013 - Proceedings of the 3rd International Conference on Cloud Computing and Services Science"</f>
        <v>CLOSER 2013 - Proceedings of the 3rd International Conference on Cloud Computing and Services Science</v>
      </c>
      <c r="B7252" s="8" t="str">
        <f>"9789898565525"</f>
        <v>9789898565525</v>
      </c>
      <c r="C7252" s="8" t="s">
        <v>1553</v>
      </c>
    </row>
    <row r="7253" spans="1:3" x14ac:dyDescent="0.25">
      <c r="A7253" s="8" t="str">
        <f>"CLOSER 2015 - 5th International Conference on Cloud Computing and Services Science, Proceedings"</f>
        <v>CLOSER 2015 - 5th International Conference on Cloud Computing and Services Science, Proceedings</v>
      </c>
      <c r="B7253" s="8" t="str">
        <f>"9789897581045"</f>
        <v>9789897581045</v>
      </c>
      <c r="C7253" s="8" t="s">
        <v>1197</v>
      </c>
    </row>
    <row r="7254" spans="1:3" x14ac:dyDescent="0.25">
      <c r="A7254" s="8" t="str">
        <f>"CLOUD 2009 - 2009 IEEE International Conference on Cloud Computing"</f>
        <v>CLOUD 2009 - 2009 IEEE International Conference on Cloud Computing</v>
      </c>
      <c r="B7254" s="8" t="str">
        <f>"9780769538402"</f>
        <v>9780769538402</v>
      </c>
      <c r="C7254" s="8" t="s">
        <v>9</v>
      </c>
    </row>
    <row r="7255" spans="1:3" x14ac:dyDescent="0.25">
      <c r="A7255" s="8" t="str">
        <f>"Cloud Computing 2013 - Proceedings of the 2013 International Workshop on Security in Cloud Computing"</f>
        <v>Cloud Computing 2013 - Proceedings of the 2013 International Workshop on Security in Cloud Computing</v>
      </c>
      <c r="B7255" s="8" t="str">
        <f>"9781450320672"</f>
        <v>9781450320672</v>
      </c>
      <c r="C7255" s="8" t="s">
        <v>21</v>
      </c>
    </row>
    <row r="7256" spans="1:3" x14ac:dyDescent="0.25">
      <c r="A7256" s="8" t="str">
        <f>"CloudCom 2012 - Proceedings: 2012 4th IEEE International Conference on Cloud Computing Technology and Science"</f>
        <v>CloudCom 2012 - Proceedings: 2012 4th IEEE International Conference on Cloud Computing Technology and Science</v>
      </c>
      <c r="B7256" s="8" t="str">
        <f>"9781467345095"</f>
        <v>9781467345095</v>
      </c>
      <c r="C7256" s="8" t="s">
        <v>9</v>
      </c>
    </row>
    <row r="7257" spans="1:3" x14ac:dyDescent="0.25">
      <c r="A7257" s="8" t="str">
        <f>"Clustering Challenges in Biological Networks"</f>
        <v>Clustering Challenges in Biological Networks</v>
      </c>
      <c r="B7257" s="8" t="str">
        <f>"9789812771650"</f>
        <v>9789812771650</v>
      </c>
      <c r="C7257" s="8" t="s">
        <v>157</v>
      </c>
    </row>
    <row r="7258" spans="1:3" x14ac:dyDescent="0.25">
      <c r="A7258" s="8" t="str">
        <f>"CME 2007 Conference - Construction Management and Economics: 'Past, Present and Future'"</f>
        <v>CME 2007 Conference - Construction Management and Economics: 'Past, Present and Future'</v>
      </c>
      <c r="B7258" s="8" t="str">
        <f>"9780415460590"</f>
        <v>9780415460590</v>
      </c>
      <c r="C7258" s="8" t="s">
        <v>60</v>
      </c>
    </row>
    <row r="7259" spans="1:3" x14ac:dyDescent="0.25">
      <c r="A7259" s="8" t="str">
        <f>"CMG 2012 International Conference"</f>
        <v>CMG 2012 International Conference</v>
      </c>
      <c r="B7259" s="8" t="str">
        <f>"-"</f>
        <v>-</v>
      </c>
      <c r="C7259" s="8" t="s">
        <v>1473</v>
      </c>
    </row>
    <row r="7260" spans="1:3" x14ac:dyDescent="0.25">
      <c r="A7260" s="8" t="str">
        <f>"CMM'10 - Proceedings of the 1st ACM Workshop on Connected Multimedia, Co-located with ACM Multimedia 2010"</f>
        <v>CMM'10 - Proceedings of the 1st ACM Workshop on Connected Multimedia, Co-located with ACM Multimedia 2010</v>
      </c>
      <c r="B7260" s="8" t="str">
        <f>"9781450301725"</f>
        <v>9781450301725</v>
      </c>
      <c r="C7260" s="8" t="s">
        <v>21</v>
      </c>
    </row>
    <row r="7261" spans="1:3" x14ac:dyDescent="0.25">
      <c r="A7261" s="8" t="str">
        <f>"CMSB 2010 - Proceedings of the 8th International Conference on Computational Methods in Systems Biology"</f>
        <v>CMSB 2010 - Proceedings of the 8th International Conference on Computational Methods in Systems Biology</v>
      </c>
      <c r="B7261" s="8" t="str">
        <f>"9781450300681"</f>
        <v>9781450300681</v>
      </c>
      <c r="C7261" s="8" t="s">
        <v>21</v>
      </c>
    </row>
    <row r="7262" spans="1:3" x14ac:dyDescent="0.25">
      <c r="A7262" s="8" t="str">
        <f>"CNSR 2010 - Proceedings of the 8th Annual Conference on Communication Networks and Services Research"</f>
        <v>CNSR 2010 - Proceedings of the 8th Annual Conference on Communication Networks and Services Research</v>
      </c>
      <c r="B7262" s="8" t="str">
        <f>"9780769540412"</f>
        <v>9780769540412</v>
      </c>
      <c r="C7262" s="8" t="s">
        <v>9</v>
      </c>
    </row>
    <row r="7263" spans="1:3" x14ac:dyDescent="0.25">
      <c r="A7263" s="8" t="str">
        <f>"CO2 Capture 2013 - Topical Conference at the 2013 AIChE Annual Meeting: Global Challenges for Engineering a Sustainable Future"</f>
        <v>CO2 Capture 2013 - Topical Conference at the 2013 AIChE Annual Meeting: Global Challenges for Engineering a Sustainable Future</v>
      </c>
      <c r="B7263" s="8" t="str">
        <f>"9781634390224"</f>
        <v>9781634390224</v>
      </c>
      <c r="C7263" s="8" t="s">
        <v>1219</v>
      </c>
    </row>
    <row r="7264" spans="1:3" x14ac:dyDescent="0.25">
      <c r="A7264" s="8" t="str">
        <f>"CO2 Geological Storage Workshop"</f>
        <v>CO2 Geological Storage Workshop</v>
      </c>
      <c r="B7264" s="8" t="str">
        <f>"-"</f>
        <v>-</v>
      </c>
      <c r="C7264" s="8" t="s">
        <v>1251</v>
      </c>
    </row>
    <row r="7265" spans="1:3" x14ac:dyDescent="0.25">
      <c r="A7265" s="8" t="str">
        <f>"COAL-GEN 2007 Conference Proceedings"</f>
        <v>COAL-GEN 2007 Conference Proceedings</v>
      </c>
      <c r="B7265" s="8" t="str">
        <f>"-"</f>
        <v>-</v>
      </c>
      <c r="C7265" s="8" t="s">
        <v>830</v>
      </c>
    </row>
    <row r="7266" spans="1:3" x14ac:dyDescent="0.25">
      <c r="A7266" s="8" t="str">
        <f>"Coastal Dynamics 2005 - Proceedings of the Fifth Coastal Dynamics International Conference"</f>
        <v>Coastal Dynamics 2005 - Proceedings of the Fifth Coastal Dynamics International Conference</v>
      </c>
      <c r="B7266" s="8" t="str">
        <f>"9780784408551"</f>
        <v>9780784408551</v>
      </c>
      <c r="C7266" s="8" t="s">
        <v>111</v>
      </c>
    </row>
    <row r="7267" spans="1:3" x14ac:dyDescent="0.25">
      <c r="A7267" s="8" t="str">
        <f>"Coastal Engineering 2000 - Proceedings of the 27th International Conference on Coastal Engineering, ICCE 2000"</f>
        <v>Coastal Engineering 2000 - Proceedings of the 27th International Conference on Coastal Engineering, ICCE 2000</v>
      </c>
      <c r="B7267" s="8" t="str">
        <f>"9780784405499"</f>
        <v>9780784405499</v>
      </c>
      <c r="C7267" s="8" t="s">
        <v>111</v>
      </c>
    </row>
    <row r="7268" spans="1:3" x14ac:dyDescent="0.25">
      <c r="A7268" s="8" t="str">
        <f>"Coastal Engineering Practice - Proceedings of the 2011 Conference on Coastal Engineering Practice"</f>
        <v>Coastal Engineering Practice - Proceedings of the 2011 Conference on Coastal Engineering Practice</v>
      </c>
      <c r="B7268" s="8" t="str">
        <f>"9780784411902"</f>
        <v>9780784411902</v>
      </c>
      <c r="C7268" s="8" t="s">
        <v>111</v>
      </c>
    </row>
    <row r="7269" spans="1:3" x14ac:dyDescent="0.25">
      <c r="A7269" s="8" t="str">
        <f>"Coastal Hazards - Selected Papers from EMI 2010"</f>
        <v>Coastal Hazards - Selected Papers from EMI 2010</v>
      </c>
      <c r="B7269" s="8" t="str">
        <f>"9780784412664"</f>
        <v>9780784412664</v>
      </c>
      <c r="C7269" s="8" t="s">
        <v>111</v>
      </c>
    </row>
    <row r="7270" spans="1:3" x14ac:dyDescent="0.25">
      <c r="A7270" s="8" t="str">
        <f>"Coastal Management - Proceedings of the two-day International Conference organised by the Institution of Civil Engineers, ICE"</f>
        <v>Coastal Management - Proceedings of the two-day International Conference organised by the Institution of Civil Engineers, ICE</v>
      </c>
      <c r="B7270" s="8" t="str">
        <f>"9780727735683"</f>
        <v>9780727735683</v>
      </c>
      <c r="C7270" s="8" t="s">
        <v>1266</v>
      </c>
    </row>
    <row r="7271" spans="1:3" x14ac:dyDescent="0.25">
      <c r="A7271" s="8" t="str">
        <f>"Coastal Sediments '07 - Proceedings of 6th International Symposium on Coastal Engineering and Science of Coastal Sediment Processes"</f>
        <v>Coastal Sediments '07 - Proceedings of 6th International Symposium on Coastal Engineering and Science of Coastal Sediment Processes</v>
      </c>
      <c r="B7271" s="8" t="str">
        <f>"9780784409268"</f>
        <v>9780784409268</v>
      </c>
      <c r="C7271" s="8" t="s">
        <v>111</v>
      </c>
    </row>
    <row r="7272" spans="1:3" x14ac:dyDescent="0.25">
      <c r="A7272" s="8" t="str">
        <f>"Coastal Structures 2003 - Proceedings of the Conference"</f>
        <v>Coastal Structures 2003 - Proceedings of the Conference</v>
      </c>
      <c r="B7272" s="8" t="str">
        <f>"9780784407332"</f>
        <v>9780784407332</v>
      </c>
      <c r="C7272" s="8" t="s">
        <v>111</v>
      </c>
    </row>
    <row r="7273" spans="1:3" x14ac:dyDescent="0.25">
      <c r="A7273" s="8" t="str">
        <f>"Coastal Watershed Management"</f>
        <v>Coastal Watershed Management</v>
      </c>
      <c r="B7273" s="8" t="str">
        <f>"9781845640910"</f>
        <v>9781845640910</v>
      </c>
      <c r="C7273" s="8" t="s">
        <v>1641</v>
      </c>
    </row>
    <row r="7274" spans="1:3" x14ac:dyDescent="0.25">
      <c r="A7274" s="8" t="str">
        <f>"Coasts, Marine Structures and Breakwaters: Adapting to Change - Proceedings of the 9th International Conference"</f>
        <v>Coasts, Marine Structures and Breakwaters: Adapting to Change - Proceedings of the 9th International Conference</v>
      </c>
      <c r="B7274" s="8" t="str">
        <f>"-"</f>
        <v>-</v>
      </c>
      <c r="C7274" s="8" t="s">
        <v>1730</v>
      </c>
    </row>
    <row r="7275" spans="1:3" x14ac:dyDescent="0.25">
      <c r="A7275" s="8" t="str">
        <f>"Coating and Graphic Arts Conference 2007, TAPPI"</f>
        <v>Coating and Graphic Arts Conference 2007, TAPPI</v>
      </c>
      <c r="B7275" s="8" t="str">
        <f>"9781604239690"</f>
        <v>9781604239690</v>
      </c>
      <c r="C7275" s="8" t="s">
        <v>1099</v>
      </c>
    </row>
    <row r="7276" spans="1:3" x14ac:dyDescent="0.25">
      <c r="A7276" s="8" t="str">
        <f>"COBEP 2011 - 11th Brazilian Power Electronics Conference"</f>
        <v>COBEP 2011 - 11th Brazilian Power Electronics Conference</v>
      </c>
      <c r="B7276" s="8" t="str">
        <f>"9781457716447"</f>
        <v>9781457716447</v>
      </c>
      <c r="C7276" s="8" t="s">
        <v>9</v>
      </c>
    </row>
    <row r="7277" spans="1:3" x14ac:dyDescent="0.25">
      <c r="A7277" s="8" t="str">
        <f>"COBRA 2006 - Proceedings of the Annual Research Conference of the Royal Institution of Chartered Surveyors"</f>
        <v>COBRA 2006 - Proceedings of the Annual Research Conference of the Royal Institution of Chartered Surveyors</v>
      </c>
      <c r="B7277" s="8" t="str">
        <f>"-"</f>
        <v>-</v>
      </c>
      <c r="C7277" s="8" t="s">
        <v>1731</v>
      </c>
    </row>
    <row r="7278" spans="1:3" x14ac:dyDescent="0.25">
      <c r="A7278" s="8" t="str">
        <f>"COBRA 2008 - Construction and Building Research Conference of the Royal Institution of Chartered Surveyors"</f>
        <v>COBRA 2008 - Construction and Building Research Conference of the Royal Institution of Chartered Surveyors</v>
      </c>
      <c r="B7278" s="8" t="str">
        <f>"9781842194348"</f>
        <v>9781842194348</v>
      </c>
      <c r="C7278" s="8" t="s">
        <v>1731</v>
      </c>
    </row>
    <row r="7279" spans="1:3" x14ac:dyDescent="0.25">
      <c r="A7279" s="8" t="str">
        <f>"COBRA 2009 - Construction and Building Research Conference of the Royal Institution of Chartered Surveyors"</f>
        <v>COBRA 2009 - Construction and Building Research Conference of the Royal Institution of Chartered Surveyors</v>
      </c>
      <c r="B7279" s="8" t="str">
        <f>"9781842195192"</f>
        <v>9781842195192</v>
      </c>
      <c r="C7279" s="8" t="s">
        <v>1731</v>
      </c>
    </row>
    <row r="7280" spans="1:3" x14ac:dyDescent="0.25">
      <c r="A7280" s="8" t="str">
        <f>"COBRA 2010 - Construction, Building and Real Estate Research Conference of the Royal Institution of Chartered Surveyors"</f>
        <v>COBRA 2010 - Construction, Building and Real Estate Research Conference of the Royal Institution of Chartered Surveyors</v>
      </c>
      <c r="B7280" s="8" t="str">
        <f>"9781842196199"</f>
        <v>9781842196199</v>
      </c>
      <c r="C7280" s="8" t="s">
        <v>1731</v>
      </c>
    </row>
    <row r="7281" spans="1:3" x14ac:dyDescent="0.25">
      <c r="A7281" s="8" t="str">
        <f>"CoCoS 2013 - Proceedings of the 1st Workshop on Comprehension of Complex Systems"</f>
        <v>CoCoS 2013 - Proceedings of the 1st Workshop on Comprehension of Complex Systems</v>
      </c>
      <c r="B7281" s="8" t="str">
        <f>"9781450318617"</f>
        <v>9781450318617</v>
      </c>
      <c r="C7281" s="8" t="s">
        <v>21</v>
      </c>
    </row>
    <row r="7282" spans="1:3" x14ac:dyDescent="0.25">
      <c r="A7282" s="8" t="str">
        <f>"CODASPY 2013 - Proceedings of the 3rd ACM Conference on Data and Application Security and Privacy"</f>
        <v>CODASPY 2013 - Proceedings of the 3rd ACM Conference on Data and Application Security and Privacy</v>
      </c>
      <c r="B7282" s="8" t="str">
        <f>"9781450318907"</f>
        <v>9781450318907</v>
      </c>
      <c r="C7282" s="8" t="s">
        <v>21</v>
      </c>
    </row>
    <row r="7283" spans="1:3" x14ac:dyDescent="0.25">
      <c r="A7283" s="8" t="str">
        <f>"CODASPY 2014 - Proceedings of the 4th ACM Conference on Data and Application Security and Privacy"</f>
        <v>CODASPY 2014 - Proceedings of the 4th ACM Conference on Data and Application Security and Privacy</v>
      </c>
      <c r="B7283" s="8" t="str">
        <f>"9781450322782"</f>
        <v>9781450322782</v>
      </c>
      <c r="C7283" s="8" t="s">
        <v>21</v>
      </c>
    </row>
    <row r="7284" spans="1:3" x14ac:dyDescent="0.25">
      <c r="A7284" s="8" t="str">
        <f>"CODASPY 2015 - Proceedings of the 5th ACM Conference on Data and Application Security and Privacy"</f>
        <v>CODASPY 2015 - Proceedings of the 5th ACM Conference on Data and Application Security and Privacy</v>
      </c>
      <c r="B7284" s="8" t="str">
        <f>"9781450331913"</f>
        <v>9781450331913</v>
      </c>
      <c r="C7284" s="8" t="s">
        <v>1235</v>
      </c>
    </row>
    <row r="7285" spans="1:3" x14ac:dyDescent="0.25">
      <c r="A7285" s="8" t="str">
        <f>"CODASPY'11 - Proceedings of the 1st ACM Conference on Data and Application Security and Privacy"</f>
        <v>CODASPY'11 - Proceedings of the 1st ACM Conference on Data and Application Security and Privacy</v>
      </c>
      <c r="B7285" s="8" t="str">
        <f>"9781450304665"</f>
        <v>9781450304665</v>
      </c>
      <c r="C7285" s="8" t="s">
        <v>21</v>
      </c>
    </row>
    <row r="7286" spans="1:3" x14ac:dyDescent="0.25">
      <c r="A7286" s="8" t="str">
        <f>"CODASPY'12 - Proceedings of the 2nd ACM Conference on Data and Application Security and Privacy"</f>
        <v>CODASPY'12 - Proceedings of the 2nd ACM Conference on Data and Application Security and Privacy</v>
      </c>
      <c r="B7286" s="8" t="str">
        <f>"9781450310918"</f>
        <v>9781450310918</v>
      </c>
      <c r="C7286" s="8" t="s">
        <v>21</v>
      </c>
    </row>
    <row r="7287" spans="1:3" x14ac:dyDescent="0.25">
      <c r="A7287" s="8" t="str">
        <f>"Codec - 2009 - 4th International Conference on Computers and Devices for Communication"</f>
        <v>Codec - 2009 - 4th International Conference on Computers and Devices for Communication</v>
      </c>
      <c r="B7287" s="8" t="str">
        <f>"9788184651522"</f>
        <v>9788184651522</v>
      </c>
      <c r="C7287" s="8" t="s">
        <v>9</v>
      </c>
    </row>
    <row r="7288" spans="1:3" x14ac:dyDescent="0.25">
      <c r="A7288" s="8" t="str">
        <f>"CODEC 2012 - 5th International Conference on Computers and Devices for Communication"</f>
        <v>CODEC 2012 - 5th International Conference on Computers and Devices for Communication</v>
      </c>
      <c r="B7288" s="8" t="str">
        <f>"9781467326209"</f>
        <v>9781467326209</v>
      </c>
      <c r="C7288" s="8" t="s">
        <v>9</v>
      </c>
    </row>
    <row r="7289" spans="1:3" x14ac:dyDescent="0.25">
      <c r="A7289" s="8" t="str">
        <f>"CODES+ISSS 2005 - International Conference on Hardware/Software Codesign and System Synthesis"</f>
        <v>CODES+ISSS 2005 - International Conference on Hardware/Software Codesign and System Synthesis</v>
      </c>
      <c r="B7289" s="8" t="str">
        <f>"9781595931610"</f>
        <v>9781595931610</v>
      </c>
      <c r="C7289" s="8" t="s">
        <v>21</v>
      </c>
    </row>
    <row r="7290" spans="1:3" x14ac:dyDescent="0.25">
      <c r="A7290" s="8" t="str">
        <f>"CODES+ISSS 2006: Proceedings of the 4th International Conference on Hardware Software Codesign and System Synthesis"</f>
        <v>CODES+ISSS 2006: Proceedings of the 4th International Conference on Hardware Software Codesign and System Synthesis</v>
      </c>
      <c r="B7290" s="8" t="str">
        <f>"9781595933706"</f>
        <v>9781595933706</v>
      </c>
      <c r="C7290" s="8" t="s">
        <v>21</v>
      </c>
    </row>
    <row r="7291" spans="1:3" x14ac:dyDescent="0.25">
      <c r="A7291" s="8" t="str">
        <f>"CODES+ISSS 2007: International Conference on Hardware/Software Codesign and System Synthesis"</f>
        <v>CODES+ISSS 2007: International Conference on Hardware/Software Codesign and System Synthesis</v>
      </c>
      <c r="B7291" s="8" t="str">
        <f>"9781595938244"</f>
        <v>9781595938244</v>
      </c>
      <c r="C7291" s="8" t="s">
        <v>21</v>
      </c>
    </row>
    <row r="7292" spans="1:3" x14ac:dyDescent="0.25">
      <c r="A7292" s="8" t="str">
        <f>"CODES+ISSS'12 - Proceedings of the 10th ACM International Conference on Hardware/Software-Codesign and System Synthesis, Co-located with ESWEEK"</f>
        <v>CODES+ISSS'12 - Proceedings of the 10th ACM International Conference on Hardware/Software-Codesign and System Synthesis, Co-located with ESWEEK</v>
      </c>
      <c r="B7292" s="8" t="str">
        <f>"9781450314268"</f>
        <v>9781450314268</v>
      </c>
      <c r="C7292" s="8" t="s">
        <v>21</v>
      </c>
    </row>
    <row r="7293" spans="1:3" x14ac:dyDescent="0.25">
      <c r="A7293" s="8" t="str">
        <f>"Coherent Optical Technologies and Applications, COTA 2008"</f>
        <v>Coherent Optical Technologies and Applications, COTA 2008</v>
      </c>
      <c r="B7293" s="8" t="str">
        <f>"-"</f>
        <v>-</v>
      </c>
      <c r="C7293" s="8" t="s">
        <v>86</v>
      </c>
    </row>
    <row r="7294" spans="1:3" x14ac:dyDescent="0.25">
      <c r="A7294" s="8" t="str">
        <f>"Coiled Tubing and Well Intervention Conference and Exhibition 2009"</f>
        <v>Coiled Tubing and Well Intervention Conference and Exhibition 2009</v>
      </c>
      <c r="B7294" s="8" t="str">
        <f>"9781615670253"</f>
        <v>9781615670253</v>
      </c>
      <c r="C7294" s="8" t="s">
        <v>671</v>
      </c>
    </row>
    <row r="7295" spans="1:3" x14ac:dyDescent="0.25">
      <c r="A7295" s="8" t="str">
        <f>"Coiled Tubing and Well Intervention Conference and Exhibition 2010"</f>
        <v>Coiled Tubing and Well Intervention Conference and Exhibition 2010</v>
      </c>
      <c r="B7295" s="8" t="str">
        <f>"9781617383205"</f>
        <v>9781617383205</v>
      </c>
      <c r="C7295" s="8" t="s">
        <v>671</v>
      </c>
    </row>
    <row r="7296" spans="1:3" x14ac:dyDescent="0.25">
      <c r="A7296" s="8" t="str">
        <f>"COIN 2014 - 12th International Conference on Optical Internet"</f>
        <v>COIN 2014 - 12th International Conference on Optical Internet</v>
      </c>
      <c r="B7296" s="8" t="str">
        <f>"9781479965076"</f>
        <v>9781479965076</v>
      </c>
      <c r="C7296" s="8" t="s">
        <v>105</v>
      </c>
    </row>
    <row r="7297" spans="1:3" x14ac:dyDescent="0.25">
      <c r="A7297" s="8" t="str">
        <f>"COIN-NGNCON 2006 - The Joint International Conference on Optical Internet and Next Generation Network"</f>
        <v>COIN-NGNCON 2006 - The Joint International Conference on Optical Internet and Next Generation Network</v>
      </c>
      <c r="B7297" s="8" t="str">
        <f>"9788995530146"</f>
        <v>9788995530146</v>
      </c>
      <c r="C7297" s="8" t="s">
        <v>9</v>
      </c>
    </row>
    <row r="7298" spans="1:3" x14ac:dyDescent="0.25">
      <c r="A7298" s="8" t="str">
        <f>"Cold Regions Engineering Cold Regions Impacts on Transportation and Infrastructure: Proceedings of the Eleventh International Conference"</f>
        <v>Cold Regions Engineering Cold Regions Impacts on Transportation and Infrastructure: Proceedings of the Eleventh International Conference</v>
      </c>
      <c r="B7298" s="8" t="str">
        <f>"9780784406212"</f>
        <v>9780784406212</v>
      </c>
      <c r="C7298" s="8" t="s">
        <v>111</v>
      </c>
    </row>
    <row r="7299" spans="1:3" x14ac:dyDescent="0.25">
      <c r="A7299" s="8" t="str">
        <f>"ColiaborateCom 2011 - Proceedings of the 7th International Conference on Collaborative Computing: Networking, Applications and Worksharing"</f>
        <v>ColiaborateCom 2011 - Proceedings of the 7th International Conference on Collaborative Computing: Networking, Applications and Worksharing</v>
      </c>
      <c r="B7299" s="8" t="str">
        <f>"9781936968367"</f>
        <v>9781936968367</v>
      </c>
      <c r="C7299" s="8" t="s">
        <v>9</v>
      </c>
    </row>
    <row r="7300" spans="1:3" x14ac:dyDescent="0.25">
      <c r="A7300" s="8" t="str">
        <f>"Coling 2008 - 22nd International Conference on Computational Linguistics, Proceedings of the Conference"</f>
        <v>Coling 2008 - 22nd International Conference on Computational Linguistics, Proceedings of the Conference</v>
      </c>
      <c r="B7300" s="8" t="str">
        <f>"9781905593446"</f>
        <v>9781905593446</v>
      </c>
      <c r="C7300" s="8" t="s">
        <v>554</v>
      </c>
    </row>
    <row r="7301" spans="1:3" x14ac:dyDescent="0.25">
      <c r="A7301" s="8" t="str">
        <f>"Coling 2010 - 23rd International Conference on Computational Linguistics, Proceedings of the Conference"</f>
        <v>Coling 2010 - 23rd International Conference on Computational Linguistics, Proceedings of the Conference</v>
      </c>
      <c r="B7301" s="8" t="str">
        <f>"-"</f>
        <v>-</v>
      </c>
      <c r="C7301" s="8" t="s">
        <v>216</v>
      </c>
    </row>
    <row r="7302" spans="1:3" x14ac:dyDescent="0.25">
      <c r="A7302" s="8" t="str">
        <f>"COLING/ACL 2006 - 21st International Conference on Computational Linguistics and 44th Annual Meeting of the Association for Computational Linguistics, Proceedings of the Conference"</f>
        <v>COLING/ACL 2006 - 21st International Conference on Computational Linguistics and 44th Annual Meeting of the Association for Computational Linguistics, Proceedings of the Conference</v>
      </c>
      <c r="B7302" s="8" t="str">
        <f>"9781932432657"</f>
        <v>9781932432657</v>
      </c>
      <c r="C7302" s="8" t="s">
        <v>554</v>
      </c>
    </row>
    <row r="7303" spans="1:3" x14ac:dyDescent="0.25">
      <c r="A7303" s="8" t="str">
        <f>"COLING/ACL 2006 - EMNLP 2006: 2006 Conference on Empirical Methods in Natural Language Processing, Proceedings of the Conference"</f>
        <v>COLING/ACL 2006 - EMNLP 2006: 2006 Conference on Empirical Methods in Natural Language Processing, Proceedings of the Conference</v>
      </c>
      <c r="B7303" s="8" t="str">
        <f>"9781932432732"</f>
        <v>9781932432732</v>
      </c>
      <c r="C7303" s="8" t="s">
        <v>554</v>
      </c>
    </row>
    <row r="7304" spans="1:3" x14ac:dyDescent="0.25">
      <c r="A7304" s="8" t="str">
        <f>"COLING/ACL 2006 - SIGdial06: 7th SIGdial Workshop on Discourse and Dialogue, Proceedings of the Workshop"</f>
        <v>COLING/ACL 2006 - SIGdial06: 7th SIGdial Workshop on Discourse and Dialogue, Proceedings of the Workshop</v>
      </c>
      <c r="B7304" s="8" t="str">
        <f>"9781932432718"</f>
        <v>9781932432718</v>
      </c>
      <c r="C7304" s="8" t="s">
        <v>554</v>
      </c>
    </row>
    <row r="7305" spans="1:3" x14ac:dyDescent="0.25">
      <c r="A7305" s="8" t="str">
        <f>"COLING/ACL 2006: INLG-06 - 4th International Natural Language Generation Conference, Proceedings of the Conference"</f>
        <v>COLING/ACL 2006: INLG-06 - 4th International Natural Language Generation Conference, Proceedings of the Conference</v>
      </c>
      <c r="B7305" s="8" t="str">
        <f>"9781932432725"</f>
        <v>9781932432725</v>
      </c>
      <c r="C7305" s="8" t="s">
        <v>554</v>
      </c>
    </row>
    <row r="7306" spans="1:3" x14ac:dyDescent="0.25">
      <c r="A7306" s="8" t="str">
        <f>"CollaborateCom 2012 - Proceedings of the 8th International Conference on Collaborative Computing: Networking, Applications and Worksharing"</f>
        <v>CollaborateCom 2012 - Proceedings of the 8th International Conference on Collaborative Computing: Networking, Applications and Worksharing</v>
      </c>
      <c r="B7306" s="8" t="str">
        <f>"9781936968367"</f>
        <v>9781936968367</v>
      </c>
      <c r="C7306" s="8" t="s">
        <v>9</v>
      </c>
    </row>
    <row r="7307" spans="1:3" x14ac:dyDescent="0.25">
      <c r="A7307" s="8" t="str">
        <f>"CollaborateCom 2014 - Proceedings of the 10th IEEE International Conference on Collaborative Computing: Networking, Applications and Worksharing"</f>
        <v>CollaborateCom 2014 - Proceedings of the 10th IEEE International Conference on Collaborative Computing: Networking, Applications and Worksharing</v>
      </c>
      <c r="B7307" s="8" t="str">
        <f>"9781631900433"</f>
        <v>9781631900433</v>
      </c>
      <c r="C7307" s="8" t="s">
        <v>105</v>
      </c>
    </row>
    <row r="7308" spans="1:3" x14ac:dyDescent="0.25">
      <c r="A7308" s="8" t="str">
        <f>"Collaboration in Water and Waste Engineering for Developing Countries: Proceedings of the 5th WEDC Conference"</f>
        <v>Collaboration in Water and Waste Engineering for Developing Countries: Proceedings of the 5th WEDC Conference</v>
      </c>
      <c r="B7308" s="8" t="str">
        <f>"-"</f>
        <v>-</v>
      </c>
      <c r="C7308" s="8" t="s">
        <v>1486</v>
      </c>
    </row>
    <row r="7309" spans="1:3" x14ac:dyDescent="0.25">
      <c r="A7309" s="8" t="str">
        <f>"Collaborative Product and Service Life Cycle Management for a Sustainable World - Proceedings of the 15th ISPE International Conference on Concurrent Engineering, CE 2008"</f>
        <v>Collaborative Product and Service Life Cycle Management for a Sustainable World - Proceedings of the 15th ISPE International Conference on Concurrent Engineering, CE 2008</v>
      </c>
      <c r="B7309" s="8" t="str">
        <f>"9781848009714"</f>
        <v>9781848009714</v>
      </c>
      <c r="C7309" s="8" t="s">
        <v>62</v>
      </c>
    </row>
    <row r="7310" spans="1:3" x14ac:dyDescent="0.25">
      <c r="A7310" s="8" t="str">
        <f>"Collected Papers InfoToday 2002"</f>
        <v>Collected Papers InfoToday 2002</v>
      </c>
      <c r="B7310" s="8" t="str">
        <f>"9781573871532"</f>
        <v>9781573871532</v>
      </c>
      <c r="C7310" s="8" t="s">
        <v>353</v>
      </c>
    </row>
    <row r="7311" spans="1:3" x14ac:dyDescent="0.25">
      <c r="A7311" s="8" t="str">
        <f>"Collection of ASME Wind Energy Symposium Technical Papers AIAA Aerospace Sciences Meeting and Exhibit"</f>
        <v>Collection of ASME Wind Energy Symposium Technical Papers AIAA Aerospace Sciences Meeting and Exhibit</v>
      </c>
      <c r="B7311" s="8" t="str">
        <f>"9781563476679"</f>
        <v>9781563476679</v>
      </c>
      <c r="C7311" s="8" t="s">
        <v>1308</v>
      </c>
    </row>
    <row r="7312" spans="1:3" x14ac:dyDescent="0.25">
      <c r="A7312" s="8" t="str">
        <f>"Collection of Papers Presented at The 13th International Workshop on THERMal INvestigation of ICs and Systems, THERMINIC"</f>
        <v>Collection of Papers Presented at The 13th International Workshop on THERMal INvestigation of ICs and Systems, THERMINIC</v>
      </c>
      <c r="B7312" s="8" t="str">
        <f>"9782355000027"</f>
        <v>9782355000027</v>
      </c>
      <c r="C7312" s="8" t="s">
        <v>9</v>
      </c>
    </row>
    <row r="7313" spans="1:3" x14ac:dyDescent="0.25">
      <c r="A7313" s="8" t="str">
        <f>"Collection of Technical Papers - 10th AIAA/CEAS Aeroacoustics Conference"</f>
        <v>Collection of Technical Papers - 10th AIAA/CEAS Aeroacoustics Conference</v>
      </c>
      <c r="B7313" s="8" t="str">
        <f>"9781563477133"</f>
        <v>9781563477133</v>
      </c>
      <c r="C7313" s="8" t="s">
        <v>104</v>
      </c>
    </row>
    <row r="7314" spans="1:3" x14ac:dyDescent="0.25">
      <c r="A7314" s="8" t="str">
        <f>"Collection of Technical Papers - 10th AIAA/ISSMO Multidisciplinary Analysis and Optimization Conference"</f>
        <v>Collection of Technical Papers - 10th AIAA/ISSMO Multidisciplinary Analysis and Optimization Conference</v>
      </c>
      <c r="B7314" s="8" t="str">
        <f>"9781563477164"</f>
        <v>9781563477164</v>
      </c>
      <c r="C7314" s="8" t="s">
        <v>104</v>
      </c>
    </row>
    <row r="7315" spans="1:3" x14ac:dyDescent="0.25">
      <c r="A7315" s="8" t="str">
        <f>"Collection of Technical Papers - 11th AIAA/CEAS Aeroacoustics Conference"</f>
        <v>Collection of Technical Papers - 11th AIAA/CEAS Aeroacoustics Conference</v>
      </c>
      <c r="B7315" s="8" t="str">
        <f>"9781563477300"</f>
        <v>9781563477300</v>
      </c>
      <c r="C7315" s="8" t="s">
        <v>104</v>
      </c>
    </row>
    <row r="7316" spans="1:3" x14ac:dyDescent="0.25">
      <c r="A7316" s="8" t="str">
        <f>"Collection of Technical Papers - 11th AIAA/ISSMO Multidisciplinary Analysis and Optimization Conference"</f>
        <v>Collection of Technical Papers - 11th AIAA/ISSMO Multidisciplinary Analysis and Optimization Conference</v>
      </c>
      <c r="B7316" s="8" t="str">
        <f>"9781563478239"</f>
        <v>9781563478239</v>
      </c>
      <c r="C7316" s="8" t="s">
        <v>104</v>
      </c>
    </row>
    <row r="7317" spans="1:3" x14ac:dyDescent="0.25">
      <c r="A7317" s="8" t="str">
        <f>"Collection of Technical Papers - 12th AIAA/CEAS Aeroacoustics Conference"</f>
        <v>Collection of Technical Papers - 12th AIAA/CEAS Aeroacoustics Conference</v>
      </c>
      <c r="B7317" s="8" t="str">
        <f>"9781563478093"</f>
        <v>9781563478093</v>
      </c>
      <c r="C7317" s="8" t="s">
        <v>104</v>
      </c>
    </row>
    <row r="7318" spans="1:3" x14ac:dyDescent="0.25">
      <c r="A7318" s="8" t="str">
        <f>"Collection of Technical Papers - 18th AIAA Aerodynamic Decelerator Systems Technology Conference and Seminar"</f>
        <v>Collection of Technical Papers - 18th AIAA Aerodynamic Decelerator Systems Technology Conference and Seminar</v>
      </c>
      <c r="B7318" s="8" t="str">
        <f>"9781563477317"</f>
        <v>9781563477317</v>
      </c>
      <c r="C7318" s="8" t="s">
        <v>104</v>
      </c>
    </row>
    <row r="7319" spans="1:3" x14ac:dyDescent="0.25">
      <c r="A7319" s="8" t="str">
        <f>"Collection of Technical Papers - 18th AIAA Computational Fluid Dynamics Conference"</f>
        <v>Collection of Technical Papers - 18th AIAA Computational Fluid Dynamics Conference</v>
      </c>
      <c r="B7319" s="8" t="str">
        <f>"9781563478994"</f>
        <v>9781563478994</v>
      </c>
      <c r="C7319" s="8" t="s">
        <v>104</v>
      </c>
    </row>
    <row r="7320" spans="1:3" x14ac:dyDescent="0.25">
      <c r="A7320" s="8" t="str">
        <f>"Collection of Technical Papers - 19th AIAA Aerodynamic Decelerator Systems Technology Conference and Seminar"</f>
        <v>Collection of Technical Papers - 19th AIAA Aerodynamic Decelerator Systems Technology Conference and Seminar</v>
      </c>
      <c r="B7320" s="8" t="str">
        <f>"9781563478949"</f>
        <v>9781563478949</v>
      </c>
      <c r="C7320" s="8" t="s">
        <v>104</v>
      </c>
    </row>
    <row r="7321" spans="1:3" x14ac:dyDescent="0.25">
      <c r="A7321" s="8" t="str">
        <f>"Collection of Technical Papers - 2004 Planetary Defense Conference: Protecting Earth from Asteroids"</f>
        <v>Collection of Technical Papers - 2004 Planetary Defense Conference: Protecting Earth from Asteroids</v>
      </c>
      <c r="B7321" s="8" t="str">
        <f>"9781563477119"</f>
        <v>9781563477119</v>
      </c>
      <c r="C7321" s="8" t="s">
        <v>104</v>
      </c>
    </row>
    <row r="7322" spans="1:3" x14ac:dyDescent="0.25">
      <c r="A7322" s="8" t="str">
        <f>"Collection of Technical Papers - 2006 Atmospheric Flight Mechanics Conference"</f>
        <v>Collection of Technical Papers - 2006 Atmospheric Flight Mechanics Conference</v>
      </c>
      <c r="B7322" s="8" t="str">
        <f>"-"</f>
        <v>-</v>
      </c>
      <c r="C7322" s="8" t="s">
        <v>104</v>
      </c>
    </row>
    <row r="7323" spans="1:3" x14ac:dyDescent="0.25">
      <c r="A7323" s="8" t="str">
        <f>"Collection of Technical Papers - 2007 AIAA Atmospheric Flight Mechanics Conference"</f>
        <v>Collection of Technical Papers - 2007 AIAA Atmospheric Flight Mechanics Conference</v>
      </c>
      <c r="B7323" s="8" t="str">
        <f>"9781563479052"</f>
        <v>9781563479052</v>
      </c>
      <c r="C7323" s="8" t="s">
        <v>104</v>
      </c>
    </row>
    <row r="7324" spans="1:3" x14ac:dyDescent="0.25">
      <c r="A7324" s="8" t="str">
        <f>"Collection of Technical Papers - 2007 AIAA InfoTech at Aerospace Conference"</f>
        <v>Collection of Technical Papers - 2007 AIAA InfoTech at Aerospace Conference</v>
      </c>
      <c r="B7324" s="8" t="str">
        <f>"9781563478932"</f>
        <v>9781563478932</v>
      </c>
      <c r="C7324" s="8" t="s">
        <v>104</v>
      </c>
    </row>
    <row r="7325" spans="1:3" x14ac:dyDescent="0.25">
      <c r="A7325" s="8" t="str">
        <f>"Collection of Technical Papers - 2007 AIAA Modeling and Simulation Technologies Conference"</f>
        <v>Collection of Technical Papers - 2007 AIAA Modeling and Simulation Technologies Conference</v>
      </c>
      <c r="B7325" s="8" t="str">
        <f>"9781563479069"</f>
        <v>9781563479069</v>
      </c>
      <c r="C7325" s="8" t="s">
        <v>104</v>
      </c>
    </row>
    <row r="7326" spans="1:3" x14ac:dyDescent="0.25">
      <c r="A7326" s="8" t="str">
        <f>"Collection of Technical Papers - 24th AIAA International Communications Satellite Systems Conference, ICSSC"</f>
        <v>Collection of Technical Papers - 24th AIAA International Communications Satellite Systems Conference, ICSSC</v>
      </c>
      <c r="B7326" s="8" t="str">
        <f>"-"</f>
        <v>-</v>
      </c>
      <c r="C7326" s="8" t="s">
        <v>104</v>
      </c>
    </row>
    <row r="7327" spans="1:3" x14ac:dyDescent="0.25">
      <c r="A7327" s="8" t="str">
        <f>"Collection of Technical Papers - 25th AIAA Aerodynamic Measurement Technology and Ground Testing Conference"</f>
        <v>Collection of Technical Papers - 25th AIAA Aerodynamic Measurement Technology and Ground Testing Conference</v>
      </c>
      <c r="B7327" s="8" t="str">
        <f>"-"</f>
        <v>-</v>
      </c>
      <c r="C7327" s="8" t="s">
        <v>104</v>
      </c>
    </row>
    <row r="7328" spans="1:3" x14ac:dyDescent="0.25">
      <c r="A7328" s="8" t="str">
        <f>"Collection of Technical Papers - 2nd International Energy Conversion Engineering Conference"</f>
        <v>Collection of Technical Papers - 2nd International Energy Conversion Engineering Conference</v>
      </c>
      <c r="B7328" s="8" t="str">
        <f>"9781563477157"</f>
        <v>9781563477157</v>
      </c>
      <c r="C7328" s="8" t="s">
        <v>104</v>
      </c>
    </row>
    <row r="7329" spans="1:3" x14ac:dyDescent="0.25">
      <c r="A7329" s="8" t="str">
        <f>"Collection of Technical Papers - 36th AIAA Fluid Dynamics Conference"</f>
        <v>Collection of Technical Papers - 36th AIAA Fluid Dynamics Conference</v>
      </c>
      <c r="B7329" s="8" t="str">
        <f>"9781563478109"</f>
        <v>9781563478109</v>
      </c>
      <c r="C7329" s="8" t="s">
        <v>104</v>
      </c>
    </row>
    <row r="7330" spans="1:3" x14ac:dyDescent="0.25">
      <c r="A7330" s="8" t="str">
        <f>"Collection of Technical Papers - 37th AIAA Fluid Dynamics Conference"</f>
        <v>Collection of Technical Papers - 37th AIAA Fluid Dynamics Conference</v>
      </c>
      <c r="B7330" s="8" t="str">
        <f>"9781563478970"</f>
        <v>9781563478970</v>
      </c>
      <c r="C7330" s="8" t="s">
        <v>104</v>
      </c>
    </row>
    <row r="7331" spans="1:3" x14ac:dyDescent="0.25">
      <c r="A7331" s="8" t="str">
        <f>"Collection of Technical Papers - 37th AIAA Plasmadynamics and Lasers Conference"</f>
        <v>Collection of Technical Papers - 37th AIAA Plasmadynamics and Lasers Conference</v>
      </c>
      <c r="B7331" s="8" t="str">
        <f>"9781563478147"</f>
        <v>9781563478147</v>
      </c>
      <c r="C7331" s="8" t="s">
        <v>104</v>
      </c>
    </row>
    <row r="7332" spans="1:3" x14ac:dyDescent="0.25">
      <c r="A7332" s="8" t="str">
        <f>"Collection of Technical Papers - 38th AIAA Plasmadynamics and Lasers Conference"</f>
        <v>Collection of Technical Papers - 38th AIAA Plasmadynamics and Lasers Conference</v>
      </c>
      <c r="B7332" s="8" t="str">
        <f>"9781563479007"</f>
        <v>9781563479007</v>
      </c>
      <c r="C7332" s="8" t="s">
        <v>104</v>
      </c>
    </row>
    <row r="7333" spans="1:3" x14ac:dyDescent="0.25">
      <c r="A7333" s="8" t="str">
        <f>"Collection of Technical Papers - 39th AIAA Thermophysics Conference"</f>
        <v>Collection of Technical Papers - 39th AIAA Thermophysics Conference</v>
      </c>
      <c r="B7333" s="8" t="str">
        <f>"9781563479014"</f>
        <v>9781563479014</v>
      </c>
      <c r="C7333" s="8" t="s">
        <v>104</v>
      </c>
    </row>
    <row r="7334" spans="1:3" x14ac:dyDescent="0.25">
      <c r="A7334" s="8" t="str">
        <f>"Collection of Technical Papers - 3rd AIAA Flow Control Conference"</f>
        <v>Collection of Technical Papers - 3rd AIAA Flow Control Conference</v>
      </c>
      <c r="B7334" s="8" t="str">
        <f>"9781563478130"</f>
        <v>9781563478130</v>
      </c>
      <c r="C7334" s="8" t="s">
        <v>104</v>
      </c>
    </row>
    <row r="7335" spans="1:3" x14ac:dyDescent="0.25">
      <c r="A7335" s="8" t="str">
        <f>"Collection of Technical Papers - 3rd International Energy Conversion Engineering Conference"</f>
        <v>Collection of Technical Papers - 3rd International Energy Conversion Engineering Conference</v>
      </c>
      <c r="B7335" s="8" t="str">
        <f>"9781563477348"</f>
        <v>9781563477348</v>
      </c>
      <c r="C7335" s="8" t="s">
        <v>104</v>
      </c>
    </row>
    <row r="7336" spans="1:3" x14ac:dyDescent="0.25">
      <c r="A7336" s="8" t="str">
        <f>"Collection of Technical Papers - 43rd AIAA/ASME/SAE/ASEE Joint Propulsion Conference"</f>
        <v>Collection of Technical Papers - 43rd AIAA/ASME/SAE/ASEE Joint Propulsion Conference</v>
      </c>
      <c r="B7336" s="8" t="str">
        <f>"9781563479038"</f>
        <v>9781563479038</v>
      </c>
      <c r="C7336" s="8" t="s">
        <v>104</v>
      </c>
    </row>
    <row r="7337" spans="1:3" x14ac:dyDescent="0.25">
      <c r="A7337" s="8" t="str">
        <f>"Collection of Technical Papers - 44th AIAA Aerospace Sciences Meeting"</f>
        <v>Collection of Technical Papers - 44th AIAA Aerospace Sciences Meeting</v>
      </c>
      <c r="B7337" s="8" t="str">
        <f>"9781563478079"</f>
        <v>9781563478079</v>
      </c>
      <c r="C7337" s="8" t="s">
        <v>104</v>
      </c>
    </row>
    <row r="7338" spans="1:3" x14ac:dyDescent="0.25">
      <c r="A7338" s="8" t="str">
        <f>"Collection of Technical Papers - 45th AIAA Aerospace Sciences Meeting"</f>
        <v>Collection of Technical Papers - 45th AIAA Aerospace Sciences Meeting</v>
      </c>
      <c r="B7338" s="8" t="str">
        <f>"9781563478901"</f>
        <v>9781563478901</v>
      </c>
      <c r="C7338" s="8" t="s">
        <v>104</v>
      </c>
    </row>
    <row r="7339" spans="1:3" x14ac:dyDescent="0.25">
      <c r="A7339" s="8" t="str">
        <f>"Collection of Technical Papers - 4th International Energy Conversion Engineering Conference"</f>
        <v>Collection of Technical Papers - 4th International Energy Conversion Engineering Conference</v>
      </c>
      <c r="B7339" s="8" t="str">
        <f>"-"</f>
        <v>-</v>
      </c>
      <c r="C7339" s="8" t="s">
        <v>104</v>
      </c>
    </row>
    <row r="7340" spans="1:3" x14ac:dyDescent="0.25">
      <c r="A7340" s="8" t="str">
        <f>"Collection of Technical Papers - 5th International Energy Conversion Engineering Conference"</f>
        <v>Collection of Technical Papers - 5th International Energy Conversion Engineering Conference</v>
      </c>
      <c r="B7340" s="8" t="str">
        <f>"9781563479021"</f>
        <v>9781563479021</v>
      </c>
      <c r="C7340" s="8" t="s">
        <v>104</v>
      </c>
    </row>
    <row r="7341" spans="1:3" x14ac:dyDescent="0.25">
      <c r="A7341" s="8" t="str">
        <f>"Collection of Technical Papers - 6th AIAA Aviation Technology, Integration, and Operations Conference"</f>
        <v>Collection of Technical Papers - 6th AIAA Aviation Technology, Integration, and Operations Conference</v>
      </c>
      <c r="B7341" s="8" t="str">
        <f>"9781563478253"</f>
        <v>9781563478253</v>
      </c>
      <c r="C7341" s="8" t="s">
        <v>104</v>
      </c>
    </row>
    <row r="7342" spans="1:3" x14ac:dyDescent="0.25">
      <c r="A7342" s="8" t="str">
        <f>"Collection of Technical Papers - 7th AIAA Aviation Technology, Integration, and Operations Conference"</f>
        <v>Collection of Technical Papers - 7th AIAA Aviation Technology, Integration, and Operations Conference</v>
      </c>
      <c r="B7342" s="8" t="str">
        <f>"9781563479083"</f>
        <v>9781563479083</v>
      </c>
      <c r="C7342" s="8" t="s">
        <v>104</v>
      </c>
    </row>
    <row r="7343" spans="1:3" x14ac:dyDescent="0.25">
      <c r="A7343" s="8" t="str">
        <f>"Collection of Technical Papers - 9th AIAA/ASME Joint Thermophysics and Heat Transfer Conference Proceedings"</f>
        <v>Collection of Technical Papers - 9th AIAA/ASME Joint Thermophysics and Heat Transfer Conference Proceedings</v>
      </c>
      <c r="B7343" s="8" t="str">
        <f>"-"</f>
        <v>-</v>
      </c>
      <c r="C7343" s="8" t="s">
        <v>104</v>
      </c>
    </row>
    <row r="7344" spans="1:3" x14ac:dyDescent="0.25">
      <c r="A7344" s="8" t="str">
        <f>"Collection of Technical Papers - AIAA 1st Intelligent Systems Technical Conference"</f>
        <v>Collection of Technical Papers - AIAA 1st Intelligent Systems Technical Conference</v>
      </c>
      <c r="B7344" s="8" t="str">
        <f>"9781563477195"</f>
        <v>9781563477195</v>
      </c>
      <c r="C7344" s="8" t="s">
        <v>104</v>
      </c>
    </row>
    <row r="7345" spans="1:3" x14ac:dyDescent="0.25">
      <c r="A7345" s="8" t="s">
        <v>1732</v>
      </c>
      <c r="B7345" s="8" t="str">
        <f>"9781563477171"</f>
        <v>9781563477171</v>
      </c>
      <c r="C7345" s="8" t="s">
        <v>104</v>
      </c>
    </row>
    <row r="7346" spans="1:3" x14ac:dyDescent="0.25">
      <c r="A7346" s="8" t="str">
        <f>"Collection of Technical Papers - AIAA 4th Aviation Technology, Integration, and Operations Forum, ATIO"</f>
        <v>Collection of Technical Papers - AIAA 4th Aviation Technology, Integration, and Operations Forum, ATIO</v>
      </c>
      <c r="B7346" s="8" t="str">
        <f>"9781563477188"</f>
        <v>9781563477188</v>
      </c>
      <c r="C7346" s="8" t="s">
        <v>104</v>
      </c>
    </row>
    <row r="7347" spans="1:3" x14ac:dyDescent="0.25">
      <c r="A7347" s="8" t="str">
        <f>"Collection of Technical Papers - AIAA 5th ATIO and the AIAA 16th Lighter-than-Air Systems Technology Conference and Balloon Systems Conference"</f>
        <v>Collection of Technical Papers - AIAA 5th ATIO and the AIAA 16th Lighter-than-Air Systems Technology Conference and Balloon Systems Conference</v>
      </c>
      <c r="B7347" s="8" t="str">
        <f>"9781563477409"</f>
        <v>9781563477409</v>
      </c>
      <c r="C7347" s="8" t="s">
        <v>1733</v>
      </c>
    </row>
    <row r="7348" spans="1:3" x14ac:dyDescent="0.25">
      <c r="A7348" s="8" t="str">
        <f>"Collection of Technical Papers - AIAA Atmospheric Flight Mechanics Conference"</f>
        <v>Collection of Technical Papers - AIAA Atmospheric Flight Mechanics Conference</v>
      </c>
      <c r="B7348" s="8" t="str">
        <f>"9781563477003"</f>
        <v>9781563477003</v>
      </c>
      <c r="C7348" s="8" t="s">
        <v>104</v>
      </c>
    </row>
    <row r="7349" spans="1:3" x14ac:dyDescent="0.25">
      <c r="A7349" s="8" t="str">
        <f>"Collection of Technical Papers - AIAA Atmospheric Flight Mechanics Conference"</f>
        <v>Collection of Technical Papers - AIAA Atmospheric Flight Mechanics Conference</v>
      </c>
      <c r="B7349" s="8" t="str">
        <f>"9781563477362"</f>
        <v>9781563477362</v>
      </c>
      <c r="C7349" s="8" t="s">
        <v>104</v>
      </c>
    </row>
    <row r="7350" spans="1:3" x14ac:dyDescent="0.25">
      <c r="A7350" s="8" t="str">
        <f>"Collection of Technical Papers - AIAA Guidance, Navigation, and Control Conference"</f>
        <v>Collection of Technical Papers - AIAA Guidance, Navigation, and Control Conference</v>
      </c>
      <c r="B7350" s="8" t="str">
        <f>"9781563476709"</f>
        <v>9781563476709</v>
      </c>
      <c r="C7350" s="8" t="s">
        <v>104</v>
      </c>
    </row>
    <row r="7351" spans="1:3" x14ac:dyDescent="0.25">
      <c r="A7351" s="8" t="str">
        <f>"Collection of Technical Papers - AIAA Guidance, Navigation, and Control Conference"</f>
        <v>Collection of Technical Papers - AIAA Guidance, Navigation, and Control Conference</v>
      </c>
      <c r="B7351" s="8" t="str">
        <f>"9781563477379"</f>
        <v>9781563477379</v>
      </c>
      <c r="C7351" s="8" t="s">
        <v>104</v>
      </c>
    </row>
    <row r="7352" spans="1:3" x14ac:dyDescent="0.25">
      <c r="A7352" s="8" t="str">
        <f>"Collection of Technical Papers - AIAA Guidance, Navigation, and Control Conference 2006"</f>
        <v>Collection of Technical Papers - AIAA Guidance, Navigation, and Control Conference 2006</v>
      </c>
      <c r="B7352" s="8" t="str">
        <f>"9781563478192"</f>
        <v>9781563478192</v>
      </c>
      <c r="C7352" s="8" t="s">
        <v>104</v>
      </c>
    </row>
    <row r="7353" spans="1:3" x14ac:dyDescent="0.25">
      <c r="A7353" s="8" t="str">
        <f>"Collection of Technical Papers - AIAA Guidance, Navigation, and Control Conference 2007"</f>
        <v>Collection of Technical Papers - AIAA Guidance, Navigation, and Control Conference 2007</v>
      </c>
      <c r="B7353" s="8" t="str">
        <f>"9781563479045"</f>
        <v>9781563479045</v>
      </c>
      <c r="C7353" s="8" t="s">
        <v>104</v>
      </c>
    </row>
    <row r="7354" spans="1:3" x14ac:dyDescent="0.25">
      <c r="A7354" s="8" t="str">
        <f>"Collection of Technical Papers - AIAA Modeling and Simulation Technologies Conference"</f>
        <v>Collection of Technical Papers - AIAA Modeling and Simulation Technologies Conference</v>
      </c>
      <c r="B7354" s="8" t="str">
        <f>"9781563476747"</f>
        <v>9781563476747</v>
      </c>
      <c r="C7354" s="8" t="s">
        <v>104</v>
      </c>
    </row>
    <row r="7355" spans="1:3" x14ac:dyDescent="0.25">
      <c r="A7355" s="8" t="str">
        <f>"Collection of Technical Papers - AIAA Modeling and Simulation Technologies Conference 2005"</f>
        <v>Collection of Technical Papers - AIAA Modeling and Simulation Technologies Conference 2005</v>
      </c>
      <c r="B7355" s="8" t="str">
        <f>"9781563477355"</f>
        <v>9781563477355</v>
      </c>
      <c r="C7355" s="8" t="s">
        <v>104</v>
      </c>
    </row>
    <row r="7356" spans="1:3" x14ac:dyDescent="0.25">
      <c r="A7356" s="8" t="str">
        <f>"Collection of Technical Papers - AIAA Modeling and Simulation Technologies Conference, 2006"</f>
        <v>Collection of Technical Papers - AIAA Modeling and Simulation Technologies Conference, 2006</v>
      </c>
      <c r="B7356" s="8" t="str">
        <f>"9781563478215"</f>
        <v>9781563478215</v>
      </c>
      <c r="C7356" s="8" t="s">
        <v>104</v>
      </c>
    </row>
    <row r="7357" spans="1:3" x14ac:dyDescent="0.25">
      <c r="A7357" s="8" t="str">
        <f>"Collection of Technical Papers - AIAA Space 2005 Conference and Exposition"</f>
        <v>Collection of Technical Papers - AIAA Space 2005 Conference and Exposition</v>
      </c>
      <c r="B7357" s="8" t="str">
        <f>"9781563477386"</f>
        <v>9781563477386</v>
      </c>
      <c r="C7357" s="8" t="s">
        <v>104</v>
      </c>
    </row>
    <row r="7358" spans="1:3" x14ac:dyDescent="0.25">
      <c r="A7358" s="8" t="str">
        <f>"Collection of Technical Papers - AIAA/AAS Astrodynamics Specialist Conference"</f>
        <v>Collection of Technical Papers - AIAA/AAS Astrodynamics Specialist Conference</v>
      </c>
      <c r="B7358" s="8" t="str">
        <f>"9781563477140"</f>
        <v>9781563477140</v>
      </c>
      <c r="C7358" s="8" t="s">
        <v>104</v>
      </c>
    </row>
    <row r="7359" spans="1:3" x14ac:dyDescent="0.25">
      <c r="A7359" s="8" t="str">
        <f>"Collection of Technical Papers - AIAA/AAS Astrodynamics Specialist Conference, 2006"</f>
        <v>Collection of Technical Papers - AIAA/AAS Astrodynamics Specialist Conference, 2006</v>
      </c>
      <c r="B7359" s="8" t="str">
        <f>"9781563478222"</f>
        <v>9781563478222</v>
      </c>
      <c r="C7359" s="8" t="s">
        <v>104</v>
      </c>
    </row>
    <row r="7360" spans="1:3" x14ac:dyDescent="0.25">
      <c r="A7360" s="8" t="str">
        <f>"Collection of Technical Papers - AIAA/ASME/SAE/ASEE 42nd Joint Propulsion Conference"</f>
        <v>Collection of Technical Papers - AIAA/ASME/SAE/ASEE 42nd Joint Propulsion Conference</v>
      </c>
      <c r="B7360" s="8" t="str">
        <f>"9781563478185"</f>
        <v>9781563478185</v>
      </c>
      <c r="C7360" s="8" t="s">
        <v>104</v>
      </c>
    </row>
    <row r="7361" spans="1:3" x14ac:dyDescent="0.25">
      <c r="A7361" s="8" t="str">
        <f>"Collection of Technical Papers - CANEUS 2004 - Conference on Micro-Nano-Technologies for Aerospace Applications"</f>
        <v>Collection of Technical Papers - CANEUS 2004 - Conference on Micro-Nano-Technologies for Aerospace Applications</v>
      </c>
      <c r="B7361" s="8" t="str">
        <f>"9781563477218"</f>
        <v>9781563477218</v>
      </c>
      <c r="C7361" s="8" t="s">
        <v>104</v>
      </c>
    </row>
    <row r="7362" spans="1:3" x14ac:dyDescent="0.25">
      <c r="A7362" s="8" t="str">
        <f>"Collection of Technical Papers - InfoTech at Aerospace: Advancing Contemporary Aerospace Technologies and Their Integration"</f>
        <v>Collection of Technical Papers - InfoTech at Aerospace: Advancing Contemporary Aerospace Technologies and Their Integration</v>
      </c>
      <c r="B7362" s="8" t="str">
        <f>"9781563477393"</f>
        <v>9781563477393</v>
      </c>
      <c r="C7362" s="8" t="s">
        <v>104</v>
      </c>
    </row>
    <row r="7363" spans="1:3" x14ac:dyDescent="0.25">
      <c r="A7363" s="8" t="str">
        <f>"Collection of Technical Papers - Space 2006 Conference"</f>
        <v>Collection of Technical Papers - Space 2006 Conference</v>
      </c>
      <c r="B7363" s="8" t="str">
        <f>"9781563478246"</f>
        <v>9781563478246</v>
      </c>
      <c r="C7363" s="8" t="s">
        <v>104</v>
      </c>
    </row>
    <row r="7364" spans="1:3" x14ac:dyDescent="0.25">
      <c r="A7364" s="8" t="str">
        <f>"Collection of Technical Papers - U.S. Air Force T and E Days, 2007(Test and Evaluation"</f>
        <v>Collection of Technical Papers - U.S. Air Force T and E Days, 2007(Test and Evaluation</v>
      </c>
      <c r="B7364" s="8" t="str">
        <f>"9781563478918"</f>
        <v>9781563478918</v>
      </c>
      <c r="C7364" s="8" t="s">
        <v>104</v>
      </c>
    </row>
    <row r="7365" spans="1:3" x14ac:dyDescent="0.25">
      <c r="A7365" s="8" t="str">
        <f>"Collection of Technical Papers - U.S. Air Force T and E Days: Transforming the T and E Enterprise"</f>
        <v>Collection of Technical Papers - U.S. Air Force T and E Days: Transforming the T and E Enterprise</v>
      </c>
      <c r="B7365" s="8" t="str">
        <f>"-"</f>
        <v>-</v>
      </c>
      <c r="C7365" s="8" t="s">
        <v>104</v>
      </c>
    </row>
    <row r="7366" spans="1:3" x14ac:dyDescent="0.25">
      <c r="A7366" s="8" t="str">
        <f>"Collection of the 2005 ASME Wind Energy Symposium Technical Papers at the 43rd AIAA Aerospace Sciences Meeting and Exhibit"</f>
        <v>Collection of the 2005 ASME Wind Energy Symposium Technical Papers at the 43rd AIAA Aerospace Sciences Meeting and Exhibit</v>
      </c>
      <c r="B7366" s="8" t="str">
        <f>"9781563477263"</f>
        <v>9781563477263</v>
      </c>
      <c r="C7366" s="8" t="s">
        <v>104</v>
      </c>
    </row>
    <row r="7367" spans="1:3" x14ac:dyDescent="0.25">
      <c r="A7367" s="8" t="str">
        <f>"Colliders and Neutrinos: The Window into Physics Beyond the Standard Model"</f>
        <v>Colliders and Neutrinos: The Window into Physics Beyond the Standard Model</v>
      </c>
      <c r="B7367" s="8" t="str">
        <f>"9789812819253"</f>
        <v>9789812819253</v>
      </c>
      <c r="C7367" s="8" t="s">
        <v>157</v>
      </c>
    </row>
    <row r="7368" spans="1:3" x14ac:dyDescent="0.25">
      <c r="A7368" s="8" t="str">
        <f>"Collision and Grounding of Ships and Offshore Structures - Proceedings of the 6th International Conference on Collision and Grounding of Ships and Offshore Structures, ICCGS 2013"</f>
        <v>Collision and Grounding of Ships and Offshore Structures - Proceedings of the 6th International Conference on Collision and Grounding of Ships and Offshore Structures, ICCGS 2013</v>
      </c>
      <c r="B7368" s="8" t="str">
        <f>"9781138000599"</f>
        <v>9781138000599</v>
      </c>
      <c r="C7368" s="8" t="s">
        <v>1619</v>
      </c>
    </row>
    <row r="7369" spans="1:3" x14ac:dyDescent="0.25">
      <c r="A7369" s="8" t="str">
        <f>"Colloidal Transport in Porous Media"</f>
        <v>Colloidal Transport in Porous Media</v>
      </c>
      <c r="B7369" s="8" t="str">
        <f>"9783540713388"</f>
        <v>9783540713388</v>
      </c>
      <c r="C7369" s="8" t="s">
        <v>137</v>
      </c>
    </row>
    <row r="7370" spans="1:3" x14ac:dyDescent="0.25">
      <c r="A7370" s="8" t="str">
        <f>"COLT 2009 - The 22nd Conference on Learning Theory"</f>
        <v>COLT 2009 - The 22nd Conference on Learning Theory</v>
      </c>
      <c r="B7370" s="8" t="str">
        <f>"-"</f>
        <v>-</v>
      </c>
      <c r="C7370" s="8" t="s">
        <v>1403</v>
      </c>
    </row>
    <row r="7371" spans="1:3" x14ac:dyDescent="0.25">
      <c r="A7371" s="8" t="str">
        <f>"COLT 2010 - The 23rd Conference on Learning Theory"</f>
        <v>COLT 2010 - The 23rd Conference on Learning Theory</v>
      </c>
      <c r="B7371" s="8" t="str">
        <f>"9780982252925"</f>
        <v>9780982252925</v>
      </c>
      <c r="C7371" s="8" t="s">
        <v>1403</v>
      </c>
    </row>
    <row r="7372" spans="1:3" x14ac:dyDescent="0.25">
      <c r="A7372" s="8" t="str">
        <f>"COMADEM 2010 - Advances in Maintenance and Condition Diagnosis Technologies Towards Sustainable Society, Proc. 23rd Int. Congr. Condition Monitoring and Diagnostic Engineering Management"</f>
        <v>COMADEM 2010 - Advances in Maintenance and Condition Diagnosis Technologies Towards Sustainable Society, Proc. 23rd Int. Congr. Condition Monitoring and Diagnostic Engineering Management</v>
      </c>
      <c r="B7372" s="8" t="str">
        <f>"9784883254194"</f>
        <v>9784883254194</v>
      </c>
      <c r="C7372" s="8" t="s">
        <v>1734</v>
      </c>
    </row>
    <row r="7373" spans="1:3" x14ac:dyDescent="0.25">
      <c r="A7373" s="8" t="str">
        <f>"Combinatorial Aspects of Commutative Algebra and Algebraic Geometry: The Abel Symposium 2009"</f>
        <v>Combinatorial Aspects of Commutative Algebra and Algebraic Geometry: The Abel Symposium 2009</v>
      </c>
      <c r="B7373" s="8" t="str">
        <f>"9783642194917"</f>
        <v>9783642194917</v>
      </c>
      <c r="C7373" s="8" t="s">
        <v>42</v>
      </c>
    </row>
    <row r="7374" spans="1:3" x14ac:dyDescent="0.25">
      <c r="A7374" s="8" t="str">
        <f>"Combined Power Plant Air Pollutant Control Mega Symposium"</f>
        <v>Combined Power Plant Air Pollutant Control Mega Symposium</v>
      </c>
      <c r="B7374" s="8" t="str">
        <f>"9780923204693"</f>
        <v>9780923204693</v>
      </c>
      <c r="C7374" s="8" t="s">
        <v>10</v>
      </c>
    </row>
    <row r="7375" spans="1:3" x14ac:dyDescent="0.25">
      <c r="A7375" s="8" t="str">
        <f>"Combined Proceedings of the International Symposium on Social Network Analysis and Norms for MAS - A Symposium at the AISB 2010 Convention"</f>
        <v>Combined Proceedings of the International Symposium on Social Network Analysis and Norms for MAS - A Symposium at the AISB 2010 Convention</v>
      </c>
      <c r="B7375" s="8" t="str">
        <f>"9781902956954"</f>
        <v>9781902956954</v>
      </c>
      <c r="C7375" s="8" t="s">
        <v>1656</v>
      </c>
    </row>
    <row r="7376" spans="1:3" x14ac:dyDescent="0.25">
      <c r="A7376" s="8" t="str">
        <f>"Commonsense 2009 - Proceedings of the 9th International Symposium on Logical Formalizations of Commonsense Reasoning"</f>
        <v>Commonsense 2009 - Proceedings of the 9th International Symposium on Logical Formalizations of Commonsense Reasoning</v>
      </c>
      <c r="B7376" s="8" t="str">
        <f>"9780980284065"</f>
        <v>9780980284065</v>
      </c>
      <c r="C7376" s="8" t="s">
        <v>1735</v>
      </c>
    </row>
    <row r="7377" spans="1:3" x14ac:dyDescent="0.25">
      <c r="A7377" s="8" t="str">
        <f>"COMP 2013 - ACM SIGSPATIAL International Workshop on Computational Models of Place"</f>
        <v>COMP 2013 - ACM SIGSPATIAL International Workshop on Computational Models of Place</v>
      </c>
      <c r="B7377" s="8" t="str">
        <f>"9781450325356"</f>
        <v>9781450325356</v>
      </c>
      <c r="C7377" s="8" t="s">
        <v>21</v>
      </c>
    </row>
    <row r="7378" spans="1:3" x14ac:dyDescent="0.25">
      <c r="A7378" s="8" t="str">
        <f>"CompArch'11 - Proceedings of the 2011 Federated Events on Component-Based Software Engineering and Software Architecture - CBSE'11"</f>
        <v>CompArch'11 - Proceedings of the 2011 Federated Events on Component-Based Software Engineering and Software Architecture - CBSE'11</v>
      </c>
      <c r="B7378" s="8" t="str">
        <f>"9781450307239"</f>
        <v>9781450307239</v>
      </c>
      <c r="C7378" s="8" t="s">
        <v>21</v>
      </c>
    </row>
    <row r="7379" spans="1:3" x14ac:dyDescent="0.25">
      <c r="A7379" s="8" t="str">
        <f>"CompArch'11 - Proceedings of the 2011 Federated Events on Component-Based Software Engineering and Software Architecture - QoSA+ISARCS'11"</f>
        <v>CompArch'11 - Proceedings of the 2011 Federated Events on Component-Based Software Engineering and Software Architecture - QoSA+ISARCS'11</v>
      </c>
      <c r="B7379" s="8" t="str">
        <f>"9781450307246"</f>
        <v>9781450307246</v>
      </c>
      <c r="C7379" s="8" t="s">
        <v>21</v>
      </c>
    </row>
    <row r="7380" spans="1:3" x14ac:dyDescent="0.25">
      <c r="A7380" s="8" t="str">
        <f>"CompArch'11 - Proceedings of the 2011 Federated Events on Component-Based Software Engineering and Software Architecture - WCOP'11"</f>
        <v>CompArch'11 - Proceedings of the 2011 Federated Events on Component-Based Software Engineering and Software Architecture - WCOP'11</v>
      </c>
      <c r="B7380" s="8" t="str">
        <f>"9781450307260"</f>
        <v>9781450307260</v>
      </c>
      <c r="C7380" s="8" t="s">
        <v>21</v>
      </c>
    </row>
    <row r="7381" spans="1:3" x14ac:dyDescent="0.25">
      <c r="A7381" s="8" t="str">
        <f>"COMPDYN 2015 - 5th ECCOMAS Thematic Conference on Computational Methods in Structural Dynamics and Earthquake Engineering"</f>
        <v>COMPDYN 2015 - 5th ECCOMAS Thematic Conference on Computational Methods in Structural Dynamics and Earthquake Engineering</v>
      </c>
      <c r="B7381" s="8" t="str">
        <f>"-"</f>
        <v>-</v>
      </c>
      <c r="C7381" s="8" t="s">
        <v>1223</v>
      </c>
    </row>
    <row r="7382" spans="1:3" x14ac:dyDescent="0.25">
      <c r="A7382" s="8" t="str">
        <f>"COMPENG 2010 - Complexity in Engineering"</f>
        <v>COMPENG 2010 - Complexity in Engineering</v>
      </c>
      <c r="B7382" s="8" t="str">
        <f>"9780769539744"</f>
        <v>9780769539744</v>
      </c>
      <c r="C7382" s="8" t="s">
        <v>9</v>
      </c>
    </row>
    <row r="7383" spans="1:3" x14ac:dyDescent="0.25">
      <c r="A7383" s="8" t="str">
        <f>"Competitive Design - Proceedings of the 19th CIRP Design Conference"</f>
        <v>Competitive Design - Proceedings of the 19th CIRP Design Conference</v>
      </c>
      <c r="B7383" s="8" t="str">
        <f>"9780955743641"</f>
        <v>9780955743641</v>
      </c>
      <c r="C7383" s="8" t="s">
        <v>1736</v>
      </c>
    </row>
    <row r="7384" spans="1:3" x14ac:dyDescent="0.25">
      <c r="A7384" s="8" t="str">
        <f>"Complex Systems Concurrent Engineering: Collaboration, Technology Innovation and Sustainability"</f>
        <v>Complex Systems Concurrent Engineering: Collaboration, Technology Innovation and Sustainability</v>
      </c>
      <c r="B7384" s="8" t="str">
        <f>"9781846289750"</f>
        <v>9781846289750</v>
      </c>
      <c r="C7384" s="8" t="s">
        <v>1639</v>
      </c>
    </row>
    <row r="7385" spans="1:3" x14ac:dyDescent="0.25">
      <c r="A7385" s="8" t="str">
        <f>"Complex Systems Design and Management - Proceedings of the 3rd International Conference on Complex Systems Design and Management, CSD and M 2012"</f>
        <v>Complex Systems Design and Management - Proceedings of the 3rd International Conference on Complex Systems Design and Management, CSD and M 2012</v>
      </c>
      <c r="B7385" s="8" t="str">
        <f>"9783642344039"</f>
        <v>9783642344039</v>
      </c>
      <c r="C7385" s="8" t="s">
        <v>582</v>
      </c>
    </row>
    <row r="7386" spans="1:3" x14ac:dyDescent="0.25">
      <c r="A7386" s="8" t="str">
        <f>"Complex Systems Design and Management - Proceedings of the 4th International Conference on Complex Systems Design and Management, CSD and M 2013"</f>
        <v>Complex Systems Design and Management - Proceedings of the 4th International Conference on Complex Systems Design and Management, CSD and M 2013</v>
      </c>
      <c r="B7386" s="8" t="str">
        <f>"9783319028118"</f>
        <v>9783319028118</v>
      </c>
      <c r="C7386" s="8" t="s">
        <v>582</v>
      </c>
    </row>
    <row r="7387" spans="1:3" x14ac:dyDescent="0.25">
      <c r="A7387" s="8" t="str">
        <f>"Complex Systems Design and Management - Proceedings of the 5th International Conference on Complex Systems Design and Management, CSD and M 2014"</f>
        <v>Complex Systems Design and Management - Proceedings of the 5th International Conference on Complex Systems Design and Management, CSD and M 2014</v>
      </c>
      <c r="B7387" s="8" t="str">
        <f>"9783319116167"</f>
        <v>9783319116167</v>
      </c>
      <c r="C7387" s="8" t="s">
        <v>582</v>
      </c>
    </row>
    <row r="7388" spans="1:3" x14ac:dyDescent="0.25">
      <c r="A7388" s="8" t="str">
        <f>"Complexity in Organisational and Technology Systems - Proceedings of the 10th International Conference on Organisational Semiotics 2007"</f>
        <v>Complexity in Organisational and Technology Systems - Proceedings of the 10th International Conference on Organisational Semiotics 2007</v>
      </c>
      <c r="B7388" s="8" t="str">
        <f>"-"</f>
        <v>-</v>
      </c>
      <c r="C7388" s="8" t="s">
        <v>1737</v>
      </c>
    </row>
    <row r="7389" spans="1:3" x14ac:dyDescent="0.25">
      <c r="A7389" s="8" t="str">
        <f>"Compliant Structures in Nature and Engineering"</f>
        <v>Compliant Structures in Nature and Engineering</v>
      </c>
      <c r="B7389" s="8" t="str">
        <f>"9781853129414"</f>
        <v>9781853129414</v>
      </c>
      <c r="C7389" s="8" t="s">
        <v>1641</v>
      </c>
    </row>
    <row r="7390" spans="1:3" x14ac:dyDescent="0.25">
      <c r="A7390" s="8" t="str">
        <f>"Composite Construction in Steel and Concrete VI - Proceedings of the 2008 Composite Construction in Steel and Concrete Conference"</f>
        <v>Composite Construction in Steel and Concrete VI - Proceedings of the 2008 Composite Construction in Steel and Concrete Conference</v>
      </c>
      <c r="B7390" s="8" t="str">
        <f>"9780784411421"</f>
        <v>9780784411421</v>
      </c>
      <c r="C7390" s="8" t="s">
        <v>111</v>
      </c>
    </row>
    <row r="7391" spans="1:3" x14ac:dyDescent="0.25">
      <c r="A7391" s="8" t="str">
        <f>"Composites in Construction: A reality"</f>
        <v>Composites in Construction: A reality</v>
      </c>
      <c r="B7391" s="8" t="str">
        <f>"9780784405963"</f>
        <v>9780784405963</v>
      </c>
      <c r="C7391" s="8" t="s">
        <v>111</v>
      </c>
    </row>
    <row r="7392" spans="1:3" x14ac:dyDescent="0.25">
      <c r="A7392" s="8" t="str">
        <f>"CompSci 2013 - Proceedings of the 2013 Workshop on Computational Scientometrics: Theory and Applications, Co-located with CIKM 2013"</f>
        <v>CompSci 2013 - Proceedings of the 2013 Workshop on Computational Scientometrics: Theory and Applications, Co-located with CIKM 2013</v>
      </c>
      <c r="B7392" s="8" t="str">
        <f>"9781450324144"</f>
        <v>9781450324144</v>
      </c>
      <c r="C7392" s="8" t="s">
        <v>21</v>
      </c>
    </row>
    <row r="7393" spans="1:3" x14ac:dyDescent="0.25">
      <c r="A7393" s="8" t="str">
        <f>"Computation World: Future Computing, Service Computation, Adaptive, Content, Cognitive, Patterns, ComputationWorld 2009"</f>
        <v>Computation World: Future Computing, Service Computation, Adaptive, Content, Cognitive, Patterns, ComputationWorld 2009</v>
      </c>
      <c r="B7393" s="8" t="str">
        <f>"9780769538624"</f>
        <v>9780769538624</v>
      </c>
      <c r="C7393" s="8" t="s">
        <v>9</v>
      </c>
    </row>
    <row r="7394" spans="1:3" x14ac:dyDescent="0.25">
      <c r="A7394" s="8" t="str">
        <f>"Computational and Experimental Methods"</f>
        <v>Computational and Experimental Methods</v>
      </c>
      <c r="B7394" s="8" t="str">
        <f>"9781853128646"</f>
        <v>9781853128646</v>
      </c>
      <c r="C7394" s="8" t="s">
        <v>80</v>
      </c>
    </row>
    <row r="7395" spans="1:3" x14ac:dyDescent="0.25">
      <c r="A7395" s="8" t="str">
        <f>"Computational and Experimental Methods"</f>
        <v>Computational and Experimental Methods</v>
      </c>
      <c r="B7395" s="8" t="str">
        <f>"9781853129759"</f>
        <v>9781853129759</v>
      </c>
      <c r="C7395" s="8" t="s">
        <v>80</v>
      </c>
    </row>
    <row r="7396" spans="1:3" x14ac:dyDescent="0.25">
      <c r="A7396" s="8" t="str">
        <f>"Computational and Experimental Methods"</f>
        <v>Computational and Experimental Methods</v>
      </c>
      <c r="B7396" s="8" t="str">
        <f>"9781853129629"</f>
        <v>9781853129629</v>
      </c>
      <c r="C7396" s="8" t="s">
        <v>80</v>
      </c>
    </row>
    <row r="7397" spans="1:3" x14ac:dyDescent="0.25">
      <c r="A7397" s="8" t="str">
        <f>"Computational Ballistics"</f>
        <v>Computational Ballistics</v>
      </c>
      <c r="B7397" s="8" t="str">
        <f>"9781853128387"</f>
        <v>9781853128387</v>
      </c>
      <c r="C7397" s="8" t="s">
        <v>80</v>
      </c>
    </row>
    <row r="7398" spans="1:3" x14ac:dyDescent="0.25">
      <c r="A7398" s="8" t="str">
        <f>"Computational Engineering"</f>
        <v>Computational Engineering</v>
      </c>
      <c r="B7398" s="8" t="str">
        <f>"9781853128707"</f>
        <v>9781853128707</v>
      </c>
      <c r="C7398" s="8" t="s">
        <v>1641</v>
      </c>
    </row>
    <row r="7399" spans="1:3" x14ac:dyDescent="0.25">
      <c r="A7399" s="8" t="str">
        <f>"Computational Fluid Dynamics 2006 - Proceedings of the Fourth International Conference on Computational Fluid Dynamics, ICCFD 2006"</f>
        <v>Computational Fluid Dynamics 2006 - Proceedings of the Fourth International Conference on Computational Fluid Dynamics, ICCFD 2006</v>
      </c>
      <c r="B7399" s="8" t="str">
        <f>"9783540927785"</f>
        <v>9783540927785</v>
      </c>
      <c r="C7399" s="8" t="s">
        <v>79</v>
      </c>
    </row>
    <row r="7400" spans="1:3" x14ac:dyDescent="0.25">
      <c r="A7400" s="8" t="str">
        <f>"Computational Fluid Dynamics 2008"</f>
        <v>Computational Fluid Dynamics 2008</v>
      </c>
      <c r="B7400" s="8" t="str">
        <f>"9783642012723"</f>
        <v>9783642012723</v>
      </c>
      <c r="C7400" s="8" t="s">
        <v>79</v>
      </c>
    </row>
    <row r="7401" spans="1:3" x14ac:dyDescent="0.25">
      <c r="A7401" s="8" t="str">
        <f>"Computational Fluid Dynamics 2010 - Proceedings of the 6th International Conference on Computational Fluid Dynamics, ICCFD 2010"</f>
        <v>Computational Fluid Dynamics 2010 - Proceedings of the 6th International Conference on Computational Fluid Dynamics, ICCFD 2010</v>
      </c>
      <c r="B7401" s="8" t="str">
        <f>"9783642178832"</f>
        <v>9783642178832</v>
      </c>
      <c r="C7401" s="8" t="s">
        <v>162</v>
      </c>
    </row>
    <row r="7402" spans="1:3" x14ac:dyDescent="0.25">
      <c r="A7402" s="8" t="str">
        <f>"Computational Geomechanics, COMGEO I - Proceedings of the 1st International Symposium on Computational Geomechanics"</f>
        <v>Computational Geomechanics, COMGEO I - Proceedings of the 1st International Symposium on Computational Geomechanics</v>
      </c>
      <c r="B7402" s="8" t="str">
        <f>"-"</f>
        <v>-</v>
      </c>
      <c r="C7402" s="8" t="s">
        <v>1738</v>
      </c>
    </row>
    <row r="7403" spans="1:3" x14ac:dyDescent="0.25">
      <c r="A7403" s="8" t="str">
        <f>"Computational Geomechanics, COMGEO II - Proceedings of the 2nd International Symposium on Computational Geomechanics"</f>
        <v>Computational Geomechanics, COMGEO II - Proceedings of the 2nd International Symposium on Computational Geomechanics</v>
      </c>
      <c r="B7403" s="8" t="str">
        <f>"9789609875011"</f>
        <v>9789609875011</v>
      </c>
      <c r="C7403" s="8" t="s">
        <v>1738</v>
      </c>
    </row>
    <row r="7404" spans="1:3" x14ac:dyDescent="0.25">
      <c r="A7404" s="8" t="str">
        <f>"Computational Intelligence and Applications"</f>
        <v>Computational Intelligence and Applications</v>
      </c>
      <c r="B7404" s="8" t="str">
        <f>"9789608052055"</f>
        <v>9789608052055</v>
      </c>
      <c r="C7404" s="8" t="s">
        <v>553</v>
      </c>
    </row>
    <row r="7405" spans="1:3" x14ac:dyDescent="0.25">
      <c r="A7405" s="8" t="str">
        <f>"Computational Intelligence, From Theory to Practice - Proceedings of the 2004 ASCE Information Technology Symposium"</f>
        <v>Computational Intelligence, From Theory to Practice - Proceedings of the 2004 ASCE Information Technology Symposium</v>
      </c>
      <c r="B7405" s="8" t="str">
        <f>"9780784407608"</f>
        <v>9780784407608</v>
      </c>
      <c r="C7405" s="8" t="s">
        <v>111</v>
      </c>
    </row>
    <row r="7406" spans="1:3" x14ac:dyDescent="0.25">
      <c r="A7406" s="8" t="str">
        <f>"Computational Linguistics in the Netherlands 2007 - Selected Papers from the 18th CLIN Meeting, CLIN 2007"</f>
        <v>Computational Linguistics in the Netherlands 2007 - Selected Papers from the 18th CLIN Meeting, CLIN 2007</v>
      </c>
      <c r="B7406" s="8" t="str">
        <f>"9789078328766"</f>
        <v>9789078328766</v>
      </c>
      <c r="C7406" s="8" t="s">
        <v>1739</v>
      </c>
    </row>
    <row r="7407" spans="1:3" x14ac:dyDescent="0.25">
      <c r="A7407" s="8" t="str">
        <f>"Computational Linguistics in the Netherlands 2009 - Selected Papers from the 19th CLIN Meeting, CLIN 2009"</f>
        <v>Computational Linguistics in the Netherlands 2009 - Selected Papers from the 19th CLIN Meeting, CLIN 2009</v>
      </c>
      <c r="B7407" s="8" t="str">
        <f>"9789460930041"</f>
        <v>9789460930041</v>
      </c>
      <c r="C7407" s="8" t="s">
        <v>1739</v>
      </c>
    </row>
    <row r="7408" spans="1:3" x14ac:dyDescent="0.25">
      <c r="A7408" s="8" t="str">
        <f>"Computational Linguistics in the Netherlands 2010 - Selected Papers from the 20th CLIN Meeting, CLIN 2010"</f>
        <v>Computational Linguistics in the Netherlands 2010 - Selected Papers from the 20th CLIN Meeting, CLIN 2010</v>
      </c>
      <c r="B7408" s="8" t="str">
        <f>"9789460930478"</f>
        <v>9789460930478</v>
      </c>
      <c r="C7408" s="8" t="s">
        <v>1739</v>
      </c>
    </row>
    <row r="7409" spans="1:3" x14ac:dyDescent="0.25">
      <c r="A7409" s="8" t="str">
        <f>"Computational Methods in Circuits and Systems Applications"</f>
        <v>Computational Methods in Circuits and Systems Applications</v>
      </c>
      <c r="B7409" s="8" t="str">
        <f>"9789608052888"</f>
        <v>9789608052888</v>
      </c>
      <c r="C7409" s="8" t="s">
        <v>553</v>
      </c>
    </row>
    <row r="7410" spans="1:3" x14ac:dyDescent="0.25">
      <c r="A7410" s="8" t="str">
        <f>"Computational Methods in Marine Engineering V - Proceedings of the 5th International Conference on Computational Methods in Marine Engineering, MARINE 2013"</f>
        <v>Computational Methods in Marine Engineering V - Proceedings of the 5th International Conference on Computational Methods in Marine Engineering, MARINE 2013</v>
      </c>
      <c r="B7410" s="8" t="str">
        <f>"9788494140747"</f>
        <v>9788494140747</v>
      </c>
      <c r="C7410" s="8" t="s">
        <v>1238</v>
      </c>
    </row>
    <row r="7411" spans="1:3" x14ac:dyDescent="0.25">
      <c r="A7411" s="8" t="str">
        <f>"Computational Modeling of Tissue Surgery"</f>
        <v>Computational Modeling of Tissue Surgery</v>
      </c>
      <c r="B7411" s="8" t="str">
        <f>"9781853127496"</f>
        <v>9781853127496</v>
      </c>
      <c r="C7411" s="8" t="s">
        <v>1641</v>
      </c>
    </row>
    <row r="7412" spans="1:3" x14ac:dyDescent="0.25">
      <c r="A7412" s="8" t="str">
        <f>"Computational Modelling of Concrete Structures - Proceedings of EURO-C 2006"</f>
        <v>Computational Modelling of Concrete Structures - Proceedings of EURO-C 2006</v>
      </c>
      <c r="B7412" s="8" t="str">
        <f>"9780415397490"</f>
        <v>9780415397490</v>
      </c>
      <c r="C7412" s="8" t="s">
        <v>1619</v>
      </c>
    </row>
    <row r="7413" spans="1:3" x14ac:dyDescent="0.25">
      <c r="A7413" s="8" t="str">
        <f>"Computational Modelling of Concrete Structures - Proceedings of EURO-C 2014"</f>
        <v>Computational Modelling of Concrete Structures - Proceedings of EURO-C 2014</v>
      </c>
      <c r="B7413" s="8" t="str">
        <f>"-"</f>
        <v>-</v>
      </c>
      <c r="C7413" s="8" t="s">
        <v>1619</v>
      </c>
    </row>
    <row r="7414" spans="1:3" x14ac:dyDescent="0.25">
      <c r="A7414" s="8" t="str">
        <f>"Computational Modelling of Objects Represented in Images: Fundamentals, Methods and Applications III - Proceedings of the International Symposium, CompIMAGE 2012"</f>
        <v>Computational Modelling of Objects Represented in Images: Fundamentals, Methods and Applications III - Proceedings of the International Symposium, CompIMAGE 2012</v>
      </c>
      <c r="B7414" s="8" t="str">
        <f>"9780415621342"</f>
        <v>9780415621342</v>
      </c>
      <c r="C7414" s="8" t="s">
        <v>1619</v>
      </c>
    </row>
    <row r="7415" spans="1:3" x14ac:dyDescent="0.25">
      <c r="A7415" s="8" t="str">
        <f>"Computational Molecular Science and Engineering Forum 2013 - Core Programming Area at the 2013 AIChE Annual Meeting: Global Challenges for Engineering a Sustainable Future"</f>
        <v>Computational Molecular Science and Engineering Forum 2013 - Core Programming Area at the 2013 AIChE Annual Meeting: Global Challenges for Engineering a Sustainable Future</v>
      </c>
      <c r="B7415" s="8" t="str">
        <f>"9781634390354"</f>
        <v>9781634390354</v>
      </c>
      <c r="C7415" s="8" t="s">
        <v>1219</v>
      </c>
    </row>
    <row r="7416" spans="1:3" x14ac:dyDescent="0.25">
      <c r="A7416" s="8" t="str">
        <f>"Computational Molecular Science and Engineering Forum Conference, Presentations at the 2008 AIChE Spring National Meeting"</f>
        <v>Computational Molecular Science and Engineering Forum Conference, Presentations at the 2008 AIChE Spring National Meeting</v>
      </c>
      <c r="B7416" s="8" t="str">
        <f>"9781605602240"</f>
        <v>9781605602240</v>
      </c>
      <c r="C7416" s="8" t="s">
        <v>1219</v>
      </c>
    </row>
    <row r="7417" spans="1:3" x14ac:dyDescent="0.25">
      <c r="A7417" s="8" t="str">
        <f>"Computational Optical Sensing and Imaging, COSI 2012"</f>
        <v>Computational Optical Sensing and Imaging, COSI 2012</v>
      </c>
      <c r="B7417" s="8" t="str">
        <f>"9781557529473"</f>
        <v>9781557529473</v>
      </c>
      <c r="C7417" s="8" t="s">
        <v>86</v>
      </c>
    </row>
    <row r="7418" spans="1:3" x14ac:dyDescent="0.25">
      <c r="A7418" s="8" t="str">
        <f>"Computational Plasticity - Fundamentals and Applications, COMPLAS IX"</f>
        <v>Computational Plasticity - Fundamentals and Applications, COMPLAS IX</v>
      </c>
      <c r="B7418" s="8" t="str">
        <f>"-"</f>
        <v>-</v>
      </c>
      <c r="C7418" s="8" t="s">
        <v>1238</v>
      </c>
    </row>
    <row r="7419" spans="1:3" x14ac:dyDescent="0.25">
      <c r="A7419" s="8" t="str">
        <f>"Computational Plasticity X - Fundamentals and Applications"</f>
        <v>Computational Plasticity X - Fundamentals and Applications</v>
      </c>
      <c r="B7419" s="8" t="str">
        <f>"9788496736696"</f>
        <v>9788496736696</v>
      </c>
      <c r="C7419" s="8" t="s">
        <v>1238</v>
      </c>
    </row>
    <row r="7420" spans="1:3" x14ac:dyDescent="0.25">
      <c r="A7420" s="8" t="str">
        <f>"Computational Plasticity XI - Fundamentals and Applications, COMPLAS XI"</f>
        <v>Computational Plasticity XI - Fundamentals and Applications, COMPLAS XI</v>
      </c>
      <c r="B7420" s="8" t="str">
        <f>"9788489925731"</f>
        <v>9788489925731</v>
      </c>
      <c r="C7420" s="8" t="s">
        <v>1238</v>
      </c>
    </row>
    <row r="7421" spans="1:3" x14ac:dyDescent="0.25">
      <c r="A7421" s="8" t="str">
        <f>"Computational Plasticity XII: Fundamentals and Applications - Proceedings of the 12th International Conference on Computational Plasticity - Fundamentals and Applications, COMPLAS 2013"</f>
        <v>Computational Plasticity XII: Fundamentals and Applications - Proceedings of the 12th International Conference on Computational Plasticity - Fundamentals and Applications, COMPLAS 2013</v>
      </c>
      <c r="B7421" s="8" t="str">
        <f>"9788494153150"</f>
        <v>9788494153150</v>
      </c>
      <c r="C7421" s="8" t="s">
        <v>1238</v>
      </c>
    </row>
    <row r="7422" spans="1:3" x14ac:dyDescent="0.25">
      <c r="A7422" s="8" t="str">
        <f>"Computational Plasticity: Fundamentals and Applications - Proceedings of the 8th International Conference on Computational Plasticity, COMPLAS VIII"</f>
        <v>Computational Plasticity: Fundamentals and Applications - Proceedings of the 8th International Conference on Computational Plasticity, COMPLAS VIII</v>
      </c>
      <c r="B7422" s="8" t="str">
        <f>"-"</f>
        <v>-</v>
      </c>
      <c r="C7422" s="8" t="s">
        <v>1238</v>
      </c>
    </row>
    <row r="7423" spans="1:3" x14ac:dyDescent="0.25">
      <c r="A7423" s="8" t="str">
        <f>"Computational Studies"</f>
        <v>Computational Studies</v>
      </c>
      <c r="B7423" s="8" t="str">
        <f>"9781853128189"</f>
        <v>9781853128189</v>
      </c>
      <c r="C7423" s="8" t="s">
        <v>80</v>
      </c>
    </row>
    <row r="7424" spans="1:3" x14ac:dyDescent="0.25">
      <c r="A7424" s="8" t="str">
        <f>"Computational Vision and Medical Image Processing, Proceedings of VipIMAGE 2011 - 3rd ECCOMAS Thematic Conference on Computational Vision and Medical Image Processing"</f>
        <v>Computational Vision and Medical Image Processing, Proceedings of VipIMAGE 2011 - 3rd ECCOMAS Thematic Conference on Computational Vision and Medical Image Processing</v>
      </c>
      <c r="B7424" s="8" t="str">
        <f>"9780415683951"</f>
        <v>9780415683951</v>
      </c>
      <c r="C7424" s="8" t="s">
        <v>96</v>
      </c>
    </row>
    <row r="7425" spans="1:3" x14ac:dyDescent="0.25">
      <c r="A7425" s="8" t="str">
        <f>"COMPUTE 2008 - The 1st ACM Bangalore Annual Conference"</f>
        <v>COMPUTE 2008 - The 1st ACM Bangalore Annual Conference</v>
      </c>
      <c r="B7425" s="8" t="str">
        <f>"9781595939500"</f>
        <v>9781595939500</v>
      </c>
      <c r="C7425" s="8" t="s">
        <v>21</v>
      </c>
    </row>
    <row r="7426" spans="1:3" x14ac:dyDescent="0.25">
      <c r="A7426" s="8" t="str">
        <f>"COMPUTE 2010 - The 3rd Annual ACM Bangalore Conference"</f>
        <v>COMPUTE 2010 - The 3rd Annual ACM Bangalore Conference</v>
      </c>
      <c r="B7426" s="8" t="str">
        <f>"9781450300018"</f>
        <v>9781450300018</v>
      </c>
      <c r="C7426" s="8" t="s">
        <v>21</v>
      </c>
    </row>
    <row r="7427" spans="1:3" x14ac:dyDescent="0.25">
      <c r="A7427" s="8" t="str">
        <f>"Compute 2011 - 4th Annual ACM Bangalore Conference"</f>
        <v>Compute 2011 - 4th Annual ACM Bangalore Conference</v>
      </c>
      <c r="B7427" s="8" t="str">
        <f>"9781450307505"</f>
        <v>9781450307505</v>
      </c>
      <c r="C7427" s="8" t="s">
        <v>21</v>
      </c>
    </row>
    <row r="7428" spans="1:3" x14ac:dyDescent="0.25">
      <c r="A7428" s="8" t="str">
        <f>"Compute 2013 - 6th ACM India Computing Convention: Next Generation Computing Paradigms and Technologies"</f>
        <v>Compute 2013 - 6th ACM India Computing Convention: Next Generation Computing Paradigms and Technologies</v>
      </c>
      <c r="B7428" s="8" t="str">
        <f>"9781450325455"</f>
        <v>9781450325455</v>
      </c>
      <c r="C7428" s="8" t="s">
        <v>21</v>
      </c>
    </row>
    <row r="7429" spans="1:3" x14ac:dyDescent="0.25">
      <c r="A7429" s="8" t="str">
        <f>"Computer Aided Architectural Design Futures 2005 - Proceedings of the 11th International CAAD Futures Conference"</f>
        <v>Computer Aided Architectural Design Futures 2005 - Proceedings of the 11th International CAAD Futures Conference</v>
      </c>
      <c r="B7429" s="8" t="str">
        <f>"9781402034602"</f>
        <v>9781402034602</v>
      </c>
      <c r="C7429" s="8" t="s">
        <v>162</v>
      </c>
    </row>
    <row r="7430" spans="1:3" x14ac:dyDescent="0.25">
      <c r="A7430" s="8" t="str">
        <f>"Computer and Information Sciences II - 26th International Symposium on Computer and Information Sciences, ISCIS 2011"</f>
        <v>Computer and Information Sciences II - 26th International Symposium on Computer and Information Sciences, ISCIS 2011</v>
      </c>
      <c r="B7430" s="8" t="str">
        <f>"-"</f>
        <v>-</v>
      </c>
      <c r="C7430" s="8" t="s">
        <v>162</v>
      </c>
    </row>
    <row r="7431" spans="1:3" x14ac:dyDescent="0.25">
      <c r="A7431" s="8" t="str">
        <f>"Computer and Information Sciences III - 27th International Symposium on Computer and Information Sciences, ISCIS 2012"</f>
        <v>Computer and Information Sciences III - 27th International Symposium on Computer and Information Sciences, ISCIS 2012</v>
      </c>
      <c r="B7431" s="8" t="str">
        <f>"-"</f>
        <v>-</v>
      </c>
      <c r="C7431" s="8" t="s">
        <v>162</v>
      </c>
    </row>
    <row r="7432" spans="1:3" x14ac:dyDescent="0.25">
      <c r="A7432" s="8" t="str">
        <f>"Computer Applications in the Minerals Industries"</f>
        <v>Computer Applications in the Minerals Industries</v>
      </c>
      <c r="B7432" s="8" t="str">
        <f>"9789058091741"</f>
        <v>9789058091741</v>
      </c>
      <c r="C7432" s="8" t="s">
        <v>60</v>
      </c>
    </row>
    <row r="7433" spans="1:3" x14ac:dyDescent="0.25">
      <c r="A7433" s="8" t="str">
        <f>"Computer Assistance in Orthopaedic Surgery"</f>
        <v>Computer Assistance in Orthopaedic Surgery</v>
      </c>
      <c r="B7433" s="8" t="str">
        <f>"9789038619408"</f>
        <v>9789038619408</v>
      </c>
      <c r="C7433" s="8" t="s">
        <v>1203</v>
      </c>
    </row>
    <row r="7434" spans="1:3" x14ac:dyDescent="0.25">
      <c r="A7434" s="8" t="str">
        <f>"Computer Games and Allied Technology 08, CGAT 08 - Animation, Multimedia, IPTV and Edutainment, Proceedings"</f>
        <v>Computer Games and Allied Technology 08, CGAT 08 - Animation, Multimedia, IPTV and Edutainment, Proceedings</v>
      </c>
      <c r="B7434" s="8" t="str">
        <f>"9789810806934"</f>
        <v>9789810806934</v>
      </c>
      <c r="C7434" s="8" t="s">
        <v>1722</v>
      </c>
    </row>
    <row r="7435" spans="1:3" x14ac:dyDescent="0.25">
      <c r="A7435" s="8" t="str">
        <f>"Computer Graphics, Imaging and Visualisation: New Advances, CGIV 2007"</f>
        <v>Computer Graphics, Imaging and Visualisation: New Advances, CGIV 2007</v>
      </c>
      <c r="B7435" s="8" t="str">
        <f>"9780769529288"</f>
        <v>9780769529288</v>
      </c>
      <c r="C7435" s="8" t="s">
        <v>9</v>
      </c>
    </row>
    <row r="7436" spans="1:3" x14ac:dyDescent="0.25">
      <c r="A7436" s="8" t="str">
        <f>"Computer Methods for Geomechanics: Frontiers and New Applications"</f>
        <v>Computer Methods for Geomechanics: Frontiers and New Applications</v>
      </c>
      <c r="B7436" s="8" t="str">
        <f>"-"</f>
        <v>-</v>
      </c>
      <c r="C7436" s="8" t="s">
        <v>1740</v>
      </c>
    </row>
    <row r="7437" spans="1:3" x14ac:dyDescent="0.25">
      <c r="A7437" s="8" t="str">
        <f>"Computer Science and Applications - Proceedings of the Asia-Pacific Conference on Computer Science and Applications, CSAC 2014"</f>
        <v>Computer Science and Applications - Proceedings of the Asia-Pacific Conference on Computer Science and Applications, CSAC 2014</v>
      </c>
      <c r="B7437" s="8" t="str">
        <f>"9781138028111"</f>
        <v>9781138028111</v>
      </c>
      <c r="C7437" s="8" t="s">
        <v>1635</v>
      </c>
    </row>
    <row r="7438" spans="1:3" x14ac:dyDescent="0.25">
      <c r="A7438" s="8" t="str">
        <f>"Computer Supported Collaborative Learning 2005: The Next 10 Years - Proceedings of the International Conference on Computer Supported Collaborative Learning 2005, CSCL 2005"</f>
        <v>Computer Supported Collaborative Learning 2005: The Next 10 Years - Proceedings of the International Conference on Computer Supported Collaborative Learning 2005, CSCL 2005</v>
      </c>
      <c r="B7438" s="8" t="str">
        <f>"9780805857825"</f>
        <v>9780805857825</v>
      </c>
      <c r="C7438" s="8" t="s">
        <v>1741</v>
      </c>
    </row>
    <row r="7439" spans="1:3" x14ac:dyDescent="0.25">
      <c r="A7439" s="8" t="str">
        <f>"Computer Supported Collaborative Learning Practices, CSCL 2009 Community Events Proceedings - 9th International Conference"</f>
        <v>Computer Supported Collaborative Learning Practices, CSCL 2009 Community Events Proceedings - 9th International Conference</v>
      </c>
      <c r="B7439" s="8" t="str">
        <f>"9781409285984"</f>
        <v>9781409285984</v>
      </c>
      <c r="C7439" s="8" t="s">
        <v>298</v>
      </c>
    </row>
    <row r="7440" spans="1:3" x14ac:dyDescent="0.25">
      <c r="A7440" s="8" t="str">
        <f>"Computer Supported Collaborative Learning Practices, CSCL 2009 Conference Proceedings - 9th International Conference"</f>
        <v>Computer Supported Collaborative Learning Practices, CSCL 2009 Conference Proceedings - 9th International Conference</v>
      </c>
      <c r="B7440" s="8" t="str">
        <f>"9781615841370"</f>
        <v>9781615841370</v>
      </c>
      <c r="C7440" s="8" t="s">
        <v>298</v>
      </c>
    </row>
    <row r="7441" spans="1:3" x14ac:dyDescent="0.25">
      <c r="A7441" s="8" t="str">
        <f>"Computer Technology in Welding and Manufacturing, 16th Int. Conf. and Mathematical Modelling and Information Technologies in Welding and Related Processes, 3rd Int. Conf. - Proc. of Joint Int. Conf."</f>
        <v>Computer Technology in Welding and Manufacturing, 16th Int. Conf. and Mathematical Modelling and Information Technologies in Welding and Related Processes, 3rd Int. Conf. - Proc. of Joint Int. Conf.</v>
      </c>
      <c r="B7441" s="8" t="str">
        <f>"9789668872051"</f>
        <v>9789668872051</v>
      </c>
      <c r="C7441" s="8" t="s">
        <v>1742</v>
      </c>
    </row>
    <row r="7442" spans="1:3" x14ac:dyDescent="0.25">
      <c r="A7442" s="8" t="str">
        <f>"Computer Vision for Interactive and Intelligent Environments 2005"</f>
        <v>Computer Vision for Interactive and Intelligent Environments 2005</v>
      </c>
      <c r="B7442" s="8" t="str">
        <f>"-"</f>
        <v>-</v>
      </c>
      <c r="C7442" s="8" t="s">
        <v>9</v>
      </c>
    </row>
    <row r="7443" spans="1:3" x14ac:dyDescent="0.25">
      <c r="A7443" s="8" t="str">
        <f>"Computer, Intelligent Computing and Education Technology - Selected Peer Reviewed Papers From 2014 International Conference on Computer, Intelligent Computing and Education Technology, CICET 2014"</f>
        <v>Computer, Intelligent Computing and Education Technology - Selected Peer Reviewed Papers From 2014 International Conference on Computer, Intelligent Computing and Education Technology, CICET 2014</v>
      </c>
      <c r="B7443" s="8" t="str">
        <f>"-"</f>
        <v>-</v>
      </c>
      <c r="C7443" s="8" t="s">
        <v>1619</v>
      </c>
    </row>
    <row r="7444" spans="1:3" x14ac:dyDescent="0.25">
      <c r="A7444" s="8" t="str">
        <f>"Computer-Aided Architectural Design Futures, CAADFutures 2007 - Proceedings of the 12th International CAADFutures Conference"</f>
        <v>Computer-Aided Architectural Design Futures, CAADFutures 2007 - Proceedings of the 12th International CAADFutures Conference</v>
      </c>
      <c r="B7444" s="8" t="str">
        <f>"9781402065279"</f>
        <v>9781402065279</v>
      </c>
      <c r="C7444" s="8" t="s">
        <v>162</v>
      </c>
    </row>
    <row r="7445" spans="1:3" x14ac:dyDescent="0.25">
      <c r="A7445" s="8" t="str">
        <f>"Computer-Aided Design of User Interfaces V - Proceedings of the 6th International Conference on Computer-Aided Design of User Interfaces, CADUI 2006"</f>
        <v>Computer-Aided Design of User Interfaces V - Proceedings of the 6th International Conference on Computer-Aided Design of User Interfaces, CADUI 2006</v>
      </c>
      <c r="B7445" s="8" t="str">
        <f>"9781402058196"</f>
        <v>9781402058196</v>
      </c>
      <c r="C7445" s="8" t="s">
        <v>162</v>
      </c>
    </row>
    <row r="7446" spans="1:3" x14ac:dyDescent="0.25">
      <c r="A7446" s="8" t="str">
        <f>"Computer-Aided Design of User Interfaces VI - Proceedings of the 7th International Conference on Computer-Aided Design of User Interfaces, CADUI 2008"</f>
        <v>Computer-Aided Design of User Interfaces VI - Proceedings of the 7th International Conference on Computer-Aided Design of User Interfaces, CADUI 2008</v>
      </c>
      <c r="B7446" s="8" t="str">
        <f>"9781848822054"</f>
        <v>9781848822054</v>
      </c>
      <c r="C7446" s="8" t="s">
        <v>162</v>
      </c>
    </row>
    <row r="7447" spans="1:3" x14ac:dyDescent="0.25">
      <c r="A7447" s="8" t="str">
        <f>"Computers and Computational Engineering in Control"</f>
        <v>Computers and Computational Engineering in Control</v>
      </c>
      <c r="B7447" s="8" t="str">
        <f>"9789608052123"</f>
        <v>9789608052123</v>
      </c>
      <c r="C7447" s="8" t="s">
        <v>553</v>
      </c>
    </row>
    <row r="7448" spans="1:3" x14ac:dyDescent="0.25">
      <c r="A7448" s="8" t="str">
        <f>"Computers and Education: E-Learning, from Theory to Practice"</f>
        <v>Computers and Education: E-Learning, from Theory to Practice</v>
      </c>
      <c r="B7448" s="8" t="str">
        <f>"9781402049132"</f>
        <v>9781402049132</v>
      </c>
      <c r="C7448" s="8" t="s">
        <v>162</v>
      </c>
    </row>
    <row r="7449" spans="1:3" x14ac:dyDescent="0.25">
      <c r="A7449" s="8" t="str">
        <f>"Computers in Agriculture and Natural Resources - Proceedings of the 4th World Congress"</f>
        <v>Computers in Agriculture and Natural Resources - Proceedings of the 4th World Congress</v>
      </c>
      <c r="B7449" s="8" t="str">
        <f>"9781892769558"</f>
        <v>9781892769558</v>
      </c>
      <c r="C7449" s="8" t="s">
        <v>140</v>
      </c>
    </row>
    <row r="7450" spans="1:3" x14ac:dyDescent="0.25">
      <c r="A7450" s="8" t="str">
        <f>"Computers in Sport"</f>
        <v>Computers in Sport</v>
      </c>
      <c r="B7450" s="8" t="str">
        <f>"9781845640644"</f>
        <v>9781845640644</v>
      </c>
      <c r="C7450" s="8" t="s">
        <v>1641</v>
      </c>
    </row>
    <row r="7451" spans="1:3" x14ac:dyDescent="0.25">
      <c r="A7451" s="8" t="str">
        <f>"Computing and Systems Technology Division 2014 - Core Programming Area at the 2014 AIChE Spring Meeting and 10th Global Congress on Process Safety"</f>
        <v>Computing and Systems Technology Division 2014 - Core Programming Area at the 2014 AIChE Spring Meeting and 10th Global Congress on Process Safety</v>
      </c>
      <c r="B7451" s="8" t="str">
        <f>"9781634390682"</f>
        <v>9781634390682</v>
      </c>
      <c r="C7451" s="8" t="s">
        <v>1219</v>
      </c>
    </row>
    <row r="7452" spans="1:3" x14ac:dyDescent="0.25">
      <c r="A7452" s="8" t="str">
        <f>"Computing in Civil and Building Engineering"</f>
        <v>Computing in Civil and Building Engineering</v>
      </c>
      <c r="B7452" s="8" t="str">
        <f>"9780784405130"</f>
        <v>9780784405130</v>
      </c>
      <c r="C7452" s="8" t="s">
        <v>111</v>
      </c>
    </row>
    <row r="7453" spans="1:3" x14ac:dyDescent="0.25">
      <c r="A7453" s="8" t="str">
        <f>"Computing in Civil and Building Engineering"</f>
        <v>Computing in Civil and Building Engineering</v>
      </c>
      <c r="B7453" s="8" t="str">
        <f>"9780784405130"</f>
        <v>9780784405130</v>
      </c>
      <c r="C7453" s="8" t="s">
        <v>111</v>
      </c>
    </row>
    <row r="7454" spans="1:3" x14ac:dyDescent="0.25">
      <c r="A7454" s="8" t="str">
        <f>"Computing in Civil and Building Engineering - Proceedings of the 2014 International Conference on Computing in Civil and Building Engineering"</f>
        <v>Computing in Civil and Building Engineering - Proceedings of the 2014 International Conference on Computing in Civil and Building Engineering</v>
      </c>
      <c r="B7454" s="8" t="str">
        <f>"9780784413616"</f>
        <v>9780784413616</v>
      </c>
      <c r="C7454" s="8" t="s">
        <v>111</v>
      </c>
    </row>
    <row r="7455" spans="1:3" x14ac:dyDescent="0.25">
      <c r="A7455" s="8" t="str">
        <f>"Computing in Civil Engineering - Proceedings of the 2013 ASCE International Workshop on Computing in Civil Engineering"</f>
        <v>Computing in Civil Engineering - Proceedings of the 2013 ASCE International Workshop on Computing in Civil Engineering</v>
      </c>
      <c r="B7455" s="8" t="str">
        <f>"9780784477908"</f>
        <v>9780784477908</v>
      </c>
      <c r="C7455" s="8" t="s">
        <v>111</v>
      </c>
    </row>
    <row r="7456" spans="1:3" x14ac:dyDescent="0.25">
      <c r="A7456" s="8" t="str">
        <f>"ComsWare 2011 - Proceedings of the 5th International Conference on Communication System Software and Middleware"</f>
        <v>ComsWare 2011 - Proceedings of the 5th International Conference on Communication System Software and Middleware</v>
      </c>
      <c r="B7456" s="8" t="str">
        <f>"9781450305600"</f>
        <v>9781450305600</v>
      </c>
      <c r="C7456" s="8" t="s">
        <v>21</v>
      </c>
    </row>
    <row r="7457" spans="1:3" x14ac:dyDescent="0.25">
      <c r="A7457" s="8" t="str">
        <f>"Concrc - Proceedings of Concrete Solutions, 4th International Conference on Concrete Repair"</f>
        <v>Concrc - Proceedings of Concrete Solutions, 4th International Conference on Concrete Repair</v>
      </c>
      <c r="B7457" s="8" t="str">
        <f>"9780415616225"</f>
        <v>9780415616225</v>
      </c>
      <c r="C7457" s="8" t="s">
        <v>96</v>
      </c>
    </row>
    <row r="7458" spans="1:3" x14ac:dyDescent="0.25">
      <c r="A7458" s="8" t="s">
        <v>1743</v>
      </c>
      <c r="B7458" s="8" t="str">
        <f>"9780784479346"</f>
        <v>9780784479346</v>
      </c>
      <c r="C7458" s="8" t="s">
        <v>111</v>
      </c>
    </row>
    <row r="7459" spans="1:3" x14ac:dyDescent="0.25">
      <c r="A7459" s="8" t="str">
        <f>"Concrete Repair, Rehabilitation and Retrofitting - Proceedings of the International Conference on Concrete Repair, Rehabilitation and Retrofitting, ICCRRR 2005"</f>
        <v>Concrete Repair, Rehabilitation and Retrofitting - Proceedings of the International Conference on Concrete Repair, Rehabilitation and Retrofitting, ICCRRR 2005</v>
      </c>
      <c r="B7459" s="8" t="str">
        <f>"9780415396547"</f>
        <v>9780415396547</v>
      </c>
      <c r="C7459" s="8" t="s">
        <v>1520</v>
      </c>
    </row>
    <row r="7460" spans="1:3" x14ac:dyDescent="0.25">
      <c r="A7460" s="8" t="str">
        <f>"Concrete Repair, Rehabilitation and Retrofitting II - Proceedings of the 2nd International Conference on Concrete Repair, Rehabilitation and Retrofitting, ICCRRR"</f>
        <v>Concrete Repair, Rehabilitation and Retrofitting II - Proceedings of the 2nd International Conference on Concrete Repair, Rehabilitation and Retrofitting, ICCRRR</v>
      </c>
      <c r="B7460" s="8" t="str">
        <f>"9780415468503"</f>
        <v>9780415468503</v>
      </c>
      <c r="C7460" s="8" t="s">
        <v>1637</v>
      </c>
    </row>
    <row r="7461" spans="1:3" x14ac:dyDescent="0.25">
      <c r="A7461" s="8" t="str">
        <f>"Concrete Repair, Rehabilitation and Retrofitting III - Proceedings of the 3rd International Conference on Concrete Repair, Rehabilitation and Retrofitting, ICCRRR 2012"</f>
        <v>Concrete Repair, Rehabilitation and Retrofitting III - Proceedings of the 3rd International Conference on Concrete Repair, Rehabilitation and Retrofitting, ICCRRR 2012</v>
      </c>
      <c r="B7461" s="8" t="str">
        <f>"9780415899529"</f>
        <v>9780415899529</v>
      </c>
      <c r="C7461" s="8" t="s">
        <v>1619</v>
      </c>
    </row>
    <row r="7462" spans="1:3" x14ac:dyDescent="0.25">
      <c r="A7462" s="8" t="str">
        <f>"Concrete under Severe Conditions: Environment and Loading - Proceedings of the 6th International Conference on Concrete under Severe Conditions, CONSEC'10"</f>
        <v>Concrete under Severe Conditions: Environment and Loading - Proceedings of the 6th International Conference on Concrete under Severe Conditions, CONSEC'10</v>
      </c>
      <c r="B7462" s="8" t="str">
        <f>"-"</f>
        <v>-</v>
      </c>
      <c r="C7462" s="8" t="s">
        <v>1637</v>
      </c>
    </row>
    <row r="7463" spans="1:3" x14ac:dyDescent="0.25">
      <c r="A7463" s="8" t="str">
        <f>"Condensed Matter Nuclear Science - Proceedings of the 12th International Conference on Cold Fusion, ICCF 2005"</f>
        <v>Condensed Matter Nuclear Science - Proceedings of the 12th International Conference on Cold Fusion, ICCF 2005</v>
      </c>
      <c r="B7463" s="8" t="str">
        <f>"9789812569011"</f>
        <v>9789812569011</v>
      </c>
      <c r="C7463" s="8" t="s">
        <v>157</v>
      </c>
    </row>
    <row r="7464" spans="1:3" x14ac:dyDescent="0.25">
      <c r="A7464" s="8" t="str">
        <f>"CoNEXT 2005 - Proceedings of the 2005 ACM Conference on Emerging Network Experiment and Technology"</f>
        <v>CoNEXT 2005 - Proceedings of the 2005 ACM Conference on Emerging Network Experiment and Technology</v>
      </c>
      <c r="B7464" s="8" t="str">
        <f>"9781595931979"</f>
        <v>9781595931979</v>
      </c>
      <c r="C7464" s="8" t="s">
        <v>21</v>
      </c>
    </row>
    <row r="7465" spans="1:3" x14ac:dyDescent="0.25">
      <c r="A7465" s="8" t="str">
        <f>"CoNEXT 2012 - Proceedings of the 2012 ACM Conference on Emerging Networking Experiments and Technologies"</f>
        <v>CoNEXT 2012 - Proceedings of the 2012 ACM Conference on Emerging Networking Experiments and Technologies</v>
      </c>
      <c r="B7465" s="8" t="str">
        <f>"9781450317757"</f>
        <v>9781450317757</v>
      </c>
      <c r="C7465" s="8" t="s">
        <v>21</v>
      </c>
    </row>
    <row r="7466" spans="1:3" x14ac:dyDescent="0.25">
      <c r="A7466" s="8" t="str">
        <f>"CoNEXT 2013 - Proceedings of the 2013 ACM International Conference on Emerging Networking Experiments and Technologies"</f>
        <v>CoNEXT 2013 - Proceedings of the 2013 ACM International Conference on Emerging Networking Experiments and Technologies</v>
      </c>
      <c r="B7466" s="8" t="str">
        <f>"9781450321013"</f>
        <v>9781450321013</v>
      </c>
      <c r="C7466" s="8" t="s">
        <v>21</v>
      </c>
    </row>
    <row r="7467" spans="1:3" x14ac:dyDescent="0.25">
      <c r="A7467" s="8" t="str">
        <f>"CoNEXT 2014 - Proceedings of the 2014 Conference on Emerging Networking Experiments and Technologies"</f>
        <v>CoNEXT 2014 - Proceedings of the 2014 Conference on Emerging Networking Experiments and Technologies</v>
      </c>
      <c r="B7467" s="8" t="str">
        <f>"9781450332798"</f>
        <v>9781450332798</v>
      </c>
      <c r="C7467" s="8" t="s">
        <v>1235</v>
      </c>
    </row>
    <row r="7468" spans="1:3" x14ac:dyDescent="0.25">
      <c r="A7468" s="8" t="str">
        <f>"CoNEXT Student 2012 - Proceedings of the ACM Conference on the 2012 CoNEXT Student Workshop"</f>
        <v>CoNEXT Student 2012 - Proceedings of the ACM Conference on the 2012 CoNEXT Student Workshop</v>
      </c>
      <c r="B7468" s="8" t="str">
        <f>"9781450317757"</f>
        <v>9781450317757</v>
      </c>
      <c r="C7468" s="8" t="s">
        <v>21</v>
      </c>
    </row>
    <row r="7469" spans="1:3" x14ac:dyDescent="0.25">
      <c r="A7469" s="8" t="str">
        <f>"CoNEXT Student Workhop 2013 - Proceedings of the 2013 Workshop"</f>
        <v>CoNEXT Student Workhop 2013 - Proceedings of the 2013 Workshop</v>
      </c>
      <c r="B7469" s="8" t="str">
        <f>"9781450325752"</f>
        <v>9781450325752</v>
      </c>
      <c r="C7469" s="8" t="s">
        <v>21</v>
      </c>
    </row>
    <row r="7470" spans="1:3" x14ac:dyDescent="0.25">
      <c r="A7470" s="8" t="str">
        <f>"CoNEXT Student Workshop 2014 - Proceedings of the 2014 Workshop"</f>
        <v>CoNEXT Student Workshop 2014 - Proceedings of the 2014 Workshop</v>
      </c>
      <c r="B7470" s="8" t="str">
        <f>"9781450332828"</f>
        <v>9781450332828</v>
      </c>
      <c r="C7470" s="8" t="s">
        <v>1235</v>
      </c>
    </row>
    <row r="7471" spans="1:3" x14ac:dyDescent="0.25">
      <c r="A7471" s="8" t="str">
        <f>"CoNEXT UrbaNe 2012 - Proceedings of the ACM Conference on the 1st Workshop on Urban Networking"</f>
        <v>CoNEXT UrbaNe 2012 - Proceedings of the ACM Conference on the 1st Workshop on Urban Networking</v>
      </c>
      <c r="B7471" s="8" t="str">
        <f>"9781450317818"</f>
        <v>9781450317818</v>
      </c>
      <c r="C7471" s="8" t="s">
        <v>21</v>
      </c>
    </row>
    <row r="7472" spans="1:3" x14ac:dyDescent="0.25">
      <c r="A7472" s="8" t="str">
        <f>"CoNEXT'09 - Proceedings of the 2009 ACM Conference on Emerging Networking Experiments and Technologies"</f>
        <v>CoNEXT'09 - Proceedings of the 2009 ACM Conference on Emerging Networking Experiments and Technologies</v>
      </c>
      <c r="B7472" s="8" t="str">
        <f>"9781605586366"</f>
        <v>9781605586366</v>
      </c>
      <c r="C7472" s="8" t="s">
        <v>21</v>
      </c>
    </row>
    <row r="7473" spans="1:3" x14ac:dyDescent="0.25">
      <c r="A7473" s="8" t="str">
        <f>"CONFENIS 2013 - 7th International Conference on Research and Practical Issues of Enterprise Information Systems"</f>
        <v>CONFENIS 2013 - 7th International Conference on Research and Practical Issues of Enterprise Information Systems</v>
      </c>
      <c r="B7473" s="8" t="str">
        <f>"9783990330814"</f>
        <v>9783990330814</v>
      </c>
      <c r="C7473" s="8" t="s">
        <v>1744</v>
      </c>
    </row>
    <row r="7474" spans="1:3" x14ac:dyDescent="0.25">
      <c r="A7474" s="8" t="str">
        <f>"Conference and Exhibition - 2013 International Conference on New Concepts in Smart Cities: Fostering Public and Private Alliances, SmartMILE 2013"</f>
        <v>Conference and Exhibition - 2013 International Conference on New Concepts in Smart Cities: Fostering Public and Private Alliances, SmartMILE 2013</v>
      </c>
      <c r="B7474" s="8" t="str">
        <f>"9781479929115"</f>
        <v>9781479929115</v>
      </c>
      <c r="C7474" s="8" t="s">
        <v>9</v>
      </c>
    </row>
    <row r="7475" spans="1:3" x14ac:dyDescent="0.25">
      <c r="A7475" s="8" t="str">
        <f>"Conference and Exhibition - 4th Annual Conference on Scalable Vector Graphics, SVG Open 2005"</f>
        <v>Conference and Exhibition - 4th Annual Conference on Scalable Vector Graphics, SVG Open 2005</v>
      </c>
      <c r="B7475" s="8" t="str">
        <f>"-"</f>
        <v>-</v>
      </c>
      <c r="C7475" s="8" t="s">
        <v>1745</v>
      </c>
    </row>
    <row r="7476" spans="1:3" x14ac:dyDescent="0.25">
      <c r="A7476" s="8" t="str">
        <f>"Conference and Exhibition - 5th Annual Conference on Scalable Vector Graphics, SVG Open 2007"</f>
        <v>Conference and Exhibition - 5th Annual Conference on Scalable Vector Graphics, SVG Open 2007</v>
      </c>
      <c r="B7476" s="8" t="str">
        <f>"-"</f>
        <v>-</v>
      </c>
      <c r="C7476" s="8" t="s">
        <v>1745</v>
      </c>
    </row>
    <row r="7477" spans="1:3" x14ac:dyDescent="0.25">
      <c r="A7477" s="8" t="str">
        <f>"Conference Digest - 24th International Conference on Field Programmable Logic and Applications, FPL 2014"</f>
        <v>Conference Digest - 24th International Conference on Field Programmable Logic and Applications, FPL 2014</v>
      </c>
      <c r="B7477" s="8" t="str">
        <f>"9783000446450"</f>
        <v>9783000446450</v>
      </c>
      <c r="C7477" s="8" t="s">
        <v>105</v>
      </c>
    </row>
    <row r="7478" spans="1:3" x14ac:dyDescent="0.25">
      <c r="A7478" s="8" t="str">
        <f>"Conference Digest - 27th International Conference on Infrared and Millimeter Waves, IRMMW 2002"</f>
        <v>Conference Digest - 27th International Conference on Infrared and Millimeter Waves, IRMMW 2002</v>
      </c>
      <c r="B7478" s="8" t="str">
        <f>"9780780374232"</f>
        <v>9780780374232</v>
      </c>
      <c r="C7478" s="8" t="s">
        <v>105</v>
      </c>
    </row>
    <row r="7479" spans="1:3" x14ac:dyDescent="0.25">
      <c r="A7479" s="8" t="str">
        <f>"Conference Digest of the 2004 Joint 29th International Conference on Infrared and Millimeter Waves and 12th International Conference on Terahertz Electronics"</f>
        <v>Conference Digest of the 2004 Joint 29th International Conference on Infrared and Millimeter Waves and 12th International Conference on Terahertz Electronics</v>
      </c>
      <c r="B7479" s="8" t="str">
        <f>"9780780384903"</f>
        <v>9780780384903</v>
      </c>
      <c r="C7479" s="8" t="s">
        <v>105</v>
      </c>
    </row>
    <row r="7480" spans="1:3" x14ac:dyDescent="0.25">
      <c r="A7480" s="8" t="str">
        <f>"Conference Internationale: Nouvelles Technologies de la Repartition - Colloque Francophone sur l'Ingenierie des Protocoles, NOTERE/CFIP 2012"</f>
        <v>Conference Internationale: Nouvelles Technologies de la Repartition - Colloque Francophone sur l'Ingenierie des Protocoles, NOTERE/CFIP 2012</v>
      </c>
      <c r="B7480" s="8" t="str">
        <f>"9782364930452"</f>
        <v>9782364930452</v>
      </c>
      <c r="C7480" s="8" t="s">
        <v>536</v>
      </c>
    </row>
    <row r="7481" spans="1:3" x14ac:dyDescent="0.25">
      <c r="A7481" s="8" t="str">
        <f>"Conference of the Computing and Systems Technology Division 2007, Held at the 2007 AIChE Spring National Meeting"</f>
        <v>Conference of the Computing and Systems Technology Division 2007, Held at the 2007 AIChE Spring National Meeting</v>
      </c>
      <c r="B7481" s="8" t="str">
        <f>"9781604233636"</f>
        <v>9781604233636</v>
      </c>
      <c r="C7481" s="8" t="s">
        <v>1219</v>
      </c>
    </row>
    <row r="7482" spans="1:3" x14ac:dyDescent="0.25">
      <c r="A7482" s="8" t="str">
        <f>"Conference of the Nuclear Engineering Division 2007, Held at the 2007 AIChE Spring National Meeting"</f>
        <v>Conference of the Nuclear Engineering Division 2007, Held at the 2007 AIChE Spring National Meeting</v>
      </c>
      <c r="B7482" s="8" t="str">
        <f>"9781604233650"</f>
        <v>9781604233650</v>
      </c>
      <c r="C7482" s="8" t="s">
        <v>1219</v>
      </c>
    </row>
    <row r="7483" spans="1:3" x14ac:dyDescent="0.25">
      <c r="A7483" s="8" t="str">
        <f>"Conference of the Process Development Division 2007, Held at the 2007 AIChE Spring National Meeting"</f>
        <v>Conference of the Process Development Division 2007, Held at the 2007 AIChE Spring National Meeting</v>
      </c>
      <c r="B7483" s="8" t="str">
        <f>"9781604233643"</f>
        <v>9781604233643</v>
      </c>
      <c r="C7483" s="8" t="s">
        <v>1219</v>
      </c>
    </row>
    <row r="7484" spans="1:3" x14ac:dyDescent="0.25">
      <c r="A7484" s="8" t="str">
        <f>"Conference on Aviation, Range, and Aerospace Meteorology"</f>
        <v>Conference on Aviation, Range, and Aerospace Meteorology</v>
      </c>
      <c r="B7484" s="8" t="str">
        <f>"-"</f>
        <v>-</v>
      </c>
      <c r="C7484" s="8" t="s">
        <v>225</v>
      </c>
    </row>
    <row r="7485" spans="1:3" x14ac:dyDescent="0.25">
      <c r="A7485" s="8" t="str">
        <f>"Conference on Computing Frontiers - Proceedings of the 2008 Conference on Computing Frontiers, CF'08"</f>
        <v>Conference on Computing Frontiers - Proceedings of the 2008 Conference on Computing Frontiers, CF'08</v>
      </c>
      <c r="B7485" s="8" t="str">
        <f>"9781605580777"</f>
        <v>9781605580777</v>
      </c>
      <c r="C7485" s="8" t="s">
        <v>21</v>
      </c>
    </row>
    <row r="7486" spans="1:3" x14ac:dyDescent="0.25">
      <c r="A7486" s="8" t="str">
        <f>"Conference on Computing Frontiers - Proceedings of the 2008 Workshop on Memory Access on Future Processors: A Solved Problem MAW'08"</f>
        <v>Conference on Computing Frontiers - Proceedings of the 2008 Workshop on Memory Access on Future Processors: A Solved Problem MAW'08</v>
      </c>
      <c r="B7486" s="8" t="str">
        <f>"9781605580913"</f>
        <v>9781605580913</v>
      </c>
      <c r="C7486" s="8" t="s">
        <v>21</v>
      </c>
    </row>
    <row r="7487" spans="1:3" x14ac:dyDescent="0.25">
      <c r="A7487" s="8" t="str">
        <f>"Conference on Computing Frontiers - Proceedings of the 2008 Workshop on Radiation Effects and Fault Tolerance in Nanometer Technologies, WREFT 2008"</f>
        <v>Conference on Computing Frontiers - Proceedings of the 2008 Workshop on Radiation Effects and Fault Tolerance in Nanometer Technologies, WREFT 2008</v>
      </c>
      <c r="B7487" s="8" t="str">
        <f>"9781605580920"</f>
        <v>9781605580920</v>
      </c>
      <c r="C7487" s="8" t="s">
        <v>21</v>
      </c>
    </row>
    <row r="7488" spans="1:3" x14ac:dyDescent="0.25">
      <c r="A7488" s="8" t="str">
        <f>"Conference on Control and Fault-Tolerant Systems, SysTol'10 - Final Program and Book of Abstracts"</f>
        <v>Conference on Control and Fault-Tolerant Systems, SysTol'10 - Final Program and Book of Abstracts</v>
      </c>
      <c r="B7488" s="8" t="str">
        <f>"9781424481545"</f>
        <v>9781424481545</v>
      </c>
      <c r="C7488" s="8" t="s">
        <v>9</v>
      </c>
    </row>
    <row r="7489" spans="1:3" x14ac:dyDescent="0.25">
      <c r="A7489" s="8" t="str">
        <f>"Conference on Emerging Energy Frontiers in Research and Innovation, Topical Conference at the 2008 AIChE Spring National Meeting"</f>
        <v>Conference on Emerging Energy Frontiers in Research and Innovation, Topical Conference at the 2008 AIChE Spring National Meeting</v>
      </c>
      <c r="B7489" s="8" t="str">
        <f>"9781605602165"</f>
        <v>9781605602165</v>
      </c>
      <c r="C7489" s="8" t="s">
        <v>1219</v>
      </c>
    </row>
    <row r="7490" spans="1:3" x14ac:dyDescent="0.25">
      <c r="A7490" s="8" t="str">
        <f>"Conference on Engineering Sciences and Fundamentals 2007, Held at the 2007 AIChE Spring National Meeting"</f>
        <v>Conference on Engineering Sciences and Fundamentals 2007, Held at the 2007 AIChE Spring National Meeting</v>
      </c>
      <c r="B7490" s="8" t="str">
        <f>"9781604233629"</f>
        <v>9781604233629</v>
      </c>
      <c r="C7490" s="8" t="s">
        <v>1219</v>
      </c>
    </row>
    <row r="7491" spans="1:3" x14ac:dyDescent="0.25">
      <c r="A7491" s="8" t="str">
        <f>"Conference on Engineering Sciences and Fundamentals, Presentations at the 2008 AIChE Spring National Meeting"</f>
        <v>Conference on Engineering Sciences and Fundamentals, Presentations at the 2008 AIChE Spring National Meeting</v>
      </c>
      <c r="B7491" s="8" t="str">
        <f>"9781605602172"</f>
        <v>9781605602172</v>
      </c>
      <c r="C7491" s="8" t="s">
        <v>1219</v>
      </c>
    </row>
    <row r="7492" spans="1:3" x14ac:dyDescent="0.25">
      <c r="A7492" s="8" t="str">
        <f>"Conference on Hypertext and Hypermedia - Proceedings of the Hypertext 2008 Workshop on Collaboration and Collective Intelligence 2008, WebScience'08"</f>
        <v>Conference on Hypertext and Hypermedia - Proceedings of the Hypertext 2008 Workshop on Collaboration and Collective Intelligence 2008, WebScience'08</v>
      </c>
      <c r="B7492" s="8" t="str">
        <f>"-"</f>
        <v>-</v>
      </c>
      <c r="C7492" s="8" t="s">
        <v>21</v>
      </c>
    </row>
    <row r="7493" spans="1:3" x14ac:dyDescent="0.25">
      <c r="A7493" s="8" t="str">
        <f>"Conference on Hypertext and Hypermedia - Proceedings of the Hypertext 2008 Workshop on Creating out of the Machine: Hypertext, Hypermedia, and Web Artists Explore the Craft 2008, Creating'08"</f>
        <v>Conference on Hypertext and Hypermedia - Proceedings of the Hypertext 2008 Workshop on Creating out of the Machine: Hypertext, Hypermedia, and Web Artists Explore the Craft 2008, Creating'08</v>
      </c>
      <c r="B7493" s="8" t="str">
        <f>"-"</f>
        <v>-</v>
      </c>
      <c r="C7493" s="8" t="s">
        <v>21</v>
      </c>
    </row>
    <row r="7494" spans="1:3" x14ac:dyDescent="0.25">
      <c r="A7494" s="8" t="str">
        <f>"Conference on Lasers and Electro-Optics and 2006 Quantum Electronics and Laser Science Conference, CLEO/QELS 2006"</f>
        <v>Conference on Lasers and Electro-Optics and 2006 Quantum Electronics and Laser Science Conference, CLEO/QELS 2006</v>
      </c>
      <c r="B7494" s="8" t="str">
        <f>"9781557528131"</f>
        <v>9781557528131</v>
      </c>
      <c r="C7494" s="8" t="s">
        <v>9</v>
      </c>
    </row>
    <row r="7495" spans="1:3" x14ac:dyDescent="0.25">
      <c r="A7495" s="8" t="str">
        <f>"Conference on Lasers and Electro-Optics, 2007, CLEO 2007"</f>
        <v>Conference on Lasers and Electro-Optics, 2007, CLEO 2007</v>
      </c>
      <c r="B7495" s="8" t="str">
        <f>"9781557528346"</f>
        <v>9781557528346</v>
      </c>
      <c r="C7495" s="8" t="s">
        <v>9</v>
      </c>
    </row>
    <row r="7496" spans="1:3" x14ac:dyDescent="0.25">
      <c r="A7496" s="8" t="str">
        <f>"Conference on Nuclear Training and Education 2011, CONTE 2011"</f>
        <v>Conference on Nuclear Training and Education 2011, CONTE 2011</v>
      </c>
      <c r="B7496" s="8" t="str">
        <f>"9781617828492"</f>
        <v>9781617828492</v>
      </c>
      <c r="C7496" s="8" t="s">
        <v>453</v>
      </c>
    </row>
    <row r="7497" spans="1:3" x14ac:dyDescent="0.25">
      <c r="A7497" s="8" t="str">
        <f>"Conference on Nuclear Training and Education 2013, CONTE 2013: An International Forum for Discussion of Issues Facing Nuclear Energy Training and Education"</f>
        <v>Conference on Nuclear Training and Education 2013, CONTE 2013: An International Forum for Discussion of Issues Facing Nuclear Energy Training and Education</v>
      </c>
      <c r="B7497" s="8" t="str">
        <f>"9781627480130"</f>
        <v>9781627480130</v>
      </c>
      <c r="C7497" s="8" t="s">
        <v>453</v>
      </c>
    </row>
    <row r="7498" spans="1:3" x14ac:dyDescent="0.25">
      <c r="A7498" s="8" t="str">
        <f>"Conference on Nuclear Training and Education 2015, CONTE 2015"</f>
        <v>Conference on Nuclear Training and Education 2015, CONTE 2015</v>
      </c>
      <c r="B7498" s="8" t="str">
        <f>"9781510801868"</f>
        <v>9781510801868</v>
      </c>
      <c r="C7498" s="8" t="s">
        <v>453</v>
      </c>
    </row>
    <row r="7499" spans="1:3" x14ac:dyDescent="0.25">
      <c r="A7499" s="8" t="str">
        <f>"Conference on Satellite Meteorology and Oceanography"</f>
        <v>Conference on Satellite Meteorology and Oceanography</v>
      </c>
      <c r="B7499" s="8" t="str">
        <f>"-"</f>
        <v>-</v>
      </c>
      <c r="C7499" s="8" t="s">
        <v>225</v>
      </c>
    </row>
    <row r="7500" spans="1:3" x14ac:dyDescent="0.25">
      <c r="A7500" s="8" t="str">
        <f>"Conference on Sustainability: Lessons, Actions and Outlook, Topical Conference at the 2008 AIChE Spring National Meeting"</f>
        <v>Conference on Sustainability: Lessons, Actions and Outlook, Topical Conference at the 2008 AIChE Spring National Meeting</v>
      </c>
      <c r="B7500" s="8" t="str">
        <f>"9781605602158"</f>
        <v>9781605602158</v>
      </c>
      <c r="C7500" s="8" t="s">
        <v>1219</v>
      </c>
    </row>
    <row r="7501" spans="1:3" x14ac:dyDescent="0.25">
      <c r="A7501" s="8" t="str">
        <f>"Conference on Theory and Practice of Information Technologies - Applications and Theory, ITAT 2012 - Proceedings"</f>
        <v>Conference on Theory and Practice of Information Technologies - Applications and Theory, ITAT 2012 - Proceedings</v>
      </c>
      <c r="B7501" s="8" t="str">
        <f>"9788097114404"</f>
        <v>9788097114404</v>
      </c>
      <c r="C7501" s="8" t="s">
        <v>1746</v>
      </c>
    </row>
    <row r="7502" spans="1:3" x14ac:dyDescent="0.25">
      <c r="A7502" s="8" t="str">
        <f>"Conference Papers - Fire and Materials 2005"</f>
        <v>Conference Papers - Fire and Materials 2005</v>
      </c>
      <c r="B7502" s="8" t="str">
        <f>"-"</f>
        <v>-</v>
      </c>
      <c r="C7502" s="8" t="s">
        <v>416</v>
      </c>
    </row>
    <row r="7503" spans="1:3" x14ac:dyDescent="0.25">
      <c r="A7503" s="8" t="str">
        <f>"Conference Proceeding - 2014 IEEE International Conference on Power and Energy, PECon 2014"</f>
        <v>Conference Proceeding - 2014 IEEE International Conference on Power and Energy, PECon 2014</v>
      </c>
      <c r="B7503" s="8" t="str">
        <f>"9781479972975"</f>
        <v>9781479972975</v>
      </c>
      <c r="C7503" s="8" t="s">
        <v>105</v>
      </c>
    </row>
    <row r="7504" spans="1:3" x14ac:dyDescent="0.25">
      <c r="A7504" s="8" t="str">
        <f>"Conference Proceeding - 2015 International Conference on Advances in Computer Engineering and Applications, ICACEA 2015"</f>
        <v>Conference Proceeding - 2015 International Conference on Advances in Computer Engineering and Applications, ICACEA 2015</v>
      </c>
      <c r="B7504" s="8" t="str">
        <f>"9781467369114"</f>
        <v>9781467369114</v>
      </c>
      <c r="C7504" s="8" t="s">
        <v>105</v>
      </c>
    </row>
    <row r="7505" spans="1:3" x14ac:dyDescent="0.25">
      <c r="A7505" s="8" t="str">
        <f>"Conference Proceeding - 4th International Conference, TAE 2010: Trends in Agricultural Engineering 2010"</f>
        <v>Conference Proceeding - 4th International Conference, TAE 2010: Trends in Agricultural Engineering 2010</v>
      </c>
      <c r="B7505" s="8" t="str">
        <f>"9788021320888"</f>
        <v>9788021320888</v>
      </c>
      <c r="C7505" s="8" t="s">
        <v>1747</v>
      </c>
    </row>
    <row r="7506" spans="1:3" x14ac:dyDescent="0.25">
      <c r="A7506" s="8" t="str">
        <f>"Conference Proceeding - 5th International Conference, TAE 2013: Trends in Agricultural Engineering 2013"</f>
        <v>Conference Proceeding - 5th International Conference, TAE 2013: Trends in Agricultural Engineering 2013</v>
      </c>
      <c r="B7506" s="8" t="str">
        <f>"9788021323889"</f>
        <v>9788021323889</v>
      </c>
      <c r="C7506" s="8" t="s">
        <v>1747</v>
      </c>
    </row>
    <row r="7507" spans="1:3" x14ac:dyDescent="0.25">
      <c r="A7507" s="8" t="str">
        <f>"Conference Proceeding - IEEE International Conference on Networking, Sensing and Control"</f>
        <v>Conference Proceeding - IEEE International Conference on Networking, Sensing and Control</v>
      </c>
      <c r="B7507" s="8" t="str">
        <f>"9780780381933"</f>
        <v>9780780381933</v>
      </c>
      <c r="C7507" s="8" t="s">
        <v>105</v>
      </c>
    </row>
    <row r="7508" spans="1:3" x14ac:dyDescent="0.25">
      <c r="A7508" s="8" t="str">
        <f>"Conference Proceeding: 2012 - International Conference on Management Issues in Emerging Economies, ICMIEE 2012"</f>
        <v>Conference Proceeding: 2012 - International Conference on Management Issues in Emerging Economies, ICMIEE 2012</v>
      </c>
      <c r="B7508" s="8" t="str">
        <f>"9788184247596"</f>
        <v>9788184247596</v>
      </c>
      <c r="C7508" s="8" t="s">
        <v>9</v>
      </c>
    </row>
    <row r="7509" spans="1:3" x14ac:dyDescent="0.25">
      <c r="A7509" s="8" t="str">
        <f>"Conference Proceedings - 10th Conference on Ph. D. Research in Microelectronics and Electronics, PRIME 2014"</f>
        <v>Conference Proceedings - 10th Conference on Ph. D. Research in Microelectronics and Electronics, PRIME 2014</v>
      </c>
      <c r="B7509" s="8" t="str">
        <f>"9781479949946"</f>
        <v>9781479949946</v>
      </c>
      <c r="C7509" s="8" t="s">
        <v>105</v>
      </c>
    </row>
    <row r="7510" spans="1:3" x14ac:dyDescent="0.25">
      <c r="A7510" s="8" t="str">
        <f>"Conference Proceedings - 10th International Conference on Advanced Semiconductor Devices and Microsystems, ASDAM 2014"</f>
        <v>Conference Proceedings - 10th International Conference on Advanced Semiconductor Devices and Microsystems, ASDAM 2014</v>
      </c>
      <c r="B7510" s="8" t="str">
        <f>"9781479954742"</f>
        <v>9781479954742</v>
      </c>
      <c r="C7510" s="8" t="s">
        <v>105</v>
      </c>
    </row>
    <row r="7511" spans="1:3" x14ac:dyDescent="0.25">
      <c r="A7511" s="8" t="str">
        <f>"Conference Proceedings - 11th International Conference on Laser and Fiber-Optical Networks Modeling, LFNM 2011"</f>
        <v>Conference Proceedings - 11th International Conference on Laser and Fiber-Optical Networks Modeling, LFNM 2011</v>
      </c>
      <c r="B7511" s="8" t="str">
        <f>"9781612848136"</f>
        <v>9781612848136</v>
      </c>
      <c r="C7511" s="8" t="s">
        <v>9</v>
      </c>
    </row>
    <row r="7512" spans="1:3" x14ac:dyDescent="0.25">
      <c r="A7512" s="8" t="str">
        <f>"Conference Proceedings - 12th International Conference on Laser and Fiber-Optical Networks Modeling, LFNM 2013"</f>
        <v>Conference Proceedings - 12th International Conference on Laser and Fiber-Optical Networks Modeling, LFNM 2013</v>
      </c>
      <c r="B7512" s="8" t="str">
        <f>"9781479901593"</f>
        <v>9781479901593</v>
      </c>
      <c r="C7512" s="8" t="s">
        <v>9</v>
      </c>
    </row>
    <row r="7513" spans="1:3" x14ac:dyDescent="0.25">
      <c r="A7513" s="8" t="str">
        <f>"Conference Proceedings - 14th International Conference of the European Society for Precision Engineering and Nanotechnology, EUSPEN 2014"</f>
        <v>Conference Proceedings - 14th International Conference of the European Society for Precision Engineering and Nanotechnology, EUSPEN 2014</v>
      </c>
      <c r="B7513" s="8" t="str">
        <f>"-"</f>
        <v>-</v>
      </c>
      <c r="C7513" s="8" t="s">
        <v>1748</v>
      </c>
    </row>
    <row r="7514" spans="1:3" x14ac:dyDescent="0.25">
      <c r="A7514" s="8" t="str">
        <f>"Conference Proceedings - 1st European Radar Conference, EuRAD"</f>
        <v>Conference Proceedings - 1st European Radar Conference, EuRAD</v>
      </c>
      <c r="B7514" s="8" t="str">
        <f>"9781580539937"</f>
        <v>9781580539937</v>
      </c>
      <c r="C7514" s="8" t="s">
        <v>1749</v>
      </c>
    </row>
    <row r="7515" spans="1:3" x14ac:dyDescent="0.25">
      <c r="A7515" s="8" t="str">
        <f>"Conference Proceedings - 1st Transdisciplinary Conference on Distributed Diagnosis and Home Healthcare, D2H2 2006"</f>
        <v>Conference Proceedings - 1st Transdisciplinary Conference on Distributed Diagnosis and Home Healthcare, D2H2 2006</v>
      </c>
      <c r="B7515" s="8" t="str">
        <f>"-"</f>
        <v>-</v>
      </c>
      <c r="C7515" s="8" t="s">
        <v>9</v>
      </c>
    </row>
    <row r="7516" spans="1:3" x14ac:dyDescent="0.25">
      <c r="A7516" s="8" t="str">
        <f>"Conference Proceedings - 2007 IEEE International Workshop on Antenna Technology: Small and Smart Antennas Metamaterials and Applications, iWAT 2007"</f>
        <v>Conference Proceedings - 2007 IEEE International Workshop on Antenna Technology: Small and Smart Antennas Metamaterials and Applications, iWAT 2007</v>
      </c>
      <c r="B7516" s="8" t="str">
        <f>"9781424410880"</f>
        <v>9781424410880</v>
      </c>
      <c r="C7516" s="8" t="s">
        <v>9</v>
      </c>
    </row>
    <row r="7517" spans="1:3" x14ac:dyDescent="0.25">
      <c r="A7517" s="8" t="str">
        <f>"Conference Proceedings - 2011 IEEE 2nd International Conference on Photonics, ICP 2011"</f>
        <v>Conference Proceedings - 2011 IEEE 2nd International Conference on Photonics, ICP 2011</v>
      </c>
      <c r="B7517" s="8" t="str">
        <f>"9781612842646"</f>
        <v>9781612842646</v>
      </c>
      <c r="C7517" s="8" t="s">
        <v>9</v>
      </c>
    </row>
    <row r="7518" spans="1:3" x14ac:dyDescent="0.25">
      <c r="A7518" s="8" t="str">
        <f>"Conference Proceedings - 2012 16th International Symposium on Electromagnetic Launch Technology, EML 2012"</f>
        <v>Conference Proceedings - 2012 16th International Symposium on Electromagnetic Launch Technology, EML 2012</v>
      </c>
      <c r="B7518" s="8" t="str">
        <f>"9781467303057"</f>
        <v>9781467303057</v>
      </c>
      <c r="C7518" s="8" t="s">
        <v>9</v>
      </c>
    </row>
    <row r="7519" spans="1:3" x14ac:dyDescent="0.25">
      <c r="A7519" s="8" t="str">
        <f>"Conference Proceedings - 2012 IEEE 7th International Power Electronics and Motion Control Conference - ECCE Asia, IPEMC 2012"</f>
        <v>Conference Proceedings - 2012 IEEE 7th International Power Electronics and Motion Control Conference - ECCE Asia, IPEMC 2012</v>
      </c>
      <c r="B7519" s="8" t="str">
        <f>"9781457720864"</f>
        <v>9781457720864</v>
      </c>
      <c r="C7519" s="8" t="s">
        <v>9</v>
      </c>
    </row>
    <row r="7520" spans="1:3" x14ac:dyDescent="0.25">
      <c r="A7520" s="8" t="str">
        <f>"Conference Proceedings - 2012 International Conference on Actual Problems of Electron Devices Engineering, APEDE 2012"</f>
        <v>Conference Proceedings - 2012 International Conference on Actual Problems of Electron Devices Engineering, APEDE 2012</v>
      </c>
      <c r="B7520" s="8" t="str">
        <f>"9781467320948"</f>
        <v>9781467320948</v>
      </c>
      <c r="C7520" s="8" t="s">
        <v>9</v>
      </c>
    </row>
    <row r="7521" spans="1:3" x14ac:dyDescent="0.25">
      <c r="A7521" s="8" t="str">
        <f>"Conference Proceedings - 2013 2nd National Conference on Information Assurance, NCIA 2013"</f>
        <v>Conference Proceedings - 2013 2nd National Conference on Information Assurance, NCIA 2013</v>
      </c>
      <c r="B7521" s="8" t="str">
        <f>"9781479912889"</f>
        <v>9781479912889</v>
      </c>
      <c r="C7521" s="8" t="s">
        <v>9</v>
      </c>
    </row>
    <row r="7522" spans="1:3" x14ac:dyDescent="0.25">
      <c r="A7522" s="8" t="str">
        <f>"Conference Proceedings - 2014 IEEE Games, Media, Entertainment Conference, IEEE GEM 2014"</f>
        <v>Conference Proceedings - 2014 IEEE Games, Media, Entertainment Conference, IEEE GEM 2014</v>
      </c>
      <c r="B7522" s="8" t="str">
        <f>"9781479975464"</f>
        <v>9781479975464</v>
      </c>
      <c r="C7522" s="8" t="s">
        <v>105</v>
      </c>
    </row>
    <row r="7523" spans="1:3" x14ac:dyDescent="0.25">
      <c r="A7523" s="8" t="str">
        <f>"Conference Proceedings - 2014 IEEE MTT-S International Microwave Workshop Series on: RF and Wireless Technologies for Biomedical and Healthcare Applications, IMWS-Bio 2014"</f>
        <v>Conference Proceedings - 2014 IEEE MTT-S International Microwave Workshop Series on: RF and Wireless Technologies for Biomedical and Healthcare Applications, IMWS-Bio 2014</v>
      </c>
      <c r="B7523" s="8" t="str">
        <f>"9781479954476"</f>
        <v>9781479954476</v>
      </c>
      <c r="C7523" s="8" t="s">
        <v>105</v>
      </c>
    </row>
    <row r="7524" spans="1:3" x14ac:dyDescent="0.25">
      <c r="A7524" s="8" t="str">
        <f>"Conference Proceedings - 2014 International Conference on Actual Problems of Electron Devices Engineering, APEDE 2014"</f>
        <v>Conference Proceedings - 2014 International Conference on Actual Problems of Electron Devices Engineering, APEDE 2014</v>
      </c>
      <c r="B7524" s="8" t="str">
        <f>"-"</f>
        <v>-</v>
      </c>
      <c r="C7524" s="8" t="s">
        <v>105</v>
      </c>
    </row>
    <row r="7525" spans="1:3" x14ac:dyDescent="0.25">
      <c r="A7525" s="8" t="str">
        <f>"Conference Proceedings - 2015 International Conference on Optical Network Design and Modeling, ONDM 2015"</f>
        <v>Conference Proceedings - 2015 International Conference on Optical Network Design and Modeling, ONDM 2015</v>
      </c>
      <c r="B7525" s="8" t="str">
        <f>"9783901882722"</f>
        <v>9783901882722</v>
      </c>
      <c r="C7525" s="8" t="s">
        <v>105</v>
      </c>
    </row>
    <row r="7526" spans="1:3" x14ac:dyDescent="0.25">
      <c r="A7526" s="8" t="str">
        <f>"Conference Proceedings - 2nd Annual IEEE Northeast Workshop on Circuits and Systems, NEWCAS 2004"</f>
        <v>Conference Proceedings - 2nd Annual IEEE Northeast Workshop on Circuits and Systems, NEWCAS 2004</v>
      </c>
      <c r="B7526" s="8" t="str">
        <f>"9780780383227"</f>
        <v>9780780383227</v>
      </c>
      <c r="C7526" s="8" t="s">
        <v>105</v>
      </c>
    </row>
    <row r="7527" spans="1:3" x14ac:dyDescent="0.25">
      <c r="A7527" s="8" t="str">
        <f>"Conference Proceedings - 33rd European Microwave Conference, EuMC 2003"</f>
        <v>Conference Proceedings - 33rd European Microwave Conference, EuMC 2003</v>
      </c>
      <c r="B7527" s="8" t="str">
        <f>"-"</f>
        <v>-</v>
      </c>
      <c r="C7527" s="8" t="s">
        <v>9</v>
      </c>
    </row>
    <row r="7528" spans="1:3" x14ac:dyDescent="0.25">
      <c r="A7528" s="8" t="str">
        <f>"Conference Proceedings - 3rd International Conference, TAE 2007: Trends in Agricultural Engineering 2007"</f>
        <v>Conference Proceedings - 3rd International Conference, TAE 2007: Trends in Agricultural Engineering 2007</v>
      </c>
      <c r="B7528" s="8" t="str">
        <f>"9788021316683"</f>
        <v>9788021316683</v>
      </c>
      <c r="C7528" s="8" t="s">
        <v>1747</v>
      </c>
    </row>
    <row r="7529" spans="1:3" x14ac:dyDescent="0.25">
      <c r="A7529" s="8" t="str">
        <f>"Conference Proceedings - 5th International Conference on Advanced Optoelectronics and Lasers, CAOL' 2010"</f>
        <v>Conference Proceedings - 5th International Conference on Advanced Optoelectronics and Lasers, CAOL' 2010</v>
      </c>
      <c r="B7529" s="8" t="str">
        <f>"9781424470464"</f>
        <v>9781424470464</v>
      </c>
      <c r="C7529" s="8" t="s">
        <v>9</v>
      </c>
    </row>
    <row r="7530" spans="1:3" x14ac:dyDescent="0.25">
      <c r="A7530" s="8" t="str">
        <f>"Conference Proceedings - 6th Conference of the European Social Simulation Association, ESSA 2009"</f>
        <v>Conference Proceedings - 6th Conference of the European Social Simulation Association, ESSA 2009</v>
      </c>
      <c r="B7530" s="8" t="str">
        <f>"-"</f>
        <v>-</v>
      </c>
      <c r="C7530" s="8" t="s">
        <v>1750</v>
      </c>
    </row>
    <row r="7531" spans="1:3" x14ac:dyDescent="0.25">
      <c r="A7531" s="8" t="str">
        <f>"Conference Proceedings - 6th International Conference on Information Technology and Multimedia at UNITEN: Cultivating Creativity and Enabling Technology Through the Internet of Things, ICIMU 2014"</f>
        <v>Conference Proceedings - 6th International Conference on Information Technology and Multimedia at UNITEN: Cultivating Creativity and Enabling Technology Through the Internet of Things, ICIMU 2014</v>
      </c>
      <c r="B7531" s="8" t="str">
        <f>"9781479954230"</f>
        <v>9781479954230</v>
      </c>
      <c r="C7531" s="8" t="s">
        <v>105</v>
      </c>
    </row>
    <row r="7532" spans="1:3" x14ac:dyDescent="0.25">
      <c r="A7532" s="8" t="str">
        <f>"Conference Proceedings - 6th International Conference on the Management of Mobile Business, ICMB 2007"</f>
        <v>Conference Proceedings - 6th International Conference on the Management of Mobile Business, ICMB 2007</v>
      </c>
      <c r="B7532" s="8" t="str">
        <f>"9780769528038"</f>
        <v>9780769528038</v>
      </c>
      <c r="C7532" s="8" t="s">
        <v>9</v>
      </c>
    </row>
    <row r="7533" spans="1:3" x14ac:dyDescent="0.25">
      <c r="A7533" s="8" t="str">
        <f>"Conference Proceedings - 7th European Conference on Wireless Technology, ECWT2004"</f>
        <v>Conference Proceedings - 7th European Conference on Wireless Technology, ECWT2004</v>
      </c>
      <c r="B7533" s="8" t="str">
        <f>"9781580539913"</f>
        <v>9781580539913</v>
      </c>
      <c r="C7533" s="8" t="s">
        <v>1749</v>
      </c>
    </row>
    <row r="7534" spans="1:3" x14ac:dyDescent="0.25">
      <c r="A7534" s="8" t="str">
        <f>"Conference Proceedings - 9th Conference on Ph. D. Research in Microelectronics and Electronics, PRIME 2013"</f>
        <v>Conference Proceedings - 9th Conference on Ph. D. Research in Microelectronics and Electronics, PRIME 2013</v>
      </c>
      <c r="B7534" s="8" t="str">
        <f>"9781467345804"</f>
        <v>9781467345804</v>
      </c>
      <c r="C7534" s="8" t="s">
        <v>9</v>
      </c>
    </row>
    <row r="7535" spans="1:3" x14ac:dyDescent="0.25">
      <c r="A7535" s="8" t="str">
        <f>"Conference Proceedings - Cryptology 2014: Proceedings of the 4th International Cryptology and Information Security Conference 2014"</f>
        <v>Conference Proceedings - Cryptology 2014: Proceedings of the 4th International Cryptology and Information Security Conference 2014</v>
      </c>
      <c r="B7535" s="8" t="str">
        <f>"9789834406943"</f>
        <v>9789834406943</v>
      </c>
      <c r="C7535" s="8" t="s">
        <v>1751</v>
      </c>
    </row>
    <row r="7536" spans="1:3" x14ac:dyDescent="0.25">
      <c r="A7536" s="8" t="str">
        <f>"Conference Proceedings - EML 2014 17th International Symposium on Electromagnetic Launch Technology"</f>
        <v>Conference Proceedings - EML 2014 17th International Symposium on Electromagnetic Launch Technology</v>
      </c>
      <c r="B7536" s="8" t="str">
        <f>"9781479927333"</f>
        <v>9781479927333</v>
      </c>
      <c r="C7536" s="8" t="s">
        <v>105</v>
      </c>
    </row>
    <row r="7537" spans="1:3" x14ac:dyDescent="0.25">
      <c r="A7537" s="8" t="str">
        <f>"Conference Proceedings - Fire and Materials 2009, 11th International Conference and Exhibition"</f>
        <v>Conference Proceedings - Fire and Materials 2009, 11th International Conference and Exhibition</v>
      </c>
      <c r="B7537" s="8" t="str">
        <f>"-"</f>
        <v>-</v>
      </c>
      <c r="C7537" s="8" t="s">
        <v>416</v>
      </c>
    </row>
    <row r="7538" spans="1:3" x14ac:dyDescent="0.25">
      <c r="A7538" s="8" t="str">
        <f>"Conference Proceedings - Fire and Materials 2011, 12th International Conference and Exhibition"</f>
        <v>Conference Proceedings - Fire and Materials 2011, 12th International Conference and Exhibition</v>
      </c>
      <c r="B7538" s="8" t="str">
        <f>"-"</f>
        <v>-</v>
      </c>
      <c r="C7538" s="8" t="s">
        <v>416</v>
      </c>
    </row>
    <row r="7539" spans="1:3" x14ac:dyDescent="0.25">
      <c r="A7539" s="8" t="str">
        <f>"Conference Proceedings - ICECom 2007, 19th International Conference on Applied Electromagnetics and Communications"</f>
        <v>Conference Proceedings - ICECom 2007, 19th International Conference on Applied Electromagnetics and Communications</v>
      </c>
      <c r="B7539" s="8" t="str">
        <f>"9789536037506"</f>
        <v>9789536037506</v>
      </c>
      <c r="C7539" s="8" t="s">
        <v>9</v>
      </c>
    </row>
    <row r="7540" spans="1:3" x14ac:dyDescent="0.25">
      <c r="A7540" s="8" t="str">
        <f>"Conference Proceedings - IEEE Biomedical Circuits and Systems Conference Healthcare Technology, BiOCAS2007"</f>
        <v>Conference Proceedings - IEEE Biomedical Circuits and Systems Conference Healthcare Technology, BiOCAS2007</v>
      </c>
      <c r="B7540" s="8" t="str">
        <f>"9781424415250"</f>
        <v>9781424415250</v>
      </c>
      <c r="C7540" s="8" t="s">
        <v>9</v>
      </c>
    </row>
    <row r="7541" spans="1:3" x14ac:dyDescent="0.25">
      <c r="A7541" s="8" t="str">
        <f>"Conference Proceedings - IIE/ASQ Lean and Quality Conference and Expo 2006"</f>
        <v>Conference Proceedings - IIE/ASQ Lean and Quality Conference and Expo 2006</v>
      </c>
      <c r="B7541" s="8" t="str">
        <f>"-"</f>
        <v>-</v>
      </c>
      <c r="C7541" s="8" t="s">
        <v>530</v>
      </c>
    </row>
    <row r="7542" spans="1:3" x14ac:dyDescent="0.25">
      <c r="A7542" s="8" t="str">
        <f>"Conference Proceedings - International Conference on Actual Problems of Electron Devices Engineering, APEDE' 2004"</f>
        <v>Conference Proceedings - International Conference on Actual Problems of Electron Devices Engineering, APEDE' 2004</v>
      </c>
      <c r="B7542" s="8" t="str">
        <f>"9780780384422"</f>
        <v>9780780384422</v>
      </c>
      <c r="C7542" s="8" t="s">
        <v>105</v>
      </c>
    </row>
    <row r="7543" spans="1:3" x14ac:dyDescent="0.25">
      <c r="A7543" s="8" t="str">
        <f>"Conference Proceedings - International Conference on Actual Problems of Electron Devices Engineering, APEDE'2010"</f>
        <v>Conference Proceedings - International Conference on Actual Problems of Electron Devices Engineering, APEDE'2010</v>
      </c>
      <c r="B7543" s="8" t="str">
        <f>"9781424469550"</f>
        <v>9781424469550</v>
      </c>
      <c r="C7543" s="8" t="s">
        <v>9</v>
      </c>
    </row>
    <row r="7544" spans="1:3" x14ac:dyDescent="0.25">
      <c r="A7544" s="8" t="str">
        <f>"Conference Proceedings - International Conference on Actual Problems of Electrons Devices Engineering, APEDE 2006"</f>
        <v>Conference Proceedings - International Conference on Actual Problems of Electrons Devices Engineering, APEDE 2006</v>
      </c>
      <c r="B7544" s="8" t="str">
        <f>"9781424402472"</f>
        <v>9781424402472</v>
      </c>
      <c r="C7544" s="8" t="s">
        <v>9</v>
      </c>
    </row>
    <row r="7545" spans="1:3" x14ac:dyDescent="0.25">
      <c r="A7545" s="8" t="str">
        <f>"Conference Proceedings - IPEMC 2004: 4th International Power Electronics and Motion Control Conference"</f>
        <v>Conference Proceedings - IPEMC 2004: 4th International Power Electronics and Motion Control Conference</v>
      </c>
      <c r="B7545" s="8" t="str">
        <f>"9787560518695"</f>
        <v>9787560518695</v>
      </c>
      <c r="C7545" s="8" t="s">
        <v>1752</v>
      </c>
    </row>
    <row r="7546" spans="1:3" x14ac:dyDescent="0.25">
      <c r="A7546" s="8" t="str">
        <f>"Conference Proceedings - IPEMC 2004: 4th International Power Electronics and Motion Control Conference"</f>
        <v>Conference Proceedings - IPEMC 2004: 4th International Power Electronics and Motion Control Conference</v>
      </c>
      <c r="B7546" s="8" t="str">
        <f>"9787560518695"</f>
        <v>9787560518695</v>
      </c>
      <c r="C7546" s="8" t="s">
        <v>1752</v>
      </c>
    </row>
    <row r="7547" spans="1:3" x14ac:dyDescent="0.25">
      <c r="A7547" s="8" t="str">
        <f>"Conference Proceedings - IPEMC 2006: CES/IEEE 5th International Power Electronics and Motion Control Conference"</f>
        <v>Conference Proceedings - IPEMC 2006: CES/IEEE 5th International Power Electronics and Motion Control Conference</v>
      </c>
      <c r="B7547" s="8" t="str">
        <f>"9781424404483"</f>
        <v>9781424404483</v>
      </c>
      <c r="C7547" s="8" t="s">
        <v>105</v>
      </c>
    </row>
    <row r="7548" spans="1:3" x14ac:dyDescent="0.25">
      <c r="A7548" s="8" t="str">
        <f>"Conference Proceedings - Joint 2002 CSCE/ASCE International Conference on Environmental Engineering - An International Perspective on Environmental Engineering"</f>
        <v>Conference Proceedings - Joint 2002 CSCE/ASCE International Conference on Environmental Engineering - An International Perspective on Environmental Engineering</v>
      </c>
      <c r="B7548" s="8" t="str">
        <f>"9780889555327"</f>
        <v>9780889555327</v>
      </c>
      <c r="C7548" s="8" t="s">
        <v>999</v>
      </c>
    </row>
    <row r="7549" spans="1:3" x14ac:dyDescent="0.25">
      <c r="A7549" s="8" t="str">
        <f>"Conference Proceedings - New Trends in HERA Physics 2008"</f>
        <v>Conference Proceedings - New Trends in HERA Physics 2008</v>
      </c>
      <c r="B7549" s="8" t="str">
        <f>"-"</f>
        <v>-</v>
      </c>
      <c r="C7549" s="8" t="s">
        <v>1279</v>
      </c>
    </row>
    <row r="7550" spans="1:3" x14ac:dyDescent="0.25">
      <c r="A7550" s="8" t="str">
        <f>"Conference Proceedings - The 6th International Conference on Advanced Semiconductor Devices and Microsystems, ASDAM'06"</f>
        <v>Conference Proceedings - The 6th International Conference on Advanced Semiconductor Devices and Microsystems, ASDAM'06</v>
      </c>
      <c r="B7550" s="8" t="str">
        <f>"9781424403967"</f>
        <v>9781424403967</v>
      </c>
      <c r="C7550" s="8" t="s">
        <v>9</v>
      </c>
    </row>
    <row r="7551" spans="1:3" x14ac:dyDescent="0.25">
      <c r="A7551" s="8" t="str">
        <f>"Conference Proceedings - The 8th International Conference on Advanced Semiconductor Devices and Microsystems, ASDAM 2010"</f>
        <v>Conference Proceedings - The 8th International Conference on Advanced Semiconductor Devices and Microsystems, ASDAM 2010</v>
      </c>
      <c r="B7551" s="8" t="str">
        <f>"9781424485758"</f>
        <v>9781424485758</v>
      </c>
      <c r="C7551" s="8" t="s">
        <v>9</v>
      </c>
    </row>
    <row r="7552" spans="1:3" x14ac:dyDescent="0.25">
      <c r="A7552" s="8" t="str">
        <f>"Conference Proceedings 2008 IEEE International Workshop on Antenna Technology: Small Antennas and Novel Metamaterials, IWAT 2008"</f>
        <v>Conference Proceedings 2008 IEEE International Workshop on Antenna Technology: Small Antennas and Novel Metamaterials, IWAT 2008</v>
      </c>
      <c r="B7552" s="8" t="str">
        <f>"-"</f>
        <v>-</v>
      </c>
      <c r="C7552" s="8" t="s">
        <v>9</v>
      </c>
    </row>
    <row r="7553" spans="1:3" x14ac:dyDescent="0.25">
      <c r="A7553" s="8" t="str">
        <f>"Conference Proceedings- European Microwave Conference"</f>
        <v>Conference Proceedings- European Microwave Conference</v>
      </c>
      <c r="B7553" s="8" t="str">
        <f>"9781580539920"</f>
        <v>9781580539920</v>
      </c>
      <c r="C7553" s="8" t="s">
        <v>1749</v>
      </c>
    </row>
    <row r="7554" spans="1:3" x14ac:dyDescent="0.25">
      <c r="A7554" s="8" t="str">
        <f>"Conference Proceedings for the 81st Annual Convention of the Wire Association International"</f>
        <v>Conference Proceedings for the 81st Annual Convention of the Wire Association International</v>
      </c>
      <c r="B7554" s="8" t="str">
        <f>"-"</f>
        <v>-</v>
      </c>
      <c r="C7554" s="8" t="s">
        <v>1753</v>
      </c>
    </row>
    <row r="7555" spans="1:3" x14ac:dyDescent="0.25">
      <c r="A7555" s="8" t="str">
        <f>"Conference Proceedings for the 82nd Annual Convention of the Wire Association International"</f>
        <v>Conference Proceedings for the 82nd Annual Convention of the Wire Association International</v>
      </c>
      <c r="B7555" s="8" t="str">
        <f>"-"</f>
        <v>-</v>
      </c>
      <c r="C7555" s="8" t="s">
        <v>968</v>
      </c>
    </row>
    <row r="7556" spans="1:3" x14ac:dyDescent="0.25">
      <c r="A7556" s="8" t="str">
        <f>"Conference Proceedings of 2007 Information, Decision and Control, IDC"</f>
        <v>Conference Proceedings of 2007 Information, Decision and Control, IDC</v>
      </c>
      <c r="B7556" s="8" t="str">
        <f>"9781424409020"</f>
        <v>9781424409020</v>
      </c>
      <c r="C7556" s="8" t="s">
        <v>9</v>
      </c>
    </row>
    <row r="7557" spans="1:3" x14ac:dyDescent="0.25">
      <c r="A7557" s="8" t="str">
        <f>"Conference Proceedings of 2013 Asia-Pacific Conference on Synthetic Aperture Radar, APSAR 2013"</f>
        <v>Conference Proceedings of 2013 Asia-Pacific Conference on Synthetic Aperture Radar, APSAR 2013</v>
      </c>
      <c r="B7557" s="8" t="str">
        <f>"9784885522789"</f>
        <v>9784885522789</v>
      </c>
      <c r="C7557" s="8" t="s">
        <v>9</v>
      </c>
    </row>
    <row r="7558" spans="1:3" x14ac:dyDescent="0.25">
      <c r="A7558" s="8" t="str">
        <f>"Conference Proceedings of the 3rd International Symposium on Project Management, ISPM 2015"</f>
        <v>Conference Proceedings of the 3rd International Symposium on Project Management, ISPM 2015</v>
      </c>
      <c r="B7558" s="8" t="str">
        <f>"9781921712425"</f>
        <v>9781921712425</v>
      </c>
      <c r="C7558" s="8" t="s">
        <v>1647</v>
      </c>
    </row>
    <row r="7559" spans="1:3" x14ac:dyDescent="0.25">
      <c r="A7559" s="8" t="str">
        <f>"Conference Proceedings of the Institute of Marine Engineering, Science and Technology - INEC 2008: Embracing the Future"</f>
        <v>Conference Proceedings of the Institute of Marine Engineering, Science and Technology - INEC 2008: Embracing the Future</v>
      </c>
      <c r="B7559" s="8" t="str">
        <f>"-"</f>
        <v>-</v>
      </c>
      <c r="C7559" s="8" t="s">
        <v>301</v>
      </c>
    </row>
    <row r="7560" spans="1:3" x14ac:dyDescent="0.25">
      <c r="A7560" s="8" t="str">
        <f>"Conference Proceedings on APL 1990: For the Future"</f>
        <v>Conference Proceedings on APL 1990: For the Future</v>
      </c>
      <c r="B7560" s="8" t="str">
        <f>"9780897913713"</f>
        <v>9780897913713</v>
      </c>
      <c r="C7560" s="8" t="s">
        <v>1235</v>
      </c>
    </row>
    <row r="7561" spans="1:3" x14ac:dyDescent="0.25">
      <c r="A7561" s="8" t="str">
        <f>"Conference Program - MOC'11: 17th Microoptics Conference"</f>
        <v>Conference Program - MOC'11: 17th Microoptics Conference</v>
      </c>
      <c r="B7561" s="8" t="str">
        <f>"9784863481824"</f>
        <v>9784863481824</v>
      </c>
      <c r="C7561" s="8" t="s">
        <v>9</v>
      </c>
    </row>
    <row r="7562" spans="1:3" x14ac:dyDescent="0.25">
      <c r="A7562" s="8" t="str">
        <f>"Conference Program for the 3rd International Conference on Heterogeneous Materials Mechanics, ICHMM 2011"</f>
        <v>Conference Program for the 3rd International Conference on Heterogeneous Materials Mechanics, ICHMM 2011</v>
      </c>
      <c r="B7562" s="8" t="str">
        <f>"-"</f>
        <v>-</v>
      </c>
      <c r="C7562" s="8" t="s">
        <v>757</v>
      </c>
    </row>
    <row r="7563" spans="1:3" x14ac:dyDescent="0.25">
      <c r="A7563" s="8" t="str">
        <f>"Conference Record - 2010 17th IEEE-NPSS Real Time Conference, RT10"</f>
        <v>Conference Record - 2010 17th IEEE-NPSS Real Time Conference, RT10</v>
      </c>
      <c r="B7563" s="8" t="str">
        <f>"9781424471096"</f>
        <v>9781424471096</v>
      </c>
      <c r="C7563" s="8" t="s">
        <v>9</v>
      </c>
    </row>
    <row r="7564" spans="1:3" x14ac:dyDescent="0.25">
      <c r="A7564" s="8" t="str">
        <f>"Conference Record - IEEE Cement Industry Technical Conference"</f>
        <v>Conference Record - IEEE Cement Industry Technical Conference</v>
      </c>
      <c r="B7564" s="8" t="str">
        <f>"9780780382633"</f>
        <v>9780780382633</v>
      </c>
      <c r="C7564" s="8" t="s">
        <v>105</v>
      </c>
    </row>
    <row r="7565" spans="1:3" x14ac:dyDescent="0.25">
      <c r="A7565" s="8" t="str">
        <f>"Conference Record of 2009 IEEE IAS Electrical Safety Workshop"</f>
        <v>Conference Record of 2009 IEEE IAS Electrical Safety Workshop</v>
      </c>
      <c r="B7565" s="8" t="str">
        <f>"9781424434459"</f>
        <v>9781424434459</v>
      </c>
      <c r="C7565" s="8" t="s">
        <v>9</v>
      </c>
    </row>
    <row r="7566" spans="1:3" x14ac:dyDescent="0.25">
      <c r="A7566" s="8" t="str">
        <f>"Conference Record of the 2006 IEEE 4th World Conference on Photovoltaic Energy Conversion, WCPEC-4"</f>
        <v>Conference Record of the 2006 IEEE 4th World Conference on Photovoltaic Energy Conversion, WCPEC-4</v>
      </c>
      <c r="B7566" s="8" t="str">
        <f>"9781424400164"</f>
        <v>9781424400164</v>
      </c>
      <c r="C7566" s="8" t="s">
        <v>9</v>
      </c>
    </row>
    <row r="7567" spans="1:3" x14ac:dyDescent="0.25">
      <c r="A7567" s="8" t="str">
        <f>"Conference Record of the 2010 IEEE IAS Electrical Safety Workshop, ESW 2010"</f>
        <v>Conference Record of the 2010 IEEE IAS Electrical Safety Workshop, ESW 2010</v>
      </c>
      <c r="B7567" s="8" t="str">
        <f>"9781467310550"</f>
        <v>9781467310550</v>
      </c>
      <c r="C7567" s="8" t="s">
        <v>9</v>
      </c>
    </row>
    <row r="7568" spans="1:3" x14ac:dyDescent="0.25">
      <c r="A7568" s="8" t="str">
        <f>"Conference Record of the 2011 IEEE IAS Electrical Safety Workshop, ESW 2011"</f>
        <v>Conference Record of the 2011 IEEE IAS Electrical Safety Workshop, ESW 2011</v>
      </c>
      <c r="B7568" s="8" t="str">
        <f>"9781467310598"</f>
        <v>9781467310598</v>
      </c>
      <c r="C7568" s="8" t="s">
        <v>9</v>
      </c>
    </row>
    <row r="7569" spans="1:3" x14ac:dyDescent="0.25">
      <c r="A7569" s="8" t="str">
        <f>"Conference Record of the 2012 IEEE IAS Electrical Safety Workshop, ESW 2012"</f>
        <v>Conference Record of the 2012 IEEE IAS Electrical Safety Workshop, ESW 2012</v>
      </c>
      <c r="B7569" s="8" t="str">
        <f>"9781467310628"</f>
        <v>9781467310628</v>
      </c>
      <c r="C7569" s="8" t="s">
        <v>9</v>
      </c>
    </row>
    <row r="7570" spans="1:3" x14ac:dyDescent="0.25">
      <c r="A7570" s="8" t="str">
        <f>"Conference: Agricultural Engineering - Land-Technik 2008: Landtechnik regional und International"</f>
        <v>Conference: Agricultural Engineering - Land-Technik 2008: Landtechnik regional und International</v>
      </c>
      <c r="B7570" s="8" t="str">
        <f>"9783180920450"</f>
        <v>9783180920450</v>
      </c>
      <c r="C7570" s="8" t="s">
        <v>1150</v>
      </c>
    </row>
    <row r="7571" spans="1:3" x14ac:dyDescent="0.25">
      <c r="A7571" s="8" t="str">
        <f>"CONGRESS 2009 - 2009 World Congress on Privacy, Security, Trust and the Management of e-Business"</f>
        <v>CONGRESS 2009 - 2009 World Congress on Privacy, Security, Trust and the Management of e-Business</v>
      </c>
      <c r="B7571" s="8" t="str">
        <f>"9780769538051"</f>
        <v>9780769538051</v>
      </c>
      <c r="C7571" s="8" t="s">
        <v>9</v>
      </c>
    </row>
    <row r="7572" spans="1:3" x14ac:dyDescent="0.25">
      <c r="A7572" s="8" t="str">
        <f>"Congress Proceedings - CLC 2012: Carpathian Logistics Congress"</f>
        <v>Congress Proceedings - CLC 2012: Carpathian Logistics Congress</v>
      </c>
      <c r="B7572" s="8" t="str">
        <f>"9788087294369"</f>
        <v>9788087294369</v>
      </c>
      <c r="C7572" s="8" t="s">
        <v>1754</v>
      </c>
    </row>
    <row r="7573" spans="1:3" x14ac:dyDescent="0.25">
      <c r="A7573" s="8" t="str">
        <f>"CONIELECOMP 2009 - 19th International Conference on Electronics Communications and Computers"</f>
        <v>CONIELECOMP 2009 - 19th International Conference on Electronics Communications and Computers</v>
      </c>
      <c r="B7573" s="8" t="str">
        <f>"9780769535876"</f>
        <v>9780769535876</v>
      </c>
      <c r="C7573" s="8" t="s">
        <v>9</v>
      </c>
    </row>
    <row r="7574" spans="1:3" x14ac:dyDescent="0.25">
      <c r="A7574" s="8" t="str">
        <f>"CONIELECOMP 2010 - 20th International Conference on Electronics Communications and Computers"</f>
        <v>CONIELECOMP 2010 - 20th International Conference on Electronics Communications and Computers</v>
      </c>
      <c r="B7574" s="8" t="str">
        <f>"9781424453535"</f>
        <v>9781424453535</v>
      </c>
      <c r="C7574" s="8" t="s">
        <v>9</v>
      </c>
    </row>
    <row r="7575" spans="1:3" x14ac:dyDescent="0.25">
      <c r="A7575" s="8" t="str">
        <f>"CONIELECOMP 2011 - 21st International Conference on Electronics Communications and Computers, Proceedings"</f>
        <v>CONIELECOMP 2011 - 21st International Conference on Electronics Communications and Computers, Proceedings</v>
      </c>
      <c r="B7575" s="8" t="str">
        <f>"9781424495573"</f>
        <v>9781424495573</v>
      </c>
      <c r="C7575" s="8" t="s">
        <v>9</v>
      </c>
    </row>
    <row r="7576" spans="1:3" x14ac:dyDescent="0.25">
      <c r="A7576" s="8" t="str">
        <f>"CONIELECOMP 2012 - 22nd International Conference on Electronics Communications and Computing"</f>
        <v>CONIELECOMP 2012 - 22nd International Conference on Electronics Communications and Computing</v>
      </c>
      <c r="B7576" s="8" t="str">
        <f>"-"</f>
        <v>-</v>
      </c>
      <c r="C7576" s="8" t="s">
        <v>9</v>
      </c>
    </row>
    <row r="7577" spans="1:3" x14ac:dyDescent="0.25">
      <c r="A7577" s="8" t="str">
        <f>"CONIELECOMP 2014 - 24th International Conference on Electronics, Communications and Computers"</f>
        <v>CONIELECOMP 2014 - 24th International Conference on Electronics, Communications and Computers</v>
      </c>
      <c r="B7577" s="8" t="str">
        <f>"9781479934690"</f>
        <v>9781479934690</v>
      </c>
      <c r="C7577" s="8" t="s">
        <v>9</v>
      </c>
    </row>
    <row r="7578" spans="1:3" x14ac:dyDescent="0.25">
      <c r="A7578" s="8" t="str">
        <f>"CoNLL 2005 - Proceedings of the Ninth Conference on Computational Natural Language Learning"</f>
        <v>CoNLL 2005 - Proceedings of the Ninth Conference on Computational Natural Language Learning</v>
      </c>
      <c r="B7578" s="8" t="str">
        <f>"-"</f>
        <v>-</v>
      </c>
      <c r="C7578" s="8" t="s">
        <v>554</v>
      </c>
    </row>
    <row r="7579" spans="1:3" x14ac:dyDescent="0.25">
      <c r="A7579" s="8" t="str">
        <f>"CoNLL 2008 - Proceedings of the Twelfth Conference on Computational Natural Language Learning"</f>
        <v>CoNLL 2008 - Proceedings of the Twelfth Conference on Computational Natural Language Learning</v>
      </c>
      <c r="B7579" s="8" t="str">
        <f>"9781905593484"</f>
        <v>9781905593484</v>
      </c>
      <c r="C7579" s="8" t="s">
        <v>554</v>
      </c>
    </row>
    <row r="7580" spans="1:3" x14ac:dyDescent="0.25">
      <c r="A7580" s="8" t="str">
        <f>"CoNLL 2009 - Proceedings of the Thirteenth Conference on Computational Natural Language Learning"</f>
        <v>CoNLL 2009 - Proceedings of the Thirteenth Conference on Computational Natural Language Learning</v>
      </c>
      <c r="B7580" s="8" t="str">
        <f>"9781932432299"</f>
        <v>9781932432299</v>
      </c>
      <c r="C7580" s="8" t="s">
        <v>554</v>
      </c>
    </row>
    <row r="7581" spans="1:3" x14ac:dyDescent="0.25">
      <c r="A7581" s="8" t="str">
        <f>"CoNLL- 2009: Shared Task - Proceedings of the Thirteenth Conference on Computational Natural Language Learning, CoNLL: Shared Task"</f>
        <v>CoNLL- 2009: Shared Task - Proceedings of the Thirteenth Conference on Computational Natural Language Learning, CoNLL: Shared Task</v>
      </c>
      <c r="B7581" s="8" t="str">
        <f>"-"</f>
        <v>-</v>
      </c>
      <c r="C7581" s="8" t="s">
        <v>554</v>
      </c>
    </row>
    <row r="7582" spans="1:3" x14ac:dyDescent="0.25">
      <c r="A7582" s="8" t="str">
        <f>"CoNLL 2010 - Fourteenth Conference on Computational Natural Language Learning, Proceedings of the Conference"</f>
        <v>CoNLL 2010 - Fourteenth Conference on Computational Natural Language Learning, Proceedings of the Conference</v>
      </c>
      <c r="B7582" s="8" t="str">
        <f>"9781932432831"</f>
        <v>9781932432831</v>
      </c>
      <c r="C7582" s="8" t="s">
        <v>554</v>
      </c>
    </row>
    <row r="7583" spans="1:3" x14ac:dyDescent="0.25">
      <c r="A7583" s="8" t="str">
        <f>"CoNLL 2011 - Fifteenth Conference on Computational Natural Language Learning, Proceedings of the Conference"</f>
        <v>CoNLL 2011 - Fifteenth Conference on Computational Natural Language Learning, Proceedings of the Conference</v>
      </c>
      <c r="B7583" s="8" t="str">
        <f>"9781932432923"</f>
        <v>9781932432923</v>
      </c>
      <c r="C7583" s="8" t="s">
        <v>554</v>
      </c>
    </row>
    <row r="7584" spans="1:3" x14ac:dyDescent="0.25">
      <c r="A7584" s="8" t="str">
        <f>"CoNLL-2010: Shared Task - Fourteenth Conference on Computational Natural Language Learning, Proceedings of the Shared Task"</f>
        <v>CoNLL-2010: Shared Task - Fourteenth Conference on Computational Natural Language Learning, Proceedings of the Shared Task</v>
      </c>
      <c r="B7584" s="8" t="str">
        <f>"-"</f>
        <v>-</v>
      </c>
      <c r="C7584" s="8" t="s">
        <v>554</v>
      </c>
    </row>
    <row r="7585" spans="1:3" x14ac:dyDescent="0.25">
      <c r="A7585" s="8" t="str">
        <f>"CoNLL-2011: Shared task- Fifteenth Conference on Computational Natural Language Learning, Proceedings of the Conference Shared task"</f>
        <v>CoNLL-2011: Shared task- Fifteenth Conference on Computational Natural Language Learning, Proceedings of the Conference Shared task</v>
      </c>
      <c r="B7585" s="8" t="str">
        <f>"9781932432923"</f>
        <v>9781932432923</v>
      </c>
      <c r="C7585" s="8" t="s">
        <v>554</v>
      </c>
    </row>
    <row r="7586" spans="1:3" x14ac:dyDescent="0.25">
      <c r="A7586" s="8" t="str">
        <f>"Connecting Computer-Supported Collaborative Learning to Policy and Practice: CSCL 2011 Conf. Proc. - Community Events Proceedings, 9th International Computer-Supported Collaborative Learning Conf."</f>
        <v>Connecting Computer-Supported Collaborative Learning to Policy and Practice: CSCL 2011 Conf. Proc. - Community Events Proceedings, 9th International Computer-Supported Collaborative Learning Conf.</v>
      </c>
      <c r="B7586" s="8" t="str">
        <f>"9780578091549"</f>
        <v>9780578091549</v>
      </c>
      <c r="C7586" s="8" t="s">
        <v>298</v>
      </c>
    </row>
    <row r="7587" spans="1:3" x14ac:dyDescent="0.25">
      <c r="A7587" s="8" t="str">
        <f>"Connecting Computer-Supported Collaborative Learning to Policy and Practice: CSCL 2011 Conf. Proc. - Short Papers and Posters, 9th International Computer-Supported Collaborative Learning Conf."</f>
        <v>Connecting Computer-Supported Collaborative Learning to Policy and Practice: CSCL 2011 Conf. Proc. - Short Papers and Posters, 9th International Computer-Supported Collaborative Learning Conf.</v>
      </c>
      <c r="B7587" s="8" t="str">
        <f>"9780578091532"</f>
        <v>9780578091532</v>
      </c>
      <c r="C7587" s="8" t="s">
        <v>298</v>
      </c>
    </row>
    <row r="7588" spans="1:3" x14ac:dyDescent="0.25">
      <c r="A7588" s="8" t="str">
        <f>"Connecting Computer-Supported Collaborative Learning to Policy and Practice: CSCL 2011 Conference Proceedings - Long Papers, 9th International Computer-Supported Collaborative Learning Conference"</f>
        <v>Connecting Computer-Supported Collaborative Learning to Policy and Practice: CSCL 2011 Conference Proceedings - Long Papers, 9th International Computer-Supported Collaborative Learning Conference</v>
      </c>
      <c r="B7588" s="8" t="str">
        <f>"-"</f>
        <v>-</v>
      </c>
      <c r="C7588" s="8" t="s">
        <v>298</v>
      </c>
    </row>
    <row r="7589" spans="1:3" x14ac:dyDescent="0.25">
      <c r="A7589" s="8" t="str">
        <f>"CONSEG 2009 - Proceedings of the International Conference on Software Engineering"</f>
        <v>CONSEG 2009 - Proceedings of the International Conference on Software Engineering</v>
      </c>
      <c r="B7589" s="8" t="str">
        <f>"-"</f>
        <v>-</v>
      </c>
      <c r="C7589" s="8" t="s">
        <v>1755</v>
      </c>
    </row>
    <row r="7590" spans="1:3" x14ac:dyDescent="0.25">
      <c r="A7590" s="8" t="str">
        <f>"CONSEG 2013 - Proceedings of the 7th CSI International Conference on Software Engineering"</f>
        <v>CONSEG 2013 - Proceedings of the 7th CSI International Conference on Software Engineering</v>
      </c>
      <c r="B7590" s="8" t="str">
        <f>"-"</f>
        <v>-</v>
      </c>
      <c r="C7590" s="8" t="s">
        <v>1755</v>
      </c>
    </row>
    <row r="7591" spans="1:3" x14ac:dyDescent="0.25">
      <c r="A7591" s="8" t="str">
        <f>"Constituents of Modern System-Safety Thinking - Proceedings of the 13th Safety-Critical Systems Symposium, SSS 2005"</f>
        <v>Constituents of Modern System-Safety Thinking - Proceedings of the 13th Safety-Critical Systems Symposium, SSS 2005</v>
      </c>
      <c r="B7591" s="8" t="str">
        <f>"9781852339524"</f>
        <v>9781852339524</v>
      </c>
      <c r="C7591" s="8" t="s">
        <v>162</v>
      </c>
    </row>
    <row r="7592" spans="1:3" x14ac:dyDescent="0.25">
      <c r="A7592" s="8" t="str">
        <f>"Constitutive Models for Rubber IV - Proceedings of the 4th European Conference for Constitutive Models for Rubber, ECCMR 2005"</f>
        <v>Constitutive Models for Rubber IV - Proceedings of the 4th European Conference for Constitutive Models for Rubber, ECCMR 2005</v>
      </c>
      <c r="B7592" s="8" t="str">
        <f>"9780415383462"</f>
        <v>9780415383462</v>
      </c>
      <c r="C7592" s="8" t="s">
        <v>1650</v>
      </c>
    </row>
    <row r="7593" spans="1:3" x14ac:dyDescent="0.25">
      <c r="A7593" s="8" t="str">
        <f>"Constitutive Models for Rubber IX - Proceedings of the 9th European Conference on Constitutive Models for Rubbers, ECCMR"</f>
        <v>Constitutive Models for Rubber IX - Proceedings of the 9th European Conference on Constitutive Models for Rubbers, ECCMR</v>
      </c>
      <c r="B7593" s="8" t="str">
        <f>"9781138028739"</f>
        <v>9781138028739</v>
      </c>
      <c r="C7593" s="8" t="s">
        <v>1635</v>
      </c>
    </row>
    <row r="7594" spans="1:3" x14ac:dyDescent="0.25">
      <c r="A7594" s="8" t="str">
        <f>"Constitutive Models for Rubber VII - Proceedings of the 7th European Conference on Constitutive Models for Rubber, ECCMR"</f>
        <v>Constitutive Models for Rubber VII - Proceedings of the 7th European Conference on Constitutive Models for Rubber, ECCMR</v>
      </c>
      <c r="B7594" s="8" t="str">
        <f>"9780415683890"</f>
        <v>9780415683890</v>
      </c>
      <c r="C7594" s="8" t="s">
        <v>96</v>
      </c>
    </row>
    <row r="7595" spans="1:3" x14ac:dyDescent="0.25">
      <c r="A7595" s="8" t="str">
        <f>"Constitutive Models for Rubber VIII - Proceedings of the 8th European Conference on Constitutive Models for Rubbers, ECCMR 2013"</f>
        <v>Constitutive Models for Rubber VIII - Proceedings of the 8th European Conference on Constitutive Models for Rubbers, ECCMR 2013</v>
      </c>
      <c r="B7595" s="8" t="str">
        <f>"9781138000728"</f>
        <v>9781138000728</v>
      </c>
      <c r="C7595" s="8" t="s">
        <v>1619</v>
      </c>
    </row>
    <row r="7596" spans="1:3" x14ac:dyDescent="0.25">
      <c r="A7596" s="8" t="str">
        <f>"Constructal Theory of Social Dynamics"</f>
        <v>Constructal Theory of Social Dynamics</v>
      </c>
      <c r="B7596" s="8" t="str">
        <f>"9780387476803"</f>
        <v>9780387476803</v>
      </c>
      <c r="C7596" s="8" t="s">
        <v>834</v>
      </c>
    </row>
    <row r="7597" spans="1:3" x14ac:dyDescent="0.25">
      <c r="A7597" s="8" t="str">
        <f>"Construction and Building Research Conference of the Royal Institution of Chartered Surveyors, COBRA 2007"</f>
        <v>Construction and Building Research Conference of the Royal Institution of Chartered Surveyors, COBRA 2007</v>
      </c>
      <c r="B7597" s="8" t="str">
        <f>"9781842193570"</f>
        <v>9781842193570</v>
      </c>
      <c r="C7597" s="8" t="s">
        <v>1756</v>
      </c>
    </row>
    <row r="7598" spans="1:3" x14ac:dyDescent="0.25">
      <c r="A7598" s="8" t="str">
        <f>"Construction and Materials Issues 2001"</f>
        <v>Construction and Materials Issues 2001</v>
      </c>
      <c r="B7598" s="8" t="str">
        <f>"9780784405918"</f>
        <v>9780784405918</v>
      </c>
      <c r="C7598" s="8" t="s">
        <v>111</v>
      </c>
    </row>
    <row r="7599" spans="1:3" x14ac:dyDescent="0.25">
      <c r="A7599" s="8" t="str">
        <f>"Construction and Professional Practices - Proceedings of the 10th East Asia-Pacific Conference on Structural Engineering and Construction, EASEC 2010"</f>
        <v>Construction and Professional Practices - Proceedings of the 10th East Asia-Pacific Conference on Structural Engineering and Construction, EASEC 2010</v>
      </c>
      <c r="B7599" s="8" t="str">
        <f>"9789748257204"</f>
        <v>9789748257204</v>
      </c>
      <c r="C7599" s="8" t="s">
        <v>1670</v>
      </c>
    </row>
    <row r="7600" spans="1:3" x14ac:dyDescent="0.25">
      <c r="A7600" s="8" t="str">
        <f>"Construction for a Sustainable Environment - Proceedings of the International Conference of Construction for a Sustainable Environment"</f>
        <v>Construction for a Sustainable Environment - Proceedings of the International Conference of Construction for a Sustainable Environment</v>
      </c>
      <c r="B7600" s="8" t="str">
        <f>"9780415566179"</f>
        <v>9780415566179</v>
      </c>
      <c r="C7600" s="8" t="s">
        <v>1619</v>
      </c>
    </row>
    <row r="7601" spans="1:3" x14ac:dyDescent="0.25">
      <c r="A7601" s="8" t="str">
        <f>"Construction Research Congress 2005: Broadening Perspectives - Proceedings of the Congress"</f>
        <v>Construction Research Congress 2005: Broadening Perspectives - Proceedings of the Congress</v>
      </c>
      <c r="B7601" s="8" t="str">
        <f>"9780784407547"</f>
        <v>9780784407547</v>
      </c>
      <c r="C7601" s="8" t="s">
        <v>111</v>
      </c>
    </row>
    <row r="7602" spans="1:3" x14ac:dyDescent="0.25">
      <c r="A7602" s="8" t="str">
        <f>"Construction Research Congress 2010: Innovation for Reshaping Construction Practice - Proceedings of the 2010 Construction Research Congress"</f>
        <v>Construction Research Congress 2010: Innovation for Reshaping Construction Practice - Proceedings of the 2010 Construction Research Congress</v>
      </c>
      <c r="B7602" s="8" t="str">
        <f>"9780784411094"</f>
        <v>9780784411094</v>
      </c>
      <c r="C7602" s="8" t="s">
        <v>111</v>
      </c>
    </row>
    <row r="7603" spans="1:3" x14ac:dyDescent="0.25">
      <c r="A7603" s="8" t="str">
        <f>"Construction Research Congress 2012: Construction Challenges in a Flat World, Proceedings of the 2012 Construction Research Congress"</f>
        <v>Construction Research Congress 2012: Construction Challenges in a Flat World, Proceedings of the 2012 Construction Research Congress</v>
      </c>
      <c r="B7603" s="8" t="str">
        <f>"9780784412329"</f>
        <v>9780784412329</v>
      </c>
      <c r="C7603" s="8" t="s">
        <v>111</v>
      </c>
    </row>
    <row r="7604" spans="1:3" x14ac:dyDescent="0.25">
      <c r="A7604" s="8" t="str">
        <f>"Constructive Tool Design for Formal Languages"</f>
        <v>Constructive Tool Design for Formal Languages</v>
      </c>
      <c r="B7604" s="8" t="str">
        <f>"9789038619606"</f>
        <v>9789038619606</v>
      </c>
      <c r="C7604" s="8" t="s">
        <v>1203</v>
      </c>
    </row>
    <row r="7605" spans="1:3" x14ac:dyDescent="0.25">
      <c r="A7605" s="8" t="str">
        <f>"Contact Mechanics - Friction: Modeling and Experiment"</f>
        <v>Contact Mechanics - Friction: Modeling and Experiment</v>
      </c>
      <c r="B7605" s="8" t="str">
        <f>"9780791837061"</f>
        <v>9780791837061</v>
      </c>
      <c r="C7605" s="8" t="s">
        <v>1308</v>
      </c>
    </row>
    <row r="7606" spans="1:3" x14ac:dyDescent="0.25">
      <c r="A7606" s="8" t="str">
        <f>"CONTE 2007: Conference on Nuclear Training and Education"</f>
        <v>CONTE 2007: Conference on Nuclear Training and Education</v>
      </c>
      <c r="B7606" s="8" t="str">
        <f>"-"</f>
        <v>-</v>
      </c>
      <c r="C7606" s="8" t="s">
        <v>453</v>
      </c>
    </row>
    <row r="7607" spans="1:3" x14ac:dyDescent="0.25">
      <c r="A7607" s="8" t="str">
        <f>"Contemporary Ergonomics 1984-2008: Selected Papers and an Overview of the Ergonomics Society Annual Conference"</f>
        <v>Contemporary Ergonomics 1984-2008: Selected Papers and an Overview of the Ergonomics Society Annual Conference</v>
      </c>
      <c r="B7607" s="8" t="str">
        <f>"9780415804349"</f>
        <v>9780415804349</v>
      </c>
      <c r="C7607" s="8" t="s">
        <v>1619</v>
      </c>
    </row>
    <row r="7608" spans="1:3" x14ac:dyDescent="0.25">
      <c r="A7608" s="8" t="str">
        <f>"Contemporary Ergonomics 2005"</f>
        <v>Contemporary Ergonomics 2005</v>
      </c>
      <c r="B7608" s="8" t="str">
        <f>"9780415374484"</f>
        <v>9780415374484</v>
      </c>
      <c r="C7608" s="8" t="s">
        <v>1619</v>
      </c>
    </row>
    <row r="7609" spans="1:3" x14ac:dyDescent="0.25">
      <c r="A7609" s="8" t="str">
        <f>"Contemporary Ergonomics 2006"</f>
        <v>Contemporary Ergonomics 2006</v>
      </c>
      <c r="B7609" s="8" t="str">
        <f>"9780415398183"</f>
        <v>9780415398183</v>
      </c>
      <c r="C7609" s="8" t="s">
        <v>1619</v>
      </c>
    </row>
    <row r="7610" spans="1:3" x14ac:dyDescent="0.25">
      <c r="A7610" s="8" t="str">
        <f>"Contemporary Ergonomics 2007"</f>
        <v>Contemporary Ergonomics 2007</v>
      </c>
      <c r="B7610" s="8" t="str">
        <f>"9780415436380"</f>
        <v>9780415436380</v>
      </c>
      <c r="C7610" s="8" t="s">
        <v>1619</v>
      </c>
    </row>
    <row r="7611" spans="1:3" x14ac:dyDescent="0.25">
      <c r="A7611" s="8" t="str">
        <f>"Contemporary Ergonomics 2008"</f>
        <v>Contemporary Ergonomics 2008</v>
      </c>
      <c r="B7611" s="8" t="str">
        <f>"9780415465755"</f>
        <v>9780415465755</v>
      </c>
      <c r="C7611" s="8" t="s">
        <v>60</v>
      </c>
    </row>
    <row r="7612" spans="1:3" x14ac:dyDescent="0.25">
      <c r="A7612" s="8" t="str">
        <f>"Contemporary Ergonomics 2009"</f>
        <v>Contemporary Ergonomics 2009</v>
      </c>
      <c r="B7612" s="8" t="str">
        <f>"9780415804332"</f>
        <v>9780415804332</v>
      </c>
      <c r="C7612" s="8" t="s">
        <v>1637</v>
      </c>
    </row>
    <row r="7613" spans="1:3" x14ac:dyDescent="0.25">
      <c r="A7613" s="8" t="str">
        <f>"Contemporary Ergonomics and Human Factors 2010"</f>
        <v>Contemporary Ergonomics and Human Factors 2010</v>
      </c>
      <c r="B7613" s="8" t="str">
        <f>"9780415584463"</f>
        <v>9780415584463</v>
      </c>
      <c r="C7613" s="8" t="s">
        <v>699</v>
      </c>
    </row>
    <row r="7614" spans="1:3" x14ac:dyDescent="0.25">
      <c r="A7614" s="8" t="str">
        <f>"Contemporary Ergonomics and Human Factors 2011"</f>
        <v>Contemporary Ergonomics and Human Factors 2011</v>
      </c>
      <c r="B7614" s="8" t="str">
        <f>"9780415675734"</f>
        <v>9780415675734</v>
      </c>
      <c r="C7614" s="8" t="s">
        <v>1637</v>
      </c>
    </row>
    <row r="7615" spans="1:3" x14ac:dyDescent="0.25">
      <c r="A7615" s="8" t="str">
        <f>"Contemporary Ergonomics and Human Factors 2012"</f>
        <v>Contemporary Ergonomics and Human Factors 2012</v>
      </c>
      <c r="B7615" s="8" t="str">
        <f>"9780415621526"</f>
        <v>9780415621526</v>
      </c>
      <c r="C7615" s="8" t="s">
        <v>1637</v>
      </c>
    </row>
    <row r="7616" spans="1:3" x14ac:dyDescent="0.25">
      <c r="A7616" s="8" t="str">
        <f>"Contemporary Ergonomics and Human Factors 2013"</f>
        <v>Contemporary Ergonomics and Human Factors 2013</v>
      </c>
      <c r="B7616" s="8" t="str">
        <f>"9781138000421"</f>
        <v>9781138000421</v>
      </c>
      <c r="C7616" s="8" t="s">
        <v>1619</v>
      </c>
    </row>
    <row r="7617" spans="1:3" x14ac:dyDescent="0.25">
      <c r="A7617" s="8" t="str">
        <f>"Contemporary Ergonomics and Human Factors 2014"</f>
        <v>Contemporary Ergonomics and Human Factors 2014</v>
      </c>
      <c r="B7617" s="8" t="str">
        <f>"9781138026353"</f>
        <v>9781138026353</v>
      </c>
      <c r="C7617" s="8" t="s">
        <v>1619</v>
      </c>
    </row>
    <row r="7618" spans="1:3" x14ac:dyDescent="0.25">
      <c r="A7618" s="8" t="str">
        <f>"Contemporary Ergonomics and Human Factors 2015"</f>
        <v>Contemporary Ergonomics and Human Factors 2015</v>
      </c>
      <c r="B7618" s="8" t="str">
        <f>"9781138028036"</f>
        <v>9781138028036</v>
      </c>
      <c r="C7618" s="8" t="s">
        <v>1635</v>
      </c>
    </row>
    <row r="7619" spans="1:3" x14ac:dyDescent="0.25">
      <c r="A7619" s="8" t="str">
        <f>"Context in advanced Interfaces International Workshop in Conjunction with AVI 2006, CAI '06"</f>
        <v>Context in advanced Interfaces International Workshop in Conjunction with AVI 2006, CAI '06</v>
      </c>
      <c r="B7619" s="8" t="str">
        <f>"-"</f>
        <v>-</v>
      </c>
      <c r="C7619" s="8" t="s">
        <v>21</v>
      </c>
    </row>
    <row r="7620" spans="1:3" x14ac:dyDescent="0.25">
      <c r="A7620" s="8" t="str">
        <f>"Continuous Advances in QCD 2008 - Proceedings of the Conference"</f>
        <v>Continuous Advances in QCD 2008 - Proceedings of the Conference</v>
      </c>
      <c r="B7620" s="8" t="str">
        <f>"9789812838650"</f>
        <v>9789812838650</v>
      </c>
      <c r="C7620" s="8" t="s">
        <v>157</v>
      </c>
    </row>
    <row r="7621" spans="1:3" x14ac:dyDescent="0.25">
      <c r="A7621" s="8" t="str">
        <f>"Contributions in Celebration of the 200th Birthday of Henry Philibert Gaspard Darcy - Henry P.G. Darcy and Other Pioneers in Hydraulics"</f>
        <v>Contributions in Celebration of the 200th Birthday of Henry Philibert Gaspard Darcy - Henry P.G. Darcy and Other Pioneers in Hydraulics</v>
      </c>
      <c r="B7621" s="8" t="str">
        <f>"9780784406830"</f>
        <v>9780784406830</v>
      </c>
      <c r="C7621" s="8" t="s">
        <v>111</v>
      </c>
    </row>
    <row r="7622" spans="1:3" x14ac:dyDescent="0.25">
      <c r="A7622" s="8" t="str">
        <f>"Contributions to Probability and Statistics: Applications and Challenges - Proceedings of the International Statistics Workshop"</f>
        <v>Contributions to Probability and Statistics: Applications and Challenges - Proceedings of the International Statistics Workshop</v>
      </c>
      <c r="B7622" s="8" t="str">
        <f>"9789812703910"</f>
        <v>9789812703910</v>
      </c>
      <c r="C7622" s="8" t="s">
        <v>157</v>
      </c>
    </row>
    <row r="7623" spans="1:3" x14ac:dyDescent="0.25">
      <c r="A7623" s="8" t="str">
        <f>"Control Engineering and Information Systems - Proceedings of the International Conference on Control Engineering and Information System, ICCEIS 2014"</f>
        <v>Control Engineering and Information Systems - Proceedings of the International Conference on Control Engineering and Information System, ICCEIS 2014</v>
      </c>
      <c r="B7623" s="8" t="str">
        <f>"9781138026858"</f>
        <v>9781138026858</v>
      </c>
      <c r="C7623" s="8" t="s">
        <v>1635</v>
      </c>
    </row>
    <row r="7624" spans="1:3" x14ac:dyDescent="0.25">
      <c r="A7624" s="8" t="str">
        <f>"Control of Microorganisms in Drinking Water"</f>
        <v>Control of Microorganisms in Drinking Water</v>
      </c>
      <c r="B7624" s="8" t="str">
        <f>"9780784406359"</f>
        <v>9780784406359</v>
      </c>
      <c r="C7624" s="8" t="s">
        <v>111</v>
      </c>
    </row>
    <row r="7625" spans="1:3" x14ac:dyDescent="0.25">
      <c r="A7625" s="8" t="str">
        <f>"Contruction Research Congress, Winds of Change: Integration and Innovation in Construction, Proceedings of the Congress"</f>
        <v>Contruction Research Congress, Winds of Change: Integration and Innovation in Construction, Proceedings of the Congress</v>
      </c>
      <c r="B7625" s="8" t="str">
        <f>"9780784406717"</f>
        <v>9780784406717</v>
      </c>
      <c r="C7625" s="8" t="s">
        <v>111</v>
      </c>
    </row>
    <row r="7626" spans="1:3" x14ac:dyDescent="0.25">
      <c r="A7626" s="8" t="str">
        <f>"COPLAS 2009 - Proceedings of the Workshop on Constraint Satisfaction Techniques for Planning and Scheduling Problems"</f>
        <v>COPLAS 2009 - Proceedings of the Workshop on Constraint Satisfaction Techniques for Planning and Scheduling Problems</v>
      </c>
      <c r="B7626" s="8" t="str">
        <f t="shared" ref="B7626:B7631" si="17">"-"</f>
        <v>-</v>
      </c>
      <c r="C7626" s="8" t="s">
        <v>1757</v>
      </c>
    </row>
    <row r="7627" spans="1:3" x14ac:dyDescent="0.25">
      <c r="A7627" s="8" t="str">
        <f>"COPLAS 2010 - Proceedings of the Workshop on Constraint Satisfaction Techniques for Planning and Scheduling Problems"</f>
        <v>COPLAS 2010 - Proceedings of the Workshop on Constraint Satisfaction Techniques for Planning and Scheduling Problems</v>
      </c>
      <c r="B7627" s="8" t="str">
        <f t="shared" si="17"/>
        <v>-</v>
      </c>
      <c r="C7627" s="8" t="s">
        <v>1757</v>
      </c>
    </row>
    <row r="7628" spans="1:3" x14ac:dyDescent="0.25">
      <c r="A7628" s="8" t="str">
        <f>"COPLAS 2011 - Proceedings of the Workshop on Constraint Satisfaction Techniques for Planning and Scheduling Problems"</f>
        <v>COPLAS 2011 - Proceedings of the Workshop on Constraint Satisfaction Techniques for Planning and Scheduling Problems</v>
      </c>
      <c r="B7628" s="8" t="str">
        <f t="shared" si="17"/>
        <v>-</v>
      </c>
      <c r="C7628" s="8" t="s">
        <v>1757</v>
      </c>
    </row>
    <row r="7629" spans="1:3" x14ac:dyDescent="0.25">
      <c r="A7629" s="8" t="str">
        <f>"COPLAS'07 - International Joint CP/ICAPS Workshop on Constraint Satisfaction Techniques for Planning and Scheduling Problems, Workshop Proceedings"</f>
        <v>COPLAS'07 - International Joint CP/ICAPS Workshop on Constraint Satisfaction Techniques for Planning and Scheduling Problems, Workshop Proceedings</v>
      </c>
      <c r="B7629" s="8" t="str">
        <f t="shared" si="17"/>
        <v>-</v>
      </c>
      <c r="C7629" s="8" t="s">
        <v>1757</v>
      </c>
    </row>
    <row r="7630" spans="1:3" x14ac:dyDescent="0.25">
      <c r="A7630" s="8" t="str">
        <f>"COPLAS'08 - International Joint CP/ICAPS Workshop on Constraint Satisfaction Techniques for Planning and Scheduling Problems, Workshop Proceedings"</f>
        <v>COPLAS'08 - International Joint CP/ICAPS Workshop on Constraint Satisfaction Techniques for Planning and Scheduling Problems, Workshop Proceedings</v>
      </c>
      <c r="B7630" s="8" t="str">
        <f t="shared" si="17"/>
        <v>-</v>
      </c>
      <c r="C7630" s="8" t="s">
        <v>1757</v>
      </c>
    </row>
    <row r="7631" spans="1:3" x14ac:dyDescent="0.25">
      <c r="A7631" s="8" t="str">
        <f>"CORIA 2005 - 2eme Conference en Recherche d'Infomations et Applications"</f>
        <v>CORIA 2005 - 2eme Conference en Recherche d'Infomations et Applications</v>
      </c>
      <c r="B7631" s="8" t="str">
        <f t="shared" si="17"/>
        <v>-</v>
      </c>
      <c r="C7631" s="8" t="s">
        <v>1758</v>
      </c>
    </row>
    <row r="7632" spans="1:3" x14ac:dyDescent="0.25">
      <c r="A7632" s="8" t="str">
        <f>"CORIA 2006: Actes de la Troisieme Conference en Recherche d'Information et Applications - Proceedings of the Third Conference on Information Retrieval and Applications"</f>
        <v>CORIA 2006: Actes de la Troisieme Conference en Recherche d'Information et Applications - Proceedings of the Third Conference on Information Retrieval and Applications</v>
      </c>
      <c r="B7632" s="8" t="str">
        <f>"9782952032667"</f>
        <v>9782952032667</v>
      </c>
      <c r="C7632" s="8" t="s">
        <v>1759</v>
      </c>
    </row>
    <row r="7633" spans="1:3" x14ac:dyDescent="0.25">
      <c r="A7633" s="8" t="str">
        <f>"CORIA 2007: Actes de la Quatrieme Conference en Recherche d'Information et Applications - Proceedings of the Fourth Conference on Information Retrieval and Applications"</f>
        <v>CORIA 2007: Actes de la Quatrieme Conference en Recherche d'Information et Applications - Proceedings of the Fourth Conference on Information Retrieval and Applications</v>
      </c>
      <c r="B7633" s="8" t="str">
        <f>"9782862724522"</f>
        <v>9782862724522</v>
      </c>
      <c r="C7633" s="8" t="s">
        <v>1759</v>
      </c>
    </row>
    <row r="7634" spans="1:3" x14ac:dyDescent="0.25">
      <c r="A7634" s="8" t="str">
        <f>"CORIA 2008: Cinquieme Conference en Recherche d'Information et Applications - Fifth Conference on Information Retrieval and Applications"</f>
        <v>CORIA 2008: Cinquieme Conference en Recherche d'Information et Applications - Fifth Conference on Information Retrieval and Applications</v>
      </c>
      <c r="B7634" s="8" t="str">
        <f>"-"</f>
        <v>-</v>
      </c>
      <c r="C7634" s="8" t="s">
        <v>1759</v>
      </c>
    </row>
    <row r="7635" spans="1:3" x14ac:dyDescent="0.25">
      <c r="A7635" s="8" t="str">
        <f>"CORIA 2009: Actes de la Sixieme Conference Francophone en Recherche d'Information et Applications - Proceedings of the Sixth French Conference on Information Retrieval and Applications"</f>
        <v>CORIA 2009: Actes de la Sixieme Conference Francophone en Recherche d'Information et Applications - Proceedings of the Sixth French Conference on Information Retrieval and Applications</v>
      </c>
      <c r="B7635" s="8" t="str">
        <f>"9782952474719"</f>
        <v>9782952474719</v>
      </c>
      <c r="C7635" s="8" t="s">
        <v>1759</v>
      </c>
    </row>
    <row r="7636" spans="1:3" x14ac:dyDescent="0.25">
      <c r="A7636" s="8" t="str">
        <f>"CORIA 2010: Actes de la COnference en Recherche d'Information et Applications - Proceedings of the Conference on Information Retrieval and Applications"</f>
        <v>CORIA 2010: Actes de la COnference en Recherche d'Information et Applications - Proceedings of the Conference on Information Retrieval and Applications</v>
      </c>
      <c r="B7636" s="8" t="str">
        <f>"9789973375810"</f>
        <v>9789973375810</v>
      </c>
      <c r="C7636" s="8" t="s">
        <v>1759</v>
      </c>
    </row>
    <row r="7637" spans="1:3" x14ac:dyDescent="0.25">
      <c r="A7637" s="8" t="str">
        <f>"CORIA 2011: COnference en Recherche d'Information et Applications - Conference on Information Retrieval and Applications"</f>
        <v>CORIA 2011: COnference en Recherche d'Information et Applications - Conference on Information Retrieval and Applications</v>
      </c>
      <c r="B7637" s="8" t="str">
        <f>"9782357680241"</f>
        <v>9782357680241</v>
      </c>
      <c r="C7637" s="8" t="s">
        <v>1759</v>
      </c>
    </row>
    <row r="7638" spans="1:3" x14ac:dyDescent="0.25">
      <c r="A7638" s="8" t="str">
        <f>"CORIA 2012: Actes de la neuvieme COnference en Recherche d'Information et Applications - Proceedings of the 9th Conference on Information Retrieval and Applications"</f>
        <v>CORIA 2012: Actes de la neuvieme COnference en Recherche d'Information et Applications - Proceedings of the 9th Conference on Information Retrieval and Applications</v>
      </c>
      <c r="B7638" s="8" t="str">
        <f>"-"</f>
        <v>-</v>
      </c>
      <c r="C7638" s="8" t="s">
        <v>1759</v>
      </c>
    </row>
    <row r="7639" spans="1:3" x14ac:dyDescent="0.25">
      <c r="A7639" s="8" t="str">
        <f>"Cosmic Rays for Particle and Astroparticle Physics - Proceedings of the 12th ICATPP Conference"</f>
        <v>Cosmic Rays for Particle and Astroparticle Physics - Proceedings of the 12th ICATPP Conference</v>
      </c>
      <c r="B7639" s="8" t="str">
        <f>"9789814329026"</f>
        <v>9789814329026</v>
      </c>
      <c r="C7639" s="8" t="s">
        <v>157</v>
      </c>
    </row>
    <row r="7640" spans="1:3" x14ac:dyDescent="0.25">
      <c r="A7640" s="8" t="str">
        <f>"COSN 2013 - Proceedings of the 2013 Conference on Online Social Networks"</f>
        <v>COSN 2013 - Proceedings of the 2013 Conference on Online Social Networks</v>
      </c>
      <c r="B7640" s="8" t="str">
        <f>"9781450320849"</f>
        <v>9781450320849</v>
      </c>
      <c r="C7640" s="8" t="s">
        <v>21</v>
      </c>
    </row>
    <row r="7641" spans="1:3" x14ac:dyDescent="0.25">
      <c r="A7641" s="8" t="str">
        <f>"COSN 2014 - Proceedings of the 2014 ACM Conference on Online Social Networks"</f>
        <v>COSN 2014 - Proceedings of the 2014 ACM Conference on Online Social Networks</v>
      </c>
      <c r="B7641" s="8" t="str">
        <f>"9781450331982"</f>
        <v>9781450331982</v>
      </c>
      <c r="C7641" s="8" t="s">
        <v>1235</v>
      </c>
    </row>
    <row r="7642" spans="1:3" x14ac:dyDescent="0.25">
      <c r="A7642" s="8" t="str">
        <f>"Cost - Affordable Titanium, Symposium, dedicated to Professor Harvey Flower"</f>
        <v>Cost - Affordable Titanium, Symposium, dedicated to Professor Harvey Flower</v>
      </c>
      <c r="B7642" s="8" t="str">
        <f>"9780873395601"</f>
        <v>9780873395601</v>
      </c>
      <c r="C7642" s="8" t="s">
        <v>648</v>
      </c>
    </row>
    <row r="7643" spans="1:3" x14ac:dyDescent="0.25">
      <c r="A7643" s="8" t="str">
        <f>"COST ACTION C26: Urban Habitat Constructions under Catastrophic Events - Proceedings of the Final Conference"</f>
        <v>COST ACTION C26: Urban Habitat Constructions under Catastrophic Events - Proceedings of the Final Conference</v>
      </c>
      <c r="B7643" s="8" t="str">
        <f>"9780415606851"</f>
        <v>9780415606851</v>
      </c>
      <c r="C7643" s="8" t="s">
        <v>1635</v>
      </c>
    </row>
    <row r="7644" spans="1:3" x14ac:dyDescent="0.25">
      <c r="A7644" s="8" t="str">
        <f>"COST Action TU0905 Mid-Term Conference on Structural Glass - Proceedings of COST Action TU0905 Mid-Term Conference on Structural Glass"</f>
        <v>COST Action TU0905 Mid-Term Conference on Structural Glass - Proceedings of COST Action TU0905 Mid-Term Conference on Structural Glass</v>
      </c>
      <c r="B7644" s="8" t="str">
        <f>"9781138000445"</f>
        <v>9781138000445</v>
      </c>
      <c r="C7644" s="8" t="s">
        <v>1635</v>
      </c>
    </row>
    <row r="7645" spans="1:3" x14ac:dyDescent="0.25">
      <c r="A7645" s="8" t="str">
        <f>"Coupled Phenomena in Environmental Geotechnics: From Theoretical and Experimental Research to Practical Applications - Proceedings of the International Symposium, ISSMGE TC 215"</f>
        <v>Coupled Phenomena in Environmental Geotechnics: From Theoretical and Experimental Research to Practical Applications - Proceedings of the International Symposium, ISSMGE TC 215</v>
      </c>
      <c r="B7645" s="8" t="str">
        <f>"9781138000605"</f>
        <v>9781138000605</v>
      </c>
      <c r="C7645" s="8" t="s">
        <v>1619</v>
      </c>
    </row>
    <row r="7646" spans="1:3" x14ac:dyDescent="0.25">
      <c r="A7646" s="8" t="str">
        <f>"COUPLED PROBLEMS 2015 - Proceedings of the 6th International Conference on Coupled Problems in Science and Engineering"</f>
        <v>COUPLED PROBLEMS 2015 - Proceedings of the 6th International Conference on Coupled Problems in Science and Engineering</v>
      </c>
      <c r="B7646" s="8" t="str">
        <f>"9788494392832"</f>
        <v>9788494392832</v>
      </c>
      <c r="C7646" s="8" t="s">
        <v>1238</v>
      </c>
    </row>
    <row r="7647" spans="1:3" x14ac:dyDescent="0.25">
      <c r="A7647" s="8" t="str">
        <f>"CPE 2009 - 6th International Conference-Workshop - Compatability and Power Electronics"</f>
        <v>CPE 2009 - 6th International Conference-Workshop - Compatability and Power Electronics</v>
      </c>
      <c r="B7647" s="8" t="str">
        <f>"9781424428564"</f>
        <v>9781424428564</v>
      </c>
      <c r="C7647" s="8" t="s">
        <v>9</v>
      </c>
    </row>
    <row r="7648" spans="1:3" x14ac:dyDescent="0.25">
      <c r="A7648" s="8" t="str">
        <f>"CPSS 2015 - Proceedings of the 1st ACM Workshop on Cyber-Physical System Security, Part of ASIACCS 2015"</f>
        <v>CPSS 2015 - Proceedings of the 1st ACM Workshop on Cyber-Physical System Security, Part of ASIACCS 2015</v>
      </c>
      <c r="B7648" s="8" t="str">
        <f>"9781450334488"</f>
        <v>9781450334488</v>
      </c>
      <c r="C7648" s="8" t="s">
        <v>1235</v>
      </c>
    </row>
    <row r="7649" spans="1:3" x14ac:dyDescent="0.25">
      <c r="A7649" s="8" t="str">
        <f>"Creating Global Economies through Innovation and Knowledge Management Theory and Practice - Proceedings of the 12th International Business Information Management Association Conference, IBIMA 2009"</f>
        <v>Creating Global Economies through Innovation and Knowledge Management Theory and Practice - Proceedings of the 12th International Business Information Management Association Conference, IBIMA 2009</v>
      </c>
      <c r="B7649" s="8" t="str">
        <f>"9780982148914"</f>
        <v>9780982148914</v>
      </c>
      <c r="C7649" s="8" t="s">
        <v>1760</v>
      </c>
    </row>
    <row r="7650" spans="1:3" x14ac:dyDescent="0.25">
      <c r="A7650" s="8" t="str">
        <f>"Creativity and Cognition 2007, CC2007 - Seeding Creativity: Tools, Media, and Environments"</f>
        <v>Creativity and Cognition 2007, CC2007 - Seeding Creativity: Tools, Media, and Environments</v>
      </c>
      <c r="B7650" s="8" t="str">
        <f>"9781595937124"</f>
        <v>9781595937124</v>
      </c>
      <c r="C7650" s="8" t="s">
        <v>21</v>
      </c>
    </row>
    <row r="7651" spans="1:3" x14ac:dyDescent="0.25">
      <c r="A7651" s="8" t="str">
        <f>"Creativity and Cognition Proceedings 2005"</f>
        <v>Creativity and Cognition Proceedings 2005</v>
      </c>
      <c r="B7651" s="8" t="str">
        <f>"9781595930255"</f>
        <v>9781595930255</v>
      </c>
      <c r="C7651" s="8" t="s">
        <v>21</v>
      </c>
    </row>
    <row r="7652" spans="1:3" x14ac:dyDescent="0.25">
      <c r="A7652" s="8" t="str">
        <f>"Creep Deformation and Fracture, Design, and Life Extension - Proceedings of a Symposium sponsored by Materials Science and Technology 2005, MS and T'05"</f>
        <v>Creep Deformation and Fracture, Design, and Life Extension - Proceedings of a Symposium sponsored by Materials Science and Technology 2005, MS and T'05</v>
      </c>
      <c r="B7652" s="8" t="str">
        <f>"-"</f>
        <v>-</v>
      </c>
      <c r="C7652" s="8" t="s">
        <v>648</v>
      </c>
    </row>
    <row r="7653" spans="1:3" x14ac:dyDescent="0.25">
      <c r="A7653" s="8" t="str">
        <f>"Creep, Shrinkage and Durability Mechanics of Concrete and Concrete Structures - Proceedings of the 8th Int. Conference on Creep, Shrinkage and Durability Mechanics of Concrete and Concrete Structures"</f>
        <v>Creep, Shrinkage and Durability Mechanics of Concrete and Concrete Structures - Proceedings of the 8th Int. Conference on Creep, Shrinkage and Durability Mechanics of Concrete and Concrete Structures</v>
      </c>
      <c r="B7653" s="8" t="str">
        <f>"9780415485081"</f>
        <v>9780415485081</v>
      </c>
      <c r="C7653" s="8" t="s">
        <v>1637</v>
      </c>
    </row>
    <row r="7654" spans="1:3" x14ac:dyDescent="0.25">
      <c r="A7654" s="8" t="str">
        <f>"CriMiCo 2011 - 2011 21st International Crimean Conference: Microwave and Telecommunication Technology, Conference Proceedings"</f>
        <v>CriMiCo 2011 - 2011 21st International Crimean Conference: Microwave and Telecommunication Technology, Conference Proceedings</v>
      </c>
      <c r="B7654" s="8" t="str">
        <f>"9789663353562"</f>
        <v>9789663353562</v>
      </c>
      <c r="C7654" s="8" t="s">
        <v>9</v>
      </c>
    </row>
    <row r="7655" spans="1:3" x14ac:dyDescent="0.25">
      <c r="A7655" s="8" t="str">
        <f>"CriMiCo 2012 - 2012 22nd International Crimean Conference Microwave and Telecommunication Technology, Conference Proceedings"</f>
        <v>CriMiCo 2012 - 2012 22nd International Crimean Conference Microwave and Telecommunication Technology, Conference Proceedings</v>
      </c>
      <c r="B7655" s="8" t="str">
        <f>"9789663353760"</f>
        <v>9789663353760</v>
      </c>
      <c r="C7655" s="8" t="s">
        <v>9</v>
      </c>
    </row>
    <row r="7656" spans="1:3" x14ac:dyDescent="0.25">
      <c r="A7656" s="8" t="str">
        <f>"CriMiCo 2013 - 2013 23rd International Crimean Conference Microwave and Telecommunication Technology, Conference Proceedings"</f>
        <v>CriMiCo 2013 - 2013 23rd International Crimean Conference Microwave and Telecommunication Technology, Conference Proceedings</v>
      </c>
      <c r="B7656" s="8" t="str">
        <f>"9789663354019"</f>
        <v>9789663354019</v>
      </c>
      <c r="C7656" s="8" t="s">
        <v>9</v>
      </c>
    </row>
    <row r="7657" spans="1:3" x14ac:dyDescent="0.25">
      <c r="A7657" s="8" t="str">
        <f>"CriMiCo 2014 - 2014 24th International Crimean Conference Microwave and Telecommunication Technology, Conference Proceedings"</f>
        <v>CriMiCo 2014 - 2014 24th International Crimean Conference Microwave and Telecommunication Technology, Conference Proceedings</v>
      </c>
      <c r="B7657" s="8" t="str">
        <f>"9789663354163"</f>
        <v>9789663354163</v>
      </c>
      <c r="C7657" s="8" t="s">
        <v>105</v>
      </c>
    </row>
    <row r="7658" spans="1:3" x14ac:dyDescent="0.25">
      <c r="A7658" s="8" t="s">
        <v>1761</v>
      </c>
      <c r="B7658" s="8" t="str">
        <f>"-"</f>
        <v>-</v>
      </c>
      <c r="C7658" s="8" t="s">
        <v>1762</v>
      </c>
    </row>
    <row r="7659" spans="1:3" x14ac:dyDescent="0.25">
      <c r="A7659" s="8" t="str">
        <f>"CRIS 2006: Enabling Interaction and Quality: Beyond the Hanseatic League - 8th International Conference on Current Research Information Systems"</f>
        <v>CRIS 2006: Enabling Interaction and Quality: Beyond the Hanseatic League - 8th International Conference on Current Research Information Systems</v>
      </c>
      <c r="B7659" s="8" t="str">
        <f>"9789058675361"</f>
        <v>9789058675361</v>
      </c>
      <c r="C7659" s="8" t="s">
        <v>1763</v>
      </c>
    </row>
    <row r="7660" spans="1:3" x14ac:dyDescent="0.25">
      <c r="A7660" s="8" t="str">
        <f>"CRIS 2008: Get the Good CRIS Going - Ensuring Quality of Service for the User in the ERA - 9th International Conference on Current Research Information Systems"</f>
        <v>CRIS 2008: Get the Good CRIS Going - Ensuring Quality of Service for the User in the ERA - 9th International Conference on Current Research Information Systems</v>
      </c>
      <c r="B7660" s="8" t="str">
        <f>"9789616133388"</f>
        <v>9789616133388</v>
      </c>
      <c r="C7660" s="8" t="s">
        <v>1764</v>
      </c>
    </row>
    <row r="7661" spans="1:3" x14ac:dyDescent="0.25">
      <c r="A7661" s="8" t="str">
        <f>"CRIS 2010: Connecting Science with Society - The Role of Research Information in a Knowledge-Based Society - 10th International Conference on Current Research Information Systems"</f>
        <v>CRIS 2010: Connecting Science with Society - The Role of Research Information in a Knowledge-Based Society - 10th International Conference on Current Research Information Systems</v>
      </c>
      <c r="B7661" s="8" t="str">
        <f>"9788773079874"</f>
        <v>9788773079874</v>
      </c>
      <c r="C7661" s="8" t="s">
        <v>1765</v>
      </c>
    </row>
    <row r="7662" spans="1:3" x14ac:dyDescent="0.25">
      <c r="A7662" s="8" t="str">
        <f>"CRIS 2012: e-Infrastructures for Research and Innovation - Linking Information Systems to Improve Scientific Knowledge Production - 11th International Conf. on Current Research Information Systems"</f>
        <v>CRIS 2012: e-Infrastructures for Research and Innovation - Linking Information Systems to Improve Scientific Knowledge Production - 11th International Conf. on Current Research Information Systems</v>
      </c>
      <c r="B7662" s="8" t="str">
        <f>"9788086742335"</f>
        <v>9788086742335</v>
      </c>
      <c r="C7662" s="8" t="s">
        <v>1305</v>
      </c>
    </row>
    <row r="7663" spans="1:3" x14ac:dyDescent="0.25">
      <c r="A7663" s="8" t="str">
        <f>"Critical Computing - Between Sense and Sensibility - Proceedings of the 4th Decennial Aarhus Conference"</f>
        <v>Critical Computing - Between Sense and Sensibility - Proceedings of the 4th Decennial Aarhus Conference</v>
      </c>
      <c r="B7663" s="8" t="str">
        <f>"9781595932037"</f>
        <v>9781595932037</v>
      </c>
      <c r="C7663" s="8" t="s">
        <v>21</v>
      </c>
    </row>
    <row r="7664" spans="1:3" x14ac:dyDescent="0.25">
      <c r="A7664" s="8" t="str">
        <f>"CrowdMM 2012 - Proceedings of the 2012 ACM Workshop on Crowdsourcing for Multimedia, Co-located with ACM Multimedia 2012"</f>
        <v>CrowdMM 2012 - Proceedings of the 2012 ACM Workshop on Crowdsourcing for Multimedia, Co-located with ACM Multimedia 2012</v>
      </c>
      <c r="B7664" s="8" t="str">
        <f>"9781450315890"</f>
        <v>9781450315890</v>
      </c>
      <c r="C7664" s="8" t="s">
        <v>21</v>
      </c>
    </row>
    <row r="7665" spans="1:3" x14ac:dyDescent="0.25">
      <c r="A7665" s="8" t="str">
        <f>"CrowdMM 2013 - Proceedings of the 2nd ACM International Workshop on Crowdsourcing for Multimedia"</f>
        <v>CrowdMM 2013 - Proceedings of the 2nd ACM International Workshop on Crowdsourcing for Multimedia</v>
      </c>
      <c r="B7665" s="8" t="str">
        <f>"9781450323963"</f>
        <v>9781450323963</v>
      </c>
      <c r="C7665" s="8" t="s">
        <v>21</v>
      </c>
    </row>
    <row r="7666" spans="1:3" x14ac:dyDescent="0.25">
      <c r="A7666" s="8" t="str">
        <f>"CrowdMM 2014 - Proceedings of the International Workshop on Crowdsourcing for Multimedia, Workshop of MM 2014"</f>
        <v>CrowdMM 2014 - Proceedings of the International Workshop on Crowdsourcing for Multimedia, Workshop of MM 2014</v>
      </c>
      <c r="B7666" s="8" t="str">
        <f>"9781450331289"</f>
        <v>9781450331289</v>
      </c>
      <c r="C7666" s="8" t="s">
        <v>1235</v>
      </c>
    </row>
    <row r="7667" spans="1:3" x14ac:dyDescent="0.25">
      <c r="A7667" s="8" t="str">
        <f>"CRV 2010 - 7th Canadian Conference on Computer and Robot Vision"</f>
        <v>CRV 2010 - 7th Canadian Conference on Computer and Robot Vision</v>
      </c>
      <c r="B7667" s="8" t="str">
        <f>"9780769540405"</f>
        <v>9780769540405</v>
      </c>
      <c r="C7667" s="8" t="s">
        <v>9</v>
      </c>
    </row>
    <row r="7668" spans="1:3" x14ac:dyDescent="0.25">
      <c r="A7668" s="8" t="str">
        <f>"CSAE 2012 - Proceedings, 2012 IEEE International Conference on Computer Science and Automation Engineering"</f>
        <v>CSAE 2012 - Proceedings, 2012 IEEE International Conference on Computer Science and Automation Engineering</v>
      </c>
      <c r="B7668" s="8" t="str">
        <f>"9781467300865"</f>
        <v>9781467300865</v>
      </c>
      <c r="C7668" s="8" t="s">
        <v>9</v>
      </c>
    </row>
    <row r="7669" spans="1:3" x14ac:dyDescent="0.25">
      <c r="A7669" s="8" t="str">
        <f>"CSCWD 2004 - 8th International Conference on Computer Supported Cooperative Work in Design - Proceedings"</f>
        <v>CSCWD 2004 - 8th International Conference on Computer Supported Cooperative Work in Design - Proceedings</v>
      </c>
      <c r="B7669" s="8" t="str">
        <f>"9780780379411"</f>
        <v>9780780379411</v>
      </c>
      <c r="C7669" s="8" t="s">
        <v>105</v>
      </c>
    </row>
    <row r="7670" spans="1:3" x14ac:dyDescent="0.25">
      <c r="A7670" s="8" t="str">
        <f>"CSEDU 2009 - Proceedings of the 1st International Conference on Computer Supported Education"</f>
        <v>CSEDU 2009 - Proceedings of the 1st International Conference on Computer Supported Education</v>
      </c>
      <c r="B7670" s="8" t="str">
        <f>"9789898111821"</f>
        <v>9789898111821</v>
      </c>
      <c r="C7670" s="8" t="s">
        <v>1680</v>
      </c>
    </row>
    <row r="7671" spans="1:3" x14ac:dyDescent="0.25">
      <c r="A7671" s="8" t="str">
        <f>"CSEDU 2010 - 2nd International Conference on Computer Supported Education, Proceedings"</f>
        <v>CSEDU 2010 - 2nd International Conference on Computer Supported Education, Proceedings</v>
      </c>
      <c r="B7671" s="8" t="str">
        <f>"9789896740238"</f>
        <v>9789896740238</v>
      </c>
      <c r="C7671" s="8" t="s">
        <v>1553</v>
      </c>
    </row>
    <row r="7672" spans="1:3" x14ac:dyDescent="0.25">
      <c r="A7672" s="8" t="str">
        <f>"CSEDU 2011 - Proceedings of the 3rd International Conference on Computer Supported Education"</f>
        <v>CSEDU 2011 - Proceedings of the 3rd International Conference on Computer Supported Education</v>
      </c>
      <c r="B7672" s="8" t="str">
        <f>"-"</f>
        <v>-</v>
      </c>
      <c r="C7672" s="8" t="s">
        <v>1680</v>
      </c>
    </row>
    <row r="7673" spans="1:3" x14ac:dyDescent="0.25">
      <c r="A7673" s="8" t="str">
        <f>"CSEDU 2012 - Proceedings of the 4th International Conference on Computer Supported Education"</f>
        <v>CSEDU 2012 - Proceedings of the 4th International Conference on Computer Supported Education</v>
      </c>
      <c r="B7673" s="8" t="str">
        <f>"9789898565068"</f>
        <v>9789898565068</v>
      </c>
      <c r="C7673" s="8" t="s">
        <v>394</v>
      </c>
    </row>
    <row r="7674" spans="1:3" x14ac:dyDescent="0.25">
      <c r="A7674" s="8" t="str">
        <f>"CSEDU 2013 - Proceedings of the 5th International Conference on Computer Supported Education"</f>
        <v>CSEDU 2013 - Proceedings of the 5th International Conference on Computer Supported Education</v>
      </c>
      <c r="B7674" s="8" t="str">
        <f>"9789898565532"</f>
        <v>9789898565532</v>
      </c>
      <c r="C7674" s="8" t="s">
        <v>1197</v>
      </c>
    </row>
    <row r="7675" spans="1:3" x14ac:dyDescent="0.25">
      <c r="A7675" s="8" t="str">
        <f>"CSEDU 2015 - 7th International Conference on Computer Supported Education, Proceedings"</f>
        <v>CSEDU 2015 - 7th International Conference on Computer Supported Education, Proceedings</v>
      </c>
      <c r="B7675" s="8" t="str">
        <f>"-"</f>
        <v>-</v>
      </c>
      <c r="C7675" s="8" t="s">
        <v>1197</v>
      </c>
    </row>
    <row r="7676" spans="1:3" x14ac:dyDescent="0.25">
      <c r="A7676" s="8" t="str">
        <f>"CSIIRW'08 - 4th Annual Cyber Security and Information Intelligence Research Workshop: Developing Strategies to Meet the Cyber Security and Information Intelligence Challenges Ahead"</f>
        <v>CSIIRW'08 - 4th Annual Cyber Security and Information Intelligence Research Workshop: Developing Strategies to Meet the Cyber Security and Information Intelligence Challenges Ahead</v>
      </c>
      <c r="B7676" s="8" t="str">
        <f>"9781605580982"</f>
        <v>9781605580982</v>
      </c>
      <c r="C7676" s="8" t="s">
        <v>21</v>
      </c>
    </row>
    <row r="7677" spans="1:3" x14ac:dyDescent="0.25">
      <c r="A7677" s="8" t="str">
        <f>"CSIT 2013 - 9th International Conference on Computer Science and Information Technologies, Revised Selected Papers"</f>
        <v>CSIT 2013 - 9th International Conference on Computer Science and Information Technologies, Revised Selected Papers</v>
      </c>
      <c r="B7677" s="8" t="str">
        <f>"9781479924615"</f>
        <v>9781479924615</v>
      </c>
      <c r="C7677" s="8" t="s">
        <v>9</v>
      </c>
    </row>
    <row r="7678" spans="1:3" x14ac:dyDescent="0.25">
      <c r="A7678" s="8" t="str">
        <f>"CSQRWC 2012 - 2012 Cross Strait Quad-Regional Radio Science and Wireless Technology Conference"</f>
        <v>CSQRWC 2012 - 2012 Cross Strait Quad-Regional Radio Science and Wireless Technology Conference</v>
      </c>
      <c r="B7678" s="8" t="str">
        <f>"9781467318679"</f>
        <v>9781467318679</v>
      </c>
      <c r="C7678" s="8" t="s">
        <v>9</v>
      </c>
    </row>
    <row r="7679" spans="1:3" x14ac:dyDescent="0.25">
      <c r="A7679" s="8" t="str">
        <f>"CSSim 2009 - 1st International Conference on Computational Intelligence, Modelling, and Simulation"</f>
        <v>CSSim 2009 - 1st International Conference on Computational Intelligence, Modelling, and Simulation</v>
      </c>
      <c r="B7679" s="8" t="str">
        <f>"9780769537955"</f>
        <v>9780769537955</v>
      </c>
      <c r="C7679" s="8" t="s">
        <v>9</v>
      </c>
    </row>
    <row r="7680" spans="1:3" x14ac:dyDescent="0.25">
      <c r="A7680" s="8" t="str">
        <f>"CSSR 2010 - 2010 International Conference on Science and Social Research"</f>
        <v>CSSR 2010 - 2010 International Conference on Science and Social Research</v>
      </c>
      <c r="B7680" s="8" t="str">
        <f>"9781424489862"</f>
        <v>9781424489862</v>
      </c>
      <c r="C7680" s="8" t="s">
        <v>9</v>
      </c>
    </row>
    <row r="7681" spans="1:3" x14ac:dyDescent="0.25">
      <c r="A7681" s="8" t="str">
        <f>"CSWS 2012 - Proceedings of the ACM Conference on the 2012 Capacity Sharing Workshop"</f>
        <v>CSWS 2012 - Proceedings of the ACM Conference on the 2012 Capacity Sharing Workshop</v>
      </c>
      <c r="B7681" s="8" t="str">
        <f>"9781450317801"</f>
        <v>9781450317801</v>
      </c>
      <c r="C7681" s="8" t="s">
        <v>21</v>
      </c>
    </row>
    <row r="7682" spans="1:3" x14ac:dyDescent="0.25">
      <c r="A7682" s="8" t="str">
        <f>"CSWWS 2006, 1st Canadian Semantic Web Working Symposium"</f>
        <v>CSWWS 2006, 1st Canadian Semantic Web Working Symposium</v>
      </c>
      <c r="B7682" s="8" t="str">
        <f>"9780387298153"</f>
        <v>9780387298153</v>
      </c>
      <c r="C7682" s="8" t="s">
        <v>162</v>
      </c>
    </row>
    <row r="7683" spans="1:3" x14ac:dyDescent="0.25">
      <c r="A7683" s="8" t="str">
        <f>"CTBUH 2005 - 7th World Congress Renewing the Urban Landscape, Proceedings"</f>
        <v>CTBUH 2005 - 7th World Congress Renewing the Urban Landscape, Proceedings</v>
      </c>
      <c r="B7683" s="8" t="str">
        <f>"-"</f>
        <v>-</v>
      </c>
      <c r="C7683" s="8" t="s">
        <v>1766</v>
      </c>
    </row>
    <row r="7684" spans="1:3" x14ac:dyDescent="0.25">
      <c r="A7684" s="8" t="str">
        <f>"CTBUH 2008, 8th World Congress - Tall and Green: Typology for a Sustainable Urban Future, Congress Proceedings"</f>
        <v>CTBUH 2008, 8th World Congress - Tall and Green: Typology for a Sustainable Urban Future, Congress Proceedings</v>
      </c>
      <c r="B7684" s="8" t="str">
        <f>"9780939493258"</f>
        <v>9780939493258</v>
      </c>
      <c r="C7684" s="8" t="s">
        <v>313</v>
      </c>
    </row>
    <row r="7685" spans="1:3" x14ac:dyDescent="0.25">
      <c r="A7685" s="8" t="str">
        <f>"CTRQ 2011 - 4th International Conference on Communication Theory, Reliability, and Quality of Service"</f>
        <v>CTRQ 2011 - 4th International Conference on Communication Theory, Reliability, and Quality of Service</v>
      </c>
      <c r="B7685" s="8" t="str">
        <f>"9781612081267"</f>
        <v>9781612081267</v>
      </c>
      <c r="C7685" s="8" t="s">
        <v>373</v>
      </c>
    </row>
    <row r="7686" spans="1:3" x14ac:dyDescent="0.25">
      <c r="A7686" s="8" t="str">
        <f>"Current Development in Abrasive Technology - Proceedings of the 9th International Symposium on Advances in Abrasive Technology, ISAAT 2006"</f>
        <v>Current Development in Abrasive Technology - Proceedings of the 9th International Symposium on Advances in Abrasive Technology, ISAAT 2006</v>
      </c>
      <c r="B7686" s="8" t="str">
        <f>"9780958069281"</f>
        <v>9780958069281</v>
      </c>
      <c r="C7686" s="8" t="s">
        <v>1767</v>
      </c>
    </row>
    <row r="7687" spans="1:3" x14ac:dyDescent="0.25">
      <c r="A7687" s="8" t="str">
        <f>"Current Developments in Bioerosion"</f>
        <v>Current Developments in Bioerosion</v>
      </c>
      <c r="B7687" s="8" t="str">
        <f>"9783540775973"</f>
        <v>9783540775973</v>
      </c>
      <c r="C7687" s="8" t="s">
        <v>162</v>
      </c>
    </row>
    <row r="7688" spans="1:3" x14ac:dyDescent="0.25">
      <c r="A7688" s="8" t="str">
        <f>"Current Issues in Hospitality and Tourism Research and Innovations - Proceedings of the International Hospitality and Tourism Conference, IHTC 2012"</f>
        <v>Current Issues in Hospitality and Tourism Research and Innovations - Proceedings of the International Hospitality and Tourism Conference, IHTC 2012</v>
      </c>
      <c r="B7688" s="8" t="str">
        <f>"9780415621335"</f>
        <v>9780415621335</v>
      </c>
      <c r="C7688" s="8" t="s">
        <v>1619</v>
      </c>
    </row>
    <row r="7689" spans="1:3" x14ac:dyDescent="0.25">
      <c r="A7689" s="8" t="str">
        <f>"Current Issues of Science and Research in the Global World - Proceedings of the International Conference on Current Issues of Science and Research in the Global World"</f>
        <v>Current Issues of Science and Research in the Global World - Proceedings of the International Conference on Current Issues of Science and Research in the Global World</v>
      </c>
      <c r="B7689" s="8" t="str">
        <f>"9781138027398"</f>
        <v>9781138027398</v>
      </c>
      <c r="C7689" s="8" t="s">
        <v>1635</v>
      </c>
    </row>
    <row r="7690" spans="1:3" x14ac:dyDescent="0.25">
      <c r="A7690" s="8" t="str">
        <f>"CVMP 2009 - The 6th European Conference for Visual Media Production"</f>
        <v>CVMP 2009 - The 6th European Conference for Visual Media Production</v>
      </c>
      <c r="B7690" s="8" t="str">
        <f>"9780769538938"</f>
        <v>9780769538938</v>
      </c>
      <c r="C7690" s="8" t="s">
        <v>9</v>
      </c>
    </row>
    <row r="7691" spans="1:3" x14ac:dyDescent="0.25">
      <c r="A7691" s="8" t="str">
        <f>"CyberC 2009 - International Conference on Cyber-Enabled Distributed Computing and Knowledge Discovery"</f>
        <v>CyberC 2009 - International Conference on Cyber-Enabled Distributed Computing and Knowledge Discovery</v>
      </c>
      <c r="B7691" s="8" t="str">
        <f>"9781424452187"</f>
        <v>9781424452187</v>
      </c>
      <c r="C7691" s="8" t="s">
        <v>9</v>
      </c>
    </row>
    <row r="7692" spans="1:3" x14ac:dyDescent="0.25">
      <c r="A7692" s="8" t="str">
        <f>"CYCLOTRONS 2010 - 19th International Conference on Cyclotrons and Their Applications"</f>
        <v>CYCLOTRONS 2010 - 19th International Conference on Cyclotrons and Their Applications</v>
      </c>
      <c r="B7692" s="8" t="str">
        <f>"-"</f>
        <v>-</v>
      </c>
      <c r="C7692" s="8" t="s">
        <v>1768</v>
      </c>
    </row>
    <row r="7693" spans="1:3" x14ac:dyDescent="0.25">
      <c r="A7693" s="8" t="str">
        <f>"Dam Maintenance and Rehabilitation II - Proceedings of the 2nd International Congress on Dam Maintenance and Rehabilitation"</f>
        <v>Dam Maintenance and Rehabilitation II - Proceedings of the 2nd International Congress on Dam Maintenance and Rehabilitation</v>
      </c>
      <c r="B7693" s="8" t="str">
        <f>"9780415616485"</f>
        <v>9780415616485</v>
      </c>
      <c r="C7693" s="8" t="s">
        <v>1619</v>
      </c>
    </row>
    <row r="7694" spans="1:3" x14ac:dyDescent="0.25">
      <c r="A7694" s="8" t="str">
        <f>"Dam Protections against Overtopping and Accidental Leakage - Proceedings of the 1st International Seminar on Dam Protections Against Overtopping and Accidental Leakage"</f>
        <v>Dam Protections against Overtopping and Accidental Leakage - Proceedings of the 1st International Seminar on Dam Protections Against Overtopping and Accidental Leakage</v>
      </c>
      <c r="B7694" s="8" t="str">
        <f>"9781138028081"</f>
        <v>9781138028081</v>
      </c>
      <c r="C7694" s="8" t="s">
        <v>1635</v>
      </c>
    </row>
    <row r="7695" spans="1:3" x14ac:dyDescent="0.25">
      <c r="A7695" s="8" t="str">
        <f>"Damage and Fracture Mechanics: Failure Analysis of Engineering Materials and Structures"</f>
        <v>Damage and Fracture Mechanics: Failure Analysis of Engineering Materials and Structures</v>
      </c>
      <c r="B7695" s="8" t="str">
        <f>"9789048126682"</f>
        <v>9789048126682</v>
      </c>
      <c r="C7695" s="8" t="s">
        <v>162</v>
      </c>
    </row>
    <row r="7696" spans="1:3" x14ac:dyDescent="0.25">
      <c r="A7696" s="8" t="str">
        <f>"DAMP'10 - Proceedings of the 2010 ACM SIGPLAN Workshop on Declarative Aspects of Multicore Programming"</f>
        <v>DAMP'10 - Proceedings of the 2010 ACM SIGPLAN Workshop on Declarative Aspects of Multicore Programming</v>
      </c>
      <c r="B7696" s="8" t="str">
        <f>"9781605588599"</f>
        <v>9781605588599</v>
      </c>
      <c r="C7696" s="8" t="s">
        <v>21</v>
      </c>
    </row>
    <row r="7697" spans="1:3" x14ac:dyDescent="0.25">
      <c r="A7697" s="8" t="str">
        <f>"DAMP'11 - Proceedings of the 6th ACM Workshop on Declarative Aspects of Multicore Programming"</f>
        <v>DAMP'11 - Proceedings of the 6th ACM Workshop on Declarative Aspects of Multicore Programming</v>
      </c>
      <c r="B7697" s="8" t="str">
        <f>"9781450304863"</f>
        <v>9781450304863</v>
      </c>
      <c r="C7697" s="8" t="s">
        <v>21</v>
      </c>
    </row>
    <row r="7698" spans="1:3" x14ac:dyDescent="0.25">
      <c r="A7698" s="8" t="str">
        <f>"Dams and Reservoirs under Changing Challenges - Proceedings of the International Symposium on Dams and Reservoirs under Changing Challenges - 79 Annual Meeting of ICOLD, Swiss Committee on Dams"</f>
        <v>Dams and Reservoirs under Changing Challenges - Proceedings of the International Symposium on Dams and Reservoirs under Changing Challenges - 79 Annual Meeting of ICOLD, Swiss Committee on Dams</v>
      </c>
      <c r="B7698" s="8" t="str">
        <f>"9780415682671"</f>
        <v>9780415682671</v>
      </c>
      <c r="C7698" s="8" t="s">
        <v>1619</v>
      </c>
    </row>
    <row r="7699" spans="1:3" x14ac:dyDescent="0.25">
      <c r="A7699" s="8" t="str">
        <f>"DAS 2008 - Proceedings of the 8th IAPR International Workshop on Document Analysis Systems"</f>
        <v>DAS 2008 - Proceedings of the 8th IAPR International Workshop on Document Analysis Systems</v>
      </c>
      <c r="B7699" s="8" t="str">
        <f>"9780769533377"</f>
        <v>9780769533377</v>
      </c>
      <c r="C7699" s="8" t="s">
        <v>9</v>
      </c>
    </row>
    <row r="7700" spans="1:3" x14ac:dyDescent="0.25">
      <c r="A7700" s="8" t="str">
        <f>"DATA 2012 - Proceedings of the International Conference on Data Technologies and Applications"</f>
        <v>DATA 2012 - Proceedings of the International Conference on Data Technologies and Applications</v>
      </c>
      <c r="B7700" s="8" t="str">
        <f>"9789898565181"</f>
        <v>9789898565181</v>
      </c>
      <c r="C7700" s="8" t="s">
        <v>1197</v>
      </c>
    </row>
    <row r="7701" spans="1:3" x14ac:dyDescent="0.25">
      <c r="A7701" s="8" t="str">
        <f>"DATA 2013 - Proceedings of the 2nd International Conference on Data Technologies and Applications"</f>
        <v>DATA 2013 - Proceedings of the 2nd International Conference on Data Technologies and Applications</v>
      </c>
      <c r="B7701" s="8" t="str">
        <f>"9789898565679"</f>
        <v>9789898565679</v>
      </c>
      <c r="C7701" s="8" t="s">
        <v>1197</v>
      </c>
    </row>
    <row r="7702" spans="1:3" x14ac:dyDescent="0.25">
      <c r="A7702" s="8" t="str">
        <f>"DATA 2014 - Proceedings of 3rd International Conference on Data Management Technologies and Applications"</f>
        <v>DATA 2014 - Proceedings of 3rd International Conference on Data Management Technologies and Applications</v>
      </c>
      <c r="B7702" s="8" t="str">
        <f>"9789897580352"</f>
        <v>9789897580352</v>
      </c>
      <c r="C7702" s="8" t="s">
        <v>1197</v>
      </c>
    </row>
    <row r="7703" spans="1:3" x14ac:dyDescent="0.25">
      <c r="A7703" s="8" t="str">
        <f>"Data Quality and High-Dimensional Data Analysis - Proceedings of the DASFAA 2008 Workshops"</f>
        <v>Data Quality and High-Dimensional Data Analysis - Proceedings of the DASFAA 2008 Workshops</v>
      </c>
      <c r="B7703" s="8" t="str">
        <f>"9789814273480"</f>
        <v>9789814273480</v>
      </c>
      <c r="C7703" s="8" t="s">
        <v>157</v>
      </c>
    </row>
    <row r="7704" spans="1:3" x14ac:dyDescent="0.25">
      <c r="A7704" s="8" t="str">
        <f>"DataCloud'11 - Proceedings of the 2nd International Workshop on Data Intensive Computing in the Clouds, Co-located with SC'11"</f>
        <v>DataCloud'11 - Proceedings of the 2nd International Workshop on Data Intensive Computing in the Clouds, Co-located with SC'11</v>
      </c>
      <c r="B7704" s="8" t="str">
        <f>"9781450311441"</f>
        <v>9781450311441</v>
      </c>
      <c r="C7704" s="8" t="s">
        <v>21</v>
      </c>
    </row>
    <row r="7705" spans="1:3" x14ac:dyDescent="0.25">
      <c r="A7705" s="8" t="s">
        <v>1769</v>
      </c>
      <c r="B7705" s="8" t="str">
        <f>"9783885791973"</f>
        <v>9783885791973</v>
      </c>
      <c r="C7705" s="8" t="s">
        <v>833</v>
      </c>
    </row>
    <row r="7706" spans="1:3" x14ac:dyDescent="0.25">
      <c r="A7706" s="8" t="s">
        <v>1770</v>
      </c>
      <c r="B7706" s="8" t="str">
        <f>"9783885792383"</f>
        <v>9783885792383</v>
      </c>
      <c r="C7706" s="8" t="s">
        <v>833</v>
      </c>
    </row>
    <row r="7707" spans="1:3" x14ac:dyDescent="0.25">
      <c r="A7707" s="8" t="str">
        <f>"DBTest 2008 - Proceedings of the 1st International Workshop on Testing Database Systems"</f>
        <v>DBTest 2008 - Proceedings of the 1st International Workshop on Testing Database Systems</v>
      </c>
      <c r="B7707" s="8" t="str">
        <f>"9781605582337"</f>
        <v>9781605582337</v>
      </c>
      <c r="C7707" s="8" t="s">
        <v>21</v>
      </c>
    </row>
    <row r="7708" spans="1:3" x14ac:dyDescent="0.25">
      <c r="A7708" s="8" t="str">
        <f>"DBTest 2013 - Proceedings of the 6th International Workshop on Testing Database Systems, Co-located with ACM SIGMOD 2013"</f>
        <v>DBTest 2013 - Proceedings of the 6th International Workshop on Testing Database Systems, Co-located with ACM SIGMOD 2013</v>
      </c>
      <c r="B7708" s="8" t="str">
        <f>"9781450321518"</f>
        <v>9781450321518</v>
      </c>
      <c r="C7708" s="8" t="s">
        <v>21</v>
      </c>
    </row>
    <row r="7709" spans="1:3" x14ac:dyDescent="0.25">
      <c r="A7709" s="8" t="str">
        <f>"DCNET 2010 OPTICS 2010 - Proceedings of the International Conference on Data Communication Networking and International Conference on Optical Communication Systems"</f>
        <v>DCNET 2010 OPTICS 2010 - Proceedings of the International Conference on Data Communication Networking and International Conference on Optical Communication Systems</v>
      </c>
      <c r="B7709" s="8" t="str">
        <f>"9789898425256"</f>
        <v>9789898425256</v>
      </c>
      <c r="C7709" s="8" t="s">
        <v>1197</v>
      </c>
    </row>
    <row r="7710" spans="1:3" x14ac:dyDescent="0.25">
      <c r="A7710" s="8" t="str">
        <f>"DCNET 2011 OPTICS 2011 - Proceedings of the International Conference on Data Communication Networking and International Conference on Optical Communication System"</f>
        <v>DCNET 2011 OPTICS 2011 - Proceedings of the International Conference on Data Communication Networking and International Conference on Optical Communication System</v>
      </c>
      <c r="B7710" s="8" t="str">
        <f>"9789898425690"</f>
        <v>9789898425690</v>
      </c>
      <c r="C7710" s="8" t="s">
        <v>1680</v>
      </c>
    </row>
    <row r="7711" spans="1:3" x14ac:dyDescent="0.25">
      <c r="A7711" s="8" t="str">
        <f>"DCNET 2012, ICE-B 2012, OPTICS 2012 - Proceedings of the International Conference on Data Communication Networking, e-Business and Optical Communication Systems, ICETE"</f>
        <v>DCNET 2012, ICE-B 2012, OPTICS 2012 - Proceedings of the International Conference on Data Communication Networking, e-Business and Optical Communication Systems, ICETE</v>
      </c>
      <c r="B7711" s="8" t="str">
        <f>"9789898565235"</f>
        <v>9789898565235</v>
      </c>
      <c r="C7711" s="8" t="s">
        <v>1197</v>
      </c>
    </row>
    <row r="7712" spans="1:3" x14ac:dyDescent="0.25">
      <c r="A7712" s="8" t="str">
        <f>"DCNET 2013 - Proceedings of the 4th International Conference on Data Communication Networking"</f>
        <v>DCNET 2013 - Proceedings of the 4th International Conference on Data Communication Networking</v>
      </c>
      <c r="B7712" s="8" t="str">
        <f>"9789897581274"</f>
        <v>9789897581274</v>
      </c>
      <c r="C7712" s="8" t="s">
        <v>105</v>
      </c>
    </row>
    <row r="7713" spans="1:3" x14ac:dyDescent="0.25">
      <c r="A7713" s="8" t="str">
        <f>"DCNET 2014 - Proceedings of the 5th International Conference on Data Communication Networking, Part of ICETE 2014 - 11th International Joint Conference on e-Business and Telecommunications"</f>
        <v>DCNET 2014 - Proceedings of the 5th International Conference on Data Communication Networking, Part of ICETE 2014 - 11th International Joint Conference on e-Business and Telecommunications</v>
      </c>
      <c r="B7713" s="8" t="str">
        <f>"9789897580420"</f>
        <v>9789897580420</v>
      </c>
      <c r="C7713" s="8" t="s">
        <v>1197</v>
      </c>
    </row>
    <row r="7714" spans="1:3" x14ac:dyDescent="0.25">
      <c r="A7714" s="8" t="str">
        <f>"DCOSS '10 - International Conference on Distributed Computing in Sensor Systems, Adjunct Workshop Proceedings: IWSN, MobiSensors, Poster and Demo Sessions"</f>
        <v>DCOSS '10 - International Conference on Distributed Computing in Sensor Systems, Adjunct Workshop Proceedings: IWSN, MobiSensors, Poster and Demo Sessions</v>
      </c>
      <c r="B7714" s="8" t="str">
        <f>"9781424480760"</f>
        <v>9781424480760</v>
      </c>
      <c r="C7714" s="8" t="s">
        <v>9</v>
      </c>
    </row>
    <row r="7715" spans="1:3" x14ac:dyDescent="0.25">
      <c r="A7715" s="8" t="str">
        <f>"DD 2001 - International Seminar Day on Diffraction 2001, Proceedings"</f>
        <v>DD 2001 - International Seminar Day on Diffraction 2001, Proceedings</v>
      </c>
      <c r="B7715" s="8" t="str">
        <f>"9785799703660"</f>
        <v>9785799703660</v>
      </c>
      <c r="C7715" s="8" t="s">
        <v>105</v>
      </c>
    </row>
    <row r="7716" spans="1:3" x14ac:dyDescent="0.25">
      <c r="A7716" s="8" t="str">
        <f>"DD 2003 - International Seminar Day on Diffraction 2003, Proceedings"</f>
        <v>DD 2003 - International Seminar Day on Diffraction 2003, Proceedings</v>
      </c>
      <c r="B7716" s="8" t="str">
        <f>"9785941580705"</f>
        <v>9785941580705</v>
      </c>
      <c r="C7716" s="8" t="s">
        <v>105</v>
      </c>
    </row>
    <row r="7717" spans="1:3" x14ac:dyDescent="0.25">
      <c r="A7717" s="8" t="str">
        <f>"DDFP 2013 - Proceedings of the 2013 ACM SIGPLAN Workshop on Data Driven Functional Programming, Co-located with POPL 2013"</f>
        <v>DDFP 2013 - Proceedings of the 2013 ACM SIGPLAN Workshop on Data Driven Functional Programming, Co-located with POPL 2013</v>
      </c>
      <c r="B7717" s="8" t="str">
        <f>"9781450318716"</f>
        <v>9781450318716</v>
      </c>
      <c r="C7717" s="8" t="s">
        <v>21</v>
      </c>
    </row>
    <row r="7718" spans="1:3" x14ac:dyDescent="0.25">
      <c r="A7718" s="8" t="s">
        <v>1771</v>
      </c>
      <c r="B7718" s="8" t="str">
        <f>"9783885792291"</f>
        <v>9783885792291</v>
      </c>
      <c r="C7718" s="8" t="s">
        <v>833</v>
      </c>
    </row>
    <row r="7719" spans="1:3" x14ac:dyDescent="0.25">
      <c r="A7719" s="8" t="s">
        <v>1772</v>
      </c>
      <c r="B7719" s="8" t="str">
        <f>"-"</f>
        <v>-</v>
      </c>
      <c r="C7719" s="8" t="s">
        <v>833</v>
      </c>
    </row>
    <row r="7720" spans="1:3" x14ac:dyDescent="0.25">
      <c r="A7720" s="8" t="str">
        <f>"DEBS 2013 - Proceedings of the 7th ACM International Conference on Distributed Event-Based Systems"</f>
        <v>DEBS 2013 - Proceedings of the 7th ACM International Conference on Distributed Event-Based Systems</v>
      </c>
      <c r="B7720" s="8" t="str">
        <f>"9781450317580"</f>
        <v>9781450317580</v>
      </c>
      <c r="C7720" s="8" t="s">
        <v>21</v>
      </c>
    </row>
    <row r="7721" spans="1:3" x14ac:dyDescent="0.25">
      <c r="A7721" s="8" t="str">
        <f>"DEBS'11 - Proceedings of the 5th ACM International Conference on Distributed Event-Based Systems"</f>
        <v>DEBS'11 - Proceedings of the 5th ACM International Conference on Distributed Event-Based Systems</v>
      </c>
      <c r="B7721" s="8" t="str">
        <f>"9781450309059"</f>
        <v>9781450309059</v>
      </c>
      <c r="C7721" s="8" t="s">
        <v>21</v>
      </c>
    </row>
    <row r="7722" spans="1:3" x14ac:dyDescent="0.25">
      <c r="A7722" s="8" t="str">
        <f>"Decision and Simulation in Engineering and Management Science - International Conference on Modelling and Simulation, ICMS'04"</f>
        <v>Decision and Simulation in Engineering and Management Science - International Conference on Modelling and Simulation, ICMS'04</v>
      </c>
      <c r="B7722" s="8" t="str">
        <f>"9788468878676"</f>
        <v>9788468878676</v>
      </c>
      <c r="C7722" s="8" t="s">
        <v>1773</v>
      </c>
    </row>
    <row r="7723" spans="1:3" x14ac:dyDescent="0.25">
      <c r="A7723" s="8" t="str">
        <f>"Decommissioning, Decontamination, and Reutilization Topical Meeting 2010, DD and R 2010"</f>
        <v>Decommissioning, Decontamination, and Reutilization Topical Meeting 2010, DD and R 2010</v>
      </c>
      <c r="B7723" s="8" t="str">
        <f>"9781617820007"</f>
        <v>9781617820007</v>
      </c>
      <c r="C7723" s="8" t="s">
        <v>453</v>
      </c>
    </row>
    <row r="7724" spans="1:3" x14ac:dyDescent="0.25">
      <c r="A7724" s="8" t="str">
        <f>"Decommissioning, Decontamination, and Reutilization Topical Meeting 2012, DD and R 2012"</f>
        <v>Decommissioning, Decontamination, and Reutilization Topical Meeting 2012, DD and R 2012</v>
      </c>
      <c r="B7724" s="8" t="str">
        <f>"9781627480123"</f>
        <v>9781627480123</v>
      </c>
      <c r="C7724" s="8" t="s">
        <v>453</v>
      </c>
    </row>
    <row r="7725" spans="1:3" x14ac:dyDescent="0.25">
      <c r="A7725" s="8" t="str">
        <f>"Deep Foundations on Bored and Auger Piles - Proceedings of the 5th International Sumposium on Deep Foundations on Bored and Auger Piles, BAP 5"</f>
        <v>Deep Foundations on Bored and Auger Piles - Proceedings of the 5th International Sumposium on Deep Foundations on Bored and Auger Piles, BAP 5</v>
      </c>
      <c r="B7725" s="8" t="str">
        <f>"9780415475563"</f>
        <v>9780415475563</v>
      </c>
      <c r="C7725" s="8" t="s">
        <v>1637</v>
      </c>
    </row>
    <row r="7726" spans="1:3" x14ac:dyDescent="0.25">
      <c r="A7726" s="8" t="str">
        <f>"Deep Gas Conference and Exhibition 2010, DGAS 2010"</f>
        <v>Deep Gas Conference and Exhibition 2010, DGAS 2010</v>
      </c>
      <c r="B7726" s="8" t="str">
        <f>"9781617381065"</f>
        <v>9781617381065</v>
      </c>
      <c r="C7726" s="8" t="s">
        <v>671</v>
      </c>
    </row>
    <row r="7727" spans="1:3" x14ac:dyDescent="0.25">
      <c r="A7727" s="8" t="str">
        <f>"Deep Inelastic Scattering - Proceedings of the 14th International Workshop, DIS 2006"</f>
        <v>Deep Inelastic Scattering - Proceedings of the 14th International Workshop, DIS 2006</v>
      </c>
      <c r="B7727" s="8" t="str">
        <f>"9789812568717"</f>
        <v>9789812568717</v>
      </c>
      <c r="C7727" s="8" t="s">
        <v>157</v>
      </c>
    </row>
    <row r="7728" spans="1:3" x14ac:dyDescent="0.25">
      <c r="A7728" s="8" t="str">
        <f>"Deepwater Mooring Systems Concepts, Design Analysis, and Materials"</f>
        <v>Deepwater Mooring Systems Concepts, Design Analysis, and Materials</v>
      </c>
      <c r="B7728" s="8" t="str">
        <f>"9780784407011"</f>
        <v>9780784407011</v>
      </c>
      <c r="C7728" s="8" t="s">
        <v>111</v>
      </c>
    </row>
    <row r="7729" spans="1:3" x14ac:dyDescent="0.25">
      <c r="A7729" s="8" t="str">
        <f>"DEFECTS'08: 2008 International Symposium on Software Testing and Analysis - Proceedings of the 2008 Workshop on Defects in Large Software Systems 2008, DEFECTS'08"</f>
        <v>DEFECTS'08: 2008 International Symposium on Software Testing and Analysis - Proceedings of the 2008 Workshop on Defects in Large Software Systems 2008, DEFECTS'08</v>
      </c>
      <c r="B7729" s="8" t="str">
        <f>"9781605580517"</f>
        <v>9781605580517</v>
      </c>
      <c r="C7729" s="8" t="s">
        <v>21</v>
      </c>
    </row>
    <row r="7730" spans="1:3" x14ac:dyDescent="0.25">
      <c r="A7730" s="8" t="str">
        <f>"Deformation Characteristics of Geomaterials: Recent Investigations and Prospects"</f>
        <v>Deformation Characteristics of Geomaterials: Recent Investigations and Prospects</v>
      </c>
      <c r="B7730" s="8" t="str">
        <f>"9780415367011"</f>
        <v>9780415367011</v>
      </c>
      <c r="C7730" s="8" t="s">
        <v>1558</v>
      </c>
    </row>
    <row r="7731" spans="1:3" x14ac:dyDescent="0.25">
      <c r="A7731" s="8" t="str">
        <f>"DeLFI 2005 - 3rd Deutsche e-Learning Fachtagung Informatik, der Gesellschaft fur Informatik e.V. (GI)"</f>
        <v>DeLFI 2005 - 3rd Deutsche e-Learning Fachtagung Informatik, der Gesellschaft fur Informatik e.V. (GI)</v>
      </c>
      <c r="B7731" s="8" t="str">
        <f>"9783885793953"</f>
        <v>9783885793953</v>
      </c>
      <c r="C7731" s="8" t="s">
        <v>833</v>
      </c>
    </row>
    <row r="7732" spans="1:3" x14ac:dyDescent="0.25">
      <c r="A7732" s="8" t="str">
        <f>"DeLFI 2006 - 4th e-Learning Fachtagung Informatik"</f>
        <v>DeLFI 2006 - 4th e-Learning Fachtagung Informatik</v>
      </c>
      <c r="B7732" s="8" t="str">
        <f>"9783885791812"</f>
        <v>9783885791812</v>
      </c>
      <c r="C7732" s="8" t="s">
        <v>833</v>
      </c>
    </row>
    <row r="7733" spans="1:3" x14ac:dyDescent="0.25">
      <c r="A7733" s="8" t="str">
        <f>"DeLFI 2007 - 5th e-Learning Fachtagung Informatik"</f>
        <v>DeLFI 2007 - 5th e-Learning Fachtagung Informatik</v>
      </c>
      <c r="B7733" s="8" t="str">
        <f>"9783885792055"</f>
        <v>9783885792055</v>
      </c>
      <c r="C7733" s="8" t="s">
        <v>833</v>
      </c>
    </row>
    <row r="7734" spans="1:3" x14ac:dyDescent="0.25">
      <c r="A7734" s="8" t="str">
        <f>"DeLFI 2008 - 6th e-Learning Fachtagung Informatik der Gesellschaft fur Informatik e.V"</f>
        <v>DeLFI 2008 - 6th e-Learning Fachtagung Informatik der Gesellschaft fur Informatik e.V</v>
      </c>
      <c r="B7734" s="8" t="str">
        <f>"9783885792260"</f>
        <v>9783885792260</v>
      </c>
      <c r="C7734" s="8" t="s">
        <v>833</v>
      </c>
    </row>
    <row r="7735" spans="1:3" x14ac:dyDescent="0.25">
      <c r="A7735" s="8" t="str">
        <f>"DeLFI 2009 - 7th E-Learning-Fachtagung Informatik der Gesellschaft fur Informatik e.V."</f>
        <v>DeLFI 2009 - 7th E-Learning-Fachtagung Informatik der Gesellschaft fur Informatik e.V.</v>
      </c>
      <c r="B7735" s="8" t="str">
        <f>"9783885792475"</f>
        <v>9783885792475</v>
      </c>
      <c r="C7735" s="8" t="s">
        <v>833</v>
      </c>
    </row>
    <row r="7736" spans="1:3" x14ac:dyDescent="0.25">
      <c r="A7736" s="8" t="str">
        <f>"DeLFI 2010 - 8th Tagung der Fachgruppe E-Learning der Gesellschaft fur Informatik e.V."</f>
        <v>DeLFI 2010 - 8th Tagung der Fachgruppe E-Learning der Gesellschaft fur Informatik e.V.</v>
      </c>
      <c r="B7736" s="8" t="str">
        <f>"9783885792635"</f>
        <v>9783885792635</v>
      </c>
      <c r="C7736" s="8" t="s">
        <v>833</v>
      </c>
    </row>
    <row r="7737" spans="1:3" x14ac:dyDescent="0.25">
      <c r="A7737" s="8" t="str">
        <f>"DeLFI 2011 - 9th e-Learning Fachtagung Informatik der Gesellschaft fur Informatik e.V."</f>
        <v>DeLFI 2011 - 9th e-Learning Fachtagung Informatik der Gesellschaft fur Informatik e.V.</v>
      </c>
      <c r="B7737" s="8" t="str">
        <f>"9783885792826"</f>
        <v>9783885792826</v>
      </c>
      <c r="C7737" s="8" t="s">
        <v>833</v>
      </c>
    </row>
    <row r="7738" spans="1:3" x14ac:dyDescent="0.25">
      <c r="A7738" s="8" t="str">
        <f>"Department of Defense - Proceedings of the HPCMP Users Group Conference 2007; High Performance Computing Modernization Program: A Bridge to Future Defense, DoD HPCMP UGC"</f>
        <v>Department of Defense - Proceedings of the HPCMP Users Group Conference 2007; High Performance Computing Modernization Program: A Bridge to Future Defense, DoD HPCMP UGC</v>
      </c>
      <c r="B7738" s="8" t="str">
        <f>"9780769530888"</f>
        <v>9780769530888</v>
      </c>
      <c r="C7738" s="8" t="s">
        <v>9</v>
      </c>
    </row>
    <row r="7739" spans="1:3" x14ac:dyDescent="0.25">
      <c r="A7739" s="8" t="str">
        <f>"Department of Defense High Performance Computing Modernization Program: Proceedings of the HPCMP Users Group Conference 2005"</f>
        <v>Department of Defense High Performance Computing Modernization Program: Proceedings of the HPCMP Users Group Conference 2005</v>
      </c>
      <c r="B7739" s="8" t="str">
        <f>"-"</f>
        <v>-</v>
      </c>
      <c r="C7739" s="8" t="s">
        <v>9</v>
      </c>
    </row>
    <row r="7740" spans="1:3" x14ac:dyDescent="0.25">
      <c r="A7740" s="8" t="str">
        <f>"Department of Defense Proceedings of the High Performance Computing Modernization Program - Users Group Conference, HPCMP-UGC 2009"</f>
        <v>Department of Defense Proceedings of the High Performance Computing Modernization Program - Users Group Conference, HPCMP-UGC 2009</v>
      </c>
      <c r="B7740" s="8" t="str">
        <f>"9780769539461"</f>
        <v>9780769539461</v>
      </c>
      <c r="C7740" s="8" t="s">
        <v>9</v>
      </c>
    </row>
    <row r="7741" spans="1:3" x14ac:dyDescent="0.25">
      <c r="A7741" s="8" t="str">
        <f>"Design and Application of the Worm Gear"</f>
        <v>Design and Application of the Worm Gear</v>
      </c>
      <c r="B7741" s="8" t="str">
        <f>"9780791801789"</f>
        <v>9780791801789</v>
      </c>
      <c r="C7741" s="8" t="s">
        <v>1308</v>
      </c>
    </row>
    <row r="7742" spans="1:3" x14ac:dyDescent="0.25">
      <c r="A7742" s="8" t="str">
        <f>"Design and Information in Biology - From Molecules to Systems"</f>
        <v>Design and Information in Biology - From Molecules to Systems</v>
      </c>
      <c r="B7742" s="8" t="str">
        <f>"9781853128530"</f>
        <v>9781853128530</v>
      </c>
      <c r="C7742" s="8" t="s">
        <v>1641</v>
      </c>
    </row>
    <row r="7743" spans="1:3" x14ac:dyDescent="0.25">
      <c r="A7743" s="8" t="str">
        <f>"Design and Manufacture for Sustainable Development 2003"</f>
        <v>Design and Manufacture for Sustainable Development 2003</v>
      </c>
      <c r="B7743" s="8" t="str">
        <f>"9781860584275"</f>
        <v>9781860584275</v>
      </c>
      <c r="C7743" s="8" t="s">
        <v>1645</v>
      </c>
    </row>
    <row r="7744" spans="1:3" x14ac:dyDescent="0.25">
      <c r="A7744" s="8" t="str">
        <f>"Design and Manufacture for Sustainable Development 2004"</f>
        <v>Design and Manufacture for Sustainable Development 2004</v>
      </c>
      <c r="B7744" s="8" t="str">
        <f>"9781860584701"</f>
        <v>9781860584701</v>
      </c>
      <c r="C7744" s="8" t="s">
        <v>1645</v>
      </c>
    </row>
    <row r="7745" spans="1:3" x14ac:dyDescent="0.25">
      <c r="A7745" s="8" t="str">
        <f>"Design Computing and Cognition '06"</f>
        <v>Design Computing and Cognition '06</v>
      </c>
      <c r="B7745" s="8" t="str">
        <f>"9781402051302"</f>
        <v>9781402051302</v>
      </c>
      <c r="C7745" s="8" t="s">
        <v>162</v>
      </c>
    </row>
    <row r="7746" spans="1:3" x14ac:dyDescent="0.25">
      <c r="A7746" s="8" t="str">
        <f>"Design Computing and Cognition '08 - Proceedings of the 3rd International Conference on Design Computing and Cognition"</f>
        <v>Design Computing and Cognition '08 - Proceedings of the 3rd International Conference on Design Computing and Cognition</v>
      </c>
      <c r="B7746" s="8" t="str">
        <f>"9781402087271"</f>
        <v>9781402087271</v>
      </c>
      <c r="C7746" s="8" t="s">
        <v>834</v>
      </c>
    </row>
    <row r="7747" spans="1:3" x14ac:dyDescent="0.25">
      <c r="A7747" s="8" t="str">
        <f>"Design Computing and Cognition '10"</f>
        <v>Design Computing and Cognition '10</v>
      </c>
      <c r="B7747" s="8" t="str">
        <f>"9789400705098"</f>
        <v>9789400705098</v>
      </c>
      <c r="C7747" s="8" t="s">
        <v>834</v>
      </c>
    </row>
    <row r="7748" spans="1:3" x14ac:dyDescent="0.25">
      <c r="A7748" s="8" t="str">
        <f>"Design Methods for Practice - 5th International Seminar and Workshop of Engineering Design Integrated Product Development, EDIProD 2006"</f>
        <v>Design Methods for Practice - 5th International Seminar and Workshop of Engineering Design Integrated Product Development, EDIProD 2006</v>
      </c>
      <c r="B7748" s="8" t="str">
        <f>"9788374810456"</f>
        <v>9788374810456</v>
      </c>
      <c r="C7748" s="8" t="s">
        <v>1231</v>
      </c>
    </row>
    <row r="7749" spans="1:3" x14ac:dyDescent="0.25">
      <c r="A7749" s="8" t="str">
        <f>"Design, Manufacturing and Applications of Composites: Proceedings of the 7th Joint Canada-Japan Workshop on Composites"</f>
        <v>Design, Manufacturing and Applications of Composites: Proceedings of the 7th Joint Canada-Japan Workshop on Composites</v>
      </c>
      <c r="B7749" s="8" t="str">
        <f>"9781932078961"</f>
        <v>9781932078961</v>
      </c>
      <c r="C7749" s="8" t="s">
        <v>757</v>
      </c>
    </row>
    <row r="7750" spans="1:3" x14ac:dyDescent="0.25">
      <c r="A7750" s="8" t="str">
        <f>"Designcon 2009"</f>
        <v>Designcon 2009</v>
      </c>
      <c r="B7750" s="8" t="str">
        <f>"9781615670499"</f>
        <v>9781615670499</v>
      </c>
      <c r="C7750" s="8" t="s">
        <v>1774</v>
      </c>
    </row>
    <row r="7751" spans="1:3" x14ac:dyDescent="0.25">
      <c r="A7751" s="8" t="str">
        <f>"DesignCon 2010"</f>
        <v>DesignCon 2010</v>
      </c>
      <c r="B7751" s="8" t="str">
        <f>"9781617385469"</f>
        <v>9781617385469</v>
      </c>
      <c r="C7751" s="8" t="s">
        <v>1775</v>
      </c>
    </row>
    <row r="7752" spans="1:3" x14ac:dyDescent="0.25">
      <c r="A7752" s="8" t="str">
        <f>"DesignCon 2011"</f>
        <v>DesignCon 2011</v>
      </c>
      <c r="B7752" s="8" t="str">
        <f>"9781617824784"</f>
        <v>9781617824784</v>
      </c>
      <c r="C7752" s="8" t="s">
        <v>1775</v>
      </c>
    </row>
    <row r="7753" spans="1:3" x14ac:dyDescent="0.25">
      <c r="A7753" s="8" t="str">
        <f>"DesignCon 2012: Where Chipheads Connect"</f>
        <v>DesignCon 2012: Where Chipheads Connect</v>
      </c>
      <c r="B7753" s="8" t="str">
        <f>"9781622766451"</f>
        <v>9781622766451</v>
      </c>
      <c r="C7753" s="8" t="s">
        <v>1776</v>
      </c>
    </row>
    <row r="7754" spans="1:3" x14ac:dyDescent="0.25">
      <c r="A7754" s="8" t="str">
        <f>"DesignCon 2013: Where Chipheads Connect"</f>
        <v>DesignCon 2013: Where Chipheads Connect</v>
      </c>
      <c r="B7754" s="8" t="str">
        <f>"9781627484725"</f>
        <v>9781627484725</v>
      </c>
      <c r="C7754" s="8" t="s">
        <v>1776</v>
      </c>
    </row>
    <row r="7755" spans="1:3" x14ac:dyDescent="0.25">
      <c r="A7755" s="8" t="str">
        <f>"Designing Accessible Technology"</f>
        <v>Designing Accessible Technology</v>
      </c>
      <c r="B7755" s="8" t="str">
        <f>"9781846283642"</f>
        <v>9781846283642</v>
      </c>
      <c r="C7755" s="8" t="s">
        <v>62</v>
      </c>
    </row>
    <row r="7756" spans="1:3" x14ac:dyDescent="0.25">
      <c r="A7756" s="8" t="str">
        <f>"Designing Inclusive Futures"</f>
        <v>Designing Inclusive Futures</v>
      </c>
      <c r="B7756" s="8" t="str">
        <f>"9781848002104"</f>
        <v>9781848002104</v>
      </c>
      <c r="C7756" s="8" t="s">
        <v>62</v>
      </c>
    </row>
    <row r="7757" spans="1:3" x14ac:dyDescent="0.25">
      <c r="A7757" s="8" t="str">
        <f>"Designing Inclusive Interactions: Inclusive Interactions Between People and Products in Their Contexts of Use"</f>
        <v>Designing Inclusive Interactions: Inclusive Interactions Between People and Products in Their Contexts of Use</v>
      </c>
      <c r="B7757" s="8" t="str">
        <f>"9781849961653"</f>
        <v>9781849961653</v>
      </c>
      <c r="C7757" s="8" t="s">
        <v>62</v>
      </c>
    </row>
    <row r="7758" spans="1:3" x14ac:dyDescent="0.25">
      <c r="A7758" s="8" t="str">
        <f>"Designing Inclusive Systems: Designing Inclusion for Real-World Applications"</f>
        <v>Designing Inclusive Systems: Designing Inclusion for Real-World Applications</v>
      </c>
      <c r="B7758" s="8" t="str">
        <f>"9781447128663"</f>
        <v>9781447128663</v>
      </c>
      <c r="C7758" s="8" t="s">
        <v>62</v>
      </c>
    </row>
    <row r="7759" spans="1:3" x14ac:dyDescent="0.25">
      <c r="A7759" s="8" t="str">
        <f>"DESRIST 2007 Conference Proceedings - 2nd International Conference on Design Science Research in Information Systems and Technology"</f>
        <v>DESRIST 2007 Conference Proceedings - 2nd International Conference on Design Science Research in Information Systems and Technology</v>
      </c>
      <c r="B7759" s="8" t="str">
        <f>"-"</f>
        <v>-</v>
      </c>
      <c r="C7759" s="8" t="s">
        <v>1777</v>
      </c>
    </row>
    <row r="7760" spans="1:3" x14ac:dyDescent="0.25">
      <c r="A7760" s="8" t="str">
        <f>"Developing Ambient Intelligence - Proceedings of the First International Conference on Ambient Intelligence Developments, AmID 2006"</f>
        <v>Developing Ambient Intelligence - Proceedings of the First International Conference on Ambient Intelligence Developments, AmID 2006</v>
      </c>
      <c r="B7760" s="8" t="str">
        <f>"9782287474699"</f>
        <v>9782287474699</v>
      </c>
      <c r="C7760" s="8" t="s">
        <v>123</v>
      </c>
    </row>
    <row r="7761" spans="1:3" x14ac:dyDescent="0.25">
      <c r="A7761" s="8" t="str">
        <f>"Developing Ambient Intelligence - Proceedings of the International Conference on Ambient Intelligence Developments, AmI.d 2007"</f>
        <v>Developing Ambient Intelligence - Proceedings of the International Conference on Ambient Intelligence Developments, AmI.d 2007</v>
      </c>
      <c r="B7761" s="8" t="str">
        <f>"9782287785436"</f>
        <v>9782287785436</v>
      </c>
      <c r="C7761" s="8" t="s">
        <v>162</v>
      </c>
    </row>
    <row r="7762" spans="1:3" x14ac:dyDescent="0.25">
      <c r="A7762" s="8" t="str">
        <f>"Developments in Land Seismic Acquisition for Exploration"</f>
        <v>Developments in Land Seismic Acquisition for Exploration</v>
      </c>
      <c r="B7762" s="8" t="str">
        <f>"-"</f>
        <v>-</v>
      </c>
      <c r="C7762" s="8" t="s">
        <v>1251</v>
      </c>
    </row>
    <row r="7763" spans="1:3" x14ac:dyDescent="0.25">
      <c r="A7763" s="8" t="str">
        <f>"Developments in Maritime Transportation and Exploitation of Sea Resources - Proceedings of IMAM 2013, 15th International Congress of the International Maritime Association of the Mediterranean"</f>
        <v>Developments in Maritime Transportation and Exploitation of Sea Resources - Proceedings of IMAM 2013, 15th International Congress of the International Maritime Association of the Mediterranean</v>
      </c>
      <c r="B7763" s="8" t="str">
        <f>"-"</f>
        <v>-</v>
      </c>
      <c r="C7763" s="8" t="s">
        <v>1619</v>
      </c>
    </row>
    <row r="7764" spans="1:3" x14ac:dyDescent="0.25">
      <c r="A7764" s="8" t="str">
        <f>"Developments in Risk-Based Approaches to Safety - Proceedings of the 14th Safety-Critical Systems Symposium, SSS 2006"</f>
        <v>Developments in Risk-Based Approaches to Safety - Proceedings of the 14th Safety-Critical Systems Symposium, SSS 2006</v>
      </c>
      <c r="B7764" s="8" t="str">
        <f>"9781846283338"</f>
        <v>9781846283338</v>
      </c>
      <c r="C7764" s="8" t="s">
        <v>162</v>
      </c>
    </row>
    <row r="7765" spans="1:3" x14ac:dyDescent="0.25">
      <c r="A7765" s="8" t="str">
        <f>"DFRWS 2007 Annual Conference"</f>
        <v>DFRWS 2007 Annual Conference</v>
      </c>
      <c r="B7765" s="8" t="str">
        <f t="shared" ref="B7765:B7773" si="18">"-"</f>
        <v>-</v>
      </c>
      <c r="C7765" s="8" t="s">
        <v>1778</v>
      </c>
    </row>
    <row r="7766" spans="1:3" x14ac:dyDescent="0.25">
      <c r="A7766" s="8" t="str">
        <f>"DFRWS 2008 Annual Conference"</f>
        <v>DFRWS 2008 Annual Conference</v>
      </c>
      <c r="B7766" s="8" t="str">
        <f t="shared" si="18"/>
        <v>-</v>
      </c>
      <c r="C7766" s="8" t="s">
        <v>1778</v>
      </c>
    </row>
    <row r="7767" spans="1:3" x14ac:dyDescent="0.25">
      <c r="A7767" s="8" t="str">
        <f>"DFRWS 2009 Annual Conference"</f>
        <v>DFRWS 2009 Annual Conference</v>
      </c>
      <c r="B7767" s="8" t="str">
        <f t="shared" si="18"/>
        <v>-</v>
      </c>
      <c r="C7767" s="8" t="s">
        <v>1778</v>
      </c>
    </row>
    <row r="7768" spans="1:3" x14ac:dyDescent="0.25">
      <c r="A7768" s="8" t="str">
        <f>"DFRWS 2010 Annual Conference"</f>
        <v>DFRWS 2010 Annual Conference</v>
      </c>
      <c r="B7768" s="8" t="str">
        <f t="shared" si="18"/>
        <v>-</v>
      </c>
      <c r="C7768" s="8" t="s">
        <v>1778</v>
      </c>
    </row>
    <row r="7769" spans="1:3" x14ac:dyDescent="0.25">
      <c r="A7769" s="8" t="str">
        <f>"DFRWS 2011 Annual Conference"</f>
        <v>DFRWS 2011 Annual Conference</v>
      </c>
      <c r="B7769" s="8" t="str">
        <f t="shared" si="18"/>
        <v>-</v>
      </c>
      <c r="C7769" s="8" t="s">
        <v>1778</v>
      </c>
    </row>
    <row r="7770" spans="1:3" x14ac:dyDescent="0.25">
      <c r="A7770" s="8" t="str">
        <f>"DFX 2005: Proceedings of the 16th Symposium on Design for X"</f>
        <v>DFX 2005: Proceedings of the 16th Symposium on Design for X</v>
      </c>
      <c r="B7770" s="8" t="str">
        <f t="shared" si="18"/>
        <v>-</v>
      </c>
      <c r="C7770" s="8" t="s">
        <v>1231</v>
      </c>
    </row>
    <row r="7771" spans="1:3" x14ac:dyDescent="0.25">
      <c r="A7771" s="8" t="str">
        <f>"DFX 2006: Proceedings of the 17th Symposium on Design for X"</f>
        <v>DFX 2006: Proceedings of the 17th Symposium on Design for X</v>
      </c>
      <c r="B7771" s="8" t="str">
        <f t="shared" si="18"/>
        <v>-</v>
      </c>
      <c r="C7771" s="8" t="s">
        <v>1231</v>
      </c>
    </row>
    <row r="7772" spans="1:3" x14ac:dyDescent="0.25">
      <c r="A7772" s="8" t="str">
        <f>"DFX 2007: Proceedings of the 18th Symposium on Design for X"</f>
        <v>DFX 2007: Proceedings of the 18th Symposium on Design for X</v>
      </c>
      <c r="B7772" s="8" t="str">
        <f t="shared" si="18"/>
        <v>-</v>
      </c>
      <c r="C7772" s="8" t="s">
        <v>1231</v>
      </c>
    </row>
    <row r="7773" spans="1:3" x14ac:dyDescent="0.25">
      <c r="A7773" s="8" t="str">
        <f>"DFX 2008: Proceedings of the 19th Symposium on Design for X"</f>
        <v>DFX 2008: Proceedings of the 19th Symposium on Design for X</v>
      </c>
      <c r="B7773" s="8" t="str">
        <f t="shared" si="18"/>
        <v>-</v>
      </c>
      <c r="C7773" s="8" t="s">
        <v>1231</v>
      </c>
    </row>
    <row r="7774" spans="1:3" x14ac:dyDescent="0.25">
      <c r="A7774" s="8" t="str">
        <f>"DFX 2009: Proceedings of the 20th Symposium on Design for X"</f>
        <v>DFX 2009: Proceedings of the 20th Symposium on Design for X</v>
      </c>
      <c r="B7774" s="8" t="str">
        <f>"9783980853989"</f>
        <v>9783980853989</v>
      </c>
      <c r="C7774" s="8" t="s">
        <v>1231</v>
      </c>
    </row>
    <row r="7775" spans="1:3" x14ac:dyDescent="0.25">
      <c r="A7775" s="8" t="str">
        <f>"DFX 2010: Proceedings of the 21st Symposium on Design for X"</f>
        <v>DFX 2010: Proceedings of the 21st Symposium on Design for X</v>
      </c>
      <c r="B7775" s="8" t="str">
        <f>"9783941492233"</f>
        <v>9783941492233</v>
      </c>
      <c r="C7775" s="8" t="s">
        <v>581</v>
      </c>
    </row>
    <row r="7776" spans="1:3" x14ac:dyDescent="0.25">
      <c r="A7776" s="8" t="str">
        <f>"DFX 2011: Proceedings of the 22nd Symposium Design for X"</f>
        <v>DFX 2011: Proceedings of the 22nd Symposium Design for X</v>
      </c>
      <c r="B7776" s="8" t="str">
        <f>"9783941492370"</f>
        <v>9783941492370</v>
      </c>
      <c r="C7776" s="8" t="s">
        <v>1779</v>
      </c>
    </row>
    <row r="7777" spans="1:3" x14ac:dyDescent="0.25">
      <c r="A7777" s="8" t="str">
        <f>"DGMK International Conference on Catalysis - Innovative Applications in Petrochemistry and Refining"</f>
        <v>DGMK International Conference on Catalysis - Innovative Applications in Petrochemistry and Refining</v>
      </c>
      <c r="B7777" s="8" t="str">
        <f>"9783941721173"</f>
        <v>9783941721173</v>
      </c>
      <c r="C7777" s="8" t="s">
        <v>1780</v>
      </c>
    </row>
    <row r="7778" spans="1:3" x14ac:dyDescent="0.25">
      <c r="A7778" s="8" t="str">
        <f>"DIALM-POMC'08: Proceedings of the 5th International Workshop on Foundations of Mobile Computing"</f>
        <v>DIALM-POMC'08: Proceedings of the 5th International Workshop on Foundations of Mobile Computing</v>
      </c>
      <c r="B7778" s="8" t="str">
        <f>"9781605582443"</f>
        <v>9781605582443</v>
      </c>
      <c r="C7778" s="8" t="s">
        <v>21</v>
      </c>
    </row>
    <row r="7779" spans="1:3" x14ac:dyDescent="0.25">
      <c r="A7779" s="8" t="str">
        <f>"DIALM-POMC'08: Proceedings of the ACM 5th International Workshop on Foundations of Mobile Computing"</f>
        <v>DIALM-POMC'08: Proceedings of the ACM 5th International Workshop on Foundations of Mobile Computing</v>
      </c>
      <c r="B7779" s="8" t="str">
        <f>"9781605582443"</f>
        <v>9781605582443</v>
      </c>
      <c r="C7779" s="8" t="s">
        <v>21</v>
      </c>
    </row>
    <row r="7780" spans="1:3" x14ac:dyDescent="0.25">
      <c r="A7780" s="8" t="str">
        <f>"DIALM-POMC'08: Proceedings of the ACM 5th International Workshop on Foundations of Mobile Computing"</f>
        <v>DIALM-POMC'08: Proceedings of the ACM 5th International Workshop on Foundations of Mobile Computing</v>
      </c>
      <c r="B7780" s="8" t="str">
        <f>"9781605582443"</f>
        <v>9781605582443</v>
      </c>
      <c r="C7780" s="8" t="s">
        <v>21</v>
      </c>
    </row>
    <row r="7781" spans="1:3" x14ac:dyDescent="0.25">
      <c r="A7781" s="8" t="str">
        <f>"DICTA 2009 - Digital Image Computing: Techniques and Applications"</f>
        <v>DICTA 2009 - Digital Image Computing: Techniques and Applications</v>
      </c>
      <c r="B7781" s="8" t="str">
        <f>"9780769538662"</f>
        <v>9780769538662</v>
      </c>
      <c r="C7781" s="8" t="s">
        <v>9</v>
      </c>
    </row>
    <row r="7782" spans="1:3" x14ac:dyDescent="0.25">
      <c r="A7782" s="8" t="str">
        <f>"Did You Hear That? Concepts of Audibility and Inaudibility Meeting 2009, Proceedings of the Institute of Acoustics"</f>
        <v>Did You Hear That? Concepts of Audibility and Inaudibility Meeting 2009, Proceedings of the Institute of Acoustics</v>
      </c>
      <c r="B7782" s="8" t="str">
        <f>"9781615671984"</f>
        <v>9781615671984</v>
      </c>
      <c r="C7782" s="8" t="s">
        <v>27</v>
      </c>
    </row>
    <row r="7783" spans="1:3" x14ac:dyDescent="0.25">
      <c r="A7783" s="8" t="str">
        <f>"DIDC'11 - Proceedings of the 4th International Workshop on Data-Intensive Distributed Computing"</f>
        <v>DIDC'11 - Proceedings of the 4th International Workshop on Data-Intensive Distributed Computing</v>
      </c>
      <c r="B7783" s="8" t="str">
        <f>"9781450307048"</f>
        <v>9781450307048</v>
      </c>
      <c r="C7783" s="8" t="s">
        <v>21</v>
      </c>
    </row>
    <row r="7784" spans="1:3" x14ac:dyDescent="0.25">
      <c r="A7784" s="8" t="str">
        <f>"DIDC'12 - 5th International Workshop on Data-Intensive Distributed Computing"</f>
        <v>DIDC'12 - 5th International Workshop on Data-Intensive Distributed Computing</v>
      </c>
      <c r="B7784" s="8" t="str">
        <f>"9781450313414"</f>
        <v>9781450313414</v>
      </c>
      <c r="C7784" s="8" t="s">
        <v>21</v>
      </c>
    </row>
    <row r="7785" spans="1:3" x14ac:dyDescent="0.25">
      <c r="A7785" s="8" t="str">
        <f>"Diesel Exhaust: Partnering with Stakeholders to Reduce Emissions"</f>
        <v>Diesel Exhaust: Partnering with Stakeholders to Reduce Emissions</v>
      </c>
      <c r="B7785" s="8" t="str">
        <f>"-"</f>
        <v>-</v>
      </c>
      <c r="C7785" s="8" t="s">
        <v>10</v>
      </c>
    </row>
    <row r="7786" spans="1:3" x14ac:dyDescent="0.25">
      <c r="A7786" s="8" t="str">
        <f>"Differential Equations"</f>
        <v>Differential Equations</v>
      </c>
      <c r="B7786" s="8" t="str">
        <f>"9780521016872"</f>
        <v>9780521016872</v>
      </c>
      <c r="C7786" s="8" t="s">
        <v>152</v>
      </c>
    </row>
    <row r="7787" spans="1:3" x14ac:dyDescent="0.25">
      <c r="A7787" s="8" t="str">
        <f>"Differential Equations: Geometry, Symmetries and Integrability - The Abel Symposium 2008, Proceedings of the 5th Abel Symposium"</f>
        <v>Differential Equations: Geometry, Symmetries and Integrability - The Abel Symposium 2008, Proceedings of the 5th Abel Symposium</v>
      </c>
      <c r="B7787" s="8" t="str">
        <f>"9783642008726"</f>
        <v>9783642008726</v>
      </c>
      <c r="C7787" s="8" t="s">
        <v>42</v>
      </c>
    </row>
    <row r="7788" spans="1:3" x14ac:dyDescent="0.25">
      <c r="A7788" s="8" t="str">
        <f>"Digest of Papers - 2000 International Microprocesses and Nanotechnology Conference, MNC 2000"</f>
        <v>Digest of Papers - 2000 International Microprocesses and Nanotechnology Conference, MNC 2000</v>
      </c>
      <c r="B7788" s="8" t="str">
        <f>"9784891140045"</f>
        <v>9784891140045</v>
      </c>
      <c r="C7788" s="8" t="s">
        <v>105</v>
      </c>
    </row>
    <row r="7789" spans="1:3" x14ac:dyDescent="0.25">
      <c r="A7789" s="8" t="str">
        <f>"Digest of Papers - Microprocesses and Nanotechnology 2003 - 2003 International Microprocesses and Nanotechnology Conference, MNC 2003"</f>
        <v>Digest of Papers - Microprocesses and Nanotechnology 2003 - 2003 International Microprocesses and Nanotechnology Conference, MNC 2003</v>
      </c>
      <c r="B7789" s="8" t="str">
        <f>"9784891140403"</f>
        <v>9784891140403</v>
      </c>
      <c r="C7789" s="8" t="s">
        <v>105</v>
      </c>
    </row>
    <row r="7790" spans="1:3" x14ac:dyDescent="0.25">
      <c r="A7790" s="8" t="str">
        <f>"Digest of Papers - Microprocesses and Nanotechnology 2004"</f>
        <v>Digest of Papers - Microprocesses and Nanotechnology 2004</v>
      </c>
      <c r="B7790" s="8" t="str">
        <f>"9784990247201"</f>
        <v>9784990247201</v>
      </c>
      <c r="C7790" s="8" t="s">
        <v>1781</v>
      </c>
    </row>
    <row r="7791" spans="1:3" x14ac:dyDescent="0.25">
      <c r="A7791" s="8" t="str">
        <f>"Digest of Papers - Microprocesses and Nanotechnology 2005: 2005 International Microprocesses and Nanotechnology Conference"</f>
        <v>Digest of Papers - Microprocesses and Nanotechnology 2005: 2005 International Microprocesses and Nanotechnology Conference</v>
      </c>
      <c r="B7791" s="8" t="str">
        <f>"-"</f>
        <v>-</v>
      </c>
      <c r="C7791" s="8" t="s">
        <v>9</v>
      </c>
    </row>
    <row r="7792" spans="1:3" x14ac:dyDescent="0.25">
      <c r="A7792" s="8" t="str">
        <f>"Digest of Papers - Microprocesses and Nanotechnology 2007; 20th International Microprocesses and Nanotechnology Conference, MNC"</f>
        <v>Digest of Papers - Microprocesses and Nanotechnology 2007; 20th International Microprocesses and Nanotechnology Conference, MNC</v>
      </c>
      <c r="B7792" s="8" t="str">
        <f>"9784990247249"</f>
        <v>9784990247249</v>
      </c>
      <c r="C7792" s="8" t="s">
        <v>9</v>
      </c>
    </row>
    <row r="7793" spans="1:3" x14ac:dyDescent="0.25">
      <c r="A7793" s="8" t="str">
        <f>"Digest of Technical Papers - International Conference on Solid State Sensors and Actuators and Microsystems, TRANSDUCERS '05"</f>
        <v>Digest of Technical Papers - International Conference on Solid State Sensors and Actuators and Microsystems, TRANSDUCERS '05</v>
      </c>
      <c r="B7793" s="8" t="str">
        <f>"9780780389946"</f>
        <v>9780780389946</v>
      </c>
      <c r="C7793" s="8" t="s">
        <v>9</v>
      </c>
    </row>
    <row r="7794" spans="1:3" x14ac:dyDescent="0.25">
      <c r="A7794" s="8" t="str">
        <f>"Digest of the 9th International Conference on Optical Internet, COIN 2010"</f>
        <v>Digest of the 9th International Conference on Optical Internet, COIN 2010</v>
      </c>
      <c r="B7794" s="8" t="str">
        <f>"9781424471812"</f>
        <v>9781424471812</v>
      </c>
      <c r="C7794" s="8" t="s">
        <v>9</v>
      </c>
    </row>
    <row r="7795" spans="1:3" x14ac:dyDescent="0.25">
      <c r="A7795" s="8" t="str">
        <f>"Digest of the Asia-Pacific Magnetic Recording Conference 2002, APMRC 2002"</f>
        <v>Digest of the Asia-Pacific Magnetic Recording Conference 2002, APMRC 2002</v>
      </c>
      <c r="B7795" s="8" t="str">
        <f>"9780780375093"</f>
        <v>9780780375093</v>
      </c>
      <c r="C7795" s="8" t="s">
        <v>105</v>
      </c>
    </row>
    <row r="7796" spans="1:3" x14ac:dyDescent="0.25">
      <c r="A7796" s="8" t="str">
        <f>"Digest of the Asia-Pacific Magnetic Recording Conference 2010, APMRC 2010"</f>
        <v>Digest of the Asia-Pacific Magnetic Recording Conference 2010, APMRC 2010</v>
      </c>
      <c r="B7796" s="8" t="str">
        <f>"9789810860691"</f>
        <v>9789810860691</v>
      </c>
      <c r="C7796" s="8" t="s">
        <v>9</v>
      </c>
    </row>
    <row r="7797" spans="1:3" x14ac:dyDescent="0.25">
      <c r="A7797" s="8" t="str">
        <f>"Digests of the 2010 14th Biennial IEEE Conference on Electromagnetic Field Computation, CEFC 2010"</f>
        <v>Digests of the 2010 14th Biennial IEEE Conference on Electromagnetic Field Computation, CEFC 2010</v>
      </c>
      <c r="B7797" s="8" t="str">
        <f>"9781424470594"</f>
        <v>9781424470594</v>
      </c>
      <c r="C7797" s="8" t="s">
        <v>9</v>
      </c>
    </row>
    <row r="7798" spans="1:3" x14ac:dyDescent="0.25">
      <c r="A7798" s="8" t="str">
        <f>"Digital Energy Conference and Exhibition 2009"</f>
        <v>Digital Energy Conference and Exhibition 2009</v>
      </c>
      <c r="B7798" s="8" t="str">
        <f>"9781615670260"</f>
        <v>9781615670260</v>
      </c>
      <c r="C7798" s="8" t="s">
        <v>671</v>
      </c>
    </row>
    <row r="7799" spans="1:3" x14ac:dyDescent="0.25">
      <c r="A7799" s="8" t="str">
        <f>"Digital Fabrication 2005 - Final Program and Proceedings"</f>
        <v>Digital Fabrication 2005 - Final Program and Proceedings</v>
      </c>
      <c r="B7799" s="8" t="str">
        <f>"9780892082582"</f>
        <v>9780892082582</v>
      </c>
      <c r="C7799" s="8" t="s">
        <v>415</v>
      </c>
    </row>
    <row r="7800" spans="1:3" x14ac:dyDescent="0.25">
      <c r="A7800" s="8" t="str">
        <f>"Digital Fabrication 2006 - Final Program and Proceedings"</f>
        <v>Digital Fabrication 2006 - Final Program and Proceedings</v>
      </c>
      <c r="B7800" s="8" t="str">
        <f>"-"</f>
        <v>-</v>
      </c>
      <c r="C7800" s="8" t="s">
        <v>415</v>
      </c>
    </row>
    <row r="7801" spans="1:3" x14ac:dyDescent="0.25">
      <c r="A7801" s="8" t="str">
        <f>"Digital Forensic Research Workshop 2005"</f>
        <v>Digital Forensic Research Workshop 2005</v>
      </c>
      <c r="B7801" s="8" t="str">
        <f>"-"</f>
        <v>-</v>
      </c>
      <c r="C7801" s="8" t="s">
        <v>1778</v>
      </c>
    </row>
    <row r="7802" spans="1:3" x14ac:dyDescent="0.25">
      <c r="A7802" s="8" t="str">
        <f>"Digital Forensic Research Workshop 2006"</f>
        <v>Digital Forensic Research Workshop 2006</v>
      </c>
      <c r="B7802" s="8" t="str">
        <f>"-"</f>
        <v>-</v>
      </c>
      <c r="C7802" s="8" t="s">
        <v>1778</v>
      </c>
    </row>
    <row r="7803" spans="1:3" x14ac:dyDescent="0.25">
      <c r="A7803" s="8" t="str">
        <f>"Digital Holography and Three-Dimensional Imaging, DH 2012"</f>
        <v>Digital Holography and Three-Dimensional Imaging, DH 2012</v>
      </c>
      <c r="B7803" s="8" t="str">
        <f>"9781557529428"</f>
        <v>9781557529428</v>
      </c>
      <c r="C7803" s="8" t="s">
        <v>86</v>
      </c>
    </row>
    <row r="7804" spans="1:3" x14ac:dyDescent="0.25">
      <c r="A7804" s="8" t="str">
        <f>"Digital Holography and Three-Dimensional Imaging, DH 2013"</f>
        <v>Digital Holography and Three-Dimensional Imaging, DH 2013</v>
      </c>
      <c r="B7804" s="8" t="str">
        <f>"9781557529640"</f>
        <v>9781557529640</v>
      </c>
      <c r="C7804" s="8" t="s">
        <v>86</v>
      </c>
    </row>
    <row r="7805" spans="1:3" x14ac:dyDescent="0.25">
      <c r="A7805" s="8" t="str">
        <f>"Digital Holography and Three-Dimensional Imaging, DH 2015"</f>
        <v>Digital Holography and Three-Dimensional Imaging, DH 2015</v>
      </c>
      <c r="B7805" s="8" t="str">
        <f>"9781557529916"</f>
        <v>9781557529916</v>
      </c>
      <c r="C7805" s="8" t="s">
        <v>86</v>
      </c>
    </row>
    <row r="7806" spans="1:3" x14ac:dyDescent="0.25">
      <c r="A7806" s="8" t="str">
        <f>"Digital Human Modeling for Design and Engineering Conference and Exposition"</f>
        <v>Digital Human Modeling for Design and Engineering Conference and Exposition</v>
      </c>
      <c r="B7806" s="8" t="str">
        <f>"-"</f>
        <v>-</v>
      </c>
      <c r="C7806" s="8" t="s">
        <v>1040</v>
      </c>
    </row>
    <row r="7807" spans="1:3" x14ac:dyDescent="0.25">
      <c r="A7807" s="8" t="str">
        <f>"Digital Human Modeling for Design and Engineering Symposium"</f>
        <v>Digital Human Modeling for Design and Engineering Symposium</v>
      </c>
      <c r="B7807" s="8" t="str">
        <f>"-"</f>
        <v>-</v>
      </c>
      <c r="C7807" s="8" t="s">
        <v>1040</v>
      </c>
    </row>
    <row r="7808" spans="1:3" x14ac:dyDescent="0.25">
      <c r="A7808" s="8" t="str">
        <f>"Digital Information Exchange: Pathways to Build Global Information Society"</f>
        <v>Digital Information Exchange: Pathways to Build Global Information Society</v>
      </c>
      <c r="B7808" s="8" t="str">
        <f>"-"</f>
        <v>-</v>
      </c>
      <c r="C7808" s="8" t="s">
        <v>1782</v>
      </c>
    </row>
    <row r="7809" spans="1:3" x14ac:dyDescent="0.25">
      <c r="A7809" s="8" t="str">
        <f>"Digital Signal Processing for In-Vehicle Systems and Safety"</f>
        <v>Digital Signal Processing for In-Vehicle Systems and Safety</v>
      </c>
      <c r="B7809" s="8" t="str">
        <f>"9781441996060"</f>
        <v>9781441996060</v>
      </c>
      <c r="C7809" s="8" t="s">
        <v>834</v>
      </c>
    </row>
    <row r="7810" spans="1:3" x14ac:dyDescent="0.25">
      <c r="A7810" s="8" t="str">
        <f>"Digital Soil Assessments and Beyond - Proceedings of the Fifth Global Workshop on Digital Soil Mapping"</f>
        <v>Digital Soil Assessments and Beyond - Proceedings of the Fifth Global Workshop on Digital Soil Mapping</v>
      </c>
      <c r="B7810" s="8" t="str">
        <f>"9780415621557"</f>
        <v>9780415621557</v>
      </c>
      <c r="C7810" s="8" t="s">
        <v>1619</v>
      </c>
    </row>
    <row r="7811" spans="1:3" x14ac:dyDescent="0.25">
      <c r="A7811" s="8" t="str">
        <f>"Digital Spectrum: Integrating Technology and Culture - Proceedings of the 10th International Conference on Electronic Publishing, ELPUB 2006"</f>
        <v>Digital Spectrum: Integrating Technology and Culture - Proceedings of the 10th International Conference on Electronic Publishing, ELPUB 2006</v>
      </c>
      <c r="B7811" s="8" t="str">
        <f>"9789541600405"</f>
        <v>9789541600405</v>
      </c>
      <c r="C7811" s="8" t="s">
        <v>1783</v>
      </c>
    </row>
    <row r="7812" spans="1:3" x14ac:dyDescent="0.25">
      <c r="A7812" s="8" t="str">
        <f>"DIGITEL 2010 - The 3rd IEEE International Conference on Digital Game and Intelligent Toy Enhanced Learning"</f>
        <v>DIGITEL 2010 - The 3rd IEEE International Conference on Digital Game and Intelligent Toy Enhanced Learning</v>
      </c>
      <c r="B7812" s="8" t="str">
        <f>"9780769539935"</f>
        <v>9780769539935</v>
      </c>
      <c r="C7812" s="8" t="s">
        <v>9</v>
      </c>
    </row>
    <row r="7813" spans="1:3" x14ac:dyDescent="0.25">
      <c r="A7813" s="8" t="str">
        <f>"DIM'07 - Proceedings of the 2007 ACM Workshop on Digital Identity Management"</f>
        <v>DIM'07 - Proceedings of the 2007 ACM Workshop on Digital Identity Management</v>
      </c>
      <c r="B7813" s="8" t="str">
        <f>"9781595938893"</f>
        <v>9781595938893</v>
      </c>
      <c r="C7813" s="8" t="s">
        <v>21</v>
      </c>
    </row>
    <row r="7814" spans="1:3" x14ac:dyDescent="0.25">
      <c r="A7814" s="8" t="str">
        <f>"DIPAC 2009 - 9th European Workshop on Beam Diagnostics and Instrumentation for Particle Accelerators"</f>
        <v>DIPAC 2009 - 9th European Workshop on Beam Diagnostics and Instrumentation for Particle Accelerators</v>
      </c>
      <c r="B7814" s="8" t="str">
        <f>"-"</f>
        <v>-</v>
      </c>
      <c r="C7814" s="8" t="s">
        <v>1590</v>
      </c>
    </row>
    <row r="7815" spans="1:3" x14ac:dyDescent="0.25">
      <c r="A7815" s="8" t="str">
        <f>"DIPAC 2011 - Proceedings of the 10th European Workshop on Beam Diagnostics and Instrumentation for Particle Accelerators"</f>
        <v>DIPAC 2011 - Proceedings of the 10th European Workshop on Beam Diagnostics and Instrumentation for Particle Accelerators</v>
      </c>
      <c r="B7815" s="8" t="str">
        <f>"-"</f>
        <v>-</v>
      </c>
      <c r="C7815" s="8" t="s">
        <v>1359</v>
      </c>
    </row>
    <row r="7816" spans="1:3" x14ac:dyDescent="0.25">
      <c r="A7816" s="8" t="str">
        <f>"DIPED - 2011: 2011 16th International Seminar/Workshop on Direct and Inverse Problems of Electromagnetic and Acoustic Wave Theory, Proceedings"</f>
        <v>DIPED - 2011: 2011 16th International Seminar/Workshop on Direct and Inverse Problems of Electromagnetic and Acoustic Wave Theory, Proceedings</v>
      </c>
      <c r="B7816" s="8" t="str">
        <f>"9781457708978"</f>
        <v>9781457708978</v>
      </c>
      <c r="C7816" s="8" t="s">
        <v>9</v>
      </c>
    </row>
    <row r="7817" spans="1:3" x14ac:dyDescent="0.25">
      <c r="A7817" s="8" t="str">
        <f>"DIPED-2004: Proceedings of the 9th International Seminar/Workshop on Direct and Inverse Problems of Electromagnetic and Acoustic Wave Theory"</f>
        <v>DIPED-2004: Proceedings of the 9th International Seminar/Workshop on Direct and Inverse Problems of Electromagnetic and Acoustic Wave Theory</v>
      </c>
      <c r="B7817" s="8" t="str">
        <f>"-"</f>
        <v>-</v>
      </c>
      <c r="C7817" s="8" t="s">
        <v>1784</v>
      </c>
    </row>
    <row r="7818" spans="1:3" x14ac:dyDescent="0.25">
      <c r="A7818" s="8" t="str">
        <f>"DIPED-2006 - Proceedings of 11th International Seminar/Workshop on Direct and Inverse Problems of Electromagnetic and Acoustic Wave Theory"</f>
        <v>DIPED-2006 - Proceedings of 11th International Seminar/Workshop on Direct and Inverse Problems of Electromagnetic and Acoustic Wave Theory</v>
      </c>
      <c r="B7818" s="8" t="str">
        <f>"9789660238732"</f>
        <v>9789660238732</v>
      </c>
      <c r="C7818" s="8" t="s">
        <v>9</v>
      </c>
    </row>
    <row r="7819" spans="1:3" x14ac:dyDescent="0.25">
      <c r="A7819" s="8" t="str">
        <f>"DIPED-2008 - Proceedings of 13th International Seminar/Workshop on Direct and Inverse Problems of Electromagnetic and Acoustic Wave Theory"</f>
        <v>DIPED-2008 - Proceedings of 13th International Seminar/Workshop on Direct and Inverse Problems of Electromagnetic and Acoustic Wave Theory</v>
      </c>
      <c r="B7819" s="8" t="str">
        <f>"9789660246492"</f>
        <v>9789660246492</v>
      </c>
      <c r="C7819" s="8" t="s">
        <v>9</v>
      </c>
    </row>
    <row r="7820" spans="1:3" x14ac:dyDescent="0.25">
      <c r="A7820" s="8" t="str">
        <f>"DIPED-2009 Proceedings - 2009 International Seminar/Workshop on Direct and Inverse Problems of Electromagnetic and Acoustic Wave Theory"</f>
        <v>DIPED-2009 Proceedings - 2009 International Seminar/Workshop on Direct and Inverse Problems of Electromagnetic and Acoustic Wave Theory</v>
      </c>
      <c r="B7820" s="8" t="str">
        <f>"9781424442010"</f>
        <v>9781424442010</v>
      </c>
      <c r="C7820" s="8" t="s">
        <v>9</v>
      </c>
    </row>
    <row r="7821" spans="1:3" x14ac:dyDescent="0.25">
      <c r="A7821" s="8" t="str">
        <f>"DIPED-2010 - 15th International Seminar/Workshop on Direct and Inverse Problems of Electromagnetic and Acoustic Wave Theory, Proceedings"</f>
        <v>DIPED-2010 - 15th International Seminar/Workshop on Direct and Inverse Problems of Electromagnetic and Acoustic Wave Theory, Proceedings</v>
      </c>
      <c r="B7821" s="8" t="str">
        <f>"9789660256538"</f>
        <v>9789660256538</v>
      </c>
      <c r="C7821" s="8" t="s">
        <v>9</v>
      </c>
    </row>
    <row r="7822" spans="1:3" x14ac:dyDescent="0.25">
      <c r="A7822" s="8" t="str">
        <f>"Direct and Inverse Problems of Eletromagnetic and Acoustic Wave Theory"</f>
        <v>Direct and Inverse Problems of Eletromagnetic and Acoustic Wave Theory</v>
      </c>
      <c r="B7822" s="8" t="str">
        <f>"9789660214637"</f>
        <v>9789660214637</v>
      </c>
      <c r="C7822" s="8" t="s">
        <v>9</v>
      </c>
    </row>
    <row r="7823" spans="1:3" x14ac:dyDescent="0.25">
      <c r="A7823" s="8" t="str">
        <f>"DIS 2008 - Proceedings of the 16th International Workshop on Deep-Inelastic Scattering and Related Topics"</f>
        <v>DIS 2008 - Proceedings of the 16th International Workshop on Deep-Inelastic Scattering and Related Topics</v>
      </c>
      <c r="B7823" s="8" t="str">
        <f>"-"</f>
        <v>-</v>
      </c>
      <c r="C7823" s="8" t="s">
        <v>1279</v>
      </c>
    </row>
    <row r="7824" spans="1:3" x14ac:dyDescent="0.25">
      <c r="A7824" s="8" t="str">
        <f>"DIS 2009 - Proceedings of the 17th International Workshop on Deep-Inelastic Scattering and Related Topics"</f>
        <v>DIS 2009 - Proceedings of the 17th International Workshop on Deep-Inelastic Scattering and Related Topics</v>
      </c>
      <c r="B7824" s="8" t="str">
        <f>"-"</f>
        <v>-</v>
      </c>
      <c r="C7824" s="8" t="s">
        <v>1279</v>
      </c>
    </row>
    <row r="7825" spans="1:3" x14ac:dyDescent="0.25">
      <c r="A7825" s="8" t="str">
        <f>"DIS 2010 - Proceedings of the 8th ACM Conference on Designing Interactive Systems"</f>
        <v>DIS 2010 - Proceedings of the 8th ACM Conference on Designing Interactive Systems</v>
      </c>
      <c r="B7825" s="8" t="str">
        <f>"9781450301039"</f>
        <v>9781450301039</v>
      </c>
      <c r="C7825" s="8" t="s">
        <v>21</v>
      </c>
    </row>
    <row r="7826" spans="1:3" x14ac:dyDescent="0.25">
      <c r="A7826" s="8" t="str">
        <f>"DIS2004 - Designing Interactive Systems: Across the Spectrum"</f>
        <v>DIS2004 - Designing Interactive Systems: Across the Spectrum</v>
      </c>
      <c r="B7826" s="8" t="str">
        <f>"9781581137873"</f>
        <v>9781581137873</v>
      </c>
      <c r="C7826" s="8" t="s">
        <v>21</v>
      </c>
    </row>
    <row r="7827" spans="1:3" x14ac:dyDescent="0.25">
      <c r="A7827" s="8" t="str">
        <f>"Disposal of Hazardous Waste in Underground Mines"</f>
        <v>Disposal of Hazardous Waste in Underground Mines</v>
      </c>
      <c r="B7827" s="8" t="str">
        <f>"9781853127502"</f>
        <v>9781853127502</v>
      </c>
      <c r="C7827" s="8" t="s">
        <v>1641</v>
      </c>
    </row>
    <row r="7828" spans="1:3" x14ac:dyDescent="0.25">
      <c r="A7828" s="8" t="str">
        <f>"Distillation Symposium 2014 - Topical Conference at the 2014 AIChE Spring Meeting and 10th Global Congress on Process Safety"</f>
        <v>Distillation Symposium 2014 - Topical Conference at the 2014 AIChE Spring Meeting and 10th Global Congress on Process Safety</v>
      </c>
      <c r="B7828" s="8" t="str">
        <f>"9781634390651"</f>
        <v>9781634390651</v>
      </c>
      <c r="C7828" s="8" t="s">
        <v>1219</v>
      </c>
    </row>
    <row r="7829" spans="1:3" x14ac:dyDescent="0.25">
      <c r="A7829" s="8" t="str">
        <f>"Distillation Topical Conference and Separations Division Conference, Topical Conference at the 2008 AIChE Spring National Meeting"</f>
        <v>Distillation Topical Conference and Separations Division Conference, Topical Conference at the 2008 AIChE Spring National Meeting</v>
      </c>
      <c r="B7829" s="8" t="str">
        <f>"9781605602141"</f>
        <v>9781605602141</v>
      </c>
      <c r="C7829" s="8" t="s">
        <v>1219</v>
      </c>
    </row>
    <row r="7830" spans="1:3" x14ac:dyDescent="0.25">
      <c r="A7830" s="8" t="str">
        <f>"Distributed Autonomous Robotic Systems 7"</f>
        <v>Distributed Autonomous Robotic Systems 7</v>
      </c>
      <c r="B7830" s="8" t="str">
        <f>"9784431358787"</f>
        <v>9784431358787</v>
      </c>
      <c r="C7830" s="8" t="s">
        <v>1639</v>
      </c>
    </row>
    <row r="7831" spans="1:3" x14ac:dyDescent="0.25">
      <c r="A7831" s="8" t="str">
        <f>"Distributed Autonomous Robotic Systems 8"</f>
        <v>Distributed Autonomous Robotic Systems 8</v>
      </c>
      <c r="B7831" s="8" t="str">
        <f>"9783642006432"</f>
        <v>9783642006432</v>
      </c>
      <c r="C7831" s="8" t="s">
        <v>1639</v>
      </c>
    </row>
    <row r="7832" spans="1:3" x14ac:dyDescent="0.25">
      <c r="A7832" s="8" t="str">
        <f>"Distributed Systems Symposium and Exposition and Water Security Congress 2011"</f>
        <v>Distributed Systems Symposium and Exposition and Water Security Congress 2011</v>
      </c>
      <c r="B7832" s="8" t="str">
        <f>"9781618391834"</f>
        <v>9781618391834</v>
      </c>
      <c r="C7832" s="8" t="s">
        <v>651</v>
      </c>
    </row>
    <row r="7833" spans="1:3" x14ac:dyDescent="0.25">
      <c r="A7833" s="8" t="str">
        <f>"Distribution Systems Symposium and Exhibition 2009, DSS 2009"</f>
        <v>Distribution Systems Symposium and Exhibition 2009, DSS 2009</v>
      </c>
      <c r="B7833" s="8" t="str">
        <f>"9781615679751"</f>
        <v>9781615679751</v>
      </c>
      <c r="C7833" s="8" t="s">
        <v>651</v>
      </c>
    </row>
    <row r="7834" spans="1:3" x14ac:dyDescent="0.25">
      <c r="A7834" s="8" t="str">
        <f>"Distribution Systems Symposium and Water Security and Emergency Preparedness Conference and Exposition 2012, DSS 2012"</f>
        <v>Distribution Systems Symposium and Water Security and Emergency Preparedness Conference and Exposition 2012, DSS 2012</v>
      </c>
      <c r="B7834" s="8" t="str">
        <f>"9781627480208"</f>
        <v>9781627480208</v>
      </c>
      <c r="C7834" s="8" t="s">
        <v>651</v>
      </c>
    </row>
    <row r="7835" spans="1:3" x14ac:dyDescent="0.25">
      <c r="A7835" s="8" t="str">
        <f>"DIVANet 2013 - Proceedings of the 3rd ACM International Symposium on Design and Analysis of Intelligent Vehicular Networks and Applications, Co-located with ACM MSWiM 2013"</f>
        <v>DIVANet 2013 - Proceedings of the 3rd ACM International Symposium on Design and Analysis of Intelligent Vehicular Networks and Applications, Co-located with ACM MSWiM 2013</v>
      </c>
      <c r="B7835" s="8" t="str">
        <f>"9781450323581"</f>
        <v>9781450323581</v>
      </c>
      <c r="C7835" s="8" t="s">
        <v>21</v>
      </c>
    </row>
    <row r="7836" spans="1:3" x14ac:dyDescent="0.25">
      <c r="A7836" s="8" t="str">
        <f>"DIVANet 2014 - Proceedings of the 4th ACM Symposium on Development and Analysis of Intelligent Vehicular Networks and Applications"</f>
        <v>DIVANet 2014 - Proceedings of the 4th ACM Symposium on Development and Analysis of Intelligent Vehicular Networks and Applications</v>
      </c>
      <c r="B7836" s="8" t="str">
        <f>"9781450330282"</f>
        <v>9781450330282</v>
      </c>
      <c r="C7836" s="8" t="s">
        <v>1235</v>
      </c>
    </row>
    <row r="7837" spans="1:3" x14ac:dyDescent="0.25">
      <c r="A7837" s="8" t="str">
        <f>"DIVANet'11 - Proceedings of the 1st ACM International Symposium on Design and Analysis of Intelligent Vehicular Networks and Applications"</f>
        <v>DIVANet'11 - Proceedings of the 1st ACM International Symposium on Design and Analysis of Intelligent Vehicular Networks and Applications</v>
      </c>
      <c r="B7837" s="8" t="str">
        <f>"9781450309042"</f>
        <v>9781450309042</v>
      </c>
      <c r="C7837" s="8" t="s">
        <v>21</v>
      </c>
    </row>
    <row r="7838" spans="1:3" x14ac:dyDescent="0.25">
      <c r="A7838" s="8" t="str">
        <f>"DIVANet'12 - Proceedings of the ACM Workshop on Design and Analysis of Intelligent Vehicular Networks and Applications"</f>
        <v>DIVANet'12 - Proceedings of the ACM Workshop on Design and Analysis of Intelligent Vehicular Networks and Applications</v>
      </c>
      <c r="B7838" s="8" t="str">
        <f>"9781450316255"</f>
        <v>9781450316255</v>
      </c>
      <c r="C7838" s="8" t="s">
        <v>21</v>
      </c>
    </row>
    <row r="7839" spans="1:3" x14ac:dyDescent="0.25">
      <c r="A7839" s="8" t="str">
        <f>"DIWANS 2006 - Proceedings of the 2006 Workshop on Dependability Issues in Wireless Ad Hoc Networks and Sensor Networks (part of MobiCom 2006)"</f>
        <v>DIWANS 2006 - Proceedings of the 2006 Workshop on Dependability Issues in Wireless Ad Hoc Networks and Sensor Networks (part of MobiCom 2006)</v>
      </c>
      <c r="B7839" s="8" t="str">
        <f>"-"</f>
        <v>-</v>
      </c>
      <c r="C7839" s="8" t="s">
        <v>21</v>
      </c>
    </row>
    <row r="7840" spans="1:3" x14ac:dyDescent="0.25">
      <c r="A7840" s="8" t="str">
        <f>"Dixiemes Journees Francophones de Programmation par Contraintes, JFPC 2014"</f>
        <v>Dixiemes Journees Francophones de Programmation par Contraintes, JFPC 2014</v>
      </c>
      <c r="B7840" s="8" t="str">
        <f>"9781634391443"</f>
        <v>9781634391443</v>
      </c>
      <c r="C7840" s="8" t="s">
        <v>1785</v>
      </c>
    </row>
    <row r="7841" spans="1:3" x14ac:dyDescent="0.25">
      <c r="A7841" s="8" t="str">
        <f>"DLS 2013 - Proceedings of the 9th Symposium on Dynamic Languages, Co-located with SPLASH 2013"</f>
        <v>DLS 2013 - Proceedings of the 9th Symposium on Dynamic Languages, Co-located with SPLASH 2013</v>
      </c>
      <c r="B7841" s="8" t="str">
        <f>"9781450324335"</f>
        <v>9781450324335</v>
      </c>
      <c r="C7841" s="8" t="s">
        <v>21</v>
      </c>
    </row>
    <row r="7842" spans="1:3" x14ac:dyDescent="0.25">
      <c r="A7842" s="8" t="str">
        <f>"DLS 2014 - Proceedings of the 10th Symposium on Dynamic Languages, Part of SPLASH 2014"</f>
        <v>DLS 2014 - Proceedings of the 10th Symposium on Dynamic Languages, Part of SPLASH 2014</v>
      </c>
      <c r="B7842" s="8" t="str">
        <f>"9781450332118"</f>
        <v>9781450332118</v>
      </c>
      <c r="C7842" s="8" t="s">
        <v>1235</v>
      </c>
    </row>
    <row r="7843" spans="1:3" x14ac:dyDescent="0.25">
      <c r="A7843" s="8" t="str">
        <f>"DLS'08: Proceedings of the 2008 Symposium on Dynamic Languages"</f>
        <v>DLS'08: Proceedings of the 2008 Symposium on Dynamic Languages</v>
      </c>
      <c r="B7843" s="8" t="str">
        <f>"9781605582702"</f>
        <v>9781605582702</v>
      </c>
      <c r="C7843" s="8" t="s">
        <v>21</v>
      </c>
    </row>
    <row r="7844" spans="1:3" x14ac:dyDescent="0.25">
      <c r="A7844" s="8" t="str">
        <f>"DLS'11 - Proceedings of the 7th Symposium on Dynamic Languages"</f>
        <v>DLS'11 - Proceedings of the 7th Symposium on Dynamic Languages</v>
      </c>
      <c r="B7844" s="8" t="str">
        <f>"9781450309394"</f>
        <v>9781450309394</v>
      </c>
      <c r="C7844" s="8" t="s">
        <v>21</v>
      </c>
    </row>
    <row r="7845" spans="1:3" x14ac:dyDescent="0.25">
      <c r="A7845" s="8" t="str">
        <f>"DML 2008 - Towards Digital Mathematics Library, Proceedings"</f>
        <v>DML 2008 - Towards Digital Mathematics Library, Proceedings</v>
      </c>
      <c r="B7845" s="8" t="str">
        <f>"9788021046580"</f>
        <v>9788021046580</v>
      </c>
      <c r="C7845" s="8" t="s">
        <v>1786</v>
      </c>
    </row>
    <row r="7846" spans="1:3" x14ac:dyDescent="0.25">
      <c r="A7846" s="8" t="str">
        <f>"DML 2009 - Towards a Digital Mathematics Library, Proceedings"</f>
        <v>DML 2009 - Towards a Digital Mathematics Library, Proceedings</v>
      </c>
      <c r="B7846" s="8" t="str">
        <f>"9788021047815"</f>
        <v>9788021047815</v>
      </c>
      <c r="C7846" s="8" t="s">
        <v>1786</v>
      </c>
    </row>
    <row r="7847" spans="1:3" x14ac:dyDescent="0.25">
      <c r="A7847" s="8" t="str">
        <f>"DML 2010 - Towards a Digital Mathematics Library, Proceedings"</f>
        <v>DML 2010 - Towards a Digital Mathematics Library, Proceedings</v>
      </c>
      <c r="B7847" s="8" t="str">
        <f>"9788021052420"</f>
        <v>9788021052420</v>
      </c>
      <c r="C7847" s="8" t="s">
        <v>1786</v>
      </c>
    </row>
    <row r="7848" spans="1:3" x14ac:dyDescent="0.25">
      <c r="A7848" s="8" t="str">
        <f>"DML 2011 - Towards a Digital Mathematics Library, Proceedings"</f>
        <v>DML 2011 - Towards a Digital Mathematics Library, Proceedings</v>
      </c>
      <c r="B7848" s="8" t="str">
        <f>"9788021055421"</f>
        <v>9788021055421</v>
      </c>
      <c r="C7848" s="8" t="s">
        <v>1786</v>
      </c>
    </row>
    <row r="7849" spans="1:3" x14ac:dyDescent="0.25">
      <c r="A7849" s="8" t="str">
        <f>"DMS 2010 - Proceedings of the 16th International Conference on Distributed Multimedia Systems"</f>
        <v>DMS 2010 - Proceedings of the 16th International Conference on Distributed Multimedia Systems</v>
      </c>
      <c r="B7849" s="8" t="str">
        <f>"9781891706288"</f>
        <v>9781891706288</v>
      </c>
      <c r="C7849" s="8" t="s">
        <v>986</v>
      </c>
    </row>
    <row r="7850" spans="1:3" x14ac:dyDescent="0.25">
      <c r="A7850" s="8" t="str">
        <f>"DocEng 2011 - Proceedings of the 2011 ACM Symposium on Document Engineering"</f>
        <v>DocEng 2011 - Proceedings of the 2011 ACM Symposium on Document Engineering</v>
      </c>
      <c r="B7850" s="8" t="str">
        <f>"9781450308632"</f>
        <v>9781450308632</v>
      </c>
      <c r="C7850" s="8" t="s">
        <v>21</v>
      </c>
    </row>
    <row r="7851" spans="1:3" x14ac:dyDescent="0.25">
      <c r="A7851" s="8" t="str">
        <f>"DocEng 2012 - Proceedings of the 2012 ACM Symposium on Document Engineering"</f>
        <v>DocEng 2012 - Proceedings of the 2012 ACM Symposium on Document Engineering</v>
      </c>
      <c r="B7851" s="8" t="str">
        <f>"9781450311168"</f>
        <v>9781450311168</v>
      </c>
      <c r="C7851" s="8" t="s">
        <v>21</v>
      </c>
    </row>
    <row r="7852" spans="1:3" x14ac:dyDescent="0.25">
      <c r="A7852" s="8" t="str">
        <f>"DocEng 2013 - Proceedings of the 2013 ACM Symposium on Document Engineering"</f>
        <v>DocEng 2013 - Proceedings of the 2013 ACM Symposium on Document Engineering</v>
      </c>
      <c r="B7852" s="8" t="str">
        <f>"9781450317894"</f>
        <v>9781450317894</v>
      </c>
      <c r="C7852" s="8" t="s">
        <v>21</v>
      </c>
    </row>
    <row r="7853" spans="1:3" x14ac:dyDescent="0.25">
      <c r="A7853" s="8" t="str">
        <f>"DocEng 2014 - Proceedings of the 2014 ACM Symposium on Document Engineering"</f>
        <v>DocEng 2014 - Proceedings of the 2014 ACM Symposium on Document Engineering</v>
      </c>
      <c r="B7853" s="8" t="str">
        <f>"9781450329491"</f>
        <v>9781450329491</v>
      </c>
      <c r="C7853" s="8" t="s">
        <v>1235</v>
      </c>
    </row>
    <row r="7854" spans="1:3" x14ac:dyDescent="0.25">
      <c r="A7854" s="8" t="str">
        <f>"DocEng'07: Proceedings of the 2007 ACM Symposium on Document Engineering"</f>
        <v>DocEng'07: Proceedings of the 2007 ACM Symposium on Document Engineering</v>
      </c>
      <c r="B7854" s="8" t="str">
        <f>"9781595937766"</f>
        <v>9781595937766</v>
      </c>
      <c r="C7854" s="8" t="s">
        <v>21</v>
      </c>
    </row>
    <row r="7855" spans="1:3" x14ac:dyDescent="0.25">
      <c r="A7855" s="8" t="str">
        <f>"DocEng'08 - Proceedings of the 8th ACM Symposium on Document Engineering"</f>
        <v>DocEng'08 - Proceedings of the 8th ACM Symposium on Document Engineering</v>
      </c>
      <c r="B7855" s="8" t="str">
        <f>"9781605580814"</f>
        <v>9781605580814</v>
      </c>
      <c r="C7855" s="8" t="s">
        <v>21</v>
      </c>
    </row>
    <row r="7856" spans="1:3" x14ac:dyDescent="0.25">
      <c r="A7856" s="8" t="str">
        <f>"DocEng'09 - Proceedings of the 2009 ACM Symposium on Document Engineering"</f>
        <v>DocEng'09 - Proceedings of the 2009 ACM Symposium on Document Engineering</v>
      </c>
      <c r="B7856" s="8" t="str">
        <f>"9781605585758"</f>
        <v>9781605585758</v>
      </c>
      <c r="C7856" s="8" t="s">
        <v>21</v>
      </c>
    </row>
    <row r="7857" spans="1:3" x14ac:dyDescent="0.25">
      <c r="A7857" s="8" t="str">
        <f>"DocEng2010 - Proceedings of the 2010 ACM Symposium on Document Engineering"</f>
        <v>DocEng2010 - Proceedings of the 2010 ACM Symposium on Document Engineering</v>
      </c>
      <c r="B7857" s="8" t="str">
        <f>"9781450302319"</f>
        <v>9781450302319</v>
      </c>
      <c r="C7857" s="8" t="s">
        <v>21</v>
      </c>
    </row>
    <row r="7858" spans="1:3" x14ac:dyDescent="0.25">
      <c r="A7858" s="8" t="str">
        <f>"Doctoral Consortium on Software and Data Technologies - Proceedings of the Doctoral Consortium on Software and Data Technologies, DCSOFT 2008; In Conjunction with ICSOFT 2008"</f>
        <v>Doctoral Consortium on Software and Data Technologies - Proceedings of the Doctoral Consortium on Software and Data Technologies, DCSOFT 2008; In Conjunction with ICSOFT 2008</v>
      </c>
      <c r="B7858" s="8" t="str">
        <f>"9789898111548"</f>
        <v>9789898111548</v>
      </c>
      <c r="C7858" s="8" t="s">
        <v>1553</v>
      </c>
    </row>
    <row r="7859" spans="1:3" x14ac:dyDescent="0.25">
      <c r="A7859" s="8" t="str">
        <f>"Doctoral Student Consortia - Proceedings of the 21st International Conference on Computers in Education, ICCE 2013"</f>
        <v>Doctoral Student Consortia - Proceedings of the 21st International Conference on Computers in Education, ICCE 2013</v>
      </c>
      <c r="B7859" s="8" t="str">
        <f>"9786028040730"</f>
        <v>9786028040730</v>
      </c>
      <c r="C7859" s="8" t="s">
        <v>1787</v>
      </c>
    </row>
    <row r="7860" spans="1:3" x14ac:dyDescent="0.25">
      <c r="A7860" s="8" t="str">
        <f>"Doctoral Student Consortium (DSC) - Proceedings of the 22nd International Conference on Computers in Education, ICCE 2014"</f>
        <v>Doctoral Student Consortium (DSC) - Proceedings of the 22nd International Conference on Computers in Education, ICCE 2014</v>
      </c>
      <c r="B7860" s="8" t="str">
        <f>"9784990801434"</f>
        <v>9784990801434</v>
      </c>
      <c r="C7860" s="8" t="s">
        <v>1278</v>
      </c>
    </row>
    <row r="7861" spans="1:3" x14ac:dyDescent="0.25">
      <c r="A7861" s="8" t="str">
        <f>"Doctoral Student Consortium Proceedings of the 17th International Conference on Computers in Education, ICCE 2009"</f>
        <v>Doctoral Student Consortium Proceedings of the 17th International Conference on Computers in Education, ICCE 2009</v>
      </c>
      <c r="B7861" s="8" t="str">
        <f>"-"</f>
        <v>-</v>
      </c>
      <c r="C7861" s="8" t="s">
        <v>1278</v>
      </c>
    </row>
    <row r="7862" spans="1:3" x14ac:dyDescent="0.25">
      <c r="A7862" s="8" t="str">
        <f>"Doctoral Student Consortium Proceedings of the 18th International Conference on Computers in Education, ICCE 2010"</f>
        <v>Doctoral Student Consortium Proceedings of the 18th International Conference on Computers in Education, ICCE 2010</v>
      </c>
      <c r="B7862" s="8" t="str">
        <f>"9789834251239"</f>
        <v>9789834251239</v>
      </c>
      <c r="C7862" s="8" t="s">
        <v>1788</v>
      </c>
    </row>
    <row r="7863" spans="1:3" x14ac:dyDescent="0.25">
      <c r="A7863" s="8" t="str">
        <f>"Doctoral Student Consortium Proceedings of the 20th International Conference on Computers in Education, ICCE 2012"</f>
        <v>Doctoral Student Consortium Proceedings of the 20th International Conference on Computers in Education, ICCE 2012</v>
      </c>
      <c r="B7863" s="8" t="str">
        <f>"9789810746520"</f>
        <v>9789810746520</v>
      </c>
      <c r="C7863" s="8" t="s">
        <v>1789</v>
      </c>
    </row>
    <row r="7864" spans="1:3" x14ac:dyDescent="0.25">
      <c r="A7864" s="8" t="str">
        <f>"Document Electronique Dynamique - Le Multilinguisme - Actes du huitieme Colloque International sur le Document Electronique: CIDE.8"</f>
        <v>Document Electronique Dynamique - Le Multilinguisme - Actes du huitieme Colloque International sur le Document Electronique: CIDE.8</v>
      </c>
      <c r="B7864" s="8" t="str">
        <f>"9782909285313"</f>
        <v>9782909285313</v>
      </c>
      <c r="C7864" s="8" t="s">
        <v>1790</v>
      </c>
    </row>
    <row r="7865" spans="1:3" x14ac:dyDescent="0.25">
      <c r="A7865" s="8" t="str">
        <f>"Document Numerique Entre Permanence et Mutations - Actes du 13e Colloque International sur le Document Electronique, CIDE.13"</f>
        <v>Document Numerique Entre Permanence et Mutations - Actes du 13e Colloque International sur le Document Electronique, CIDE.13</v>
      </c>
      <c r="B7865" s="8" t="str">
        <f>"9782909285672"</f>
        <v>9782909285672</v>
      </c>
      <c r="C7865" s="8" t="s">
        <v>1790</v>
      </c>
    </row>
    <row r="7866" spans="1:3" x14ac:dyDescent="0.25">
      <c r="A7866" s="8" t="str">
        <f>"Do-Form: Enabling Domain Experts to Use Formalised Reasoning - AISB Convention 2013"</f>
        <v>Do-Form: Enabling Domain Experts to Use Formalised Reasoning - AISB Convention 2013</v>
      </c>
      <c r="B7866" s="8" t="str">
        <f>"9781908187321"</f>
        <v>9781908187321</v>
      </c>
      <c r="C7866" s="8" t="s">
        <v>1465</v>
      </c>
    </row>
    <row r="7867" spans="1:3" x14ac:dyDescent="0.25">
      <c r="A7867" s="8" t="str">
        <f>"DoSTA 2007: Workshop on Domain-Specific Approaches to Software Test Automation - In conjunction with the 6th ESEC/FSE Joint Meeting"</f>
        <v>DoSTA 2007: Workshop on Domain-Specific Approaches to Software Test Automation - In conjunction with the 6th ESEC/FSE Joint Meeting</v>
      </c>
      <c r="B7867" s="8" t="str">
        <f>"9781595937261"</f>
        <v>9781595937261</v>
      </c>
      <c r="C7867" s="8" t="s">
        <v>21</v>
      </c>
    </row>
    <row r="7868" spans="1:3" x14ac:dyDescent="0.25">
      <c r="A7868" s="8" t="str">
        <f>"DPPI'11 - Designing Pleasurable Products and Interfaces, Proceedings"</f>
        <v>DPPI'11 - Designing Pleasurable Products and Interfaces, Proceedings</v>
      </c>
      <c r="B7868" s="8" t="str">
        <f>"9781450312806"</f>
        <v>9781450312806</v>
      </c>
      <c r="C7868" s="8" t="s">
        <v>21</v>
      </c>
    </row>
    <row r="7869" spans="1:3" x14ac:dyDescent="0.25">
      <c r="A7869" s="8" t="str">
        <f>"Dredging, Key Technologies for Global Prosperity"</f>
        <v>Dredging, Key Technologies for Global Prosperity</v>
      </c>
      <c r="B7869" s="8" t="str">
        <f>"9780784406809"</f>
        <v>9780784406809</v>
      </c>
      <c r="C7869" s="8" t="s">
        <v>111</v>
      </c>
    </row>
    <row r="7870" spans="1:3" x14ac:dyDescent="0.25">
      <c r="A7870" s="8" t="str">
        <f>"DRM 2003: Proceedings of the Third ACM Workshop on Digital Rights Management"</f>
        <v>DRM 2003: Proceedings of the Third ACM Workshop on Digital Rights Management</v>
      </c>
      <c r="B7870" s="8" t="str">
        <f>"9781581137866"</f>
        <v>9781581137866</v>
      </c>
      <c r="C7870" s="8" t="s">
        <v>21</v>
      </c>
    </row>
    <row r="7871" spans="1:3" x14ac:dyDescent="0.25">
      <c r="A7871" s="8" t="str">
        <f>"DRM 2004: Proceedings of the Fourth ACM Workshop on Digital Rights Management"</f>
        <v>DRM 2004: Proceedings of the Fourth ACM Workshop on Digital Rights Management</v>
      </c>
      <c r="B7871" s="8" t="str">
        <f>"9781581139693"</f>
        <v>9781581139693</v>
      </c>
      <c r="C7871" s="8" t="s">
        <v>21</v>
      </c>
    </row>
    <row r="7872" spans="1:3" x14ac:dyDescent="0.25">
      <c r="A7872" s="8" t="str">
        <f>"DRM'05 - Proceedings of the Fifth ACM Workshop on Digital Rights Management"</f>
        <v>DRM'05 - Proceedings of the Fifth ACM Workshop on Digital Rights Management</v>
      </c>
      <c r="B7872" s="8" t="str">
        <f>"-"</f>
        <v>-</v>
      </c>
      <c r="C7872" s="8" t="s">
        <v>21</v>
      </c>
    </row>
    <row r="7873" spans="1:3" x14ac:dyDescent="0.25">
      <c r="A7873" s="8" t="str">
        <f>"DRM'07 - Proceedings of the 2007 ACM Workshop on Digital Rights Management"</f>
        <v>DRM'07 - Proceedings of the 2007 ACM Workshop on Digital Rights Management</v>
      </c>
      <c r="B7873" s="8" t="str">
        <f>"9781595938848"</f>
        <v>9781595938848</v>
      </c>
      <c r="C7873" s="8" t="s">
        <v>21</v>
      </c>
    </row>
    <row r="7874" spans="1:3" x14ac:dyDescent="0.25">
      <c r="A7874" s="8" t="str">
        <f>"Drought: Research and Science-Policy Interfacing - Proceedings of the International Conference on Drought: Research and Science-Policy Interfacing"</f>
        <v>Drought: Research and Science-Policy Interfacing - Proceedings of the International Conference on Drought: Research and Science-Policy Interfacing</v>
      </c>
      <c r="B7874" s="8" t="str">
        <f>"9781138027794"</f>
        <v>9781138027794</v>
      </c>
      <c r="C7874" s="8" t="s">
        <v>1635</v>
      </c>
    </row>
    <row r="7875" spans="1:3" x14ac:dyDescent="0.25">
      <c r="A7875" s="8" t="str">
        <f>"DRPT 2011 - 2011 4th International Conference on Electric Utility Deregulation and Restructuring and Power Technologies"</f>
        <v>DRPT 2011 - 2011 4th International Conference on Electric Utility Deregulation and Restructuring and Power Technologies</v>
      </c>
      <c r="B7875" s="8" t="str">
        <f>"9781457703638"</f>
        <v>9781457703638</v>
      </c>
      <c r="C7875" s="8" t="s">
        <v>9</v>
      </c>
    </row>
    <row r="7876" spans="1:3" x14ac:dyDescent="0.25">
      <c r="A7876" s="8" t="str">
        <f>"DS 38: Proceedings of E and DPE 2006, the 8th International Conference on Engineering and Product Design Education"</f>
        <v>DS 38: Proceedings of E and DPE 2006, the 8th International Conference on Engineering and Product Design Education</v>
      </c>
      <c r="B7876" s="8" t="str">
        <f>"-"</f>
        <v>-</v>
      </c>
      <c r="C7876" s="8" t="s">
        <v>1231</v>
      </c>
    </row>
    <row r="7877" spans="1:3" x14ac:dyDescent="0.25">
      <c r="A7877" s="8" t="str">
        <f>"DS 40: Proceedings of AEDS 2005 Workshop"</f>
        <v>DS 40: Proceedings of AEDS 2005 Workshop</v>
      </c>
      <c r="B7877" s="8" t="str">
        <f>"9788070434154"</f>
        <v>9788070434154</v>
      </c>
      <c r="C7877" s="8" t="s">
        <v>1231</v>
      </c>
    </row>
    <row r="7878" spans="1:3" x14ac:dyDescent="0.25">
      <c r="A7878" s="8" t="str">
        <f>"DS 41: Proceedings of AEDS 2006 Workshop"</f>
        <v>DS 41: Proceedings of AEDS 2006 Workshop</v>
      </c>
      <c r="B7878" s="8" t="str">
        <f>"9788070434901"</f>
        <v>9788070434901</v>
      </c>
      <c r="C7878" s="8" t="s">
        <v>1231</v>
      </c>
    </row>
    <row r="7879" spans="1:3" x14ac:dyDescent="0.25">
      <c r="A7879" s="8" t="str">
        <f>"DS 43: Proceedings of E and PDE 2007, the 9th International Conference on Engineering and Product Design Education"</f>
        <v>DS 43: Proceedings of E and PDE 2007, the 9th International Conference on Engineering and Product Design Education</v>
      </c>
      <c r="B7879" s="8" t="str">
        <f>"9780955394218"</f>
        <v>9780955394218</v>
      </c>
      <c r="C7879" s="8" t="s">
        <v>1231</v>
      </c>
    </row>
    <row r="7880" spans="1:3" x14ac:dyDescent="0.25">
      <c r="A7880" s="8" t="str">
        <f>"DS 44: Proceedings of AEDS 2007 Workshop"</f>
        <v>DS 44: Proceedings of AEDS 2007 Workshop</v>
      </c>
      <c r="B7880" s="8" t="str">
        <f>"9788070436004"</f>
        <v>9788070436004</v>
      </c>
      <c r="C7880" s="8" t="s">
        <v>1231</v>
      </c>
    </row>
    <row r="7881" spans="1:3" x14ac:dyDescent="0.25">
      <c r="A7881" s="8" t="str">
        <f>"DS 46: Proceedings of E and PDE 2008, the 10th International Conference on Engineering and Product Design Education"</f>
        <v>DS 46: Proceedings of E and PDE 2008, the 10th International Conference on Engineering and Product Design Education</v>
      </c>
      <c r="B7881" s="8" t="str">
        <f>"-"</f>
        <v>-</v>
      </c>
      <c r="C7881" s="8" t="s">
        <v>1231</v>
      </c>
    </row>
    <row r="7882" spans="1:3" x14ac:dyDescent="0.25">
      <c r="A7882" s="8" t="str">
        <f>"DS 57: Proceedings of AEDS 2008 Workshop"</f>
        <v>DS 57: Proceedings of AEDS 2008 Workshop</v>
      </c>
      <c r="B7882" s="8" t="str">
        <f>"9788070436851"</f>
        <v>9788070436851</v>
      </c>
      <c r="C7882" s="8" t="s">
        <v>1231</v>
      </c>
    </row>
    <row r="7883" spans="1:3" x14ac:dyDescent="0.25">
      <c r="A7883" s="8" t="str">
        <f>"DS 58-1: Proceedings of ICED 09, the 17th International Conference on Engineering Design"</f>
        <v>DS 58-1: Proceedings of ICED 09, the 17th International Conference on Engineering Design</v>
      </c>
      <c r="B7883" s="8" t="str">
        <f>"9781904670056"</f>
        <v>9781904670056</v>
      </c>
      <c r="C7883" s="8" t="s">
        <v>1231</v>
      </c>
    </row>
    <row r="7884" spans="1:3" x14ac:dyDescent="0.25">
      <c r="A7884" s="8" t="str">
        <f>"DS 58-10: Proceedings of ICED 09, the 17th International Conference on Engineering Design"</f>
        <v>DS 58-10: Proceedings of ICED 09, the 17th International Conference on Engineering Design</v>
      </c>
      <c r="B7884" s="8" t="str">
        <f>"9781904670148"</f>
        <v>9781904670148</v>
      </c>
      <c r="C7884" s="8" t="s">
        <v>1231</v>
      </c>
    </row>
    <row r="7885" spans="1:3" x14ac:dyDescent="0.25">
      <c r="A7885" s="8" t="str">
        <f>"DS 58-2: Proceedings of ICED 09, the 17th International Conference on Engineering Design"</f>
        <v>DS 58-2: Proceedings of ICED 09, the 17th International Conference on Engineering Design</v>
      </c>
      <c r="B7885" s="8" t="str">
        <f>"9781904670063"</f>
        <v>9781904670063</v>
      </c>
      <c r="C7885" s="8" t="s">
        <v>1231</v>
      </c>
    </row>
    <row r="7886" spans="1:3" x14ac:dyDescent="0.25">
      <c r="A7886" s="8" t="str">
        <f>"DS 58-3: Proceedings of ICED 09, the 17th International Conference on Engineering Design"</f>
        <v>DS 58-3: Proceedings of ICED 09, the 17th International Conference on Engineering Design</v>
      </c>
      <c r="B7886" s="8" t="str">
        <f>"9781904670070"</f>
        <v>9781904670070</v>
      </c>
      <c r="C7886" s="8" t="s">
        <v>1231</v>
      </c>
    </row>
    <row r="7887" spans="1:3" x14ac:dyDescent="0.25">
      <c r="A7887" s="8" t="str">
        <f>"DS 58-4: Proceedings of ICED 09, the 17th International Conference on Engineering Design"</f>
        <v>DS 58-4: Proceedings of ICED 09, the 17th International Conference on Engineering Design</v>
      </c>
      <c r="B7887" s="8" t="str">
        <f>"9781904670087"</f>
        <v>9781904670087</v>
      </c>
      <c r="C7887" s="8" t="s">
        <v>1231</v>
      </c>
    </row>
    <row r="7888" spans="1:3" x14ac:dyDescent="0.25">
      <c r="A7888" s="8" t="str">
        <f>"DS 58-5: Proceedings of ICED 09, the 17th International Conference on Engineering Design"</f>
        <v>DS 58-5: Proceedings of ICED 09, the 17th International Conference on Engineering Design</v>
      </c>
      <c r="B7888" s="8" t="str">
        <f>"9781904670094"</f>
        <v>9781904670094</v>
      </c>
      <c r="C7888" s="8" t="s">
        <v>1231</v>
      </c>
    </row>
    <row r="7889" spans="1:3" x14ac:dyDescent="0.25">
      <c r="A7889" s="8" t="str">
        <f>"DS 58-6: Proceedings of ICED 09, the 17th International Conference on Engineering Design"</f>
        <v>DS 58-6: Proceedings of ICED 09, the 17th International Conference on Engineering Design</v>
      </c>
      <c r="B7889" s="8" t="str">
        <f>"9781904670100"</f>
        <v>9781904670100</v>
      </c>
      <c r="C7889" s="8" t="s">
        <v>1231</v>
      </c>
    </row>
    <row r="7890" spans="1:3" x14ac:dyDescent="0.25">
      <c r="A7890" s="8" t="str">
        <f>"DS 58-7: Proceedings of ICED 09, the 17th International Conference on Engineering Design"</f>
        <v>DS 58-7: Proceedings of ICED 09, the 17th International Conference on Engineering Design</v>
      </c>
      <c r="B7890" s="8" t="str">
        <f>"9781904670117"</f>
        <v>9781904670117</v>
      </c>
      <c r="C7890" s="8" t="s">
        <v>1231</v>
      </c>
    </row>
    <row r="7891" spans="1:3" x14ac:dyDescent="0.25">
      <c r="A7891" s="8" t="str">
        <f>"DS 58-8: Proceedings of ICED 09, the 17th International Conference on Engineering Design"</f>
        <v>DS 58-8: Proceedings of ICED 09, the 17th International Conference on Engineering Design</v>
      </c>
      <c r="B7891" s="8" t="str">
        <f>"9781904670124"</f>
        <v>9781904670124</v>
      </c>
      <c r="C7891" s="8" t="s">
        <v>1231</v>
      </c>
    </row>
    <row r="7892" spans="1:3" x14ac:dyDescent="0.25">
      <c r="A7892" s="8" t="str">
        <f>"DS 58-9: Proceedings of ICED 09, the 17th International Conference on Engineering Design"</f>
        <v>DS 58-9: Proceedings of ICED 09, the 17th International Conference on Engineering Design</v>
      </c>
      <c r="B7892" s="8" t="str">
        <f>"9781904670131"</f>
        <v>9781904670131</v>
      </c>
      <c r="C7892" s="8" t="s">
        <v>1231</v>
      </c>
    </row>
    <row r="7893" spans="1:3" x14ac:dyDescent="0.25">
      <c r="A7893" s="8" t="str">
        <f>"DS 59: Proceedings of E and PDE 2009, the 11th Engineering and Product Design Education Conference - Creating a Better World"</f>
        <v>DS 59: Proceedings of E and PDE 2009, the 11th Engineering and Product Design Education Conference - Creating a Better World</v>
      </c>
      <c r="B7893" s="8" t="str">
        <f>"-"</f>
        <v>-</v>
      </c>
      <c r="C7893" s="8" t="s">
        <v>1231</v>
      </c>
    </row>
    <row r="7894" spans="1:3" x14ac:dyDescent="0.25">
      <c r="A7894" s="8" t="str">
        <f>"DS 62: Proceedings of E and PDE 2010, the 12th International Conference on Engineering and Product Design Education - When Design Education and Design Research Meet"</f>
        <v>DS 62: Proceedings of E and PDE 2010, the 12th International Conference on Engineering and Product Design Education - When Design Education and Design Research Meet</v>
      </c>
      <c r="B7894" s="8" t="str">
        <f>"9781904670193"</f>
        <v>9781904670193</v>
      </c>
      <c r="C7894" s="8" t="s">
        <v>1231</v>
      </c>
    </row>
    <row r="7895" spans="1:3" x14ac:dyDescent="0.25">
      <c r="A7895" s="8" t="str">
        <f>"DS 66-2: Proceedings of the 1st International Conference on Design Creativity, ICDC 2010"</f>
        <v>DS 66-2: Proceedings of the 1st International Conference on Design Creativity, ICDC 2010</v>
      </c>
      <c r="B7895" s="8" t="str">
        <f>"9780857292230"</f>
        <v>9780857292230</v>
      </c>
      <c r="C7895" s="8" t="s">
        <v>1231</v>
      </c>
    </row>
    <row r="7896" spans="1:3" x14ac:dyDescent="0.25">
      <c r="A7896" s="8" t="str">
        <f>"DS 69: Proceedings of E and PDE 2011, the 13th International Conference on Engineering and Product Design Education"</f>
        <v>DS 69: Proceedings of E and PDE 2011, the 13th International Conference on Engineering and Product Design Education</v>
      </c>
      <c r="B7896" s="8" t="str">
        <f>"-"</f>
        <v>-</v>
      </c>
      <c r="C7896" s="8" t="s">
        <v>1231</v>
      </c>
    </row>
    <row r="7897" spans="1:3" x14ac:dyDescent="0.25">
      <c r="A7897" s="8" t="str">
        <f>"DSAA 2014 - Proceedings of the 2014 IEEE International Conference on Data Science and Advanced Analytics"</f>
        <v>DSAA 2014 - Proceedings of the 2014 IEEE International Conference on Data Science and Advanced Analytics</v>
      </c>
      <c r="B7897" s="8" t="str">
        <f>"9781479969913"</f>
        <v>9781479969913</v>
      </c>
      <c r="C7897" s="8" t="s">
        <v>105</v>
      </c>
    </row>
    <row r="7898" spans="1:3" x14ac:dyDescent="0.25">
      <c r="A7898" s="8" t="str">
        <f>"DSAL'07: Second Workshop on Domain-Specific Aspect Languages"</f>
        <v>DSAL'07: Second Workshop on Domain-Specific Aspect Languages</v>
      </c>
      <c r="B7898" s="8" t="str">
        <f>"9781595936592"</f>
        <v>9781595936592</v>
      </c>
      <c r="C7898" s="8" t="s">
        <v>21</v>
      </c>
    </row>
    <row r="7899" spans="1:3" x14ac:dyDescent="0.25">
      <c r="A7899" s="8" t="str">
        <f>"DSAL'08: Aspect-oriented Software Development - Proceedings of the 2008 AOSD Workshop on Domain-specific Aspect Languages"</f>
        <v>DSAL'08: Aspect-oriented Software Development - Proceedings of the 2008 AOSD Workshop on Domain-specific Aspect Languages</v>
      </c>
      <c r="B7899" s="8" t="str">
        <f>"9781605581460"</f>
        <v>9781605581460</v>
      </c>
      <c r="C7899" s="8" t="s">
        <v>21</v>
      </c>
    </row>
    <row r="7900" spans="1:3" x14ac:dyDescent="0.25">
      <c r="A7900" s="8" t="str">
        <f>"DSAL'08: Proceedings of the 2008 AOSD Workshop on Domain-specific Aspect Languages"</f>
        <v>DSAL'08: Proceedings of the 2008 AOSD Workshop on Domain-specific Aspect Languages</v>
      </c>
      <c r="B7900" s="8" t="str">
        <f>"9781605581460"</f>
        <v>9781605581460</v>
      </c>
      <c r="C7900" s="8" t="s">
        <v>21</v>
      </c>
    </row>
    <row r="7901" spans="1:3" x14ac:dyDescent="0.25">
      <c r="A7901" s="8" t="str">
        <f>"DSAL'12 - Proceedings of the 7th Workshop on Domain-Specific Aspect Languages"</f>
        <v>DSAL'12 - Proceedings of the 7th Workshop on Domain-Specific Aspect Languages</v>
      </c>
      <c r="B7901" s="8" t="str">
        <f>"9781450311281"</f>
        <v>9781450311281</v>
      </c>
      <c r="C7901" s="8" t="s">
        <v>21</v>
      </c>
    </row>
    <row r="7902" spans="1:3" x14ac:dyDescent="0.25">
      <c r="A7902" s="8" t="str">
        <f>"DSCI - Best Practices Meet 2013, BPM 2013"</f>
        <v>DSCI - Best Practices Meet 2013, BPM 2013</v>
      </c>
      <c r="B7902" s="8" t="str">
        <f>"9781479906376"</f>
        <v>9781479906376</v>
      </c>
      <c r="C7902" s="8" t="s">
        <v>9</v>
      </c>
    </row>
    <row r="7903" spans="1:3" x14ac:dyDescent="0.25">
      <c r="A7903" s="8" t="str">
        <f>"DSDE 2010 - International Conference on Data Storage and Data Engineering"</f>
        <v>DSDE 2010 - International Conference on Data Storage and Data Engineering</v>
      </c>
      <c r="B7903" s="8" t="str">
        <f>"9780769539584"</f>
        <v>9780769539584</v>
      </c>
      <c r="C7903" s="8" t="s">
        <v>9</v>
      </c>
    </row>
    <row r="7904" spans="1:3" x14ac:dyDescent="0.25">
      <c r="A7904" s="8" t="str">
        <f>"DSM 2013 - Proceedings of the 2013 ACM Workshop on Domain-Specific Modeling"</f>
        <v>DSM 2013 - Proceedings of the 2013 ACM Workshop on Domain-Specific Modeling</v>
      </c>
      <c r="B7904" s="8" t="str">
        <f>"9781450326001"</f>
        <v>9781450326001</v>
      </c>
      <c r="C7904" s="8" t="s">
        <v>21</v>
      </c>
    </row>
    <row r="7905" spans="1:3" x14ac:dyDescent="0.25">
      <c r="A7905" s="8" t="str">
        <f>"DSM 2014 - Proceedings of the 2014 ACM SIGPLAN Workshop on Domain-Specific Modeling, Part of SPLASH 2014"</f>
        <v>DSM 2014 - Proceedings of the 2014 ACM SIGPLAN Workshop on Domain-Specific Modeling, Part of SPLASH 2014</v>
      </c>
      <c r="B7905" s="8" t="str">
        <f>"9781450321563"</f>
        <v>9781450321563</v>
      </c>
      <c r="C7905" s="8" t="s">
        <v>1235</v>
      </c>
    </row>
    <row r="7906" spans="1:3" x14ac:dyDescent="0.25">
      <c r="A7906" s="8" t="str">
        <f>"DSP 2009: 16th International Conference on Digital Signal Processing, Proceedings"</f>
        <v>DSP 2009: 16th International Conference on Digital Signal Processing, Proceedings</v>
      </c>
      <c r="B7906" s="8" t="str">
        <f>"9781424432981"</f>
        <v>9781424432981</v>
      </c>
      <c r="C7906" s="8" t="s">
        <v>9</v>
      </c>
    </row>
    <row r="7907" spans="1:3" x14ac:dyDescent="0.25">
      <c r="A7907" s="8" t="str">
        <f>"DTIP 2003 - Design, Test, Integration and Packaging of MEMS/MOEMS 2003"</f>
        <v>DTIP 2003 - Design, Test, Integration and Packaging of MEMS/MOEMS 2003</v>
      </c>
      <c r="B7907" s="8" t="str">
        <f>"9780780370661"</f>
        <v>9780780370661</v>
      </c>
      <c r="C7907" s="8" t="s">
        <v>105</v>
      </c>
    </row>
    <row r="7908" spans="1:3" x14ac:dyDescent="0.25">
      <c r="A7908" s="8" t="str">
        <f>"DTIP 2011 - Symposium on Design, Test, Integration and Packaging of MEMS/MOEMS"</f>
        <v>DTIP 2011 - Symposium on Design, Test, Integration and Packaging of MEMS/MOEMS</v>
      </c>
      <c r="B7908" s="8" t="str">
        <f>"9782355000133"</f>
        <v>9782355000133</v>
      </c>
      <c r="C7908" s="8" t="s">
        <v>9</v>
      </c>
    </row>
    <row r="7909" spans="1:3" x14ac:dyDescent="0.25">
      <c r="A7909" s="8" t="str">
        <f>"DTIP 2012 - Symposium on Design, Test, Integration and Packaging of MEMS/MOEMS"</f>
        <v>DTIP 2012 - Symposium on Design, Test, Integration and Packaging of MEMS/MOEMS</v>
      </c>
      <c r="B7909" s="8" t="str">
        <f>"9781467307857"</f>
        <v>9781467307857</v>
      </c>
      <c r="C7909" s="8" t="s">
        <v>9</v>
      </c>
    </row>
    <row r="7910" spans="1:3" x14ac:dyDescent="0.25">
      <c r="A7910" s="8" t="str">
        <f>"DTIP 2014 - Symposium on Design, Test, Integration and Packaging of MEMS/MOEMS"</f>
        <v>DTIP 2014 - Symposium on Design, Test, Integration and Packaging of MEMS/MOEMS</v>
      </c>
      <c r="B7910" s="8" t="str">
        <f>"9782355000287"</f>
        <v>9782355000287</v>
      </c>
      <c r="C7910" s="8" t="s">
        <v>105</v>
      </c>
    </row>
    <row r="7911" spans="1:3" x14ac:dyDescent="0.25">
      <c r="A7911" s="8" t="str">
        <f>"DTIP of MEMS and MOEMS - Symposium on Design, Test, Integration and Packaging of MEMS/MOEMS"</f>
        <v>DTIP of MEMS and MOEMS - Symposium on Design, Test, Integration and Packaging of MEMS/MOEMS</v>
      </c>
      <c r="B7911" s="8" t="str">
        <f>"9782355000065"</f>
        <v>9782355000065</v>
      </c>
      <c r="C7911" s="8" t="s">
        <v>9</v>
      </c>
    </row>
    <row r="7912" spans="1:3" x14ac:dyDescent="0.25">
      <c r="A7912" s="8" t="str">
        <f>"DTIP of MEMS and MOEMS - Symposium on Design, Test, Integration and Packaging of MEMS/MOEMS"</f>
        <v>DTIP of MEMS and MOEMS - Symposium on Design, Test, Integration and Packaging of MEMS/MOEMS</v>
      </c>
      <c r="B7912" s="8" t="str">
        <f>"9782355000096"</f>
        <v>9782355000096</v>
      </c>
      <c r="C7912" s="8" t="s">
        <v>9</v>
      </c>
    </row>
    <row r="7913" spans="1:3" x14ac:dyDescent="0.25">
      <c r="A7913" s="8" t="str">
        <f>"Durability of Bridge Structures"</f>
        <v>Durability of Bridge Structures</v>
      </c>
      <c r="B7913" s="8" t="str">
        <f>"9781138001121"</f>
        <v>9781138001121</v>
      </c>
      <c r="C7913" s="8" t="s">
        <v>1635</v>
      </c>
    </row>
    <row r="7914" spans="1:3" x14ac:dyDescent="0.25">
      <c r="A7914" s="8" t="str">
        <f>"Dyke Swarms - Time Markers of Crustal Evolution - Proceedings of the 5th International Conference, IDC-5"</f>
        <v>Dyke Swarms - Time Markers of Crustal Evolution - Proceedings of the 5th International Conference, IDC-5</v>
      </c>
      <c r="B7914" s="8" t="str">
        <f>"9780415398992"</f>
        <v>9780415398992</v>
      </c>
      <c r="C7914" s="8" t="s">
        <v>1619</v>
      </c>
    </row>
    <row r="7915" spans="1:3" x14ac:dyDescent="0.25">
      <c r="A7915" s="8" t="str">
        <f>"E M N L P - C o N L L 2 0 0 7 - Proceedings of the 2007 Joint Conference on Empirical Methods in Natural Language Processing and Computational Natural Language Learning"</f>
        <v>E M N L P - C o N L L 2 0 0 7 - Proceedings of the 2007 Joint Conference on Empirical Methods in Natural Language Processing and Computational Natural Language Learning</v>
      </c>
      <c r="B7915" s="8" t="str">
        <f>"-"</f>
        <v>-</v>
      </c>
      <c r="C7915" s="8" t="s">
        <v>554</v>
      </c>
    </row>
    <row r="7916" spans="1:3" x14ac:dyDescent="0.25">
      <c r="A7916" s="8" t="str">
        <f>"EACL 2006 - 11th Conference of the European Chapter of the Association for Computational Linguistics, Proceedings of the Conference"</f>
        <v>EACL 2006 - 11th Conference of the European Chapter of the Association for Computational Linguistics, Proceedings of the Conference</v>
      </c>
      <c r="B7916" s="8" t="str">
        <f>"9781932432596"</f>
        <v>9781932432596</v>
      </c>
      <c r="C7916" s="8" t="s">
        <v>554</v>
      </c>
    </row>
    <row r="7917" spans="1:3" x14ac:dyDescent="0.25">
      <c r="A7917" s="8" t="str">
        <f>"EACL 2009 - 12th Conference of the European Chapter of the Association for Computational Linguistics, Proceedings"</f>
        <v>EACL 2009 - 12th Conference of the European Chapter of the Association for Computational Linguistics, Proceedings</v>
      </c>
      <c r="B7917" s="8" t="str">
        <f>"9781932432169"</f>
        <v>9781932432169</v>
      </c>
      <c r="C7917" s="8" t="s">
        <v>554</v>
      </c>
    </row>
    <row r="7918" spans="1:3" x14ac:dyDescent="0.25">
      <c r="A7918" s="8" t="str">
        <f>"EACWE 2005 - 4th European and African Conference on Wind Engineering"</f>
        <v>EACWE 2005 - 4th European and African Conference on Wind Engineering</v>
      </c>
      <c r="B7918" s="8" t="str">
        <f>"9788086246260"</f>
        <v>9788086246260</v>
      </c>
      <c r="C7918" s="8" t="s">
        <v>1791</v>
      </c>
    </row>
    <row r="7919" spans="1:3" x14ac:dyDescent="0.25">
      <c r="A7919" s="8" t="str">
        <f>"EAGE / SEG Summer Research Workshop 2011: Towards a Full Integration from Geosciences to Reservoir Simulation"</f>
        <v>EAGE / SEG Summer Research Workshop 2011: Towards a Full Integration from Geosciences to Reservoir Simulation</v>
      </c>
      <c r="B7919" s="8" t="str">
        <f>"-"</f>
        <v>-</v>
      </c>
      <c r="C7919" s="8" t="s">
        <v>1251</v>
      </c>
    </row>
    <row r="7920" spans="1:3" x14ac:dyDescent="0.25">
      <c r="A7920" s="8" t="str">
        <f>"EAGE Borehole Geology Workshop: Optimising the Use of Your Borehole Image Data"</f>
        <v>EAGE Borehole Geology Workshop: Optimising the Use of Your Borehole Image Data</v>
      </c>
      <c r="B7920" s="8" t="str">
        <f>"9789462820371"</f>
        <v>9789462820371</v>
      </c>
      <c r="C7920" s="8" t="s">
        <v>1323</v>
      </c>
    </row>
    <row r="7921" spans="1:3" x14ac:dyDescent="0.25">
      <c r="A7921" s="8" t="str">
        <f>"EAGE Shale Workshop 2010: Shale - Resource and Challenge"</f>
        <v>EAGE Shale Workshop 2010: Shale - Resource and Challenge</v>
      </c>
      <c r="B7921" s="8" t="str">
        <f>"-"</f>
        <v>-</v>
      </c>
      <c r="C7921" s="8" t="s">
        <v>1251</v>
      </c>
    </row>
    <row r="7922" spans="1:3" x14ac:dyDescent="0.25">
      <c r="A7922" s="8" t="str">
        <f>"EAGE Workshop on Dead Sea Sinkholes: Causes, Effects and Solutions"</f>
        <v>EAGE Workshop on Dead Sea Sinkholes: Causes, Effects and Solutions</v>
      </c>
      <c r="B7922" s="8" t="str">
        <f>"-"</f>
        <v>-</v>
      </c>
      <c r="C7922" s="8" t="s">
        <v>1251</v>
      </c>
    </row>
    <row r="7923" spans="1:3" x14ac:dyDescent="0.25">
      <c r="A7923" s="8" t="str">
        <f>"EAGE Workshop on High Performance Computing for Upstream 2014"</f>
        <v>EAGE Workshop on High Performance Computing for Upstream 2014</v>
      </c>
      <c r="B7923" s="8" t="str">
        <f>"9781634391672"</f>
        <v>9781634391672</v>
      </c>
      <c r="C7923" s="8" t="s">
        <v>1251</v>
      </c>
    </row>
    <row r="7924" spans="1:3" x14ac:dyDescent="0.25">
      <c r="A7924" s="8" t="str">
        <f>"EAGE Workshop on Permanent Reservoir Monitoring: Using Seismic Data"</f>
        <v>EAGE Workshop on Permanent Reservoir Monitoring: Using Seismic Data</v>
      </c>
      <c r="B7924" s="8" t="str">
        <f>"-"</f>
        <v>-</v>
      </c>
      <c r="C7924" s="8" t="s">
        <v>1251</v>
      </c>
    </row>
    <row r="7925" spans="1:3" x14ac:dyDescent="0.25">
      <c r="A7925" s="8" t="str">
        <f>"EAGE/AAPG Middle East Tight Gas Reservoirs Workshop: An Integrated E and P Perspective"</f>
        <v>EAGE/AAPG Middle East Tight Gas Reservoirs Workshop: An Integrated E and P Perspective</v>
      </c>
      <c r="B7925" s="8" t="str">
        <f>"-"</f>
        <v>-</v>
      </c>
      <c r="C7925" s="8" t="s">
        <v>1251</v>
      </c>
    </row>
    <row r="7926" spans="1:3" x14ac:dyDescent="0.25">
      <c r="A7926" s="8" t="str">
        <f>"EAGE/AAPG Workshop 2013: Basin-Margin Wedge Exploration Plays"</f>
        <v>EAGE/AAPG Workshop 2013: Basin-Margin Wedge Exploration Plays</v>
      </c>
      <c r="B7926" s="8" t="str">
        <f>"-"</f>
        <v>-</v>
      </c>
      <c r="C7926" s="8" t="s">
        <v>1251</v>
      </c>
    </row>
    <row r="7927" spans="1:3" x14ac:dyDescent="0.25">
      <c r="A7927" s="8" t="str">
        <f>"EAGE/GRSG Remote Sensing Workshop"</f>
        <v>EAGE/GRSG Remote Sensing Workshop</v>
      </c>
      <c r="B7927" s="8" t="str">
        <f>"-"</f>
        <v>-</v>
      </c>
      <c r="C7927" s="8" t="s">
        <v>1251</v>
      </c>
    </row>
    <row r="7928" spans="1:3" x14ac:dyDescent="0.25">
      <c r="A7928" s="8" t="str">
        <f>"EAGE/SEG 2007 Research Workshop on Fractured Reservoirs: Integrating Geosciences for Fractured Reservoirs Description"</f>
        <v>EAGE/SEG 2007 Research Workshop on Fractured Reservoirs: Integrating Geosciences for Fractured Reservoirs Description</v>
      </c>
      <c r="B7928" s="8" t="str">
        <f>"9789073781740"</f>
        <v>9789073781740</v>
      </c>
      <c r="C7928" s="8" t="s">
        <v>1251</v>
      </c>
    </row>
    <row r="7929" spans="1:3" x14ac:dyDescent="0.25">
      <c r="A7929" s="8" t="str">
        <f>"EAGE/SEG Research Workshop 2009: Frequency Attenuation and Resolution of Seismic Data"</f>
        <v>EAGE/SEG Research Workshop 2009: Frequency Attenuation and Resolution of Seismic Data</v>
      </c>
      <c r="B7929" s="8" t="str">
        <f>"-"</f>
        <v>-</v>
      </c>
      <c r="C7929" s="8" t="s">
        <v>1251</v>
      </c>
    </row>
    <row r="7930" spans="1:3" x14ac:dyDescent="0.25">
      <c r="A7930" s="8" t="str">
        <f>"EAGE/SPE Subsalt Imaging Workshop 2014: Challenges of Subsalt Exploration and Imaging in the Middle East and North Africa Deep Water"</f>
        <v>EAGE/SPE Subsalt Imaging Workshop 2014: Challenges of Subsalt Exploration and Imaging in the Middle East and North Africa Deep Water</v>
      </c>
      <c r="B7930" s="8" t="str">
        <f>"9781632660527"</f>
        <v>9781632660527</v>
      </c>
      <c r="C7930" s="8" t="s">
        <v>1251</v>
      </c>
    </row>
    <row r="7931" spans="1:3" x14ac:dyDescent="0.25">
      <c r="A7931" s="8" t="str">
        <f>"EAMT 2010 - 14th Annual Conference of the European Association for Machine Translation"</f>
        <v>EAMT 2010 - 14th Annual Conference of the European Association for Machine Translation</v>
      </c>
      <c r="B7931" s="8" t="str">
        <f>"-"</f>
        <v>-</v>
      </c>
      <c r="C7931" s="8" t="s">
        <v>1792</v>
      </c>
    </row>
    <row r="7932" spans="1:3" x14ac:dyDescent="0.25">
      <c r="A7932" s="8" t="str">
        <f>"EAMT-2006 - 11th Annual Conference of the European Association for Machine Translation"</f>
        <v>EAMT-2006 - 11th Annual Conference of the European Association for Machine Translation</v>
      </c>
      <c r="B7932" s="8" t="str">
        <f>"-"</f>
        <v>-</v>
      </c>
      <c r="C7932" s="8" t="s">
        <v>1792</v>
      </c>
    </row>
    <row r="7933" spans="1:3" x14ac:dyDescent="0.25">
      <c r="A7933" s="8" t="str">
        <f>"EAMTA 2012 - Proceedings of the Argentine School of Micro-Nanoelectronics, Technology and Applications 2012"</f>
        <v>EAMTA 2012 - Proceedings of the Argentine School of Micro-Nanoelectronics, Technology and Applications 2012</v>
      </c>
      <c r="B7933" s="8" t="str">
        <f>"9789871620937"</f>
        <v>9789871620937</v>
      </c>
      <c r="C7933" s="8" t="s">
        <v>9</v>
      </c>
    </row>
    <row r="7934" spans="1:3" x14ac:dyDescent="0.25">
      <c r="A7934" s="8" t="str">
        <f>"EAMTA 2013 - Proceedings of the Argentine School of Micro-Nanoelectronics, Technology and Applications 2013"</f>
        <v>EAMTA 2013 - Proceedings of the Argentine School of Micro-Nanoelectronics, Technology and Applications 2013</v>
      </c>
      <c r="B7934" s="8" t="str">
        <f>"9789871907441"</f>
        <v>9789871907441</v>
      </c>
      <c r="C7934" s="8" t="s">
        <v>9</v>
      </c>
    </row>
    <row r="7935" spans="1:3" x14ac:dyDescent="0.25">
      <c r="A7935" s="8" t="str">
        <f>"Earth and Space 2006 - Proceedings of the 10th Biennial International Conference on Engineering, Construction, and Operations in Challenging Environments"</f>
        <v>Earth and Space 2006 - Proceedings of the 10th Biennial International Conference on Engineering, Construction, and Operations in Challenging Environments</v>
      </c>
      <c r="B7935" s="8" t="str">
        <f>"-"</f>
        <v>-</v>
      </c>
      <c r="C7935" s="8" t="s">
        <v>111</v>
      </c>
    </row>
    <row r="7936" spans="1:3" x14ac:dyDescent="0.25">
      <c r="A7936" s="8" t="str">
        <f>"Earth and Space 2012 - Proceedings of the 13th ASCE Aerospace Division Conference and the 5th NASA/ASCE Workshop on Granular Materials in Space Exploration"</f>
        <v>Earth and Space 2012 - Proceedings of the 13th ASCE Aerospace Division Conference and the 5th NASA/ASCE Workshop on Granular Materials in Space Exploration</v>
      </c>
      <c r="B7936" s="8" t="str">
        <f>"9780784412190"</f>
        <v>9780784412190</v>
      </c>
      <c r="C7936" s="8" t="s">
        <v>111</v>
      </c>
    </row>
    <row r="7937" spans="1:3" x14ac:dyDescent="0.25">
      <c r="A7937" s="8" t="str">
        <f>"Earth and Space 2014: Engineering for Extreme Environments - Proceedings of the 14th Biennial International Conference on Engineering, Science, Construction, and Operations in Challenging Environments"</f>
        <v>Earth and Space 2014: Engineering for Extreme Environments - Proceedings of the 14th Biennial International Conference on Engineering, Science, Construction, and Operations in Challenging Environments</v>
      </c>
      <c r="B7937" s="8" t="str">
        <f>"9780784479179"</f>
        <v>9780784479179</v>
      </c>
      <c r="C7937" s="8" t="s">
        <v>111</v>
      </c>
    </row>
    <row r="7938" spans="1:3" x14ac:dyDescent="0.25">
      <c r="A7938" s="8" t="str">
        <f>"Earth and Space Conference 2008: Proceedings of the 11th Aerospace Division International Conference on Engineering, Science, Construction, and Operations in Challenging Environments"</f>
        <v>Earth and Space Conference 2008: Proceedings of the 11th Aerospace Division International Conference on Engineering, Science, Construction, and Operations in Challenging Environments</v>
      </c>
      <c r="B7938" s="8" t="str">
        <f>"9780784409886"</f>
        <v>9780784409886</v>
      </c>
      <c r="C7938" s="8" t="s">
        <v>111</v>
      </c>
    </row>
    <row r="7939" spans="1:3" x14ac:dyDescent="0.25">
      <c r="A7939" s="8" t="str">
        <f>"Earth Science Satellite Remote Sensing: Data, Computational Processing, and Tools"</f>
        <v>Earth Science Satellite Remote Sensing: Data, Computational Processing, and Tools</v>
      </c>
      <c r="B7939" s="8" t="str">
        <f>"9783540356301"</f>
        <v>9783540356301</v>
      </c>
      <c r="C7939" s="8" t="s">
        <v>582</v>
      </c>
    </row>
    <row r="7940" spans="1:3" x14ac:dyDescent="0.25">
      <c r="A7940" s="8" t="str">
        <f>"Earth Science Satellite Remote Sensing: Science and Instruments"</f>
        <v>Earth Science Satellite Remote Sensing: Science and Instruments</v>
      </c>
      <c r="B7940" s="8" t="str">
        <f>"9783540356066"</f>
        <v>9783540356066</v>
      </c>
      <c r="C7940" s="8" t="s">
        <v>582</v>
      </c>
    </row>
    <row r="7941" spans="1:3" x14ac:dyDescent="0.25">
      <c r="A7941" s="8" t="str">
        <f>"EASEC-11 - Eleventh East Asia-Pacific Conference on Structural Engineering and Construction"</f>
        <v>EASEC-11 - Eleventh East Asia-Pacific Conference on Structural Engineering and Construction</v>
      </c>
      <c r="B7941" s="8" t="str">
        <f>"-"</f>
        <v>-</v>
      </c>
      <c r="C7941" s="8" t="s">
        <v>1793</v>
      </c>
    </row>
    <row r="7942" spans="1:3" x14ac:dyDescent="0.25">
      <c r="A7942" s="8" t="str">
        <f>"EAST'12 - Proceedings of the 2nd International Workshop on Evidential Assessment of Software Technologies"</f>
        <v>EAST'12 - Proceedings of the 2nd International Workshop on Evidential Assessment of Software Technologies</v>
      </c>
      <c r="B7942" s="8" t="str">
        <f>"9781450315098"</f>
        <v>9781450315098</v>
      </c>
      <c r="C7942" s="8" t="s">
        <v>21</v>
      </c>
    </row>
    <row r="7943" spans="1:3" x14ac:dyDescent="0.25">
      <c r="A7943" s="8" t="str">
        <f>"EATIS 2008 - Proceedings of the 2008 Euro American Conference on Telematics and Information Systems"</f>
        <v>EATIS 2008 - Proceedings of the 2008 Euro American Conference on Telematics and Information Systems</v>
      </c>
      <c r="B7943" s="8" t="str">
        <f>"9781595939883"</f>
        <v>9781595939883</v>
      </c>
      <c r="C7943" s="8" t="s">
        <v>21</v>
      </c>
    </row>
    <row r="7944" spans="1:3" x14ac:dyDescent="0.25">
      <c r="A7944" s="8" t="str">
        <f>"EC'07 - Proceedings of the Eighth Annual Conference on Electronic Commerce"</f>
        <v>EC'07 - Proceedings of the Eighth Annual Conference on Electronic Commerce</v>
      </c>
      <c r="B7944" s="8" t="str">
        <f>"9781595936530"</f>
        <v>9781595936530</v>
      </c>
      <c r="C7944" s="8" t="s">
        <v>21</v>
      </c>
    </row>
    <row r="7945" spans="1:3" x14ac:dyDescent="0.25">
      <c r="A7945" s="8" t="str">
        <f>"EC2ND 2009 - European Conference on Computer Network Defense"</f>
        <v>EC2ND 2009 - European Conference on Computer Network Defense</v>
      </c>
      <c r="B7945" s="8" t="str">
        <f>"9780769539836"</f>
        <v>9780769539836</v>
      </c>
      <c r="C7945" s="8" t="s">
        <v>9</v>
      </c>
    </row>
    <row r="7946" spans="1:3" x14ac:dyDescent="0.25">
      <c r="A7946" s="8" t="str">
        <f>"ECBS-EERC 2009 - 1st Eastern European Regional Conference on the Engineering of Computer-Based Systems: Setting New ECBS Frontiers."</f>
        <v>ECBS-EERC 2009 - 1st Eastern European Regional Conference on the Engineering of Computer-Based Systems: Setting New ECBS Frontiers.</v>
      </c>
      <c r="B7946" s="8" t="str">
        <f>"9780769537597"</f>
        <v>9780769537597</v>
      </c>
      <c r="C7946" s="8" t="s">
        <v>9</v>
      </c>
    </row>
    <row r="7947" spans="1:3" x14ac:dyDescent="0.25">
      <c r="A7947" s="8" t="str">
        <f>"ECC 1997 - European Control Conference"</f>
        <v>ECC 1997 - European Control Conference</v>
      </c>
      <c r="B7947" s="8" t="str">
        <f>"9783952426906"</f>
        <v>9783952426906</v>
      </c>
      <c r="C7947" s="8" t="s">
        <v>105</v>
      </c>
    </row>
    <row r="7948" spans="1:3" x14ac:dyDescent="0.25">
      <c r="A7948" s="8" t="str">
        <f>"ECCE 2010 - European Conference on Cognitive Ergonomics 2010: The 28th Annual Conference of the European Association of Cognitive Ergonomics"</f>
        <v>ECCE 2010 - European Conference on Cognitive Ergonomics 2010: The 28th Annual Conference of the European Association of Cognitive Ergonomics</v>
      </c>
      <c r="B7948" s="8" t="str">
        <f>"9789490818043"</f>
        <v>9789490818043</v>
      </c>
      <c r="C7948" s="8" t="s">
        <v>21</v>
      </c>
    </row>
    <row r="7949" spans="1:3" x14ac:dyDescent="0.25">
      <c r="A7949" s="8" t="str">
        <f>"ECCE 2011 - European Conference on Cognitive Ergonomics 2011: 29th Annual Conference of the European Association of Cognitive Ergonomics"</f>
        <v>ECCE 2011 - European Conference on Cognitive Ergonomics 2011: 29th Annual Conference of the European Association of Cognitive Ergonomics</v>
      </c>
      <c r="B7949" s="8" t="str">
        <f>"9783860091135"</f>
        <v>9783860091135</v>
      </c>
      <c r="C7949" s="8" t="s">
        <v>21</v>
      </c>
    </row>
    <row r="7950" spans="1:3" x14ac:dyDescent="0.25">
      <c r="A7950" s="8" t="str">
        <f>"ECCOMAS 2004 - European Congress on Computational Methods in Applied Sciences and Engineering"</f>
        <v>ECCOMAS 2004 - European Congress on Computational Methods in Applied Sciences and Engineering</v>
      </c>
      <c r="B7950" s="8" t="str">
        <f>"-"</f>
        <v>-</v>
      </c>
      <c r="C7950" s="8" t="s">
        <v>1794</v>
      </c>
    </row>
    <row r="7951" spans="1:3" x14ac:dyDescent="0.25">
      <c r="A7951" s="8" t="str">
        <f>"ECCOMAS 2012 - European Congress on Computational Methods in Applied Sciences and Engineering, e-Book Full Papers"</f>
        <v>ECCOMAS 2012 - European Congress on Computational Methods in Applied Sciences and Engineering, e-Book Full Papers</v>
      </c>
      <c r="B7951" s="8" t="str">
        <f>"9783950353709"</f>
        <v>9783950353709</v>
      </c>
      <c r="C7951" s="8" t="s">
        <v>1795</v>
      </c>
    </row>
    <row r="7952" spans="1:3" x14ac:dyDescent="0.25">
      <c r="A7952" s="8" t="str">
        <f>"ECCOMAS Special Interest Conference - SEECCM 2013: 3rd South-East European Conference on Computational Mechanics, Proceedings - An IACM Special Interest Conference"</f>
        <v>ECCOMAS Special Interest Conference - SEECCM 2013: 3rd South-East European Conference on Computational Mechanics, Proceedings - An IACM Special Interest Conference</v>
      </c>
      <c r="B7952" s="8" t="str">
        <f>"9789609999441"</f>
        <v>9789609999441</v>
      </c>
      <c r="C7952" s="8" t="s">
        <v>1223</v>
      </c>
    </row>
    <row r="7953" spans="1:3" x14ac:dyDescent="0.25">
      <c r="A7953" s="8" t="str">
        <f>"ECCOMAS Thematic Conference - ADMOS 2011: International Conference on Adaptive Modeling and Simulation, An IACM Special Interest Conference"</f>
        <v>ECCOMAS Thematic Conference - ADMOS 2011: International Conference on Adaptive Modeling and Simulation, An IACM Special Interest Conference</v>
      </c>
      <c r="B7953" s="8" t="str">
        <f>"9788493964030"</f>
        <v>9788493964030</v>
      </c>
      <c r="C7953" s="8" t="s">
        <v>1796</v>
      </c>
    </row>
    <row r="7954" spans="1:3" x14ac:dyDescent="0.25">
      <c r="A7954" s="8" t="str">
        <f>"ECCOMAS Thematic Conference - COMPDYN 2011: 3rd International Conference on Computational Methods in Structural Dynamics and Earthquake Engineering: An IACM Special Interest Conference, Programme"</f>
        <v>ECCOMAS Thematic Conference - COMPDYN 2011: 3rd International Conference on Computational Methods in Structural Dynamics and Earthquake Engineering: An IACM Special Interest Conference, Programme</v>
      </c>
      <c r="B7954" s="8" t="str">
        <f>"-"</f>
        <v>-</v>
      </c>
      <c r="C7954" s="8" t="s">
        <v>1796</v>
      </c>
    </row>
    <row r="7955" spans="1:3" x14ac:dyDescent="0.25">
      <c r="A7955" s="8" t="str">
        <f>"ECCOMAS Thematic Conference - COMPDYN 2013: 4th International Conference on Computational Methods in Structural Dynamics and Earthquake Engineering, Proceedings - An IACM Special Interest Conference"</f>
        <v>ECCOMAS Thematic Conference - COMPDYN 2013: 4th International Conference on Computational Methods in Structural Dynamics and Earthquake Engineering, Proceedings - An IACM Special Interest Conference</v>
      </c>
      <c r="B7955" s="8" t="str">
        <f>"9789609999427"</f>
        <v>9789609999427</v>
      </c>
      <c r="C7955" s="8" t="s">
        <v>1223</v>
      </c>
    </row>
    <row r="7956" spans="1:3" x14ac:dyDescent="0.25">
      <c r="A7956" s="8" t="str">
        <f>"ECCTD 2009 - European Conference on Circuit Theory and Design Conference Program"</f>
        <v>ECCTD 2009 - European Conference on Circuit Theory and Design Conference Program</v>
      </c>
      <c r="B7956" s="8" t="str">
        <f>"9781424438969"</f>
        <v>9781424438969</v>
      </c>
      <c r="C7956" s="8" t="s">
        <v>9</v>
      </c>
    </row>
    <row r="7957" spans="1:3" x14ac:dyDescent="0.25">
      <c r="A7957" s="8" t="str">
        <f>"ECEL 2007: 6th European Conference on e-Learning"</f>
        <v>ECEL 2007: 6th European Conference on e-Learning</v>
      </c>
      <c r="B7957" s="8" t="str">
        <f>"9781905305568"</f>
        <v>9781905305568</v>
      </c>
      <c r="C7957" s="8" t="s">
        <v>973</v>
      </c>
    </row>
    <row r="7958" spans="1:3" x14ac:dyDescent="0.25">
      <c r="A7958" s="8" t="str">
        <f>"eChallenges e-2010 Conference"</f>
        <v>eChallenges e-2010 Conference</v>
      </c>
      <c r="B7958" s="8" t="str">
        <f>"9781905824212"</f>
        <v>9781905824212</v>
      </c>
      <c r="C7958" s="8" t="s">
        <v>9</v>
      </c>
    </row>
    <row r="7959" spans="1:3" x14ac:dyDescent="0.25">
      <c r="A7959" s="8" t="str">
        <f>"ECIME 2007: European Conference on Information Management and Evaluation"</f>
        <v>ECIME 2007: European Conference on Information Management and Evaluation</v>
      </c>
      <c r="B7959" s="8" t="str">
        <f>"9781905305544"</f>
        <v>9781905305544</v>
      </c>
      <c r="C7959" s="8" t="s">
        <v>973</v>
      </c>
    </row>
    <row r="7960" spans="1:3" x14ac:dyDescent="0.25">
      <c r="A7960" s="8" t="str">
        <f>"ECIO'08 Eindhoven - Proceedings of the 14th European Conference on Integrated Optics and Technical Exhibition, Contributed and Invited Papers"</f>
        <v>ECIO'08 Eindhoven - Proceedings of the 14th European Conference on Integrated Optics and Technical Exhibition, Contributed and Invited Papers</v>
      </c>
      <c r="B7960" s="8" t="str">
        <f>"9789038613178"</f>
        <v>9789038613178</v>
      </c>
      <c r="C7960" s="8" t="s">
        <v>1203</v>
      </c>
    </row>
    <row r="7961" spans="1:3" x14ac:dyDescent="0.25">
      <c r="A7961" s="8" t="str">
        <f>"ECIO'08 Eindhoven - Proceedings of the 14th European Conference on Integrated Optics and Technical Exhibition, Post-deadline Papers"</f>
        <v>ECIO'08 Eindhoven - Proceedings of the 14th European Conference on Integrated Optics and Technical Exhibition, Post-deadline Papers</v>
      </c>
      <c r="B7961" s="8" t="str">
        <f>"9789038613185"</f>
        <v>9789038613185</v>
      </c>
      <c r="C7961" s="8" t="s">
        <v>1203</v>
      </c>
    </row>
    <row r="7962" spans="1:3" x14ac:dyDescent="0.25">
      <c r="A7962" s="8" t="str">
        <f>"eclipse'07: OOPSLA Workshop on Eclipse Technology eXchange Proceedings of the 2007 OOPSLA Workshop on Eclipse Technology eXchange 2007"</f>
        <v>eclipse'07: OOPSLA Workshop on Eclipse Technology eXchange Proceedings of the 2007 OOPSLA Workshop on Eclipse Technology eXchange 2007</v>
      </c>
      <c r="B7962" s="8" t="str">
        <f>"9781605580159"</f>
        <v>9781605580159</v>
      </c>
      <c r="C7962" s="8" t="s">
        <v>131</v>
      </c>
    </row>
    <row r="7963" spans="1:3" x14ac:dyDescent="0.25">
      <c r="A7963" s="8" t="str">
        <f>"eclipse'07: Proceedings of the 2007 OOPSLA Workshop on Eclipse Technology eXchange"</f>
        <v>eclipse'07: Proceedings of the 2007 OOPSLA Workshop on Eclipse Technology eXchange</v>
      </c>
      <c r="B7963" s="8" t="str">
        <f>"9781605580159"</f>
        <v>9781605580159</v>
      </c>
      <c r="C7963" s="8" t="s">
        <v>21</v>
      </c>
    </row>
    <row r="7964" spans="1:3" x14ac:dyDescent="0.25">
      <c r="A7964" s="8" t="str">
        <f>"ECMLS 2012 - 3rd International Emerging Computational Methods for the Life Sciences Workshop"</f>
        <v>ECMLS 2012 - 3rd International Emerging Computational Methods for the Life Sciences Workshop</v>
      </c>
      <c r="B7964" s="8" t="str">
        <f>"9781450313391"</f>
        <v>9781450313391</v>
      </c>
      <c r="C7964" s="8" t="s">
        <v>21</v>
      </c>
    </row>
    <row r="7965" spans="1:3" x14ac:dyDescent="0.25">
      <c r="A7965" s="8" t="str">
        <f>"ECMLS'11 - Proceedings of the 2nd International Workshop on Emerging Computational Methods for the Life Sciences"</f>
        <v>ECMLS'11 - Proceedings of the 2nd International Workshop on Emerging Computational Methods for the Life Sciences</v>
      </c>
      <c r="B7965" s="8" t="str">
        <f>"9781450307024"</f>
        <v>9781450307024</v>
      </c>
      <c r="C7965" s="8" t="s">
        <v>21</v>
      </c>
    </row>
    <row r="7966" spans="1:3" x14ac:dyDescent="0.25">
      <c r="A7966" s="8" t="str">
        <f>"ECMOR 2006 - 10th European Conference on the Mathematics of Oil Recovery"</f>
        <v>ECMOR 2006 - 10th European Conference on the Mathematics of Oil Recovery</v>
      </c>
      <c r="B7966" s="8" t="str">
        <f>"9789073781474"</f>
        <v>9789073781474</v>
      </c>
      <c r="C7966" s="8" t="s">
        <v>1251</v>
      </c>
    </row>
    <row r="7967" spans="1:3" x14ac:dyDescent="0.25">
      <c r="A7967" s="8" t="str">
        <f>"ECMOR 2008 - 11th European Conference on the Mathematics of Oil Recovery"</f>
        <v>ECMOR 2008 - 11th European Conference on the Mathematics of Oil Recovery</v>
      </c>
      <c r="B7967" s="8" t="str">
        <f>"-"</f>
        <v>-</v>
      </c>
      <c r="C7967" s="8" t="s">
        <v>1251</v>
      </c>
    </row>
    <row r="7968" spans="1:3" x14ac:dyDescent="0.25">
      <c r="A7968" s="8" t="str">
        <f>"ECMOR 2010 - 12th European Conference on the Mathematics of Oil Recovery"</f>
        <v>ECMOR 2010 - 12th European Conference on the Mathematics of Oil Recovery</v>
      </c>
      <c r="B7968" s="8" t="str">
        <f>"-"</f>
        <v>-</v>
      </c>
      <c r="C7968" s="8" t="s">
        <v>1251</v>
      </c>
    </row>
    <row r="7969" spans="1:3" x14ac:dyDescent="0.25">
      <c r="A7969" s="8" t="str">
        <f>"ECMOR 2012 - 13th European Conference on the Mathematics of Oil Recovery"</f>
        <v>ECMOR 2012 - 13th European Conference on the Mathematics of Oil Recovery</v>
      </c>
      <c r="B7969" s="8" t="str">
        <f>"-"</f>
        <v>-</v>
      </c>
      <c r="C7969" s="8" t="s">
        <v>1251</v>
      </c>
    </row>
    <row r="7970" spans="1:3" x14ac:dyDescent="0.25">
      <c r="A7970" s="8" t="str">
        <f>"Econophysics Approaches to Large-Scale Business Data and Financial Crisis - Proceedings of the Tokyo Tech-Hitotsubashi Interdisciplinary Conference + APFA7, THIC+APFA7 2009"</f>
        <v>Econophysics Approaches to Large-Scale Business Data and Financial Crisis - Proceedings of the Tokyo Tech-Hitotsubashi Interdisciplinary Conference + APFA7, THIC+APFA7 2009</v>
      </c>
      <c r="B7970" s="8" t="str">
        <f>"9784431538523"</f>
        <v>9784431538523</v>
      </c>
      <c r="C7970" s="8" t="s">
        <v>127</v>
      </c>
    </row>
    <row r="7971" spans="1:3" x14ac:dyDescent="0.25">
      <c r="A7971" s="8" t="str">
        <f>"ECOOP 2010 Workshop Proceedings - International Workshop on Formalization of Modeling Languages, FML'10"</f>
        <v>ECOOP 2010 Workshop Proceedings - International Workshop on Formalization of Modeling Languages, FML'10</v>
      </c>
      <c r="B7971" s="8" t="str">
        <f>"9781450305327"</f>
        <v>9781450305327</v>
      </c>
      <c r="C7971" s="8" t="s">
        <v>21</v>
      </c>
    </row>
    <row r="7972" spans="1:3" x14ac:dyDescent="0.25">
      <c r="A7972" s="8" t="str">
        <f>"ECOOP 2010 Workshop Proceedings - Workshop 6: Workshop on the Implementation, Compilation, Optimization of Object-Oriented Languages, Programs and Systems, ICOOOLPS 2010"</f>
        <v>ECOOP 2010 Workshop Proceedings - Workshop 6: Workshop on the Implementation, Compilation, Optimization of Object-Oriented Languages, Programs and Systems, ICOOOLPS 2010</v>
      </c>
      <c r="B7972" s="8" t="str">
        <f>"9781450305372"</f>
        <v>9781450305372</v>
      </c>
      <c r="C7972" s="8" t="s">
        <v>21</v>
      </c>
    </row>
    <row r="7973" spans="1:3" x14ac:dyDescent="0.25">
      <c r="A7973" s="8" t="str">
        <f>"ECOOP 2010 Workshop Proceedings - Workshop 8: 4th Workshop on Mechanisms for Specialization, Generalization and Inheritance, MASPEGHI'10"</f>
        <v>ECOOP 2010 Workshop Proceedings - Workshop 8: 4th Workshop on Mechanisms for Specialization, Generalization and Inheritance, MASPEGHI'10</v>
      </c>
      <c r="B7973" s="8" t="str">
        <f>"9781450305358"</f>
        <v>9781450305358</v>
      </c>
      <c r="C7973" s="8" t="s">
        <v>21</v>
      </c>
    </row>
    <row r="7974" spans="1:3" x14ac:dyDescent="0.25">
      <c r="A7974" s="8" t="str">
        <f>"ECOOP 2011 Workshop Proceedings - 13th Workshop on Formal Techniques for Java-Like Programs, FTfJP 2011"</f>
        <v>ECOOP 2011 Workshop Proceedings - 13th Workshop on Formal Techniques for Java-Like Programs, FTfJP 2011</v>
      </c>
      <c r="B7974" s="8" t="str">
        <f>"9781450308939"</f>
        <v>9781450308939</v>
      </c>
      <c r="C7974" s="8" t="s">
        <v>21</v>
      </c>
    </row>
    <row r="7975" spans="1:3" x14ac:dyDescent="0.25">
      <c r="A7975" s="8" t="str">
        <f>"ECOS 2000"</f>
        <v>ECOS 2000</v>
      </c>
      <c r="B7975" s="8" t="str">
        <f>"9789036514668"</f>
        <v>9789036514668</v>
      </c>
      <c r="C7975" s="8" t="s">
        <v>1797</v>
      </c>
    </row>
    <row r="7976" spans="1:3" x14ac:dyDescent="0.25">
      <c r="A7976" s="8" t="str">
        <f>"ECOS 2000"</f>
        <v>ECOS 2000</v>
      </c>
      <c r="B7976" s="8" t="str">
        <f>"9789036514668"</f>
        <v>9789036514668</v>
      </c>
      <c r="C7976" s="8" t="s">
        <v>1797</v>
      </c>
    </row>
    <row r="7977" spans="1:3" x14ac:dyDescent="0.25">
      <c r="A7977" s="8" t="str">
        <f>"ECOS 2000"</f>
        <v>ECOS 2000</v>
      </c>
      <c r="B7977" s="8" t="str">
        <f>"9789036514668"</f>
        <v>9789036514668</v>
      </c>
      <c r="C7977" s="8" t="s">
        <v>1797</v>
      </c>
    </row>
    <row r="7978" spans="1:3" x14ac:dyDescent="0.25">
      <c r="A7978" s="8" t="str">
        <f>"ECOS 2000"</f>
        <v>ECOS 2000</v>
      </c>
      <c r="B7978" s="8" t="str">
        <f>"9789036514668"</f>
        <v>9789036514668</v>
      </c>
      <c r="C7978" s="8" t="s">
        <v>1797</v>
      </c>
    </row>
    <row r="7979" spans="1:3" x14ac:dyDescent="0.25">
      <c r="A7979" s="8" t="str">
        <f>"ECOS 2005 - Proceedings of the 18th International Conference on Efficiency, Cost, Optimization, Simulation, and Environmental Impact of Energy Systems"</f>
        <v>ECOS 2005 - Proceedings of the 18th International Conference on Efficiency, Cost, Optimization, Simulation, and Environmental Impact of Energy Systems</v>
      </c>
      <c r="B7979" s="8" t="str">
        <f>"-"</f>
        <v>-</v>
      </c>
      <c r="C7979" s="8" t="s">
        <v>1711</v>
      </c>
    </row>
    <row r="7980" spans="1:3" x14ac:dyDescent="0.25">
      <c r="A7980" s="8" t="str">
        <f>"ECOS 2006 - Proceedings of the 19th International Conference on Efficiency, Cost, Optimization, Simulation and Environmental Impact of Energy Systems"</f>
        <v>ECOS 2006 - Proceedings of the 19th International Conference on Efficiency, Cost, Optimization, Simulation and Environmental Impact of Energy Systems</v>
      </c>
      <c r="B7980" s="8" t="str">
        <f>"-"</f>
        <v>-</v>
      </c>
      <c r="C7980" s="8" t="s">
        <v>1223</v>
      </c>
    </row>
    <row r="7981" spans="1:3" x14ac:dyDescent="0.25">
      <c r="A7981" s="8" t="str">
        <f>"ECOS 2007 - Proceedings of the 20th International Conference on Efficiency, Cost, Optimization, Simulation and Environmental Impact of Energy Systems"</f>
        <v>ECOS 2007 - Proceedings of the 20th International Conference on Efficiency, Cost, Optimization, Simulation and Environmental Impact of Energy Systems</v>
      </c>
      <c r="B7981" s="8" t="str">
        <f>"-"</f>
        <v>-</v>
      </c>
      <c r="C7981" s="8" t="s">
        <v>1798</v>
      </c>
    </row>
    <row r="7982" spans="1:3" x14ac:dyDescent="0.25">
      <c r="A7982" s="8" t="str">
        <f>"ECOS 2008 - Proceedings of the 21st International Conference on Efficiency, Cost, Optimization, Simulation and Environmental Impact of Energy Systems"</f>
        <v>ECOS 2008 - Proceedings of the 21st International Conference on Efficiency, Cost, Optimization, Simulation and Environmental Impact of Energy Systems</v>
      </c>
      <c r="B7982" s="8" t="str">
        <f>"9788392238140"</f>
        <v>9788392238140</v>
      </c>
      <c r="C7982" s="8" t="s">
        <v>1799</v>
      </c>
    </row>
    <row r="7983" spans="1:3" x14ac:dyDescent="0.25">
      <c r="A7983" s="8" t="str">
        <f>"ECOS 2009 - 22nd International Conference on Efficiency, Cost, Optimization, Simulation and Environmental Impact of Energy Systems"</f>
        <v>ECOS 2009 - 22nd International Conference on Efficiency, Cost, Optimization, Simulation and Environmental Impact of Energy Systems</v>
      </c>
      <c r="B7983" s="8" t="str">
        <f>"-"</f>
        <v>-</v>
      </c>
      <c r="C7983" s="8" t="s">
        <v>1800</v>
      </c>
    </row>
    <row r="7984" spans="1:3" x14ac:dyDescent="0.25">
      <c r="A7984" s="8" t="str">
        <f>"ECOWS'09 - 7th IEEE European Conference on Web Services"</f>
        <v>ECOWS'09 - 7th IEEE European Conference on Web Services</v>
      </c>
      <c r="B7984" s="8" t="str">
        <f>"9780769538549"</f>
        <v>9780769538549</v>
      </c>
      <c r="C7984" s="8" t="s">
        <v>9</v>
      </c>
    </row>
    <row r="7985" spans="1:3" x14ac:dyDescent="0.25">
      <c r="A7985" s="8" t="str">
        <f>"eCrime Researchers Summit, eCrime 2008"</f>
        <v>eCrime Researchers Summit, eCrime 2008</v>
      </c>
      <c r="B7985" s="8" t="str">
        <f>"9781424429691"</f>
        <v>9781424429691</v>
      </c>
      <c r="C7985" s="8" t="s">
        <v>9</v>
      </c>
    </row>
    <row r="7986" spans="1:3" x14ac:dyDescent="0.25">
      <c r="A7986" s="8" t="str">
        <f>"ECSCW 2005 - Proceedings of the 9th European Conference on Computer-Supported Cooperative Work"</f>
        <v>ECSCW 2005 - Proceedings of the 9th European Conference on Computer-Supported Cooperative Work</v>
      </c>
      <c r="B7986" s="8" t="str">
        <f>"9781402040221"</f>
        <v>9781402040221</v>
      </c>
      <c r="C7986" s="8" t="s">
        <v>162</v>
      </c>
    </row>
    <row r="7987" spans="1:3" x14ac:dyDescent="0.25">
      <c r="A7987" s="8" t="str">
        <f>"ECSCW 2007 - Proceedings of the 10th European Conference on Computer Supported Cooperative Work"</f>
        <v>ECSCW 2007 - Proceedings of the 10th European Conference on Computer Supported Cooperative Work</v>
      </c>
      <c r="B7987" s="8" t="str">
        <f>"9781848000308"</f>
        <v>9781848000308</v>
      </c>
      <c r="C7987" s="8" t="s">
        <v>162</v>
      </c>
    </row>
    <row r="7988" spans="1:3" x14ac:dyDescent="0.25">
      <c r="A7988" s="8" t="str">
        <f>"ECSCW 2009 - Proceedings of the 11th European Conference on Computer Supported Cooperative Work"</f>
        <v>ECSCW 2009 - Proceedings of the 11th European Conference on Computer Supported Cooperative Work</v>
      </c>
      <c r="B7988" s="8" t="str">
        <f>"9781848828537"</f>
        <v>9781848828537</v>
      </c>
      <c r="C7988" s="8" t="s">
        <v>162</v>
      </c>
    </row>
    <row r="7989" spans="1:3" x14ac:dyDescent="0.25">
      <c r="A7989" s="8" t="str">
        <f>"ECTA 2011 FCTA 2011 - Proceedings of the International Conference on Evolutionary Computation Theory and Applications and International Conference on Fuzzy Computation Theory and Applications"</f>
        <v>ECTA 2011 FCTA 2011 - Proceedings of the International Conference on Evolutionary Computation Theory and Applications and International Conference on Fuzzy Computation Theory and Applications</v>
      </c>
      <c r="B7989" s="8" t="str">
        <f>"9789898425836"</f>
        <v>9789898425836</v>
      </c>
      <c r="C7989" s="8" t="s">
        <v>1197</v>
      </c>
    </row>
    <row r="7990" spans="1:3" x14ac:dyDescent="0.25">
      <c r="A7990" s="8" t="str">
        <f>"ECTA 2014 - Proceedings of the International Conference on Evolutionary Computation Theory and Applications"</f>
        <v>ECTA 2014 - Proceedings of the International Conference on Evolutionary Computation Theory and Applications</v>
      </c>
      <c r="B7990" s="8" t="str">
        <f>"9789897580529"</f>
        <v>9789897580529</v>
      </c>
      <c r="C7990" s="8" t="s">
        <v>1680</v>
      </c>
    </row>
    <row r="7991" spans="1:3" x14ac:dyDescent="0.25">
      <c r="A7991" s="8" t="str">
        <f>"ECTI-CON 2010 - The 2010 ECTI International Conference on Electrical Engineering/Electronics, Computer, Telecommunications and Information Technology"</f>
        <v>ECTI-CON 2010 - The 2010 ECTI International Conference on Electrical Engineering/Electronics, Computer, Telecommunications and Information Technology</v>
      </c>
      <c r="B7991" s="8" t="str">
        <f>"9789746724913"</f>
        <v>9789746724913</v>
      </c>
      <c r="C7991" s="8" t="s">
        <v>9</v>
      </c>
    </row>
    <row r="7992" spans="1:3" x14ac:dyDescent="0.25">
      <c r="A7992" s="8" t="str">
        <f>"ECTI-CON 2011 - 8th Electrical Engineering/ Electronics, Computer, Telecommunications and Information Technology (ECTI) Association of Thailand - Conference 2011"</f>
        <v>ECTI-CON 2011 - 8th Electrical Engineering/ Electronics, Computer, Telecommunications and Information Technology (ECTI) Association of Thailand - Conference 2011</v>
      </c>
      <c r="B7992" s="8" t="str">
        <f>"9781457704246"</f>
        <v>9781457704246</v>
      </c>
      <c r="C7992" s="8" t="s">
        <v>9</v>
      </c>
    </row>
    <row r="7993" spans="1:3" x14ac:dyDescent="0.25">
      <c r="A7993" s="8" t="str">
        <f>"edana 2006 International Nonwovens Symposium"</f>
        <v>edana 2006 International Nonwovens Symposium</v>
      </c>
      <c r="B7993" s="8" t="str">
        <f>"-"</f>
        <v>-</v>
      </c>
      <c r="C7993" s="8" t="s">
        <v>1801</v>
      </c>
    </row>
    <row r="7994" spans="1:3" x14ac:dyDescent="0.25">
      <c r="A7994" s="8" t="str">
        <f>"edana International Nonwovens Symposium"</f>
        <v>edana International Nonwovens Symposium</v>
      </c>
      <c r="B7994" s="8" t="str">
        <f>"9782930159485"</f>
        <v>9782930159485</v>
      </c>
      <c r="C7994" s="8" t="s">
        <v>1801</v>
      </c>
    </row>
    <row r="7995" spans="1:3" x14ac:dyDescent="0.25">
      <c r="A7995" s="8" t="str">
        <f>"Edana International Nonwovens Symposium 2009"</f>
        <v>Edana International Nonwovens Symposium 2009</v>
      </c>
      <c r="B7995" s="8" t="str">
        <f>"-"</f>
        <v>-</v>
      </c>
      <c r="C7995" s="8" t="s">
        <v>1801</v>
      </c>
    </row>
    <row r="7996" spans="1:3" x14ac:dyDescent="0.25">
      <c r="A7996" s="8" t="str">
        <f>"Edana International Nonwovens Symposium, Manuscripts and Presentations 2010"</f>
        <v>Edana International Nonwovens Symposium, Manuscripts and Presentations 2010</v>
      </c>
      <c r="B7996" s="8" t="str">
        <f>"-"</f>
        <v>-</v>
      </c>
      <c r="C7996" s="8" t="s">
        <v>1266</v>
      </c>
    </row>
    <row r="7997" spans="1:3" x14ac:dyDescent="0.25">
      <c r="A7997" s="8" t="str">
        <f>"EDAPS 2013 - 2013 IEEE Electrical Design of Advanced Packaging Systems Symposium"</f>
        <v>EDAPS 2013 - 2013 IEEE Electrical Design of Advanced Packaging Systems Symposium</v>
      </c>
      <c r="B7997" s="8" t="str">
        <f>"9781479923113"</f>
        <v>9781479923113</v>
      </c>
      <c r="C7997" s="8" t="s">
        <v>9</v>
      </c>
    </row>
    <row r="7998" spans="1:3" x14ac:dyDescent="0.25">
      <c r="A7998" s="8" t="str">
        <f>"EDBT'08 Workshop on Software Engineering for Tailor-made Data Management, SETMDM"</f>
        <v>EDBT'08 Workshop on Software Engineering for Tailor-made Data Management, SETMDM</v>
      </c>
      <c r="B7998" s="8" t="str">
        <f>"9781595939647"</f>
        <v>9781595939647</v>
      </c>
      <c r="C7998" s="8" t="s">
        <v>21</v>
      </c>
    </row>
    <row r="7999" spans="1:3" x14ac:dyDescent="0.25">
      <c r="A7999" s="8" t="str">
        <f>"EDCC-8 - Proceedings of the 8th European Dependable Computing Conference"</f>
        <v>EDCC-8 - Proceedings of the 8th European Dependable Computing Conference</v>
      </c>
      <c r="B7999" s="8" t="str">
        <f>"9780769540078"</f>
        <v>9780769540078</v>
      </c>
      <c r="C7999" s="8" t="s">
        <v>9</v>
      </c>
    </row>
    <row r="8000" spans="1:3" x14ac:dyDescent="0.25">
      <c r="A8000" s="8" t="str">
        <f>"EDERC 2010 - European DSP in Education and Research Conference, Proceedings"</f>
        <v>EDERC 2010 - European DSP in Education and Research Conference, Proceedings</v>
      </c>
      <c r="B8000" s="8" t="str">
        <f>"9780955204746"</f>
        <v>9780955204746</v>
      </c>
      <c r="C8000" s="8" t="s">
        <v>9</v>
      </c>
    </row>
    <row r="8001" spans="1:3" x14ac:dyDescent="0.25">
      <c r="A8001" s="8" t="str">
        <f>"EDERC 2012 - Proceedings of the 5th European DSP in Education and Research Conference"</f>
        <v>EDERC 2012 - Proceedings of the 5th European DSP in Education and Research Conference</v>
      </c>
      <c r="B8001" s="8" t="str">
        <f>"9781467345958"</f>
        <v>9781467345958</v>
      </c>
      <c r="C8001" s="8" t="s">
        <v>9</v>
      </c>
    </row>
    <row r="8002" spans="1:3" x14ac:dyDescent="0.25">
      <c r="A8002" s="8" t="str">
        <f>"EDERC 2014 - Proceedings of the 6th European Embedded Design in Education and Research Conference"</f>
        <v>EDERC 2014 - Proceedings of the 6th European Embedded Design in Education and Research Conference</v>
      </c>
      <c r="B8002" s="8" t="str">
        <f>"9781479968411"</f>
        <v>9781479968411</v>
      </c>
      <c r="C8002" s="8" t="s">
        <v>105</v>
      </c>
    </row>
    <row r="8003" spans="1:3" x14ac:dyDescent="0.25">
      <c r="A8003" s="8" t="str">
        <f>"EDM 2011 - Proceedings of the 4th International Conference on Educational Data Mining"</f>
        <v>EDM 2011 - Proceedings of the 4th International Conference on Educational Data Mining</v>
      </c>
      <c r="B8003" s="8" t="str">
        <f>"9789038625379"</f>
        <v>9789038625379</v>
      </c>
      <c r="C8003" s="8" t="s">
        <v>1802</v>
      </c>
    </row>
    <row r="8004" spans="1:3" x14ac:dyDescent="0.25">
      <c r="A8004" s="8" t="str">
        <f>"EDM'09 - Educational Data Mining 2009: 2nd International Conference on Educational Data Mining"</f>
        <v>EDM'09 - Educational Data Mining 2009: 2nd International Conference on Educational Data Mining</v>
      </c>
      <c r="B8004" s="8" t="str">
        <f>"9788461323081"</f>
        <v>9788461323081</v>
      </c>
      <c r="C8004" s="8" t="s">
        <v>1802</v>
      </c>
    </row>
    <row r="8005" spans="1:3" x14ac:dyDescent="0.25">
      <c r="A8005" s="8" t="str">
        <f>"Education 2014 - Core Programming Area at the 2014 AIChE Spring Meeting and 10th Global Congress on Process Safety"</f>
        <v>Education 2014 - Core Programming Area at the 2014 AIChE Spring Meeting and 10th Global Congress on Process Safety</v>
      </c>
      <c r="B8005" s="8" t="str">
        <f>"9781634390699"</f>
        <v>9781634390699</v>
      </c>
      <c r="C8005" s="8" t="s">
        <v>1219</v>
      </c>
    </row>
    <row r="8006" spans="1:3" x14ac:dyDescent="0.25">
      <c r="A8006" s="8" t="str">
        <f>"Education Division 2013 - Core Programming Area at the 2013 AIChE Annual Meeting: Global Challenges for Engineering a Sustainable Future"</f>
        <v>Education Division 2013 - Core Programming Area at the 2013 AIChE Annual Meeting: Global Challenges for Engineering a Sustainable Future</v>
      </c>
      <c r="B8006" s="8" t="str">
        <f>"9781634390378"</f>
        <v>9781634390378</v>
      </c>
      <c r="C8006" s="8" t="s">
        <v>1219</v>
      </c>
    </row>
    <row r="8007" spans="1:3" x14ac:dyDescent="0.25">
      <c r="A8007" s="8" t="str">
        <f>"Educational Data Mining 2008 - 1st International Conference on Educational Data Mining, Proceedings"</f>
        <v>Educational Data Mining 2008 - 1st International Conference on Educational Data Mining, Proceedings</v>
      </c>
      <c r="B8007" s="8" t="str">
        <f>"9780615306292"</f>
        <v>9780615306292</v>
      </c>
      <c r="C8007" s="8" t="s">
        <v>1802</v>
      </c>
    </row>
    <row r="8008" spans="1:3" x14ac:dyDescent="0.25">
      <c r="A8008" s="8" t="str">
        <f>"Educational Data Mining 2010 - 3rd International Conference on Educational Data Mining"</f>
        <v>Educational Data Mining 2010 - 3rd International Conference on Educational Data Mining</v>
      </c>
      <c r="B8008" s="8" t="str">
        <f>"9780615375298"</f>
        <v>9780615375298</v>
      </c>
      <c r="C8008" s="8" t="s">
        <v>1802</v>
      </c>
    </row>
    <row r="8009" spans="1:3" x14ac:dyDescent="0.25">
      <c r="A8009" s="8" t="str">
        <f>"EE 2008 - International Conference on Innovation, Good Practice and Research in Engineering Education"</f>
        <v>EE 2008 - International Conference on Innovation, Good Practice and Research in Engineering Education</v>
      </c>
      <c r="B8009" s="8" t="str">
        <f>"9781904804659"</f>
        <v>9781904804659</v>
      </c>
      <c r="C8009" s="8" t="s">
        <v>377</v>
      </c>
    </row>
    <row r="8010" spans="1:3" x14ac:dyDescent="0.25">
      <c r="A8010" s="8" t="str">
        <f>"EE 2012 - International Conference on Innovation, Practice and Research in Engineering Education, Conference Proceedings"</f>
        <v>EE 2012 - International Conference on Innovation, Practice and Research in Engineering Education, Conference Proceedings</v>
      </c>
      <c r="B8010" s="8" t="str">
        <f>"9781907632167"</f>
        <v>9781907632167</v>
      </c>
      <c r="C8010" s="8" t="s">
        <v>1803</v>
      </c>
    </row>
    <row r="8011" spans="1:3" x14ac:dyDescent="0.25">
      <c r="A8011" s="8" t="str">
        <f>"EE-HPC-WG'11 - Proceedings of the 2011 Energy Efficient High Performance Computing Working Group Workshop, Co-located with SC'11"</f>
        <v>EE-HPC-WG'11 - Proceedings of the 2011 Energy Efficient High Performance Computing Working Group Workshop, Co-located with SC'11</v>
      </c>
      <c r="B8011" s="8" t="str">
        <f>"9781450311588"</f>
        <v>9781450311588</v>
      </c>
      <c r="C8011" s="8" t="s">
        <v>21</v>
      </c>
    </row>
    <row r="8012" spans="1:3" x14ac:dyDescent="0.25">
      <c r="A8012" s="8" t="str">
        <f>"EEHPDC 2013 - Proceedings of the 2013 ACM Workshop on Energy Efficient High Performance Parallel and Distributed Computing"</f>
        <v>EEHPDC 2013 - Proceedings of the 2013 ACM Workshop on Energy Efficient High Performance Parallel and Distributed Computing</v>
      </c>
      <c r="B8012" s="8" t="str">
        <f>"9781450319805"</f>
        <v>9781450319805</v>
      </c>
      <c r="C8012" s="8" t="s">
        <v>21</v>
      </c>
    </row>
    <row r="8013" spans="1:3" x14ac:dyDescent="0.25">
      <c r="A8013" s="8" t="str">
        <f>"e-Energy 2013 - Proceedings of the 4th ACM International Conference on Future Energy Systems"</f>
        <v>e-Energy 2013 - Proceedings of the 4th ACM International Conference on Future Energy Systems</v>
      </c>
      <c r="B8013" s="8" t="str">
        <f>"9781450320528"</f>
        <v>9781450320528</v>
      </c>
      <c r="C8013" s="8" t="s">
        <v>21</v>
      </c>
    </row>
    <row r="8014" spans="1:3" x14ac:dyDescent="0.25">
      <c r="A8014" s="8" t="str">
        <f>"EESMS 2010 - 2010 IEEE Worskshop on Environmental, Energy, and Structural Monitoring Systems, Proceedings"</f>
        <v>EESMS 2010 - 2010 IEEE Worskshop on Environmental, Energy, and Structural Monitoring Systems, Proceedings</v>
      </c>
      <c r="B8014" s="8" t="str">
        <f>"9781424462759"</f>
        <v>9781424462759</v>
      </c>
      <c r="C8014" s="8" t="s">
        <v>9</v>
      </c>
    </row>
    <row r="8015" spans="1:3" x14ac:dyDescent="0.25">
      <c r="A8015" s="8" t="str">
        <f>"EESMS 2011 - 2011 IEEE Workshop on Environmental, Energy, and Structural Monitoring Systems, Proceedings"</f>
        <v>EESMS 2011 - 2011 IEEE Workshop on Environmental, Energy, and Structural Monitoring Systems, Proceedings</v>
      </c>
      <c r="B8015" s="8" t="str">
        <f>"9781457706080"</f>
        <v>9781457706080</v>
      </c>
      <c r="C8015" s="8" t="s">
        <v>9</v>
      </c>
    </row>
    <row r="8016" spans="1:3" x14ac:dyDescent="0.25">
      <c r="A8016" s="8" t="str">
        <f>"EESMS 2014 - 2014 IEEE Workshop on Environmental, Energy and Structural Monitoring Systems, Proceedings"</f>
        <v>EESMS 2014 - 2014 IEEE Workshop on Environmental, Energy and Structural Monitoring Systems, Proceedings</v>
      </c>
      <c r="B8016" s="8" t="str">
        <f>"9781479949892"</f>
        <v>9781479949892</v>
      </c>
      <c r="C8016" s="8" t="s">
        <v>105</v>
      </c>
    </row>
    <row r="8017" spans="1:3" x14ac:dyDescent="0.25">
      <c r="A8017" s="8" t="str">
        <f>"EFC 2011 - Proceedings of the 4th European Fuel Cell Piero Lunghi Conference and Exhibition"</f>
        <v>EFC 2011 - Proceedings of the 4th European Fuel Cell Piero Lunghi Conference and Exhibition</v>
      </c>
      <c r="B8017" s="8" t="str">
        <f>"9788882862541"</f>
        <v>9788882862541</v>
      </c>
      <c r="C8017" s="8" t="s">
        <v>1804</v>
      </c>
    </row>
    <row r="8018" spans="1:3" x14ac:dyDescent="0.25">
      <c r="A8018" s="8" t="str">
        <f>"EFC 2013 - Proceedings of the 5th European Fuel Cell Piero Lunghi Conference"</f>
        <v>EFC 2013 - Proceedings of the 5th European Fuel Cell Piero Lunghi Conference</v>
      </c>
      <c r="B8018" s="8" t="str">
        <f>"9788882862978"</f>
        <v>9788882862978</v>
      </c>
      <c r="C8018" s="8" t="s">
        <v>1804</v>
      </c>
    </row>
    <row r="8019" spans="1:3" x14ac:dyDescent="0.25">
      <c r="A8019" s="8" t="str">
        <f>"Effects of Radiation on Nuclear Materials: 26th Volume"</f>
        <v>Effects of Radiation on Nuclear Materials: 26th Volume</v>
      </c>
      <c r="B8019" s="8" t="str">
        <f>"9780803175891"</f>
        <v>9780803175891</v>
      </c>
      <c r="C8019" s="8" t="s">
        <v>75</v>
      </c>
    </row>
    <row r="8020" spans="1:3" x14ac:dyDescent="0.25">
      <c r="A8020" s="8" t="str">
        <f>"Efficient Transportation and Pavement Systems: Characterization, Mechanisms, Simulation, and Modeling - Proceedings of the 4th International Gulf Conference on Roads"</f>
        <v>Efficient Transportation and Pavement Systems: Characterization, Mechanisms, Simulation, and Modeling - Proceedings of the 4th International Gulf Conference on Roads</v>
      </c>
      <c r="B8020" s="8" t="str">
        <f>"9780415489799"</f>
        <v>9780415489799</v>
      </c>
      <c r="C8020" s="8" t="s">
        <v>1637</v>
      </c>
    </row>
    <row r="8021" spans="1:3" x14ac:dyDescent="0.25">
      <c r="A8021" s="8" t="str">
        <f>"Efficient, High Performance Buildings for Developing Economies 2014"</f>
        <v>Efficient, High Performance Buildings for Developing Economies 2014</v>
      </c>
      <c r="B8021" s="8" t="str">
        <f>"-"</f>
        <v>-</v>
      </c>
      <c r="C8021" s="8" t="s">
        <v>1325</v>
      </c>
    </row>
    <row r="8022" spans="1:3" x14ac:dyDescent="0.25">
      <c r="A8022" s="8" t="str">
        <f>"EFTF 2008 - 22nd European Frequency and Time Forum"</f>
        <v>EFTF 2008 - 22nd European Frequency and Time Forum</v>
      </c>
      <c r="B8022" s="8" t="str">
        <f>"-"</f>
        <v>-</v>
      </c>
      <c r="C8022" s="8" t="s">
        <v>1316</v>
      </c>
    </row>
    <row r="8023" spans="1:3" x14ac:dyDescent="0.25">
      <c r="A8023" s="8" t="str">
        <f>"EFTF 2010 - 24th European Frequency and Time Forum"</f>
        <v>EFTF 2010 - 24th European Frequency and Time Forum</v>
      </c>
      <c r="B8023" s="8" t="str">
        <f>"9781467359702"</f>
        <v>9781467359702</v>
      </c>
      <c r="C8023" s="8" t="s">
        <v>9</v>
      </c>
    </row>
    <row r="8024" spans="1:3" x14ac:dyDescent="0.25">
      <c r="A8024" s="8" t="str">
        <f>"EFTF 2012 - 2012 European Frequency and Time Forum, Proceedings"</f>
        <v>EFTF 2012 - 2012 European Frequency and Time Forum, Proceedings</v>
      </c>
      <c r="B8024" s="8" t="str">
        <f>"9781467319249"</f>
        <v>9781467319249</v>
      </c>
      <c r="C8024" s="8" t="s">
        <v>9</v>
      </c>
    </row>
    <row r="8025" spans="1:3" x14ac:dyDescent="0.25">
      <c r="A8025" s="8" t="str">
        <f>"EG VCBM 2008 - Eurographics Workshop on Visual Computing for Biomedicine"</f>
        <v>EG VCBM 2008 - Eurographics Workshop on Visual Computing for Biomedicine</v>
      </c>
      <c r="B8025" s="8" t="str">
        <f>"9783905674132"</f>
        <v>9783905674132</v>
      </c>
      <c r="C8025" s="8" t="s">
        <v>23</v>
      </c>
    </row>
    <row r="8026" spans="1:3" x14ac:dyDescent="0.25">
      <c r="A8026" s="8" t="str">
        <f>"EG VCBM 2010 - Eurographics Workshop on Visual Computing for Biology and Medicine"</f>
        <v>EG VCBM 2010 - Eurographics Workshop on Visual Computing for Biology and Medicine</v>
      </c>
      <c r="B8026" s="8" t="str">
        <f>"9783905674286"</f>
        <v>9783905674286</v>
      </c>
      <c r="C8026" s="8" t="s">
        <v>23</v>
      </c>
    </row>
    <row r="8027" spans="1:3" x14ac:dyDescent="0.25">
      <c r="A8027" s="8" t="str">
        <f>"EG VCBM 2012 - Eurographics Workshop on Visual Computing for Biology and Medicine"</f>
        <v>EG VCBM 2012 - Eurographics Workshop on Visual Computing for Biology and Medicine</v>
      </c>
      <c r="B8027" s="8" t="str">
        <f>"9783905674385"</f>
        <v>9783905674385</v>
      </c>
      <c r="C8027" s="8" t="s">
        <v>23</v>
      </c>
    </row>
    <row r="8028" spans="1:3" x14ac:dyDescent="0.25">
      <c r="A8028" s="8" t="str">
        <f>"EG-ICE 2011, European Group for Intelligent Computing in Engineering"</f>
        <v>EG-ICE 2011, European Group for Intelligent Computing in Engineering</v>
      </c>
      <c r="B8028" s="8" t="str">
        <f>"9789036532167"</f>
        <v>9789036532167</v>
      </c>
      <c r="C8028" s="8" t="s">
        <v>1797</v>
      </c>
    </row>
    <row r="8029" spans="1:3" x14ac:dyDescent="0.25">
      <c r="A8029" s="8" t="str">
        <f>"EG-ICE 2014, European Group for Intelligent Computing in Engineering - 21st International Workshop: Intelligent Computing in Engineering 2014"</f>
        <v>EG-ICE 2014, European Group for Intelligent Computing in Engineering - 21st International Workshop: Intelligent Computing in Engineering 2014</v>
      </c>
      <c r="B8029" s="8" t="str">
        <f>"9780993080708"</f>
        <v>9780993080708</v>
      </c>
      <c r="C8029" s="8" t="s">
        <v>1797</v>
      </c>
    </row>
    <row r="8030" spans="1:3" x14ac:dyDescent="0.25">
      <c r="A8030" s="8" t="str">
        <f>"EG-ICE 2015 - 22nd Workshop of the European Group of Intelligent Computing in Engineering"</f>
        <v>EG-ICE 2015 - 22nd Workshop of the European Group of Intelligent Computing in Engineering</v>
      </c>
      <c r="B8030" s="8" t="str">
        <f>"9780000000002"</f>
        <v>9780000000002</v>
      </c>
      <c r="C8030" s="8" t="s">
        <v>1805</v>
      </c>
    </row>
    <row r="8031" spans="1:3" x14ac:dyDescent="0.25">
      <c r="A8031" s="8" t="str">
        <f>"eHeritage'10 - Proceedings of the 2nd ACM Workshop on eHeritage and Digital Art Preservation, Co-located with ACM Multimedia 2010"</f>
        <v>eHeritage'10 - Proceedings of the 2nd ACM Workshop on eHeritage and Digital Art Preservation, Co-located with ACM Multimedia 2010</v>
      </c>
      <c r="B8031" s="8" t="str">
        <f>"9781450301565"</f>
        <v>9781450301565</v>
      </c>
      <c r="C8031" s="8" t="s">
        <v>21</v>
      </c>
    </row>
    <row r="8032" spans="1:3" x14ac:dyDescent="0.25">
      <c r="A8032" s="8" t="str">
        <f>"EICS 2013 - Proceedings of the ACM SIGCHI Symposium on Engineering Interactive Computing Systems"</f>
        <v>EICS 2013 - Proceedings of the ACM SIGCHI Symposium on Engineering Interactive Computing Systems</v>
      </c>
      <c r="B8032" s="8" t="str">
        <f>"9781450322133"</f>
        <v>9781450322133</v>
      </c>
      <c r="C8032" s="8" t="s">
        <v>21</v>
      </c>
    </row>
    <row r="8033" spans="1:3" x14ac:dyDescent="0.25">
      <c r="A8033" s="8" t="str">
        <f>"EICS'09 - Proceedings of the ACM SIGCHI Symposium on Engineering Interactive Computing Systems"</f>
        <v>EICS'09 - Proceedings of the ACM SIGCHI Symposium on Engineering Interactive Computing Systems</v>
      </c>
      <c r="B8033" s="8" t="str">
        <f>"9781605586007"</f>
        <v>9781605586007</v>
      </c>
      <c r="C8033" s="8" t="s">
        <v>21</v>
      </c>
    </row>
    <row r="8034" spans="1:3" x14ac:dyDescent="0.25">
      <c r="A8034" s="8" t="str">
        <f>"EICS'10 - Proceedings of the 2010 ACM SIGCHI Symposium on Engineering Interactive Computing Systems"</f>
        <v>EICS'10 - Proceedings of the 2010 ACM SIGCHI Symposium on Engineering Interactive Computing Systems</v>
      </c>
      <c r="B8034" s="8" t="str">
        <f>"9781450300834"</f>
        <v>9781450300834</v>
      </c>
      <c r="C8034" s="8" t="s">
        <v>21</v>
      </c>
    </row>
    <row r="8035" spans="1:3" x14ac:dyDescent="0.25">
      <c r="A8035" s="8" t="str">
        <f>"EICS'12 - Proceedings of the 2012 ACM SIGCHI Symposium on Engineering Interactive Computing Systems"</f>
        <v>EICS'12 - Proceedings of the 2012 ACM SIGCHI Symposium on Engineering Interactive Computing Systems</v>
      </c>
      <c r="B8035" s="8" t="str">
        <f>"9781450311687"</f>
        <v>9781450311687</v>
      </c>
      <c r="C8035" s="8" t="s">
        <v>21</v>
      </c>
    </row>
    <row r="8036" spans="1:3" x14ac:dyDescent="0.25">
      <c r="A8036" s="8" t="str">
        <f>"Eighteenth International Specialty Conference on Cold-Formed Steel Structures: Recent Research and Developments in Cold-Formed Steel Design and Construction"</f>
        <v>Eighteenth International Specialty Conference on Cold-Formed Steel Structures: Recent Research and Developments in Cold-Formed Steel Design and Construction</v>
      </c>
      <c r="B8036" s="8" t="str">
        <f>"-"</f>
        <v>-</v>
      </c>
      <c r="C8036" s="8" t="s">
        <v>1399</v>
      </c>
    </row>
    <row r="8037" spans="1:3" x14ac:dyDescent="0.25">
      <c r="A8037" s="8" t="str">
        <f>"Eighth International ACM SIGACCESS Conference on Computers and Accessibility, ASSETS 2006"</f>
        <v>Eighth International ACM SIGACCESS Conference on Computers and Accessibility, ASSETS 2006</v>
      </c>
      <c r="B8037" s="8" t="str">
        <f>"-"</f>
        <v>-</v>
      </c>
      <c r="C8037" s="8" t="s">
        <v>21</v>
      </c>
    </row>
    <row r="8038" spans="1:3" x14ac:dyDescent="0.25">
      <c r="A8038" s="8" t="str">
        <f>"EiMM'10 - Proceedings of the 2nd ACM International Workshop on Events in Multimedia, Co-located with ACM Multimedia 2010"</f>
        <v>EiMM'10 - Proceedings of the 2nd ACM International Workshop on Events in Multimedia, Co-located with ACM Multimedia 2010</v>
      </c>
      <c r="B8038" s="8" t="str">
        <f>"9781450301763"</f>
        <v>9781450301763</v>
      </c>
      <c r="C8038" s="8" t="s">
        <v>21</v>
      </c>
    </row>
    <row r="8039" spans="1:3" x14ac:dyDescent="0.25">
      <c r="A8039" s="8" t="str">
        <f>"EISTA 2006 - 4th Int. Conf. on Education and Information Systems: Technologies and Applications, Jointly with SOIC 2006 - 2nd Int. Conf. on SOIC and PISTA 2006 - 4th Int. Conf. on PISTA, Proceedings"</f>
        <v>EISTA 2006 - 4th Int. Conf. on Education and Information Systems: Technologies and Applications, Jointly with SOIC 2006 - 2nd Int. Conf. on SOIC and PISTA 2006 - 4th Int. Conf. on PISTA, Proceedings</v>
      </c>
      <c r="B8039" s="8" t="str">
        <f>"-"</f>
        <v>-</v>
      </c>
      <c r="C8039" s="8" t="s">
        <v>1502</v>
      </c>
    </row>
    <row r="8040" spans="1:3" x14ac:dyDescent="0.25">
      <c r="A8040" s="8" t="str">
        <f>"EKSIG 2009: Experiential Knowledge, Method and Methodology - International Conference 2009 of the DRS Special Interest Group on Experiential Knowledge, Conference Proceedings"</f>
        <v>EKSIG 2009: Experiential Knowledge, Method and Methodology - International Conference 2009 of the DRS Special Interest Group on Experiential Knowledge, Conference Proceedings</v>
      </c>
      <c r="B8040" s="8" t="str">
        <f>"9780956278937"</f>
        <v>9780956278937</v>
      </c>
      <c r="C8040" s="8" t="s">
        <v>1806</v>
      </c>
    </row>
    <row r="8041" spans="1:3" x14ac:dyDescent="0.25">
      <c r="A8041" s="8" t="str">
        <f>"EKSIG 2011: SkinDeep - Experiential Knowledge and Multi Sensory Communication - Proceedings of the International Conference 2011 of the DRS Special Interest Group on Experiential Knowledge"</f>
        <v>EKSIG 2011: SkinDeep - Experiential Knowledge and Multi Sensory Communication - Proceedings of the International Conference 2011 of the DRS Special Interest Group on Experiential Knowledge</v>
      </c>
      <c r="B8041" s="8" t="str">
        <f>"9780956416070"</f>
        <v>9780956416070</v>
      </c>
      <c r="C8041" s="8" t="s">
        <v>1806</v>
      </c>
    </row>
    <row r="8042" spans="1:3" x14ac:dyDescent="0.25">
      <c r="A8042" s="8" t="str">
        <f>"ELECO 2009 - 6th International Conference on Electrical and Electronics Engineering"</f>
        <v>ELECO 2009 - 6th International Conference on Electrical and Electronics Engineering</v>
      </c>
      <c r="B8042" s="8" t="str">
        <f>"9789944898188"</f>
        <v>9789944898188</v>
      </c>
      <c r="C8042" s="8" t="s">
        <v>9</v>
      </c>
    </row>
    <row r="8043" spans="1:3" x14ac:dyDescent="0.25">
      <c r="A8043" s="8" t="str">
        <f>"ELECO 2011 - 7th International Conference on Electrical and Electronics Engineering"</f>
        <v>ELECO 2011 - 7th International Conference on Electrical and Electronics Engineering</v>
      </c>
      <c r="B8043" s="8" t="str">
        <f>"9786050102048"</f>
        <v>9786050102048</v>
      </c>
      <c r="C8043" s="8" t="s">
        <v>9</v>
      </c>
    </row>
    <row r="8044" spans="1:3" x14ac:dyDescent="0.25">
      <c r="A8044" s="8" t="str">
        <f>"ELECO 2013 - 8th International Conference on Electrical and Electronics Engineering"</f>
        <v>ELECO 2013 - 8th International Conference on Electrical and Electronics Engineering</v>
      </c>
      <c r="B8044" s="8" t="str">
        <f>"9786050105049"</f>
        <v>9786050105049</v>
      </c>
      <c r="C8044" s="8" t="s">
        <v>9</v>
      </c>
    </row>
    <row r="8045" spans="1:3" x14ac:dyDescent="0.25">
      <c r="A8045" s="8" t="str">
        <f>"Electric Drive Transportation Association - 23rd Int. Electric Vehicle Symposium and Exposition 2007, EVS 2007 (Battery, Hybrid, Fuel Cell) Conf. Proc. - Sustainability: The Future of Transportation"</f>
        <v>Electric Drive Transportation Association - 23rd Int. Electric Vehicle Symposium and Exposition 2007, EVS 2007 (Battery, Hybrid, Fuel Cell) Conf. Proc. - Sustainability: The Future of Transportation</v>
      </c>
      <c r="B8045" s="8" t="str">
        <f>"9781605607931"</f>
        <v>9781605607931</v>
      </c>
      <c r="C8045" s="8" t="s">
        <v>1406</v>
      </c>
    </row>
    <row r="8046" spans="1:3" x14ac:dyDescent="0.25">
      <c r="A8046" s="8" t="str">
        <f>"Electric Utilities Environmental Conference, EUEC 2005: 8th Annual Joint EPA, DOE, EEI, EPRI Conference on Air Quality, Global Climate Change and Renewable Energy"</f>
        <v>Electric Utilities Environmental Conference, EUEC 2005: 8th Annual Joint EPA, DOE, EEI, EPRI Conference on Air Quality, Global Climate Change and Renewable Energy</v>
      </c>
      <c r="B8046" s="8" t="str">
        <f>"-"</f>
        <v>-</v>
      </c>
      <c r="C8046" s="8" t="s">
        <v>1807</v>
      </c>
    </row>
    <row r="8047" spans="1:3" x14ac:dyDescent="0.25">
      <c r="A8047" s="8" t="str">
        <f>"Electrical Insulation Conference and Electrical Manufacturing and Coil Winding Conference and Exhibition"</f>
        <v>Electrical Insulation Conference and Electrical Manufacturing and Coil Winding Conference and Exhibition</v>
      </c>
      <c r="B8047" s="8" t="str">
        <f>"9780941783231"</f>
        <v>9780941783231</v>
      </c>
      <c r="C8047" s="8" t="s">
        <v>105</v>
      </c>
    </row>
    <row r="8048" spans="1:3" x14ac:dyDescent="0.25">
      <c r="A8048" s="8" t="str">
        <f>"Electrical Manufacturing and Coil Winding Association - Electrical Manufacturing Technical Conference 2006"</f>
        <v>Electrical Manufacturing and Coil Winding Association - Electrical Manufacturing Technical Conference 2006</v>
      </c>
      <c r="B8048" s="8" t="str">
        <f>"9781604237566"</f>
        <v>9781604237566</v>
      </c>
      <c r="C8048" s="8" t="s">
        <v>1808</v>
      </c>
    </row>
    <row r="8049" spans="1:3" x14ac:dyDescent="0.25">
      <c r="A8049" s="8" t="str">
        <f>"Electrical Manufacturing and Coil Winding Expo 2010-2013"</f>
        <v>Electrical Manufacturing and Coil Winding Expo 2010-2013</v>
      </c>
      <c r="B8049" s="8" t="str">
        <f>"9781629931869"</f>
        <v>9781629931869</v>
      </c>
      <c r="C8049" s="8" t="s">
        <v>1808</v>
      </c>
    </row>
    <row r="8050" spans="1:3" x14ac:dyDescent="0.25">
      <c r="A8050" s="8" t="str">
        <f>"Electrical Manufacturing Technical Conference 2008"</f>
        <v>Electrical Manufacturing Technical Conference 2008</v>
      </c>
      <c r="B8050" s="8" t="str">
        <f>"9781605607757"</f>
        <v>9781605607757</v>
      </c>
      <c r="C8050" s="8" t="s">
        <v>1808</v>
      </c>
    </row>
    <row r="8051" spans="1:3" x14ac:dyDescent="0.25">
      <c r="A8051" s="8" t="str">
        <f>"Electrical Manufacturing Technical Conference 2009: Electrical Manufacturing and Coil Winding Expo"</f>
        <v>Electrical Manufacturing Technical Conference 2009: Electrical Manufacturing and Coil Winding Expo</v>
      </c>
      <c r="B8051" s="8" t="str">
        <f>"9781617821981"</f>
        <v>9781617821981</v>
      </c>
      <c r="C8051" s="8" t="s">
        <v>1808</v>
      </c>
    </row>
    <row r="8052" spans="1:3" x14ac:dyDescent="0.25">
      <c r="A8052" s="8" t="str">
        <f>"Electrical Performance of Electronic Packaging, EPEP"</f>
        <v>Electrical Performance of Electronic Packaging, EPEP</v>
      </c>
      <c r="B8052" s="8" t="str">
        <f>"9781424406685"</f>
        <v>9781424406685</v>
      </c>
      <c r="C8052" s="8" t="s">
        <v>9</v>
      </c>
    </row>
    <row r="8053" spans="1:3" x14ac:dyDescent="0.25">
      <c r="A8053" s="8" t="str">
        <f>"Electrical Performance of Electronic Packaging, EPEP"</f>
        <v>Electrical Performance of Electronic Packaging, EPEP</v>
      </c>
      <c r="B8053" s="8" t="str">
        <f>"9781424428731"</f>
        <v>9781424428731</v>
      </c>
      <c r="C8053" s="8" t="s">
        <v>9</v>
      </c>
    </row>
    <row r="8054" spans="1:3" x14ac:dyDescent="0.25">
      <c r="A8054" s="8" t="str">
        <f>"Electrical Transmission and Substation Structures 2012: Solutions to Building the Grid of Tomorrow - Proceedings of the 2012 Electrical Transmission and Substation Structures Conference"</f>
        <v>Electrical Transmission and Substation Structures 2012: Solutions to Building the Grid of Tomorrow - Proceedings of the 2012 Electrical Transmission and Substation Structures Conference</v>
      </c>
      <c r="B8054" s="8" t="str">
        <f>"9780784412657"</f>
        <v>9780784412657</v>
      </c>
      <c r="C8054" s="8" t="s">
        <v>111</v>
      </c>
    </row>
    <row r="8055" spans="1:3" x14ac:dyDescent="0.25">
      <c r="A8055" s="8" t="str">
        <f>"Electrical Transmission in a New Age"</f>
        <v>Electrical Transmission in a New Age</v>
      </c>
      <c r="B8055" s="8" t="str">
        <f>"9780784406427"</f>
        <v>9780784406427</v>
      </c>
      <c r="C8055" s="8" t="s">
        <v>111</v>
      </c>
    </row>
    <row r="8056" spans="1:3" x14ac:dyDescent="0.25">
      <c r="A8056" s="8" t="str">
        <f>"Electrical Transmission Line and Substation Structures: Structural Reliability in a Changing World - Proceedings of the 2006 Electrical Transmission Conference"</f>
        <v>Electrical Transmission Line and Substation Structures: Structural Reliability in a Changing World - Proceedings of the 2006 Electrical Transmission Conference</v>
      </c>
      <c r="B8056" s="8" t="str">
        <f>"9780784407905"</f>
        <v>9780784407905</v>
      </c>
      <c r="C8056" s="8" t="s">
        <v>111</v>
      </c>
    </row>
    <row r="8057" spans="1:3" x14ac:dyDescent="0.25">
      <c r="A8057" s="8" t="str">
        <f>"Electrochemical Society - 209th ECS Meeting Abstracts 2006"</f>
        <v>Electrochemical Society - 209th ECS Meeting Abstracts 2006</v>
      </c>
      <c r="B8057" s="8" t="str">
        <f>"-"</f>
        <v>-</v>
      </c>
      <c r="C8057" s="8" t="s">
        <v>354</v>
      </c>
    </row>
    <row r="8058" spans="1:3" x14ac:dyDescent="0.25">
      <c r="A8058" s="8" t="str">
        <f>"Electrochemical Society - 214th ECS Meeting Abstracts - Pacific Rim Meeting on Electrochemical and Solid-State Science Meeting Abstracts, MA 2008-02"</f>
        <v>Electrochemical Society - 214th ECS Meeting Abstracts - Pacific Rim Meeting on Electrochemical and Solid-State Science Meeting Abstracts, MA 2008-02</v>
      </c>
      <c r="B8058" s="8" t="str">
        <f>"9781605606729"</f>
        <v>9781605606729</v>
      </c>
      <c r="C8058" s="8" t="s">
        <v>354</v>
      </c>
    </row>
    <row r="8059" spans="1:3" x14ac:dyDescent="0.25">
      <c r="A8059" s="8" t="str">
        <f>"Electrochemical Society - 217th ECS Meeting Abstracts 2010, MA 2010-01"</f>
        <v>Electrochemical Society - 217th ECS Meeting Abstracts 2010, MA 2010-01</v>
      </c>
      <c r="B8059" s="8" t="str">
        <f>"9781617389559"</f>
        <v>9781617389559</v>
      </c>
      <c r="C8059" s="8" t="s">
        <v>354</v>
      </c>
    </row>
    <row r="8060" spans="1:3" x14ac:dyDescent="0.25">
      <c r="A8060" s="8" t="str">
        <f>"Electrochemical Society - 218th ECS Meeting Abstracts 2010, MA 2010-02"</f>
        <v>Electrochemical Society - 218th ECS Meeting Abstracts 2010, MA 2010-02</v>
      </c>
      <c r="B8060" s="8" t="str">
        <f>"9781617820946"</f>
        <v>9781617820946</v>
      </c>
      <c r="C8060" s="8" t="s">
        <v>354</v>
      </c>
    </row>
    <row r="8061" spans="1:3" x14ac:dyDescent="0.25">
      <c r="A8061" s="8" t="str">
        <f>"Electrodynamic and Mechatronic Systems - Proceedings of 2011, 3rd International Students Conference on Electrodynamics and Mechatronics, SCE III"</f>
        <v>Electrodynamic and Mechatronic Systems - Proceedings of 2011, 3rd International Students Conference on Electrodynamics and Mechatronics, SCE III</v>
      </c>
      <c r="B8061" s="8" t="str">
        <f>"9781424496952"</f>
        <v>9781424496952</v>
      </c>
      <c r="C8061" s="8" t="s">
        <v>9</v>
      </c>
    </row>
    <row r="8062" spans="1:3" x14ac:dyDescent="0.25">
      <c r="A8062" s="8" t="str">
        <f>"Electromagnetic Compatibility Symposium Adelaide 2009, EMCSA 2009 - Symposium Proceedings"</f>
        <v>Electromagnetic Compatibility Symposium Adelaide 2009, EMCSA 2009 - Symposium Proceedings</v>
      </c>
      <c r="B8062" s="8" t="str">
        <f>"9781424446759"</f>
        <v>9781424446759</v>
      </c>
      <c r="C8062" s="8" t="s">
        <v>9</v>
      </c>
    </row>
    <row r="8063" spans="1:3" x14ac:dyDescent="0.25">
      <c r="A8063" s="8" t="str">
        <f>"Electromagnetic Compatibility Symposium and Exhibition, EMCSA 2011 - Symposium Proceedings"</f>
        <v>Electromagnetic Compatibility Symposium and Exhibition, EMCSA 2011 - Symposium Proceedings</v>
      </c>
      <c r="B8063" s="8" t="str">
        <f>"9780987224217"</f>
        <v>9780987224217</v>
      </c>
      <c r="C8063" s="8" t="s">
        <v>9</v>
      </c>
    </row>
    <row r="8064" spans="1:3" x14ac:dyDescent="0.25">
      <c r="A8064" s="8" t="str">
        <f>"Electromagnetic Field Interaction with Transmission Lines - From Classical Theory to HF Radiation Effects"</f>
        <v>Electromagnetic Field Interaction with Transmission Lines - From Classical Theory to HF Radiation Effects</v>
      </c>
      <c r="B8064" s="8" t="str">
        <f>"9781845640637"</f>
        <v>9781845640637</v>
      </c>
      <c r="C8064" s="8" t="s">
        <v>1641</v>
      </c>
    </row>
    <row r="8065" spans="1:3" x14ac:dyDescent="0.25">
      <c r="A8065" s="8" t="str">
        <f>"Electronic Engineering and Information Science - Proceedings of the 2015 International Conference on Electronic Engineering and Information Science, ICEEIS 2015"</f>
        <v>Electronic Engineering and Information Science - Proceedings of the 2015 International Conference on Electronic Engineering and Information Science, ICEEIS 2015</v>
      </c>
      <c r="B8065" s="8" t="str">
        <f>"9781138027725"</f>
        <v>9781138027725</v>
      </c>
      <c r="C8065" s="8" t="s">
        <v>1635</v>
      </c>
    </row>
    <row r="8066" spans="1:3" x14ac:dyDescent="0.25">
      <c r="A8066" s="8" t="str">
        <f>"Electronic Information Science and Technology"</f>
        <v>Electronic Information Science and Technology</v>
      </c>
      <c r="B8066" s="8" t="str">
        <f>"9781589490598"</f>
        <v>9781589490598</v>
      </c>
      <c r="C8066" s="8" t="s">
        <v>736</v>
      </c>
    </row>
    <row r="8067" spans="1:3" x14ac:dyDescent="0.25">
      <c r="A8067" s="8" t="str">
        <f>"Electronic Proceedings of the 2007 International Linear Collider Workshop, LCWS 2007 and ILC 2007"</f>
        <v>Electronic Proceedings of the 2007 International Linear Collider Workshop, LCWS 2007 and ILC 2007</v>
      </c>
      <c r="B8067" s="8" t="str">
        <f>"-"</f>
        <v>-</v>
      </c>
      <c r="C8067" s="8" t="s">
        <v>1471</v>
      </c>
    </row>
    <row r="8068" spans="1:3" x14ac:dyDescent="0.25">
      <c r="A8068" s="8" t="str">
        <f>"Electronic Proceedings of the 2013 IEEE International Conference on Multimedia and Expo Workshops, ICMEW 2013"</f>
        <v>Electronic Proceedings of the 2013 IEEE International Conference on Multimedia and Expo Workshops, ICMEW 2013</v>
      </c>
      <c r="B8068" s="8" t="str">
        <f>"9781479916047"</f>
        <v>9781479916047</v>
      </c>
      <c r="C8068" s="8" t="s">
        <v>9</v>
      </c>
    </row>
    <row r="8069" spans="1:3" x14ac:dyDescent="0.25">
      <c r="A8069" s="8" t="str">
        <f>"Electronic Proceedings of the International Linear Collider Workshop 2008, LCWS 2008 and ILC 2008"</f>
        <v>Electronic Proceedings of the International Linear Collider Workshop 2008, LCWS 2008 and ILC 2008</v>
      </c>
      <c r="B8069" s="8" t="str">
        <f>"-"</f>
        <v>-</v>
      </c>
      <c r="C8069" s="8" t="s">
        <v>1471</v>
      </c>
    </row>
    <row r="8070" spans="1:3" x14ac:dyDescent="0.25">
      <c r="A8070" s="8" t="str">
        <f>"Electronic Voting 2006 - 2nd International Workshop"</f>
        <v>Electronic Voting 2006 - 2nd International Workshop</v>
      </c>
      <c r="B8070" s="8" t="str">
        <f>"-"</f>
        <v>-</v>
      </c>
      <c r="C8070" s="8" t="s">
        <v>833</v>
      </c>
    </row>
    <row r="8071" spans="1:3" x14ac:dyDescent="0.25">
      <c r="A8071" s="8" t="str">
        <f>"Electronic Voting 2008, EVOTE08 - 3rd International Conference"</f>
        <v>Electronic Voting 2008, EVOTE08 - 3rd International Conference</v>
      </c>
      <c r="B8071" s="8" t="str">
        <f>"9783885792253"</f>
        <v>9783885792253</v>
      </c>
      <c r="C8071" s="8" t="s">
        <v>833</v>
      </c>
    </row>
    <row r="8072" spans="1:3" x14ac:dyDescent="0.25">
      <c r="A8072" s="8" t="str">
        <f>"Electronic Voting 2010, EVOTE 2010 - 4th International Conference"</f>
        <v>Electronic Voting 2010, EVOTE 2010 - 4th International Conference</v>
      </c>
      <c r="B8072" s="8" t="str">
        <f>"9783885792611"</f>
        <v>9783885792611</v>
      </c>
      <c r="C8072" s="8" t="s">
        <v>833</v>
      </c>
    </row>
    <row r="8073" spans="1:3" x14ac:dyDescent="0.25">
      <c r="A8073" s="8" t="str">
        <f>"Electronics and Electrical Engineering - Proceedings of the Asia-Pacific Conference on Electronics and Electrical Engineering, EEEC 2014"</f>
        <v>Electronics and Electrical Engineering - Proceedings of the Asia-Pacific Conference on Electronics and Electrical Engineering, EEEC 2014</v>
      </c>
      <c r="B8073" s="8" t="str">
        <f>"9781138028098"</f>
        <v>9781138028098</v>
      </c>
      <c r="C8073" s="8" t="s">
        <v>1635</v>
      </c>
    </row>
    <row r="8074" spans="1:3" x14ac:dyDescent="0.25">
      <c r="A8074" s="8" t="str">
        <f>"Electronics Goes Green 2012+, ECG 2012 - Joint International Conference and Exhibition, Proceedings"</f>
        <v>Electronics Goes Green 2012+, ECG 2012 - Joint International Conference and Exhibition, Proceedings</v>
      </c>
      <c r="B8074" s="8" t="str">
        <f>"9783839604397"</f>
        <v>9783839604397</v>
      </c>
      <c r="C8074" s="8" t="s">
        <v>9</v>
      </c>
    </row>
    <row r="8075" spans="1:3" x14ac:dyDescent="0.25">
      <c r="A8075" s="8" t="str">
        <f>"Electronics System Integration Technology Conference, ESTC 2010 - Proceedings"</f>
        <v>Electronics System Integration Technology Conference, ESTC 2010 - Proceedings</v>
      </c>
      <c r="B8075" s="8" t="str">
        <f>"9781424485536"</f>
        <v>9781424485536</v>
      </c>
      <c r="C8075" s="8" t="s">
        <v>9</v>
      </c>
    </row>
    <row r="8076" spans="1:3" x14ac:dyDescent="0.25">
      <c r="A8076" s="8" t="str">
        <f>"Electronics, Information Technology and Intellectualization - International Conference on Electronics, InformationTechnology and Intellectualization, EITI 2014"</f>
        <v>Electronics, Information Technology and Intellectualization - International Conference on Electronics, InformationTechnology and Intellectualization, EITI 2014</v>
      </c>
      <c r="B8076" s="8" t="str">
        <f>"9781138027411"</f>
        <v>9781138027411</v>
      </c>
      <c r="C8076" s="8" t="s">
        <v>1635</v>
      </c>
    </row>
    <row r="8077" spans="1:3" x14ac:dyDescent="0.25">
      <c r="A8077" s="8" t="str">
        <f>"Electronics, Robotics and Automotive Mechanics Conference, CERMA 2007 - Proceedings"</f>
        <v>Electronics, Robotics and Automotive Mechanics Conference, CERMA 2007 - Proceedings</v>
      </c>
      <c r="B8077" s="8" t="str">
        <f>"9780769529745"</f>
        <v>9780769529745</v>
      </c>
      <c r="C8077" s="8" t="s">
        <v>9</v>
      </c>
    </row>
    <row r="8078" spans="1:3" x14ac:dyDescent="0.25">
      <c r="A8078" s="8" t="str">
        <f>"Electro-Rheological Fluids and Magneto-Rheological Suspensions - Proceedings of the 12th International Conference"</f>
        <v>Electro-Rheological Fluids and Magneto-Rheological Suspensions - Proceedings of the 12th International Conference</v>
      </c>
      <c r="B8078" s="8" t="str">
        <f>"9789814340229"</f>
        <v>9789814340229</v>
      </c>
      <c r="C8078" s="8" t="s">
        <v>157</v>
      </c>
    </row>
    <row r="8079" spans="1:3" x14ac:dyDescent="0.25">
      <c r="A8079" s="8" t="str">
        <f>"Elektromagnetische Vertraglichkeit, EMV 2012: Internationale Fachmesse und Kongress fur Elektromagnetische Vertraglichkeit"</f>
        <v>Elektromagnetische Vertraglichkeit, EMV 2012: Internationale Fachmesse und Kongress fur Elektromagnetische Vertraglichkeit</v>
      </c>
      <c r="B8079" s="8" t="str">
        <f>"9783800734054"</f>
        <v>9783800734054</v>
      </c>
      <c r="C8079" s="8" t="s">
        <v>992</v>
      </c>
    </row>
    <row r="8080" spans="1:3" x14ac:dyDescent="0.25">
      <c r="A8080" s="8" t="str">
        <f>"ELPUB 2009 - Rethinking Electronic Publishing: Innovation in Communication Paradigms and Technologies - Proceedings of the 13th International Conference on Electronic Publishing"</f>
        <v>ELPUB 2009 - Rethinking Electronic Publishing: Innovation in Communication Paradigms and Technologies - Proceedings of the 13th International Conference on Electronic Publishing</v>
      </c>
      <c r="B8080" s="8" t="str">
        <f>"-"</f>
        <v>-</v>
      </c>
      <c r="C8080" s="8" t="s">
        <v>1783</v>
      </c>
    </row>
    <row r="8081" spans="1:3" x14ac:dyDescent="0.25">
      <c r="A8081" s="8" t="str">
        <f>"ELPUB 2010 - Publishing in the Networked World: Transforming the Nature of Communication, 14th International Conference on Electronic Publishing"</f>
        <v>ELPUB 2010 - Publishing in the Networked World: Transforming the Nature of Communication, 14th International Conference on Electronic Publishing</v>
      </c>
      <c r="B8081" s="8" t="str">
        <f>"9789522320865"</f>
        <v>9789522320865</v>
      </c>
      <c r="C8081" s="8" t="s">
        <v>1783</v>
      </c>
    </row>
    <row r="8082" spans="1:3" x14ac:dyDescent="0.25">
      <c r="A8082" s="8" t="str">
        <f>"ELPUB 2011 - Digital Publishing and Mobile Technologies, 15th International Conference on Electronic Publishing"</f>
        <v>ELPUB 2011 - Digital Publishing and Mobile Technologies, 15th International Conference on Electronic Publishing</v>
      </c>
      <c r="B8082" s="8" t="str">
        <f>"9789754913200"</f>
        <v>9789754913200</v>
      </c>
      <c r="C8082" s="8" t="s">
        <v>1783</v>
      </c>
    </row>
    <row r="8083" spans="1:3" x14ac:dyDescent="0.25">
      <c r="A8083" s="8" t="str">
        <f>"ELPUB 2012 - Social Shaping of Digital Publishing: Exploring the Interplay Between Culture and Technology, 16th International Conference on Electronic Publishing"</f>
        <v>ELPUB 2012 - Social Shaping of Digital Publishing: Exploring the Interplay Between Culture and Technology, 16th International Conference on Electronic Publishing</v>
      </c>
      <c r="B8083" s="8" t="str">
        <f>"-"</f>
        <v>-</v>
      </c>
      <c r="C8083" s="8" t="s">
        <v>1783</v>
      </c>
    </row>
    <row r="8084" spans="1:3" x14ac:dyDescent="0.25">
      <c r="A8084" s="8" t="str">
        <f>"e-Manufacturing - Fundamentals and Applications"</f>
        <v>e-Manufacturing - Fundamentals and Applications</v>
      </c>
      <c r="B8084" s="8" t="str">
        <f>"9781853129988"</f>
        <v>9781853129988</v>
      </c>
      <c r="C8084" s="8" t="s">
        <v>1641</v>
      </c>
    </row>
    <row r="8085" spans="1:3" x14ac:dyDescent="0.25">
      <c r="A8085" s="8" t="str">
        <f>"EMAP 2007 - International Conference on Electronic Materials and Packaging 2007"</f>
        <v>EMAP 2007 - International Conference on Electronic Materials and Packaging 2007</v>
      </c>
      <c r="B8085" s="8" t="str">
        <f>"9781424419098"</f>
        <v>9781424419098</v>
      </c>
      <c r="C8085" s="8" t="s">
        <v>9</v>
      </c>
    </row>
    <row r="8086" spans="1:3" x14ac:dyDescent="0.25">
      <c r="A8086" s="8" t="str">
        <f>"EMASC 2014 - Proceedings of the 1st International Workshop on Emerging Multimedia Applications and Services for Smart Cities, Workshop of MM 2014"</f>
        <v>EMASC 2014 - Proceedings of the 1st International Workshop on Emerging Multimedia Applications and Services for Smart Cities, Workshop of MM 2014</v>
      </c>
      <c r="B8086" s="8" t="str">
        <f>"9781450331265"</f>
        <v>9781450331265</v>
      </c>
      <c r="C8086" s="8" t="s">
        <v>1235</v>
      </c>
    </row>
    <row r="8087" spans="1:3" x14ac:dyDescent="0.25">
      <c r="A8087" s="8" t="str">
        <f>"Embedded Systems - Modeling, Technology, and Applications - Proceedings of the 7th International Workshop"</f>
        <v>Embedded Systems - Modeling, Technology, and Applications - Proceedings of the 7th International Workshop</v>
      </c>
      <c r="B8087" s="8" t="str">
        <f>"9781402049323"</f>
        <v>9781402049323</v>
      </c>
      <c r="C8087" s="8" t="s">
        <v>162</v>
      </c>
    </row>
    <row r="8088" spans="1:3" x14ac:dyDescent="0.25">
      <c r="A8088" s="8" t="str">
        <f>"Embedded Systems Week 2008 - Proceedings of the 2008 International Conference on Compilers, Architecture and Synthesis for Embedded Systems, CASES'08"</f>
        <v>Embedded Systems Week 2008 - Proceedings of the 2008 International Conference on Compilers, Architecture and Synthesis for Embedded Systems, CASES'08</v>
      </c>
      <c r="B8088" s="8" t="str">
        <f>"9781605584690"</f>
        <v>9781605584690</v>
      </c>
      <c r="C8088" s="8" t="s">
        <v>21</v>
      </c>
    </row>
    <row r="8089" spans="1:3" x14ac:dyDescent="0.25">
      <c r="A8089" s="8" t="str">
        <f>"Embedded Systems Week 2008 - Proceedings of the 6th IEEE/ACM/IFIP International Conference on Hardware/Software Codesign and System Synthesis, CODES+ISSS 2008"</f>
        <v>Embedded Systems Week 2008 - Proceedings of the 6th IEEE/ACM/IFIP International Conference on Hardware/Software Codesign and System Synthesis, CODES+ISSS 2008</v>
      </c>
      <c r="B8089" s="8" t="str">
        <f>"9781605584706"</f>
        <v>9781605584706</v>
      </c>
      <c r="C8089" s="8" t="s">
        <v>21</v>
      </c>
    </row>
    <row r="8090" spans="1:3" x14ac:dyDescent="0.25">
      <c r="A8090" s="8" t="str">
        <f>"Embedded Systems Week 2008 - Proceedings of the 7th ACM International Conference on Embedded Software, EMSOFT 2008"</f>
        <v>Embedded Systems Week 2008 - Proceedings of the 7th ACM International Conference on Embedded Software, EMSOFT 2008</v>
      </c>
      <c r="B8090" s="8" t="str">
        <f>"9781605584683"</f>
        <v>9781605584683</v>
      </c>
      <c r="C8090" s="8" t="s">
        <v>21</v>
      </c>
    </row>
    <row r="8091" spans="1:3" x14ac:dyDescent="0.25">
      <c r="A8091" s="8" t="str">
        <f>"Embedded Systems Week 2009 - 2009 International Conference on Compilers, Architecture, and Synthesis for Embedded Systems, CASES'09"</f>
        <v>Embedded Systems Week 2009 - 2009 International Conference on Compilers, Architecture, and Synthesis for Embedded Systems, CASES'09</v>
      </c>
      <c r="B8091" s="8" t="str">
        <f>"9781605586267"</f>
        <v>9781605586267</v>
      </c>
      <c r="C8091" s="8" t="s">
        <v>21</v>
      </c>
    </row>
    <row r="8092" spans="1:3" x14ac:dyDescent="0.25">
      <c r="A8092" s="8" t="str">
        <f>"Embedded Systems Week 2009 - 7th IEEE/ACM International Conference on Hardware/Software-Co-Design and System Synthesis, CODES+ISSS 2009"</f>
        <v>Embedded Systems Week 2009 - 7th IEEE/ACM International Conference on Hardware/Software-Co-Design and System Synthesis, CODES+ISSS 2009</v>
      </c>
      <c r="B8092" s="8" t="str">
        <f>"9781605586281"</f>
        <v>9781605586281</v>
      </c>
      <c r="C8092" s="8" t="s">
        <v>21</v>
      </c>
    </row>
    <row r="8093" spans="1:3" x14ac:dyDescent="0.25">
      <c r="A8093" s="8" t="str">
        <f>"Embedded Systems Week 2009 - Proceedings of the 7th ACM International Conference on Embedded Software, EMSOFT '09"</f>
        <v>Embedded Systems Week 2009 - Proceedings of the 7th ACM International Conference on Embedded Software, EMSOFT '09</v>
      </c>
      <c r="B8093" s="8" t="str">
        <f>"9781605586274"</f>
        <v>9781605586274</v>
      </c>
      <c r="C8093" s="8" t="s">
        <v>21</v>
      </c>
    </row>
    <row r="8094" spans="1:3" x14ac:dyDescent="0.25">
      <c r="A8094" s="8" t="str">
        <f>"Embedded Systems Week 2009, ESWEEK 2009 - 4th Workshop on Embedded Systems Security, WESS 2009"</f>
        <v>Embedded Systems Week 2009, ESWEEK 2009 - 4th Workshop on Embedded Systems Security, WESS 2009</v>
      </c>
      <c r="B8094" s="8" t="str">
        <f>"9781605587004"</f>
        <v>9781605587004</v>
      </c>
      <c r="C8094" s="8" t="s">
        <v>21</v>
      </c>
    </row>
    <row r="8095" spans="1:3" x14ac:dyDescent="0.25">
      <c r="A8095" s="8" t="str">
        <f>"Embedded Systems Week 2010 - Proceedings of the 10th ACM International Conference on Compilers, Architecture and Synthesis for Embedded Systems, EMSOFT'10"</f>
        <v>Embedded Systems Week 2010 - Proceedings of the 10th ACM International Conference on Compilers, Architecture and Synthesis for Embedded Systems, EMSOFT'10</v>
      </c>
      <c r="B8095" s="8" t="str">
        <f>"9781605589046"</f>
        <v>9781605589046</v>
      </c>
      <c r="C8095" s="8" t="s">
        <v>21</v>
      </c>
    </row>
    <row r="8096" spans="1:3" x14ac:dyDescent="0.25">
      <c r="A8096" s="8" t="str">
        <f>"Embedded Systems Week 2010 - Proceedings of the 2010 International Conference on Compilers, Architecture and Synthesis for Embedded Systems, CASES'10"</f>
        <v>Embedded Systems Week 2010 - Proceedings of the 2010 International Conference on Compilers, Architecture and Synthesis for Embedded Systems, CASES'10</v>
      </c>
      <c r="B8096" s="8" t="str">
        <f>"9781605589039"</f>
        <v>9781605589039</v>
      </c>
      <c r="C8096" s="8" t="s">
        <v>21</v>
      </c>
    </row>
    <row r="8097" spans="1:3" x14ac:dyDescent="0.25">
      <c r="A8097" s="8" t="str">
        <f>"Embedded Systems Week 2010 - Proceedings of the 8th IEEE/ACM/IFIP International Conference on Compilers, Architecture and Synthesis for Embedded Systems, CODES+ISSS'2010"</f>
        <v>Embedded Systems Week 2010 - Proceedings of the 8th IEEE/ACM/IFIP International Conference on Compilers, Architecture and Synthesis for Embedded Systems, CODES+ISSS'2010</v>
      </c>
      <c r="B8097" s="8" t="str">
        <f>"9781605589053"</f>
        <v>9781605589053</v>
      </c>
      <c r="C8097" s="8" t="s">
        <v>21</v>
      </c>
    </row>
    <row r="8098" spans="1:3" x14ac:dyDescent="0.25">
      <c r="A8098" s="8" t="str">
        <f>"Embedded Systems Week 2011, ESWEEK 2011 - Proceedings of the 14th International Conference on Compilers, Architectures and Synthesis for Embedded Systems, CASES'11"</f>
        <v>Embedded Systems Week 2011, ESWEEK 2011 - Proceedings of the 14th International Conference on Compilers, Architectures and Synthesis for Embedded Systems, CASES'11</v>
      </c>
      <c r="B8098" s="8" t="str">
        <f>"9781450307130"</f>
        <v>9781450307130</v>
      </c>
      <c r="C8098" s="8" t="s">
        <v>21</v>
      </c>
    </row>
    <row r="8099" spans="1:3" x14ac:dyDescent="0.25">
      <c r="A8099" s="8" t="str">
        <f>"Embedded Systems Week 2011, ESWEEK 2011 - Proceedings of the 9th ACM International Conference on Embedded Software, EMSOFT'11"</f>
        <v>Embedded Systems Week 2011, ESWEEK 2011 - Proceedings of the 9th ACM International Conference on Embedded Software, EMSOFT'11</v>
      </c>
      <c r="B8099" s="8" t="str">
        <f>"9781450307147"</f>
        <v>9781450307147</v>
      </c>
      <c r="C8099" s="8" t="s">
        <v>21</v>
      </c>
    </row>
    <row r="8100" spans="1:3" x14ac:dyDescent="0.25">
      <c r="A8100" s="8" t="str">
        <f>"Embedded Systems Week 2011, ESWEEK 2011 - Proceedings of the 9th IEEE/ACM/IFIP International Conference on Hardware/Software Codesign and System Synthesis, CODES+ISSS'11"</f>
        <v>Embedded Systems Week 2011, ESWEEK 2011 - Proceedings of the 9th IEEE/ACM/IFIP International Conference on Hardware/Software Codesign and System Synthesis, CODES+ISSS'11</v>
      </c>
      <c r="B8100" s="8" t="str">
        <f>"9781450307154"</f>
        <v>9781450307154</v>
      </c>
      <c r="C8100" s="8" t="s">
        <v>21</v>
      </c>
    </row>
    <row r="8101" spans="1:3" x14ac:dyDescent="0.25">
      <c r="A8101" s="8" t="str">
        <f>"Embedded Topical Meeting on Advances in Thermal Hydraulics, ATH 2014, Held at the American Nuclear Society 2014 Annual Meeting"</f>
        <v>Embedded Topical Meeting on Advances in Thermal Hydraulics, ATH 2014, Held at the American Nuclear Society 2014 Annual Meeting</v>
      </c>
      <c r="B8101" s="8" t="str">
        <f>"9781632668509"</f>
        <v>9781632668509</v>
      </c>
      <c r="C8101" s="8" t="s">
        <v>453</v>
      </c>
    </row>
    <row r="8102" spans="1:3" x14ac:dyDescent="0.25">
      <c r="A8102" s="8" t="str">
        <f>"Embedded Topical Meeting on Decommissioning and Remote Systems 2014, Held at the American Nuclear Society 2014 Annual Meeting"</f>
        <v>Embedded Topical Meeting on Decommissioning and Remote Systems 2014, Held at the American Nuclear Society 2014 Annual Meeting</v>
      </c>
      <c r="B8102" s="8" t="str">
        <f>"9781632668516"</f>
        <v>9781632668516</v>
      </c>
      <c r="C8102" s="8" t="s">
        <v>453</v>
      </c>
    </row>
    <row r="8103" spans="1:3" x14ac:dyDescent="0.25">
      <c r="A8103" s="8" t="str">
        <f>"EMC 2006 - International Trade Fair and Conference on Electromagnetic Compatibility"</f>
        <v>EMC 2006 - International Trade Fair and Conference on Electromagnetic Compatibility</v>
      </c>
      <c r="B8103" s="8" t="str">
        <f>"9783800729333"</f>
        <v>9783800729333</v>
      </c>
      <c r="C8103" s="8" t="s">
        <v>1809</v>
      </c>
    </row>
    <row r="8104" spans="1:3" x14ac:dyDescent="0.25">
      <c r="A8104" s="8" t="str">
        <f>"EMC COMPO 2013 Proceedings - 9th International Workshop on Electromagnetic Compatibility of Integrated Circuits"</f>
        <v>EMC COMPO 2013 Proceedings - 9th International Workshop on Electromagnetic Compatibility of Integrated Circuits</v>
      </c>
      <c r="B8104" s="8" t="str">
        <f>"9781479923151"</f>
        <v>9781479923151</v>
      </c>
      <c r="C8104" s="8" t="s">
        <v>9</v>
      </c>
    </row>
    <row r="8105" spans="1:3" x14ac:dyDescent="0.25">
      <c r="A8105" s="8" t="str">
        <f>"EMD'2004 - Proceedings of the 14th International Conference on Electromagnetic Disturbances"</f>
        <v>EMD'2004 - Proceedings of the 14th International Conference on Electromagnetic Disturbances</v>
      </c>
      <c r="B8105" s="8" t="str">
        <f>"9789986057666"</f>
        <v>9789986057666</v>
      </c>
      <c r="C8105" s="8" t="s">
        <v>1201</v>
      </c>
    </row>
    <row r="8106" spans="1:3" x14ac:dyDescent="0.25">
      <c r="A8106" s="8" t="str">
        <f>"Emerging Economies, Risk and Development, and Intelligent Technology - Proceedings of the 5th International Conference on Risk Analysis and Crisis Response, RACR 2015"</f>
        <v>Emerging Economies, Risk and Development, and Intelligent Technology - Proceedings of the 5th International Conference on Risk Analysis and Crisis Response, RACR 2015</v>
      </c>
      <c r="B8106" s="8" t="str">
        <f>"9781138027459"</f>
        <v>9781138027459</v>
      </c>
      <c r="C8106" s="8" t="s">
        <v>1635</v>
      </c>
    </row>
    <row r="8107" spans="1:3" x14ac:dyDescent="0.25">
      <c r="A8107" s="8" t="str">
        <f>"Emerging Information Technology Conference 2005"</f>
        <v>Emerging Information Technology Conference 2005</v>
      </c>
      <c r="B8107" s="8" t="str">
        <f>"-"</f>
        <v>-</v>
      </c>
      <c r="C8107" s="8" t="s">
        <v>9</v>
      </c>
    </row>
    <row r="8108" spans="1:3" x14ac:dyDescent="0.25">
      <c r="A8108" s="8" t="str">
        <f>"Emerging M and S Applications in Industry and Academia Symposium 2011, EAIA 2011 - 2011 Spring Simulation Multiconference"</f>
        <v>Emerging M and S Applications in Industry and Academia Symposium 2011, EAIA 2011 - 2011 Spring Simulation Multiconference</v>
      </c>
      <c r="B8108" s="8" t="str">
        <f>"9781618397874"</f>
        <v>9781618397874</v>
      </c>
      <c r="C8108" s="8" t="s">
        <v>1072</v>
      </c>
    </row>
    <row r="8109" spans="1:3" x14ac:dyDescent="0.25">
      <c r="A8109" s="8" t="str">
        <f>"Emerging M and S Applications in Industry and Academia Symposium 2012, EAIA 2012 - 2012 Spring Simulation Multiconference"</f>
        <v>Emerging M and S Applications in Industry and Academia Symposium 2012, EAIA 2012 - 2012 Spring Simulation Multiconference</v>
      </c>
      <c r="B8109" s="8" t="str">
        <f>"9781618397874"</f>
        <v>9781618397874</v>
      </c>
      <c r="C8109" s="8" t="s">
        <v>1072</v>
      </c>
    </row>
    <row r="8110" spans="1:3" x14ac:dyDescent="0.25">
      <c r="A8110" s="8" t="str">
        <f>"Emerging Techniques and Challenges for Hand-Based Biometrics, ETCHB 2010"</f>
        <v>Emerging Techniques and Challenges for Hand-Based Biometrics, ETCHB 2010</v>
      </c>
      <c r="B8110" s="8" t="str">
        <f>"9781424470655"</f>
        <v>9781424470655</v>
      </c>
      <c r="C8110" s="8" t="s">
        <v>9</v>
      </c>
    </row>
    <row r="8111" spans="1:3" x14ac:dyDescent="0.25">
      <c r="A8111" s="8" t="str">
        <f>"Emerging Technologies in Clean Energy for the 21st Century 2014 - Topical Conference at the 2014 AIChE Spring Meeting and 10th Global Congress on Process Safety"</f>
        <v>Emerging Technologies in Clean Energy for the 21st Century 2014 - Topical Conference at the 2014 AIChE Spring Meeting and 10th Global Congress on Process Safety</v>
      </c>
      <c r="B8111" s="8" t="str">
        <f>"9781634390620"</f>
        <v>9781634390620</v>
      </c>
      <c r="C8111" s="8" t="s">
        <v>1219</v>
      </c>
    </row>
    <row r="8112" spans="1:3" x14ac:dyDescent="0.25">
      <c r="A8112" s="8" t="str">
        <f>"Emerging Technologies in ETNDT - Proceedings of the 4th International Conference on Emerging Technologies in Non-Destructive Testing, ETNDT 4"</f>
        <v>Emerging Technologies in ETNDT - Proceedings of the 4th International Conference on Emerging Technologies in Non-Destructive Testing, ETNDT 4</v>
      </c>
      <c r="B8112" s="8" t="str">
        <f>"9780415464765"</f>
        <v>9780415464765</v>
      </c>
      <c r="C8112" s="8" t="s">
        <v>1637</v>
      </c>
    </row>
    <row r="8113" spans="1:3" x14ac:dyDescent="0.25">
      <c r="A8113" s="8" t="str">
        <f>"Emerging Technologies in Non-Destructive Testing V - Proceedings of the 5th Conference on Emerging Technologies in NDT"</f>
        <v>Emerging Technologies in Non-Destructive Testing V - Proceedings of the 5th Conference on Emerging Technologies in NDT</v>
      </c>
      <c r="B8113" s="8" t="str">
        <f>"9780415621311"</f>
        <v>9780415621311</v>
      </c>
      <c r="C8113" s="8" t="s">
        <v>96</v>
      </c>
    </row>
    <row r="8114" spans="1:3" x14ac:dyDescent="0.25">
      <c r="A8114" s="8" t="str">
        <f>"Emerging Technologies in Non-Destructive Testing VI - Proceedings of the 6th International Conference on Emerging Technologies in Nondestructive Testing, ETNDT 2016"</f>
        <v>Emerging Technologies in Non-Destructive Testing VI - Proceedings of the 6th International Conference on Emerging Technologies in Nondestructive Testing, ETNDT 2016</v>
      </c>
      <c r="B8114" s="8" t="str">
        <f>"9781138028845"</f>
        <v>9781138028845</v>
      </c>
      <c r="C8114" s="8" t="s">
        <v>1635</v>
      </c>
    </row>
    <row r="8115" spans="1:3" x14ac:dyDescent="0.25">
      <c r="A8115" s="8" t="str">
        <f>"Emerging Trends: Keynote Lectures and Symposia - Proceedings of the 10th East Asia-Pacific Conference on Structural Engineering and Construction, EASEC 2010"</f>
        <v>Emerging Trends: Keynote Lectures and Symposia - Proceedings of the 10th East Asia-Pacific Conference on Structural Engineering and Construction, EASEC 2010</v>
      </c>
      <c r="B8115" s="8" t="str">
        <f>"9789748257228"</f>
        <v>9789748257228</v>
      </c>
      <c r="C8115" s="8" t="s">
        <v>1670</v>
      </c>
    </row>
    <row r="8116" spans="1:3" x14ac:dyDescent="0.25">
      <c r="A8116" s="8" t="str">
        <f>"EMISA 2008 - Auswirkungen des Web 2.0 auf Dienste und Prozesse Fachgruppentreffen 2008, Tagungsband"</f>
        <v>EMISA 2008 - Auswirkungen des Web 2.0 auf Dienste und Prozesse Fachgruppentreffen 2008, Tagungsband</v>
      </c>
      <c r="B8116" s="8" t="str">
        <f>"-"</f>
        <v>-</v>
      </c>
      <c r="C8116" s="8" t="s">
        <v>833</v>
      </c>
    </row>
    <row r="8117" spans="1:3" x14ac:dyDescent="0.25">
      <c r="A8117" s="8" t="str">
        <f>"EMISA 2010 -Beitrage des Workshops der GI-Fachgruppe Entwicklungsmethoden fur Informationssysteme und Deren Anwendung"</f>
        <v>EMISA 2010 -Beitrage des Workshops der GI-Fachgruppe Entwicklungsmethoden fur Informationssysteme und Deren Anwendung</v>
      </c>
      <c r="B8117" s="8" t="str">
        <f>"9783885792666"</f>
        <v>9783885792666</v>
      </c>
      <c r="C8117" s="8" t="s">
        <v>833</v>
      </c>
    </row>
    <row r="8118" spans="1:3" x14ac:dyDescent="0.25">
      <c r="A8118" s="8" t="str">
        <f>"Emissions 2014, Papers and Presentations"</f>
        <v>Emissions 2014, Papers and Presentations</v>
      </c>
      <c r="B8118" s="8" t="str">
        <f>"9781634390026"</f>
        <v>9781634390026</v>
      </c>
      <c r="C8118" s="8" t="s">
        <v>1699</v>
      </c>
    </row>
    <row r="8119" spans="1:3" x14ac:dyDescent="0.25">
      <c r="A8119" s="8" t="str">
        <f>"EMNLP 2008 - 2008 Conference on Empirical Methods in Natural Language Processing, Proceedings of the Conference: A Meeting of SIGDAT, a Special Interest Group of the ACL"</f>
        <v>EMNLP 2008 - 2008 Conference on Empirical Methods in Natural Language Processing, Proceedings of the Conference: A Meeting of SIGDAT, a Special Interest Group of the ACL</v>
      </c>
      <c r="B8119" s="8" t="str">
        <f>"-"</f>
        <v>-</v>
      </c>
      <c r="C8119" s="8" t="s">
        <v>554</v>
      </c>
    </row>
    <row r="8120" spans="1:3" x14ac:dyDescent="0.25">
      <c r="A8120" s="8" t="str">
        <f>"EMNLP 2009 - Proceedings of the 2009 Conference on Empirical Methods in Natural Language Processing: A Meeting of SIGDAT, a Special Interest Group of ACL, Held in Conjunction with ACL-IJCNLP 2009"</f>
        <v>EMNLP 2009 - Proceedings of the 2009 Conference on Empirical Methods in Natural Language Processing: A Meeting of SIGDAT, a Special Interest Group of ACL, Held in Conjunction with ACL-IJCNLP 2009</v>
      </c>
      <c r="B8120" s="8" t="str">
        <f>"-"</f>
        <v>-</v>
      </c>
      <c r="C8120" s="8" t="s">
        <v>554</v>
      </c>
    </row>
    <row r="8121" spans="1:3" x14ac:dyDescent="0.25">
      <c r="A8121" s="8" t="str">
        <f>"EMNLP 2010 - Conference on Empirical Methods in Natural Language Processing, Proceedings of the Conference"</f>
        <v>EMNLP 2010 - Conference on Empirical Methods in Natural Language Processing, Proceedings of the Conference</v>
      </c>
      <c r="B8121" s="8" t="str">
        <f>"9781932432862"</f>
        <v>9781932432862</v>
      </c>
      <c r="C8121" s="8" t="s">
        <v>554</v>
      </c>
    </row>
    <row r="8122" spans="1:3" x14ac:dyDescent="0.25">
      <c r="A8122" s="8" t="str">
        <f>"EMNLP 2011 - Conference on Empirical Methods in Natural Language Processing, Proceedings of the Conference"</f>
        <v>EMNLP 2011 - Conference on Empirical Methods in Natural Language Processing, Proceedings of the Conference</v>
      </c>
      <c r="B8122" s="8" t="str">
        <f>"9781937284114"</f>
        <v>9781937284114</v>
      </c>
      <c r="C8122" s="8" t="s">
        <v>554</v>
      </c>
    </row>
    <row r="8123" spans="1:3" x14ac:dyDescent="0.25">
      <c r="A8123" s="8" t="str">
        <f>"EMNLP 2013 - 2013 Conference on Empirical Methods in Natural Language Processing, Proceedings of the Conference"</f>
        <v>EMNLP 2013 - 2013 Conference on Empirical Methods in Natural Language Processing, Proceedings of the Conference</v>
      </c>
      <c r="B8123" s="8" t="str">
        <f>"9781937284978"</f>
        <v>9781937284978</v>
      </c>
      <c r="C8123" s="8" t="s">
        <v>554</v>
      </c>
    </row>
    <row r="8124" spans="1:3" x14ac:dyDescent="0.25">
      <c r="A8124" s="8" t="str">
        <f>"EMNLP 2014 - 2014 Conference on Empirical Methods in Natural Language Processing, Proceedings of the Conference"</f>
        <v>EMNLP 2014 - 2014 Conference on Empirical Methods in Natural Language Processing, Proceedings of the Conference</v>
      </c>
      <c r="B8124" s="8" t="str">
        <f>"9781937284961"</f>
        <v>9781937284961</v>
      </c>
      <c r="C8124" s="8" t="s">
        <v>554</v>
      </c>
    </row>
    <row r="8125" spans="1:3" x14ac:dyDescent="0.25">
      <c r="A8125" s="8" t="str">
        <f>"EMNLP-CoNLL 2007 - Proceedings of the 2007 Joint Conference on Empirical Methods in Natural Language Processing and Computational Natural Language Learning"</f>
        <v>EMNLP-CoNLL 2007 - Proceedings of the 2007 Joint Conference on Empirical Methods in Natural Language Processing and Computational Natural Language Learning</v>
      </c>
      <c r="B8125" s="8" t="str">
        <f>"-"</f>
        <v>-</v>
      </c>
      <c r="C8125" s="8" t="s">
        <v>554</v>
      </c>
    </row>
    <row r="8126" spans="1:3" x14ac:dyDescent="0.25">
      <c r="A8126" s="8" t="str">
        <f>"EMNLP-CoNLL 2012 - 2012 Joint Conference on Empirical Methods in Natural Language Processing and Computational Natural Language Learning, Proceedings of the Conference"</f>
        <v>EMNLP-CoNLL 2012 - 2012 Joint Conference on Empirical Methods in Natural Language Processing and Computational Natural Language Learning, Proceedings of the Conference</v>
      </c>
      <c r="B8126" s="8" t="str">
        <f>"9781937284435"</f>
        <v>9781937284435</v>
      </c>
      <c r="C8126" s="8" t="s">
        <v>554</v>
      </c>
    </row>
    <row r="8127" spans="1:3" x14ac:dyDescent="0.25">
      <c r="A8127" s="8" t="str">
        <f>"EmotiW 2013 - Proceedings of the 2013 ACM Emotion Recognition in the Wild Challenge and Workshop, Co-located with ICMI 2013"</f>
        <v>EmotiW 2013 - Proceedings of the 2013 ACM Emotion Recognition in the Wild Challenge and Workshop, Co-located with ICMI 2013</v>
      </c>
      <c r="B8127" s="8" t="str">
        <f>"9781450325646"</f>
        <v>9781450325646</v>
      </c>
      <c r="C8127" s="8" t="s">
        <v>21</v>
      </c>
    </row>
    <row r="8128" spans="1:3" x14ac:dyDescent="0.25">
      <c r="A8128" s="8" t="str">
        <f>"EMPC 2013 - European Microelectronics Packaging Conference: The Winding Roads of Electronics Packaging"</f>
        <v>EMPC 2013 - European Microelectronics Packaging Conference: The Winding Roads of Electronics Packaging</v>
      </c>
      <c r="B8128" s="8" t="str">
        <f>"9782952746717"</f>
        <v>9782952746717</v>
      </c>
      <c r="C8128" s="8" t="s">
        <v>9</v>
      </c>
    </row>
    <row r="8129" spans="1:3" x14ac:dyDescent="0.25">
      <c r="A8129" s="8" t="str">
        <f>"EMPC-2011 - 18th European Microelectronics and Packaging Conference, Proceedings"</f>
        <v>EMPC-2011 - 18th European Microelectronics and Packaging Conference, Proceedings</v>
      </c>
      <c r="B8129" s="8" t="str">
        <f>"9780956808608"</f>
        <v>9780956808608</v>
      </c>
      <c r="C8129" s="8" t="s">
        <v>9</v>
      </c>
    </row>
    <row r="8130" spans="1:3" x14ac:dyDescent="0.25">
      <c r="A8130" s="8" t="str">
        <f>"EMS 2009 - UKSim 3rd European Modelling Symposium on Computer Modelling and Simulation"</f>
        <v>EMS 2009 - UKSim 3rd European Modelling Symposium on Computer Modelling and Simulation</v>
      </c>
      <c r="B8130" s="8" t="str">
        <f>"9780769538860"</f>
        <v>9780769538860</v>
      </c>
      <c r="C8130" s="8" t="s">
        <v>9</v>
      </c>
    </row>
    <row r="8131" spans="1:3" x14ac:dyDescent="0.25">
      <c r="A8131" s="8" t="str">
        <f>"EMSOFT 2004 - Fourth ACM International Conference on Embedded Software"</f>
        <v>EMSOFT 2004 - Fourth ACM International Conference on Embedded Software</v>
      </c>
      <c r="B8131" s="8" t="str">
        <f>"9781581138603"</f>
        <v>9781581138603</v>
      </c>
      <c r="C8131" s="8" t="s">
        <v>21</v>
      </c>
    </row>
    <row r="8132" spans="1:3" x14ac:dyDescent="0.25">
      <c r="A8132" s="8" t="str">
        <f>"EMSOFT'07: Proceedings of the Seventh ACM and IEEE International Conference on Embedded Software"</f>
        <v>EMSOFT'07: Proceedings of the Seventh ACM and IEEE International Conference on Embedded Software</v>
      </c>
      <c r="B8132" s="8" t="str">
        <f>"9781595938251"</f>
        <v>9781595938251</v>
      </c>
      <c r="C8132" s="8" t="s">
        <v>21</v>
      </c>
    </row>
    <row r="8133" spans="1:3" x14ac:dyDescent="0.25">
      <c r="A8133" s="8" t="str">
        <f>"EMSOFT'12 - Proceedings of the 10th ACM International Conference on Embedded Software 2012, Co-located with ESWEEK"</f>
        <v>EMSOFT'12 - Proceedings of the 10th ACM International Conference on Embedded Software 2012, Co-located with ESWEEK</v>
      </c>
      <c r="B8133" s="8" t="str">
        <f>"9781450314251"</f>
        <v>9781450314251</v>
      </c>
      <c r="C8133" s="8" t="s">
        <v>21</v>
      </c>
    </row>
    <row r="8134" spans="1:3" x14ac:dyDescent="0.25">
      <c r="A8134" s="8" t="str">
        <f>"EMV 2008 - Internationale Fachmesse und Kongress fur Elektromagnetische Vertraglichkeit"</f>
        <v>EMV 2008 - Internationale Fachmesse und Kongress fur Elektromagnetische Vertraglichkeit</v>
      </c>
      <c r="B8134" s="8" t="str">
        <f>"9783834808936"</f>
        <v>9783834808936</v>
      </c>
      <c r="C8134" s="8" t="s">
        <v>1810</v>
      </c>
    </row>
    <row r="8135" spans="1:3" x14ac:dyDescent="0.25">
      <c r="A8135" s="8" t="str">
        <f>"EMV 2010 - Internationale Fachmesse und Kongress fur Elektromagnetische Vertraglichkeit"</f>
        <v>EMV 2010 - Internationale Fachmesse und Kongress fur Elektromagnetische Vertraglichkeit</v>
      </c>
      <c r="B8135" s="8" t="str">
        <f>"9783800732067"</f>
        <v>9783800732067</v>
      </c>
      <c r="C8135" s="8" t="s">
        <v>1810</v>
      </c>
    </row>
    <row r="8136" spans="1:3" x14ac:dyDescent="0.25">
      <c r="A8136" s="8" t="str">
        <f>"ENASE 2007 - Proceedings of the 2nd International Conference on Evaluation of Novel Approaches to Software Engineering"</f>
        <v>ENASE 2007 - Proceedings of the 2nd International Conference on Evaluation of Novel Approaches to Software Engineering</v>
      </c>
      <c r="B8136" s="8" t="str">
        <f>"9789898111104"</f>
        <v>9789898111104</v>
      </c>
      <c r="C8136" s="8" t="s">
        <v>1680</v>
      </c>
    </row>
    <row r="8137" spans="1:3" x14ac:dyDescent="0.25">
      <c r="A8137" s="8" t="str">
        <f>"ENASE 2008 - Proceedings of the 3rd International Conference on Evaluation of Novel Approaches to Software Engineering"</f>
        <v>ENASE 2008 - Proceedings of the 3rd International Conference on Evaluation of Novel Approaches to Software Engineering</v>
      </c>
      <c r="B8137" s="8" t="str">
        <f>"9789898111289"</f>
        <v>9789898111289</v>
      </c>
      <c r="C8137" s="8" t="s">
        <v>1553</v>
      </c>
    </row>
    <row r="8138" spans="1:3" x14ac:dyDescent="0.25">
      <c r="A8138" s="8" t="str">
        <f>"ENASE 2009 - 4th International Conference on Evaluation of Novel Approaches to Software Engineering, Proceedings"</f>
        <v>ENASE 2009 - 4th International Conference on Evaluation of Novel Approaches to Software Engineering, Proceedings</v>
      </c>
      <c r="B8138" s="8" t="str">
        <f>"9789898111982"</f>
        <v>9789898111982</v>
      </c>
      <c r="C8138" s="8" t="s">
        <v>1680</v>
      </c>
    </row>
    <row r="8139" spans="1:3" x14ac:dyDescent="0.25">
      <c r="A8139" s="8" t="str">
        <f>"ENASE 2010 - Proceedings of the 5th International Conference on Evaluation of Novel Approaches to Software Engineering"</f>
        <v>ENASE 2010 - Proceedings of the 5th International Conference on Evaluation of Novel Approaches to Software Engineering</v>
      </c>
      <c r="B8139" s="8" t="str">
        <f>"9789898425218"</f>
        <v>9789898425218</v>
      </c>
      <c r="C8139" s="8" t="s">
        <v>1553</v>
      </c>
    </row>
    <row r="8140" spans="1:3" x14ac:dyDescent="0.25">
      <c r="A8140" s="8" t="str">
        <f>"ENASE 2011 - Proceedings of the 6th International Conference on Evaluation of Novel Approaches to Software Engineering"</f>
        <v>ENASE 2011 - Proceedings of the 6th International Conference on Evaluation of Novel Approaches to Software Engineering</v>
      </c>
      <c r="B8140" s="8" t="str">
        <f>"9789898425577"</f>
        <v>9789898425577</v>
      </c>
      <c r="C8140" s="8" t="s">
        <v>1197</v>
      </c>
    </row>
    <row r="8141" spans="1:3" x14ac:dyDescent="0.25">
      <c r="A8141" s="8" t="str">
        <f>"ENASE 2012 - Proceedings of the 7th International Conference on Evaluation of Novel Approaches to Software Engineering"</f>
        <v>ENASE 2012 - Proceedings of the 7th International Conference on Evaluation of Novel Approaches to Software Engineering</v>
      </c>
      <c r="B8141" s="8" t="str">
        <f>"9789898565136"</f>
        <v>9789898565136</v>
      </c>
      <c r="C8141" s="8" t="s">
        <v>1197</v>
      </c>
    </row>
    <row r="8142" spans="1:3" x14ac:dyDescent="0.25">
      <c r="A8142" s="8" t="str">
        <f>"ENASE 2013 - Proceedings of the 8th International Conference on Evaluation of Novel Approaches to Software Engineering"</f>
        <v>ENASE 2013 - Proceedings of the 8th International Conference on Evaluation of Novel Approaches to Software Engineering</v>
      </c>
      <c r="B8142" s="8" t="str">
        <f>"9789898565624"</f>
        <v>9789898565624</v>
      </c>
      <c r="C8142" s="8" t="s">
        <v>1197</v>
      </c>
    </row>
    <row r="8143" spans="1:3" x14ac:dyDescent="0.25">
      <c r="A8143" s="8" t="str">
        <f>"ENASE 2014 - Proceedings of the 9th International Conference on Evaluation of Novel Approaches to Software Engineering"</f>
        <v>ENASE 2014 - Proceedings of the 9th International Conference on Evaluation of Novel Approaches to Software Engineering</v>
      </c>
      <c r="B8143" s="8" t="str">
        <f>"9789897580307"</f>
        <v>9789897580307</v>
      </c>
      <c r="C8143" s="8" t="s">
        <v>1197</v>
      </c>
    </row>
    <row r="8144" spans="1:3" x14ac:dyDescent="0.25">
      <c r="A8144" s="8" t="str">
        <f>"ENASE 2015 - Proceedings of the 10th International Conference on Evaluation of Novel Approaches to Software Engineering"</f>
        <v>ENASE 2015 - Proceedings of the 10th International Conference on Evaluation of Novel Approaches to Software Engineering</v>
      </c>
      <c r="B8144" s="8" t="str">
        <f>"9789897581007"</f>
        <v>9789897581007</v>
      </c>
      <c r="C8144" s="8" t="s">
        <v>1197</v>
      </c>
    </row>
    <row r="8145" spans="1:3" x14ac:dyDescent="0.25">
      <c r="A8145" s="8" t="str">
        <f>"ENBIS - IMEKO TC21 Workshop on Measurement Systems and Process Improvement 2010"</f>
        <v>ENBIS - IMEKO TC21 Workshop on Measurement Systems and Process Improvement 2010</v>
      </c>
      <c r="B8145" s="8" t="str">
        <f>"9781617387920"</f>
        <v>9781617387920</v>
      </c>
      <c r="C8145" s="8" t="s">
        <v>1198</v>
      </c>
    </row>
    <row r="8146" spans="1:3" x14ac:dyDescent="0.25">
      <c r="A8146" s="8" t="str">
        <f>"ENC-GNSS 2008 - European Navigation Conference"</f>
        <v>ENC-GNSS 2008 - European Navigation Conference</v>
      </c>
      <c r="B8146" s="8" t="str">
        <f>"-"</f>
        <v>-</v>
      </c>
      <c r="C8146" s="8" t="s">
        <v>1811</v>
      </c>
    </row>
    <row r="8147" spans="1:3" x14ac:dyDescent="0.25">
      <c r="A8147" s="8" t="str">
        <f>"Energy and the Environment - Proceedings of the International Conference on Energy and the Environment"</f>
        <v>Energy and the Environment - Proceedings of the International Conference on Energy and the Environment</v>
      </c>
      <c r="B8147" s="8" t="str">
        <f>"9787532373352"</f>
        <v>9787532373352</v>
      </c>
      <c r="C8147" s="8" t="s">
        <v>1812</v>
      </c>
    </row>
    <row r="8148" spans="1:3" x14ac:dyDescent="0.25">
      <c r="A8148" s="8" t="str">
        <f>"Energy and Transport Processes 2013 - Core Programming Area at the 2013 AIChE Annual Meeting: Global Challenges for Engineering a Sustainable Future"</f>
        <v>Energy and Transport Processes 2013 - Core Programming Area at the 2013 AIChE Annual Meeting: Global Challenges for Engineering a Sustainable Future</v>
      </c>
      <c r="B8148" s="8" t="str">
        <f>"9781634390385"</f>
        <v>9781634390385</v>
      </c>
      <c r="C8148" s="8" t="s">
        <v>1219</v>
      </c>
    </row>
    <row r="8149" spans="1:3" x14ac:dyDescent="0.25">
      <c r="A8149" s="8" t="str">
        <f>"Energy and Transport Processes 2014 - Core Programming Area at the 2014 AIChE Spring Meeting and 10th Global Congress on Process Safety"</f>
        <v>Energy and Transport Processes 2014 - Core Programming Area at the 2014 AIChE Spring Meeting and 10th Global Congress on Process Safety</v>
      </c>
      <c r="B8149" s="8" t="str">
        <f>"9781634390705"</f>
        <v>9781634390705</v>
      </c>
      <c r="C8149" s="8" t="s">
        <v>1219</v>
      </c>
    </row>
    <row r="8150" spans="1:3" x14ac:dyDescent="0.25">
      <c r="A8150" s="8" t="str">
        <f>"Energy Budget in the High Energy Universe - Proceedings of the International Workshop"</f>
        <v>Energy Budget in the High Energy Universe - Proceedings of the International Workshop</v>
      </c>
      <c r="B8150" s="8" t="str">
        <f>"9789812700100"</f>
        <v>9789812700100</v>
      </c>
      <c r="C8150" s="8" t="s">
        <v>157</v>
      </c>
    </row>
    <row r="8151" spans="1:3" x14ac:dyDescent="0.25">
      <c r="A8151" s="8" t="str">
        <f>"Energy Conversion and resources - 2003"</f>
        <v>Energy Conversion and resources - 2003</v>
      </c>
      <c r="B8151" s="8" t="str">
        <f>"9780791837153"</f>
        <v>9780791837153</v>
      </c>
      <c r="C8151" s="8" t="s">
        <v>1308</v>
      </c>
    </row>
    <row r="8152" spans="1:3" x14ac:dyDescent="0.25">
      <c r="A8152" s="8" t="str">
        <f>"Energy Conversion and Resources 2004: Fuels and Combustion Technologies, Energy, Nuclear Engineering"</f>
        <v>Energy Conversion and Resources 2004: Fuels and Combustion Technologies, Energy, Nuclear Engineering</v>
      </c>
      <c r="B8152" s="8" t="str">
        <f>"9780791847084"</f>
        <v>9780791847084</v>
      </c>
      <c r="C8152" s="8" t="s">
        <v>1308</v>
      </c>
    </row>
    <row r="8153" spans="1:3" x14ac:dyDescent="0.25">
      <c r="A8153" s="8" t="str">
        <f>"Energy Conversion and Resources 2005"</f>
        <v>Energy Conversion and Resources 2005</v>
      </c>
      <c r="B8153" s="8" t="str">
        <f>"9780791842188"</f>
        <v>9780791842188</v>
      </c>
      <c r="C8153" s="8" t="s">
        <v>73</v>
      </c>
    </row>
    <row r="8154" spans="1:3" x14ac:dyDescent="0.25">
      <c r="A8154" s="8" t="str">
        <f>"Energy Efficiency Improvement of Geotechnical Systems - Proceedings of the International Forum on Energy Efficiency"</f>
        <v>Energy Efficiency Improvement of Geotechnical Systems - Proceedings of the International Forum on Energy Efficiency</v>
      </c>
      <c r="B8154" s="8" t="str">
        <f>"9781138001268"</f>
        <v>9781138001268</v>
      </c>
      <c r="C8154" s="8" t="s">
        <v>1619</v>
      </c>
    </row>
    <row r="8155" spans="1:3" x14ac:dyDescent="0.25">
      <c r="A8155" s="8" t="str">
        <f>"Energy Institute - 25th International North Sea Flow Measurement Workshop 2007"</f>
        <v>Energy Institute - 25th International North Sea Flow Measurement Workshop 2007</v>
      </c>
      <c r="B8155" s="8" t="str">
        <f>"9781604238723"</f>
        <v>9781604238723</v>
      </c>
      <c r="C8155" s="8" t="s">
        <v>1450</v>
      </c>
    </row>
    <row r="8156" spans="1:3" x14ac:dyDescent="0.25">
      <c r="A8156" s="8" t="str">
        <f>"Energy Institute - 26th International North Sea Flow Measurement Workshop 2008"</f>
        <v>Energy Institute - 26th International North Sea Flow Measurement Workshop 2008</v>
      </c>
      <c r="B8156" s="8" t="str">
        <f>"9781605607214"</f>
        <v>9781605607214</v>
      </c>
      <c r="C8156" s="8" t="s">
        <v>1450</v>
      </c>
    </row>
    <row r="8157" spans="1:3" x14ac:dyDescent="0.25">
      <c r="A8157" s="8" t="str">
        <f>"Energy Institute - 27th International North Sea Flow Measurement Workshop 2009"</f>
        <v>Energy Institute - 27th International North Sea Flow Measurement Workshop 2009</v>
      </c>
      <c r="B8157" s="8" t="str">
        <f>"9781615678686"</f>
        <v>9781615678686</v>
      </c>
      <c r="C8157" s="8" t="s">
        <v>1450</v>
      </c>
    </row>
    <row r="8158" spans="1:3" x14ac:dyDescent="0.25">
      <c r="A8158" s="8" t="str">
        <f>"Energy Materials 2014, Conference Proceedings"</f>
        <v>Energy Materials 2014, Conference Proceedings</v>
      </c>
      <c r="B8158" s="8" t="str">
        <f>"9781119027942"</f>
        <v>9781119027942</v>
      </c>
      <c r="C8158" s="8" t="s">
        <v>87</v>
      </c>
    </row>
    <row r="8159" spans="1:3" x14ac:dyDescent="0.25">
      <c r="A8159" s="8" t="str">
        <f>"Engine, Transmission, Propulsion and Emission - Proceedings of the 2007 Global Powertrain Congress"</f>
        <v>Engine, Transmission, Propulsion and Emission - Proceedings of the 2007 Global Powertrain Congress</v>
      </c>
      <c r="B8159" s="8" t="str">
        <f>"-"</f>
        <v>-</v>
      </c>
      <c r="C8159" s="8" t="s">
        <v>1813</v>
      </c>
    </row>
    <row r="8160" spans="1:3" x14ac:dyDescent="0.25">
      <c r="A8160" s="8" t="str">
        <f>"Engineering Against Failure - Proceedings of the 3rd International Conference of Engineering Against Failure, ICEAF 2013"</f>
        <v>Engineering Against Failure - Proceedings of the 3rd International Conference of Engineering Against Failure, ICEAF 2013</v>
      </c>
      <c r="B8160" s="8" t="str">
        <f>"9789608810433"</f>
        <v>9789608810433</v>
      </c>
      <c r="C8160" s="8" t="s">
        <v>1814</v>
      </c>
    </row>
    <row r="8161" spans="1:3" x14ac:dyDescent="0.25">
      <c r="A8161" s="8" t="str">
        <f>"Engineering Against Fracture - Proceedings of the 1st Conference"</f>
        <v>Engineering Against Fracture - Proceedings of the 1st Conference</v>
      </c>
      <c r="B8161" s="8" t="str">
        <f>"9781402094019"</f>
        <v>9781402094019</v>
      </c>
      <c r="C8161" s="8" t="s">
        <v>1815</v>
      </c>
    </row>
    <row r="8162" spans="1:3" x14ac:dyDescent="0.25">
      <c r="A8162" s="8" t="str">
        <f>"Engineering Asset Lifecycle Management - Proceedings of the 4th World Congress on Engineering Asset Management, WCEAM 2009"</f>
        <v>Engineering Asset Lifecycle Management - Proceedings of the 4th World Congress on Engineering Asset Management, WCEAM 2009</v>
      </c>
      <c r="B8162" s="8" t="str">
        <f>"9781849960021"</f>
        <v>9781849960021</v>
      </c>
      <c r="C8162" s="8" t="s">
        <v>62</v>
      </c>
    </row>
    <row r="8163" spans="1:3" x14ac:dyDescent="0.25">
      <c r="A8163" s="8" t="str">
        <f>"Engineering Computational Technology"</f>
        <v>Engineering Computational Technology</v>
      </c>
      <c r="B8163" s="8" t="str">
        <f>"9781874672173"</f>
        <v>9781874672173</v>
      </c>
      <c r="C8163" s="8" t="s">
        <v>550</v>
      </c>
    </row>
    <row r="8164" spans="1:3" x14ac:dyDescent="0.25">
      <c r="A8164" s="8" t="str">
        <f>"Engineering Considerations for Lift-Slab Construction"</f>
        <v>Engineering Considerations for Lift-Slab Construction</v>
      </c>
      <c r="B8164" s="8" t="str">
        <f>"9780784407059"</f>
        <v>9780784407059</v>
      </c>
      <c r="C8164" s="8" t="s">
        <v>111</v>
      </c>
    </row>
    <row r="8165" spans="1:3" x14ac:dyDescent="0.25">
      <c r="A8165" s="8" t="str">
        <f>"Engineering Construction and Operations in Challenging Environments - Earth and Space 2004: Proceedings of the Ninth Biennial ASCE Aerospace Division International Conference"</f>
        <v>Engineering Construction and Operations in Challenging Environments - Earth and Space 2004: Proceedings of the Ninth Biennial ASCE Aerospace Division International Conference</v>
      </c>
      <c r="B8165" s="8" t="str">
        <f>"9780784407226"</f>
        <v>9780784407226</v>
      </c>
      <c r="C8165" s="8" t="s">
        <v>111</v>
      </c>
    </row>
    <row r="8166" spans="1:3" x14ac:dyDescent="0.25">
      <c r="A8166" s="8" t="str">
        <f>"Engineering Education 2010: Inspiring the Next Generation of Engineers, EE 2010"</f>
        <v>Engineering Education 2010: Inspiring the Next Generation of Engineers, EE 2010</v>
      </c>
      <c r="B8166" s="8" t="str">
        <f>"-"</f>
        <v>-</v>
      </c>
      <c r="C8166" s="8" t="s">
        <v>1816</v>
      </c>
    </row>
    <row r="8167" spans="1:3" x14ac:dyDescent="0.25">
      <c r="A8167" s="8" t="str">
        <f>"Engineering for Health in Hot Countries: Proceedings of the 4th WEDC Conference"</f>
        <v>Engineering for Health in Hot Countries: Proceedings of the 4th WEDC Conference</v>
      </c>
      <c r="B8167" s="8" t="str">
        <f>"-"</f>
        <v>-</v>
      </c>
      <c r="C8167" s="8" t="s">
        <v>1486</v>
      </c>
    </row>
    <row r="8168" spans="1:3" x14ac:dyDescent="0.25">
      <c r="A8168" s="8" t="str">
        <f>"Engineering for Progress, Nature and People"</f>
        <v>Engineering for Progress, Nature and People</v>
      </c>
      <c r="B8168" s="8" t="str">
        <f>"9783857481352"</f>
        <v>9783857481352</v>
      </c>
      <c r="C8168" s="8" t="s">
        <v>1686</v>
      </c>
    </row>
    <row r="8169" spans="1:3" x14ac:dyDescent="0.25">
      <c r="A8169" s="8" t="str">
        <f>"Engineering Geophysics 2011"</f>
        <v>Engineering Geophysics 2011</v>
      </c>
      <c r="B8169" s="8" t="str">
        <f>"-"</f>
        <v>-</v>
      </c>
      <c r="C8169" s="8" t="s">
        <v>1251</v>
      </c>
    </row>
    <row r="8170" spans="1:3" x14ac:dyDescent="0.25">
      <c r="A8170" s="8" t="str">
        <f>"Engineering Geophysics 2013 - 9th International Scientific and Practical Conference and Exhibition on Engineering Geophysics"</f>
        <v>Engineering Geophysics 2013 - 9th International Scientific and Practical Conference and Exhibition on Engineering Geophysics</v>
      </c>
      <c r="B8170" s="8" t="str">
        <f>"-"</f>
        <v>-</v>
      </c>
      <c r="C8170" s="8" t="s">
        <v>1251</v>
      </c>
    </row>
    <row r="8171" spans="1:3" x14ac:dyDescent="0.25">
      <c r="A8171" s="8" t="str">
        <f>"Engineering Optimization IV - Proceedings of the 4th International Conference on Engineering Optimization, ENGOPT 2014"</f>
        <v>Engineering Optimization IV - Proceedings of the 4th International Conference on Engineering Optimization, ENGOPT 2014</v>
      </c>
      <c r="B8171" s="8" t="str">
        <f>"9781138027251"</f>
        <v>9781138027251</v>
      </c>
      <c r="C8171" s="8" t="s">
        <v>1635</v>
      </c>
    </row>
    <row r="8172" spans="1:3" x14ac:dyDescent="0.25">
      <c r="A8172" s="8" t="str">
        <f>"Engineering Sciences and Fundamentals 2013 - Core Programming Area at the 2013 AIChE Annual Meeting: Global Challenges for Engineering a Sustainable Future"</f>
        <v>Engineering Sciences and Fundamentals 2013 - Core Programming Area at the 2013 AIChE Annual Meeting: Global Challenges for Engineering a Sustainable Future</v>
      </c>
      <c r="B8172" s="8" t="str">
        <f>"-"</f>
        <v>-</v>
      </c>
      <c r="C8172" s="8" t="s">
        <v>1219</v>
      </c>
    </row>
    <row r="8173" spans="1:3" x14ac:dyDescent="0.25">
      <c r="A8173" s="8" t="str">
        <f>"Engineering Technology Management"</f>
        <v>Engineering Technology Management</v>
      </c>
      <c r="B8173" s="8" t="str">
        <f>"9780791837283"</f>
        <v>9780791837283</v>
      </c>
      <c r="C8173" s="8" t="s">
        <v>1308</v>
      </c>
    </row>
    <row r="8174" spans="1:3" x14ac:dyDescent="0.25">
      <c r="A8174" s="8" t="str">
        <f>"Engineering Technology Management"</f>
        <v>Engineering Technology Management</v>
      </c>
      <c r="B8174" s="8" t="str">
        <f>"9780791847206"</f>
        <v>9780791847206</v>
      </c>
      <c r="C8174" s="8" t="s">
        <v>1308</v>
      </c>
    </row>
    <row r="8175" spans="1:3" x14ac:dyDescent="0.25">
      <c r="A8175" s="8" t="str">
        <f>"Engineering, Pulping and Environmental Conference 2007, TAPPI"</f>
        <v>Engineering, Pulping and Environmental Conference 2007, TAPPI</v>
      </c>
      <c r="B8175" s="8" t="str">
        <f>"9781605600659"</f>
        <v>9781605600659</v>
      </c>
      <c r="C8175" s="8" t="s">
        <v>1099</v>
      </c>
    </row>
    <row r="8176" spans="1:3" x14ac:dyDescent="0.25">
      <c r="A8176" s="8" t="str">
        <f>"Engineering/Technology Management 2005: Safety Engineering and Risk Analysis, Technology and Society, Engineering Business Management, Health and Safety"</f>
        <v>Engineering/Technology Management 2005: Safety Engineering and Risk Analysis, Technology and Society, Engineering Business Management, Health and Safety</v>
      </c>
      <c r="B8176" s="8" t="str">
        <f>"-"</f>
        <v>-</v>
      </c>
      <c r="C8176" s="8" t="s">
        <v>73</v>
      </c>
    </row>
    <row r="8177" spans="1:3" x14ac:dyDescent="0.25">
      <c r="A8177" s="8" t="str">
        <f>"ENLG 2011 - 13th European Workshop on Natural Language Generation, Proceedings"</f>
        <v>ENLG 2011 - 13th European Workshop on Natural Language Generation, Proceedings</v>
      </c>
      <c r="B8177" s="8" t="str">
        <f>"-"</f>
        <v>-</v>
      </c>
      <c r="C8177" s="8" t="s">
        <v>554</v>
      </c>
    </row>
    <row r="8178" spans="1:3" x14ac:dyDescent="0.25">
      <c r="A8178" s="8" t="str">
        <f>"ENSSys 2013 - Proceedings of the 1st International Workshop on Energy Neutral Sensing Systems"</f>
        <v>ENSSys 2013 - Proceedings of the 1st International Workshop on Energy Neutral Sensing Systems</v>
      </c>
      <c r="B8178" s="8" t="str">
        <f>"9781450324328"</f>
        <v>9781450324328</v>
      </c>
      <c r="C8178" s="8" t="s">
        <v>21</v>
      </c>
    </row>
    <row r="8179" spans="1:3" x14ac:dyDescent="0.25">
      <c r="A8179" s="8" t="str">
        <f>"ENSsys 2014 - Proceedings of the 2nd International Workshop on Energy Neutral Sensing Systems"</f>
        <v>ENSsys 2014 - Proceedings of the 2nd International Workshop on Energy Neutral Sensing Systems</v>
      </c>
      <c r="B8179" s="8" t="str">
        <f>"9781450331890"</f>
        <v>9781450331890</v>
      </c>
      <c r="C8179" s="8" t="s">
        <v>1235</v>
      </c>
    </row>
    <row r="8180" spans="1:3" x14ac:dyDescent="0.25">
      <c r="A8180" s="8" t="str">
        <f>"Ensuring Reservoir Safety into the Future - Proceedings of the 15th Conference of the British Dam Society"</f>
        <v>Ensuring Reservoir Safety into the Future - Proceedings of the 15th Conference of the British Dam Society</v>
      </c>
      <c r="B8180" s="8" t="str">
        <f>"9780727735225"</f>
        <v>9780727735225</v>
      </c>
      <c r="C8180" s="8" t="s">
        <v>74</v>
      </c>
    </row>
    <row r="8181" spans="1:3" x14ac:dyDescent="0.25">
      <c r="A8181" s="8" t="str">
        <f>"Enterprise Modelling and Information Systems Architectures, EMISA 2009"</f>
        <v>Enterprise Modelling and Information Systems Architectures, EMISA 2009</v>
      </c>
      <c r="B8181" s="8" t="str">
        <f>"9783885792468"</f>
        <v>9783885792468</v>
      </c>
      <c r="C8181" s="8" t="s">
        <v>833</v>
      </c>
    </row>
    <row r="8182" spans="1:3" x14ac:dyDescent="0.25">
      <c r="A8182" s="8" t="str">
        <f>"Environment, Energy and Applied Technology - Proceedings of the 2014 3rd International Conference on Frontier of Energy and Environment Engineering, ICFEEE 2014"</f>
        <v>Environment, Energy and Applied Technology - Proceedings of the 2014 3rd International Conference on Frontier of Energy and Environment Engineering, ICFEEE 2014</v>
      </c>
      <c r="B8182" s="8" t="str">
        <f>"9781138026919"</f>
        <v>9781138026919</v>
      </c>
      <c r="C8182" s="8" t="s">
        <v>1635</v>
      </c>
    </row>
    <row r="8183" spans="1:3" x14ac:dyDescent="0.25">
      <c r="A8183" s="8" t="str">
        <f>"Environment, Energy and Sustainable Development - Proceedings of the 2013 International Conference on Frontier of Energy and Environment Engineering, ICFEEE 2013"</f>
        <v>Environment, Energy and Sustainable Development - Proceedings of the 2013 International Conference on Frontier of Energy and Environment Engineering, ICFEEE 2013</v>
      </c>
      <c r="B8183" s="8" t="str">
        <f>"-"</f>
        <v>-</v>
      </c>
      <c r="C8183" s="8" t="s">
        <v>1619</v>
      </c>
    </row>
    <row r="8184" spans="1:3" x14ac:dyDescent="0.25">
      <c r="A8184" s="8" t="str">
        <f>"Environment. Technology. Resources - Proceedings of the 6th International Scientific and Practical Conference"</f>
        <v>Environment. Technology. Resources - Proceedings of the 6th International Scientific and Practical Conference</v>
      </c>
      <c r="B8184" s="8" t="str">
        <f>"9789984779546"</f>
        <v>9789984779546</v>
      </c>
      <c r="C8184" s="8" t="s">
        <v>1817</v>
      </c>
    </row>
    <row r="8185" spans="1:3" x14ac:dyDescent="0.25">
      <c r="A8185" s="8" t="str">
        <f>"Environmental and Engineering Geophysical Society - 21st Symposium on the Application of Geophysics to Engineering and Environmental Problems 2008"</f>
        <v>Environmental and Engineering Geophysical Society - 21st Symposium on the Application of Geophysics to Engineering and Environmental Problems 2008</v>
      </c>
      <c r="B8185" s="8" t="str">
        <f>"9781605603001"</f>
        <v>9781605603001</v>
      </c>
      <c r="C8185" s="8" t="s">
        <v>59</v>
      </c>
    </row>
    <row r="8186" spans="1:3" x14ac:dyDescent="0.25">
      <c r="A8186" s="8" t="str">
        <f>"Environmental and Pipeline Engineering 2000"</f>
        <v>Environmental and Pipeline Engineering 2000</v>
      </c>
      <c r="B8186" s="8" t="str">
        <f>"9780784405079"</f>
        <v>9780784405079</v>
      </c>
      <c r="C8186" s="8" t="s">
        <v>111</v>
      </c>
    </row>
    <row r="8187" spans="1:3" x14ac:dyDescent="0.25">
      <c r="A8187" s="8" t="str">
        <f>"Environmental and Water Resources: Milestones in Engineering History"</f>
        <v>Environmental and Water Resources: Milestones in Engineering History</v>
      </c>
      <c r="B8187" s="8" t="str">
        <f>"9780784409282"</f>
        <v>9780784409282</v>
      </c>
      <c r="C8187" s="8" t="s">
        <v>111</v>
      </c>
    </row>
    <row r="8188" spans="1:3" x14ac:dyDescent="0.25">
      <c r="A8188" s="8" t="str">
        <f>"Environmental Aspects, Applications and Implications of Nanomaterials and Nanotechnology 2013 - Topical Conference at the 2013 AIChE Annual Meeting: Global Challenges for Engineering a Sustainable Future"</f>
        <v>Environmental Aspects, Applications and Implications of Nanomaterials and Nanotechnology 2013 - Topical Conference at the 2013 AIChE Annual Meeting: Global Challenges for Engineering a Sustainable Future</v>
      </c>
      <c r="B8188" s="8" t="str">
        <f>"9781634390293"</f>
        <v>9781634390293</v>
      </c>
      <c r="C8188" s="8" t="s">
        <v>1219</v>
      </c>
    </row>
    <row r="8189" spans="1:3" x14ac:dyDescent="0.25">
      <c r="A8189" s="8" t="str">
        <f>"Environmental Connection Conference 2015"</f>
        <v>Environmental Connection Conference 2015</v>
      </c>
      <c r="B8189" s="8" t="str">
        <f>"-"</f>
        <v>-</v>
      </c>
      <c r="C8189" s="8" t="s">
        <v>957</v>
      </c>
    </row>
    <row r="8190" spans="1:3" x14ac:dyDescent="0.25">
      <c r="A8190" s="8" t="str">
        <f>"Environmental Deterioration of Materials"</f>
        <v>Environmental Deterioration of Materials</v>
      </c>
      <c r="B8190" s="8" t="str">
        <f>"9781845640323"</f>
        <v>9781845640323</v>
      </c>
      <c r="C8190" s="8" t="s">
        <v>1641</v>
      </c>
    </row>
    <row r="8191" spans="1:3" x14ac:dyDescent="0.25">
      <c r="A8191" s="8" t="str">
        <f>"Environmental Division 2013 - Core Programming Area at the 2013 AIChE Annual Meeting: Global Challenges for Engineering a Sustainable Future"</f>
        <v>Environmental Division 2013 - Core Programming Area at the 2013 AIChE Annual Meeting: Global Challenges for Engineering a Sustainable Future</v>
      </c>
      <c r="B8191" s="8" t="str">
        <f>"9781634390408"</f>
        <v>9781634390408</v>
      </c>
      <c r="C8191" s="8" t="s">
        <v>1219</v>
      </c>
    </row>
    <row r="8192" spans="1:3" x14ac:dyDescent="0.25">
      <c r="A8192" s="8" t="str">
        <f>"Environmental Division 2014 - Core Programming Area at the 2014 AIChE Spring Meeting and 10th Global Congress on Process Safety"</f>
        <v>Environmental Division 2014 - Core Programming Area at the 2014 AIChE Spring Meeting and 10th Global Congress on Process Safety</v>
      </c>
      <c r="B8192" s="8" t="str">
        <f>"9781634390712"</f>
        <v>9781634390712</v>
      </c>
      <c r="C8192" s="8" t="s">
        <v>1219</v>
      </c>
    </row>
    <row r="8193" spans="1:3" x14ac:dyDescent="0.25">
      <c r="A8193" s="8" t="str">
        <f>"Environmental Division Conference, Presentations at the 2008 AIChE Spring National Meeting"</f>
        <v>Environmental Division Conference, Presentations at the 2008 AIChE Spring National Meeting</v>
      </c>
      <c r="B8193" s="8" t="str">
        <f>"9781605602196"</f>
        <v>9781605602196</v>
      </c>
      <c r="C8193" s="8" t="s">
        <v>1219</v>
      </c>
    </row>
    <row r="8194" spans="1:3" x14ac:dyDescent="0.25">
      <c r="A8194" s="8" t="str">
        <f>"Environmental Engineering - Proceedings of the 2nd National Congress of Environmental Engineering"</f>
        <v>Environmental Engineering - Proceedings of the 2nd National Congress of Environmental Engineering</v>
      </c>
      <c r="B8194" s="8" t="str">
        <f>"9780415408189"</f>
        <v>9780415408189</v>
      </c>
      <c r="C8194" s="8" t="s">
        <v>1619</v>
      </c>
    </row>
    <row r="8195" spans="1:3" x14ac:dyDescent="0.25">
      <c r="A8195" s="8" t="str">
        <f>"Environmental Engineering IV - Proceedings of the Conference on Environmental Engineering IV"</f>
        <v>Environmental Engineering IV - Proceedings of the Conference on Environmental Engineering IV</v>
      </c>
      <c r="B8195" s="8" t="str">
        <f>"9780415643382"</f>
        <v>9780415643382</v>
      </c>
      <c r="C8195" s="8" t="s">
        <v>1619</v>
      </c>
    </row>
    <row r="8196" spans="1:3" x14ac:dyDescent="0.25">
      <c r="A8196" s="8" t="str">
        <f>"Environmental Fluid Mechanics: Theories and Applications"</f>
        <v>Environmental Fluid Mechanics: Theories and Applications</v>
      </c>
      <c r="B8196" s="8" t="str">
        <f>"9780784406298"</f>
        <v>9780784406298</v>
      </c>
      <c r="C8196" s="8" t="s">
        <v>111</v>
      </c>
    </row>
    <row r="8197" spans="1:3" x14ac:dyDescent="0.25">
      <c r="A8197" s="8" t="str">
        <f>"Environmental Health Engineering in Hot Climates and Developing Countries: Proceedings of the 1st WEDC Conference"</f>
        <v>Environmental Health Engineering in Hot Climates and Developing Countries: Proceedings of the 1st WEDC Conference</v>
      </c>
      <c r="B8197" s="8" t="str">
        <f>"-"</f>
        <v>-</v>
      </c>
      <c r="C8197" s="8" t="s">
        <v>1486</v>
      </c>
    </row>
    <row r="8198" spans="1:3" x14ac:dyDescent="0.25">
      <c r="A8198" s="8" t="str">
        <f>"Environmental Health Risk"</f>
        <v>Environmental Health Risk</v>
      </c>
      <c r="B8198" s="8" t="str">
        <f>"9781853128752"</f>
        <v>9781853128752</v>
      </c>
      <c r="C8198" s="8" t="s">
        <v>80</v>
      </c>
    </row>
    <row r="8199" spans="1:3" x14ac:dyDescent="0.25">
      <c r="A8199" s="8" t="str">
        <f>"Environmental Hydraulics - Proceedings of the 6th International Symposium on Environmental Hydraulics"</f>
        <v>Environmental Hydraulics - Proceedings of the 6th International Symposium on Environmental Hydraulics</v>
      </c>
      <c r="B8199" s="8" t="str">
        <f>"-"</f>
        <v>-</v>
      </c>
      <c r="C8199" s="8" t="s">
        <v>1619</v>
      </c>
    </row>
    <row r="8200" spans="1:3" x14ac:dyDescent="0.25">
      <c r="A8200" s="8" t="str">
        <f>"Environmental Hydraulics: Theoretical, Experimental and Computational Solutions - Proceedings of the International Workshop on Environmental Hydraulics, IWEH 2009"</f>
        <v>Environmental Hydraulics: Theoretical, Experimental and Computational Solutions - Proceedings of the International Workshop on Environmental Hydraulics, IWEH 2009</v>
      </c>
      <c r="B8200" s="8" t="str">
        <f>"9780415566971"</f>
        <v>9780415566971</v>
      </c>
      <c r="C8200" s="8" t="s">
        <v>1619</v>
      </c>
    </row>
    <row r="8201" spans="1:3" x14ac:dyDescent="0.25">
      <c r="A8201" s="8" t="str">
        <f>"Environmental Issues for Energy Generation in the Non-Utility Sector"</f>
        <v>Environmental Issues for Energy Generation in the Non-Utility Sector</v>
      </c>
      <c r="B8201" s="8" t="str">
        <f>"-"</f>
        <v>-</v>
      </c>
      <c r="C8201" s="8" t="s">
        <v>10</v>
      </c>
    </row>
    <row r="8202" spans="1:3" x14ac:dyDescent="0.25">
      <c r="A8202" s="8" t="str">
        <f>"Environmental Science and Information Application Technology - Proceedings of the 2014 5th International Conference on Environmental Science and Information Application Technology, ESIAT 2014"</f>
        <v>Environmental Science and Information Application Technology - Proceedings of the 2014 5th International Conference on Environmental Science and Information Application Technology, ESIAT 2014</v>
      </c>
      <c r="B8202" s="8" t="str">
        <f>"9781138028142"</f>
        <v>9781138028142</v>
      </c>
      <c r="C8202" s="8" t="s">
        <v>1635</v>
      </c>
    </row>
    <row r="8203" spans="1:3" x14ac:dyDescent="0.25">
      <c r="A8203" s="8" t="str">
        <f>"Environmental Studies"</f>
        <v>Environmental Studies</v>
      </c>
      <c r="B8203" s="8" t="str">
        <f>"9781853128196"</f>
        <v>9781853128196</v>
      </c>
      <c r="C8203" s="8" t="s">
        <v>80</v>
      </c>
    </row>
    <row r="8204" spans="1:3" x14ac:dyDescent="0.25">
      <c r="A8204" s="8" t="str">
        <f>"Environmental Studies"</f>
        <v>Environmental Studies</v>
      </c>
      <c r="B8204" s="8" t="str">
        <f>"9781853128790"</f>
        <v>9781853128790</v>
      </c>
      <c r="C8204" s="8" t="s">
        <v>1641</v>
      </c>
    </row>
    <row r="8205" spans="1:3" x14ac:dyDescent="0.25">
      <c r="A8205" s="8" t="str">
        <f>"EOMAS 2009 - International Workshop on Enterprise and Organizational Modeling and Simulation, Held in Conjunction with CAiSE 2009"</f>
        <v>EOMAS 2009 - International Workshop on Enterprise and Organizational Modeling and Simulation, Held in Conjunction with CAiSE 2009</v>
      </c>
      <c r="B8205" s="8" t="str">
        <f>"-"</f>
        <v>-</v>
      </c>
      <c r="C8205" s="8" t="s">
        <v>21</v>
      </c>
    </row>
    <row r="8206" spans="1:3" x14ac:dyDescent="0.25">
      <c r="A8206" s="8" t="str">
        <f>"EON 2006 - Evaluation of Ontologies for the Web: 4th International Workshop - Located at the 15th International World Wide Web Conference, WWW 2006"</f>
        <v>EON 2006 - Evaluation of Ontologies for the Web: 4th International Workshop - Located at the 15th International World Wide Web Conference, WWW 2006</v>
      </c>
      <c r="B8206" s="8" t="str">
        <f>"-"</f>
        <v>-</v>
      </c>
      <c r="C8206" s="8" t="s">
        <v>1818</v>
      </c>
    </row>
    <row r="8207" spans="1:3" x14ac:dyDescent="0.25">
      <c r="A8207" s="8" t="str">
        <f>"EOOLT 2007 - Proceedings of the 1st International Workshop on Equation-Based Object-Oriented Languages and Tools, In Conjunction with ECOOP 2007"</f>
        <v>EOOLT 2007 - Proceedings of the 1st International Workshop on Equation-Based Object-Oriented Languages and Tools, In Conjunction with ECOOP 2007</v>
      </c>
      <c r="B8207" s="8" t="str">
        <f>"-"</f>
        <v>-</v>
      </c>
      <c r="C8207" s="8" t="s">
        <v>1819</v>
      </c>
    </row>
    <row r="8208" spans="1:3" x14ac:dyDescent="0.25">
      <c r="A8208" s="8" t="str">
        <f>"EOOLT 2008 - Proceedings of the 2nd International Workshop on Equation-Based Object-Oriented Languages and Tools, In Conjunction with ECOOP 2008"</f>
        <v>EOOLT 2008 - Proceedings of the 2nd International Workshop on Equation-Based Object-Oriented Languages and Tools, In Conjunction with ECOOP 2008</v>
      </c>
      <c r="B8208" s="8" t="str">
        <f>"-"</f>
        <v>-</v>
      </c>
      <c r="C8208" s="8" t="s">
        <v>1819</v>
      </c>
    </row>
    <row r="8209" spans="1:3" x14ac:dyDescent="0.25">
      <c r="A8209" s="8" t="str">
        <f>"EPAC 2006 - Contributions to the Proceedings"</f>
        <v>EPAC 2006 - Contributions to the Proceedings</v>
      </c>
      <c r="B8209" s="8" t="str">
        <f>"9789290832782"</f>
        <v>9789290832782</v>
      </c>
      <c r="C8209" s="8" t="s">
        <v>1820</v>
      </c>
    </row>
    <row r="8210" spans="1:3" x14ac:dyDescent="0.25">
      <c r="A8210" s="8" t="str">
        <f>"EPAC 2008 - Contributions to the Proceedings"</f>
        <v>EPAC 2008 - Contributions to the Proceedings</v>
      </c>
      <c r="B8210" s="8" t="str">
        <f>"9789290833154"</f>
        <v>9789290833154</v>
      </c>
      <c r="C8210" s="8" t="s">
        <v>1820</v>
      </c>
    </row>
    <row r="8211" spans="1:3" x14ac:dyDescent="0.25">
      <c r="A8211" s="8" t="str">
        <f>"EPC-IQ01 2010 - 2010 1st International Conference on Energy, Power and Control"</f>
        <v>EPC-IQ01 2010 - 2010 1st International Conference on Energy, Power and Control</v>
      </c>
      <c r="B8211" s="8" t="str">
        <f>"9780956833006"</f>
        <v>9780956833006</v>
      </c>
      <c r="C8211" s="8" t="s">
        <v>9</v>
      </c>
    </row>
    <row r="8212" spans="1:3" x14ac:dyDescent="0.25">
      <c r="A8212" s="8" t="str">
        <f>"EPDC 2013 - 18th Electric Power Distribution Network Conference"</f>
        <v>EPDC 2013 - 18th Electric Power Distribution Network Conference</v>
      </c>
      <c r="B8212" s="8" t="str">
        <f>"9781479900923"</f>
        <v>9781479900923</v>
      </c>
      <c r="C8212" s="8" t="s">
        <v>9</v>
      </c>
    </row>
    <row r="8213" spans="1:3" x14ac:dyDescent="0.25">
      <c r="A8213" s="8" t="str">
        <f>"EPE 2012 - Proceedings of the 2012 International Conference and Exposition on Electrical and Power Engineering"</f>
        <v>EPE 2012 - Proceedings of the 2012 International Conference and Exposition on Electrical and Power Engineering</v>
      </c>
      <c r="B8213" s="8" t="str">
        <f>"9781467350013"</f>
        <v>9781467350013</v>
      </c>
      <c r="C8213" s="8" t="s">
        <v>9</v>
      </c>
    </row>
    <row r="8214" spans="1:3" x14ac:dyDescent="0.25">
      <c r="A8214" s="8" t="str">
        <f>"EPE 2014 - Proceedings of the 2014 International Conference and Exposition on Electrical and Power Engineering"</f>
        <v>EPE 2014 - Proceedings of the 2014 International Conference and Exposition on Electrical and Power Engineering</v>
      </c>
      <c r="B8214" s="8" t="str">
        <f>"9781479958498"</f>
        <v>9781479958498</v>
      </c>
      <c r="C8214" s="8" t="s">
        <v>105</v>
      </c>
    </row>
    <row r="8215" spans="1:3" x14ac:dyDescent="0.25">
      <c r="A8215" s="8" t="str">
        <f>"EPE Joint Wind Energy and T and D Chapters Seminar"</f>
        <v>EPE Joint Wind Energy and T and D Chapters Seminar</v>
      </c>
      <c r="B8215" s="8" t="str">
        <f>"-"</f>
        <v>-</v>
      </c>
      <c r="C8215" s="8" t="s">
        <v>1821</v>
      </c>
    </row>
    <row r="8216" spans="1:3" x14ac:dyDescent="0.25">
      <c r="A8216" s="8" t="str">
        <f>"EPE Joint Wind Energy and T and D Chapters Seminar"</f>
        <v>EPE Joint Wind Energy and T and D Chapters Seminar</v>
      </c>
      <c r="B8216" s="8" t="str">
        <f>"-"</f>
        <v>-</v>
      </c>
      <c r="C8216" s="8" t="s">
        <v>1821</v>
      </c>
    </row>
    <row r="8217" spans="1:3" x14ac:dyDescent="0.25">
      <c r="A8217" s="8" t="str">
        <f>"EPE Wind Energy Chapter Symposium 2010"</f>
        <v>EPE Wind Energy Chapter Symposium 2010</v>
      </c>
      <c r="B8217" s="8" t="str">
        <f>"-"</f>
        <v>-</v>
      </c>
      <c r="C8217" s="8" t="s">
        <v>1821</v>
      </c>
    </row>
    <row r="8218" spans="1:3" x14ac:dyDescent="0.25">
      <c r="A8218" s="8" t="str">
        <f>"EPE Wind Energy Seminar 2009"</f>
        <v>EPE Wind Energy Seminar 2009</v>
      </c>
      <c r="B8218" s="8" t="str">
        <f>"-"</f>
        <v>-</v>
      </c>
      <c r="C8218" s="8" t="s">
        <v>1821</v>
      </c>
    </row>
    <row r="8219" spans="1:3" x14ac:dyDescent="0.25">
      <c r="A8219" s="8" t="s">
        <v>1822</v>
      </c>
      <c r="B8219" s="8" t="str">
        <f>"9781424481880"</f>
        <v>9781424481880</v>
      </c>
      <c r="C8219" s="8" t="s">
        <v>9</v>
      </c>
    </row>
    <row r="8220" spans="1:3" x14ac:dyDescent="0.25">
      <c r="A8220" s="8" t="str">
        <f>"EPE-PEMC 2006: 12th International Power Electronics and Motion Control Conference, Proceedings"</f>
        <v>EPE-PEMC 2006: 12th International Power Electronics and Motion Control Conference, Proceedings</v>
      </c>
      <c r="B8220" s="8" t="str">
        <f>"9781424401215"</f>
        <v>9781424401215</v>
      </c>
      <c r="C8220" s="8" t="s">
        <v>105</v>
      </c>
    </row>
    <row r="8221" spans="1:3" x14ac:dyDescent="0.25">
      <c r="A8221" s="8" t="str">
        <f>"EPK 2005 - Geschaftsprozessmanagement mit Ereignisgesteuerten Prozessketten, 4th Workshop der Gesellschaft fur Informatik e.V. (GI) und Treffen Ihres Arbeitkreises - Proceedings"</f>
        <v>EPK 2005 - Geschaftsprozessmanagement mit Ereignisgesteuerten Prozessketten, 4th Workshop der Gesellschaft fur Informatik e.V. (GI) und Treffen Ihres Arbeitkreises - Proceedings</v>
      </c>
      <c r="B8221" s="8" t="str">
        <f>"-"</f>
        <v>-</v>
      </c>
      <c r="C8221" s="8" t="s">
        <v>833</v>
      </c>
    </row>
    <row r="8222" spans="1:3" x14ac:dyDescent="0.25">
      <c r="A8222" s="8" t="str">
        <f>"EPK 2006 - Geschaftsprozessmanagement mit Ereignisgesteuerten Prozessketten, 5th Workshop der Gesellschaft fur Informatik e.V. (GI) und Treffen Ihres Arbeitkreises - Proceedings"</f>
        <v>EPK 2006 - Geschaftsprozessmanagement mit Ereignisgesteuerten Prozessketten, 5th Workshop der Gesellschaft fur Informatik e.V. (GI) und Treffen Ihres Arbeitkreises - Proceedings</v>
      </c>
      <c r="B8222" s="8" t="str">
        <f>"-"</f>
        <v>-</v>
      </c>
      <c r="C8222" s="8" t="s">
        <v>833</v>
      </c>
    </row>
    <row r="8223" spans="1:3" x14ac:dyDescent="0.25">
      <c r="A8223" s="8" t="str">
        <f>"EPK 2007 - Geschaftsprozessmanagement mit Ereignisgesteuerten Prozessketten, 6th Workshop der Gesellschaft fur Informatik e.V. (GI) und Treffen Ihres Arbeitkreises - Proceedings"</f>
        <v>EPK 2007 - Geschaftsprozessmanagement mit Ereignisgesteuerten Prozessketten, 6th Workshop der Gesellschaft fur Informatik e.V. (GI) und Treffen Ihres Arbeitkreises - Proceedings</v>
      </c>
      <c r="B8223" s="8" t="str">
        <f>"-"</f>
        <v>-</v>
      </c>
      <c r="C8223" s="8" t="s">
        <v>833</v>
      </c>
    </row>
    <row r="8224" spans="1:3" x14ac:dyDescent="0.25">
      <c r="A8224" s="8" t="str">
        <f>"eProceedings of the 2nd ACM Symposium on Information, Computer and Communications Security, ASIACCS '07"</f>
        <v>eProceedings of the 2nd ACM Symposium on Information, Computer and Communications Security, ASIACCS '07</v>
      </c>
      <c r="B8224" s="8" t="str">
        <f>"9781595935748"</f>
        <v>9781595935748</v>
      </c>
      <c r="C8224" s="8" t="s">
        <v>21</v>
      </c>
    </row>
    <row r="8225" spans="1:3" x14ac:dyDescent="0.25">
      <c r="A8225" s="8" t="str">
        <f>"ERD 2014 - Proceedings of the 1st ACM International Workshop on Entity Recognition and Disambiguation, Co-located with SIGIR 2014"</f>
        <v>ERD 2014 - Proceedings of the 1st ACM International Workshop on Entity Recognition and Disambiguation, Co-located with SIGIR 2014</v>
      </c>
      <c r="B8225" s="8" t="str">
        <f>"9781450330237"</f>
        <v>9781450330237</v>
      </c>
      <c r="C8225" s="8" t="s">
        <v>1235</v>
      </c>
    </row>
    <row r="8226" spans="1:3" x14ac:dyDescent="0.25">
      <c r="A8226" s="8" t="str">
        <f>"Ergonomic Trends from the East - Proceedings of Ergomic Trends from the East"</f>
        <v>Ergonomic Trends from the East - Proceedings of Ergomic Trends from the East</v>
      </c>
      <c r="B8226" s="8" t="str">
        <f>"9780415881784"</f>
        <v>9780415881784</v>
      </c>
      <c r="C8226" s="8" t="s">
        <v>21</v>
      </c>
    </row>
    <row r="8227" spans="1:3" x14ac:dyDescent="0.25">
      <c r="A8227" s="8" t="str">
        <f>"Ergonomics for All: Celebrating PPCOE's 20 Years of Excellence - Selected Papers of the Pan-Pacific Conference on Ergonomics, PPCOE 2010"</f>
        <v>Ergonomics for All: Celebrating PPCOE's 20 Years of Excellence - Selected Papers of the Pan-Pacific Conference on Ergonomics, PPCOE 2010</v>
      </c>
      <c r="B8227" s="8" t="str">
        <f>"9780415586085"</f>
        <v>9780415586085</v>
      </c>
      <c r="C8227" s="8" t="s">
        <v>1637</v>
      </c>
    </row>
    <row r="8228" spans="1:3" x14ac:dyDescent="0.25">
      <c r="A8228" s="8" t="str">
        <f>"Ergonomics in Asia: Development, Opportunities, and Challenges - Selected Papers of the 2nd East Asian Ergonomics Federation Symposium, EAEFS 2011"</f>
        <v>Ergonomics in Asia: Development, Opportunities, and Challenges - Selected Papers of the 2nd East Asian Ergonomics Federation Symposium, EAEFS 2011</v>
      </c>
      <c r="B8228" s="8" t="str">
        <f>"9780415684149"</f>
        <v>9780415684149</v>
      </c>
      <c r="C8228" s="8" t="s">
        <v>1637</v>
      </c>
    </row>
    <row r="8229" spans="1:3" x14ac:dyDescent="0.25">
      <c r="A8229" s="8" t="str">
        <f>"Erlang 2014 - Proceedings of the 2014 ACM SIGPLAN Erlang Workshop"</f>
        <v>Erlang 2014 - Proceedings of the 2014 ACM SIGPLAN Erlang Workshop</v>
      </c>
      <c r="B8229" s="8" t="str">
        <f>"9781450330381"</f>
        <v>9781450330381</v>
      </c>
      <c r="C8229" s="8" t="s">
        <v>1235</v>
      </c>
    </row>
    <row r="8230" spans="1:3" x14ac:dyDescent="0.25">
      <c r="A8230" s="8" t="str">
        <f>"Erlang'05 - Proceedings of the ACM SIGPLAN 2005 Erlang Workshop"</f>
        <v>Erlang'05 - Proceedings of the ACM SIGPLAN 2005 Erlang Workshop</v>
      </c>
      <c r="B8230" s="8" t="str">
        <f>"9781595930668"</f>
        <v>9781595930668</v>
      </c>
      <c r="C8230" s="8" t="s">
        <v>21</v>
      </c>
    </row>
    <row r="8231" spans="1:3" x14ac:dyDescent="0.25">
      <c r="A8231" s="8" t="str">
        <f>"Erlang'06 - Proceedings of the ACM SIGPLAN 2006 Erlang Workshop"</f>
        <v>Erlang'06 - Proceedings of the ACM SIGPLAN 2006 Erlang Workshop</v>
      </c>
      <c r="B8231" s="8" t="str">
        <f>"-"</f>
        <v>-</v>
      </c>
      <c r="C8231" s="8" t="s">
        <v>21</v>
      </c>
    </row>
    <row r="8232" spans="1:3" x14ac:dyDescent="0.25">
      <c r="A8232" s="8" t="str">
        <f>"Erlang'07: Proceedings of the 2007 SIGPLAN Erlang Workshop"</f>
        <v>Erlang'07: Proceedings of the 2007 SIGPLAN Erlang Workshop</v>
      </c>
      <c r="B8232" s="8" t="str">
        <f>"9781595936752"</f>
        <v>9781595936752</v>
      </c>
      <c r="C8232" s="8" t="s">
        <v>21</v>
      </c>
    </row>
    <row r="8233" spans="1:3" x14ac:dyDescent="0.25">
      <c r="A8233" s="8" t="str">
        <f>"Erlang'08: Proceedings of the 2008 SIGPLAN Erlang Workshop"</f>
        <v>Erlang'08: Proceedings of the 2008 SIGPLAN Erlang Workshop</v>
      </c>
      <c r="B8233" s="8" t="str">
        <f>"9781605580654"</f>
        <v>9781605580654</v>
      </c>
      <c r="C8233" s="8" t="s">
        <v>21</v>
      </c>
    </row>
    <row r="8234" spans="1:3" x14ac:dyDescent="0.25">
      <c r="A8234" s="8" t="str">
        <f>"Erlang'09 - Proceedings of the 2009 ACM SIGPLAN Erlang Workshop, Co-located with the International Conference on Functional Programming, ICFP'09"</f>
        <v>Erlang'09 - Proceedings of the 2009 ACM SIGPLAN Erlang Workshop, Co-located with the International Conference on Functional Programming, ICFP'09</v>
      </c>
      <c r="B8234" s="8" t="str">
        <f>"9781605585079"</f>
        <v>9781605585079</v>
      </c>
      <c r="C8234" s="8" t="s">
        <v>21</v>
      </c>
    </row>
    <row r="8235" spans="1:3" x14ac:dyDescent="0.25">
      <c r="A8235" s="8" t="str">
        <f>"Erlang'11 - Proceedings of the 2011 ACM SIGPLAN Erlang Workshop"</f>
        <v>Erlang'11 - Proceedings of the 2011 ACM SIGPLAN Erlang Workshop</v>
      </c>
      <c r="B8235" s="8" t="str">
        <f>"9781450308595"</f>
        <v>9781450308595</v>
      </c>
      <c r="C8235" s="8" t="s">
        <v>21</v>
      </c>
    </row>
    <row r="8236" spans="1:3" x14ac:dyDescent="0.25">
      <c r="A8236" s="8" t="str">
        <f>"Erlang'12 - Proceedings of the ACM SIGPLAN Erlang Workshop"</f>
        <v>Erlang'12 - Proceedings of the ACM SIGPLAN Erlang Workshop</v>
      </c>
      <c r="B8236" s="8" t="str">
        <f>"9781450315753"</f>
        <v>9781450315753</v>
      </c>
      <c r="C8236" s="8" t="s">
        <v>21</v>
      </c>
    </row>
    <row r="8237" spans="1:3" x14ac:dyDescent="0.25">
      <c r="A8237" s="8" t="str">
        <f>"ERM4HCI 2014 - Proceedings of the 2nd ACM International Workshop on Emotion Representations and Modelling in Human-Computer Interaction Systems, Co-located with ICMI 2014"</f>
        <v>ERM4HCI 2014 - Proceedings of the 2nd ACM International Workshop on Emotion Representations and Modelling in Human-Computer Interaction Systems, Co-located with ICMI 2014</v>
      </c>
      <c r="B8237" s="8" t="str">
        <f>"9781450301244"</f>
        <v>9781450301244</v>
      </c>
      <c r="C8237" s="8" t="s">
        <v>1235</v>
      </c>
    </row>
    <row r="8238" spans="1:3" x14ac:dyDescent="0.25">
      <c r="A8238" s="8" t="str">
        <f>"ESA - Workshop on Dust in Planetary Systems"</f>
        <v>ESA - Workshop on Dust in Planetary Systems</v>
      </c>
      <c r="B8238" s="8" t="str">
        <f>"9789290922070"</f>
        <v>9789290922070</v>
      </c>
      <c r="C8238" s="8" t="s">
        <v>1823</v>
      </c>
    </row>
    <row r="8239" spans="1:3" x14ac:dyDescent="0.25">
      <c r="A8239" s="8" t="str">
        <f>"ESANN 2005 Proceedings - 13th European Symposium on Artificial Neural Networks"</f>
        <v>ESANN 2005 Proceedings - 13th European Symposium on Artificial Neural Networks</v>
      </c>
      <c r="B8239" s="8" t="str">
        <f>"9782930307053"</f>
        <v>9782930307053</v>
      </c>
      <c r="C8239" s="8" t="s">
        <v>1824</v>
      </c>
    </row>
    <row r="8240" spans="1:3" x14ac:dyDescent="0.25">
      <c r="A8240" s="8" t="str">
        <f>"ESANN 2007 Proceedings - 15th European Symposium on Artificial Neural Networks"</f>
        <v>ESANN 2007 Proceedings - 15th European Symposium on Artificial Neural Networks</v>
      </c>
      <c r="B8240" s="8" t="str">
        <f>"9782930307091"</f>
        <v>9782930307091</v>
      </c>
      <c r="C8240" s="8" t="s">
        <v>1824</v>
      </c>
    </row>
    <row r="8241" spans="1:3" x14ac:dyDescent="0.25">
      <c r="A8241" s="8" t="str">
        <f>"ESANN 2008 Proceedings, 16th European Symposium on Artificial Neural Networks - Advances in Computational Intelligence and Learning"</f>
        <v>ESANN 2008 Proceedings, 16th European Symposium on Artificial Neural Networks - Advances in Computational Intelligence and Learning</v>
      </c>
      <c r="B8241" s="8" t="str">
        <f>"9782930307084"</f>
        <v>9782930307084</v>
      </c>
      <c r="C8241" s="8" t="s">
        <v>1824</v>
      </c>
    </row>
    <row r="8242" spans="1:3" x14ac:dyDescent="0.25">
      <c r="A8242" s="8" t="str">
        <f>"ESANN 2009 Proceedings, 17th European Symposium on Artificial Neural Networks - Advances in Computational Intelligence and Learning"</f>
        <v>ESANN 2009 Proceedings, 17th European Symposium on Artificial Neural Networks - Advances in Computational Intelligence and Learning</v>
      </c>
      <c r="B8242" s="8" t="str">
        <f>"9782930307091"</f>
        <v>9782930307091</v>
      </c>
      <c r="C8242" s="8" t="s">
        <v>1824</v>
      </c>
    </row>
    <row r="8243" spans="1:3" x14ac:dyDescent="0.25">
      <c r="A8243" s="8" t="str">
        <f>"ESANN 2011 proceedings, 19th European Symposium on Artificial Neural Networks, Computational Intelligence and Machine Learning"</f>
        <v>ESANN 2011 proceedings, 19th European Symposium on Artificial Neural Networks, Computational Intelligence and Machine Learning</v>
      </c>
      <c r="B8243" s="8" t="str">
        <f>"9782874190445"</f>
        <v>9782874190445</v>
      </c>
      <c r="C8243" s="8" t="s">
        <v>1825</v>
      </c>
    </row>
    <row r="8244" spans="1:3" x14ac:dyDescent="0.25">
      <c r="A8244" s="8" t="str">
        <f>"ESANN 2012 proceedings, 20th European Symposium on Artificial Neural Networks, Computational Intelligence and Machine Learning"</f>
        <v>ESANN 2012 proceedings, 20th European Symposium on Artificial Neural Networks, Computational Intelligence and Machine Learning</v>
      </c>
      <c r="B8244" s="8" t="str">
        <f>"9782874190490"</f>
        <v>9782874190490</v>
      </c>
      <c r="C8244" s="8" t="s">
        <v>1825</v>
      </c>
    </row>
    <row r="8245" spans="1:3" x14ac:dyDescent="0.25">
      <c r="A8245" s="8" t="str">
        <f>"ESANN 2013 proceedings, 21st European Symposium on Artificial Neural Networks, Computational Intelligence and Machine Learning"</f>
        <v>ESANN 2013 proceedings, 21st European Symposium on Artificial Neural Networks, Computational Intelligence and Machine Learning</v>
      </c>
      <c r="B8245" s="8" t="str">
        <f>"9782874190810"</f>
        <v>9782874190810</v>
      </c>
      <c r="C8245" s="8" t="s">
        <v>1825</v>
      </c>
    </row>
    <row r="8246" spans="1:3" x14ac:dyDescent="0.25">
      <c r="A8246" s="8" t="str">
        <f>"ESB 2005 - 19th European Conference on Biomaterials, Including the 4th Young Scientists Forum"</f>
        <v>ESB 2005 - 19th European Conference on Biomaterials, Including the 4th Young Scientists Forum</v>
      </c>
      <c r="B8246" s="8" t="str">
        <f>"-"</f>
        <v>-</v>
      </c>
      <c r="C8246" s="8" t="s">
        <v>1415</v>
      </c>
    </row>
    <row r="8247" spans="1:3" x14ac:dyDescent="0.25">
      <c r="A8247" s="8" t="str">
        <f>"e-Science 2006 - Second IEEE International Conference on e-Science and Grid Computing"</f>
        <v>e-Science 2006 - Second IEEE International Conference on e-Science and Grid Computing</v>
      </c>
      <c r="B8247" s="8" t="str">
        <f>"9780769527345"</f>
        <v>9780769527345</v>
      </c>
      <c r="C8247" s="8" t="s">
        <v>9</v>
      </c>
    </row>
    <row r="8248" spans="1:3" x14ac:dyDescent="0.25">
      <c r="A8248" s="8" t="str">
        <f>"e-Science 2009 - 5th IEEE International Conference on e-Science"</f>
        <v>e-Science 2009 - 5th IEEE International Conference on e-Science</v>
      </c>
      <c r="B8248" s="8" t="str">
        <f>"9780769538778"</f>
        <v>9780769538778</v>
      </c>
      <c r="C8248" s="8" t="s">
        <v>9</v>
      </c>
    </row>
    <row r="8249" spans="1:3" x14ac:dyDescent="0.25">
      <c r="A8249" s="8" t="str">
        <f>"e-science 2009 - Proceedings of the 2009 5th IEEE International Conference on e-Science Workshops"</f>
        <v>e-science 2009 - Proceedings of the 2009 5th IEEE International Conference on e-Science Workshops</v>
      </c>
      <c r="B8249" s="8" t="str">
        <f>"9781424459452"</f>
        <v>9781424459452</v>
      </c>
      <c r="C8249" s="8" t="s">
        <v>9</v>
      </c>
    </row>
    <row r="8250" spans="1:3" x14ac:dyDescent="0.25">
      <c r="A8250" s="8" t="str">
        <f>"ESEC/FSE 2007: 6th Joint Meeting - Sixth International Workshop on Specification and Verification of Component-Based Systems, SAVCBS 2007"</f>
        <v>ESEC/FSE 2007: 6th Joint Meeting - Sixth International Workshop on Specification and Verification of Component-Based Systems, SAVCBS 2007</v>
      </c>
      <c r="B8250" s="8" t="str">
        <f>"9781595937216"</f>
        <v>9781595937216</v>
      </c>
      <c r="C8250" s="8" t="s">
        <v>21</v>
      </c>
    </row>
    <row r="8251" spans="1:3" x14ac:dyDescent="0.25">
      <c r="A8251" s="8" t="str">
        <f>"ESEC/FSE Doctoral Symposium'09 - Proceedings of the Doctoral Symposium for ESEC/FSE"</f>
        <v>ESEC/FSE Doctoral Symposium'09 - Proceedings of the Doctoral Symposium for ESEC/FSE</v>
      </c>
      <c r="B8251" s="8" t="str">
        <f>"9781605587318"</f>
        <v>9781605587318</v>
      </c>
      <c r="C8251" s="8" t="s">
        <v>21</v>
      </c>
    </row>
    <row r="8252" spans="1:3" x14ac:dyDescent="0.25">
      <c r="A8252" s="8" t="str">
        <f>"ESEC/FSE'05 - Proceedings of the Joint 10th European Software Engineering Conference (ESEC) and 13th ACM SIGSOFT Symposium on the Foundations of Software Engineering (FSE-13)"</f>
        <v>ESEC/FSE'05 - Proceedings of the Joint 10th European Software Engineering Conference (ESEC) and 13th ACM SIGSOFT Symposium on the Foundations of Software Engineering (FSE-13)</v>
      </c>
      <c r="B8252" s="8" t="str">
        <f>"9781595930149"</f>
        <v>9781595930149</v>
      </c>
      <c r="C8252" s="8" t="s">
        <v>21</v>
      </c>
    </row>
    <row r="8253" spans="1:3" x14ac:dyDescent="0.25">
      <c r="A8253" s="8" t="str">
        <f>"ESEC/FSE'07: 6th Joint Meeting of the European Software Engineering Conference and the ACM SIGSOFT Symposium on the Foundations of Software Engineering - Companion Papers"</f>
        <v>ESEC/FSE'07: 6th Joint Meeting of the European Software Engineering Conference and the ACM SIGSOFT Symposium on the Foundations of Software Engineering - Companion Papers</v>
      </c>
      <c r="B8253" s="8" t="str">
        <f>"9781595938121"</f>
        <v>9781595938121</v>
      </c>
      <c r="C8253" s="8" t="s">
        <v>21</v>
      </c>
    </row>
    <row r="8254" spans="1:3" x14ac:dyDescent="0.25">
      <c r="A8254" s="8" t="str">
        <f>"ESEC-FSE'09 - Proceedings of the Joint 12th European Software Engineering Conference and 17th ACM SIGSOFT Symposium on the Foundations of Software Engineering"</f>
        <v>ESEC-FSE'09 - Proceedings of the Joint 12th European Software Engineering Conference and 17th ACM SIGSOFT Symposium on the Foundations of Software Engineering</v>
      </c>
      <c r="B8254" s="8" t="str">
        <f>"9781605580012"</f>
        <v>9781605580012</v>
      </c>
      <c r="C8254" s="8" t="s">
        <v>21</v>
      </c>
    </row>
    <row r="8255" spans="1:3" x14ac:dyDescent="0.25">
      <c r="A8255" s="8" t="str">
        <f>"ESEM 2010 - Proceedings of the 2010 ACM-IEEE International Symposium on Empirical Software Engineering and Measurement"</f>
        <v>ESEM 2010 - Proceedings of the 2010 ACM-IEEE International Symposium on Empirical Software Engineering and Measurement</v>
      </c>
      <c r="B8255" s="8" t="str">
        <f>"9781450300391"</f>
        <v>9781450300391</v>
      </c>
      <c r="C8255" s="8" t="s">
        <v>21</v>
      </c>
    </row>
    <row r="8256" spans="1:3" x14ac:dyDescent="0.25">
      <c r="A8256" s="8" t="str">
        <f>"ESEM'08: Proceedings of the 2008 ACM-IEEE International Symposium on Empirical Software Engineering and Measurement"</f>
        <v>ESEM'08: Proceedings of the 2008 ACM-IEEE International Symposium on Empirical Software Engineering and Measurement</v>
      </c>
      <c r="B8256" s="8" t="str">
        <f>"9781595939715"</f>
        <v>9781595939715</v>
      </c>
      <c r="C8256" s="8" t="s">
        <v>21</v>
      </c>
    </row>
    <row r="8257" spans="1:3" x14ac:dyDescent="0.25">
      <c r="A8257" s="8" t="str">
        <f>"ESM 2006 - 2006 European Simulation and Modelling Conference: Modelling and Simulation 2006"</f>
        <v>ESM 2006 - 2006 European Simulation and Modelling Conference: Modelling and Simulation 2006</v>
      </c>
      <c r="B8257" s="8" t="str">
        <f>"9789077381304"</f>
        <v>9789077381304</v>
      </c>
      <c r="C8257" s="8" t="s">
        <v>1206</v>
      </c>
    </row>
    <row r="8258" spans="1:3" x14ac:dyDescent="0.25">
      <c r="A8258" s="8" t="str">
        <f>"ESM 2007 - 2007 European Simulation and Modelling Conference: Modelling and Simulation 2007"</f>
        <v>ESM 2007 - 2007 European Simulation and Modelling Conference: Modelling and Simulation 2007</v>
      </c>
      <c r="B8258" s="8" t="str">
        <f>"9789077381366"</f>
        <v>9789077381366</v>
      </c>
      <c r="C8258" s="8" t="s">
        <v>1206</v>
      </c>
    </row>
    <row r="8259" spans="1:3" x14ac:dyDescent="0.25">
      <c r="A8259" s="8" t="str">
        <f>"ESM 2008 - 2008 European Simulation and Modelling Conference: Modelling and Simulation 2008"</f>
        <v>ESM 2008 - 2008 European Simulation and Modelling Conference: Modelling and Simulation 2008</v>
      </c>
      <c r="B8259" s="8" t="str">
        <f>"9789077381441"</f>
        <v>9789077381441</v>
      </c>
      <c r="C8259" s="8" t="s">
        <v>1206</v>
      </c>
    </row>
    <row r="8260" spans="1:3" x14ac:dyDescent="0.25">
      <c r="A8260" s="8" t="str">
        <f>"ESM 2009 - 2009 European Simulation and Modelling Conference: Modelling and Simulation 2009"</f>
        <v>ESM 2009 - 2009 European Simulation and Modelling Conference: Modelling and Simulation 2009</v>
      </c>
      <c r="B8260" s="8" t="str">
        <f>"9789077381526"</f>
        <v>9789077381526</v>
      </c>
      <c r="C8260" s="8" t="s">
        <v>1206</v>
      </c>
    </row>
    <row r="8261" spans="1:3" x14ac:dyDescent="0.25">
      <c r="A8261" s="8" t="str">
        <f>"ESM 2010 - 2010 European Simulation and Modelling Conference"</f>
        <v>ESM 2010 - 2010 European Simulation and Modelling Conference</v>
      </c>
      <c r="B8261" s="8" t="str">
        <f>"9789077381571"</f>
        <v>9789077381571</v>
      </c>
      <c r="C8261" s="8" t="s">
        <v>1206</v>
      </c>
    </row>
    <row r="8262" spans="1:3" x14ac:dyDescent="0.25">
      <c r="A8262" s="8" t="str">
        <f>"ESM 2011 - 2011 European Simulation and Modelling Conference: Modelling and Simulation 2011"</f>
        <v>ESM 2011 - 2011 European Simulation and Modelling Conference: Modelling and Simulation 2011</v>
      </c>
      <c r="B8262" s="8" t="str">
        <f>"9789077381663"</f>
        <v>9789077381663</v>
      </c>
      <c r="C8262" s="8" t="s">
        <v>1206</v>
      </c>
    </row>
    <row r="8263" spans="1:3" x14ac:dyDescent="0.25">
      <c r="A8263" s="8" t="str">
        <f>"ESM 2012 - 2012 European Simulation and Modelling Conference: Modelling and Simulation 2012"</f>
        <v>ESM 2012 - 2012 European Simulation and Modelling Conference: Modelling and Simulation 2012</v>
      </c>
      <c r="B8263" s="8" t="str">
        <f>"9789077381731"</f>
        <v>9789077381731</v>
      </c>
      <c r="C8263" s="8" t="s">
        <v>1206</v>
      </c>
    </row>
    <row r="8264" spans="1:3" x14ac:dyDescent="0.25">
      <c r="A8264" s="8" t="str">
        <f>"ESSCIRC 2004 - Proceedings of the 30th European Solid-State Circuits Conference"</f>
        <v>ESSCIRC 2004 - Proceedings of the 30th European Solid-State Circuits Conference</v>
      </c>
      <c r="B8264" s="8" t="str">
        <f>"9780780384804"</f>
        <v>9780780384804</v>
      </c>
      <c r="C8264" s="8" t="s">
        <v>105</v>
      </c>
    </row>
    <row r="8265" spans="1:3" x14ac:dyDescent="0.25">
      <c r="A8265" s="8" t="str">
        <f>"ESSCIRC 2004 - Proceedings of the 34th European Solid-State Device Research Conference"</f>
        <v>ESSCIRC 2004 - Proceedings of the 34th European Solid-State Device Research Conference</v>
      </c>
      <c r="B8265" s="8" t="str">
        <f>"9780780384781"</f>
        <v>9780780384781</v>
      </c>
      <c r="C8265" s="8" t="s">
        <v>105</v>
      </c>
    </row>
    <row r="8266" spans="1:3" x14ac:dyDescent="0.25">
      <c r="A8266" s="8" t="str">
        <f>"ESSCIRC 2006 - Proceedings of the 32nd European Solid-State Circuits Conference"</f>
        <v>ESSCIRC 2006 - Proceedings of the 32nd European Solid-State Circuits Conference</v>
      </c>
      <c r="B8266" s="8" t="str">
        <f>"9781424403028"</f>
        <v>9781424403028</v>
      </c>
      <c r="C8266" s="8" t="s">
        <v>9</v>
      </c>
    </row>
    <row r="8267" spans="1:3" x14ac:dyDescent="0.25">
      <c r="A8267" s="8" t="str">
        <f>"ESSCIRC 2007 - Proceedings of the 33rd European Solid-State Circuits Conference"</f>
        <v>ESSCIRC 2007 - Proceedings of the 33rd European Solid-State Circuits Conference</v>
      </c>
      <c r="B8267" s="8" t="str">
        <f>"9781424411252"</f>
        <v>9781424411252</v>
      </c>
      <c r="C8267" s="8" t="s">
        <v>105</v>
      </c>
    </row>
    <row r="8268" spans="1:3" x14ac:dyDescent="0.25">
      <c r="A8268" s="8" t="str">
        <f>"ESSCIRC 2008 - Proceedings of the 34th European Solid-State Circuits Conference"</f>
        <v>ESSCIRC 2008 - Proceedings of the 34th European Solid-State Circuits Conference</v>
      </c>
      <c r="B8268" s="8" t="str">
        <f>"9781424423620"</f>
        <v>9781424423620</v>
      </c>
      <c r="C8268" s="8" t="s">
        <v>9</v>
      </c>
    </row>
    <row r="8269" spans="1:3" x14ac:dyDescent="0.25">
      <c r="A8269" s="8" t="str">
        <f>"ESSCIRC 2009 - Proceedings of the 35th European Solid-State Circuits Conference"</f>
        <v>ESSCIRC 2009 - Proceedings of the 35th European Solid-State Circuits Conference</v>
      </c>
      <c r="B8269" s="8" t="str">
        <f>"9781424443536"</f>
        <v>9781424443536</v>
      </c>
      <c r="C8269" s="8" t="s">
        <v>9</v>
      </c>
    </row>
    <row r="8270" spans="1:3" x14ac:dyDescent="0.25">
      <c r="A8270" s="8" t="str">
        <f>"ESSCIRC 2010 - 36th European Solid State Circuits Conference"</f>
        <v>ESSCIRC 2010 - 36th European Solid State Circuits Conference</v>
      </c>
      <c r="B8270" s="8" t="str">
        <f>"9781424466641"</f>
        <v>9781424466641</v>
      </c>
      <c r="C8270" s="8" t="s">
        <v>9</v>
      </c>
    </row>
    <row r="8271" spans="1:3" x14ac:dyDescent="0.25">
      <c r="A8271" s="8" t="str">
        <f>"ESSDERC 2006 - Proceedings of the 36th European Solid-State Device Research Conference"</f>
        <v>ESSDERC 2006 - Proceedings of the 36th European Solid-State Device Research Conference</v>
      </c>
      <c r="B8271" s="8" t="str">
        <f>"9781424403011"</f>
        <v>9781424403011</v>
      </c>
      <c r="C8271" s="8" t="s">
        <v>9</v>
      </c>
    </row>
    <row r="8272" spans="1:3" x14ac:dyDescent="0.25">
      <c r="A8272" s="8" t="str">
        <f>"ESSDERC 2007 - Proceedings of the 37th European Solid-State Device Research Conference"</f>
        <v>ESSDERC 2007 - Proceedings of the 37th European Solid-State Device Research Conference</v>
      </c>
      <c r="B8272" s="8" t="str">
        <f>"9781424411238"</f>
        <v>9781424411238</v>
      </c>
      <c r="C8272" s="8" t="s">
        <v>9</v>
      </c>
    </row>
    <row r="8273" spans="1:3" x14ac:dyDescent="0.25">
      <c r="A8273" s="8" t="str">
        <f>"ESSDERC 2008 - Proceedings of the 38th European Solid-State Device Research Conference"</f>
        <v>ESSDERC 2008 - Proceedings of the 38th European Solid-State Device Research Conference</v>
      </c>
      <c r="B8273" s="8" t="str">
        <f>"9781424423644"</f>
        <v>9781424423644</v>
      </c>
      <c r="C8273" s="8" t="s">
        <v>9</v>
      </c>
    </row>
    <row r="8274" spans="1:3" x14ac:dyDescent="0.25">
      <c r="A8274" s="8" t="str">
        <f>"ESSDERC 2009 - Proceedings of the 39th European Solid-State Device Research Conference"</f>
        <v>ESSDERC 2009 - Proceedings of the 39th European Solid-State Device Research Conference</v>
      </c>
      <c r="B8274" s="8" t="str">
        <f>"9781424443536"</f>
        <v>9781424443536</v>
      </c>
      <c r="C8274" s="8" t="s">
        <v>9</v>
      </c>
    </row>
    <row r="8275" spans="1:3" x14ac:dyDescent="0.25">
      <c r="A8275" s="8" t="str">
        <f>"Essential Technologies for Successful Prognostics - Proceedings of the 59th Meeting of the Society for Machinery Failure Prevention Technology"</f>
        <v>Essential Technologies for Successful Prognostics - Proceedings of the 59th Meeting of the Society for Machinery Failure Prevention Technology</v>
      </c>
      <c r="B8275" s="8" t="str">
        <f>"-"</f>
        <v>-</v>
      </c>
      <c r="C8275" s="8" t="s">
        <v>1826</v>
      </c>
    </row>
    <row r="8276" spans="1:3" x14ac:dyDescent="0.25">
      <c r="A8276" s="8" t="str">
        <f>"ESSPE '07 - International Workshop on Engineering of Software Services for Pervasive Environments - In conjunction with the 6th ESEC/FSE Joint Meeting"</f>
        <v>ESSPE '07 - International Workshop on Engineering of Software Services for Pervasive Environments - In conjunction with the 6th ESEC/FSE Joint Meeting</v>
      </c>
      <c r="B8276" s="8" t="str">
        <f>"9781595937988"</f>
        <v>9781595937988</v>
      </c>
      <c r="C8276" s="8" t="s">
        <v>21</v>
      </c>
    </row>
    <row r="8277" spans="1:3" x14ac:dyDescent="0.25">
      <c r="A8277" s="8" t="str">
        <f>"ESTC 2006 - 1st Electronics Systemintegration Technology Conference"</f>
        <v>ESTC 2006 - 1st Electronics Systemintegration Technology Conference</v>
      </c>
      <c r="B8277" s="8" t="str">
        <f>"9781424405527"</f>
        <v>9781424405527</v>
      </c>
      <c r="C8277" s="8" t="s">
        <v>105</v>
      </c>
    </row>
    <row r="8278" spans="1:3" x14ac:dyDescent="0.25">
      <c r="A8278" s="8" t="str">
        <f>"ESTC 2014 - 5th Electronics System-Integration Technology Conference"</f>
        <v>ESTC 2014 - 5th Electronics System-Integration Technology Conference</v>
      </c>
      <c r="B8278" s="8" t="str">
        <f>"9781479940264"</f>
        <v>9781479940264</v>
      </c>
      <c r="C8278" s="8" t="s">
        <v>105</v>
      </c>
    </row>
    <row r="8279" spans="1:3" x14ac:dyDescent="0.25">
      <c r="A8279" s="8" t="str">
        <f>"ESTECH 2003: 49th Annual Technical Meeting and Exposition of the Institute of Environmental Science and Technology. Proceedings Constamination Control Design, Test, and Evaluation Product Reliability"</f>
        <v>ESTECH 2003: 49th Annual Technical Meeting and Exposition of the Institute of Environmental Science and Technology. Proceedings Constamination Control Design, Test, and Evaluation Product Reliability</v>
      </c>
      <c r="B8279" s="8" t="str">
        <f>"-"</f>
        <v>-</v>
      </c>
      <c r="C8279" s="8" t="s">
        <v>784</v>
      </c>
    </row>
    <row r="8280" spans="1:3" x14ac:dyDescent="0.25">
      <c r="A8280" s="8" t="str">
        <f>"ESTIMedia 2013 - 11th IEEE Symposium on Embedded Systems for Real-Time Multimedia"</f>
        <v>ESTIMedia 2013 - 11th IEEE Symposium on Embedded Systems for Real-Time Multimedia</v>
      </c>
      <c r="B8280" s="8" t="str">
        <f>"9781479912831"</f>
        <v>9781479912831</v>
      </c>
      <c r="C8280" s="8" t="s">
        <v>9</v>
      </c>
    </row>
    <row r="8281" spans="1:3" x14ac:dyDescent="0.25">
      <c r="A8281" s="8" t="str">
        <f>"Estuarine and Coastal Modeling: Proceedings of the Seventh International Conference"</f>
        <v>Estuarine and Coastal Modeling: Proceedings of the Seventh International Conference</v>
      </c>
      <c r="B8281" s="8" t="str">
        <f>"9780784406281"</f>
        <v>9780784406281</v>
      </c>
      <c r="C8281" s="8" t="s">
        <v>111</v>
      </c>
    </row>
    <row r="8282" spans="1:3" x14ac:dyDescent="0.25">
      <c r="A8282" s="8" t="str">
        <f>"ETC 2005 - 6th Conference on Turbomachinery: Fluid Dynamics and Thermodynamics"</f>
        <v>ETC 2005 - 6th Conference on Turbomachinery: Fluid Dynamics and Thermodynamics</v>
      </c>
      <c r="B8282" s="8" t="str">
        <f>"-"</f>
        <v>-</v>
      </c>
      <c r="C8282" s="8" t="s">
        <v>1226</v>
      </c>
    </row>
    <row r="8283" spans="1:3" x14ac:dyDescent="0.25">
      <c r="A8283" s="8" t="str">
        <f>"E-Tech 2004: An International Multi-Topic Conference"</f>
        <v>E-Tech 2004: An International Multi-Topic Conference</v>
      </c>
      <c r="B8283" s="8" t="str">
        <f>"9780780386556"</f>
        <v>9780780386556</v>
      </c>
      <c r="C8283" s="8" t="s">
        <v>105</v>
      </c>
    </row>
    <row r="8284" spans="1:3" x14ac:dyDescent="0.25">
      <c r="A8284" s="8" t="str">
        <f>"ETFA 2009 - 2009 IEEE Conference on Emerging Technologies and Factory Automation"</f>
        <v>ETFA 2009 - 2009 IEEE Conference on Emerging Technologies and Factory Automation</v>
      </c>
      <c r="B8284" s="8" t="str">
        <f>"9781424427284"</f>
        <v>9781424427284</v>
      </c>
      <c r="C8284" s="8" t="s">
        <v>9</v>
      </c>
    </row>
    <row r="8285" spans="1:3" x14ac:dyDescent="0.25">
      <c r="A8285" s="8" t="str">
        <f>"ETT 2009 - 2009 2nd International Conference on Education Technology and Training"</f>
        <v>ETT 2009 - 2009 2nd International Conference on Education Technology and Training</v>
      </c>
      <c r="B8285" s="8" t="str">
        <f>"9780769539362"</f>
        <v>9780769539362</v>
      </c>
      <c r="C8285" s="8" t="s">
        <v>9</v>
      </c>
    </row>
    <row r="8286" spans="1:3" x14ac:dyDescent="0.25">
      <c r="A8286" s="8" t="str">
        <f>"ETW'05 - 7th IEEE Emerging Technologies Workshop: Circuits and Systems for 4G Mobile Communications 2005 - Proceedings"</f>
        <v>ETW'05 - 7th IEEE Emerging Technologies Workshop: Circuits and Systems for 4G Mobile Communications 2005 - Proceedings</v>
      </c>
      <c r="B8286" s="8" t="str">
        <f>"-"</f>
        <v>-</v>
      </c>
      <c r="C8286" s="8" t="s">
        <v>9</v>
      </c>
    </row>
    <row r="8287" spans="1:3" x14ac:dyDescent="0.25">
      <c r="A8287" s="8" t="str">
        <f>"ETX 2014 - Proceedings of the 2014 ACM SIGPLAN Workshop on Eclipse Technology eXchange, Part of SPLASH 2014"</f>
        <v>ETX 2014 - Proceedings of the 2014 ACM SIGPLAN Workshop on Eclipse Technology eXchange, Part of SPLASH 2014</v>
      </c>
      <c r="B8287" s="8" t="str">
        <f>"9781450325301"</f>
        <v>9781450325301</v>
      </c>
      <c r="C8287" s="8" t="s">
        <v>1235</v>
      </c>
    </row>
    <row r="8288" spans="1:3" x14ac:dyDescent="0.25">
      <c r="A8288" s="8" t="str">
        <f>"EuCAP 2010 - The 4th European Conference on Antennas and Propagation"</f>
        <v>EuCAP 2010 - The 4th European Conference on Antennas and Propagation</v>
      </c>
      <c r="B8288" s="8" t="str">
        <f>"9788476534724"</f>
        <v>9788476534724</v>
      </c>
      <c r="C8288" s="8" t="s">
        <v>9</v>
      </c>
    </row>
    <row r="8289" spans="1:3" x14ac:dyDescent="0.25">
      <c r="A8289" s="8" t="str">
        <f>"EuCARD-AccNet-EuroLumi Workshop: The High-Energy Large Hadron Collider, HE-LHC 2010 - Proceedings"</f>
        <v>EuCARD-AccNet-EuroLumi Workshop: The High-Energy Large Hadron Collider, HE-LHC 2010 - Proceedings</v>
      </c>
      <c r="B8289" s="8" t="str">
        <f>"9789290833604"</f>
        <v>9789290833604</v>
      </c>
      <c r="C8289" s="8" t="s">
        <v>259</v>
      </c>
    </row>
    <row r="8290" spans="1:3" x14ac:dyDescent="0.25">
      <c r="A8290" s="8" t="str">
        <f>"EuCoMeS 2006 - 1st European Conference on Mechanism Science, Conference Proceedings"</f>
        <v>EuCoMeS 2006 - 1st European Conference on Mechanism Science, Conference Proceedings</v>
      </c>
      <c r="B8290" s="8" t="str">
        <f>"-"</f>
        <v>-</v>
      </c>
      <c r="C8290" s="8" t="s">
        <v>1827</v>
      </c>
    </row>
    <row r="8291" spans="1:3" x14ac:dyDescent="0.25">
      <c r="A8291" s="8" t="str">
        <f>"EURAD 2005 Conference Proceedings - 2nd European Radar Conference"</f>
        <v>EURAD 2005 Conference Proceedings - 2nd European Radar Conference</v>
      </c>
      <c r="B8291" s="8" t="str">
        <f>"-"</f>
        <v>-</v>
      </c>
      <c r="C8291" s="8" t="s">
        <v>9</v>
      </c>
    </row>
    <row r="8292" spans="1:3" x14ac:dyDescent="0.25">
      <c r="A8292" s="8" t="str">
        <f>"EURASIA Nonwovens Symposium 2012"</f>
        <v>EURASIA Nonwovens Symposium 2012</v>
      </c>
      <c r="B8292" s="8" t="str">
        <f>"9782930159775"</f>
        <v>9782930159775</v>
      </c>
      <c r="C8292" s="8" t="s">
        <v>1801</v>
      </c>
    </row>
    <row r="8293" spans="1:3" x14ac:dyDescent="0.25">
      <c r="A8293" s="8" t="str">
        <f>"Euro American Conference on Telematics and Information Systems - Proceedings of the 2007 Euro American Conference on Telematics and Information Systems, EATIS 2007"</f>
        <v>Euro American Conference on Telematics and Information Systems - Proceedings of the 2007 Euro American Conference on Telematics and Information Systems, EATIS 2007</v>
      </c>
      <c r="B8293" s="8" t="str">
        <f>"9781595935984"</f>
        <v>9781595935984</v>
      </c>
      <c r="C8293" s="8" t="s">
        <v>21</v>
      </c>
    </row>
    <row r="8294" spans="1:3" x14ac:dyDescent="0.25">
      <c r="A8294" s="8" t="str">
        <f>"EUROCON 2001 - International Conference on Trends in Communications, Proceedings"</f>
        <v>EUROCON 2001 - International Conference on Trends in Communications, Proceedings</v>
      </c>
      <c r="B8294" s="8" t="str">
        <f>"9780780364905"</f>
        <v>9780780364905</v>
      </c>
      <c r="C8294" s="8" t="s">
        <v>105</v>
      </c>
    </row>
    <row r="8295" spans="1:3" x14ac:dyDescent="0.25">
      <c r="A8295" s="8" t="str">
        <f>"EUROCON 2005 - The International Conference on Computer as a Tool"</f>
        <v>EUROCON 2005 - The International Conference on Computer as a Tool</v>
      </c>
      <c r="B8295" s="8" t="str">
        <f>"-"</f>
        <v>-</v>
      </c>
      <c r="C8295" s="8" t="s">
        <v>9</v>
      </c>
    </row>
    <row r="8296" spans="1:3" x14ac:dyDescent="0.25">
      <c r="A8296" s="8" t="str">
        <f>"EUROCON 2007 - The International Conference on Computer as a Tool"</f>
        <v>EUROCON 2007 - The International Conference on Computer as a Tool</v>
      </c>
      <c r="B8296" s="8" t="str">
        <f>"9781424408139"</f>
        <v>9781424408139</v>
      </c>
      <c r="C8296" s="8" t="s">
        <v>9</v>
      </c>
    </row>
    <row r="8297" spans="1:3" x14ac:dyDescent="0.25">
      <c r="A8297" s="8" t="str">
        <f>"EUROCON 2011 - International Conference on Computer as a Tool - Joint with Conftele 2011"</f>
        <v>EUROCON 2011 - International Conference on Computer as a Tool - Joint with Conftele 2011</v>
      </c>
      <c r="B8297" s="8" t="str">
        <f>"9781424474868"</f>
        <v>9781424474868</v>
      </c>
      <c r="C8297" s="8" t="s">
        <v>9</v>
      </c>
    </row>
    <row r="8298" spans="1:3" x14ac:dyDescent="0.25">
      <c r="A8298" s="8" t="str">
        <f>"EUROCORR 2004 - European Corrosion Conference: Long Term Prediction and Modelling of Corrosion"</f>
        <v>EUROCORR 2004 - European Corrosion Conference: Long Term Prediction and Modelling of Corrosion</v>
      </c>
      <c r="B8298" s="8" t="str">
        <f>"-"</f>
        <v>-</v>
      </c>
      <c r="C8298" s="8" t="s">
        <v>1828</v>
      </c>
    </row>
    <row r="8299" spans="1:3" x14ac:dyDescent="0.25">
      <c r="A8299" s="8" t="str">
        <f>"EUROCORR 2005: European Corrosion Congress, Proceedings"</f>
        <v>EUROCORR 2005: European Corrosion Congress, Proceedings</v>
      </c>
      <c r="B8299" s="8" t="str">
        <f>"-"</f>
        <v>-</v>
      </c>
    </row>
    <row r="8300" spans="1:3" x14ac:dyDescent="0.25">
      <c r="A8300" s="8" t="str">
        <f>"EUROCORR 2007 - The European Corrosion Congress: Progress by Corrosion Control, Books of Abstracts"</f>
        <v>EUROCORR 2007 - The European Corrosion Congress: Progress by Corrosion Control, Books of Abstracts</v>
      </c>
      <c r="B8300" s="8" t="str">
        <f>"-"</f>
        <v>-</v>
      </c>
      <c r="C8300" s="8" t="s">
        <v>1266</v>
      </c>
    </row>
    <row r="8301" spans="1:3" x14ac:dyDescent="0.25">
      <c r="A8301" s="8" t="str">
        <f>"EUROCORR 2008 - The European Corrosion Congress: Managing Corrosion for Sustainability, Books of Abstracts"</f>
        <v>EUROCORR 2008 - The European Corrosion Congress: Managing Corrosion for Sustainability, Books of Abstracts</v>
      </c>
      <c r="B8301" s="8" t="str">
        <f>"-"</f>
        <v>-</v>
      </c>
    </row>
    <row r="8302" spans="1:3" x14ac:dyDescent="0.25">
      <c r="A8302" s="8" t="str">
        <f>"Eurographics Italian Chapter Conference 2010"</f>
        <v>Eurographics Italian Chapter Conference 2010</v>
      </c>
      <c r="B8302" s="8" t="str">
        <f>"9783905673807"</f>
        <v>9783905673807</v>
      </c>
      <c r="C8302" s="8" t="s">
        <v>23</v>
      </c>
    </row>
    <row r="8303" spans="1:3" x14ac:dyDescent="0.25">
      <c r="A8303" s="8" t="str">
        <f>"Eurographics Italian Chapter Conference 2011"</f>
        <v>Eurographics Italian Chapter Conference 2011</v>
      </c>
      <c r="B8303" s="8" t="str">
        <f>"9783905673883"</f>
        <v>9783905673883</v>
      </c>
      <c r="C8303" s="8" t="s">
        <v>23</v>
      </c>
    </row>
    <row r="8304" spans="1:3" x14ac:dyDescent="0.25">
      <c r="A8304" s="8" t="str">
        <f>"Eurographics Workshop on Parallel Graphics and Visualization"</f>
        <v>Eurographics Workshop on Parallel Graphics and Visualization</v>
      </c>
      <c r="B8304" s="8" t="str">
        <f>"9781581135794"</f>
        <v>9781581135794</v>
      </c>
      <c r="C8304" s="8" t="s">
        <v>21</v>
      </c>
    </row>
    <row r="8305" spans="1:3" x14ac:dyDescent="0.25">
      <c r="A8305" s="8" t="str">
        <f>"Eurographics Workshop on Rendering"</f>
        <v>Eurographics Workshop on Rendering</v>
      </c>
      <c r="B8305" s="8" t="str">
        <f>"9781581135343"</f>
        <v>9781581135343</v>
      </c>
      <c r="C8305" s="8" t="s">
        <v>21</v>
      </c>
    </row>
    <row r="8306" spans="1:3" x14ac:dyDescent="0.25">
      <c r="A8306" s="8" t="str">
        <f>"EuroITV'09 - Proceedings of the 7th European Conference on European Interactive Television Conference"</f>
        <v>EuroITV'09 - Proceedings of the 7th European Conference on European Interactive Television Conference</v>
      </c>
      <c r="B8306" s="8" t="str">
        <f>"9781605583402"</f>
        <v>9781605583402</v>
      </c>
      <c r="C8306" s="8" t="s">
        <v>21</v>
      </c>
    </row>
    <row r="8307" spans="1:3" x14ac:dyDescent="0.25">
      <c r="A8307" s="8" t="str">
        <f>"EuroITV'10 - Proceedings of the 8th International Interactive TV and Video Conference"</f>
        <v>EuroITV'10 - Proceedings of the 8th International Interactive TV and Video Conference</v>
      </c>
      <c r="B8307" s="8" t="str">
        <f>"9781605588315"</f>
        <v>9781605588315</v>
      </c>
      <c r="C8307" s="8" t="s">
        <v>21</v>
      </c>
    </row>
    <row r="8308" spans="1:3" x14ac:dyDescent="0.25">
      <c r="A8308" s="8" t="str">
        <f>"EuroITV'11 - Proceedings of the 9th European Interactive TV Conference"</f>
        <v>EuroITV'11 - Proceedings of the 9th European Interactive TV Conference</v>
      </c>
      <c r="B8308" s="8" t="str">
        <f>"9781450306027"</f>
        <v>9781450306027</v>
      </c>
      <c r="C8308" s="8" t="s">
        <v>21</v>
      </c>
    </row>
    <row r="8309" spans="1:3" x14ac:dyDescent="0.25">
      <c r="A8309" s="8" t="str">
        <f>"EuroiTV'12 - Proceedings of the 10th European Conference on Interactive TV and Video"</f>
        <v>EuroiTV'12 - Proceedings of the 10th European Conference on Interactive TV and Video</v>
      </c>
      <c r="B8309" s="8" t="str">
        <f>"9781450311076"</f>
        <v>9781450311076</v>
      </c>
      <c r="C8309" s="8" t="s">
        <v>21</v>
      </c>
    </row>
    <row r="8310" spans="1:3" x14ac:dyDescent="0.25">
      <c r="A8310" s="8" t="str">
        <f>"EUROMEDIA 2005 - 11th Annual Scientific Conference on Web Technology, New Media Communications and Telematics Theory Methods, Tools and Applications"</f>
        <v>EUROMEDIA 2005 - 11th Annual Scientific Conference on Web Technology, New Media Communications and Telematics Theory Methods, Tools and Applications</v>
      </c>
      <c r="B8310" s="8" t="str">
        <f>"9789077381175"</f>
        <v>9789077381175</v>
      </c>
      <c r="C8310" s="8" t="s">
        <v>1206</v>
      </c>
    </row>
    <row r="8311" spans="1:3" x14ac:dyDescent="0.25">
      <c r="A8311" s="8" t="str">
        <f>"EUROMEDIA 2006 - 12th Annual Scientific Conference on Web Technology, New Media Communications and Telematics Theory Methods, Tools and Applications"</f>
        <v>EUROMEDIA 2006 - 12th Annual Scientific Conference on Web Technology, New Media Communications and Telematics Theory Methods, Tools and Applications</v>
      </c>
      <c r="B8311" s="8" t="str">
        <f>"9789077381250"</f>
        <v>9789077381250</v>
      </c>
      <c r="C8311" s="8" t="s">
        <v>1206</v>
      </c>
    </row>
    <row r="8312" spans="1:3" x14ac:dyDescent="0.25">
      <c r="A8312" s="8" t="str">
        <f>"EUROMEDIA 2007 - 13th Annual Scientific Conference on Web Technology, New Media Communications and Telematics Theory Methods, Tools and Applications and D-TV"</f>
        <v>EUROMEDIA 2007 - 13th Annual Scientific Conference on Web Technology, New Media Communications and Telematics Theory Methods, Tools and Applications and D-TV</v>
      </c>
      <c r="B8312" s="8" t="str">
        <f>"9789077381328"</f>
        <v>9789077381328</v>
      </c>
      <c r="C8312" s="8" t="s">
        <v>1206</v>
      </c>
    </row>
    <row r="8313" spans="1:3" x14ac:dyDescent="0.25">
      <c r="A8313" s="8" t="str">
        <f>"EUROMEDIA 2008 - 14th Annual Scientific Conference on Web Technology, New Media Communications and Telematics Theory Methods, Tools and Applications Medical Imaging and D-TV"</f>
        <v>EUROMEDIA 2008 - 14th Annual Scientific Conference on Web Technology, New Media Communications and Telematics Theory Methods, Tools and Applications Medical Imaging and D-TV</v>
      </c>
      <c r="B8313" s="8" t="str">
        <f>"9789077381380"</f>
        <v>9789077381380</v>
      </c>
      <c r="C8313" s="8" t="s">
        <v>1206</v>
      </c>
    </row>
    <row r="8314" spans="1:3" x14ac:dyDescent="0.25">
      <c r="A8314" s="8" t="str">
        <f>"EUROMEDIA 2009 - 15th Annual Scientific Conference on Web Technology, New Media Communications and Telematics Theory Methods, Tools and Applications"</f>
        <v>EUROMEDIA 2009 - 15th Annual Scientific Conference on Web Technology, New Media Communications and Telematics Theory Methods, Tools and Applications</v>
      </c>
      <c r="B8314" s="8" t="str">
        <f>"9789077381465"</f>
        <v>9789077381465</v>
      </c>
      <c r="C8314" s="8" t="s">
        <v>1206</v>
      </c>
    </row>
    <row r="8315" spans="1:3" x14ac:dyDescent="0.25">
      <c r="A8315" s="8" t="str">
        <f>"EUROMEDIA 2011 - 16th Annual Scientific Conference on Web Technology, New Media Communications and Telematics Theory Methods, Tools and Applications"</f>
        <v>EUROMEDIA 2011 - 16th Annual Scientific Conference on Web Technology, New Media Communications and Telematics Theory Methods, Tools and Applications</v>
      </c>
      <c r="B8315" s="8" t="str">
        <f>"9789077381625"</f>
        <v>9789077381625</v>
      </c>
      <c r="C8315" s="8" t="s">
        <v>1206</v>
      </c>
    </row>
    <row r="8316" spans="1:3" x14ac:dyDescent="0.25">
      <c r="A8316" s="8" t="str">
        <f>"EUROMEDIA 2012 - 17th Annual Scientific Conference on Web Technology, New Media Communications and Telematics Theory Methods, Tools and Applications"</f>
        <v>EUROMEDIA 2012 - 17th Annual Scientific Conference on Web Technology, New Media Communications and Telematics Theory Methods, Tools and Applications</v>
      </c>
      <c r="B8316" s="8" t="str">
        <f>"9789077381694"</f>
        <v>9789077381694</v>
      </c>
      <c r="C8316" s="8" t="s">
        <v>1206</v>
      </c>
    </row>
    <row r="8317" spans="1:3" x14ac:dyDescent="0.25">
      <c r="A8317" s="8" t="str">
        <f>"EUROMICRO 2007 - Proceedings of the 33rd EUROMICRO Conference on Software Engineering and Advanced Applications, SEAA 2007"</f>
        <v>EUROMICRO 2007 - Proceedings of the 33rd EUROMICRO Conference on Software Engineering and Advanced Applications, SEAA 2007</v>
      </c>
      <c r="B8317" s="8" t="str">
        <f>"9780769529776"</f>
        <v>9780769529776</v>
      </c>
      <c r="C8317" s="8" t="s">
        <v>9</v>
      </c>
    </row>
    <row r="8318" spans="1:3" x14ac:dyDescent="0.25">
      <c r="A8318" s="8" t="str">
        <f>"EUROMICRO 2008 - Proceedings of the 34th EUROMICRO Conference on Software Engineering and Advanced Applications, SEAA 2008"</f>
        <v>EUROMICRO 2008 - Proceedings of the 34th EUROMICRO Conference on Software Engineering and Advanced Applications, SEAA 2008</v>
      </c>
      <c r="B8318" s="8" t="str">
        <f>"9780769532769"</f>
        <v>9780769532769</v>
      </c>
      <c r="C8318" s="8" t="s">
        <v>9</v>
      </c>
    </row>
    <row r="8319" spans="1:3" x14ac:dyDescent="0.25">
      <c r="A8319" s="8" t="str">
        <f>"EURONOISE 2006 - The 6th European Conference on Noise Control: Advanced Solutions for Noise Control"</f>
        <v>EURONOISE 2006 - The 6th European Conference on Noise Control: Advanced Solutions for Noise Control</v>
      </c>
      <c r="B8319" s="8" t="str">
        <f>"-"</f>
        <v>-</v>
      </c>
      <c r="C8319" s="8" t="s">
        <v>30</v>
      </c>
    </row>
    <row r="8320" spans="1:3" x14ac:dyDescent="0.25">
      <c r="A8320" s="8" t="str">
        <f>"European and Mediterranean Conference on Information Systems, EMCIS 2005"</f>
        <v>European and Mediterranean Conference on Information Systems, EMCIS 2005</v>
      </c>
      <c r="B8320" s="8" t="str">
        <f>"9780972956277"</f>
        <v>9780972956277</v>
      </c>
      <c r="C8320" s="8" t="s">
        <v>1829</v>
      </c>
    </row>
    <row r="8321" spans="1:3" x14ac:dyDescent="0.25">
      <c r="A8321" s="8" t="str">
        <f>"European Association for Machine Translation, EAMT 2005 - 10th Annual Conference"</f>
        <v>European Association for Machine Translation, EAMT 2005 - 10th Annual Conference</v>
      </c>
      <c r="B8321" s="8" t="str">
        <f>"-"</f>
        <v>-</v>
      </c>
      <c r="C8321" s="8" t="s">
        <v>1792</v>
      </c>
    </row>
    <row r="8322" spans="1:3" x14ac:dyDescent="0.25">
      <c r="A8322" s="8" t="str">
        <f>"European Automobile Engineers Cooperation - 10th EAEC European Automotive Congress, EAEC 2005"</f>
        <v>European Automobile Engineers Cooperation - 10th EAEC European Automotive Congress, EAEC 2005</v>
      </c>
      <c r="B8322" s="8" t="str">
        <f>"9781604236040"</f>
        <v>9781604236040</v>
      </c>
      <c r="C8322" s="8" t="s">
        <v>1830</v>
      </c>
    </row>
    <row r="8323" spans="1:3" x14ac:dyDescent="0.25">
      <c r="A8323" s="8" t="str">
        <f>"European Conference and Exhibition on Optical Communication, ECEOC 2012"</f>
        <v>European Conference and Exhibition on Optical Communication, ECEOC 2012</v>
      </c>
      <c r="B8323" s="8" t="str">
        <f>"-"</f>
        <v>-</v>
      </c>
      <c r="C8323" s="8" t="s">
        <v>86</v>
      </c>
    </row>
    <row r="8324" spans="1:3" x14ac:dyDescent="0.25">
      <c r="A8324" s="8" t="str">
        <f>"European Conference of Chemical Engineering, ECCE'10, European Conference of Civil Engineering, ECCIE'10, European Conference of Mechanical Engineering, ECME'10, European Conference of Control, ECC'10"</f>
        <v>European Conference of Chemical Engineering, ECCE'10, European Conference of Civil Engineering, ECCIE'10, European Conference of Mechanical Engineering, ECME'10, European Conference of Control, ECC'10</v>
      </c>
      <c r="B8324" s="8" t="str">
        <f>"9789604742516"</f>
        <v>9789604742516</v>
      </c>
      <c r="C8324" s="8" t="s">
        <v>553</v>
      </c>
    </row>
    <row r="8325" spans="1:3" x14ac:dyDescent="0.25">
      <c r="A8325" s="8" t="str">
        <f>"European Conference of Systems, ECS'10, European Conference of Circuits Technology and Devices, ECCTD'10, European Conference of Communications, ECCOM'10, ECCS'10"</f>
        <v>European Conference of Systems, ECS'10, European Conference of Circuits Technology and Devices, ECCTD'10, European Conference of Communications, ECCOM'10, ECCS'10</v>
      </c>
      <c r="B8325" s="8" t="str">
        <f>"9789604742509"</f>
        <v>9789604742509</v>
      </c>
      <c r="C8325" s="8" t="s">
        <v>553</v>
      </c>
    </row>
    <row r="8326" spans="1:3" x14ac:dyDescent="0.25">
      <c r="A8326" s="8" t="str">
        <f>"European Conference on Antennas and Propagation, EuCAP 2009, Proceedings"</f>
        <v>European Conference on Antennas and Propagation, EuCAP 2009, Proceedings</v>
      </c>
      <c r="B8326" s="8" t="str">
        <f>"9783000245732"</f>
        <v>9783000245732</v>
      </c>
      <c r="C8326" s="8" t="s">
        <v>9</v>
      </c>
    </row>
    <row r="8327" spans="1:3" x14ac:dyDescent="0.25">
      <c r="A8327" s="8" t="str">
        <f>"European Conference on Circuit Theory and Design 2007, ECCTD 2007"</f>
        <v>European Conference on Circuit Theory and Design 2007, ECCTD 2007</v>
      </c>
      <c r="B8327" s="8" t="str">
        <f>"9781424413423"</f>
        <v>9781424413423</v>
      </c>
      <c r="C8327" s="8" t="s">
        <v>9</v>
      </c>
    </row>
    <row r="8328" spans="1:3" x14ac:dyDescent="0.25">
      <c r="A8328" s="8" t="str">
        <f>"European Conference on Colour in Graphics, Imaging and Vision (CGIV)"</f>
        <v>European Conference on Colour in Graphics, Imaging and Vision (CGIV)</v>
      </c>
      <c r="B8328" s="8" t="str">
        <f>"9780892082391"</f>
        <v>9780892082391</v>
      </c>
      <c r="C8328" s="8" t="s">
        <v>415</v>
      </c>
    </row>
    <row r="8329" spans="1:3" x14ac:dyDescent="0.25">
      <c r="A8329" s="8" t="str">
        <f>"European Conference on eHealth 2006, Proceedings of the ECEH 2006"</f>
        <v>European Conference on eHealth 2006, Proceedings of the ECEH 2006</v>
      </c>
      <c r="B8329" s="8" t="str">
        <f>"9783885791850"</f>
        <v>9783885791850</v>
      </c>
      <c r="C8329" s="8" t="s">
        <v>833</v>
      </c>
    </row>
    <row r="8330" spans="1:3" x14ac:dyDescent="0.25">
      <c r="A8330" s="8" t="str">
        <f>"European Conference on eHealth 2007, Proceedings of the ECEH 2007"</f>
        <v>European Conference on eHealth 2007, Proceedings of the ECEH 2007</v>
      </c>
      <c r="B8330" s="8" t="str">
        <f>"9783885792123"</f>
        <v>9783885792123</v>
      </c>
      <c r="C8330" s="8" t="s">
        <v>833</v>
      </c>
    </row>
    <row r="8331" spans="1:3" x14ac:dyDescent="0.25">
      <c r="A8331" s="8" t="str">
        <f>"European Conference on Games Based Learning, ECGBL 2007"</f>
        <v>European Conference on Games Based Learning, ECGBL 2007</v>
      </c>
      <c r="B8331" s="8" t="str">
        <f>"9781629933153"</f>
        <v>9781629933153</v>
      </c>
      <c r="C8331" s="8" t="s">
        <v>973</v>
      </c>
    </row>
    <row r="8332" spans="1:3" x14ac:dyDescent="0.25">
      <c r="A8332" s="8" t="str">
        <f>"European Conference on Smart Objects, Systems and Technologies, Smart SysTech 2014"</f>
        <v>European Conference on Smart Objects, Systems and Technologies, Smart SysTech 2014</v>
      </c>
      <c r="B8332" s="8" t="str">
        <f>"9783800736263"</f>
        <v>9783800736263</v>
      </c>
      <c r="C8332" s="8" t="s">
        <v>992</v>
      </c>
    </row>
    <row r="8333" spans="1:3" x14ac:dyDescent="0.25">
      <c r="A8333" s="8" t="str">
        <f>"European Congress on Computational Methods in Applied Sciences and Engineering, ECCOMAS 2000"</f>
        <v>European Congress on Computational Methods in Applied Sciences and Engineering, ECCOMAS 2000</v>
      </c>
      <c r="B8333" s="8" t="str">
        <f>"9788489925700"</f>
        <v>9788489925700</v>
      </c>
      <c r="C8333" s="8" t="s">
        <v>1238</v>
      </c>
    </row>
    <row r="8334" spans="1:3" x14ac:dyDescent="0.25">
      <c r="A8334" s="8" t="str">
        <f>"European Control Conference, ECC 1999 - Conference Proceedings"</f>
        <v>European Control Conference, ECC 1999 - Conference Proceedings</v>
      </c>
      <c r="B8334" s="8" t="str">
        <f>"9783952417355"</f>
        <v>9783952417355</v>
      </c>
      <c r="C8334" s="8" t="s">
        <v>105</v>
      </c>
    </row>
    <row r="8335" spans="1:3" x14ac:dyDescent="0.25">
      <c r="A8335" s="8" t="str">
        <f>"European Control Conference, ECC 2003"</f>
        <v>European Control Conference, ECC 2003</v>
      </c>
      <c r="B8335" s="8" t="str">
        <f>"9783952417379"</f>
        <v>9783952417379</v>
      </c>
      <c r="C8335" s="8" t="s">
        <v>105</v>
      </c>
    </row>
    <row r="8336" spans="1:3" x14ac:dyDescent="0.25">
      <c r="A8336" s="8" t="str">
        <f>"European Group for Intelligent Computing in Engineering, EG-ICE 2012 - International Workshop: Intelligent Computing in Engineering"</f>
        <v>European Group for Intelligent Computing in Engineering, EG-ICE 2012 - International Workshop: Intelligent Computing in Engineering</v>
      </c>
      <c r="B8336" s="8" t="str">
        <f>"9783000384554"</f>
        <v>9783000384554</v>
      </c>
      <c r="C8336" s="8" t="s">
        <v>1797</v>
      </c>
    </row>
    <row r="8337" spans="1:3" x14ac:dyDescent="0.25">
      <c r="A8337" s="8" t="str">
        <f>"European Group for Intelligent Computing in Engineering, EG-ICE 2013 - 20th International Workshop: Intelligent Computing in Engineering"</f>
        <v>European Group for Intelligent Computing in Engineering, EG-ICE 2013 - 20th International Workshop: Intelligent Computing in Engineering</v>
      </c>
      <c r="B8337" s="8" t="str">
        <f>"9783200031456"</f>
        <v>9783200031456</v>
      </c>
      <c r="C8337" s="8" t="s">
        <v>1797</v>
      </c>
    </row>
    <row r="8338" spans="1:3" x14ac:dyDescent="0.25">
      <c r="A8338" s="8" t="str">
        <f>"European Metallurgical Conference, EMC 2013"</f>
        <v>European Metallurgical Conference, EMC 2013</v>
      </c>
      <c r="B8338" s="8" t="str">
        <f>"-"</f>
        <v>-</v>
      </c>
      <c r="C8338" s="8" t="s">
        <v>1831</v>
      </c>
    </row>
    <row r="8339" spans="1:3" x14ac:dyDescent="0.25">
      <c r="A8339" s="8" t="str">
        <f>"European Microwave Week 2007 Conference Proceedings, EuMW 2007 - 10th European Conference on Wireless Technology, ECWT 2007"</f>
        <v>European Microwave Week 2007 Conference Proceedings, EuMW 2007 - 10th European Conference on Wireless Technology, ECWT 2007</v>
      </c>
      <c r="B8339" s="8" t="str">
        <f>"9782874870033"</f>
        <v>9782874870033</v>
      </c>
      <c r="C8339" s="8" t="s">
        <v>9</v>
      </c>
    </row>
    <row r="8340" spans="1:3" x14ac:dyDescent="0.25">
      <c r="A8340" s="8" t="str">
        <f>"European Microwave Week 2007 Conference Proceedings, EuMW 2007 - 2nd European Microwave Integrated Circuits Conference, EuMIC 2007"</f>
        <v>European Microwave Week 2007 Conference Proceedings, EuMW 2007 - 2nd European Microwave Integrated Circuits Conference, EuMIC 2007</v>
      </c>
      <c r="B8340" s="8" t="str">
        <f>"9782874870026"</f>
        <v>9782874870026</v>
      </c>
      <c r="C8340" s="8" t="s">
        <v>9</v>
      </c>
    </row>
    <row r="8341" spans="1:3" x14ac:dyDescent="0.25">
      <c r="A8341" s="8" t="str">
        <f>"European Microwave Week 2009, EuMW 2009: Science, Progress and Quality at Radiofrequencies, Conference Proceedings - 39th European Microwave Conference, EuMC 2009"</f>
        <v>European Microwave Week 2009, EuMW 2009: Science, Progress and Quality at Radiofrequencies, Conference Proceedings - 39th European Microwave Conference, EuMC 2009</v>
      </c>
      <c r="B8341" s="8" t="str">
        <f>"9782874870118"</f>
        <v>9782874870118</v>
      </c>
      <c r="C8341" s="8" t="s">
        <v>9</v>
      </c>
    </row>
    <row r="8342" spans="1:3" x14ac:dyDescent="0.25">
      <c r="A8342" s="8" t="str">
        <f>"European Microwave Week 2009, EuMW 2009: Science, Progress and Quality at Radiofrequencies, Conference Proceedings - 4th European Microwave Integrated Circuits Conference, EuMIC 2009"</f>
        <v>European Microwave Week 2009, EuMW 2009: Science, Progress and Quality at Radiofrequencies, Conference Proceedings - 4th European Microwave Integrated Circuits Conference, EuMIC 2009</v>
      </c>
      <c r="B8342" s="8" t="str">
        <f>"9782874870125"</f>
        <v>9782874870125</v>
      </c>
      <c r="C8342" s="8" t="s">
        <v>9</v>
      </c>
    </row>
    <row r="8343" spans="1:3" x14ac:dyDescent="0.25">
      <c r="A8343" s="8" t="str">
        <f>"European Microwave Week 2009, EuMW 2009: Science, Progress and Quality at Radiofrequencies, Conference Proceedings - 6th European Radar Conference, EuRAD 2009"</f>
        <v>European Microwave Week 2009, EuMW 2009: Science, Progress and Quality at Radiofrequencies, Conference Proceedings - 6th European Radar Conference, EuRAD 2009</v>
      </c>
      <c r="B8343" s="8" t="str">
        <f>"9782874870149"</f>
        <v>9782874870149</v>
      </c>
      <c r="C8343" s="8" t="s">
        <v>9</v>
      </c>
    </row>
    <row r="8344" spans="1:3" x14ac:dyDescent="0.25">
      <c r="A8344" s="8" t="str">
        <f>"European Microwave Week 2009: Science, Progress and Quality at Radiofrequencies, Conference Proceedings - 2nd European Wireless Technology Conference, EuWIT 2009"</f>
        <v>European Microwave Week 2009: Science, Progress and Quality at Radiofrequencies, Conference Proceedings - 2nd European Wireless Technology Conference, EuWIT 2009</v>
      </c>
      <c r="B8344" s="8" t="str">
        <f>"9782874870132"</f>
        <v>9782874870132</v>
      </c>
      <c r="C8344" s="8" t="s">
        <v>9</v>
      </c>
    </row>
    <row r="8345" spans="1:3" x14ac:dyDescent="0.25">
      <c r="A8345" s="8" t="str">
        <f>"European Microwave Week 2010, EuMW2010: Connecting the World, Conference Proceedings - European Microwave Conference, EuMC 2010"</f>
        <v>European Microwave Week 2010, EuMW2010: Connecting the World, Conference Proceedings - European Microwave Conference, EuMC 2010</v>
      </c>
      <c r="B8345" s="8" t="str">
        <f>"9782874870163"</f>
        <v>9782874870163</v>
      </c>
      <c r="C8345" s="8" t="s">
        <v>9</v>
      </c>
    </row>
    <row r="8346" spans="1:3" x14ac:dyDescent="0.25">
      <c r="A8346" s="8" t="str">
        <f>"European Microwave Week 2010, EuMW2010: Connecting the World, Conference Proceedings - European Radar Conference, EuRAD 2010"</f>
        <v>European Microwave Week 2010, EuMW2010: Connecting the World, Conference Proceedings - European Radar Conference, EuRAD 2010</v>
      </c>
      <c r="B8346" s="8" t="str">
        <f>"9782874870194"</f>
        <v>9782874870194</v>
      </c>
      <c r="C8346" s="8" t="s">
        <v>9</v>
      </c>
    </row>
    <row r="8347" spans="1:3" x14ac:dyDescent="0.25">
      <c r="A8347" s="8" t="str">
        <f>"European Microwave Week 2010, EuMW2010: Connecting the World, Conference Proceedings - European Wireless Technology Conference, EuWiT 2010"</f>
        <v>European Microwave Week 2010, EuMW2010: Connecting the World, Conference Proceedings - European Wireless Technology Conference, EuWiT 2010</v>
      </c>
      <c r="B8347" s="8" t="str">
        <f>"9782874870187"</f>
        <v>9782874870187</v>
      </c>
      <c r="C8347" s="8" t="s">
        <v>9</v>
      </c>
    </row>
    <row r="8348" spans="1:3" x14ac:dyDescent="0.25">
      <c r="A8348" s="8" t="str">
        <f>"European Microwave Week 2010: Connecting the World, EuMIC 2010 - Conference Proceedings"</f>
        <v>European Microwave Week 2010: Connecting the World, EuMIC 2010 - Conference Proceedings</v>
      </c>
      <c r="B8348" s="8" t="str">
        <f>"9782874870156"</f>
        <v>9782874870156</v>
      </c>
      <c r="C8348" s="8" t="s">
        <v>9</v>
      </c>
    </row>
    <row r="8349" spans="1:3" x14ac:dyDescent="0.25">
      <c r="A8349" s="8" t="s">
        <v>1832</v>
      </c>
      <c r="B8349" s="8" t="str">
        <f>"9782874870224"</f>
        <v>9782874870224</v>
      </c>
      <c r="C8349" s="8" t="s">
        <v>9</v>
      </c>
    </row>
    <row r="8350" spans="1:3" x14ac:dyDescent="0.25">
      <c r="A8350" s="8" t="s">
        <v>1833</v>
      </c>
      <c r="B8350" s="8" t="str">
        <f>"9782874870231"</f>
        <v>9782874870231</v>
      </c>
      <c r="C8350" s="8" t="s">
        <v>9</v>
      </c>
    </row>
    <row r="8351" spans="1:3" x14ac:dyDescent="0.25">
      <c r="A8351" s="8" t="s">
        <v>1834</v>
      </c>
      <c r="B8351" s="8" t="str">
        <f>"9782874870217"</f>
        <v>9782874870217</v>
      </c>
      <c r="C8351" s="8" t="s">
        <v>9</v>
      </c>
    </row>
    <row r="8352" spans="1:3" x14ac:dyDescent="0.25">
      <c r="A8352" s="8" t="s">
        <v>1835</v>
      </c>
      <c r="B8352" s="8" t="str">
        <f>"9782874870279"</f>
        <v>9782874870279</v>
      </c>
      <c r="C8352" s="8" t="s">
        <v>9</v>
      </c>
    </row>
    <row r="8353" spans="1:3" x14ac:dyDescent="0.25">
      <c r="A8353" s="8" t="s">
        <v>1836</v>
      </c>
      <c r="B8353" s="8" t="str">
        <f>"9782874870286"</f>
        <v>9782874870286</v>
      </c>
      <c r="C8353" s="8" t="s">
        <v>9</v>
      </c>
    </row>
    <row r="8354" spans="1:3" x14ac:dyDescent="0.25">
      <c r="A8354" s="8" t="s">
        <v>1837</v>
      </c>
      <c r="B8354" s="8" t="str">
        <f>"9782874870293"</f>
        <v>9782874870293</v>
      </c>
      <c r="C8354" s="8" t="s">
        <v>9</v>
      </c>
    </row>
    <row r="8355" spans="1:3" x14ac:dyDescent="0.25">
      <c r="A8355" s="8" t="str">
        <f>"European Microwave Week 2013, EuMW 2013 - Conference Proceedings; EuMC 2013: 43rd European Microwave Conference"</f>
        <v>European Microwave Week 2013, EuMW 2013 - Conference Proceedings; EuMC 2013: 43rd European Microwave Conference</v>
      </c>
      <c r="B8355" s="8" t="str">
        <f>"9782874870316"</f>
        <v>9782874870316</v>
      </c>
      <c r="C8355" s="8" t="s">
        <v>9</v>
      </c>
    </row>
    <row r="8356" spans="1:3" x14ac:dyDescent="0.25">
      <c r="A8356" s="8" t="str">
        <f>"European Microwave Week 2013, EuMW 2013 - Conference Proceedings; EuMIC 2013: 8th European Microwave Integrated Circuits Conference"</f>
        <v>European Microwave Week 2013, EuMW 2013 - Conference Proceedings; EuMIC 2013: 8th European Microwave Integrated Circuits Conference</v>
      </c>
      <c r="B8356" s="8" t="str">
        <f>"9782874870323"</f>
        <v>9782874870323</v>
      </c>
      <c r="C8356" s="8" t="s">
        <v>9</v>
      </c>
    </row>
    <row r="8357" spans="1:3" x14ac:dyDescent="0.25">
      <c r="A8357" s="8" t="str">
        <f>"European Microwave Week 2013, EuMW 2013 - Conference Proceedings; EuRAD 2013: 10th European Radar Conference"</f>
        <v>European Microwave Week 2013, EuMW 2013 - Conference Proceedings; EuRAD 2013: 10th European Radar Conference</v>
      </c>
      <c r="B8357" s="8" t="str">
        <f>"9782874870330"</f>
        <v>9782874870330</v>
      </c>
      <c r="C8357" s="8" t="s">
        <v>9</v>
      </c>
    </row>
    <row r="8358" spans="1:3" x14ac:dyDescent="0.25">
      <c r="A8358" s="8" t="str">
        <f>"European Microwave Week 2014: Connecting the Future, EuMW 2014 - Conference Proceedings; EuMC 2014: 44th European Microwave Conference"</f>
        <v>European Microwave Week 2014: Connecting the Future, EuMW 2014 - Conference Proceedings; EuMC 2014: 44th European Microwave Conference</v>
      </c>
      <c r="B8358" s="8" t="str">
        <f>"9782874870354"</f>
        <v>9782874870354</v>
      </c>
      <c r="C8358" s="8" t="s">
        <v>105</v>
      </c>
    </row>
    <row r="8359" spans="1:3" x14ac:dyDescent="0.25">
      <c r="A8359" s="8" t="s">
        <v>1838</v>
      </c>
      <c r="B8359" s="8" t="str">
        <f>"9782874870361"</f>
        <v>9782874870361</v>
      </c>
      <c r="C8359" s="8" t="s">
        <v>105</v>
      </c>
    </row>
    <row r="8360" spans="1:3" x14ac:dyDescent="0.25">
      <c r="A8360" s="8" t="s">
        <v>1839</v>
      </c>
      <c r="B8360" s="8" t="str">
        <f>"9782874870378"</f>
        <v>9782874870378</v>
      </c>
      <c r="C8360" s="8" t="s">
        <v>105</v>
      </c>
    </row>
    <row r="8361" spans="1:3" x14ac:dyDescent="0.25">
      <c r="A8361" s="8" t="str">
        <f>"European Simulation Interoperability Workshop 2005"</f>
        <v>European Simulation Interoperability Workshop 2005</v>
      </c>
      <c r="B8361" s="8" t="str">
        <f>"9781622761418"</f>
        <v>9781622761418</v>
      </c>
      <c r="C8361" s="8" t="s">
        <v>1283</v>
      </c>
    </row>
    <row r="8362" spans="1:3" x14ac:dyDescent="0.25">
      <c r="A8362" s="8" t="str">
        <f>"European Simulation Interoperability Workshop 2006"</f>
        <v>European Simulation Interoperability Workshop 2006</v>
      </c>
      <c r="B8362" s="8" t="str">
        <f>"9781622761432"</f>
        <v>9781622761432</v>
      </c>
      <c r="C8362" s="8" t="s">
        <v>1283</v>
      </c>
    </row>
    <row r="8363" spans="1:3" x14ac:dyDescent="0.25">
      <c r="A8363" s="8" t="str">
        <f>"European Strategy for Future Neutrino Physics 2009, Proceedings"</f>
        <v>European Strategy for Future Neutrino Physics 2009, Proceedings</v>
      </c>
      <c r="B8363" s="8" t="str">
        <f>"9789290833543"</f>
        <v>9789290833543</v>
      </c>
      <c r="C8363" s="8" t="s">
        <v>259</v>
      </c>
    </row>
    <row r="8364" spans="1:3" x14ac:dyDescent="0.25">
      <c r="A8364" s="8" t="str">
        <f>"European Wind Energy Association Conference and Exhibition 2014, EWEA 2014"</f>
        <v>European Wind Energy Association Conference and Exhibition 2014, EWEA 2014</v>
      </c>
      <c r="B8364" s="8" t="str">
        <f>"-"</f>
        <v>-</v>
      </c>
      <c r="C8364" s="8" t="s">
        <v>1840</v>
      </c>
    </row>
    <row r="8365" spans="1:3" x14ac:dyDescent="0.25">
      <c r="A8365" s="8" t="str">
        <f>"European Wind Energy Conference and Exhibition 2006, EWEC 2006"</f>
        <v>European Wind Energy Conference and Exhibition 2006, EWEC 2006</v>
      </c>
      <c r="B8365" s="8" t="str">
        <f>"9781622764679"</f>
        <v>9781622764679</v>
      </c>
      <c r="C8365" s="8" t="s">
        <v>1840</v>
      </c>
    </row>
    <row r="8366" spans="1:3" x14ac:dyDescent="0.25">
      <c r="A8366" s="8" t="str">
        <f>"European Wind Energy Conference and Exhibition 2007, EWEC 2007"</f>
        <v>European Wind Energy Conference and Exhibition 2007, EWEC 2007</v>
      </c>
      <c r="B8366" s="8" t="str">
        <f>"9781622764686"</f>
        <v>9781622764686</v>
      </c>
      <c r="C8366" s="8" t="s">
        <v>1840</v>
      </c>
    </row>
    <row r="8367" spans="1:3" x14ac:dyDescent="0.25">
      <c r="A8367" s="8" t="str">
        <f>"European Wind Energy Conference and Exhibition 2008"</f>
        <v>European Wind Energy Conference and Exhibition 2008</v>
      </c>
      <c r="B8367" s="8" t="str">
        <f>"9781615671151"</f>
        <v>9781615671151</v>
      </c>
      <c r="C8367" s="8" t="s">
        <v>1840</v>
      </c>
    </row>
    <row r="8368" spans="1:3" x14ac:dyDescent="0.25">
      <c r="A8368" s="8" t="str">
        <f>"European Wind Energy Conference and Exhibition 2009, EWEC 2009"</f>
        <v>European Wind Energy Conference and Exhibition 2009, EWEC 2009</v>
      </c>
      <c r="B8368" s="8" t="str">
        <f>"9781615677467"</f>
        <v>9781615677467</v>
      </c>
      <c r="C8368" s="8" t="s">
        <v>1840</v>
      </c>
    </row>
    <row r="8369" spans="1:3" x14ac:dyDescent="0.25">
      <c r="A8369" s="8" t="str">
        <f>"European Wind Energy Conference and Exhibition 2010, EWEC 2010"</f>
        <v>European Wind Energy Conference and Exhibition 2010, EWEC 2010</v>
      </c>
      <c r="B8369" s="8" t="str">
        <f>"9781617823107"</f>
        <v>9781617823107</v>
      </c>
      <c r="C8369" s="8" t="s">
        <v>1840</v>
      </c>
    </row>
    <row r="8370" spans="1:3" x14ac:dyDescent="0.25">
      <c r="A8370" s="8" t="str">
        <f>"European Wind Energy Conference and Exhibition 2011, EWEC 2011"</f>
        <v>European Wind Energy Conference and Exhibition 2011, EWEC 2011</v>
      </c>
      <c r="B8370" s="8" t="str">
        <f>"9781618399915"</f>
        <v>9781618399915</v>
      </c>
      <c r="C8370" s="8" t="s">
        <v>1840</v>
      </c>
    </row>
    <row r="8371" spans="1:3" x14ac:dyDescent="0.25">
      <c r="A8371" s="8" t="str">
        <f>"European Wind Energy Conference and Exhibition 2012, EWEC 2012"</f>
        <v>European Wind Energy Conference and Exhibition 2012, EWEC 2012</v>
      </c>
      <c r="B8371" s="8" t="str">
        <f>"9781627482912"</f>
        <v>9781627482912</v>
      </c>
      <c r="C8371" s="8" t="s">
        <v>1840</v>
      </c>
    </row>
    <row r="8372" spans="1:3" x14ac:dyDescent="0.25">
      <c r="A8372" s="8" t="str">
        <f>"EuroPLoP 2006 - 11th European Conference on Pattern Languages of Programs"</f>
        <v>EuroPLoP 2006 - 11th European Conference on Pattern Languages of Programs</v>
      </c>
      <c r="B8372" s="8" t="str">
        <f>"9783879408139"</f>
        <v>9783879408139</v>
      </c>
      <c r="C8372" s="8" t="s">
        <v>1195</v>
      </c>
    </row>
    <row r="8373" spans="1:3" x14ac:dyDescent="0.25">
      <c r="A8373" s="8" t="str">
        <f>"EuroPLoP 2007 - 12th European Conferenceon Pattern Languages of Programs"</f>
        <v>EuroPLoP 2007 - 12th European Conferenceon Pattern Languages of Programs</v>
      </c>
      <c r="B8373" s="8" t="str">
        <f>"9783879408191"</f>
        <v>9783879408191</v>
      </c>
      <c r="C8373" s="8" t="s">
        <v>1195</v>
      </c>
    </row>
    <row r="8374" spans="1:3" x14ac:dyDescent="0.25">
      <c r="A8374" s="8" t="str">
        <f>"EuroSime 2007: International Conference on Thermal, Mechanical and Multi-Physics Simulation Experiments in Microelectronics and Micro-Systems, 2007"</f>
        <v>EuroSime 2007: International Conference on Thermal, Mechanical and Multi-Physics Simulation Experiments in Microelectronics and Micro-Systems, 2007</v>
      </c>
      <c r="B8374" s="8" t="str">
        <f>"9781424411061"</f>
        <v>9781424411061</v>
      </c>
      <c r="C8374" s="8" t="s">
        <v>9</v>
      </c>
    </row>
    <row r="8375" spans="1:3" x14ac:dyDescent="0.25">
      <c r="A8375" s="8" t="str">
        <f>"EuroSimE 2008 - International Conference on Thermal, Mechanical and Multi-Physics Simulation and Experiments in Microelectronics and Micro-Systems"</f>
        <v>EuroSimE 2008 - International Conference on Thermal, Mechanical and Multi-Physics Simulation and Experiments in Microelectronics and Micro-Systems</v>
      </c>
      <c r="B8375" s="8" t="str">
        <f>"9781424421282"</f>
        <v>9781424421282</v>
      </c>
      <c r="C8375" s="8" t="s">
        <v>9</v>
      </c>
    </row>
    <row r="8376" spans="1:3" x14ac:dyDescent="0.25">
      <c r="A8376" s="8" t="str">
        <f>"EUROSOI-ULIS 2015 - 2015 Joint International EUROSOI Workshop and International Conference on Ultimate Integration on Silicon"</f>
        <v>EUROSOI-ULIS 2015 - 2015 Joint International EUROSOI Workshop and International Conference on Ultimate Integration on Silicon</v>
      </c>
      <c r="B8376" s="8" t="str">
        <f>"9781479969111"</f>
        <v>9781479969111</v>
      </c>
      <c r="C8376" s="8" t="s">
        <v>105</v>
      </c>
    </row>
    <row r="8377" spans="1:3" x14ac:dyDescent="0.25">
      <c r="A8377" s="8" t="str">
        <f>"EuroSys'08 - Proceedings of the EuroSys 2008 Conference"</f>
        <v>EuroSys'08 - Proceedings of the EuroSys 2008 Conference</v>
      </c>
      <c r="B8377" s="8" t="str">
        <f>"9781605580135"</f>
        <v>9781605580135</v>
      </c>
      <c r="C8377" s="8" t="s">
        <v>21</v>
      </c>
    </row>
    <row r="8378" spans="1:3" x14ac:dyDescent="0.25">
      <c r="A8378" s="8" t="str">
        <f>"EuroSys'10 - Proceedings of the EuroSys 2010 Conference"</f>
        <v>EuroSys'10 - Proceedings of the EuroSys 2010 Conference</v>
      </c>
      <c r="B8378" s="8" t="str">
        <f>"9781605585772"</f>
        <v>9781605585772</v>
      </c>
      <c r="C8378" s="8" t="s">
        <v>21</v>
      </c>
    </row>
    <row r="8379" spans="1:3" x14ac:dyDescent="0.25">
      <c r="A8379" s="8" t="str">
        <f>"EuroSys'11 - Proceedings of the EuroSys 2011 Conference"</f>
        <v>EuroSys'11 - Proceedings of the EuroSys 2011 Conference</v>
      </c>
      <c r="B8379" s="8" t="str">
        <f>"9781450306348"</f>
        <v>9781450306348</v>
      </c>
      <c r="C8379" s="8" t="s">
        <v>21</v>
      </c>
    </row>
    <row r="8380" spans="1:3" x14ac:dyDescent="0.25">
      <c r="A8380" s="8" t="str">
        <f>"EuroSys'12 - Proceedings of the EuroSys 2012 Conference"</f>
        <v>EuroSys'12 - Proceedings of the EuroSys 2012 Conference</v>
      </c>
      <c r="B8380" s="8" t="str">
        <f>"9781450312233"</f>
        <v>9781450312233</v>
      </c>
      <c r="C8380" s="8" t="s">
        <v>21</v>
      </c>
    </row>
    <row r="8381" spans="1:3" x14ac:dyDescent="0.25">
      <c r="A8381" s="8" t="str">
        <f>"EUSPEN 2005 - Proceedings of the 5th International Conference of the European Society for Precision Engineering and Nanotechnology"</f>
        <v>EUSPEN 2005 - Proceedings of the 5th International Conference of the European Society for Precision Engineering and Nanotechnology</v>
      </c>
      <c r="B8381" s="8" t="str">
        <f>"-"</f>
        <v>-</v>
      </c>
      <c r="C8381" s="8" t="s">
        <v>1748</v>
      </c>
    </row>
    <row r="8382" spans="1:3" x14ac:dyDescent="0.25">
      <c r="A8382" s="8" t="str">
        <f>"EUVIP 2014 - 5th European Workshop on Visual Information Processing"</f>
        <v>EUVIP 2014 - 5th European Workshop on Visual Information Processing</v>
      </c>
      <c r="B8382" s="8" t="str">
        <f>"9781479945726"</f>
        <v>9781479945726</v>
      </c>
      <c r="C8382" s="8" t="s">
        <v>105</v>
      </c>
    </row>
    <row r="8383" spans="1:3" x14ac:dyDescent="0.25">
      <c r="A8383" s="8" t="str">
        <f>"Evaluation and Usability of Programming Languages and Tools, PLATEAU'10"</f>
        <v>Evaluation and Usability of Programming Languages and Tools, PLATEAU'10</v>
      </c>
      <c r="B8383" s="8" t="str">
        <f>"9781450305471"</f>
        <v>9781450305471</v>
      </c>
      <c r="C8383" s="8" t="s">
        <v>21</v>
      </c>
    </row>
    <row r="8384" spans="1:3" x14ac:dyDescent="0.25">
      <c r="A8384" s="8" t="str">
        <f>"EW2008 - 14th European Wireless Conference 2008, Electronic Proceedings"</f>
        <v>EW2008 - 14th European Wireless Conference 2008, Electronic Proceedings</v>
      </c>
      <c r="B8384" s="8" t="str">
        <f>"9783800731022"</f>
        <v>9783800731022</v>
      </c>
      <c r="C8384" s="8" t="s">
        <v>9</v>
      </c>
    </row>
    <row r="8385" spans="1:3" x14ac:dyDescent="0.25">
      <c r="A8385" s="8" t="str">
        <f>"eWork and eBusiness in Architecture, Engineering and Construction - Proceedings of the European Conference on Product and Process Modelling 2010"</f>
        <v>eWork and eBusiness in Architecture, Engineering and Construction - Proceedings of the European Conference on Product and Process Modelling 2010</v>
      </c>
      <c r="B8385" s="8" t="str">
        <f>"9780415605076"</f>
        <v>9780415605076</v>
      </c>
      <c r="C8385" s="8" t="s">
        <v>1637</v>
      </c>
    </row>
    <row r="8386" spans="1:3" x14ac:dyDescent="0.25">
      <c r="A8386" s="8" t="str">
        <f>"eWork and eBusiness in Architecture, Engineering and Construction - Proceedings of the European Conference on Product and Process Modelling 2012, ECPPM 2012"</f>
        <v>eWork and eBusiness in Architecture, Engineering and Construction - Proceedings of the European Conference on Product and Process Modelling 2012, ECPPM 2012</v>
      </c>
      <c r="B8386" s="8" t="str">
        <f>"9780415621281"</f>
        <v>9780415621281</v>
      </c>
      <c r="C8386" s="8" t="s">
        <v>1637</v>
      </c>
    </row>
    <row r="8387" spans="1:3" x14ac:dyDescent="0.25">
      <c r="A8387" s="8" t="str">
        <f>"Examining the Confluence of Environmental and Water Concerns - Proceedings of the World Environmental and Water Resources Congress 2006"</f>
        <v>Examining the Confluence of Environmental and Water Concerns - Proceedings of the World Environmental and Water Resources Congress 2006</v>
      </c>
      <c r="B8387" s="8" t="str">
        <f>"9780784408568"</f>
        <v>9780784408568</v>
      </c>
      <c r="C8387" s="8" t="s">
        <v>111</v>
      </c>
    </row>
    <row r="8388" spans="1:3" x14ac:dyDescent="0.25">
      <c r="A8388" s="8" t="str">
        <f>"Excellence in Concrete Construction through Innovation - Proceedings of the International Conference on Concrete Construction"</f>
        <v>Excellence in Concrete Construction through Innovation - Proceedings of the International Conference on Concrete Construction</v>
      </c>
      <c r="B8388" s="8" t="str">
        <f>"9780415475921"</f>
        <v>9780415475921</v>
      </c>
      <c r="C8388" s="8" t="s">
        <v>1637</v>
      </c>
    </row>
    <row r="8389" spans="1:3" x14ac:dyDescent="0.25">
      <c r="A8389" s="8" t="str">
        <f>"Exclusive Reactions at High Momentum Transfer - Proceedings of the International Workshop"</f>
        <v>Exclusive Reactions at High Momentum Transfer - Proceedings of the International Workshop</v>
      </c>
      <c r="B8389" s="8" t="str">
        <f>"9789812796943"</f>
        <v>9789812796943</v>
      </c>
      <c r="C8389" s="8" t="s">
        <v>157</v>
      </c>
    </row>
    <row r="8390" spans="1:3" x14ac:dyDescent="0.25">
      <c r="A8390" s="8" t="str">
        <f>"Exclusive Reactions at High Momentum Transfer IV - Proceedings of the 4th Workshop"</f>
        <v>Exclusive Reactions at High Momentum Transfer IV - Proceedings of the 4th Workshop</v>
      </c>
      <c r="B8390" s="8" t="str">
        <f>"9789814329552"</f>
        <v>9789814329552</v>
      </c>
      <c r="C8390" s="8" t="s">
        <v>157</v>
      </c>
    </row>
    <row r="8391" spans="1:3" x14ac:dyDescent="0.25">
      <c r="A8391" s="8" t="str">
        <f>"Expanding Bodies: Art, Cities, Environment - Proceedings of the ACADIA 2007 Conference"</f>
        <v>Expanding Bodies: Art, Cities, Environment - Proceedings of the ACADIA 2007 Conference</v>
      </c>
      <c r="B8391" s="8" t="str">
        <f>"9780978097868"</f>
        <v>9780978097868</v>
      </c>
      <c r="C8391" s="8" t="s">
        <v>1841</v>
      </c>
    </row>
    <row r="8392" spans="1:3" x14ac:dyDescent="0.25">
      <c r="A8392" s="8" t="str">
        <f>"Expansive Clay Soils and Vegetative Influence on Shallow Foundations"</f>
        <v>Expansive Clay Soils and Vegetative Influence on Shallow Foundations</v>
      </c>
      <c r="B8392" s="8" t="str">
        <f>"9780784405925"</f>
        <v>9780784405925</v>
      </c>
      <c r="C8392" s="8" t="s">
        <v>111</v>
      </c>
    </row>
    <row r="8393" spans="1:3" x14ac:dyDescent="0.25">
      <c r="A8393" s="8" t="str">
        <f>"Experience of Designing and Application of CAD Systems in Microelectronics - Proceedings of the 10th International Conference, CADSM 2009"</f>
        <v>Experience of Designing and Application of CAD Systems in Microelectronics - Proceedings of the 10th International Conference, CADSM 2009</v>
      </c>
      <c r="B8393" s="8" t="str">
        <f>"9789531841306"</f>
        <v>9789531841306</v>
      </c>
      <c r="C8393" s="8" t="s">
        <v>9</v>
      </c>
    </row>
    <row r="8394" spans="1:3" x14ac:dyDescent="0.25">
      <c r="A8394" s="8" t="str">
        <f>"EXPLO 2011 - Blasting - Controlled Productivity"</f>
        <v>EXPLO 2011 - Blasting - Controlled Productivity</v>
      </c>
      <c r="B8394" s="8" t="str">
        <f>"9781921522543"</f>
        <v>9781921522543</v>
      </c>
      <c r="C8394" s="8" t="s">
        <v>167</v>
      </c>
    </row>
    <row r="8395" spans="1:3" x14ac:dyDescent="0.25">
      <c r="A8395" s="8" t="str">
        <f>"EXPRES 2011 - 3rd IEEE International Symposium on Exploitation of Renewable Energy Sources, Proceedings"</f>
        <v>EXPRES 2011 - 3rd IEEE International Symposium on Exploitation of Renewable Energy Sources, Proceedings</v>
      </c>
      <c r="B8395" s="8" t="str">
        <f>"9781457700989"</f>
        <v>9781457700989</v>
      </c>
      <c r="C8395" s="8" t="s">
        <v>9</v>
      </c>
    </row>
    <row r="8396" spans="1:3" x14ac:dyDescent="0.25">
      <c r="A8396" s="8" t="str">
        <f>"Extended Abstracts for 6th Annual Conference on Foundations of Nanoscience: Self-Assembled Architectures and Devices, FNANO 2009"</f>
        <v>Extended Abstracts for 6th Annual Conference on Foundations of Nanoscience: Self-Assembled Architectures and Devices, FNANO 2009</v>
      </c>
      <c r="B8396" s="8" t="str">
        <f>"-"</f>
        <v>-</v>
      </c>
      <c r="C8396" s="8" t="s">
        <v>1460</v>
      </c>
    </row>
    <row r="8397" spans="1:3" x14ac:dyDescent="0.25">
      <c r="A8397" s="8" t="str">
        <f>"Extended Abstracts of International Workshop on Gate Insulator, IWGI 2003"</f>
        <v>Extended Abstracts of International Workshop on Gate Insulator, IWGI 2003</v>
      </c>
      <c r="B8397" s="8" t="str">
        <f>"9784891140373"</f>
        <v>9784891140373</v>
      </c>
      <c r="C8397" s="8" t="s">
        <v>105</v>
      </c>
    </row>
    <row r="8398" spans="1:3" x14ac:dyDescent="0.25">
      <c r="A8398" s="8" t="str">
        <f>"Extended Abstracts of the 11th International Workshop on Junction Technology, IWJT 2011"</f>
        <v>Extended Abstracts of the 11th International Workshop on Junction Technology, IWJT 2011</v>
      </c>
      <c r="B8398" s="8" t="str">
        <f>"9781612841328"</f>
        <v>9781612841328</v>
      </c>
      <c r="C8398" s="8" t="s">
        <v>9</v>
      </c>
    </row>
    <row r="8399" spans="1:3" x14ac:dyDescent="0.25">
      <c r="A8399" s="8" t="str">
        <f>"Extended Abstracts of the 13th International Workshop on Junction Technology 2013, IWJT 2013"</f>
        <v>Extended Abstracts of the 13th International Workshop on Junction Technology 2013, IWJT 2013</v>
      </c>
      <c r="B8399" s="8" t="str">
        <f>"9781479905782"</f>
        <v>9781479905782</v>
      </c>
      <c r="C8399" s="8" t="s">
        <v>9</v>
      </c>
    </row>
    <row r="8400" spans="1:3" x14ac:dyDescent="0.25">
      <c r="A8400" s="8" t="str">
        <f>"Extended Abstracts of the 2nd International Workshop on Junction Technology, IWJT 2001"</f>
        <v>Extended Abstracts of the 2nd International Workshop on Junction Technology, IWJT 2001</v>
      </c>
      <c r="B8400" s="8" t="str">
        <f>"9784891140199"</f>
        <v>9784891140199</v>
      </c>
      <c r="C8400" s="8" t="s">
        <v>105</v>
      </c>
    </row>
    <row r="8401" spans="1:3" x14ac:dyDescent="0.25">
      <c r="A8401" s="8" t="str">
        <f>"Extended Abstracts of the 7th International Workshop on Junction Technology, IWJT 2007"</f>
        <v>Extended Abstracts of the 7th International Workshop on Junction Technology, IWJT 2007</v>
      </c>
      <c r="B8401" s="8" t="str">
        <f>"9781424411030"</f>
        <v>9781424411030</v>
      </c>
      <c r="C8401" s="8" t="s">
        <v>9</v>
      </c>
    </row>
    <row r="8402" spans="1:3" x14ac:dyDescent="0.25">
      <c r="A8402" s="8" t="str">
        <f>"Extended Abstracts of the 9th International Workshop on Junction Technology, IWJT 2009"</f>
        <v>Extended Abstracts of the 9th International Workshop on Junction Technology, IWJT 2009</v>
      </c>
      <c r="B8402" s="8" t="str">
        <f>"9781424439447"</f>
        <v>9781424439447</v>
      </c>
      <c r="C8402" s="8" t="s">
        <v>9</v>
      </c>
    </row>
    <row r="8403" spans="1:3" x14ac:dyDescent="0.25">
      <c r="A8403" s="8" t="str">
        <f>"Extended Abstracts of the Fifth International Workshop on Junction Technology, 2005"</f>
        <v>Extended Abstracts of the Fifth International Workshop on Junction Technology, 2005</v>
      </c>
      <c r="B8403" s="8" t="str">
        <f>"-"</f>
        <v>-</v>
      </c>
      <c r="C8403" s="8" t="s">
        <v>9</v>
      </c>
    </row>
    <row r="8404" spans="1:3" x14ac:dyDescent="0.25">
      <c r="A8404" s="8" t="str">
        <f>"Extended Abstracts of the Fourth International Workshop on Junction Technology, IWJT 2004"</f>
        <v>Extended Abstracts of the Fourth International Workshop on Junction Technology, IWJT 2004</v>
      </c>
      <c r="B8404" s="8" t="str">
        <f>"9787309039153"</f>
        <v>9787309039153</v>
      </c>
      <c r="C8404" s="8" t="s">
        <v>105</v>
      </c>
    </row>
    <row r="8405" spans="1:3" x14ac:dyDescent="0.25">
      <c r="A8405" s="8" t="str">
        <f>"Extended Abstracts of the Sixth International Workshop on Junction Technology, IWJT '06"</f>
        <v>Extended Abstracts of the Sixth International Workshop on Junction Technology, IWJT '06</v>
      </c>
      <c r="B8405" s="8" t="str">
        <f>"-"</f>
        <v>-</v>
      </c>
      <c r="C8405" s="8" t="s">
        <v>9</v>
      </c>
    </row>
    <row r="8406" spans="1:3" x14ac:dyDescent="0.25">
      <c r="A8406" s="8" t="str">
        <f>"Extenics and Innovation Methods - Proceedings of the International Symposium on Extenics and Innovation Methods"</f>
        <v>Extenics and Innovation Methods - Proceedings of the International Symposium on Extenics and Innovation Methods</v>
      </c>
      <c r="B8406" s="8" t="str">
        <f>"9781138000490"</f>
        <v>9781138000490</v>
      </c>
      <c r="C8406" s="8" t="s">
        <v>1619</v>
      </c>
    </row>
    <row r="8407" spans="1:3" x14ac:dyDescent="0.25">
      <c r="A8407" s="8" t="str">
        <f>"Extraction et Gestion des Connaissances, EGC 2005"</f>
        <v>Extraction et Gestion des Connaissances, EGC 2005</v>
      </c>
      <c r="B8407" s="8" t="str">
        <f>"9782854286779"</f>
        <v>9782854286779</v>
      </c>
      <c r="C8407" s="8" t="s">
        <v>1459</v>
      </c>
    </row>
    <row r="8408" spans="1:3" x14ac:dyDescent="0.25">
      <c r="A8408" s="8" t="str">
        <f>"Extraction et Gestion des Connaissances, EGC 2006"</f>
        <v>Extraction et Gestion des Connaissances, EGC 2006</v>
      </c>
      <c r="B8408" s="8" t="str">
        <f>"9782854287189"</f>
        <v>9782854287189</v>
      </c>
      <c r="C8408" s="8" t="s">
        <v>1459</v>
      </c>
    </row>
    <row r="8409" spans="1:3" x14ac:dyDescent="0.25">
      <c r="A8409" s="8" t="str">
        <f>"Extraction et Gestion des Connaissances, EGC 2007"</f>
        <v>Extraction et Gestion des Connaissances, EGC 2007</v>
      </c>
      <c r="B8409" s="8" t="str">
        <f>"9782854287639"</f>
        <v>9782854287639</v>
      </c>
      <c r="C8409" s="8" t="s">
        <v>1459</v>
      </c>
    </row>
    <row r="8410" spans="1:3" x14ac:dyDescent="0.25">
      <c r="A8410" s="8" t="str">
        <f>"Extraction et Gestion des Connaissances, EGC 2008"</f>
        <v>Extraction et Gestion des Connaissances, EGC 2008</v>
      </c>
      <c r="B8410" s="8" t="str">
        <f>"9782854288186"</f>
        <v>9782854288186</v>
      </c>
      <c r="C8410" s="8" t="s">
        <v>1459</v>
      </c>
    </row>
    <row r="8411" spans="1:3" x14ac:dyDescent="0.25">
      <c r="A8411" s="8" t="str">
        <f>"Extraction et Gestion des Connaissances, EGC 2009"</f>
        <v>Extraction et Gestion des Connaissances, EGC 2009</v>
      </c>
      <c r="B8411" s="8" t="str">
        <f>"9782854288780"</f>
        <v>9782854288780</v>
      </c>
      <c r="C8411" s="8" t="s">
        <v>1459</v>
      </c>
    </row>
    <row r="8412" spans="1:3" x14ac:dyDescent="0.25">
      <c r="A8412" s="8" t="str">
        <f>"Extraction et Gestion des Connaissances, EGC 2010"</f>
        <v>Extraction et Gestion des Connaissances, EGC 2010</v>
      </c>
      <c r="B8412" s="8" t="str">
        <f>"9782854289220"</f>
        <v>9782854289220</v>
      </c>
      <c r="C8412" s="8" t="s">
        <v>1459</v>
      </c>
    </row>
    <row r="8413" spans="1:3" x14ac:dyDescent="0.25">
      <c r="A8413" s="8" t="str">
        <f>"Extraction et Gestion des Connaissances, EGC 2011"</f>
        <v>Extraction et Gestion des Connaissances, EGC 2011</v>
      </c>
      <c r="B8413" s="8" t="str">
        <f>"9782705681128"</f>
        <v>9782705681128</v>
      </c>
      <c r="C8413" s="8" t="s">
        <v>1459</v>
      </c>
    </row>
    <row r="8414" spans="1:3" x14ac:dyDescent="0.25">
      <c r="A8414" s="8" t="str">
        <f>"Extrusion Minitec and Conference: From Basics to Recent Developments"</f>
        <v>Extrusion Minitec and Conference: From Basics to Recent Developments</v>
      </c>
      <c r="B8414" s="8" t="str">
        <f>"-"</f>
        <v>-</v>
      </c>
      <c r="C8414" s="8" t="s">
        <v>132</v>
      </c>
    </row>
    <row r="8415" spans="1:3" x14ac:dyDescent="0.25">
      <c r="A8415" s="8" t="str">
        <f>"FAA In-Flight Icing/Ground De-Icing International Conference and Exhibition"</f>
        <v>FAA In-Flight Icing/Ground De-Icing International Conference and Exhibition</v>
      </c>
      <c r="B8415" s="8" t="str">
        <f>"-"</f>
        <v>-</v>
      </c>
      <c r="C8415" s="8" t="s">
        <v>1040</v>
      </c>
    </row>
    <row r="8416" spans="1:3" x14ac:dyDescent="0.25">
      <c r="A8416" s="8" t="str">
        <f>"Failure Prevention for System Availability - Proceedings of the 62nd Meeting of the Society for Machinery Failure Prevention Technology"</f>
        <v>Failure Prevention for System Availability - Proceedings of the 62nd Meeting of the Society for Machinery Failure Prevention Technology</v>
      </c>
      <c r="B8416" s="8" t="str">
        <f>"-"</f>
        <v>-</v>
      </c>
      <c r="C8416" s="8" t="s">
        <v>1842</v>
      </c>
    </row>
    <row r="8417" spans="1:3" x14ac:dyDescent="0.25">
      <c r="A8417" s="8" t="str">
        <f>"Failure Prevention: Implementation, Success Stories and Lessons Learned - Proceedings of the 2009 Conference of the Society for Machinery Failure Prevention Technology"</f>
        <v>Failure Prevention: Implementation, Success Stories and Lessons Learned - Proceedings of the 2009 Conference of the Society for Machinery Failure Prevention Technology</v>
      </c>
      <c r="B8417" s="8" t="str">
        <f>"-"</f>
        <v>-</v>
      </c>
      <c r="C8417" s="8" t="s">
        <v>1842</v>
      </c>
    </row>
    <row r="8418" spans="1:3" x14ac:dyDescent="0.25">
      <c r="A8418" s="8" t="str">
        <f>"Fall Meeting of the Eastern States Section of the Combustion Institute 2009"</f>
        <v>Fall Meeting of the Eastern States Section of the Combustion Institute 2009</v>
      </c>
      <c r="B8418" s="8" t="str">
        <f>"9781615676682"</f>
        <v>9781615676682</v>
      </c>
      <c r="C8418" s="8" t="s">
        <v>263</v>
      </c>
    </row>
    <row r="8419" spans="1:3" x14ac:dyDescent="0.25">
      <c r="A8419" s="8" t="str">
        <f>"Fall Simulation Interoperability Workshop 2005"</f>
        <v>Fall Simulation Interoperability Workshop 2005</v>
      </c>
      <c r="B8419" s="8" t="str">
        <f>"9781622761401"</f>
        <v>9781622761401</v>
      </c>
      <c r="C8419" s="8" t="s">
        <v>1362</v>
      </c>
    </row>
    <row r="8420" spans="1:3" x14ac:dyDescent="0.25">
      <c r="A8420" s="8" t="str">
        <f>"Fall Simulation Interoperability Workshop 2006"</f>
        <v>Fall Simulation Interoperability Workshop 2006</v>
      </c>
      <c r="B8420" s="8" t="str">
        <f>"9781622761425"</f>
        <v>9781622761425</v>
      </c>
      <c r="C8420" s="8" t="s">
        <v>1283</v>
      </c>
    </row>
    <row r="8421" spans="1:3" x14ac:dyDescent="0.25">
      <c r="A8421" s="8" t="str">
        <f>"Fall Simulation Interoperability Workshop 2007"</f>
        <v>Fall Simulation Interoperability Workshop 2007</v>
      </c>
      <c r="B8421" s="8" t="str">
        <f>"9781622761449"</f>
        <v>9781622761449</v>
      </c>
      <c r="C8421" s="8" t="s">
        <v>1362</v>
      </c>
    </row>
    <row r="8422" spans="1:3" x14ac:dyDescent="0.25">
      <c r="A8422" s="8" t="str">
        <f>"Fall Simulation Interoperability Workshop 2009, 2009 Fall SIW"</f>
        <v>Fall Simulation Interoperability Workshop 2009, 2009 Fall SIW</v>
      </c>
      <c r="B8422" s="8" t="str">
        <f>"9781615674015"</f>
        <v>9781615674015</v>
      </c>
      <c r="C8422" s="8" t="s">
        <v>1362</v>
      </c>
    </row>
    <row r="8423" spans="1:3" x14ac:dyDescent="0.25">
      <c r="A8423" s="8" t="str">
        <f>"Fall Simulation Interoperability Workshop 2010, 2010 Fall SIW"</f>
        <v>Fall Simulation Interoperability Workshop 2010, 2010 Fall SIW</v>
      </c>
      <c r="B8423" s="8" t="str">
        <f>"9781617389085"</f>
        <v>9781617389085</v>
      </c>
      <c r="C8423" s="8" t="s">
        <v>1362</v>
      </c>
    </row>
    <row r="8424" spans="1:3" x14ac:dyDescent="0.25">
      <c r="A8424" s="8" t="str">
        <f>"Fall Simulation Interoperability Workshop 2011, 2011 Fall SIW"</f>
        <v>Fall Simulation Interoperability Workshop 2011, 2011 Fall SIW</v>
      </c>
      <c r="B8424" s="8" t="str">
        <f>"9781618391261"</f>
        <v>9781618391261</v>
      </c>
      <c r="C8424" s="8" t="s">
        <v>1362</v>
      </c>
    </row>
    <row r="8425" spans="1:3" x14ac:dyDescent="0.25">
      <c r="A8425" s="8" t="str">
        <f>"Fall Simulation Interoperability Workshop 2012, 2012 Fall SIW"</f>
        <v>Fall Simulation Interoperability Workshop 2012, 2012 Fall SIW</v>
      </c>
      <c r="B8425" s="8" t="str">
        <f>"9781622762743"</f>
        <v>9781622762743</v>
      </c>
      <c r="C8425" s="8" t="s">
        <v>1283</v>
      </c>
    </row>
    <row r="8426" spans="1:3" x14ac:dyDescent="0.25">
      <c r="A8426" s="8" t="str">
        <f>"Fall Simulation Interoperability Workshop, 2013 Fall SIW"</f>
        <v>Fall Simulation Interoperability Workshop, 2013 Fall SIW</v>
      </c>
      <c r="B8426" s="8" t="str">
        <f>"9781629930497"</f>
        <v>9781629930497</v>
      </c>
      <c r="C8426" s="8" t="s">
        <v>1362</v>
      </c>
    </row>
    <row r="8427" spans="1:3" x14ac:dyDescent="0.25">
      <c r="A8427" s="8" t="str">
        <f>"Fall Simulation Interoperability Workshop, 2014 Fall SIW"</f>
        <v>Fall Simulation Interoperability Workshop, 2014 Fall SIW</v>
      </c>
      <c r="B8427" s="8" t="str">
        <f>"9781634393898"</f>
        <v>9781634393898</v>
      </c>
      <c r="C8427" s="8" t="s">
        <v>1283</v>
      </c>
    </row>
    <row r="8428" spans="1:3" x14ac:dyDescent="0.25">
      <c r="A8428" s="8" t="str">
        <f>"Fall Technical Meeting of the American Gear Manufacturers Association 2006"</f>
        <v>Fall Technical Meeting of the American Gear Manufacturers Association 2006</v>
      </c>
      <c r="B8428" s="8" t="str">
        <f>"9781604233490"</f>
        <v>9781604233490</v>
      </c>
      <c r="C8428" s="8" t="s">
        <v>394</v>
      </c>
    </row>
    <row r="8429" spans="1:3" x14ac:dyDescent="0.25">
      <c r="A8429" s="8" t="s">
        <v>1843</v>
      </c>
      <c r="B8429" s="8" t="str">
        <f>"9781604239454"</f>
        <v>9781604239454</v>
      </c>
      <c r="C8429" s="8" t="s">
        <v>263</v>
      </c>
    </row>
    <row r="8430" spans="1:3" x14ac:dyDescent="0.25">
      <c r="A8430" s="8" t="str">
        <f>"Fall Technical Meeting of the Western States Section of the Combustion Institute 2005, WSS/CI 2005 Fall Meeting"</f>
        <v>Fall Technical Meeting of the Western States Section of the Combustion Institute 2005, WSS/CI 2005 Fall Meeting</v>
      </c>
      <c r="B8430" s="8" t="str">
        <f>"-"</f>
        <v>-</v>
      </c>
      <c r="C8430" s="8" t="s">
        <v>1599</v>
      </c>
    </row>
    <row r="8431" spans="1:3" x14ac:dyDescent="0.25">
      <c r="A8431" s="8" t="str">
        <f>"Fall Technical Meeting of the Western States Section of the Combustion Institute 2009, WSS/CI 2009 Fall Meeting"</f>
        <v>Fall Technical Meeting of the Western States Section of the Combustion Institute 2009, WSS/CI 2009 Fall Meeting</v>
      </c>
      <c r="B8431" s="8" t="str">
        <f>"-"</f>
        <v>-</v>
      </c>
      <c r="C8431" s="8" t="s">
        <v>1599</v>
      </c>
    </row>
    <row r="8432" spans="1:3" x14ac:dyDescent="0.25">
      <c r="A8432" s="8" t="str">
        <f>"Fall Technical Meeting of the Western States Section of the Combustion Institute 2011, WSS/CI 2011 Fall Meeting"</f>
        <v>Fall Technical Meeting of the Western States Section of the Combustion Institute 2011, WSS/CI 2011 Fall Meeting</v>
      </c>
      <c r="B8432" s="8" t="str">
        <f>"9781618393043"</f>
        <v>9781618393043</v>
      </c>
      <c r="C8432" s="8" t="s">
        <v>1599</v>
      </c>
    </row>
    <row r="8433" spans="1:3" x14ac:dyDescent="0.25">
      <c r="A8433" s="8" t="str">
        <f>"Fall Technical Meeting of the Western States Section of the Combustion Institute, WSS/CI 2013 Fall Meeting"</f>
        <v>Fall Technical Meeting of the Western States Section of the Combustion Institute, WSS/CI 2013 Fall Meeting</v>
      </c>
      <c r="B8433" s="8" t="str">
        <f>"9781629935843"</f>
        <v>9781629935843</v>
      </c>
      <c r="C8433" s="8" t="s">
        <v>1599</v>
      </c>
    </row>
    <row r="8434" spans="1:3" x14ac:dyDescent="0.25">
      <c r="A8434" s="8" t="str">
        <f>"Far East Hydrocarbons 2014: From Oil and Gas Basin Studies to Field Models"</f>
        <v>Far East Hydrocarbons 2014: From Oil and Gas Basin Studies to Field Models</v>
      </c>
      <c r="B8434" s="8" t="str">
        <f>"9789462820340"</f>
        <v>9789462820340</v>
      </c>
      <c r="C8434" s="8" t="s">
        <v>1323</v>
      </c>
    </row>
    <row r="8435" spans="1:3" x14ac:dyDescent="0.25">
      <c r="A8435" s="8" t="str">
        <f>"Fatigue Behaviour of Fiber Reinforced Polymers: Experiments and Simulations - 5th International Conference on Fatigue of Composites, ICFC 2010"</f>
        <v>Fatigue Behaviour of Fiber Reinforced Polymers: Experiments and Simulations - 5th International Conference on Fatigue of Composites, ICFC 2010</v>
      </c>
      <c r="B8435" s="8" t="str">
        <f>"9781605950914"</f>
        <v>9781605950914</v>
      </c>
      <c r="C8435" s="8" t="s">
        <v>757</v>
      </c>
    </row>
    <row r="8436" spans="1:3" x14ac:dyDescent="0.25">
      <c r="A8436" s="8" t="str">
        <f>"Fatigue of Materials II: Advances and Emergences in Understanding, Held During Materials Science and Technology 2012, MS and T 2012"</f>
        <v>Fatigue of Materials II: Advances and Emergences in Understanding, Held During Materials Science and Technology 2012, MS and T 2012</v>
      </c>
      <c r="B8436" s="8" t="str">
        <f>"9781118520932"</f>
        <v>9781118520932</v>
      </c>
      <c r="C8436" s="8" t="s">
        <v>87</v>
      </c>
    </row>
    <row r="8437" spans="1:3" x14ac:dyDescent="0.25">
      <c r="A8437" s="8" t="str">
        <f>"Fatigue of Materials III: Advances and Emergences in Understanding - Proceedings of the 3rd Biennial Symposium, held during Materials Science and Technology 2014, MS and T 2014"</f>
        <v>Fatigue of Materials III: Advances and Emergences in Understanding - Proceedings of the 3rd Biennial Symposium, held during Materials Science and Technology 2014, MS and T 2014</v>
      </c>
      <c r="B8437" s="8" t="str">
        <f>"9781119041481"</f>
        <v>9781119041481</v>
      </c>
      <c r="C8437" s="8" t="s">
        <v>1844</v>
      </c>
    </row>
    <row r="8438" spans="1:3" x14ac:dyDescent="0.25">
      <c r="A8438" s="8" t="str">
        <f>"Fatigue of Materials: Advances and Emergences in Understanding, Held During Materials Science and Technology 2010, MS and T'10"</f>
        <v>Fatigue of Materials: Advances and Emergences in Understanding, Held During Materials Science and Technology 2010, MS and T'10</v>
      </c>
      <c r="B8438" s="8" t="str">
        <f>"9780470943182"</f>
        <v>9780470943182</v>
      </c>
      <c r="C8438" s="8" t="s">
        <v>1324</v>
      </c>
    </row>
    <row r="8439" spans="1:3" x14ac:dyDescent="0.25">
      <c r="A8439" s="8" t="str">
        <f>"Fault and Top Seals: From Characterization to Modelling"</f>
        <v>Fault and Top Seals: From Characterization to Modelling</v>
      </c>
      <c r="B8439" s="8" t="str">
        <f>"-"</f>
        <v>-</v>
      </c>
      <c r="C8439" s="8" t="s">
        <v>1251</v>
      </c>
    </row>
    <row r="8440" spans="1:3" x14ac:dyDescent="0.25">
      <c r="A8440" s="8" t="str">
        <f>"Fault and Top Seals: From Pore to Basin Scale"</f>
        <v>Fault and Top Seals: From Pore to Basin Scale</v>
      </c>
      <c r="B8440" s="8" t="str">
        <f>"-"</f>
        <v>-</v>
      </c>
      <c r="C8440" s="8" t="s">
        <v>1251</v>
      </c>
    </row>
    <row r="8441" spans="1:3" x14ac:dyDescent="0.25">
      <c r="A8441" s="8" t="str">
        <f>"Fault Diagnosis and Tolerance in Cryptography - Proceedings of the 5th International Workshop, FDTC 2008"</f>
        <v>Fault Diagnosis and Tolerance in Cryptography - Proceedings of the 5th International Workshop, FDTC 2008</v>
      </c>
      <c r="B8441" s="8" t="str">
        <f>"9780769533148"</f>
        <v>9780769533148</v>
      </c>
      <c r="C8441" s="8" t="s">
        <v>9</v>
      </c>
    </row>
    <row r="8442" spans="1:3" x14ac:dyDescent="0.25">
      <c r="A8442" s="8" t="str">
        <f>"Fault Diagnosis and Tolerance in Cryptography - Proceedings of the 6th International Workshop, FDTC 2009"</f>
        <v>Fault Diagnosis and Tolerance in Cryptography - Proceedings of the 6th International Workshop, FDTC 2009</v>
      </c>
      <c r="B8442" s="8" t="str">
        <f>"9780769538242"</f>
        <v>9780769538242</v>
      </c>
      <c r="C8442" s="8" t="s">
        <v>9</v>
      </c>
    </row>
    <row r="8443" spans="1:3" x14ac:dyDescent="0.25">
      <c r="A8443" s="8" t="str">
        <f>"Fault Diagnosis and Tolerance in Cryptography - Proceedings of the 7th International Workshop, FDTC 2010"</f>
        <v>Fault Diagnosis and Tolerance in Cryptography - Proceedings of the 7th International Workshop, FDTC 2010</v>
      </c>
      <c r="B8443" s="8" t="str">
        <f>"9780769541693"</f>
        <v>9780769541693</v>
      </c>
      <c r="C8443" s="8" t="s">
        <v>9</v>
      </c>
    </row>
    <row r="8444" spans="1:3" x14ac:dyDescent="0.25">
      <c r="A8444" s="8" t="str">
        <f>"FBIE 2009 - 2009 International Conference on Future BioMedical Information Engineering"</f>
        <v>FBIE 2009 - 2009 International Conference on Future BioMedical Information Engineering</v>
      </c>
      <c r="B8444" s="8" t="str">
        <f>"9781424446919"</f>
        <v>9781424446919</v>
      </c>
      <c r="C8444" s="8" t="s">
        <v>9</v>
      </c>
    </row>
    <row r="8445" spans="1:3" x14ac:dyDescent="0.25">
      <c r="A8445" s="8" t="str">
        <f>"FBW10 - CANEUS Fly-by-Wireless Workshop 2010, Proceedings"</f>
        <v>FBW10 - CANEUS Fly-by-Wireless Workshop 2010, Proceedings</v>
      </c>
      <c r="B8445" s="8" t="str">
        <f>"9781424492541"</f>
        <v>9781424492541</v>
      </c>
      <c r="C8445" s="8" t="s">
        <v>9</v>
      </c>
    </row>
    <row r="8446" spans="1:3" x14ac:dyDescent="0.25">
      <c r="A8446" s="8" t="str">
        <f>"FCTA 2014 - Proceedings of the International Conference on Fuzzy Computation Theory and Applications"</f>
        <v>FCTA 2014 - Proceedings of the International Conference on Fuzzy Computation Theory and Applications</v>
      </c>
      <c r="B8446" s="8" t="str">
        <f>"9789897580536"</f>
        <v>9789897580536</v>
      </c>
      <c r="C8446" s="8" t="s">
        <v>1680</v>
      </c>
    </row>
    <row r="8447" spans="1:3" x14ac:dyDescent="0.25">
      <c r="A8447" s="8" t="str">
        <f>"FCV 2013 - Proceedings of the 19th Korea-Japan Joint Workshop on Frontiers of Computer Vision"</f>
        <v>FCV 2013 - Proceedings of the 19th Korea-Japan Joint Workshop on Frontiers of Computer Vision</v>
      </c>
      <c r="B8447" s="8" t="str">
        <f>"9781467356206"</f>
        <v>9781467356206</v>
      </c>
      <c r="C8447" s="8" t="s">
        <v>9</v>
      </c>
    </row>
    <row r="8448" spans="1:3" x14ac:dyDescent="0.25">
      <c r="A8448" s="8" t="str">
        <f>"FDG 2009 - 4th International Conference on the Foundations of Digital Games, Proceedings"</f>
        <v>FDG 2009 - 4th International Conference on the Foundations of Digital Games, Proceedings</v>
      </c>
      <c r="B8448" s="8" t="str">
        <f>"9781605584379"</f>
        <v>9781605584379</v>
      </c>
      <c r="C8448" s="8" t="s">
        <v>21</v>
      </c>
    </row>
    <row r="8449" spans="1:3" x14ac:dyDescent="0.25">
      <c r="A8449" s="8" t="str">
        <f>"FDG 2010 - Proceedings of the 5th International Conference on the Foundations of Digital Games"</f>
        <v>FDG 2010 - Proceedings of the 5th International Conference on the Foundations of Digital Games</v>
      </c>
      <c r="B8449" s="8" t="str">
        <f>"9781605589374"</f>
        <v>9781605589374</v>
      </c>
      <c r="C8449" s="8" t="s">
        <v>21</v>
      </c>
    </row>
    <row r="8450" spans="1:3" x14ac:dyDescent="0.25">
      <c r="A8450" s="8" t="str">
        <f>"FDPE'05 - Proceedings of the ACM SIGPLAN 2005 Workshop on Functional and Declarative Programming in Education"</f>
        <v>FDPE'05 - Proceedings of the ACM SIGPLAN 2005 Workshop on Functional and Declarative Programming in Education</v>
      </c>
      <c r="B8450" s="8" t="str">
        <f>"9781595930675"</f>
        <v>9781595930675</v>
      </c>
      <c r="C8450" s="8" t="s">
        <v>21</v>
      </c>
    </row>
    <row r="8451" spans="1:3" x14ac:dyDescent="0.25">
      <c r="A8451" s="8" t="str">
        <f>"FDPE'08 - Proceedings of the 2008 ACM SIGPLAN Workshop on Functional and Declarative Programming in Education"</f>
        <v>FDPE'08 - Proceedings of the 2008 ACM SIGPLAN Workshop on Functional and Declarative Programming in Education</v>
      </c>
      <c r="B8451" s="8" t="str">
        <f>"9781605580685"</f>
        <v>9781605580685</v>
      </c>
      <c r="C8451" s="8" t="s">
        <v>21</v>
      </c>
    </row>
    <row r="8452" spans="1:3" x14ac:dyDescent="0.25">
      <c r="A8452" s="8" t="str">
        <f>"Feature Interactions in Software and Communication Systems IX"</f>
        <v>Feature Interactions in Software and Communication Systems IX</v>
      </c>
      <c r="B8452" s="8" t="str">
        <f>"9781586038458"</f>
        <v>9781586038458</v>
      </c>
      <c r="C8452" s="8" t="s">
        <v>103</v>
      </c>
    </row>
    <row r="8453" spans="1:3" x14ac:dyDescent="0.25">
      <c r="A8453" s="8" t="str">
        <f>"Feature Interactions in Software and Communication Systems X"</f>
        <v>Feature Interactions in Software and Communication Systems X</v>
      </c>
      <c r="B8453" s="8" t="str">
        <f>"9781607500148"</f>
        <v>9781607500148</v>
      </c>
      <c r="C8453" s="8" t="s">
        <v>103</v>
      </c>
    </row>
    <row r="8454" spans="1:3" x14ac:dyDescent="0.25">
      <c r="A8454" s="8" t="str">
        <f>"Feature Interactions in Telecommunications and Software Systems VIII"</f>
        <v>Feature Interactions in Telecommunications and Software Systems VIII</v>
      </c>
      <c r="B8454" s="8" t="str">
        <f>"9781586035242"</f>
        <v>9781586035242</v>
      </c>
      <c r="C8454" s="8" t="s">
        <v>103</v>
      </c>
    </row>
    <row r="8455" spans="1:3" x14ac:dyDescent="0.25">
      <c r="A8455" s="8" t="str">
        <f>"FederatedClouds'12 - Proceedings of the 2012 Workshop on Cloud Services, Federation, and the 8th Open Cirrus Summit, Co-located with ICAC'12"</f>
        <v>FederatedClouds'12 - Proceedings of the 2012 Workshop on Cloud Services, Federation, and the 8th Open Cirrus Summit, Co-located with ICAC'12</v>
      </c>
      <c r="B8455" s="8" t="str">
        <f>"9781450317542"</f>
        <v>9781450317542</v>
      </c>
      <c r="C8455" s="8" t="s">
        <v>21</v>
      </c>
    </row>
    <row r="8456" spans="1:3" x14ac:dyDescent="0.25">
      <c r="A8456" s="8" t="str">
        <f>"FEL 2009 - 31st International Free Electron Laser Conference"</f>
        <v>FEL 2009 - 31st International Free Electron Laser Conference</v>
      </c>
      <c r="B8456" s="8" t="str">
        <f>"-"</f>
        <v>-</v>
      </c>
      <c r="C8456" s="8" t="s">
        <v>1359</v>
      </c>
    </row>
    <row r="8457" spans="1:3" x14ac:dyDescent="0.25">
      <c r="A8457" s="8" t="str">
        <f>"FEL 2010 - 32nd International Free Electron Laser Conference"</f>
        <v>FEL 2010 - 32nd International Free Electron Laser Conference</v>
      </c>
      <c r="B8457" s="8" t="str">
        <f>"-"</f>
        <v>-</v>
      </c>
      <c r="C8457" s="8" t="s">
        <v>1359</v>
      </c>
    </row>
    <row r="8458" spans="1:3" x14ac:dyDescent="0.25">
      <c r="A8458" s="8" t="str">
        <f>"FEL 2011 - 33rd International Free Electron Laser Conference"</f>
        <v>FEL 2011 - 33rd International Free Electron Laser Conference</v>
      </c>
      <c r="B8458" s="8" t="str">
        <f>"9783954501175"</f>
        <v>9783954501175</v>
      </c>
      <c r="C8458" s="8" t="s">
        <v>1359</v>
      </c>
    </row>
    <row r="8459" spans="1:3" x14ac:dyDescent="0.25">
      <c r="A8459" s="8" t="str">
        <f>"FEL 2012 - 34th International Free Electron Laser Conference"</f>
        <v>FEL 2012 - 34th International Free Electron Laser Conference</v>
      </c>
      <c r="B8459" s="8" t="str">
        <f>"9783954501236"</f>
        <v>9783954501236</v>
      </c>
      <c r="C8459" s="8" t="s">
        <v>1359</v>
      </c>
    </row>
    <row r="8460" spans="1:3" x14ac:dyDescent="0.25">
      <c r="A8460" s="8" t="str">
        <f>"FEL 2013: Proceedings of the 35th International Free-Electron Laser Conference"</f>
        <v>FEL 2013: Proceedings of the 35th International Free-Electron Laser Conference</v>
      </c>
      <c r="B8460" s="8" t="str">
        <f>"9783954501267"</f>
        <v>9783954501267</v>
      </c>
      <c r="C8460" s="8" t="s">
        <v>1359</v>
      </c>
    </row>
    <row r="8461" spans="1:3" x14ac:dyDescent="0.25">
      <c r="A8461" s="8" t="str">
        <f>"FENDT 2013 - Proceedings of 2013 Far East Forum on Nondestructive Evaluation/Testing: New Technology and Application"</f>
        <v>FENDT 2013 - Proceedings of 2013 Far East Forum on Nondestructive Evaluation/Testing: New Technology and Application</v>
      </c>
      <c r="B8461" s="8" t="str">
        <f>"9781467360180"</f>
        <v>9781467360180</v>
      </c>
      <c r="C8461" s="8" t="s">
        <v>9</v>
      </c>
    </row>
    <row r="8462" spans="1:3" x14ac:dyDescent="0.25">
      <c r="A8462" s="8" t="str">
        <f>"FENDT 2014 - Proceedings, 2014 IEEE Far East Forum on Nondestructive Evaluation/Testing: New Technology and Application, Increasingly Perfect NDT/E"</f>
        <v>FENDT 2014 - Proceedings, 2014 IEEE Far East Forum on Nondestructive Evaluation/Testing: New Technology and Application, Increasingly Perfect NDT/E</v>
      </c>
      <c r="B8462" s="8" t="str">
        <f>"9781479947317"</f>
        <v>9781479947317</v>
      </c>
      <c r="C8462" s="8" t="s">
        <v>105</v>
      </c>
    </row>
    <row r="8463" spans="1:3" x14ac:dyDescent="0.25">
      <c r="A8463" s="8" t="str">
        <f>"Few-Body Systems in Nuclear and Hadronic Physics: Results and Perspectives of the Research Initiative is PD32"</f>
        <v>Few-Body Systems in Nuclear and Hadronic Physics: Results and Perspectives of the Research Initiative is PD32</v>
      </c>
      <c r="B8463" s="8" t="str">
        <f>"9788888610146"</f>
        <v>9788888610146</v>
      </c>
      <c r="C8463" s="8" t="s">
        <v>1798</v>
      </c>
    </row>
    <row r="8464" spans="1:3" x14ac:dyDescent="0.25">
      <c r="A8464" s="8" t="str">
        <f>"FGR 2006: Proceedings of the 7th International Conference on Automatic Face and Gesture Recognition"</f>
        <v>FGR 2006: Proceedings of the 7th International Conference on Automatic Face and Gesture Recognition</v>
      </c>
      <c r="B8464" s="8" t="str">
        <f>"-"</f>
        <v>-</v>
      </c>
      <c r="C8464" s="8" t="s">
        <v>9</v>
      </c>
    </row>
    <row r="8465" spans="1:3" x14ac:dyDescent="0.25">
      <c r="A8465" s="8" t="str">
        <f>"FhMN 2013 - Proceedings of the 2013 ACM SIGCOMM Workshop on Future Human-Centric Multimedia Networking"</f>
        <v>FhMN 2013 - Proceedings of the 2013 ACM SIGCOMM Workshop on Future Human-Centric Multimedia Networking</v>
      </c>
      <c r="B8465" s="8" t="str">
        <f>"9781450321839"</f>
        <v>9781450321839</v>
      </c>
      <c r="C8465" s="8" t="s">
        <v>21</v>
      </c>
    </row>
    <row r="8466" spans="1:3" x14ac:dyDescent="0.25">
      <c r="A8466" s="8" t="str">
        <f>"FHPC'12 - Proceedings of the 2012 ACM SIGPLAN Functional High Performance Computing"</f>
        <v>FHPC'12 - Proceedings of the 2012 ACM SIGPLAN Functional High Performance Computing</v>
      </c>
      <c r="B8466" s="8" t="str">
        <f>"9781450315777"</f>
        <v>9781450315777</v>
      </c>
      <c r="C8466" s="8" t="s">
        <v>21</v>
      </c>
    </row>
    <row r="8467" spans="1:3" x14ac:dyDescent="0.25">
      <c r="A8467" s="8" t="str">
        <f>"fib Symposium 2012: Concrete Structures for Sustainable Community - Proceedings"</f>
        <v>fib Symposium 2012: Concrete Structures for Sustainable Community - Proceedings</v>
      </c>
      <c r="B8467" s="8" t="str">
        <f>"9789198009811"</f>
        <v>9789198009811</v>
      </c>
      <c r="C8467" s="8" t="s">
        <v>1845</v>
      </c>
    </row>
    <row r="8468" spans="1:3" x14ac:dyDescent="0.25">
      <c r="A8468" s="8" t="str">
        <f>"Fiber Lasers and Applications, FILAS 2012"</f>
        <v>Fiber Lasers and Applications, FILAS 2012</v>
      </c>
      <c r="B8468" s="8" t="str">
        <f>"9781557529336"</f>
        <v>9781557529336</v>
      </c>
      <c r="C8468" s="8" t="s">
        <v>86</v>
      </c>
    </row>
    <row r="8469" spans="1:3" x14ac:dyDescent="0.25">
      <c r="A8469" s="8" t="str">
        <f>"Fiber Society Spring 2014 Technical Conference: Fibers for Progress"</f>
        <v>Fiber Society Spring 2014 Technical Conference: Fibers for Progress</v>
      </c>
      <c r="B8469" s="8" t="str">
        <f>"-"</f>
        <v>-</v>
      </c>
      <c r="C8469" s="8" t="s">
        <v>1846</v>
      </c>
    </row>
    <row r="8470" spans="1:3" x14ac:dyDescent="0.25">
      <c r="A8470" s="8" t="str">
        <f>"Fiber Society's Spring 2015 Conference, in conjunction with the 2015 International Conference on Advanced Fibers and Polymer Materials: Functional Fibers and Textiles - Program"</f>
        <v>Fiber Society's Spring 2015 Conference, in conjunction with the 2015 International Conference on Advanced Fibers and Polymer Materials: Functional Fibers and Textiles - Program</v>
      </c>
      <c r="B8470" s="8" t="str">
        <f>"9780000000002"</f>
        <v>9780000000002</v>
      </c>
      <c r="C8470" s="8" t="s">
        <v>1846</v>
      </c>
    </row>
    <row r="8471" spans="1:3" x14ac:dyDescent="0.25">
      <c r="A8471" s="8" t="str">
        <f>"Fiber-Based Technologies and Applications, FBTA 2014"</f>
        <v>Fiber-Based Technologies and Applications, FBTA 2014</v>
      </c>
      <c r="B8471" s="8" t="str">
        <f>"-"</f>
        <v>-</v>
      </c>
      <c r="C8471" s="8" t="s">
        <v>86</v>
      </c>
    </row>
    <row r="8472" spans="1:3" x14ac:dyDescent="0.25">
      <c r="A8472" s="8" t="str">
        <f>"Fibre Value Chain Conference and Expo 2014: Pulp and Paper Bioenergy Bioproducts"</f>
        <v>Fibre Value Chain Conference and Expo 2014: Pulp and Paper Bioenergy Bioproducts</v>
      </c>
      <c r="B8472" s="8" t="str">
        <f>"9780987168443"</f>
        <v>9780987168443</v>
      </c>
      <c r="C8472" s="8" t="s">
        <v>136</v>
      </c>
    </row>
    <row r="8473" spans="1:3" x14ac:dyDescent="0.25">
      <c r="A8473" s="8" t="str">
        <f>"Field Robotics - Proceedings of the 14th International Conference on Climbing and Walking Robots and the Support Technologies for Mobile Machines, CLAWAR 2011"</f>
        <v>Field Robotics - Proceedings of the 14th International Conference on Climbing and Walking Robots and the Support Technologies for Mobile Machines, CLAWAR 2011</v>
      </c>
      <c r="B8473" s="8" t="str">
        <f>"9789814374279"</f>
        <v>9789814374279</v>
      </c>
      <c r="C8473" s="8" t="s">
        <v>157</v>
      </c>
    </row>
    <row r="8474" spans="1:3" x14ac:dyDescent="0.25">
      <c r="A8474" s="8" t="str">
        <f>"Fifth IEEE/IFIP Workshop on End-to-End Monitoring Techniques and Services, E2EMON'07"</f>
        <v>Fifth IEEE/IFIP Workshop on End-to-End Monitoring Techniques and Services, E2EMON'07</v>
      </c>
      <c r="B8474" s="8" t="str">
        <f>"9781424412891"</f>
        <v>9781424412891</v>
      </c>
      <c r="C8474" s="8" t="s">
        <v>9</v>
      </c>
    </row>
    <row r="8475" spans="1:3" x14ac:dyDescent="0.25">
      <c r="A8475" s="8" t="str">
        <f>"Fifth International Kharkov Symposium on Physics and Engineering of Microwaves, Millimeter, and Submillimeter Waves - Symposium Proceedings, MSMW'04"</f>
        <v>Fifth International Kharkov Symposium on Physics and Engineering of Microwaves, Millimeter, and Submillimeter Waves - Symposium Proceedings, MSMW'04</v>
      </c>
      <c r="B8475" s="8" t="str">
        <f>"9780780384118"</f>
        <v>9780780384118</v>
      </c>
      <c r="C8475" s="8" t="s">
        <v>105</v>
      </c>
    </row>
    <row r="8476" spans="1:3" x14ac:dyDescent="0.25">
      <c r="A8476" s="8" t="str">
        <f>"Fifth International Workshop on Virtual Rehabilitation, IWVR 2006"</f>
        <v>Fifth International Workshop on Virtual Rehabilitation, IWVR 2006</v>
      </c>
      <c r="B8476" s="8" t="str">
        <f>"9781424402809"</f>
        <v>9781424402809</v>
      </c>
      <c r="C8476" s="8" t="s">
        <v>9</v>
      </c>
    </row>
    <row r="8477" spans="1:3" x14ac:dyDescent="0.25">
      <c r="A8477" s="8" t="str">
        <f>"Fifth National Conference on Rapid Design, Prototyping, and Manufacturing"</f>
        <v>Fifth National Conference on Rapid Design, Prototyping, and Manufacturing</v>
      </c>
      <c r="B8477" s="8" t="str">
        <f>"9781860584657"</f>
        <v>9781860584657</v>
      </c>
      <c r="C8477" s="8" t="s">
        <v>1645</v>
      </c>
    </row>
    <row r="8478" spans="1:3" x14ac:dyDescent="0.25">
      <c r="A8478" s="8" t="str">
        <f>"Fifth Workshop on Photonics and its Application 2005"</f>
        <v>Fifth Workshop on Photonics and its Application 2005</v>
      </c>
      <c r="B8478" s="8" t="str">
        <f>"-"</f>
        <v>-</v>
      </c>
      <c r="C8478" s="8" t="s">
        <v>9</v>
      </c>
    </row>
    <row r="8479" spans="1:3" x14ac:dyDescent="0.25">
      <c r="A8479" s="8" t="str">
        <f>"FIIW 2012 - 2012 Future of Instrumentation International Workshop Proceedings"</f>
        <v>FIIW 2012 - 2012 Future of Instrumentation International Workshop Proceedings</v>
      </c>
      <c r="B8479" s="8" t="str">
        <f>"9781467324823"</f>
        <v>9781467324823</v>
      </c>
      <c r="C8479" s="8" t="s">
        <v>9</v>
      </c>
    </row>
    <row r="8480" spans="1:3" x14ac:dyDescent="0.25">
      <c r="A8480" s="8" t="str">
        <f>"Final Proceedings of the 2009 7th International Symposium on Modeling and Optimization in Mobile, Ad Hoc and Wireless Networks, WiOpt 2009"</f>
        <v>Final Proceedings of the 2009 7th International Symposium on Modeling and Optimization in Mobile, Ad Hoc and Wireless Networks, WiOpt 2009</v>
      </c>
      <c r="B8480" s="8" t="str">
        <f>"9781424449200"</f>
        <v>9781424449200</v>
      </c>
      <c r="C8480" s="8" t="s">
        <v>9</v>
      </c>
    </row>
    <row r="8481" spans="1:3" x14ac:dyDescent="0.25">
      <c r="A8481" s="8" t="str">
        <f>"Final Program - 2012 24th International Teletraffic Congress, ITC 24"</f>
        <v>Final Program - 2012 24th International Teletraffic Congress, ITC 24</v>
      </c>
      <c r="B8481" s="8" t="str">
        <f>"9780983628347"</f>
        <v>9780983628347</v>
      </c>
      <c r="C8481" s="8" t="s">
        <v>9</v>
      </c>
    </row>
    <row r="8482" spans="1:3" x14ac:dyDescent="0.25">
      <c r="A8482" s="8" t="str">
        <f>"Final Program and Abstract Book - 4th International Symposium on Communications, Control, and Signal Processing, ISCCSP 2010"</f>
        <v>Final Program and Abstract Book - 4th International Symposium on Communications, Control, and Signal Processing, ISCCSP 2010</v>
      </c>
      <c r="B8482" s="8" t="str">
        <f>"9781424462858"</f>
        <v>9781424462858</v>
      </c>
      <c r="C8482" s="8" t="s">
        <v>9</v>
      </c>
    </row>
    <row r="8483" spans="1:3" x14ac:dyDescent="0.25">
      <c r="A8483" s="8" t="str">
        <f>"Final Program and Abstract Book - 9th International Conference on Information Technology and Applications in Biomedicine, ITAB 2009"</f>
        <v>Final Program and Abstract Book - 9th International Conference on Information Technology and Applications in Biomedicine, ITAB 2009</v>
      </c>
      <c r="B8483" s="8" t="str">
        <f>"9781424453795"</f>
        <v>9781424453795</v>
      </c>
      <c r="C8483" s="8" t="s">
        <v>9</v>
      </c>
    </row>
    <row r="8484" spans="1:3" x14ac:dyDescent="0.25">
      <c r="A8484" s="8" t="str">
        <f>"Final Program and Book of Abstracts - iWAT 2010: 2010 International Workshop on Antenna Technology: Small Antennas, Innovative Structures and Materials"</f>
        <v>Final Program and Book of Abstracts - iWAT 2010: 2010 International Workshop on Antenna Technology: Small Antennas, Innovative Structures and Materials</v>
      </c>
      <c r="B8484" s="8" t="str">
        <f>"9781424448845"</f>
        <v>9781424448845</v>
      </c>
      <c r="C8484" s="8" t="s">
        <v>9</v>
      </c>
    </row>
    <row r="8485" spans="1:3" x14ac:dyDescent="0.25">
      <c r="A8485" s="8" t="str">
        <f>"Final Program and Book of Abstracts - iWAT 2011: 2011 IEEE International Workshop on Antenna Technology: Small Antennas, Novel Structures and Innovative Metamaterials"</f>
        <v>Final Program and Book of Abstracts - iWAT 2011: 2011 IEEE International Workshop on Antenna Technology: Small Antennas, Novel Structures and Innovative Metamaterials</v>
      </c>
      <c r="B8485" s="8" t="str">
        <f>"9781424491339"</f>
        <v>9781424491339</v>
      </c>
      <c r="C8485" s="8" t="s">
        <v>9</v>
      </c>
    </row>
    <row r="8486" spans="1:3" x14ac:dyDescent="0.25">
      <c r="A8486" s="8" t="str">
        <f>"Final Program and Proceedings - ICIS'06 International Congress of Imaging Science: Linking the Explosion of Imaging Applications with the Science and Technology of Imaging"</f>
        <v>Final Program and Proceedings - ICIS'06 International Congress of Imaging Science: Linking the Explosion of Imaging Applications with the Science and Technology of Imaging</v>
      </c>
      <c r="B8486" s="8" t="str">
        <f>"9780892082605"</f>
        <v>9780892082605</v>
      </c>
      <c r="C8486" s="8" t="s">
        <v>415</v>
      </c>
    </row>
    <row r="8487" spans="1:3" x14ac:dyDescent="0.25">
      <c r="A8487" s="8" t="str">
        <f>"Final Program and Proceedings - ICIS'06 International Congress of Imaging Science: Linking the Explosion of Imaging Applications with the Science and Technology of Imaging"</f>
        <v>Final Program and Proceedings - ICIS'06 International Congress of Imaging Science: Linking the Explosion of Imaging Applications with the Science and Technology of Imaging</v>
      </c>
      <c r="B8487" s="8" t="str">
        <f>"9780892082605"</f>
        <v>9780892082605</v>
      </c>
    </row>
    <row r="8488" spans="1:3" x14ac:dyDescent="0.25">
      <c r="A8488" s="8" t="str">
        <f>"Final Program and Proceedings of IS and T's 2004 Archiving Conference"</f>
        <v>Final Program and Proceedings of IS and T's 2004 Archiving Conference</v>
      </c>
      <c r="B8488" s="8" t="str">
        <f>"9780892082513"</f>
        <v>9780892082513</v>
      </c>
      <c r="C8488" s="8" t="s">
        <v>415</v>
      </c>
    </row>
    <row r="8489" spans="1:3" x14ac:dyDescent="0.25">
      <c r="A8489" s="8" t="str">
        <f>"Final Program and Proceedings of IS and T's and SPSTJ's - AgX 2004: The International Symposium on Silver Halide Technology; At the Forefront of Silver Halide Imaging"</f>
        <v>Final Program and Proceedings of IS and T's and SPSTJ's - AgX 2004: The International Symposium on Silver Halide Technology; At the Forefront of Silver Halide Imaging</v>
      </c>
      <c r="B8489" s="8" t="str">
        <f>"9780892082520"</f>
        <v>9780892082520</v>
      </c>
      <c r="C8489" s="8" t="s">
        <v>415</v>
      </c>
    </row>
    <row r="8490" spans="1:3" x14ac:dyDescent="0.25">
      <c r="A8490" s="8" t="str">
        <f>"Fire and Materials 2013 - 13th International Conference and Exhibition, Conference Proceedings"</f>
        <v>Fire and Materials 2013 - 13th International Conference and Exhibition, Conference Proceedings</v>
      </c>
      <c r="B8490" s="8" t="str">
        <f>"-"</f>
        <v>-</v>
      </c>
      <c r="C8490" s="8" t="s">
        <v>416</v>
      </c>
    </row>
    <row r="8491" spans="1:3" x14ac:dyDescent="0.25">
      <c r="A8491" s="8" t="str">
        <f>"First IEEE and IFIP International Conference in Central Asia on Internet, 2005"</f>
        <v>First IEEE and IFIP International Conference in Central Asia on Internet, 2005</v>
      </c>
      <c r="B8491" s="8" t="str">
        <f>"-"</f>
        <v>-</v>
      </c>
      <c r="C8491" s="8" t="s">
        <v>9</v>
      </c>
    </row>
    <row r="8492" spans="1:3" x14ac:dyDescent="0.25">
      <c r="A8492" s="8" t="str">
        <f>"First IEEE/IFIP International Workshop on Business-Driven IT Management, BDIM 2006"</f>
        <v>First IEEE/IFIP International Workshop on Business-Driven IT Management, BDIM 2006</v>
      </c>
      <c r="B8492" s="8" t="str">
        <f>"-"</f>
        <v>-</v>
      </c>
      <c r="C8492" s="8" t="s">
        <v>9</v>
      </c>
    </row>
    <row r="8493" spans="1:3" x14ac:dyDescent="0.25">
      <c r="A8493" s="8" t="str">
        <f>"First International Conference on Communication System Software and Middleware, Comsware 2006"</f>
        <v>First International Conference on Communication System Software and Middleware, Comsware 2006</v>
      </c>
      <c r="B8493" s="8" t="str">
        <f>"-"</f>
        <v>-</v>
      </c>
      <c r="C8493" s="8" t="s">
        <v>9</v>
      </c>
    </row>
    <row r="8494" spans="1:3" x14ac:dyDescent="0.25">
      <c r="A8494" s="8" t="str">
        <f>"First International Conference on Communications and Networking in China, ChinaCom '06"</f>
        <v>First International Conference on Communications and Networking in China, ChinaCom '06</v>
      </c>
      <c r="B8494" s="8" t="str">
        <f>"9781424404636"</f>
        <v>9781424404636</v>
      </c>
      <c r="C8494" s="8" t="s">
        <v>9</v>
      </c>
    </row>
    <row r="8495" spans="1:3" x14ac:dyDescent="0.25">
      <c r="A8495" s="8" t="str">
        <f>"First International Conference on Complex, Intelligent and Software Intensive Systems, CISIS'07"</f>
        <v>First International Conference on Complex, Intelligent and Software Intensive Systems, CISIS'07</v>
      </c>
      <c r="B8495" s="8" t="str">
        <f>"9780769528236"</f>
        <v>9780769528236</v>
      </c>
      <c r="C8495" s="8" t="s">
        <v>9</v>
      </c>
    </row>
    <row r="8496" spans="1:3" x14ac:dyDescent="0.25">
      <c r="A8496" s="8" t="str">
        <f>"First International Conference on Innovative Computing, Information and Control 2006, ICICIC'06"</f>
        <v>First International Conference on Innovative Computing, Information and Control 2006, ICICIC'06</v>
      </c>
      <c r="B8496" s="8" t="str">
        <f>"9780769526164"</f>
        <v>9780769526164</v>
      </c>
      <c r="C8496" s="8" t="s">
        <v>9</v>
      </c>
    </row>
    <row r="8497" spans="1:3" x14ac:dyDescent="0.25">
      <c r="A8497" s="8" t="str">
        <f>"First International Conference on Quantum, Nano, and Micro Technologies, ICQNM 2007"</f>
        <v>First International Conference on Quantum, Nano, and Micro Technologies, ICQNM 2007</v>
      </c>
      <c r="B8497" s="8" t="str">
        <f>"9780769527598"</f>
        <v>9780769527598</v>
      </c>
      <c r="C8497" s="8" t="s">
        <v>9</v>
      </c>
    </row>
    <row r="8498" spans="1:3" x14ac:dyDescent="0.25">
      <c r="A8498" s="8" t="str">
        <f>"First International Conference on Self-Adaptive and Self-Organizing Systems, SASO 2007"</f>
        <v>First International Conference on Self-Adaptive and Self-Organizing Systems, SASO 2007</v>
      </c>
      <c r="B8498" s="8" t="str">
        <f>"9780769529066"</f>
        <v>9780769529066</v>
      </c>
      <c r="C8498" s="8" t="s">
        <v>9</v>
      </c>
    </row>
    <row r="8499" spans="1:3" x14ac:dyDescent="0.25">
      <c r="A8499" s="8" t="str">
        <f>"First International IEEE Conference on Polymers and Adhesives in Microelectronics and Photonics: Incoperating POLY, PEP and Adhasives in Electronics"</f>
        <v>First International IEEE Conference on Polymers and Adhesives in Microelectronics and Photonics: Incoperating POLY, PEP and Adhasives in Electronics</v>
      </c>
      <c r="B8499" s="8" t="str">
        <f>"9780780372207"</f>
        <v>9780780372207</v>
      </c>
      <c r="C8499" s="8" t="s">
        <v>105</v>
      </c>
    </row>
    <row r="8500" spans="1:3" x14ac:dyDescent="0.25">
      <c r="A8500" s="8" t="str">
        <f>"First International Multi- Symposiums on Computer and Computational Sciences, IMSCCS'06"</f>
        <v>First International Multi- Symposiums on Computer and Computational Sciences, IMSCCS'06</v>
      </c>
      <c r="B8500" s="8" t="str">
        <f>"-"</f>
        <v>-</v>
      </c>
      <c r="C8500" s="8" t="s">
        <v>9</v>
      </c>
    </row>
    <row r="8501" spans="1:3" x14ac:dyDescent="0.25">
      <c r="A8501" s="8" t="str">
        <f>"First International Power and Energy Conference, (PECon 2006) Proceedings"</f>
        <v>First International Power and Energy Conference, (PECon 2006) Proceedings</v>
      </c>
      <c r="B8501" s="8" t="str">
        <f>"9781424402731"</f>
        <v>9781424402731</v>
      </c>
      <c r="C8501" s="8" t="s">
        <v>9</v>
      </c>
    </row>
    <row r="8502" spans="1:3" x14ac:dyDescent="0.25">
      <c r="A8502" s="8" t="str">
        <f>"First International Workshop on Emerging Trends in FLOSS Research and Development, FLOSS'07"</f>
        <v>First International Workshop on Emerging Trends in FLOSS Research and Development, FLOSS'07</v>
      </c>
      <c r="B8502" s="8" t="str">
        <f>"9780769529615"</f>
        <v>9780769529615</v>
      </c>
      <c r="C8502" s="8" t="s">
        <v>9</v>
      </c>
    </row>
    <row r="8503" spans="1:3" x14ac:dyDescent="0.25">
      <c r="A8503" s="8" t="str">
        <f>"First International Workshop on Multimedia Requirements Enineering, MeRE'06"</f>
        <v>First International Workshop on Multimedia Requirements Enineering, MeRE'06</v>
      </c>
      <c r="B8503" s="8" t="str">
        <f>"9780769527130"</f>
        <v>9780769527130</v>
      </c>
      <c r="C8503" s="8" t="s">
        <v>9</v>
      </c>
    </row>
    <row r="8504" spans="1:3" x14ac:dyDescent="0.25">
      <c r="A8504" s="8" t="str">
        <f>"First International Workshop on the Economics of Software and Computation, ESC'07"</f>
        <v>First International Workshop on the Economics of Software and Computation, ESC'07</v>
      </c>
      <c r="B8504" s="8" t="str">
        <f>"9780769529554"</f>
        <v>9780769529554</v>
      </c>
      <c r="C8504" s="8" t="s">
        <v>9</v>
      </c>
    </row>
    <row r="8505" spans="1:3" x14ac:dyDescent="0.25">
      <c r="A8505" s="8" t="str">
        <f>"First International Workshop on Visualization in Requirements Engineering, REV 2006"</f>
        <v>First International Workshop on Visualization in Requirements Engineering, REV 2006</v>
      </c>
      <c r="B8505" s="8" t="str">
        <f>"9780769527116"</f>
        <v>9780769527116</v>
      </c>
      <c r="C8505" s="8" t="s">
        <v>9</v>
      </c>
    </row>
    <row r="8506" spans="1:3" x14ac:dyDescent="0.25">
      <c r="A8506" s="8" t="str">
        <f>"First Joint IEEE/IFIP Symposium on Theoretical Aspects of Software Engineering, TASE '07"</f>
        <v>First Joint IEEE/IFIP Symposium on Theoretical Aspects of Software Engineering, TASE '07</v>
      </c>
      <c r="B8506" s="8" t="str">
        <f>"9780769528564"</f>
        <v>9780769528564</v>
      </c>
      <c r="C8506" s="8" t="s">
        <v>9</v>
      </c>
    </row>
    <row r="8507" spans="1:3" x14ac:dyDescent="0.25">
      <c r="A8507" s="8" t="str">
        <f>"FISITA World Automotive Congress 2008, Congress Proceedings - Electronics"</f>
        <v>FISITA World Automotive Congress 2008, Congress Proceedings - Electronics</v>
      </c>
      <c r="B8507" s="8" t="str">
        <f t="shared" ref="B8507:B8514" si="19">"-"</f>
        <v>-</v>
      </c>
      <c r="C8507" s="8" t="s">
        <v>1847</v>
      </c>
    </row>
    <row r="8508" spans="1:3" x14ac:dyDescent="0.25">
      <c r="A8508" s="8" t="str">
        <f>"FISITA World Automotive Congress 2008, Congress Proceedings - Future Powertrain Solutions"</f>
        <v>FISITA World Automotive Congress 2008, Congress Proceedings - Future Powertrain Solutions</v>
      </c>
      <c r="B8508" s="8" t="str">
        <f t="shared" si="19"/>
        <v>-</v>
      </c>
      <c r="C8508" s="8" t="s">
        <v>1847</v>
      </c>
    </row>
    <row r="8509" spans="1:3" x14ac:dyDescent="0.25">
      <c r="A8509" s="8" t="str">
        <f>"FISITA World Automotive Congress 2008, Congress Proceedings - Mobility Concepts, Man Machine Interface, Process Challenges, Virtual Reality"</f>
        <v>FISITA World Automotive Congress 2008, Congress Proceedings - Mobility Concepts, Man Machine Interface, Process Challenges, Virtual Reality</v>
      </c>
      <c r="B8509" s="8" t="str">
        <f t="shared" si="19"/>
        <v>-</v>
      </c>
      <c r="C8509" s="8" t="s">
        <v>1847</v>
      </c>
    </row>
    <row r="8510" spans="1:3" x14ac:dyDescent="0.25">
      <c r="A8510" s="8" t="str">
        <f>"FISITA World Automotive Congress 2008, Congress Proceedings - Resources and Ecology"</f>
        <v>FISITA World Automotive Congress 2008, Congress Proceedings - Resources and Ecology</v>
      </c>
      <c r="B8510" s="8" t="str">
        <f t="shared" si="19"/>
        <v>-</v>
      </c>
      <c r="C8510" s="8" t="s">
        <v>1847</v>
      </c>
    </row>
    <row r="8511" spans="1:3" x14ac:dyDescent="0.25">
      <c r="A8511" s="8" t="str">
        <f>"FISITA World Automotive Congress 2008, Congress Proceedings - Testing and Simulation"</f>
        <v>FISITA World Automotive Congress 2008, Congress Proceedings - Testing and Simulation</v>
      </c>
      <c r="B8511" s="8" t="str">
        <f t="shared" si="19"/>
        <v>-</v>
      </c>
      <c r="C8511" s="8" t="s">
        <v>1847</v>
      </c>
    </row>
    <row r="8512" spans="1:3" x14ac:dyDescent="0.25">
      <c r="A8512" s="8" t="str">
        <f>"FISITA World Automotive Congress 2008, Congress Proceedings - Vehicle Concepts, Body Design, Chassis Development"</f>
        <v>FISITA World Automotive Congress 2008, Congress Proceedings - Vehicle Concepts, Body Design, Chassis Development</v>
      </c>
      <c r="B8512" s="8" t="str">
        <f t="shared" si="19"/>
        <v>-</v>
      </c>
      <c r="C8512" s="8" t="s">
        <v>1847</v>
      </c>
    </row>
    <row r="8513" spans="1:3" x14ac:dyDescent="0.25">
      <c r="A8513" s="8" t="str">
        <f>"FISITA World Automotive Congress 2008, Congress Proceedings - Vehicle Safety"</f>
        <v>FISITA World Automotive Congress 2008, Congress Proceedings - Vehicle Safety</v>
      </c>
      <c r="B8513" s="8" t="str">
        <f t="shared" si="19"/>
        <v>-</v>
      </c>
      <c r="C8513" s="8" t="s">
        <v>1847</v>
      </c>
    </row>
    <row r="8514" spans="1:3" x14ac:dyDescent="0.25">
      <c r="A8514" s="8" t="str">
        <f>"FLAIRS 2006 - Proceedings of the Nineteenth International Florida Artificial Intelligence Research Society Conference"</f>
        <v>FLAIRS 2006 - Proceedings of the Nineteenth International Florida Artificial Intelligence Research Society Conference</v>
      </c>
      <c r="B8514" s="8" t="str">
        <f t="shared" si="19"/>
        <v>-</v>
      </c>
      <c r="C8514" s="8" t="s">
        <v>21</v>
      </c>
    </row>
    <row r="8515" spans="1:3" x14ac:dyDescent="0.25">
      <c r="A8515" s="8" t="str">
        <f>"FLAIRS 2013 - Proceedings of the 26th International Florida Artificial Intelligence Research Society Conference"</f>
        <v>FLAIRS 2013 - Proceedings of the 26th International Florida Artificial Intelligence Research Society Conference</v>
      </c>
      <c r="B8515" s="8" t="str">
        <f>"9781577356059"</f>
        <v>9781577356059</v>
      </c>
      <c r="C8515" s="8" t="s">
        <v>1257</v>
      </c>
    </row>
    <row r="8516" spans="1:3" x14ac:dyDescent="0.25">
      <c r="A8516" s="8" t="str">
        <f>"Flexible Packaging Conference 2004"</f>
        <v>Flexible Packaging Conference 2004</v>
      </c>
      <c r="B8516" s="8" t="str">
        <f>"-"</f>
        <v>-</v>
      </c>
      <c r="C8516" s="8" t="s">
        <v>132</v>
      </c>
    </row>
    <row r="8517" spans="1:3" x14ac:dyDescent="0.25">
      <c r="A8517" s="8" t="str">
        <f>"FLOMEKO 2000 - 10th Conference on Flow Measurement"</f>
        <v>FLOMEKO 2000 - 10th Conference on Flow Measurement</v>
      </c>
      <c r="B8517" s="8" t="str">
        <f>"-"</f>
        <v>-</v>
      </c>
      <c r="C8517" s="8" t="s">
        <v>1198</v>
      </c>
    </row>
    <row r="8518" spans="1:3" x14ac:dyDescent="0.25">
      <c r="A8518" s="8" t="str">
        <f>"FLOMEKO 2003 - 11th IMEKO TC9 Conference on Flow Measurement"</f>
        <v>FLOMEKO 2003 - 11th IMEKO TC9 Conference on Flow Measurement</v>
      </c>
      <c r="B8518" s="8" t="str">
        <f>"-"</f>
        <v>-</v>
      </c>
      <c r="C8518" s="8" t="s">
        <v>1198</v>
      </c>
    </row>
    <row r="8519" spans="1:3" x14ac:dyDescent="0.25">
      <c r="A8519" s="8" t="str">
        <f>"Flomeko 2005 - 13th International Flow Measurement Conference"</f>
        <v>Flomeko 2005 - 13th International Flow Measurement Conference</v>
      </c>
      <c r="B8519" s="8" t="str">
        <f>"9781629934280"</f>
        <v>9781629934280</v>
      </c>
      <c r="C8519" s="8" t="s">
        <v>1198</v>
      </c>
    </row>
    <row r="8520" spans="1:3" x14ac:dyDescent="0.25">
      <c r="A8520" s="8" t="str">
        <f>"Floods, from Defence to Management: Symposium Proceedings - Proceedings of the 3rd International Symposium on Flood Defence"</f>
        <v>Floods, from Defence to Management: Symposium Proceedings - Proceedings of the 3rd International Symposium on Flood Defence</v>
      </c>
      <c r="B8520" s="8" t="str">
        <f>"9780415391191"</f>
        <v>9780415391191</v>
      </c>
      <c r="C8520" s="8" t="s">
        <v>1619</v>
      </c>
    </row>
    <row r="8521" spans="1:3" x14ac:dyDescent="0.25">
      <c r="A8521" s="8" t="str">
        <f>"Florida Educational Seminars, Inc. - 25th International Battery Seminar and Exhibit 2008: Primary and Secondary Batteries - Small Fuel Cells - Other Technologies"</f>
        <v>Florida Educational Seminars, Inc. - 25th International Battery Seminar and Exhibit 2008: Primary and Secondary Batteries - Small Fuel Cells - Other Technologies</v>
      </c>
      <c r="B8521" s="8" t="str">
        <f>"9781605601588"</f>
        <v>9781605601588</v>
      </c>
      <c r="C8521" s="8" t="s">
        <v>1440</v>
      </c>
    </row>
    <row r="8522" spans="1:3" x14ac:dyDescent="0.25">
      <c r="A8522" s="8" t="str">
        <f>"FLS 2006 - 37th ICFA Advanced Beam Dynamics Workshop on Future Light Sources"</f>
        <v>FLS 2006 - 37th ICFA Advanced Beam Dynamics Workshop on Future Light Sources</v>
      </c>
      <c r="B8522" s="8" t="str">
        <f>"-"</f>
        <v>-</v>
      </c>
      <c r="C8522" s="8" t="s">
        <v>1279</v>
      </c>
    </row>
    <row r="8523" spans="1:3" x14ac:dyDescent="0.25">
      <c r="A8523" s="8" t="str">
        <f>"Fluid Flows to Black Holes: A Tribute to S. Chandrasekhar on His Birth Centenary"</f>
        <v>Fluid Flows to Black Holes: A Tribute to S. Chandrasekhar on His Birth Centenary</v>
      </c>
      <c r="B8523" s="8" t="str">
        <f>"9789814374767"</f>
        <v>9789814374767</v>
      </c>
      <c r="C8523" s="8" t="s">
        <v>157</v>
      </c>
    </row>
    <row r="8524" spans="1:3" x14ac:dyDescent="0.25">
      <c r="A8524" s="8" t="str">
        <f>"Fluids 2000 Conference and Exhibit"</f>
        <v>Fluids 2000 Conference and Exhibit</v>
      </c>
      <c r="B8524" s="8" t="str">
        <f>"-"</f>
        <v>-</v>
      </c>
      <c r="C8524" s="8" t="s">
        <v>104</v>
      </c>
    </row>
    <row r="8525" spans="1:3" x14ac:dyDescent="0.25">
      <c r="A8525" s="8" t="str">
        <f>"FMICS'05 - Proceedings of the Tenth International Workshop on Formal Methods for Industrial Critical Systems"</f>
        <v>FMICS'05 - Proceedings of the Tenth International Workshop on Formal Methods for Industrial Critical Systems</v>
      </c>
      <c r="B8525" s="8" t="str">
        <f>"-"</f>
        <v>-</v>
      </c>
      <c r="C8525" s="8" t="s">
        <v>21</v>
      </c>
    </row>
    <row r="8526" spans="1:3" x14ac:dyDescent="0.25">
      <c r="A8526" s="8" t="str">
        <f>"FMSE'04: Proceedings of the 2004 ACM Workshop on Formal Methods in Security Engineering"</f>
        <v>FMSE'04: Proceedings of the 2004 ACM Workshop on Formal Methods in Security Engineering</v>
      </c>
      <c r="B8526" s="8" t="str">
        <f>"9781581139716"</f>
        <v>9781581139716</v>
      </c>
      <c r="C8526" s="8" t="s">
        <v>21</v>
      </c>
    </row>
    <row r="8527" spans="1:3" x14ac:dyDescent="0.25">
      <c r="A8527" s="8" t="str">
        <f>"FMSE'05: Proceedings of the 2005 ACM Workshop on Formal Methods in Security Engineering"</f>
        <v>FMSE'05: Proceedings of the 2005 ACM Workshop on Formal Methods in Security Engineering</v>
      </c>
      <c r="B8527" s="8" t="str">
        <f>"9781595932310"</f>
        <v>9781595932310</v>
      </c>
      <c r="C8527" s="8" t="s">
        <v>21</v>
      </c>
    </row>
    <row r="8528" spans="1:3" x14ac:dyDescent="0.25">
      <c r="A8528" s="8" t="str">
        <f>"FMSE'07 - Proceedings of the 2007 ACM Workshop on Formal Methods in Security Engineering"</f>
        <v>FMSE'07 - Proceedings of the 2007 ACM Workshop on Formal Methods in Security Engineering</v>
      </c>
      <c r="B8528" s="8" t="str">
        <f>"9781595938879"</f>
        <v>9781595938879</v>
      </c>
      <c r="C8528" s="8" t="s">
        <v>21</v>
      </c>
    </row>
    <row r="8529" spans="1:3" x14ac:dyDescent="0.25">
      <c r="A8529" s="8" t="str">
        <f>"FOAL 2013 - Proceedings of the 12th Workshop on Foundations of Aspect-Oriented Languages"</f>
        <v>FOAL 2013 - Proceedings of the 12th Workshop on Foundations of Aspect-Oriented Languages</v>
      </c>
      <c r="B8529" s="8" t="str">
        <f>"9781450318655"</f>
        <v>9781450318655</v>
      </c>
      <c r="C8529" s="8" t="s">
        <v>21</v>
      </c>
    </row>
    <row r="8530" spans="1:3" x14ac:dyDescent="0.25">
      <c r="A8530" s="8" t="str">
        <f>"FOAL 2014 - Proceedings of the 13th Workshop on Foundations of Aspect-Oriented Languages, Co-located with MODULARITY 2014 (Formerly AOSD)"</f>
        <v>FOAL 2014 - Proceedings of the 13th Workshop on Foundations of Aspect-Oriented Languages, Co-located with MODULARITY 2014 (Formerly AOSD)</v>
      </c>
      <c r="B8530" s="8" t="str">
        <f>"9781450327985"</f>
        <v>9781450327985</v>
      </c>
      <c r="C8530" s="8" t="s">
        <v>21</v>
      </c>
    </row>
    <row r="8531" spans="1:3" x14ac:dyDescent="0.25">
      <c r="A8531" s="8" t="str">
        <f>"FOAL'08 - Proceedings of the 7th Workshop on Foundations of Aspect-Oriented Languages, Held at the 7th International Conference on Aspect-Oriented Software Development"</f>
        <v>FOAL'08 - Proceedings of the 7th Workshop on Foundations of Aspect-Oriented Languages, Held at the 7th International Conference on Aspect-Oriented Software Development</v>
      </c>
      <c r="B8531" s="8" t="str">
        <f>"9781605581101"</f>
        <v>9781605581101</v>
      </c>
      <c r="C8531" s="8" t="s">
        <v>21</v>
      </c>
    </row>
    <row r="8532" spans="1:3" x14ac:dyDescent="0.25">
      <c r="A8532" s="8" t="str">
        <f>"FOAL'12 - Proceedings of the 11th Workshop on Foundations of Aspect-Oriented Languages"</f>
        <v>FOAL'12 - Proceedings of the 11th Workshop on Foundations of Aspect-Oriented Languages</v>
      </c>
      <c r="B8532" s="8" t="str">
        <f>"9781450310994"</f>
        <v>9781450310994</v>
      </c>
      <c r="C8532" s="8" t="s">
        <v>21</v>
      </c>
    </row>
    <row r="8533" spans="1:3" x14ac:dyDescent="0.25">
      <c r="A8533" s="8" t="str">
        <f>"FOAMS 2004: 4th International Conference on Thermoplastic Foam Processing and Technology - Technical Papers"</f>
        <v>FOAMS 2004: 4th International Conference on Thermoplastic Foam Processing and Technology - Technical Papers</v>
      </c>
      <c r="B8533" s="8" t="str">
        <f>"-"</f>
        <v>-</v>
      </c>
      <c r="C8533" s="8" t="s">
        <v>132</v>
      </c>
    </row>
    <row r="8534" spans="1:3" x14ac:dyDescent="0.25">
      <c r="A8534" s="8" t="str">
        <f>"FOAMS 2009 - 7th International Conference on Foam Processing and Technology"</f>
        <v>FOAMS 2009 - 7th International Conference on Foam Processing and Technology</v>
      </c>
      <c r="B8534" s="8" t="str">
        <f>"-"</f>
        <v>-</v>
      </c>
      <c r="C8534" s="8" t="s">
        <v>132</v>
      </c>
    </row>
    <row r="8535" spans="1:3" x14ac:dyDescent="0.25">
      <c r="A8535" s="8" t="str">
        <f>"FOAMS 2011 - 9th International Conference on Foam Processing and Technology"</f>
        <v>FOAMS 2011 - 9th International Conference on Foam Processing and Technology</v>
      </c>
      <c r="B8535" s="8" t="str">
        <f>"-"</f>
        <v>-</v>
      </c>
      <c r="C8535" s="8" t="s">
        <v>132</v>
      </c>
    </row>
    <row r="8536" spans="1:3" x14ac:dyDescent="0.25">
      <c r="A8536" s="8" t="str">
        <f>"FOGA 2013 - Proceedings of the 12th ACM Workshop on Foundations of Genetic Algorithms"</f>
        <v>FOGA 2013 - Proceedings of the 12th ACM Workshop on Foundations of Genetic Algorithms</v>
      </c>
      <c r="B8536" s="8" t="str">
        <f>"9781450319904"</f>
        <v>9781450319904</v>
      </c>
      <c r="C8536" s="8" t="s">
        <v>21</v>
      </c>
    </row>
    <row r="8537" spans="1:3" x14ac:dyDescent="0.25">
      <c r="A8537" s="8" t="str">
        <f>"FOGA'11 - Proceedings of the 2011 ACM/SIGEVO Foundations of Genetic Algorithms XI"</f>
        <v>FOGA'11 - Proceedings of the 2011 ACM/SIGEVO Foundations of Genetic Algorithms XI</v>
      </c>
      <c r="B8537" s="8" t="str">
        <f>"9781450306331"</f>
        <v>9781450306331</v>
      </c>
      <c r="C8537" s="8" t="s">
        <v>21</v>
      </c>
    </row>
    <row r="8538" spans="1:3" x14ac:dyDescent="0.25">
      <c r="A8538" s="8" t="str">
        <f>"Food, Pharmaceutical and Bioengineering Division 2013 - Core Programming Area at the 2013 AIChE Annual Meeting: Global Challenges for Engineering a Sustainable Future"</f>
        <v>Food, Pharmaceutical and Bioengineering Division 2013 - Core Programming Area at the 2013 AIChE Annual Meeting: Global Challenges for Engineering a Sustainable Future</v>
      </c>
      <c r="B8538" s="8" t="str">
        <f>"9781634390415"</f>
        <v>9781634390415</v>
      </c>
      <c r="C8538" s="8" t="s">
        <v>1219</v>
      </c>
    </row>
    <row r="8539" spans="1:3" x14ac:dyDescent="0.25">
      <c r="A8539" s="8" t="str">
        <f>"Food, Pharmaceutical and Bioengineering Division 2014 - Core Programming Area at the 2014 AIChE Spring Meeting and 10th Global Congress on Process Safety"</f>
        <v>Food, Pharmaceutical and Bioengineering Division 2014 - Core Programming Area at the 2014 AIChE Spring Meeting and 10th Global Congress on Process Safety</v>
      </c>
      <c r="B8539" s="8" t="str">
        <f>"9781634390729"</f>
        <v>9781634390729</v>
      </c>
      <c r="C8539" s="8" t="s">
        <v>1219</v>
      </c>
    </row>
    <row r="8540" spans="1:3" x14ac:dyDescent="0.25">
      <c r="A8540" s="8" t="str">
        <f>"Forensic Engineering (2007)"</f>
        <v>Forensic Engineering (2007)</v>
      </c>
      <c r="B8540" s="8" t="str">
        <f>"9780784409435"</f>
        <v>9780784409435</v>
      </c>
      <c r="C8540" s="8" t="s">
        <v>111</v>
      </c>
    </row>
    <row r="8541" spans="1:3" x14ac:dyDescent="0.25">
      <c r="A8541" s="8" t="str">
        <f>"Forensic Engineering 2012: Gateway to a Better Tomorrow - Proceedings of the 6th Congress on Forensic Engineering"</f>
        <v>Forensic Engineering 2012: Gateway to a Better Tomorrow - Proceedings of the 6th Congress on Forensic Engineering</v>
      </c>
      <c r="B8541" s="8" t="str">
        <f>"9780784412640"</f>
        <v>9780784412640</v>
      </c>
      <c r="C8541" s="8" t="s">
        <v>111</v>
      </c>
    </row>
    <row r="8542" spans="1:3" x14ac:dyDescent="0.25">
      <c r="A8542" s="8" t="str">
        <f>"Forensic Engineering: Diagnosing Failures and Solving Problems - Proceedings of the 3rd International Conference on Forensic Engineering: Diagnosing Failures and Solving Problems"</f>
        <v>Forensic Engineering: Diagnosing Failures and Solving Problems - Proceedings of the 3rd International Conference on Forensic Engineering: Diagnosing Failures and Solving Problems</v>
      </c>
      <c r="B8542" s="8" t="str">
        <f>"9780415395243"</f>
        <v>9780415395243</v>
      </c>
      <c r="C8542" s="8" t="s">
        <v>1520</v>
      </c>
    </row>
    <row r="8543" spans="1:3" x14ac:dyDescent="0.25">
      <c r="A8543" s="8" t="str">
        <f>"Forest and Plant Bioproducts Division 2013 - Core Programming Area at the 2013 AIChE Annual Meeting: Global Challenges for Engineering a Sustainable Future"</f>
        <v>Forest and Plant Bioproducts Division 2013 - Core Programming Area at the 2013 AIChE Annual Meeting: Global Challenges for Engineering a Sustainable Future</v>
      </c>
      <c r="B8543" s="8" t="str">
        <f>"9781634390422"</f>
        <v>9781634390422</v>
      </c>
      <c r="C8543" s="8" t="s">
        <v>1219</v>
      </c>
    </row>
    <row r="8544" spans="1:3" x14ac:dyDescent="0.25">
      <c r="A8544" s="8" t="str">
        <f>"Formal Methods in Computer Aided Design, FMCAD 2010"</f>
        <v>Formal Methods in Computer Aided Design, FMCAD 2010</v>
      </c>
      <c r="B8544" s="8" t="str">
        <f>"9780983567806"</f>
        <v>9780983567806</v>
      </c>
      <c r="C8544" s="8" t="s">
        <v>9</v>
      </c>
    </row>
    <row r="8545" spans="1:3" x14ac:dyDescent="0.25">
      <c r="A8545" s="8" t="str">
        <f>"Formal Ontology in Information Systems: Collected Papers from the Second International Conference"</f>
        <v>Formal Ontology in Information Systems: Collected Papers from the Second International Conference</v>
      </c>
      <c r="B8545" s="8" t="str">
        <f>"9781581133776"</f>
        <v>9781581133776</v>
      </c>
      <c r="C8545" s="8" t="s">
        <v>21</v>
      </c>
    </row>
    <row r="8546" spans="1:3" x14ac:dyDescent="0.25">
      <c r="A8546" s="8" t="str">
        <f>"Formal Techniques for Verification of Complex Real-Time Systems"</f>
        <v>Formal Techniques for Verification of Complex Real-Time Systems</v>
      </c>
      <c r="B8546" s="8" t="str">
        <f>"9789038619309"</f>
        <v>9789038619309</v>
      </c>
      <c r="C8546" s="8" t="s">
        <v>1203</v>
      </c>
    </row>
    <row r="8547" spans="1:3" x14ac:dyDescent="0.25">
      <c r="A8547" s="8" t="str">
        <f>"Forming Civil Engineering's Future"</f>
        <v>Forming Civil Engineering's Future</v>
      </c>
      <c r="B8547" s="8" t="str">
        <f>"9780784404553"</f>
        <v>9780784404553</v>
      </c>
      <c r="C8547" s="8" t="s">
        <v>111</v>
      </c>
    </row>
    <row r="8548" spans="1:3" x14ac:dyDescent="0.25">
      <c r="A8548" s="8" t="str">
        <f>"FORMS/FORMAT 2010 - Formal Methods for Automation and Safety in Railway and Automotive Systems"</f>
        <v>FORMS/FORMAT 2010 - Formal Methods for Automation and Safety in Railway and Automotive Systems</v>
      </c>
      <c r="B8548" s="8" t="str">
        <f>"9783642142604"</f>
        <v>9783642142604</v>
      </c>
      <c r="C8548" s="8" t="s">
        <v>162</v>
      </c>
    </row>
    <row r="8549" spans="1:3" x14ac:dyDescent="0.25">
      <c r="A8549" s="8" t="str">
        <f>"FORMS/FORMAT 2014 - 10th Symposium on Formal Methods for Automation and Safety in Railway and Automotive Systems"</f>
        <v>FORMS/FORMAT 2014 - 10th Symposium on Formal Methods for Automation and Safety in Railway and Automotive Systems</v>
      </c>
      <c r="B8549" s="8" t="str">
        <f>"9783981688665"</f>
        <v>9783981688665</v>
      </c>
      <c r="C8549" s="8" t="s">
        <v>1603</v>
      </c>
    </row>
    <row r="8550" spans="1:3" x14ac:dyDescent="0.25">
      <c r="A8550" s="8" t="str">
        <f>"Forty-first Annual Conference on Information Sciences and Systems, CISS 2007 - Proceedings"</f>
        <v>Forty-first Annual Conference on Information Sciences and Systems, CISS 2007 - Proceedings</v>
      </c>
      <c r="B8550" s="8" t="str">
        <f>"9781424410378"</f>
        <v>9781424410378</v>
      </c>
      <c r="C8550" s="8" t="s">
        <v>105</v>
      </c>
    </row>
    <row r="8551" spans="1:3" x14ac:dyDescent="0.25">
      <c r="A8551" s="8" t="str">
        <f>"Forum Acusticum Budapest 2005: 4th European Congress on Acustics"</f>
        <v>Forum Acusticum Budapest 2005: 4th European Congress on Acustics</v>
      </c>
      <c r="B8551" s="8" t="str">
        <f>"9789638241689"</f>
        <v>9789638241689</v>
      </c>
      <c r="C8551" s="8" t="s">
        <v>1848</v>
      </c>
    </row>
    <row r="8552" spans="1:3" x14ac:dyDescent="0.25">
      <c r="A8552" s="8" t="str">
        <f>"FoSE 2007: Future of Software Engineering"</f>
        <v>FoSE 2007: Future of Software Engineering</v>
      </c>
      <c r="B8552" s="8" t="str">
        <f>"9780769528298"</f>
        <v>9780769528298</v>
      </c>
      <c r="C8552" s="8" t="s">
        <v>9</v>
      </c>
    </row>
    <row r="8553" spans="1:3" x14ac:dyDescent="0.25">
      <c r="A8553" s="8" t="str">
        <f>"Foundations of Digital Games 2012, FDG 2012 - Conference Program"</f>
        <v>Foundations of Digital Games 2012, FDG 2012 - Conference Program</v>
      </c>
      <c r="B8553" s="8" t="str">
        <f>"9781450313339"</f>
        <v>9781450313339</v>
      </c>
      <c r="C8553" s="8" t="s">
        <v>21</v>
      </c>
    </row>
    <row r="8554" spans="1:3" x14ac:dyDescent="0.25">
      <c r="A8554" s="8" t="str">
        <f>"Fourier Transform Spectroscopy, FTS 2015"</f>
        <v>Fourier Transform Spectroscopy, FTS 2015</v>
      </c>
      <c r="B8554" s="8" t="str">
        <f>"9781557528148"</f>
        <v>9781557528148</v>
      </c>
      <c r="C8554" s="8" t="s">
        <v>86</v>
      </c>
    </row>
    <row r="8555" spans="1:3" x14ac:dyDescent="0.25">
      <c r="A8555" s="8" t="str">
        <f>"Four-Point Bending - Proceedings of the 3rd Conference on Four-Point Bending"</f>
        <v>Four-Point Bending - Proceedings of the 3rd Conference on Four-Point Bending</v>
      </c>
      <c r="B8555" s="8" t="str">
        <f>"9780415643313"</f>
        <v>9780415643313</v>
      </c>
      <c r="C8555" s="8" t="s">
        <v>1619</v>
      </c>
    </row>
    <row r="8556" spans="1:3" x14ac:dyDescent="0.25">
      <c r="A8556" s="8" t="str">
        <f>"Fourth IEEE Conference on Cognitive Informatics 2005, ICCI 2005"</f>
        <v>Fourth IEEE Conference on Cognitive Informatics 2005, ICCI 2005</v>
      </c>
      <c r="B8556" s="8" t="str">
        <f>"-"</f>
        <v>-</v>
      </c>
      <c r="C8556" s="8" t="s">
        <v>9</v>
      </c>
    </row>
    <row r="8557" spans="1:3" x14ac:dyDescent="0.25">
      <c r="A8557" s="8" t="str">
        <f>"Fourth IEEE International Workshop on Technology for Education in Developing Countries, TEDC 2006"</f>
        <v>Fourth IEEE International Workshop on Technology for Education in Developing Countries, TEDC 2006</v>
      </c>
      <c r="B8557" s="8" t="str">
        <f>"-"</f>
        <v>-</v>
      </c>
      <c r="C8557" s="8" t="s">
        <v>9</v>
      </c>
    </row>
    <row r="8558" spans="1:3" x14ac:dyDescent="0.25">
      <c r="A8558" s="8" t="str">
        <f>"Fourth International Conference on Autonomic Computing, ICAC'07"</f>
        <v>Fourth International Conference on Autonomic Computing, ICAC'07</v>
      </c>
      <c r="B8558" s="8" t="str">
        <f>"9780769527796"</f>
        <v>9780769527796</v>
      </c>
      <c r="C8558" s="8" t="s">
        <v>9</v>
      </c>
    </row>
    <row r="8559" spans="1:3" x14ac:dyDescent="0.25">
      <c r="A8559" s="8" t="str">
        <f>"Fourth International Conference on Information Technology and Applications, ICITA 2007"</f>
        <v>Fourth International Conference on Information Technology and Applications, ICITA 2007</v>
      </c>
      <c r="B8559" s="8" t="str">
        <f>"9780980326703"</f>
        <v>9780980326703</v>
      </c>
      <c r="C8559" s="8" t="s">
        <v>1849</v>
      </c>
    </row>
    <row r="8560" spans="1:3" x14ac:dyDescent="0.25">
      <c r="A8560" s="8" t="str">
        <f>"Fourth International Workshop on Multidimensional Systems, NDS 2005"</f>
        <v>Fourth International Workshop on Multidimensional Systems, NDS 2005</v>
      </c>
      <c r="B8560" s="8" t="str">
        <f>"-"</f>
        <v>-</v>
      </c>
      <c r="C8560" s="8" t="s">
        <v>9</v>
      </c>
    </row>
    <row r="8561" spans="1:3" x14ac:dyDescent="0.25">
      <c r="A8561" s="8" t="str">
        <f>"Fourth International Workshops on Comparative Evaluation in Requirements Engineering, CERE'06"</f>
        <v>Fourth International Workshops on Comparative Evaluation in Requirements Engineering, CERE'06</v>
      </c>
      <c r="B8561" s="8" t="str">
        <f>"9780769527123"</f>
        <v>9780769527123</v>
      </c>
      <c r="C8561" s="8" t="s">
        <v>9</v>
      </c>
    </row>
    <row r="8562" spans="1:3" x14ac:dyDescent="0.25">
      <c r="A8562" s="8" t="str">
        <f>"Fourth Power Conversion Conference-NAGOYA, PCC-NAGOYA 2007 - Conference Proceedings"</f>
        <v>Fourth Power Conversion Conference-NAGOYA, PCC-NAGOYA 2007 - Conference Proceedings</v>
      </c>
      <c r="B8562" s="8" t="str">
        <f>"9781424408443"</f>
        <v>9781424408443</v>
      </c>
      <c r="C8562" s="8" t="s">
        <v>9</v>
      </c>
    </row>
    <row r="8563" spans="1:3" x14ac:dyDescent="0.25">
      <c r="A8563" s="8" t="str">
        <f>"FOWANC'09 - Proceedings of the 2nd ACM International Workshop on Foundations of Wireless Ad Hoc and Sensor Networking and Computing, Co-located with MobiHoc'09"</f>
        <v>FOWANC'09 - Proceedings of the 2nd ACM International Workshop on Foundations of Wireless Ad Hoc and Sensor Networking and Computing, Co-located with MobiHoc'09</v>
      </c>
      <c r="B8563" s="8" t="str">
        <f>"9781605585239"</f>
        <v>9781605585239</v>
      </c>
      <c r="C8563" s="8" t="s">
        <v>21</v>
      </c>
    </row>
    <row r="8564" spans="1:3" x14ac:dyDescent="0.25">
      <c r="A8564" s="8" t="str">
        <f>"FPL 09: 19th International Conference on Field Programmable Logic and Applications"</f>
        <v>FPL 09: 19th International Conference on Field Programmable Logic and Applications</v>
      </c>
      <c r="B8564" s="8" t="str">
        <f>"9781424438921"</f>
        <v>9781424438921</v>
      </c>
      <c r="C8564" s="8" t="s">
        <v>9</v>
      </c>
    </row>
    <row r="8565" spans="1:3" x14ac:dyDescent="0.25">
      <c r="A8565" s="8" t="str">
        <f>"FPSAC 2006 - Proceedings: 18th Annual International Conference on Formal Power Series and Algebraic Combinatorics"</f>
        <v>FPSAC 2006 - Proceedings: 18th Annual International Conference on Formal Power Series and Algebraic Combinatorics</v>
      </c>
      <c r="B8565" s="8" t="str">
        <f t="shared" ref="B8565:B8571" si="20">"-"</f>
        <v>-</v>
      </c>
      <c r="C8565" s="8" t="s">
        <v>1850</v>
      </c>
    </row>
    <row r="8566" spans="1:3" x14ac:dyDescent="0.25">
      <c r="A8566" s="8" t="str">
        <f>"FPSAC Proceedings 2005 - 17th Annual International Conference on Formal Power Series and Algebraic Combinatorics"</f>
        <v>FPSAC Proceedings 2005 - 17th Annual International Conference on Formal Power Series and Algebraic Combinatorics</v>
      </c>
      <c r="B8566" s="8" t="str">
        <f t="shared" si="20"/>
        <v>-</v>
      </c>
      <c r="C8566" s="8" t="s">
        <v>1850</v>
      </c>
    </row>
    <row r="8567" spans="1:3" x14ac:dyDescent="0.25">
      <c r="A8567" s="8" t="str">
        <f>"FPSAC'07 - 19th International Conference on Formal Power Series and Algebraic Combinatorics"</f>
        <v>FPSAC'07 - 19th International Conference on Formal Power Series and Algebraic Combinatorics</v>
      </c>
      <c r="B8567" s="8" t="str">
        <f t="shared" si="20"/>
        <v>-</v>
      </c>
      <c r="C8567" s="8" t="s">
        <v>1850</v>
      </c>
    </row>
    <row r="8568" spans="1:3" x14ac:dyDescent="0.25">
      <c r="A8568" s="8" t="str">
        <f>"FPSAC'08 - 20th International Conference on Formal Power Series and Algebraic Combinatorics"</f>
        <v>FPSAC'08 - 20th International Conference on Formal Power Series and Algebraic Combinatorics</v>
      </c>
      <c r="B8568" s="8" t="str">
        <f t="shared" si="20"/>
        <v>-</v>
      </c>
      <c r="C8568" s="8" t="s">
        <v>1851</v>
      </c>
    </row>
    <row r="8569" spans="1:3" x14ac:dyDescent="0.25">
      <c r="A8569" s="8" t="str">
        <f>"FPSAC'09 - 21st International Conference on Formal Power Series and Algebraic Combinatorics"</f>
        <v>FPSAC'09 - 21st International Conference on Formal Power Series and Algebraic Combinatorics</v>
      </c>
      <c r="B8569" s="8" t="str">
        <f t="shared" si="20"/>
        <v>-</v>
      </c>
      <c r="C8569" s="8" t="s">
        <v>1851</v>
      </c>
    </row>
    <row r="8570" spans="1:3" x14ac:dyDescent="0.25">
      <c r="A8570" s="8" t="str">
        <f>"FPSAC'10 - 22nd International Conference on Formal Power Series and Algebraic Combinatorics"</f>
        <v>FPSAC'10 - 22nd International Conference on Formal Power Series and Algebraic Combinatorics</v>
      </c>
      <c r="B8570" s="8" t="str">
        <f t="shared" si="20"/>
        <v>-</v>
      </c>
      <c r="C8570" s="8" t="s">
        <v>1851</v>
      </c>
    </row>
    <row r="8571" spans="1:3" x14ac:dyDescent="0.25">
      <c r="A8571" s="8" t="str">
        <f>"FPSAC'11 - 23rd International Conference on Formal Power Series and Algebraic Combinatorics"</f>
        <v>FPSAC'11 - 23rd International Conference on Formal Power Series and Algebraic Combinatorics</v>
      </c>
      <c r="B8571" s="8" t="str">
        <f t="shared" si="20"/>
        <v>-</v>
      </c>
      <c r="C8571" s="8" t="s">
        <v>1851</v>
      </c>
    </row>
    <row r="8572" spans="1:3" x14ac:dyDescent="0.25">
      <c r="A8572" s="8" t="str">
        <f>"FPT 2012 - 2012 International Conference on Field-Programmable Technology"</f>
        <v>FPT 2012 - 2012 International Conference on Field-Programmable Technology</v>
      </c>
      <c r="B8572" s="8" t="str">
        <f>"9781467328449"</f>
        <v>9781467328449</v>
      </c>
      <c r="C8572" s="8" t="s">
        <v>9</v>
      </c>
    </row>
    <row r="8573" spans="1:3" x14ac:dyDescent="0.25">
      <c r="A8573" s="8" t="str">
        <f>"FPT 2013 - Proceedings of the 2013 International Conference on Field Programmable Technology"</f>
        <v>FPT 2013 - Proceedings of the 2013 International Conference on Field Programmable Technology</v>
      </c>
      <c r="B8573" s="8" t="str">
        <f>"9781479921990"</f>
        <v>9781479921990</v>
      </c>
      <c r="C8573" s="8" t="s">
        <v>9</v>
      </c>
    </row>
    <row r="8574" spans="1:3" x14ac:dyDescent="0.25">
      <c r="A8574" s="8" t="str">
        <f>"Fracture and Damage of Composites"</f>
        <v>Fracture and Damage of Composites</v>
      </c>
      <c r="B8574" s="8" t="str">
        <f>"9781853126697"</f>
        <v>9781853126697</v>
      </c>
      <c r="C8574" s="8" t="s">
        <v>1641</v>
      </c>
    </row>
    <row r="8575" spans="1:3" x14ac:dyDescent="0.25">
      <c r="A8575" s="8" t="str">
        <f>"Fracture of Nano and Engineering Materials and Structures - Proceedings of the 16th European Conference of Fracture"</f>
        <v>Fracture of Nano and Engineering Materials and Structures - Proceedings of the 16th European Conference of Fracture</v>
      </c>
      <c r="B8575" s="8" t="str">
        <f>"9781402049712"</f>
        <v>9781402049712</v>
      </c>
      <c r="C8575" s="8" t="s">
        <v>162</v>
      </c>
    </row>
    <row r="8576" spans="1:3" x14ac:dyDescent="0.25">
      <c r="A8576" s="8" t="str">
        <f>"Frascati Workshop 2013 - 10th International Workshop on Multifrequency Behaviour of High Energy Cosmic Sources"</f>
        <v>Frascati Workshop 2013 - 10th International Workshop on Multifrequency Behaviour of High Energy Cosmic Sources</v>
      </c>
      <c r="B8576" s="8" t="str">
        <f>"9780000000002"</f>
        <v>9780000000002</v>
      </c>
      <c r="C8576" s="8" t="s">
        <v>1852</v>
      </c>
    </row>
    <row r="8577" spans="1:3" x14ac:dyDescent="0.25">
      <c r="A8577" s="8" t="str">
        <f>"FREECO-Onward! 2011 - Proceedings of the 2nd Workshop on Free Composition @ Onward! 2011"</f>
        <v>FREECO-Onward! 2011 - Proceedings of the 2nd Workshop on Free Composition @ Onward! 2011</v>
      </c>
      <c r="B8577" s="8" t="str">
        <f>"9781450310253"</f>
        <v>9781450310253</v>
      </c>
      <c r="C8577" s="8" t="s">
        <v>21</v>
      </c>
    </row>
    <row r="8578" spans="1:3" x14ac:dyDescent="0.25">
      <c r="A8578" s="8" t="str">
        <f>"Friction Stir Welding and Processing"</f>
        <v>Friction Stir Welding and Processing</v>
      </c>
      <c r="B8578" s="8" t="str">
        <f>"9780873395021"</f>
        <v>9780873395021</v>
      </c>
      <c r="C8578" s="8" t="s">
        <v>648</v>
      </c>
    </row>
    <row r="8579" spans="1:3" x14ac:dyDescent="0.25">
      <c r="A8579" s="8" t="str">
        <f>"Friction Stir Welding and Processing III - Proceedings of a Symposium sponsored by the Shaping and Forming Committee of (MPMD) of the Minerals, Metals and Materials Society, TMS"</f>
        <v>Friction Stir Welding and Processing III - Proceedings of a Symposium sponsored by the Shaping and Forming Committee of (MPMD) of the Minerals, Metals and Materials Society, TMS</v>
      </c>
      <c r="B8579" s="8" t="str">
        <f>"9780873395847"</f>
        <v>9780873395847</v>
      </c>
      <c r="C8579" s="8" t="s">
        <v>648</v>
      </c>
    </row>
    <row r="8580" spans="1:3" x14ac:dyDescent="0.25">
      <c r="A8580" s="8" t="str">
        <f>"From Author to Reader: Challenges for the Digital Content Chain - Proceedings of the 9th ICCC International Conference on Electronic Publishing, ELPUB 2005"</f>
        <v>From Author to Reader: Challenges for the Digital Content Chain - Proceedings of the 9th ICCC International Conference on Electronic Publishing, ELPUB 2005</v>
      </c>
      <c r="B8580" s="8" t="str">
        <f>"9789042916456"</f>
        <v>9789042916456</v>
      </c>
      <c r="C8580" s="8" t="s">
        <v>1783</v>
      </c>
    </row>
    <row r="8581" spans="1:3" x14ac:dyDescent="0.25">
      <c r="A8581" s="8" t="str">
        <f>"From CSCW to Web 2.0: European Developments in Collaborative Design - Selected Papers from COOP 2008"</f>
        <v>From CSCW to Web 2.0: European Developments in Collaborative Design - Selected Papers from COOP 2008</v>
      </c>
      <c r="B8581" s="8" t="str">
        <f>"9781848829640"</f>
        <v>9781848829640</v>
      </c>
      <c r="C8581" s="8" t="s">
        <v>162</v>
      </c>
    </row>
    <row r="8582" spans="1:3" x14ac:dyDescent="0.25">
      <c r="A8582" s="8" t="str">
        <f>"From Headwaters to the Ocean: Hydrological Changes and Watershed Management - Proceedings of the International Conference on Hydrological Changes and Management from Headwaters to the Ocean, HYDROCH"</f>
        <v>From Headwaters to the Ocean: Hydrological Changes and Watershed Management - Proceedings of the International Conference on Hydrological Changes and Management from Headwaters to the Ocean, HYDROCH</v>
      </c>
      <c r="B8582" s="8" t="str">
        <f>"9780415472791"</f>
        <v>9780415472791</v>
      </c>
      <c r="C8582" s="8" t="s">
        <v>1637</v>
      </c>
    </row>
    <row r="8583" spans="1:3" x14ac:dyDescent="0.25">
      <c r="A8583" s="8" t="str">
        <f>"From Materials to Structures: Advancement Through Innovation - Proceedings of the 22nd Australasian Conference on the Mechanics of Structures and Materials, ACMSM 2012"</f>
        <v>From Materials to Structures: Advancement Through Innovation - Proceedings of the 22nd Australasian Conference on the Mechanics of Structures and Materials, ACMSM 2012</v>
      </c>
      <c r="B8583" s="8" t="str">
        <f>"9780415633185"</f>
        <v>9780415633185</v>
      </c>
      <c r="C8583" s="8" t="s">
        <v>1619</v>
      </c>
    </row>
    <row r="8584" spans="1:3" x14ac:dyDescent="0.25">
      <c r="A8584" s="8" t="str">
        <f>"From Research to Practice in the Design of Cooperative Systems: Results and Open Challenges - Proceedings of the 10th International Conference on the Design of Cooperative Systems, COOP 2012"</f>
        <v>From Research to Practice in the Design of Cooperative Systems: Results and Open Challenges - Proceedings of the 10th International Conference on the Design of Cooperative Systems, COOP 2012</v>
      </c>
      <c r="B8584" s="8" t="str">
        <f>"9781447140924"</f>
        <v>9781447140924</v>
      </c>
      <c r="C8584" s="8" t="s">
        <v>162</v>
      </c>
    </row>
    <row r="8585" spans="1:3" x14ac:dyDescent="0.25">
      <c r="A8585" s="8" t="str">
        <f>"Frontiers in Enterprise Integration Xian International Symposium, IFISF and IFIP TC 8.9 International Conference on Research and Practical Issues of Enterprise Information Systems, CONFENIS 2007"</f>
        <v>Frontiers in Enterprise Integration Xian International Symposium, IFISF and IFIP TC 8.9 International Conference on Research and Practical Issues of Enterprise Information Systems, CONFENIS 2007</v>
      </c>
      <c r="B8585" s="8" t="str">
        <f>"9780415457798"</f>
        <v>9780415457798</v>
      </c>
      <c r="C8585" s="8" t="s">
        <v>1619</v>
      </c>
    </row>
    <row r="8586" spans="1:3" x14ac:dyDescent="0.25">
      <c r="A8586" s="8" t="str">
        <f>"Frontiers in Mechanochemistry and Mechanical Alloying"</f>
        <v>Frontiers in Mechanochemistry and Mechanical Alloying</v>
      </c>
      <c r="B8586" s="8" t="str">
        <f>"-"</f>
        <v>-</v>
      </c>
      <c r="C8586" s="8" t="s">
        <v>1853</v>
      </c>
    </row>
    <row r="8587" spans="1:3" x14ac:dyDescent="0.25">
      <c r="A8587" s="8" t="str">
        <f>"Frontiers in Offshore Geotechnics II - Proceedings of the 2nd International Symposium on Frontiers in Offshore Geotechnics"</f>
        <v>Frontiers in Offshore Geotechnics II - Proceedings of the 2nd International Symposium on Frontiers in Offshore Geotechnics</v>
      </c>
      <c r="B8587" s="8" t="str">
        <f>"9780415584807"</f>
        <v>9780415584807</v>
      </c>
      <c r="C8587" s="8" t="s">
        <v>1619</v>
      </c>
    </row>
    <row r="8588" spans="1:3" x14ac:dyDescent="0.25">
      <c r="A8588" s="8" t="str">
        <f>"Frontiers in Offshore Geotechnics III - 3rd International Symposium on Frontiers in Offshore Geotechnics, ISFOG 2015"</f>
        <v>Frontiers in Offshore Geotechnics III - 3rd International Symposium on Frontiers in Offshore Geotechnics, ISFOG 2015</v>
      </c>
      <c r="B8588" s="8" t="str">
        <f>"9781138028487"</f>
        <v>9781138028487</v>
      </c>
      <c r="C8588" s="8" t="s">
        <v>1635</v>
      </c>
    </row>
    <row r="8589" spans="1:3" x14ac:dyDescent="0.25">
      <c r="A8589" s="8" t="str">
        <f>"Frontiers in Offshore Geotechnics III - Proceedings of the 3rd International Symposium on Frontiers in Offshore Geotechnics, ISFOG 2015"</f>
        <v>Frontiers in Offshore Geotechnics III - Proceedings of the 3rd International Symposium on Frontiers in Offshore Geotechnics, ISFOG 2015</v>
      </c>
      <c r="B8589" s="8" t="str">
        <f>"9781138028500"</f>
        <v>9781138028500</v>
      </c>
      <c r="C8589" s="8" t="s">
        <v>1635</v>
      </c>
    </row>
    <row r="8590" spans="1:3" x14ac:dyDescent="0.25">
      <c r="A8590" s="8" t="str">
        <f>"Frontiers in Offshore Geotechnics, ISFOG 2005 - Proceedings of the 1st International Symposium on Frontiers in Offshore Geotechnics"</f>
        <v>Frontiers in Offshore Geotechnics, ISFOG 2005 - Proceedings of the 1st International Symposium on Frontiers in Offshore Geotechnics</v>
      </c>
      <c r="B8590" s="8" t="str">
        <f>"9780415390644"</f>
        <v>9780415390644</v>
      </c>
      <c r="C8590" s="8" t="s">
        <v>1520</v>
      </c>
    </row>
    <row r="8591" spans="1:3" x14ac:dyDescent="0.25">
      <c r="A8591" s="8" t="str">
        <f>"Frontiers in Optics, FIO 2012"</f>
        <v>Frontiers in Optics, FIO 2012</v>
      </c>
      <c r="B8591" s="8" t="str">
        <f>"9781557529565"</f>
        <v>9781557529565</v>
      </c>
      <c r="C8591" s="8" t="s">
        <v>86</v>
      </c>
    </row>
    <row r="8592" spans="1:3" x14ac:dyDescent="0.25">
      <c r="A8592" s="8" t="str">
        <f>"Frontiers in Optics, FiO 2014"</f>
        <v>Frontiers in Optics, FiO 2014</v>
      </c>
      <c r="B8592" s="8" t="str">
        <f>"-"</f>
        <v>-</v>
      </c>
      <c r="C8592" s="8" t="s">
        <v>86</v>
      </c>
    </row>
    <row r="8593" spans="1:3" x14ac:dyDescent="0.25">
      <c r="A8593" s="8" t="str">
        <f>"Frontiers in Statistical Quality Control 10"</f>
        <v>Frontiers in Statistical Quality Control 10</v>
      </c>
      <c r="B8593" s="8" t="str">
        <f>"9783790828450"</f>
        <v>9783790828450</v>
      </c>
      <c r="C8593" s="8" t="s">
        <v>162</v>
      </c>
    </row>
    <row r="8594" spans="1:3" x14ac:dyDescent="0.25">
      <c r="A8594" s="8" t="str">
        <f>"Frontiers of Discontinuous Numerical Methods and Practical Simulations in Engineering and Disaster Prevention - Proceedings of the 11th Int. Conf. on Analysis of Discontinuous Deformation, ICADD 2013"</f>
        <v>Frontiers of Discontinuous Numerical Methods and Practical Simulations in Engineering and Disaster Prevention - Proceedings of the 11th Int. Conf. on Analysis of Discontinuous Deformation, ICADD 2013</v>
      </c>
      <c r="B8594" s="8" t="str">
        <f>"-"</f>
        <v>-</v>
      </c>
      <c r="C8594" s="8" t="s">
        <v>1635</v>
      </c>
    </row>
    <row r="8595" spans="1:3" x14ac:dyDescent="0.25">
      <c r="A8595" s="8" t="str">
        <f>"Frontiers of Energy and Environmental Engineering - Proceedings of the 2012 International Conference on Frontiers of Energy and Environmental Engineering, ICFEEE 2012"</f>
        <v>Frontiers of Energy and Environmental Engineering - Proceedings of the 2012 International Conference on Frontiers of Energy and Environmental Engineering, ICFEEE 2012</v>
      </c>
      <c r="B8595" s="8" t="str">
        <f>"9780415661591"</f>
        <v>9780415661591</v>
      </c>
      <c r="C8595" s="8" t="s">
        <v>1619</v>
      </c>
    </row>
    <row r="8596" spans="1:3" x14ac:dyDescent="0.25">
      <c r="A8596" s="8" t="str">
        <f>"FTXS 2013 - Proceedings of the 3rd ACM Workshop on Fault-Tolerance for HPC at eXtreme Scale"</f>
        <v>FTXS 2013 - Proceedings of the 3rd ACM Workshop on Fault-Tolerance for HPC at eXtreme Scale</v>
      </c>
      <c r="B8596" s="8" t="str">
        <f>"9781450319836"</f>
        <v>9781450319836</v>
      </c>
      <c r="C8596" s="8" t="s">
        <v>21</v>
      </c>
    </row>
    <row r="8597" spans="1:3" x14ac:dyDescent="0.25">
      <c r="A8597" s="8" t="str">
        <f>"Fuel Cell Electronics Packaging"</f>
        <v>Fuel Cell Electronics Packaging</v>
      </c>
      <c r="B8597" s="8" t="str">
        <f>"9780387473239"</f>
        <v>9780387473239</v>
      </c>
      <c r="C8597" s="8" t="s">
        <v>834</v>
      </c>
    </row>
    <row r="8598" spans="1:3" x14ac:dyDescent="0.25">
      <c r="A8598" s="8" t="str">
        <f>"Fuel Cell Science, Engineering and Technology"</f>
        <v>Fuel Cell Science, Engineering and Technology</v>
      </c>
      <c r="B8598" s="8" t="str">
        <f>"9780791836682"</f>
        <v>9780791836682</v>
      </c>
      <c r="C8598" s="8" t="s">
        <v>1308</v>
      </c>
    </row>
    <row r="8599" spans="1:3" x14ac:dyDescent="0.25">
      <c r="A8599" s="8" t="str">
        <f>"Fuel Cell Science, Engineering and Technology - 2004"</f>
        <v>Fuel Cell Science, Engineering and Technology - 2004</v>
      </c>
      <c r="B8599" s="8" t="str">
        <f>"9780791841655"</f>
        <v>9780791841655</v>
      </c>
      <c r="C8599" s="8" t="s">
        <v>1308</v>
      </c>
    </row>
    <row r="8600" spans="1:3" x14ac:dyDescent="0.25">
      <c r="A8600" s="8" t="str">
        <f>"Fuels and Petrochemicals Division 2013 - Core Programming Area at the 2013 AIChE Annual Meeting: Global Challenges for Engineering a Sustainable Future"</f>
        <v>Fuels and Petrochemicals Division 2013 - Core Programming Area at the 2013 AIChE Annual Meeting: Global Challenges for Engineering a Sustainable Future</v>
      </c>
      <c r="B8600" s="8" t="str">
        <f>"9781634390439"</f>
        <v>9781634390439</v>
      </c>
      <c r="C8600" s="8" t="s">
        <v>1219</v>
      </c>
    </row>
    <row r="8601" spans="1:3" x14ac:dyDescent="0.25">
      <c r="A8601" s="8" t="str">
        <f>"Fuels and Petrochemicals Division 2014 - Core Programming Area at the 2014 AIChE Spring Meeting and 10th Global Congress on Process Safety"</f>
        <v>Fuels and Petrochemicals Division 2014 - Core Programming Area at the 2014 AIChE Spring Meeting and 10th Global Congress on Process Safety</v>
      </c>
      <c r="B8601" s="8" t="str">
        <f>"-"</f>
        <v>-</v>
      </c>
      <c r="C8601" s="8" t="s">
        <v>1219</v>
      </c>
    </row>
    <row r="8602" spans="1:3" x14ac:dyDescent="0.25">
      <c r="A8602" s="8" t="str">
        <f>"Fuels and Petrochemicals Division Conference, Presentations at the 2008 AIChE Spring National Meeting"</f>
        <v>Fuels and Petrochemicals Division Conference, Presentations at the 2008 AIChE Spring National Meeting</v>
      </c>
      <c r="B8602" s="8" t="str">
        <f>"9781605602219"</f>
        <v>9781605602219</v>
      </c>
      <c r="C8602" s="8" t="s">
        <v>1219</v>
      </c>
    </row>
    <row r="8603" spans="1:3" x14ac:dyDescent="0.25">
      <c r="A8603" s="8" t="str">
        <f>"FUSION 2007 - 2007 10th International Conference on Information Fusion"</f>
        <v>FUSION 2007 - 2007 10th International Conference on Information Fusion</v>
      </c>
      <c r="B8603" s="8" t="str">
        <f>"9780662478300"</f>
        <v>9780662478300</v>
      </c>
      <c r="C8603" s="8" t="s">
        <v>9</v>
      </c>
    </row>
    <row r="8604" spans="1:3" x14ac:dyDescent="0.25">
      <c r="A8604" s="8" t="str">
        <f>"Fusion 2011 - 14th International Conference on Information Fusion"</f>
        <v>Fusion 2011 - 14th International Conference on Information Fusion</v>
      </c>
      <c r="B8604" s="8" t="str">
        <f>"9781457702679"</f>
        <v>9781457702679</v>
      </c>
      <c r="C8604" s="8" t="s">
        <v>9</v>
      </c>
    </row>
    <row r="8605" spans="1:3" x14ac:dyDescent="0.25">
      <c r="A8605" s="8" t="str">
        <f>"FUSION 2014 - 17th International Conference on Information Fusion"</f>
        <v>FUSION 2014 - 17th International Conference on Information Fusion</v>
      </c>
      <c r="B8605" s="8" t="str">
        <f>"9788490123553"</f>
        <v>9788490123553</v>
      </c>
      <c r="C8605" s="8" t="s">
        <v>105</v>
      </c>
    </row>
    <row r="8606" spans="1:3" x14ac:dyDescent="0.25">
      <c r="A8606" s="8" t="str">
        <f>"Future Application and Middleware Technology on e-Science"</f>
        <v>Future Application and Middleware Technology on e-Science</v>
      </c>
      <c r="B8606" s="8" t="str">
        <f>"9781441917188"</f>
        <v>9781441917188</v>
      </c>
      <c r="C8606" s="8" t="s">
        <v>834</v>
      </c>
    </row>
    <row r="8607" spans="1:3" x14ac:dyDescent="0.25">
      <c r="A8607" s="8" t="str">
        <f>"Future Communication Technology and Engineering - Proceedings of the 2014 International Conference on Future Communication Technology and Engineering, FCTE 2014"</f>
        <v>Future Communication Technology and Engineering - Proceedings of the 2014 International Conference on Future Communication Technology and Engineering, FCTE 2014</v>
      </c>
      <c r="B8607" s="8" t="str">
        <f>"9781138027770"</f>
        <v>9781138027770</v>
      </c>
      <c r="C8607" s="8" t="s">
        <v>1635</v>
      </c>
    </row>
    <row r="8608" spans="1:3" x14ac:dyDescent="0.25">
      <c r="A8608" s="8" t="str">
        <f>"Future Communication, Information and Computer Science - Proceedings of the International Conference on Future Communication, Information and Computer Science, FCICS 2014"</f>
        <v>Future Communication, Information and Computer Science - Proceedings of the International Conference on Future Communication, Information and Computer Science, FCICS 2014</v>
      </c>
      <c r="B8608" s="8" t="str">
        <f>"9781138026537"</f>
        <v>9781138026537</v>
      </c>
      <c r="C8608" s="8" t="s">
        <v>1635</v>
      </c>
    </row>
    <row r="8609" spans="1:3" x14ac:dyDescent="0.25">
      <c r="A8609" s="8" t="str">
        <f>"Future Information Engineering and Manufacturing Science - Proceedings of the 2014 International Conference on Future Information Engineering and Manufacturing Science, FIEMS 2014"</f>
        <v>Future Information Engineering and Manufacturing Science - Proceedings of the 2014 International Conference on Future Information Engineering and Manufacturing Science, FIEMS 2014</v>
      </c>
      <c r="B8609" s="8" t="str">
        <f>"9781138026445"</f>
        <v>9781138026445</v>
      </c>
      <c r="C8609" s="8" t="s">
        <v>1635</v>
      </c>
    </row>
    <row r="8610" spans="1:3" x14ac:dyDescent="0.25">
      <c r="A8610" s="8" t="str">
        <f>"Future Mechatronics and Automation - Proceedings of the 2014 IMSS International Conference on Future Mechatronics and Automation, ICMA 2014"</f>
        <v>Future Mechatronics and Automation - Proceedings of the 2014 IMSS International Conference on Future Mechatronics and Automation, ICMA 2014</v>
      </c>
      <c r="B8610" s="8" t="str">
        <f>"9781138026483"</f>
        <v>9781138026483</v>
      </c>
      <c r="C8610" s="8" t="s">
        <v>1635</v>
      </c>
    </row>
    <row r="8611" spans="1:3" x14ac:dyDescent="0.25">
      <c r="A8611" s="8" t="str">
        <f>"Future of Software Engineering, FOSE 2014 - Proceedings"</f>
        <v>Future of Software Engineering, FOSE 2014 - Proceedings</v>
      </c>
      <c r="B8611" s="8" t="str">
        <f>"9781450328654"</f>
        <v>9781450328654</v>
      </c>
      <c r="C8611" s="8" t="s">
        <v>1235</v>
      </c>
    </row>
    <row r="8612" spans="1:3" x14ac:dyDescent="0.25">
      <c r="A8612" s="8" t="str">
        <f>"Future Play 2010: Research, Play, Share - International Academic Conference on the Future of Game Design and Technology"</f>
        <v>Future Play 2010: Research, Play, Share - International Academic Conference on the Future of Game Design and Technology</v>
      </c>
      <c r="B8612" s="8" t="str">
        <f>"9781450302357"</f>
        <v>9781450302357</v>
      </c>
      <c r="C8612" s="8" t="s">
        <v>21</v>
      </c>
    </row>
    <row r="8613" spans="1:3" x14ac:dyDescent="0.25">
      <c r="A8613" s="8" t="str">
        <f>"Future Powertrain Engine Transmission Propulsion and Emission - Proceedings of the 2008 Global Powertrain Congress"</f>
        <v>Future Powertrain Engine Transmission Propulsion and Emission - Proceedings of the 2008 Global Powertrain Congress</v>
      </c>
      <c r="B8613" s="8" t="str">
        <f>"-"</f>
        <v>-</v>
      </c>
      <c r="C8613" s="8" t="s">
        <v>1813</v>
      </c>
    </row>
    <row r="8614" spans="1:3" x14ac:dyDescent="0.25">
      <c r="A8614" s="8" t="str">
        <f>"Future Transportation Technology Conference"</f>
        <v>Future Transportation Technology Conference</v>
      </c>
      <c r="B8614" s="8" t="str">
        <f>"-"</f>
        <v>-</v>
      </c>
      <c r="C8614" s="8" t="s">
        <v>1040</v>
      </c>
    </row>
    <row r="8615" spans="1:3" x14ac:dyDescent="0.25">
      <c r="A8615" s="8" t="str">
        <f>"Future Transportation Technology Conference Illinois Institute of Technology"</f>
        <v>Future Transportation Technology Conference Illinois Institute of Technology</v>
      </c>
      <c r="B8615" s="8" t="str">
        <f>"-"</f>
        <v>-</v>
      </c>
      <c r="C8615" s="8" t="s">
        <v>1040</v>
      </c>
    </row>
    <row r="8616" spans="1:3" x14ac:dyDescent="0.25">
      <c r="A8616" s="8" t="str">
        <f>"Future Trends of Model-Driven Development - Proceedings of the 1st International Workshop on Future Trends of Model-Driven Development - FTMDD 2009 In Conjunction with ICEIS 2009"</f>
        <v>Future Trends of Model-Driven Development - Proceedings of the 1st International Workshop on Future Trends of Model-Driven Development - FTMDD 2009 In Conjunction with ICEIS 2009</v>
      </c>
      <c r="B8616" s="8" t="str">
        <f>"9789898111951"</f>
        <v>9789898111951</v>
      </c>
      <c r="C8616" s="8" t="s">
        <v>1680</v>
      </c>
    </row>
    <row r="8617" spans="1:3" x14ac:dyDescent="0.25">
      <c r="A8617" s="8" t="str">
        <f>"FuturePlay 2009 at GDC Canada International Conference on the Future of Game Design and Technology"</f>
        <v>FuturePlay 2009 at GDC Canada International Conference on the Future of Game Design and Technology</v>
      </c>
      <c r="B8617" s="8" t="str">
        <f>"9781605586854"</f>
        <v>9781605586854</v>
      </c>
      <c r="C8617" s="8" t="s">
        <v>21</v>
      </c>
    </row>
    <row r="8618" spans="1:3" x14ac:dyDescent="0.25">
      <c r="A8618" s="8" t="str">
        <f>"Futures in Mechanics of Structures and Materials - Proceedings of the 20th Australasian Conference on the Mechanics of Structures and Materials, ACMSM20"</f>
        <v>Futures in Mechanics of Structures and Materials - Proceedings of the 20th Australasian Conference on the Mechanics of Structures and Materials, ACMSM20</v>
      </c>
      <c r="B8618" s="8" t="str">
        <f>"9780415491969"</f>
        <v>9780415491969</v>
      </c>
      <c r="C8618" s="8" t="s">
        <v>1637</v>
      </c>
    </row>
    <row r="8619" spans="1:3" x14ac:dyDescent="0.25">
      <c r="A8619" s="8" t="str">
        <f>"GA 2012 - 5th Asian Regional Conference on Geosynthetics: Geosynthetics for Sustainable Adaptation to Climate Change"</f>
        <v>GA 2012 - 5th Asian Regional Conference on Geosynthetics: Geosynthetics for Sustainable Adaptation to Climate Change</v>
      </c>
      <c r="B8619" s="8" t="str">
        <f>"-"</f>
        <v>-</v>
      </c>
      <c r="C8619" s="8" t="s">
        <v>1854</v>
      </c>
    </row>
    <row r="8620" spans="1:3" x14ac:dyDescent="0.25">
      <c r="A8620" s="8" t="str">
        <f>"GAAS 2005 Conference Proceedings - 13th European Gallium Arsenide and Other Compound Semiconductors Application Symposium"</f>
        <v>GAAS 2005 Conference Proceedings - 13th European Gallium Arsenide and Other Compound Semiconductors Application Symposium</v>
      </c>
      <c r="B8620" s="8" t="str">
        <f>"-"</f>
        <v>-</v>
      </c>
      <c r="C8620" s="8" t="s">
        <v>9</v>
      </c>
    </row>
    <row r="8621" spans="1:3" x14ac:dyDescent="0.25">
      <c r="A8621" s="8" t="str">
        <f>"Gain Competitive Advantage by Managing Complexity - Proceedings of the 14th International Dependency and Structure Modelling Conference, DSM 2012"</f>
        <v>Gain Competitive Advantage by Managing Complexity - Proceedings of the 14th International Dependency and Structure Modelling Conference, DSM 2012</v>
      </c>
      <c r="B8621" s="8" t="str">
        <f>"9783446433540"</f>
        <v>9783446433540</v>
      </c>
      <c r="C8621" s="8" t="s">
        <v>1855</v>
      </c>
    </row>
    <row r="8622" spans="1:3" x14ac:dyDescent="0.25">
      <c r="A8622" s="8" t="str">
        <f>"Galvatech '04: 6th International Conference on Zinc and Zinc Alloy Coated Steel Sheet - Conference Proceedings"</f>
        <v>Galvatech '04: 6th International Conference on Zinc and Zinc Alloy Coated Steel Sheet - Conference Proceedings</v>
      </c>
      <c r="B8622" s="8" t="str">
        <f>"9781886362710"</f>
        <v>9781886362710</v>
      </c>
      <c r="C8622" s="8" t="s">
        <v>113</v>
      </c>
    </row>
    <row r="8623" spans="1:3" x14ac:dyDescent="0.25">
      <c r="A8623" s="8" t="str">
        <f>"Gamma Titanium Aluminides 2003"</f>
        <v>Gamma Titanium Aluminides 2003</v>
      </c>
      <c r="B8623" s="8" t="str">
        <f>"9780873395434"</f>
        <v>9780873395434</v>
      </c>
      <c r="C8623" s="8" t="s">
        <v>648</v>
      </c>
    </row>
    <row r="8624" spans="1:3" x14ac:dyDescent="0.25">
      <c r="A8624" s="8" t="str">
        <f>"GazeIn 2014 - Proceedings of the 7th ACM Workshop on Eye Gaze in Intelligent Human Machine Interaction: Eye-Gaze and Multimodality, Co-located with ICMI 2014"</f>
        <v>GazeIn 2014 - Proceedings of the 7th ACM Workshop on Eye Gaze in Intelligent Human Machine Interaction: Eye-Gaze and Multimodality, Co-located with ICMI 2014</v>
      </c>
      <c r="B8624" s="8" t="str">
        <f>"9781450301251"</f>
        <v>9781450301251</v>
      </c>
      <c r="C8624" s="8" t="s">
        <v>1235</v>
      </c>
    </row>
    <row r="8625" spans="1:3" x14ac:dyDescent="0.25">
      <c r="A8625" s="8" t="str">
        <f>"GCB 2009 - German Conference on Bioinformatics 2009"</f>
        <v>GCB 2009 - German Conference on Bioinformatics 2009</v>
      </c>
      <c r="B8625" s="8" t="str">
        <f>"9783885792512"</f>
        <v>9783885792512</v>
      </c>
      <c r="C8625" s="8" t="s">
        <v>833</v>
      </c>
    </row>
    <row r="8626" spans="1:3" x14ac:dyDescent="0.25">
      <c r="A8626" s="8" t="str">
        <f>"GCB 2010 - German Conference on Bioinformatics 2010"</f>
        <v>GCB 2010 - German Conference on Bioinformatics 2010</v>
      </c>
      <c r="B8626" s="8" t="str">
        <f>"9783885792673"</f>
        <v>9783885792673</v>
      </c>
      <c r="C8626" s="8" t="s">
        <v>833</v>
      </c>
    </row>
    <row r="8627" spans="1:3" x14ac:dyDescent="0.25">
      <c r="A8627" s="8" t="str">
        <f>"GCE'11 - Proceedings of the 2011 ACM Workshop on Gateway Computing Environments, Co-located with SC'11"</f>
        <v>GCE'11 - Proceedings of the 2011 ACM Workshop on Gateway Computing Environments, Co-located with SC'11</v>
      </c>
      <c r="B8627" s="8" t="str">
        <f>"9781450311236"</f>
        <v>9781450311236</v>
      </c>
      <c r="C8627" s="8" t="s">
        <v>21</v>
      </c>
    </row>
    <row r="8628" spans="1:3" x14ac:dyDescent="0.25">
      <c r="A8628" s="8" t="str">
        <f>"GD 2008 - 17th International Conference on Gas Discharges and Their Applications"</f>
        <v>GD 2008 - 17th International Conference on Gas Discharges and Their Applications</v>
      </c>
      <c r="B8628" s="8" t="str">
        <f>"9780955805202"</f>
        <v>9780955805202</v>
      </c>
      <c r="C8628" s="8" t="s">
        <v>9</v>
      </c>
    </row>
    <row r="8629" spans="1:3" x14ac:dyDescent="0.25">
      <c r="A8629" s="8" t="str">
        <f>"GECCO 2005 - Genetic and Evolutionary Computation Conference"</f>
        <v>GECCO 2005 - Genetic and Evolutionary Computation Conference</v>
      </c>
      <c r="B8629" s="8" t="str">
        <f>"9781595930101"</f>
        <v>9781595930101</v>
      </c>
      <c r="C8629" s="8" t="s">
        <v>21</v>
      </c>
    </row>
    <row r="8630" spans="1:3" x14ac:dyDescent="0.25">
      <c r="A8630" s="8" t="str">
        <f>"GECCO 2006 - Genetic and Evolutionary Computation Conference"</f>
        <v>GECCO 2006 - Genetic and Evolutionary Computation Conference</v>
      </c>
      <c r="B8630" s="8" t="str">
        <f>"9781595931863"</f>
        <v>9781595931863</v>
      </c>
      <c r="C8630" s="8" t="s">
        <v>21</v>
      </c>
    </row>
    <row r="8631" spans="1:3" x14ac:dyDescent="0.25">
      <c r="A8631" s="8" t="str">
        <f>"GECCO 2013 - Proceedings of the 2013 Genetic and Evolutionary Computation Conference"</f>
        <v>GECCO 2013 - Proceedings of the 2013 Genetic and Evolutionary Computation Conference</v>
      </c>
      <c r="B8631" s="8" t="str">
        <f>"9781450319638"</f>
        <v>9781450319638</v>
      </c>
      <c r="C8631" s="8" t="s">
        <v>21</v>
      </c>
    </row>
    <row r="8632" spans="1:3" x14ac:dyDescent="0.25">
      <c r="A8632" s="8" t="str">
        <f>"GECCO 2013 - Proceedings of the 2013 Genetic and Evolutionary Computation Conference Companion"</f>
        <v>GECCO 2013 - Proceedings of the 2013 Genetic and Evolutionary Computation Conference Companion</v>
      </c>
      <c r="B8632" s="8" t="str">
        <f>"9781450319645"</f>
        <v>9781450319645</v>
      </c>
      <c r="C8632" s="8" t="s">
        <v>21</v>
      </c>
    </row>
    <row r="8633" spans="1:3" x14ac:dyDescent="0.25">
      <c r="A8633" s="8" t="str">
        <f>"GECCO'08: Proceedings of the 10th Annual Conference on Genetic and Evolutionary Computation 2008"</f>
        <v>GECCO'08: Proceedings of the 10th Annual Conference on Genetic and Evolutionary Computation 2008</v>
      </c>
      <c r="B8633" s="8" t="str">
        <f>"9781605581309"</f>
        <v>9781605581309</v>
      </c>
      <c r="C8633" s="8" t="s">
        <v>21</v>
      </c>
    </row>
    <row r="8634" spans="1:3" x14ac:dyDescent="0.25">
      <c r="A8634" s="8" t="str">
        <f>"GECCO'12 - Proceedings of the 14th International Conference on Genetic and Evolutionary Computation"</f>
        <v>GECCO'12 - Proceedings of the 14th International Conference on Genetic and Evolutionary Computation</v>
      </c>
      <c r="B8634" s="8" t="str">
        <f>"9781450311779"</f>
        <v>9781450311779</v>
      </c>
      <c r="C8634" s="8" t="s">
        <v>21</v>
      </c>
    </row>
    <row r="8635" spans="1:3" x14ac:dyDescent="0.25">
      <c r="A8635" s="8" t="str">
        <f>"GECCO'12 - Proceedings of the 14th International Conference on Genetic and Evolutionary Computation Companion"</f>
        <v>GECCO'12 - Proceedings of the 14th International Conference on Genetic and Evolutionary Computation Companion</v>
      </c>
      <c r="B8635" s="8" t="str">
        <f>"9781450311786"</f>
        <v>9781450311786</v>
      </c>
      <c r="C8635" s="8" t="s">
        <v>21</v>
      </c>
    </row>
    <row r="8636" spans="1:3" x14ac:dyDescent="0.25">
      <c r="A8636" s="8" t="str">
        <f>"GECON 2004 - 2004 1st IEEE International Workshop on Grid Economics and Business Models"</f>
        <v>GECON 2004 - 2004 1st IEEE International Workshop on Grid Economics and Business Models</v>
      </c>
      <c r="B8636" s="8" t="str">
        <f>"9780780385252"</f>
        <v>9780780385252</v>
      </c>
      <c r="C8636" s="8" t="s">
        <v>105</v>
      </c>
    </row>
    <row r="8637" spans="1:3" x14ac:dyDescent="0.25">
      <c r="A8637" s="8" t="str">
        <f>"GeNeMe 2006 - Gemeinschaften in Neuen Medien"</f>
        <v>GeNeMe 2006 - Gemeinschaften in Neuen Medien</v>
      </c>
      <c r="B8637" s="8" t="str">
        <f>"-"</f>
        <v>-</v>
      </c>
      <c r="C8637" s="8" t="s">
        <v>1856</v>
      </c>
    </row>
    <row r="8638" spans="1:3" x14ac:dyDescent="0.25">
      <c r="A8638" s="8" t="str">
        <f>"GeNeMe 2007 - Gemeinschaften in Neuen Medien"</f>
        <v>GeNeMe 2007 - Gemeinschaften in Neuen Medien</v>
      </c>
      <c r="B8638" s="8" t="str">
        <f>"-"</f>
        <v>-</v>
      </c>
      <c r="C8638" s="8" t="s">
        <v>1856</v>
      </c>
    </row>
    <row r="8639" spans="1:3" x14ac:dyDescent="0.25">
      <c r="A8639" s="8" t="str">
        <f>"GeNeMe 2008 - Gemeinschaften in Neuen Medien"</f>
        <v>GeNeMe 2008 - Gemeinschaften in Neuen Medien</v>
      </c>
      <c r="B8639" s="8" t="str">
        <f>"9783940046956"</f>
        <v>9783940046956</v>
      </c>
      <c r="C8639" s="8" t="s">
        <v>1856</v>
      </c>
    </row>
    <row r="8640" spans="1:3" x14ac:dyDescent="0.25">
      <c r="A8640" s="8" t="str">
        <f>"GeNeMe 2009 - Gemeinschaften in Neuen Medien"</f>
        <v>GeNeMe 2009 - Gemeinschaften in Neuen Medien</v>
      </c>
      <c r="B8640" s="8" t="str">
        <f>"9783941298293"</f>
        <v>9783941298293</v>
      </c>
      <c r="C8640" s="8" t="s">
        <v>1856</v>
      </c>
    </row>
    <row r="8641" spans="1:3" x14ac:dyDescent="0.25">
      <c r="A8641" s="8" t="str">
        <f>"GeNeMe 2010 - Gemeinschaften in Neuen Medien"</f>
        <v>GeNeMe 2010 - Gemeinschaften in Neuen Medien</v>
      </c>
      <c r="B8641" s="8" t="str">
        <f>"9783941298866"</f>
        <v>9783941298866</v>
      </c>
      <c r="C8641" s="8" t="s">
        <v>1856</v>
      </c>
    </row>
    <row r="8642" spans="1:3" x14ac:dyDescent="0.25">
      <c r="A8642" s="8" t="str">
        <f>"GeNeMe 2011 - Gemeinschaften in Neuen Medien"</f>
        <v>GeNeMe 2011 - Gemeinschaften in Neuen Medien</v>
      </c>
      <c r="B8642" s="8" t="str">
        <f>"9783942710350"</f>
        <v>9783942710350</v>
      </c>
      <c r="C8642" s="8" t="s">
        <v>1856</v>
      </c>
    </row>
    <row r="8643" spans="1:3" x14ac:dyDescent="0.25">
      <c r="A8643" s="8" t="str">
        <f>"General Aviation Technology Conference and Exhibition"</f>
        <v>General Aviation Technology Conference and Exhibition</v>
      </c>
      <c r="B8643" s="8" t="str">
        <f>"-"</f>
        <v>-</v>
      </c>
      <c r="C8643" s="8" t="s">
        <v>1040</v>
      </c>
    </row>
    <row r="8644" spans="1:3" x14ac:dyDescent="0.25">
      <c r="A8644" s="8" t="str">
        <f>"General Members Meeting and eCrime Researchers Summit, eCrime 2010"</f>
        <v>General Members Meeting and eCrime Researchers Summit, eCrime 2010</v>
      </c>
      <c r="B8644" s="8" t="str">
        <f>"9781424477623"</f>
        <v>9781424477623</v>
      </c>
      <c r="C8644" s="8" t="s">
        <v>9</v>
      </c>
    </row>
    <row r="8645" spans="1:3" x14ac:dyDescent="0.25">
      <c r="A8645" s="8" t="str">
        <f>"Genetic and Evolutionary Computation Conference, GECCO'11"</f>
        <v>Genetic and Evolutionary Computation Conference, GECCO'11</v>
      </c>
      <c r="B8645" s="8" t="str">
        <f>"9781450305570"</f>
        <v>9781450305570</v>
      </c>
      <c r="C8645" s="8" t="s">
        <v>21</v>
      </c>
    </row>
    <row r="8646" spans="1:3" x14ac:dyDescent="0.25">
      <c r="A8646" s="8" t="str">
        <f>"Genetic and Evolutionary Computation Conference, GECCO'11 - Companion Publication"</f>
        <v>Genetic and Evolutionary Computation Conference, GECCO'11 - Companion Publication</v>
      </c>
      <c r="B8646" s="8" t="str">
        <f>"9781450306904"</f>
        <v>9781450306904</v>
      </c>
      <c r="C8646" s="8" t="s">
        <v>21</v>
      </c>
    </row>
    <row r="8647" spans="1:3" x14ac:dyDescent="0.25">
      <c r="A8647" s="8" t="str">
        <f>"GENSIPS'07 - 5th IEEE International Workshop on Genomic Signal Processing and Statistics"</f>
        <v>GENSIPS'07 - 5th IEEE International Workshop on Genomic Signal Processing and Statistics</v>
      </c>
      <c r="B8647" s="8" t="str">
        <f>"9781424409990"</f>
        <v>9781424409990</v>
      </c>
      <c r="C8647" s="8" t="s">
        <v>9</v>
      </c>
    </row>
    <row r="8648" spans="1:3" x14ac:dyDescent="0.25">
      <c r="A8648" s="8" t="str">
        <f>"GENSIPS'08 - 6th IEEE International Workshop on Genomic Signal Processing and Statistics"</f>
        <v>GENSIPS'08 - 6th IEEE International Workshop on Genomic Signal Processing and Statistics</v>
      </c>
      <c r="B8648" s="8" t="str">
        <f>"9781424423729"</f>
        <v>9781424423729</v>
      </c>
      <c r="C8648" s="8" t="s">
        <v>9</v>
      </c>
    </row>
    <row r="8649" spans="1:3" x14ac:dyDescent="0.25">
      <c r="A8649" s="8" t="str">
        <f>"GEOBAIKAL 2014 - 3rd International Geobaikal Conference 2014: Exploration and Field Development in East Siberia"</f>
        <v>GEOBAIKAL 2014 - 3rd International Geobaikal Conference 2014: Exploration and Field Development in East Siberia</v>
      </c>
      <c r="B8649" s="8" t="str">
        <f>"9781634391665"</f>
        <v>9781634391665</v>
      </c>
      <c r="C8649" s="8" t="s">
        <v>1251</v>
      </c>
    </row>
    <row r="8650" spans="1:3" x14ac:dyDescent="0.25">
      <c r="A8650" s="8" t="str">
        <f>"GeoCongress 2006: Geotechnical Engineering in the Information Technology Age"</f>
        <v>GeoCongress 2006: Geotechnical Engineering in the Information Technology Age</v>
      </c>
      <c r="B8650" s="8" t="str">
        <f>"-"</f>
        <v>-</v>
      </c>
      <c r="C8650" s="8" t="s">
        <v>111</v>
      </c>
    </row>
    <row r="8651" spans="1:3" x14ac:dyDescent="0.25">
      <c r="A8651" s="8" t="str">
        <f>"GEOCROWD 2012 - Proceedings of the 1st ACM SIGSPATIAL International Workshop on Crowdsourced and Volunteered Geographic Information"</f>
        <v>GEOCROWD 2012 - Proceedings of the 1st ACM SIGSPATIAL International Workshop on Crowdsourced and Volunteered Geographic Information</v>
      </c>
      <c r="B8651" s="8" t="str">
        <f>"9781450316941"</f>
        <v>9781450316941</v>
      </c>
      <c r="C8651" s="8" t="s">
        <v>21</v>
      </c>
    </row>
    <row r="8652" spans="1:3" x14ac:dyDescent="0.25">
      <c r="A8652" s="8" t="str">
        <f>"GEOCROWD 2013 - Proceedings of the 2nd ACM SIGSPATIAL International Workshop on Crowdsourced and Volunteered Geographic Information"</f>
        <v>GEOCROWD 2013 - Proceedings of the 2nd ACM SIGSPATIAL International Workshop on Crowdsourced and Volunteered Geographic Information</v>
      </c>
      <c r="B8652" s="8" t="str">
        <f>"9781450325288"</f>
        <v>9781450325288</v>
      </c>
      <c r="C8652" s="8" t="s">
        <v>21</v>
      </c>
    </row>
    <row r="8653" spans="1:3" x14ac:dyDescent="0.25">
      <c r="A8653" s="8" t="str">
        <f>"Geoenvironmental Engineering: Integrated Management of Groundwater and Contaminated Land - Fourth British Geotechnical Association Conference"</f>
        <v>Geoenvironmental Engineering: Integrated Management of Groundwater and Contaminated Land - Fourth British Geotechnical Association Conference</v>
      </c>
      <c r="B8653" s="8" t="str">
        <f>"9780727732774"</f>
        <v>9780727732774</v>
      </c>
      <c r="C8653" s="8" t="s">
        <v>74</v>
      </c>
    </row>
    <row r="8654" spans="1:3" x14ac:dyDescent="0.25">
      <c r="A8654" s="8" t="str">
        <f>"GEOINFO 2005 - 7th Brazilian Symposium on GeoInformatics"</f>
        <v>GEOINFO 2005 - 7th Brazilian Symposium on GeoInformatics</v>
      </c>
      <c r="B8654" s="8" t="str">
        <f>"-"</f>
        <v>-</v>
      </c>
      <c r="C8654" s="8" t="s">
        <v>972</v>
      </c>
    </row>
    <row r="8655" spans="1:3" x14ac:dyDescent="0.25">
      <c r="A8655" s="8" t="str">
        <f>"GEOINFO 2006 - 8th Brazilian Symposium on GeoInformatics"</f>
        <v>GEOINFO 2006 - 8th Brazilian Symposium on GeoInformatics</v>
      </c>
      <c r="B8655" s="8" t="str">
        <f>"9788517000270"</f>
        <v>9788517000270</v>
      </c>
      <c r="C8655" s="8" t="s">
        <v>972</v>
      </c>
    </row>
    <row r="8656" spans="1:3" x14ac:dyDescent="0.25">
      <c r="A8656" s="8" t="str">
        <f>"GeoInformatics 2013 - 12th International Conference on Geoinformatics: Theoretical and Applied Aspects"</f>
        <v>GeoInformatics 2013 - 12th International Conference on Geoinformatics: Theoretical and Applied Aspects</v>
      </c>
      <c r="B8656" s="8" t="str">
        <f>"-"</f>
        <v>-</v>
      </c>
      <c r="C8656" s="8" t="s">
        <v>1251</v>
      </c>
    </row>
    <row r="8657" spans="1:3" x14ac:dyDescent="0.25">
      <c r="A8657" s="8" t="str">
        <f>"Geological Engineering and Mining Exploration in Central Asia - Proceeding Source: The XVIII Kerulien International Conference on Geology, KICG 2013"</f>
        <v>Geological Engineering and Mining Exploration in Central Asia - Proceeding Source: The XVIII Kerulien International Conference on Geology, KICG 2013</v>
      </c>
      <c r="B8657" s="8" t="str">
        <f>"9781921712364"</f>
        <v>9781921712364</v>
      </c>
      <c r="C8657" s="8" t="s">
        <v>1647</v>
      </c>
    </row>
    <row r="8658" spans="1:3" x14ac:dyDescent="0.25">
      <c r="A8658" s="8" t="str">
        <f>"Geological Resources and Good Governance in Sub-Saharan Africa - Holistic Approaches to Transparency and Sustainable Development in the Extractive Sector"</f>
        <v>Geological Resources and Good Governance in Sub-Saharan Africa - Holistic Approaches to Transparency and Sustainable Development in the Extractive Sector</v>
      </c>
      <c r="B8658" s="8" t="str">
        <f>"9780415582674"</f>
        <v>9780415582674</v>
      </c>
      <c r="C8658" s="8" t="s">
        <v>1635</v>
      </c>
    </row>
    <row r="8659" spans="1:3" x14ac:dyDescent="0.25">
      <c r="A8659" s="8" t="str">
        <f>"Geologically Active - Proceedings of the 11th IAEG Congress"</f>
        <v>Geologically Active - Proceedings of the 11th IAEG Congress</v>
      </c>
      <c r="B8659" s="8" t="str">
        <f>"9780415600347"</f>
        <v>9780415600347</v>
      </c>
      <c r="C8659" s="8" t="s">
        <v>1637</v>
      </c>
    </row>
    <row r="8660" spans="1:3" x14ac:dyDescent="0.25">
      <c r="A8660" s="8" t="str">
        <f>"Geology Resource Management and Sustainable Development: Proceedings from the 2nd Academic Conference of Geology Resource Management and Sustainable Development 2010"</f>
        <v>Geology Resource Management and Sustainable Development: Proceedings from the 2nd Academic Conference of Geology Resource Management and Sustainable Development 2010</v>
      </c>
      <c r="B8660" s="8" t="str">
        <f>"9781921712111"</f>
        <v>9781921712111</v>
      </c>
      <c r="C8660" s="8" t="s">
        <v>1857</v>
      </c>
    </row>
    <row r="8661" spans="1:3" x14ac:dyDescent="0.25">
      <c r="A8661" s="8" t="str">
        <f>"Geomechanical Processes During Underground Mining - Proceedings of the School of Underground Mining"</f>
        <v>Geomechanical Processes During Underground Mining - Proceedings of the School of Underground Mining</v>
      </c>
      <c r="B8661" s="8" t="str">
        <f>"9780415661744"</f>
        <v>9780415661744</v>
      </c>
      <c r="C8661" s="8" t="s">
        <v>1635</v>
      </c>
    </row>
    <row r="8662" spans="1:3" x14ac:dyDescent="0.25">
      <c r="A8662" s="8" t="str">
        <f>"Geomechanics and Geotechnics: From Micro to Macro - Proceedings of the International Symposium on Geomechanics and Geotechnics: From Micro to Macro, IS-Shanghai 2010"</f>
        <v>Geomechanics and Geotechnics: From Micro to Macro - Proceedings of the International Symposium on Geomechanics and Geotechnics: From Micro to Macro, IS-Shanghai 2010</v>
      </c>
      <c r="B8662" s="8" t="str">
        <f>"-"</f>
        <v>-</v>
      </c>
      <c r="C8662" s="8" t="s">
        <v>1637</v>
      </c>
    </row>
    <row r="8663" spans="1:3" x14ac:dyDescent="0.25">
      <c r="A8663" s="8" t="str">
        <f>"GeoMet 2011 - 1st AusIMM International Geometallurgy Conference 2011"</f>
        <v>GeoMet 2011 - 1st AusIMM International Geometallurgy Conference 2011</v>
      </c>
      <c r="B8663" s="8" t="str">
        <f>"9781921522505"</f>
        <v>9781921522505</v>
      </c>
      <c r="C8663" s="8" t="s">
        <v>167</v>
      </c>
    </row>
    <row r="8664" spans="1:3" x14ac:dyDescent="0.25">
      <c r="A8664" s="8" t="str">
        <f>"Geometric Modeling and Imaging New Trends, 2006"</f>
        <v>Geometric Modeling and Imaging New Trends, 2006</v>
      </c>
      <c r="B8664" s="8" t="str">
        <f>"-"</f>
        <v>-</v>
      </c>
      <c r="C8664" s="8" t="s">
        <v>9</v>
      </c>
    </row>
    <row r="8665" spans="1:3" x14ac:dyDescent="0.25">
      <c r="A8665" s="8" t="str">
        <f>"Geometric Modelling and Imaging, GMAI 2007, Proceedings"</f>
        <v>Geometric Modelling and Imaging, GMAI 2007, Proceedings</v>
      </c>
      <c r="B8665" s="8" t="str">
        <f>"9780769529011"</f>
        <v>9780769529011</v>
      </c>
      <c r="C8665" s="8" t="s">
        <v>9</v>
      </c>
    </row>
    <row r="8666" spans="1:3" x14ac:dyDescent="0.25">
      <c r="A8666" s="8" t="str">
        <f>"GeoMM 2012 - Proceedings of the 2012 ACM International Workshop on Geotagging and Its Applications in Multimedia, Co-located with ACM Multimedia 2012"</f>
        <v>GeoMM 2012 - Proceedings of the 2012 ACM International Workshop on Geotagging and Its Applications in Multimedia, Co-located with ACM Multimedia 2012</v>
      </c>
      <c r="B8666" s="8" t="str">
        <f>"9781450315906"</f>
        <v>9781450315906</v>
      </c>
      <c r="C8666" s="8" t="s">
        <v>21</v>
      </c>
    </row>
    <row r="8667" spans="1:3" x14ac:dyDescent="0.25">
      <c r="A8667" s="8" t="str">
        <f>"GeoMM 2013 - Proceedings of the 2nd International Workshop on Geotagging and Its Applications in Multimedia, Co-located with ACM Multimedia 2013"</f>
        <v>GeoMM 2013 - Proceedings of the 2nd International Workshop on Geotagging and Its Applications in Multimedia, Co-located with ACM Multimedia 2013</v>
      </c>
      <c r="B8667" s="8" t="str">
        <f>"9781450323918"</f>
        <v>9781450323918</v>
      </c>
      <c r="C8667" s="8" t="s">
        <v>21</v>
      </c>
    </row>
    <row r="8668" spans="1:3" x14ac:dyDescent="0.25">
      <c r="A8668" s="8" t="str">
        <f>"GeoMM 2014 - Proceedings of the 3rd ACM Workshop on Geotagging and Its Applications in Multimedia, Workshop of MM 2014"</f>
        <v>GeoMM 2014 - Proceedings of the 3rd ACM Workshop on Geotagging and Its Applications in Multimedia, Workshop of MM 2014</v>
      </c>
      <c r="B8668" s="8" t="str">
        <f>"9781450331272"</f>
        <v>9781450331272</v>
      </c>
      <c r="C8668" s="8" t="s">
        <v>1235</v>
      </c>
    </row>
    <row r="8669" spans="1:3" x14ac:dyDescent="0.25">
      <c r="A8669" s="8" t="str">
        <f>"Geophysics 2013 - 9th EAGE International Scientific and Practical Conference and Exhibition on Engineering and Mining Geophysics"</f>
        <v>Geophysics 2013 - 9th EAGE International Scientific and Practical Conference and Exhibition on Engineering and Mining Geophysics</v>
      </c>
      <c r="B8669" s="8" t="str">
        <f>"9789073834477"</f>
        <v>9789073834477</v>
      </c>
      <c r="C8669" s="8" t="s">
        <v>1251</v>
      </c>
    </row>
    <row r="8670" spans="1:3" x14ac:dyDescent="0.25">
      <c r="A8670" s="8" t="str">
        <f>"Geophysics 2014 - 10th EAGE International Scientific and Practical Conference and Exhibition on Engineering and Mining Geophysics"</f>
        <v>Geophysics 2014 - 10th EAGE International Scientific and Practical Conference and Exhibition on Engineering and Mining Geophysics</v>
      </c>
      <c r="B8670" s="8" t="str">
        <f>"9789073834828"</f>
        <v>9789073834828</v>
      </c>
      <c r="C8670" s="8" t="s">
        <v>1251</v>
      </c>
    </row>
    <row r="8671" spans="1:3" x14ac:dyDescent="0.25">
      <c r="A8671" s="8" t="str">
        <f>"Geophysics 2015 - 11th EAGE International Scientific and Practical Conference and Exhibition on Engineering and Mining Geophysics"</f>
        <v>Geophysics 2015 - 11th EAGE International Scientific and Practical Conference and Exhibition on Engineering and Mining Geophysics</v>
      </c>
      <c r="B8671" s="8" t="str">
        <f>"9789462821385"</f>
        <v>9789462821385</v>
      </c>
      <c r="C8671" s="8" t="s">
        <v>1251</v>
      </c>
    </row>
    <row r="8672" spans="1:3" x14ac:dyDescent="0.25">
      <c r="A8672" s="8" t="str">
        <f>"GeoSkill 2010: The Challenges of Training and Developing E and P Professionals in the 21st Century"</f>
        <v>GeoSkill 2010: The Challenges of Training and Developing E and P Professionals in the 21st Century</v>
      </c>
      <c r="B8672" s="8" t="str">
        <f>"-"</f>
        <v>-</v>
      </c>
      <c r="C8672" s="8" t="s">
        <v>1251</v>
      </c>
    </row>
    <row r="8673" spans="1:3" x14ac:dyDescent="0.25">
      <c r="A8673" s="8" t="str">
        <f>"GeoSkill 2013: 21st Century Training and Education"</f>
        <v>GeoSkill 2013: 21st Century Training and Education</v>
      </c>
      <c r="B8673" s="8" t="str">
        <f>"-"</f>
        <v>-</v>
      </c>
      <c r="C8673" s="8" t="s">
        <v>1251</v>
      </c>
    </row>
    <row r="8674" spans="1:3" x14ac:dyDescent="0.25">
      <c r="A8674" s="8" t="str">
        <f>"Geosteering and Well Placement Workshop: Balancing Value and Risk"</f>
        <v>Geosteering and Well Placement Workshop: Balancing Value and Risk</v>
      </c>
      <c r="B8674" s="8" t="str">
        <f>"-"</f>
        <v>-</v>
      </c>
      <c r="C8674" s="8" t="s">
        <v>1251</v>
      </c>
    </row>
    <row r="8675" spans="1:3" x14ac:dyDescent="0.25">
      <c r="A8675" s="8" t="str">
        <f>"Geosynthetics in Civil and Environmental Engineering - Geosynthetics Asia 2008: Proceedings of the 4th Asian Regional Conference on Geosynthetics"</f>
        <v>Geosynthetics in Civil and Environmental Engineering - Geosynthetics Asia 2008: Proceedings of the 4th Asian Regional Conference on Geosynthetics</v>
      </c>
      <c r="B8675" s="8" t="str">
        <f>"9783540693123"</f>
        <v>9783540693123</v>
      </c>
      <c r="C8675" s="8" t="s">
        <v>582</v>
      </c>
    </row>
    <row r="8676" spans="1:3" x14ac:dyDescent="0.25">
      <c r="A8676" s="8" t="str">
        <f>"Geosynthetics Research and Development in Progress"</f>
        <v>Geosynthetics Research and Development in Progress</v>
      </c>
      <c r="B8676" s="8" t="str">
        <f>"9780784407820"</f>
        <v>9780784407820</v>
      </c>
      <c r="C8676" s="8" t="s">
        <v>111</v>
      </c>
    </row>
    <row r="8677" spans="1:3" x14ac:dyDescent="0.25">
      <c r="A8677" s="8" t="str">
        <f>"Geosystems: Design Rules and Applications"</f>
        <v>Geosystems: Design Rules and Applications</v>
      </c>
      <c r="B8677" s="8" t="str">
        <f>"9780415621489"</f>
        <v>9780415621489</v>
      </c>
      <c r="C8677" s="8" t="s">
        <v>1635</v>
      </c>
    </row>
    <row r="8678" spans="1:3" x14ac:dyDescent="0.25">
      <c r="A8678" s="8" t="str">
        <f>"Geotechnical and Environmental Aspects of Waste Disposal Sites - Proceedings of Green4 International Symposium on Geotechnics Related to the Environment"</f>
        <v>Geotechnical and Environmental Aspects of Waste Disposal Sites - Proceedings of Green4 International Symposium on Geotechnics Related to the Environment</v>
      </c>
      <c r="B8678" s="8" t="str">
        <f>"9780415425957"</f>
        <v>9780415425957</v>
      </c>
      <c r="C8678" s="8" t="s">
        <v>1619</v>
      </c>
    </row>
    <row r="8679" spans="1:3" x14ac:dyDescent="0.25">
      <c r="A8679" s="8" t="str">
        <f>"Geotechnical and Geophysical Site Characterization - Proceedings of the 3rd International Conference on Site Characterization, ISC'3"</f>
        <v>Geotechnical and Geophysical Site Characterization - Proceedings of the 3rd International Conference on Site Characterization, ISC'3</v>
      </c>
      <c r="B8679" s="8" t="str">
        <f>"9780415469364"</f>
        <v>9780415469364</v>
      </c>
      <c r="C8679" s="8" t="s">
        <v>1637</v>
      </c>
    </row>
    <row r="8680" spans="1:3" x14ac:dyDescent="0.25">
      <c r="A8680" s="8" t="str">
        <f>"Geotechnical and Geophysical Site Characterization 4 - Proceedings of the 4th International Conference on Site Characterization 4, ISC-4"</f>
        <v>Geotechnical and Geophysical Site Characterization 4 - Proceedings of the 4th International Conference on Site Characterization 4, ISC-4</v>
      </c>
      <c r="B8680" s="8" t="str">
        <f>"9780415621366"</f>
        <v>9780415621366</v>
      </c>
      <c r="C8680" s="8" t="s">
        <v>1619</v>
      </c>
    </row>
    <row r="8681" spans="1:3" x14ac:dyDescent="0.25">
      <c r="A8681" s="8" t="str">
        <f>"Geotechnical Aspects of Underground Construction in Soft Ground - Proceedings of the 5th International Conference of TC28 of the ISSMGE"</f>
        <v>Geotechnical Aspects of Underground Construction in Soft Ground - Proceedings of the 5th International Conference of TC28 of the ISSMGE</v>
      </c>
      <c r="B8681" s="8" t="str">
        <f>"9780415391245"</f>
        <v>9780415391245</v>
      </c>
      <c r="C8681" s="8" t="s">
        <v>1619</v>
      </c>
    </row>
    <row r="8682" spans="1:3" x14ac:dyDescent="0.25">
      <c r="A8682" s="8" t="str">
        <f>"Geotechnical Aspects of Underground Construction in Soft Ground - Proceedings of the 6th International Symposium, IS-SHANGHAI 2008"</f>
        <v>Geotechnical Aspects of Underground Construction in Soft Ground - Proceedings of the 6th International Symposium, IS-SHANGHAI 2008</v>
      </c>
      <c r="B8682" s="8" t="str">
        <f>"9780415484756"</f>
        <v>9780415484756</v>
      </c>
      <c r="C8682" s="8" t="s">
        <v>1637</v>
      </c>
    </row>
    <row r="8683" spans="1:3" x14ac:dyDescent="0.25">
      <c r="A8683" s="8" t="str">
        <f>"Geotechnical Aspects of Underground Construction in Soft Ground - Proceedings of the 7th International Symposium on Geotechnical Aspects of Underground Construction in Soft Ground"</f>
        <v>Geotechnical Aspects of Underground Construction in Soft Ground - Proceedings of the 7th International Symposium on Geotechnical Aspects of Underground Construction in Soft Ground</v>
      </c>
      <c r="B8683" s="8" t="str">
        <f>"9780415683678"</f>
        <v>9780415683678</v>
      </c>
      <c r="C8683" s="8" t="s">
        <v>1619</v>
      </c>
    </row>
    <row r="8684" spans="1:3" x14ac:dyDescent="0.25">
      <c r="A8684" s="8" t="str">
        <f>"Geotechnical Engineering for Disaster Mitigation and Rehabilitation - Proceedings of the 2nd International Conference GEDMAR08"</f>
        <v>Geotechnical Engineering for Disaster Mitigation and Rehabilitation - Proceedings of the 2nd International Conference GEDMAR08</v>
      </c>
      <c r="B8684" s="8" t="str">
        <f>"9787030216342"</f>
        <v>9787030216342</v>
      </c>
      <c r="C8684" s="8" t="s">
        <v>182</v>
      </c>
    </row>
    <row r="8685" spans="1:3" x14ac:dyDescent="0.25">
      <c r="A8685" s="8" t="str">
        <f>"Geotechnical Engineering for Disaster Mitigation and Rehabilitation - Proceedings of the 2nd International Conference GEDMAR08"</f>
        <v>Geotechnical Engineering for Disaster Mitigation and Rehabilitation - Proceedings of the 2nd International Conference GEDMAR08</v>
      </c>
      <c r="B8685" s="8" t="str">
        <f>"9787030216342"</f>
        <v>9787030216342</v>
      </c>
    </row>
    <row r="8686" spans="1:3" x14ac:dyDescent="0.25">
      <c r="A8686" s="8" t="str">
        <f>"Geotechnical Engineering for the Preservation of Monuments and Historic Sites - Proc. of the 2nd Int. Symp. on Geotechnical Engineering for the Preservation of Monuments and Historic Sites"</f>
        <v>Geotechnical Engineering for the Preservation of Monuments and Historic Sites - Proc. of the 2nd Int. Symp. on Geotechnical Engineering for the Preservation of Monuments and Historic Sites</v>
      </c>
      <c r="B8686" s="8" t="str">
        <f>"9781138000551"</f>
        <v>9781138000551</v>
      </c>
      <c r="C8686" s="8" t="s">
        <v>1635</v>
      </c>
    </row>
    <row r="8687" spans="1:3" x14ac:dyDescent="0.25">
      <c r="A8687" s="8" t="str">
        <f>"Geotechnical Practice Publication"</f>
        <v>Geotechnical Practice Publication</v>
      </c>
      <c r="B8687" s="8" t="str">
        <f>"9780784407356"</f>
        <v>9780784407356</v>
      </c>
      <c r="C8687" s="8" t="s">
        <v>111</v>
      </c>
    </row>
    <row r="8688" spans="1:3" x14ac:dyDescent="0.25">
      <c r="A8688" s="8" t="str">
        <f>"Geotechnical Practice Publication"</f>
        <v>Geotechnical Practice Publication</v>
      </c>
      <c r="B8688" s="8" t="str">
        <f>"9780784407585"</f>
        <v>9780784407585</v>
      </c>
      <c r="C8688" s="8" t="s">
        <v>111</v>
      </c>
    </row>
    <row r="8689" spans="1:3" x14ac:dyDescent="0.25">
      <c r="A8689" s="8" t="str">
        <f>"Geotechnical Practice Publication"</f>
        <v>Geotechnical Practice Publication</v>
      </c>
      <c r="B8689" s="8" t="str">
        <f>"9780784407585"</f>
        <v>9780784407585</v>
      </c>
      <c r="C8689" s="8" t="s">
        <v>111</v>
      </c>
    </row>
    <row r="8690" spans="1:3" x14ac:dyDescent="0.25">
      <c r="A8690" s="8" t="str">
        <f>"Geotechnical Risk in Rock Tunnels - Selected Papers from a Course on Geotechnical Risk in Rock Tunnels"</f>
        <v>Geotechnical Risk in Rock Tunnels - Selected Papers from a Course on Geotechnical Risk in Rock Tunnels</v>
      </c>
      <c r="B8690" s="8" t="str">
        <f>"9780415400053"</f>
        <v>9780415400053</v>
      </c>
      <c r="C8690" s="8" t="s">
        <v>1619</v>
      </c>
    </row>
    <row r="8691" spans="1:3" x14ac:dyDescent="0.25">
      <c r="A8691" s="8" t="str">
        <f>"Geotechnical Safety and Risk IV - Proceedings of the 4th International Symposium on Geotechnical Safety and Risk, ISGSR 2013"</f>
        <v>Geotechnical Safety and Risk IV - Proceedings of the 4th International Symposium on Geotechnical Safety and Risk, ISGSR 2013</v>
      </c>
      <c r="B8691" s="8" t="str">
        <f>"9781138001633"</f>
        <v>9781138001633</v>
      </c>
      <c r="C8691" s="8" t="s">
        <v>1619</v>
      </c>
    </row>
    <row r="8692" spans="1:3" x14ac:dyDescent="0.25">
      <c r="A8692" s="8" t="str">
        <f>"Geotechnical Society of Singapore - International Symposium on Ground Improvement Technologies and Case Histories, ISGI'09"</f>
        <v>Geotechnical Society of Singapore - International Symposium on Ground Improvement Technologies and Case Histories, ISGI'09</v>
      </c>
      <c r="B8692" s="8" t="str">
        <f>"9789810831240"</f>
        <v>9789810831240</v>
      </c>
      <c r="C8692" s="8" t="s">
        <v>1554</v>
      </c>
    </row>
    <row r="8693" spans="1:3" x14ac:dyDescent="0.25">
      <c r="A8693" s="8" t="str">
        <f>"Geotechnics of Soft Soils - Focus on Ground Improvement - Proceedings of the 2nd International Workshop on Geotechnics of Soft Soils"</f>
        <v>Geotechnics of Soft Soils - Focus on Ground Improvement - Proceedings of the 2nd International Workshop on Geotechnics of Soft Soils</v>
      </c>
      <c r="B8693" s="8" t="str">
        <f>"9780415475914"</f>
        <v>9780415475914</v>
      </c>
      <c r="C8693" s="8" t="s">
        <v>1637</v>
      </c>
    </row>
    <row r="8694" spans="1:3" x14ac:dyDescent="0.25">
      <c r="A8694" s="8" t="str">
        <f>"Geo-Velopment: The Role of Geological and Geotechnical Engineering in New and Redevelopment Projects - Proceedings of the 2008 Biennial Geotechnical Seminar"</f>
        <v>Geo-Velopment: The Role of Geological and Geotechnical Engineering in New and Redevelopment Projects - Proceedings of the 2008 Biennial Geotechnical Seminar</v>
      </c>
      <c r="B8694" s="8" t="str">
        <f>"9780784410066"</f>
        <v>9780784410066</v>
      </c>
      <c r="C8694" s="8" t="s">
        <v>111</v>
      </c>
    </row>
    <row r="8695" spans="1:3" x14ac:dyDescent="0.25">
      <c r="A8695" s="8" t="str">
        <f>"German Conference on Bioinformatics 2012, GCB 2012"</f>
        <v>German Conference on Bioinformatics 2012, GCB 2012</v>
      </c>
      <c r="B8695" s="8" t="str">
        <f>"9783939897446"</f>
        <v>9783939897446</v>
      </c>
      <c r="C8695" s="8" t="s">
        <v>833</v>
      </c>
    </row>
    <row r="8696" spans="1:3" x14ac:dyDescent="0.25">
      <c r="A8696" s="8" t="str">
        <f>"German Conference on Bioinformatics, GCB 2006"</f>
        <v>German Conference on Bioinformatics, GCB 2006</v>
      </c>
      <c r="B8696" s="8" t="str">
        <f>"9783885791775"</f>
        <v>9783885791775</v>
      </c>
      <c r="C8696" s="8" t="s">
        <v>833</v>
      </c>
    </row>
    <row r="8697" spans="1:3" x14ac:dyDescent="0.25">
      <c r="A8697" s="8" t="str">
        <f>"German Microwave Conference Digest of Papers, GeMIC 2010"</f>
        <v>German Microwave Conference Digest of Papers, GeMIC 2010</v>
      </c>
      <c r="B8697" s="8" t="str">
        <f>"9781424449330"</f>
        <v>9781424449330</v>
      </c>
      <c r="C8697" s="8" t="s">
        <v>9</v>
      </c>
    </row>
    <row r="8698" spans="1:3" x14ac:dyDescent="0.25">
      <c r="A8698" s="8" t="str">
        <f>"German Microwave Conference, GeMIC 2009"</f>
        <v>German Microwave Conference, GeMIC 2009</v>
      </c>
      <c r="B8698" s="8" t="str">
        <f>"9783981266801"</f>
        <v>9783981266801</v>
      </c>
      <c r="C8698" s="8" t="s">
        <v>9</v>
      </c>
    </row>
    <row r="8699" spans="1:3" x14ac:dyDescent="0.25">
      <c r="A8699" s="8" t="str">
        <f>"GIBSE 2013 - Proceedings of the 2013 Workshop on Green in Software Engineering, Green by Software Engineering"</f>
        <v>GIBSE 2013 - Proceedings of the 2013 Workshop on Green in Software Engineering, Green by Software Engineering</v>
      </c>
      <c r="B8699" s="8" t="str">
        <f>"9781450318662"</f>
        <v>9781450318662</v>
      </c>
      <c r="C8699" s="8" t="s">
        <v>21</v>
      </c>
    </row>
    <row r="8700" spans="1:3" x14ac:dyDescent="0.25">
      <c r="A8700" s="8" t="str">
        <f>"GIS Tools for Water, Wastewater, and Stormwater Systems"</f>
        <v>GIS Tools for Water, Wastewater, and Stormwater Systems</v>
      </c>
      <c r="B8700" s="8" t="str">
        <f>"9780784405734"</f>
        <v>9780784405734</v>
      </c>
      <c r="C8700" s="8" t="s">
        <v>111</v>
      </c>
    </row>
    <row r="8701" spans="1:3" x14ac:dyDescent="0.25">
      <c r="A8701" s="8" t="str">
        <f>"GISTAM 2015 - 1st International Conference on Geographical Information Systems Theory, Applications and Management, Proceedings"</f>
        <v>GISTAM 2015 - 1st International Conference on Geographical Information Systems Theory, Applications and Management, Proceedings</v>
      </c>
      <c r="B8701" s="8" t="str">
        <f>"9789897580994"</f>
        <v>9789897580994</v>
      </c>
      <c r="C8701" s="8" t="s">
        <v>1197</v>
      </c>
    </row>
    <row r="8702" spans="1:3" x14ac:dyDescent="0.25">
      <c r="A8702" s="8" t="str">
        <f>"Global 2003: Atoms for Prosperity: Updating Eisenhower's Global Vision for Nuclear Energy"</f>
        <v>Global 2003: Atoms for Prosperity: Updating Eisenhower's Global Vision for Nuclear Energy</v>
      </c>
      <c r="B8702" s="8" t="str">
        <f>"9780894486777"</f>
        <v>9780894486777</v>
      </c>
      <c r="C8702" s="8" t="s">
        <v>453</v>
      </c>
    </row>
    <row r="8703" spans="1:3" x14ac:dyDescent="0.25">
      <c r="A8703" s="8" t="str">
        <f>"GLOBAL 2007: Advanced Nuclear Fuel Cycles and Systems"</f>
        <v>GLOBAL 2007: Advanced Nuclear Fuel Cycles and Systems</v>
      </c>
      <c r="B8703" s="8" t="str">
        <f>"9780894480553"</f>
        <v>9780894480553</v>
      </c>
      <c r="C8703" s="8" t="s">
        <v>453</v>
      </c>
    </row>
    <row r="8704" spans="1:3" x14ac:dyDescent="0.25">
      <c r="A8704" s="8" t="str">
        <f>"Global Advances in Selenium Research from Theory to Application - Proceedings of the 4th International Conference on Selenium in the Environment and Human Health, 2015"</f>
        <v>Global Advances in Selenium Research from Theory to Application - Proceedings of the 4th International Conference on Selenium in the Environment and Human Health, 2015</v>
      </c>
      <c r="B8704" s="8" t="str">
        <f>"9781138027312"</f>
        <v>9781138027312</v>
      </c>
      <c r="C8704" s="8" t="s">
        <v>1635</v>
      </c>
    </row>
    <row r="8705" spans="1:3" x14ac:dyDescent="0.25">
      <c r="A8705" s="8" t="str">
        <f>"Global Automotive Management Council - Emissions 2012, Papers - Proceedings"</f>
        <v>Global Automotive Management Council - Emissions 2012, Papers - Proceedings</v>
      </c>
      <c r="B8705" s="8" t="str">
        <f>"9781622761128"</f>
        <v>9781622761128</v>
      </c>
      <c r="C8705" s="8" t="s">
        <v>1699</v>
      </c>
    </row>
    <row r="8706" spans="1:3" x14ac:dyDescent="0.25">
      <c r="A8706" s="8" t="str">
        <f>"Global Congress on Process Safety 2012 - Topical Conference at the 2012 AIChE Spring Meeting and 8th Global Congress on Process Safety"</f>
        <v>Global Congress on Process Safety 2012 - Topical Conference at the 2012 AIChE Spring Meeting and 8th Global Congress on Process Safety</v>
      </c>
      <c r="B8706" s="8" t="str">
        <f>"9781622765621"</f>
        <v>9781622765621</v>
      </c>
      <c r="C8706" s="8" t="s">
        <v>1219</v>
      </c>
    </row>
    <row r="8707" spans="1:3" x14ac:dyDescent="0.25">
      <c r="A8707" s="8" t="str">
        <f>"Global Congress on Process Safety 2014 - Topical Conference at the 2014 AIChE Spring Meeting and 10th Global Congress on Process Safety"</f>
        <v>Global Congress on Process Safety 2014 - Topical Conference at the 2014 AIChE Spring Meeting and 10th Global Congress on Process Safety</v>
      </c>
      <c r="B8707" s="8" t="str">
        <f>"9781634390583"</f>
        <v>9781634390583</v>
      </c>
      <c r="C8707" s="8" t="s">
        <v>1219</v>
      </c>
    </row>
    <row r="8708" spans="1:3" x14ac:dyDescent="0.25">
      <c r="A8708" s="8" t="str">
        <f>"Global Design to Gain a Competitive Edge: An Holistic and Collaborative Design Approach Based on Computational Tools"</f>
        <v>Global Design to Gain a Competitive Edge: An Holistic and Collaborative Design Approach Based on Computational Tools</v>
      </c>
      <c r="B8708" s="8" t="str">
        <f>"9781848002388"</f>
        <v>9781848002388</v>
      </c>
      <c r="C8708" s="8" t="s">
        <v>1432</v>
      </c>
    </row>
    <row r="8709" spans="1:3" x14ac:dyDescent="0.25">
      <c r="A8709" s="8" t="str">
        <f>"Global Information Infrastructure Symposium, GIIS 2011"</f>
        <v>Global Information Infrastructure Symposium, GIIS 2011</v>
      </c>
      <c r="B8709" s="8" t="str">
        <f>"9781457712623"</f>
        <v>9781457712623</v>
      </c>
      <c r="C8709" s="8" t="s">
        <v>9</v>
      </c>
    </row>
    <row r="8710" spans="1:3" x14ac:dyDescent="0.25">
      <c r="A8710" s="8" t="str">
        <f>"Global Information Infrastructure Symposium, GIIS 2013"</f>
        <v>Global Information Infrastructure Symposium, GIIS 2013</v>
      </c>
      <c r="B8710" s="8" t="str">
        <f>"9781479929696"</f>
        <v>9781479929696</v>
      </c>
      <c r="C8710" s="8" t="s">
        <v>9</v>
      </c>
    </row>
    <row r="8711" spans="1:3" x14ac:dyDescent="0.25">
      <c r="A8711" s="8" t="str">
        <f>"Global Perspective for Competitive Enterprise, Economy and Ecology - Proceedings of the 16th ISPE International Conference on Concurrent Engineering"</f>
        <v>Global Perspective for Competitive Enterprise, Economy and Ecology - Proceedings of the 16th ISPE International Conference on Concurrent Engineering</v>
      </c>
      <c r="B8711" s="8" t="str">
        <f>"9781848827615"</f>
        <v>9781848827615</v>
      </c>
      <c r="C8711" s="8" t="s">
        <v>62</v>
      </c>
    </row>
    <row r="8712" spans="1:3" x14ac:dyDescent="0.25">
      <c r="A8712" s="8" t="str">
        <f>"Global Plastics Environmental Conference 2004 - Plastics: Helping Grow a Greener Environment, GPEC 2004"</f>
        <v>Global Plastics Environmental Conference 2004 - Plastics: Helping Grow a Greener Environment, GPEC 2004</v>
      </c>
      <c r="B8712" s="8" t="str">
        <f>"-"</f>
        <v>-</v>
      </c>
      <c r="C8712" s="8" t="s">
        <v>132</v>
      </c>
    </row>
    <row r="8713" spans="1:3" x14ac:dyDescent="0.25">
      <c r="A8713" s="8" t="str">
        <f>"Global Plastics Environmental Conference 2005: GPEC 2005 - Creating Sustainability for the Environment"</f>
        <v>Global Plastics Environmental Conference 2005: GPEC 2005 - Creating Sustainability for the Environment</v>
      </c>
      <c r="B8713" s="8" t="str">
        <f>"-"</f>
        <v>-</v>
      </c>
      <c r="C8713" s="8" t="s">
        <v>132</v>
      </c>
    </row>
    <row r="8714" spans="1:3" x14ac:dyDescent="0.25">
      <c r="A8714" s="8" t="str">
        <f>"Global Powertrain Congress 2008, GPC 2008 Chicago - Proceedings"</f>
        <v>Global Powertrain Congress 2008, GPC 2008 Chicago - Proceedings</v>
      </c>
      <c r="B8714" s="8" t="str">
        <f>"9781617384233"</f>
        <v>9781617384233</v>
      </c>
      <c r="C8714" s="8" t="s">
        <v>1699</v>
      </c>
    </row>
    <row r="8715" spans="1:3" x14ac:dyDescent="0.25">
      <c r="A8715" s="8" t="str">
        <f>"Global Powertrain Congress 2009, GPC 2009 Troy - Proceedings"</f>
        <v>Global Powertrain Congress 2009, GPC 2009 Troy - Proceedings</v>
      </c>
      <c r="B8715" s="8" t="str">
        <f>"9781615676712"</f>
        <v>9781615676712</v>
      </c>
      <c r="C8715" s="8" t="s">
        <v>1813</v>
      </c>
    </row>
    <row r="8716" spans="1:3" x14ac:dyDescent="0.25">
      <c r="A8716" s="8" t="str">
        <f>"Global Powertrain Congress 2010, GPC 2010 MUNICH - Papers: Proceedings"</f>
        <v>Global Powertrain Congress 2010, GPC 2010 MUNICH - Papers: Proceedings</v>
      </c>
      <c r="B8716" s="8" t="str">
        <f>"9781617821332"</f>
        <v>9781617821332</v>
      </c>
      <c r="C8716" s="8" t="s">
        <v>1699</v>
      </c>
    </row>
    <row r="8717" spans="1:3" x14ac:dyDescent="0.25">
      <c r="A8717" s="8" t="str">
        <f>"Global Powertrain Congress 2010, GPC 2010 TROY - Proceedings"</f>
        <v>Global Powertrain Congress 2010, GPC 2010 TROY - Proceedings</v>
      </c>
      <c r="B8717" s="8" t="str">
        <f>"9781617821349"</f>
        <v>9781617821349</v>
      </c>
      <c r="C8717" s="8" t="s">
        <v>1699</v>
      </c>
    </row>
    <row r="8718" spans="1:3" x14ac:dyDescent="0.25">
      <c r="A8718" s="8" t="str">
        <f>"Global Powertrain Congress 2011, GPC 2011 Munich, Held with IABC 2011 Munich - Proceedings"</f>
        <v>Global Powertrain Congress 2011, GPC 2011 Munich, Held with IABC 2011 Munich - Proceedings</v>
      </c>
      <c r="B8718" s="8" t="str">
        <f>"9781618392664"</f>
        <v>9781618392664</v>
      </c>
      <c r="C8718" s="8" t="s">
        <v>1699</v>
      </c>
    </row>
    <row r="8719" spans="1:3" x14ac:dyDescent="0.25">
      <c r="A8719" s="8" t="str">
        <f>"Global Solutions for Urban Drainage"</f>
        <v>Global Solutions for Urban Drainage</v>
      </c>
      <c r="B8719" s="8" t="str">
        <f>"9780784406441"</f>
        <v>9780784406441</v>
      </c>
      <c r="C8719" s="8" t="s">
        <v>111</v>
      </c>
    </row>
    <row r="8720" spans="1:3" x14ac:dyDescent="0.25">
      <c r="A8720" s="8" t="str">
        <f>"Global Thinking in Structural Engineering: Recent Achievements"</f>
        <v>Global Thinking in Structural Engineering: Recent Achievements</v>
      </c>
      <c r="B8720" s="8" t="str">
        <f>"9783857481253"</f>
        <v>9783857481253</v>
      </c>
      <c r="C8720" s="8" t="s">
        <v>1686</v>
      </c>
    </row>
    <row r="8721" spans="1:3" x14ac:dyDescent="0.25">
      <c r="A8721" s="8" t="str">
        <f>"Global View of Engineering Geology and the Environment - Proceedings of the International Symposium and 9th Asian Regional Conference of IAEG"</f>
        <v>Global View of Engineering Geology and the Environment - Proceedings of the International Symposium and 9th Asian Regional Conference of IAEG</v>
      </c>
      <c r="B8721" s="8" t="str">
        <f>"9781138000780"</f>
        <v>9781138000780</v>
      </c>
      <c r="C8721" s="8" t="s">
        <v>1619</v>
      </c>
    </row>
    <row r="8722" spans="1:3" x14ac:dyDescent="0.25">
      <c r="A8722" s="8" t="str">
        <f>"GlobalSoilMap: Basis of the Global Spatial Soil Information System - Proceedings of the 1st GlobalSoilMap Conference"</f>
        <v>GlobalSoilMap: Basis of the Global Spatial Soil Information System - Proceedings of the 1st GlobalSoilMap Conference</v>
      </c>
      <c r="B8722" s="8" t="str">
        <f>"9781138001190"</f>
        <v>9781138001190</v>
      </c>
      <c r="C8722" s="8" t="s">
        <v>1619</v>
      </c>
    </row>
    <row r="8723" spans="1:3" x14ac:dyDescent="0.25">
      <c r="A8723" s="8" t="str">
        <f>"Glocalized Solutions for Sustainability in Manufacturing - Proceedings of the 18th CIRP International Conference on Life Cycle Engineering"</f>
        <v>Glocalized Solutions for Sustainability in Manufacturing - Proceedings of the 18th CIRP International Conference on Life Cycle Engineering</v>
      </c>
      <c r="B8723" s="8" t="str">
        <f>"9783642196911"</f>
        <v>9783642196911</v>
      </c>
      <c r="C8723" s="8" t="s">
        <v>834</v>
      </c>
    </row>
    <row r="8724" spans="1:3" x14ac:dyDescent="0.25">
      <c r="A8724" s="8" t="str">
        <f>"GMC'2005: 2005 Global Mobile Congress - Papers"</f>
        <v>GMC'2005: 2005 Global Mobile Congress - Papers</v>
      </c>
      <c r="B8724" s="8" t="str">
        <f>"-"</f>
        <v>-</v>
      </c>
      <c r="C8724" s="8" t="s">
        <v>953</v>
      </c>
    </row>
    <row r="8725" spans="1:3" x14ac:dyDescent="0.25">
      <c r="A8725" s="8" t="str">
        <f>"GMC'2006: 2006 Global Mobile Congress - Papers"</f>
        <v>GMC'2006: 2006 Global Mobile Congress - Papers</v>
      </c>
      <c r="B8725" s="8" t="str">
        <f>"-"</f>
        <v>-</v>
      </c>
      <c r="C8725" s="8" t="s">
        <v>953</v>
      </c>
    </row>
    <row r="8726" spans="1:3" x14ac:dyDescent="0.25">
      <c r="A8726" s="8" t="str">
        <f>"GMC'2007: 2007 Global Mobile Congress - Papers"</f>
        <v>GMC'2007: 2007 Global Mobile Congress - Papers</v>
      </c>
      <c r="B8726" s="8" t="str">
        <f>"-"</f>
        <v>-</v>
      </c>
      <c r="C8726" s="8" t="s">
        <v>953</v>
      </c>
    </row>
    <row r="8727" spans="1:3" x14ac:dyDescent="0.25">
      <c r="A8727" s="8" t="str">
        <f>"GMM 2005 - VDE/VDI-Gesellschaft Mikroelektronik, Mikro- und Feinwerktechnik"</f>
        <v>GMM 2005 - VDE/VDI-Gesellschaft Mikroelektronik, Mikro- und Feinwerktechnik</v>
      </c>
      <c r="B8727" s="8" t="str">
        <f>"-"</f>
        <v>-</v>
      </c>
      <c r="C8727" s="8" t="s">
        <v>992</v>
      </c>
    </row>
    <row r="8728" spans="1:3" x14ac:dyDescent="0.25">
      <c r="A8728" s="8" t="str">
        <f>"Government/Industry Meeting"</f>
        <v>Government/Industry Meeting</v>
      </c>
      <c r="B8728" s="8" t="str">
        <f>"-"</f>
        <v>-</v>
      </c>
      <c r="C8728" s="8" t="s">
        <v>1040</v>
      </c>
    </row>
    <row r="8729" spans="1:3" x14ac:dyDescent="0.25">
      <c r="A8729" s="8" t="str">
        <f>"Government/Industry Meeting"</f>
        <v>Government/Industry Meeting</v>
      </c>
      <c r="B8729" s="8" t="str">
        <f>"9780768013191"</f>
        <v>9780768013191</v>
      </c>
      <c r="C8729" s="8" t="s">
        <v>1040</v>
      </c>
    </row>
    <row r="8730" spans="1:3" x14ac:dyDescent="0.25">
      <c r="A8730" s="8" t="str">
        <f>"Government/Industry Meeting"</f>
        <v>Government/Industry Meeting</v>
      </c>
      <c r="B8730" s="8" t="str">
        <f>"-"</f>
        <v>-</v>
      </c>
      <c r="C8730" s="8" t="s">
        <v>1040</v>
      </c>
    </row>
    <row r="8731" spans="1:3" x14ac:dyDescent="0.25">
      <c r="A8731" s="8" t="str">
        <f>"GPCE'07 - Proceedings of the Sixth International Conference on Generative Programming and Component Engineering"</f>
        <v>GPCE'07 - Proceedings of the Sixth International Conference on Generative Programming and Component Engineering</v>
      </c>
      <c r="B8731" s="8" t="str">
        <f>"9781595938558"</f>
        <v>9781595938558</v>
      </c>
      <c r="C8731" s="8" t="s">
        <v>21</v>
      </c>
    </row>
    <row r="8732" spans="1:3" x14ac:dyDescent="0.25">
      <c r="A8732" s="8" t="str">
        <f>"GPCE'08: Proceedings of the ACM SIGPLAN 7th International Conference on Generative Programming and Component Engineering"</f>
        <v>GPCE'08: Proceedings of the ACM SIGPLAN 7th International Conference on Generative Programming and Component Engineering</v>
      </c>
      <c r="B8732" s="8" t="str">
        <f>"9781605582672"</f>
        <v>9781605582672</v>
      </c>
      <c r="C8732" s="8" t="s">
        <v>21</v>
      </c>
    </row>
    <row r="8733" spans="1:3" x14ac:dyDescent="0.25">
      <c r="A8733" s="8" t="str">
        <f>"GPCE'09 - Proceedings of the 8th International ACM SIGPLAN Conference on Generative Programming and Component Engineering"</f>
        <v>GPCE'09 - Proceedings of the 8th International ACM SIGPLAN Conference on Generative Programming and Component Engineering</v>
      </c>
      <c r="B8733" s="8" t="str">
        <f>"9781605588629"</f>
        <v>9781605588629</v>
      </c>
      <c r="C8733" s="8" t="s">
        <v>21</v>
      </c>
    </row>
    <row r="8734" spans="1:3" x14ac:dyDescent="0.25">
      <c r="A8734" s="8" t="str">
        <f>"GPCE'10 - Proceedings of the 2010 Conference on Generative Programming and Component Engineering"</f>
        <v>GPCE'10 - Proceedings of the 2010 Conference on Generative Programming and Component Engineering</v>
      </c>
      <c r="B8734" s="8" t="str">
        <f>"9781450301541"</f>
        <v>9781450301541</v>
      </c>
      <c r="C8734" s="8" t="s">
        <v>21</v>
      </c>
    </row>
    <row r="8735" spans="1:3" x14ac:dyDescent="0.25">
      <c r="A8735" s="8" t="str">
        <f>"GPCE'11 - Proceedings of the 10th International Conference on Generative Programming and Component Engineering"</f>
        <v>GPCE'11 - Proceedings of the 10th International Conference on Generative Programming and Component Engineering</v>
      </c>
      <c r="B8735" s="8" t="str">
        <f>"9781450306898"</f>
        <v>9781450306898</v>
      </c>
      <c r="C8735" s="8" t="s">
        <v>21</v>
      </c>
    </row>
    <row r="8736" spans="1:3" x14ac:dyDescent="0.25">
      <c r="A8736" s="8" t="str">
        <f>"Grand Challenges in Modeling and Simulation Symposium 2008, GCMS 2008, Part of the 2008 Summer Simulation Multiconference, SummerSim 2008"</f>
        <v>Grand Challenges in Modeling and Simulation Symposium 2008, GCMS 2008, Part of the 2008 Summer Simulation Multiconference, SummerSim 2008</v>
      </c>
      <c r="B8736" s="8" t="str">
        <f>"9781622763603"</f>
        <v>9781622763603</v>
      </c>
      <c r="C8736" s="8" t="s">
        <v>1072</v>
      </c>
    </row>
    <row r="8737" spans="1:3" x14ac:dyDescent="0.25">
      <c r="A8737" s="8" t="str">
        <f>"Grand Challenges in Modeling and Simulation Symposium, GCMS 2010 - Proceedings of the 2010 Summer Simulation Multiconference, SummerSim 2010"</f>
        <v>Grand Challenges in Modeling and Simulation Symposium, GCMS 2010 - Proceedings of the 2010 Summer Simulation Multiconference, SummerSim 2010</v>
      </c>
      <c r="B8737" s="8" t="str">
        <f>"9781617387043"</f>
        <v>9781617387043</v>
      </c>
      <c r="C8737" s="8" t="s">
        <v>1072</v>
      </c>
    </row>
    <row r="8738" spans="1:3" x14ac:dyDescent="0.25">
      <c r="A8738" s="8" t="str">
        <f>"GraphiCon 2005 - International Conference on Computer Graphics and Vision, Proceedings"</f>
        <v>GraphiCon 2005 - International Conference on Computer Graphics and Vision, Proceedings</v>
      </c>
      <c r="B8738" s="8" t="str">
        <f>"-"</f>
        <v>-</v>
      </c>
      <c r="C8738" s="8" t="s">
        <v>1318</v>
      </c>
    </row>
    <row r="8739" spans="1:3" x14ac:dyDescent="0.25">
      <c r="A8739" s="8" t="str">
        <f>"GraphiCon 2006 - International Conference on Computer Graphics and Vision, Proceedings"</f>
        <v>GraphiCon 2006 - International Conference on Computer Graphics and Vision, Proceedings</v>
      </c>
      <c r="B8739" s="8" t="str">
        <f>"-"</f>
        <v>-</v>
      </c>
      <c r="C8739" s="8" t="s">
        <v>1318</v>
      </c>
    </row>
    <row r="8740" spans="1:3" x14ac:dyDescent="0.25">
      <c r="A8740" s="8" t="str">
        <f>"GraphiCon 2007 - International Conference on Computer Graphics and Vision, Proceedings"</f>
        <v>GraphiCon 2007 - International Conference on Computer Graphics and Vision, Proceedings</v>
      </c>
      <c r="B8740" s="8" t="str">
        <f>"-"</f>
        <v>-</v>
      </c>
      <c r="C8740" s="8" t="s">
        <v>1318</v>
      </c>
    </row>
    <row r="8741" spans="1:3" x14ac:dyDescent="0.25">
      <c r="A8741" s="8" t="str">
        <f>"GraphiCon 2008 - International Conference on Computer Graphics and Vision, Proceedings"</f>
        <v>GraphiCon 2008 - International Conference on Computer Graphics and Vision, Proceedings</v>
      </c>
      <c r="B8741" s="8" t="str">
        <f>"-"</f>
        <v>-</v>
      </c>
      <c r="C8741" s="8" t="s">
        <v>1318</v>
      </c>
    </row>
    <row r="8742" spans="1:3" x14ac:dyDescent="0.25">
      <c r="A8742" s="8" t="str">
        <f>"GRAPP 2006 - Proceedings of the 1st International Conference on Computer Graphics Theory and Applications"</f>
        <v>GRAPP 2006 - Proceedings of the 1st International Conference on Computer Graphics Theory and Applications</v>
      </c>
      <c r="B8742" s="8" t="str">
        <f>"9789728865399"</f>
        <v>9789728865399</v>
      </c>
      <c r="C8742" s="8" t="s">
        <v>1553</v>
      </c>
    </row>
    <row r="8743" spans="1:3" x14ac:dyDescent="0.25">
      <c r="A8743" s="8" t="str">
        <f>"GRAPP 2007 - 2nd International Conference on Computer Graphics Theory and Applications, Proceedings"</f>
        <v>GRAPP 2007 - 2nd International Conference on Computer Graphics Theory and Applications, Proceedings</v>
      </c>
      <c r="B8743" s="8" t="str">
        <f>"-"</f>
        <v>-</v>
      </c>
      <c r="C8743" s="8" t="s">
        <v>1680</v>
      </c>
    </row>
    <row r="8744" spans="1:3" x14ac:dyDescent="0.25">
      <c r="A8744" s="8" t="str">
        <f>"GRAPP 2008 - Proceedings of the 3rd International Conference on Computer Graphics Theory and Applications"</f>
        <v>GRAPP 2008 - Proceedings of the 3rd International Conference on Computer Graphics Theory and Applications</v>
      </c>
      <c r="B8744" s="8" t="str">
        <f>"9789898111203"</f>
        <v>9789898111203</v>
      </c>
      <c r="C8744" s="8" t="s">
        <v>1553</v>
      </c>
    </row>
    <row r="8745" spans="1:3" x14ac:dyDescent="0.25">
      <c r="A8745" s="8" t="str">
        <f>"GRAPP 2009 - Proceedings of the 4th International Conference on Computer Graphics Theory and Applications"</f>
        <v>GRAPP 2009 - Proceedings of the 4th International Conference on Computer Graphics Theory and Applications</v>
      </c>
      <c r="B8745" s="8" t="str">
        <f>"9789898111678"</f>
        <v>9789898111678</v>
      </c>
      <c r="C8745" s="8" t="s">
        <v>1525</v>
      </c>
    </row>
    <row r="8746" spans="1:3" x14ac:dyDescent="0.25">
      <c r="A8746" s="8" t="str">
        <f>"GRAPP 2010 - Proceedings of the International Conference on Computer Graphics Theory and Applications"</f>
        <v>GRAPP 2010 - Proceedings of the International Conference on Computer Graphics Theory and Applications</v>
      </c>
      <c r="B8746" s="8" t="str">
        <f>"9789896740269"</f>
        <v>9789896740269</v>
      </c>
      <c r="C8746" s="8" t="s">
        <v>1266</v>
      </c>
    </row>
    <row r="8747" spans="1:3" x14ac:dyDescent="0.25">
      <c r="A8747" s="8" t="str">
        <f>"GRAPP 2011 - Proceedings of the International Conference on Computer Graphics Theory and Applications"</f>
        <v>GRAPP 2011 - Proceedings of the International Conference on Computer Graphics Theory and Applications</v>
      </c>
      <c r="B8747" s="8" t="str">
        <f>"9789898425454"</f>
        <v>9789898425454</v>
      </c>
      <c r="C8747" s="8" t="s">
        <v>1553</v>
      </c>
    </row>
    <row r="8748" spans="1:3" x14ac:dyDescent="0.25">
      <c r="A8748" s="8" t="str">
        <f>"GRAPP 2012 IVAPP 2012 - Proceedings of the International Conference on Computer Graphics Theory and Applications and International Conference on Information Visualization Theory and Applications"</f>
        <v>GRAPP 2012 IVAPP 2012 - Proceedings of the International Conference on Computer Graphics Theory and Applications and International Conference on Information Visualization Theory and Applications</v>
      </c>
      <c r="B8748" s="8" t="str">
        <f>"9789898565020"</f>
        <v>9789898565020</v>
      </c>
      <c r="C8748" s="8" t="s">
        <v>1553</v>
      </c>
    </row>
    <row r="8749" spans="1:3" x14ac:dyDescent="0.25">
      <c r="A8749" s="8" t="str">
        <f>"GRAPP 2013 IVAPP 2013 - Proceedings of the International Conference on Computer Graphics Theory and Applications and International Conference on Information Visualization Theory and Applications"</f>
        <v>GRAPP 2013 IVAPP 2013 - Proceedings of the International Conference on Computer Graphics Theory and Applications and International Conference on Information Visualization Theory and Applications</v>
      </c>
      <c r="B8749" s="8" t="str">
        <f>"9789898565464"</f>
        <v>9789898565464</v>
      </c>
      <c r="C8749" s="8" t="s">
        <v>1680</v>
      </c>
    </row>
    <row r="8750" spans="1:3" x14ac:dyDescent="0.25">
      <c r="A8750" s="8" t="str">
        <f>"GRAPP 2015 - 10th International Conference on Computer Graphics Theory and Applications; VISIGRAPP, Proceedings"</f>
        <v>GRAPP 2015 - 10th International Conference on Computer Graphics Theory and Applications; VISIGRAPP, Proceedings</v>
      </c>
      <c r="B8750" s="8" t="str">
        <f>"9789897580871"</f>
        <v>9789897580871</v>
      </c>
      <c r="C8750" s="8" t="s">
        <v>1197</v>
      </c>
    </row>
    <row r="8751" spans="1:3" x14ac:dyDescent="0.25">
      <c r="A8751" s="8" t="str">
        <f>"Gravitation and Astrophysics: On the Occasion of the 90th Year of General Relativity - Proceedings of the 7th Asia-Pacific International Conference, ICGA 2005"</f>
        <v>Gravitation and Astrophysics: On the Occasion of the 90th Year of General Relativity - Proceedings of the 7th Asia-Pacific International Conference, ICGA 2005</v>
      </c>
      <c r="B8751" s="8" t="str">
        <f>"9789812569509"</f>
        <v>9789812569509</v>
      </c>
      <c r="C8751" s="8" t="s">
        <v>157</v>
      </c>
    </row>
    <row r="8752" spans="1:3" x14ac:dyDescent="0.25">
      <c r="A8752" s="8" t="str">
        <f>"Green Building, Materials and Civil Engineering - Proceedings of the 4th International Conference on GreenBuilding, Materials and Civil Engineering, GBMCE 2014"</f>
        <v>Green Building, Materials and Civil Engineering - Proceedings of the 4th International Conference on GreenBuilding, Materials and Civil Engineering, GBMCE 2014</v>
      </c>
      <c r="B8752" s="8" t="str">
        <f>"9781138026698"</f>
        <v>9781138026698</v>
      </c>
      <c r="C8752" s="8" t="s">
        <v>1635</v>
      </c>
    </row>
    <row r="8753" spans="1:3" x14ac:dyDescent="0.25">
      <c r="A8753" s="8" t="str">
        <f>"Green Chemistry and Engineering International Conference on Process Intensification and Nanotechnology"</f>
        <v>Green Chemistry and Engineering International Conference on Process Intensification and Nanotechnology</v>
      </c>
      <c r="B8753" s="8" t="str">
        <f>"9781855981010"</f>
        <v>9781855981010</v>
      </c>
      <c r="C8753" s="8" t="s">
        <v>1246</v>
      </c>
    </row>
    <row r="8754" spans="1:3" x14ac:dyDescent="0.25">
      <c r="A8754" s="8" t="str">
        <f>"Green Design, Materials and Manufacturing Processes - Proceedings of the 2nd International Conference on Sustainable Intelligent Manufacturing, SIM 2013"</f>
        <v>Green Design, Materials and Manufacturing Processes - Proceedings of the 2nd International Conference on Sustainable Intelligent Manufacturing, SIM 2013</v>
      </c>
      <c r="B8754" s="8" t="str">
        <f>"9781138000469"</f>
        <v>9781138000469</v>
      </c>
      <c r="C8754" s="8" t="s">
        <v>1619</v>
      </c>
    </row>
    <row r="8755" spans="1:3" x14ac:dyDescent="0.25">
      <c r="A8755" s="8" t="str">
        <f>"Green Processing 2002 - Proceedings: International Conference on the Sustainable Proceesing of Minerals"</f>
        <v>Green Processing 2002 - Proceedings: International Conference on the Sustainable Proceesing of Minerals</v>
      </c>
      <c r="B8755" s="8" t="str">
        <f>"-"</f>
        <v>-</v>
      </c>
      <c r="C8755" s="8" t="s">
        <v>167</v>
      </c>
    </row>
    <row r="8756" spans="1:3" x14ac:dyDescent="0.25">
      <c r="A8756" s="8" t="str">
        <f>"Green Streets and Highways 2010: An Interactive Conference on the State of the Art and How to Achieve Sustainable Outcomes - Proceedings of the Green Streets and Highways 2010 Conference"</f>
        <v>Green Streets and Highways 2010: An Interactive Conference on the State of the Art and How to Achieve Sustainable Outcomes - Proceedings of the Green Streets and Highways 2010 Conference</v>
      </c>
      <c r="B8756" s="8" t="str">
        <f>"9780784411483"</f>
        <v>9780784411483</v>
      </c>
      <c r="C8756" s="8" t="s">
        <v>111</v>
      </c>
    </row>
    <row r="8757" spans="1:3" x14ac:dyDescent="0.25">
      <c r="A8757" s="8" t="str">
        <f>"Green Streets, Highways, and Development 2013: Advancing the Practice - Proceedings of the 2nd Green Streets, Highways, and Development Conference"</f>
        <v>Green Streets, Highways, and Development 2013: Advancing the Practice - Proceedings of the 2nd Green Streets, Highways, and Development Conference</v>
      </c>
      <c r="B8757" s="8" t="str">
        <f>"9780784478059"</f>
        <v>9780784478059</v>
      </c>
      <c r="C8757" s="8" t="s">
        <v>111</v>
      </c>
    </row>
    <row r="8758" spans="1:3" x14ac:dyDescent="0.25">
      <c r="A8758" s="8" t="str">
        <f>"Gribov Memorial Volume: Quarks, Hadrons, and Strong Interactions - Proceedings of the Memorial Workshop Devoted to the 75th Birthday of V N Gribov"</f>
        <v>Gribov Memorial Volume: Quarks, Hadrons, and Strong Interactions - Proceedings of the Memorial Workshop Devoted to the 75th Birthday of V N Gribov</v>
      </c>
      <c r="B8758" s="8" t="str">
        <f>"9789812567567"</f>
        <v>9789812567567</v>
      </c>
      <c r="C8758" s="8" t="s">
        <v>157</v>
      </c>
    </row>
    <row r="8759" spans="1:3" x14ac:dyDescent="0.25">
      <c r="A8759" s="8" t="str">
        <f>"GRIBOV-80 Memorial Volume: Quantum Chromodynamics and Beyond - Proceedings of the Memorial Workshop Devoted to the 80th Birthday of V N Gribov"</f>
        <v>GRIBOV-80 Memorial Volume: Quantum Chromodynamics and Beyond - Proceedings of the Memorial Workshop Devoted to the 80th Birthday of V N Gribov</v>
      </c>
      <c r="B8759" s="8" t="str">
        <f>"9789814350181"</f>
        <v>9789814350181</v>
      </c>
      <c r="C8759" s="8" t="s">
        <v>157</v>
      </c>
    </row>
    <row r="8760" spans="1:3" x14ac:dyDescent="0.25">
      <c r="A8760" s="8" t="str">
        <f>"Grid Computing Environments Workshop, GCE 2008"</f>
        <v>Grid Computing Environments Workshop, GCE 2008</v>
      </c>
      <c r="B8760" s="8" t="str">
        <f>"9781424428601"</f>
        <v>9781424428601</v>
      </c>
      <c r="C8760" s="8" t="s">
        <v>9</v>
      </c>
    </row>
    <row r="8761" spans="1:3" x14ac:dyDescent="0.25">
      <c r="A8761" s="8" t="str">
        <f>"Groundwater and Soil Remediation"</f>
        <v>Groundwater and Soil Remediation</v>
      </c>
      <c r="B8761" s="8" t="str">
        <f>"9780784404270"</f>
        <v>9780784404270</v>
      </c>
      <c r="C8761" s="8" t="s">
        <v>111</v>
      </c>
    </row>
    <row r="8762" spans="1:3" x14ac:dyDescent="0.25">
      <c r="A8762" s="8" t="str">
        <f>"Groundwater Quality Modeling and Management Under Uncertinity"</f>
        <v>Groundwater Quality Modeling and Management Under Uncertinity</v>
      </c>
      <c r="B8762" s="8" t="str">
        <f>"9780784406960"</f>
        <v>9780784406960</v>
      </c>
      <c r="C8762" s="8" t="s">
        <v>111</v>
      </c>
    </row>
    <row r="8763" spans="1:3" x14ac:dyDescent="0.25">
      <c r="A8763" s="8" t="str">
        <f>"Group '07 Doctoral Consortium Papers"</f>
        <v>Group '07 Doctoral Consortium Papers</v>
      </c>
      <c r="B8763" s="8" t="str">
        <f>"-"</f>
        <v>-</v>
      </c>
      <c r="C8763" s="8" t="s">
        <v>21</v>
      </c>
    </row>
    <row r="8764" spans="1:3" x14ac:dyDescent="0.25">
      <c r="A8764" s="8" t="str">
        <f>"GROUP'07 - Proceedings of the 2007 International ACM Conference on Supporting Group Work"</f>
        <v>GROUP'07 - Proceedings of the 2007 International ACM Conference on Supporting Group Work</v>
      </c>
      <c r="B8764" s="8" t="str">
        <f>"9781595938459"</f>
        <v>9781595938459</v>
      </c>
      <c r="C8764" s="8" t="s">
        <v>21</v>
      </c>
    </row>
    <row r="8765" spans="1:3" x14ac:dyDescent="0.25">
      <c r="A8765" s="8" t="str">
        <f>"GROUP'09 - Proceedings of the 2009 ACM SIGCHI International Conference on Supporting Group Work"</f>
        <v>GROUP'09 - Proceedings of the 2009 ACM SIGCHI International Conference on Supporting Group Work</v>
      </c>
      <c r="B8765" s="8" t="str">
        <f>"9781605585000"</f>
        <v>9781605585000</v>
      </c>
      <c r="C8765" s="8" t="s">
        <v>21</v>
      </c>
    </row>
    <row r="8766" spans="1:3" x14ac:dyDescent="0.25">
      <c r="A8766" s="8" t="str">
        <f>"GROUP'12 - Proceedings of the ACM 2012 International Conference on Support Group Work"</f>
        <v>GROUP'12 - Proceedings of the ACM 2012 International Conference on Support Group Work</v>
      </c>
      <c r="B8766" s="8" t="str">
        <f>"9781450314862"</f>
        <v>9781450314862</v>
      </c>
      <c r="C8766" s="8" t="s">
        <v>21</v>
      </c>
    </row>
    <row r="8767" spans="1:3" x14ac:dyDescent="0.25">
      <c r="A8767" s="8" t="str">
        <f>"GSCIT 2014 - Global Summit on Computer and Information Technology"</f>
        <v>GSCIT 2014 - Global Summit on Computer and Information Technology</v>
      </c>
      <c r="B8767" s="8" t="str">
        <f>"9781479956265"</f>
        <v>9781479956265</v>
      </c>
      <c r="C8767" s="8" t="s">
        <v>105</v>
      </c>
    </row>
    <row r="8768" spans="1:3" x14ac:dyDescent="0.25">
      <c r="A8768" s="8" t="str">
        <f>"GSEM 2005 - 2nd International Conference on Grid Service Engineering and Management, Co-located with the 6th International Conference on Net.ObjectDays 2005, NODe 2005"</f>
        <v>GSEM 2005 - 2nd International Conference on Grid Service Engineering and Management, Co-located with the 6th International Conference on Net.ObjectDays 2005, NODe 2005</v>
      </c>
      <c r="B8768" s="8" t="str">
        <f>"9783885793984"</f>
        <v>9783885793984</v>
      </c>
      <c r="C8768" s="8" t="s">
        <v>833</v>
      </c>
    </row>
    <row r="8769" spans="1:3" x14ac:dyDescent="0.25">
      <c r="A8769" s="8" t="str">
        <f>"GSEM 2006 - 3rd International Conference on Grid Service Engineering and Management, Co-located with the 7th International Conference on Net.ObjectDays 2006, NODe 2006"</f>
        <v>GSEM 2006 - 3rd International Conference on Grid Service Engineering and Management, Co-located with the 7th International Conference on Net.ObjectDays 2006, NODe 2006</v>
      </c>
      <c r="B8769" s="8" t="str">
        <f>"9783885791829"</f>
        <v>9783885791829</v>
      </c>
      <c r="C8769" s="8" t="s">
        <v>833</v>
      </c>
    </row>
    <row r="8770" spans="1:3" x14ac:dyDescent="0.25">
      <c r="A8770" s="8" t="str">
        <f>"Guide to the Use of the Wind Load Provisions of ASCE 7-02"</f>
        <v>Guide to the Use of the Wind Load Provisions of ASCE 7-02</v>
      </c>
      <c r="B8770" s="8" t="str">
        <f>"9780784407035"</f>
        <v>9780784407035</v>
      </c>
      <c r="C8770" s="8" t="s">
        <v>111</v>
      </c>
    </row>
    <row r="8771" spans="1:3" x14ac:dyDescent="0.25">
      <c r="A8771" s="8" t="str">
        <f>"Guideline on Air Quality Models: The Path Forward"</f>
        <v>Guideline on Air Quality Models: The Path Forward</v>
      </c>
      <c r="B8771" s="8" t="str">
        <f>"9780923204600"</f>
        <v>9780923204600</v>
      </c>
      <c r="C8771" s="8" t="s">
        <v>10</v>
      </c>
    </row>
    <row r="8772" spans="1:3" x14ac:dyDescent="0.25">
      <c r="A8772" s="8" t="str">
        <f>"Guidelines for Forensic Engineering Practice"</f>
        <v>Guidelines for Forensic Engineering Practice</v>
      </c>
      <c r="B8772" s="8" t="str">
        <f>"9780784406885"</f>
        <v>9780784406885</v>
      </c>
      <c r="C8772" s="8" t="s">
        <v>1643</v>
      </c>
    </row>
    <row r="8773" spans="1:3" x14ac:dyDescent="0.25">
      <c r="A8773" s="8" t="str">
        <f>"Gums and Stabilisers for the Food Industry 13"</f>
        <v>Gums and Stabilisers for the Food Industry 13</v>
      </c>
      <c r="B8773" s="8" t="str">
        <f>"9780854046737"</f>
        <v>9780854046737</v>
      </c>
      <c r="C8773" s="8" t="s">
        <v>121</v>
      </c>
    </row>
    <row r="8774" spans="1:3" x14ac:dyDescent="0.25">
      <c r="A8774" s="8" t="str">
        <f>"Gums and Stabilisers for the Food Industry 14"</f>
        <v>Gums and Stabilisers for the Food Industry 14</v>
      </c>
      <c r="B8774" s="8" t="str">
        <f>"9780854044610"</f>
        <v>9780854044610</v>
      </c>
      <c r="C8774" s="8" t="s">
        <v>121</v>
      </c>
    </row>
    <row r="8775" spans="1:3" x14ac:dyDescent="0.25">
      <c r="A8775" s="8" t="str">
        <f>"Gums and Stabilisers for the Food Industry 15"</f>
        <v>Gums and Stabilisers for the Food Industry 15</v>
      </c>
      <c r="B8775" s="8" t="str">
        <f>"9781847551993"</f>
        <v>9781847551993</v>
      </c>
      <c r="C8775" s="8" t="s">
        <v>121</v>
      </c>
    </row>
    <row r="8776" spans="1:3" x14ac:dyDescent="0.25">
      <c r="A8776" s="8" t="str">
        <f>"Gums and Stabilisers for the Food Industry 16"</f>
        <v>Gums and Stabilisers for the Food Industry 16</v>
      </c>
      <c r="B8776" s="8" t="str">
        <f>"9781849733588"</f>
        <v>9781849733588</v>
      </c>
      <c r="C8776" s="8" t="s">
        <v>121</v>
      </c>
    </row>
    <row r="8777" spans="1:3" x14ac:dyDescent="0.25">
      <c r="A8777" s="8" t="str">
        <f>"Gums and Stabilisers for the Food Industry 17 - The Changing Face of Food Manufacture: The Role of Hydrocolloids"</f>
        <v>Gums and Stabilisers for the Food Industry 17 - The Changing Face of Food Manufacture: The Role of Hydrocolloids</v>
      </c>
      <c r="B8777" s="8" t="str">
        <f>"9781849738835"</f>
        <v>9781849738835</v>
      </c>
      <c r="C8777" s="8" t="s">
        <v>121</v>
      </c>
    </row>
    <row r="8778" spans="1:3" x14ac:dyDescent="0.25">
      <c r="A8778" s="8" t="str">
        <f>"Hadron and Nuclear Physics 2009, HNP 2009"</f>
        <v>Hadron and Nuclear Physics 2009, HNP 2009</v>
      </c>
      <c r="B8778" s="8" t="str">
        <f>"9789814313926"</f>
        <v>9789814313926</v>
      </c>
      <c r="C8778" s="8" t="s">
        <v>157</v>
      </c>
    </row>
    <row r="8779" spans="1:3" x14ac:dyDescent="0.25">
      <c r="A8779" s="8" t="str">
        <f>"HAI 2014 - Proceedings of the 2nd International Conference on Human-Agent Interaction"</f>
        <v>HAI 2014 - Proceedings of the 2nd International Conference on Human-Agent Interaction</v>
      </c>
      <c r="B8779" s="8" t="str">
        <f>"9781450330350"</f>
        <v>9781450330350</v>
      </c>
      <c r="C8779" s="8" t="s">
        <v>1235</v>
      </c>
    </row>
    <row r="8780" spans="1:3" x14ac:dyDescent="0.25">
      <c r="A8780" s="8" t="str">
        <f>"HAIHE River Basin Research and Planning Approach - Proceedings of 2009 International Symposium of HAIHE Basin Integrated Water and Environment Management"</f>
        <v>HAIHE River Basin Research and Planning Approach - Proceedings of 2009 International Symposium of HAIHE Basin Integrated Water and Environment Management</v>
      </c>
      <c r="B8780" s="8" t="str">
        <f>"9780980768718"</f>
        <v>9780980768718</v>
      </c>
      <c r="C8780" s="8" t="s">
        <v>1647</v>
      </c>
    </row>
    <row r="8781" spans="1:3" x14ac:dyDescent="0.25">
      <c r="A8781" s="8" t="str">
        <f>"HAKONE 2010 - 12th International Symposium on High Pressure Low Temperature Plasma Chemistry"</f>
        <v>HAKONE 2010 - 12th International Symposium on High Pressure Low Temperature Plasma Chemistry</v>
      </c>
      <c r="B8781" s="8" t="str">
        <f>"9788089186723"</f>
        <v>9788089186723</v>
      </c>
      <c r="C8781" s="8" t="s">
        <v>1858</v>
      </c>
    </row>
    <row r="8782" spans="1:3" x14ac:dyDescent="0.25">
      <c r="A8782" s="8" t="str">
        <f>"Haptics Symposium 2012, HAPTICS 2012 - Proceedings"</f>
        <v>Haptics Symposium 2012, HAPTICS 2012 - Proceedings</v>
      </c>
      <c r="B8782" s="8" t="str">
        <f>"9781467308090"</f>
        <v>9781467308090</v>
      </c>
      <c r="C8782" s="8" t="s">
        <v>9</v>
      </c>
    </row>
    <row r="8783" spans="1:3" x14ac:dyDescent="0.25">
      <c r="A8783" s="8" t="str">
        <f>"HARMO 2010 - Proceedings of the 13th International Conference on Harmonisation within Atmospheric Dispersion Modelling for Regulatory Purposes"</f>
        <v>HARMO 2010 - Proceedings of the 13th International Conference on Harmonisation within Atmospheric Dispersion Modelling for Regulatory Purposes</v>
      </c>
      <c r="B8783" s="8" t="str">
        <f>"9782868150622"</f>
        <v>9782868150622</v>
      </c>
      <c r="C8783" s="8" t="s">
        <v>1859</v>
      </c>
    </row>
    <row r="8784" spans="1:3" x14ac:dyDescent="0.25">
      <c r="A8784" s="8" t="str">
        <f>"HARMO 2011 - Proceedings of the 14th International Conference on Harmonisation within Atmospheric Dispersion Modelling for Regulatory Purposes"</f>
        <v>HARMO 2011 - Proceedings of the 14th International Conference on Harmonisation within Atmospheric Dispersion Modelling for Regulatory Purposes</v>
      </c>
      <c r="B8784" s="8" t="str">
        <f>"9789608965065"</f>
        <v>9789608965065</v>
      </c>
      <c r="C8784" s="8" t="s">
        <v>1860</v>
      </c>
    </row>
    <row r="8785" spans="1:3" x14ac:dyDescent="0.25">
      <c r="A8785" s="8" t="str">
        <f>"HARMO 2014 - 16th International Conference on Harmonisation within Atmospheric Dispersion Modelling for Regulatory Purposes, Proceedings"</f>
        <v>HARMO 2014 - 16th International Conference on Harmonisation within Atmospheric Dispersion Modelling for Regulatory Purposes, Proceedings</v>
      </c>
      <c r="B8785" s="8" t="str">
        <f>"9780000000002"</f>
        <v>9780000000002</v>
      </c>
      <c r="C8785" s="8" t="s">
        <v>1861</v>
      </c>
    </row>
    <row r="8786" spans="1:3" x14ac:dyDescent="0.25">
      <c r="A8786" s="8" t="str">
        <f>"Harmonising Rock Engineering and the Environment - Proceedings of the 12th ISRM International Congress on Rock Mechanics"</f>
        <v>Harmonising Rock Engineering and the Environment - Proceedings of the 12th ISRM International Congress on Rock Mechanics</v>
      </c>
      <c r="B8786" s="8" t="str">
        <f>"9780415804448"</f>
        <v>9780415804448</v>
      </c>
      <c r="C8786" s="8" t="s">
        <v>96</v>
      </c>
    </row>
    <row r="8787" spans="1:3" x14ac:dyDescent="0.25">
      <c r="A8787" s="8" t="str">
        <f>"Harnessing Knowledge Management to Build Communities - Proceedings of the 11th Annual Australian Conference on Knowledge Management and Intelligent Decision Support, ACKMIDS 08"</f>
        <v>Harnessing Knowledge Management to Build Communities - Proceedings of the 11th Annual Australian Conference on Knowledge Management and Intelligent Decision Support, ACKMIDS 08</v>
      </c>
      <c r="B8787" s="8" t="str">
        <f>"9780732620745"</f>
        <v>9780732620745</v>
      </c>
      <c r="C8787" s="8" t="s">
        <v>1240</v>
      </c>
    </row>
    <row r="8788" spans="1:3" x14ac:dyDescent="0.25">
      <c r="A8788" s="8" t="str">
        <f>"Haskell'05 - Proceedings of the ACM SIGPLAN 2005 Haskell Workshop"</f>
        <v>Haskell'05 - Proceedings of the ACM SIGPLAN 2005 Haskell Workshop</v>
      </c>
      <c r="B8788" s="8" t="str">
        <f>"9781595930712"</f>
        <v>9781595930712</v>
      </c>
      <c r="C8788" s="8" t="s">
        <v>21</v>
      </c>
    </row>
    <row r="8789" spans="1:3" x14ac:dyDescent="0.25">
      <c r="A8789" s="8" t="str">
        <f>"Haskell'06 - Proceedings of the ACM SIGPLAN 2006 Haskell Workshop"</f>
        <v>Haskell'06 - Proceedings of the ACM SIGPLAN 2006 Haskell Workshop</v>
      </c>
      <c r="B8789" s="8" t="str">
        <f>"-"</f>
        <v>-</v>
      </c>
      <c r="C8789" s="8" t="s">
        <v>21</v>
      </c>
    </row>
    <row r="8790" spans="1:3" x14ac:dyDescent="0.25">
      <c r="A8790" s="8" t="str">
        <f>"Haskell'07: Proceedings of the ACM SIGPLAN 2007 Haskell Workshop"</f>
        <v>Haskell'07: Proceedings of the ACM SIGPLAN 2007 Haskell Workshop</v>
      </c>
      <c r="B8790" s="8" t="str">
        <f>"9781595936745"</f>
        <v>9781595936745</v>
      </c>
      <c r="C8790" s="8" t="s">
        <v>21</v>
      </c>
    </row>
    <row r="8791" spans="1:3" x14ac:dyDescent="0.25">
      <c r="A8791" s="8" t="str">
        <f>"Haskell'08 - Proceedings of the ACM SIGPLAN 2008 Haskell Symposium"</f>
        <v>Haskell'08 - Proceedings of the ACM SIGPLAN 2008 Haskell Symposium</v>
      </c>
      <c r="B8791" s="8" t="str">
        <f>"9781605580647"</f>
        <v>9781605580647</v>
      </c>
      <c r="C8791" s="8" t="s">
        <v>21</v>
      </c>
    </row>
    <row r="8792" spans="1:3" x14ac:dyDescent="0.25">
      <c r="A8792" s="8" t="str">
        <f>"Haskell'09 - Proceedings of the 2009 ACM SIGPLAN Haskell Symposium"</f>
        <v>Haskell'09 - Proceedings of the 2009 ACM SIGPLAN Haskell Symposium</v>
      </c>
      <c r="B8792" s="8" t="str">
        <f>"9781605585086"</f>
        <v>9781605585086</v>
      </c>
      <c r="C8792" s="8" t="s">
        <v>21</v>
      </c>
    </row>
    <row r="8793" spans="1:3" x14ac:dyDescent="0.25">
      <c r="A8793" s="8" t="str">
        <f>"Haskell'11 - Proceedings of the 2011 ACM SIGPLAN Haskell Symposium"</f>
        <v>Haskell'11 - Proceedings of the 2011 ACM SIGPLAN Haskell Symposium</v>
      </c>
      <c r="B8793" s="8" t="str">
        <f>"9781450308601"</f>
        <v>9781450308601</v>
      </c>
      <c r="C8793" s="8" t="s">
        <v>21</v>
      </c>
    </row>
    <row r="8794" spans="1:3" x14ac:dyDescent="0.25">
      <c r="A8794" s="8" t="str">
        <f>"Haskell'12 - Proceedings of the 2012 ACM SIGPLAN Haskell Symposium 2012"</f>
        <v>Haskell'12 - Proceedings of the 2012 ACM SIGPLAN Haskell Symposium 2012</v>
      </c>
      <c r="B8794" s="8" t="str">
        <f>"9781450315746"</f>
        <v>9781450315746</v>
      </c>
      <c r="C8794" s="8" t="s">
        <v>21</v>
      </c>
    </row>
    <row r="8795" spans="1:3" x14ac:dyDescent="0.25">
      <c r="A8795" s="8" t="str">
        <f>"HAVE 2005: IEEE International Workshop on Haptic Audio Visual Environments and their Applications"</f>
        <v>HAVE 2005: IEEE International Workshop on Haptic Audio Visual Environments and their Applications</v>
      </c>
      <c r="B8795" s="8" t="str">
        <f>"-"</f>
        <v>-</v>
      </c>
      <c r="C8795" s="8" t="s">
        <v>9</v>
      </c>
    </row>
    <row r="8796" spans="1:3" x14ac:dyDescent="0.25">
      <c r="A8796" s="8" t="str">
        <f>"HAVE 2007 - The 6th IEEE International Workshop on Haptic, Audio and Visual Environments and Games, Proceedings"</f>
        <v>HAVE 2007 - The 6th IEEE International Workshop on Haptic, Audio and Visual Environments and Games, Proceedings</v>
      </c>
      <c r="B8796" s="8" t="str">
        <f>"9781424415717"</f>
        <v>9781424415717</v>
      </c>
      <c r="C8796" s="8" t="s">
        <v>9</v>
      </c>
    </row>
    <row r="8797" spans="1:3" x14ac:dyDescent="0.25">
      <c r="A8797" s="8" t="str">
        <f>"HAVE 2008 - IEEE International Workshop on Haptic Audio Visual Environments and Games Proceedings"</f>
        <v>HAVE 2008 - IEEE International Workshop on Haptic Audio Visual Environments and Games Proceedings</v>
      </c>
      <c r="B8797" s="8" t="str">
        <f>"9781424426690"</f>
        <v>9781424426690</v>
      </c>
      <c r="C8797" s="8" t="s">
        <v>9</v>
      </c>
    </row>
    <row r="8798" spans="1:3" x14ac:dyDescent="0.25">
      <c r="A8798" s="8" t="str">
        <f>"HAVE 2010 - 2010 IEEE International Symposium on Haptic Audio-Visual Environments and Games, Proceedings"</f>
        <v>HAVE 2010 - 2010 IEEE International Symposium on Haptic Audio-Visual Environments and Games, Proceedings</v>
      </c>
      <c r="B8798" s="8" t="str">
        <f>"9781424465088"</f>
        <v>9781424465088</v>
      </c>
      <c r="C8798" s="8" t="s">
        <v>9</v>
      </c>
    </row>
    <row r="8799" spans="1:3" x14ac:dyDescent="0.25">
      <c r="A8799" s="8" t="str">
        <f>"HAVE 2011 - IEEE International Symposium on Haptic Audio-Visual Environments and Games, Proceedings"</f>
        <v>HAVE 2011 - IEEE International Symposium on Haptic Audio-Visual Environments and Games, Proceedings</v>
      </c>
      <c r="B8799" s="8" t="str">
        <f>"9781457704987"</f>
        <v>9781457704987</v>
      </c>
      <c r="C8799" s="8" t="s">
        <v>9</v>
      </c>
    </row>
    <row r="8800" spans="1:3" x14ac:dyDescent="0.25">
      <c r="A8800" s="8" t="str">
        <f>"HAVE 2013 - 2013 IEEE International Symposium on Haptic Audio-Visual Environments and Games, Proceedings"</f>
        <v>HAVE 2013 - 2013 IEEE International Symposium on Haptic Audio-Visual Environments and Games, Proceedings</v>
      </c>
      <c r="B8800" s="8" t="str">
        <f>"9781479908486"</f>
        <v>9781479908486</v>
      </c>
      <c r="C8800" s="8" t="s">
        <v>9</v>
      </c>
    </row>
    <row r="8801" spans="1:3" x14ac:dyDescent="0.25">
      <c r="A8801" s="8" t="str">
        <f>"Hazardous Waste Combustors Conference 2005"</f>
        <v>Hazardous Waste Combustors Conference 2005</v>
      </c>
      <c r="B8801" s="8" t="str">
        <f>"-"</f>
        <v>-</v>
      </c>
      <c r="C8801" s="8" t="s">
        <v>10</v>
      </c>
    </row>
    <row r="8802" spans="1:3" x14ac:dyDescent="0.25">
      <c r="A8802" s="8" t="str">
        <f>"HB 2006 - 39th ICFA Advanced Beam Dynamics Workshop on High Intensity High Brightness Hadron Beams"</f>
        <v>HB 2006 - 39th ICFA Advanced Beam Dynamics Workshop on High Intensity High Brightness Hadron Beams</v>
      </c>
      <c r="B8802" s="8" t="str">
        <f>"-"</f>
        <v>-</v>
      </c>
      <c r="C8802" s="8" t="s">
        <v>1279</v>
      </c>
    </row>
    <row r="8803" spans="1:3" x14ac:dyDescent="0.25">
      <c r="A8803" s="8" t="str">
        <f>"HB 2006 - Healthy Buildings: Creating a Healthy Indoor Environment for People"</f>
        <v>HB 2006 - Healthy Buildings: Creating a Healthy Indoor Environment for People</v>
      </c>
      <c r="B8803" s="8" t="str">
        <f>"9789899506701"</f>
        <v>9789899506701</v>
      </c>
      <c r="C8803" s="8" t="s">
        <v>1205</v>
      </c>
    </row>
    <row r="8804" spans="1:3" x14ac:dyDescent="0.25">
      <c r="A8804" s="8" t="str">
        <f>"HB 2006 - Healthy Buildings: Creating a Healthy Indoor Environment for People, Proceedings"</f>
        <v>HB 2006 - Healthy Buildings: Creating a Healthy Indoor Environment for People, Proceedings</v>
      </c>
      <c r="B8804" s="8" t="str">
        <f>"9789899506718"</f>
        <v>9789899506718</v>
      </c>
      <c r="C8804" s="8" t="s">
        <v>1205</v>
      </c>
    </row>
    <row r="8805" spans="1:3" x14ac:dyDescent="0.25">
      <c r="A8805" s="8" t="str">
        <f>"HB 2008 - 42nd ICFA Advanced Beam Dynamics Workshop on High-Intensity, High-Brightness Hadron Beams"</f>
        <v>HB 2008 - 42nd ICFA Advanced Beam Dynamics Workshop on High-Intensity, High-Brightness Hadron Beams</v>
      </c>
      <c r="B8805" s="8" t="str">
        <f>"-"</f>
        <v>-</v>
      </c>
      <c r="C8805" s="8" t="s">
        <v>1359</v>
      </c>
    </row>
    <row r="8806" spans="1:3" x14ac:dyDescent="0.25">
      <c r="A8806" s="8" t="str">
        <f>"HB 2010 - 46th ICFA Advanced Beam Dynamics Workshop on High-Intensity and High-Brightness Hadron Beams"</f>
        <v>HB 2010 - 46th ICFA Advanced Beam Dynamics Workshop on High-Intensity and High-Brightness Hadron Beams</v>
      </c>
      <c r="B8806" s="8" t="str">
        <f>"-"</f>
        <v>-</v>
      </c>
      <c r="C8806" s="8" t="s">
        <v>1359</v>
      </c>
    </row>
    <row r="8807" spans="1:3" x14ac:dyDescent="0.25">
      <c r="A8807" s="8" t="str">
        <f>"HCI 2013 - 27th International British Computer Society Human Computer Interaction Conference: The Internet of Things"</f>
        <v>HCI 2013 - 27th International British Computer Society Human Computer Interaction Conference: The Internet of Things</v>
      </c>
      <c r="B8807" s="8" t="str">
        <f>"-"</f>
        <v>-</v>
      </c>
      <c r="C8807" s="8" t="s">
        <v>1862</v>
      </c>
    </row>
    <row r="8808" spans="1:3" x14ac:dyDescent="0.25">
      <c r="A8808" s="8" t="str">
        <f>"HDP 2004: Proceedings of the First ACM Hardcopy Document Processing Workshop"</f>
        <v>HDP 2004: Proceedings of the First ACM Hardcopy Document Processing Workshop</v>
      </c>
      <c r="B8808" s="8" t="str">
        <f>"9781581139761"</f>
        <v>9781581139761</v>
      </c>
      <c r="C8808" s="8" t="s">
        <v>21</v>
      </c>
    </row>
    <row r="8809" spans="1:3" x14ac:dyDescent="0.25">
      <c r="A8809" s="8" t="str">
        <f>"Healthcare Systems Ergonomics and Patient Safety 2011: An Alliance between Professionals and Citizens for Patient Safety and Quality of Life - 3rd International Conference on HEPS 2011"</f>
        <v>Healthcare Systems Ergonomics and Patient Safety 2011: An Alliance between Professionals and Citizens for Patient Safety and Quality of Life - 3rd International Conference on HEPS 2011</v>
      </c>
      <c r="B8809" s="8" t="str">
        <f>"9780415684132"</f>
        <v>9780415684132</v>
      </c>
      <c r="C8809" s="8" t="s">
        <v>1619</v>
      </c>
    </row>
    <row r="8810" spans="1:3" x14ac:dyDescent="0.25">
      <c r="A8810" s="8" t="str">
        <f>"Healthcare Systems Ergonomics and Patient Safety: Human Factor, a Bridge Between Care and Cure - Proceedings of the International Conference HEPS 2005"</f>
        <v>Healthcare Systems Ergonomics and Patient Safety: Human Factor, a Bridge Between Care and Cure - Proceedings of the International Conference HEPS 2005</v>
      </c>
      <c r="B8810" s="8" t="str">
        <f>"9780415375566"</f>
        <v>9780415375566</v>
      </c>
      <c r="C8810" s="8" t="s">
        <v>1558</v>
      </c>
    </row>
    <row r="8811" spans="1:3" x14ac:dyDescent="0.25">
      <c r="A8811" s="8" t="str">
        <f>"HEALTHCOM 2006: Mobile E-Health for Developing Countries - 2006 8th International Conference on e-Health Networking, Applications and Services"</f>
        <v>HEALTHCOM 2006: Mobile E-Health for Developing Countries - 2006 8th International Conference on e-Health Networking, Applications and Services</v>
      </c>
      <c r="B8811" s="8" t="str">
        <f>"-"</f>
        <v>-</v>
      </c>
      <c r="C8811" s="8" t="s">
        <v>105</v>
      </c>
    </row>
    <row r="8812" spans="1:3" x14ac:dyDescent="0.25">
      <c r="A8812" s="8" t="str">
        <f>"HEALTHCOM 2007: Ubiquitous Health in Aging Societies - 2007 9th International Conference on e-Health Networking, Application and Services"</f>
        <v>HEALTHCOM 2007: Ubiquitous Health in Aging Societies - 2007 9th International Conference on e-Health Networking, Application and Services</v>
      </c>
      <c r="B8812" s="8" t="str">
        <f>"9781424409426"</f>
        <v>9781424409426</v>
      </c>
      <c r="C8812" s="8" t="s">
        <v>9</v>
      </c>
    </row>
    <row r="8813" spans="1:3" x14ac:dyDescent="0.25">
      <c r="A8813" s="8" t="str">
        <f>"HealthGIS 2013 - Proc. of the 2nd ACM SIGSPATIAL Int. Workshop on the Use of GIS in Public Health, In Conjunction with the 21st ACM SIGSPATIAL Int. Conf. on Advances in Geographic Information Systems"</f>
        <v>HealthGIS 2013 - Proc. of the 2nd ACM SIGSPATIAL Int. Workshop on the Use of GIS in Public Health, In Conjunction with the 21st ACM SIGSPATIAL Int. Conf. on Advances in Geographic Information Systems</v>
      </c>
      <c r="B8813" s="8" t="str">
        <f>"9781450325295"</f>
        <v>9781450325295</v>
      </c>
      <c r="C8813" s="8" t="s">
        <v>21</v>
      </c>
    </row>
    <row r="8814" spans="1:3" x14ac:dyDescent="0.25">
      <c r="A8814" s="8" t="str">
        <f>"HEALTHINF 2008 - 1st International Conference on Health Informatics, Proceedings"</f>
        <v>HEALTHINF 2008 - 1st International Conference on Health Informatics, Proceedings</v>
      </c>
      <c r="B8814" s="8" t="str">
        <f>"9789898111166"</f>
        <v>9789898111166</v>
      </c>
      <c r="C8814" s="8" t="s">
        <v>1553</v>
      </c>
    </row>
    <row r="8815" spans="1:3" x14ac:dyDescent="0.25">
      <c r="A8815" s="8" t="str">
        <f>"HEALTHINF 2009 - Proceedings of the 2nd International Conference on Health Informatics"</f>
        <v>HEALTHINF 2009 - Proceedings of the 2nd International Conference on Health Informatics</v>
      </c>
      <c r="B8815" s="8" t="str">
        <f>"9789898111630"</f>
        <v>9789898111630</v>
      </c>
      <c r="C8815" s="8" t="s">
        <v>1680</v>
      </c>
    </row>
    <row r="8816" spans="1:3" x14ac:dyDescent="0.25">
      <c r="A8816" s="8" t="str">
        <f>"HEALTHINF 2010 - 3rd International Conference on Health Informatics, Proceedings"</f>
        <v>HEALTHINF 2010 - 3rd International Conference on Health Informatics, Proceedings</v>
      </c>
      <c r="B8816" s="8" t="str">
        <f>"9789896740160"</f>
        <v>9789896740160</v>
      </c>
      <c r="C8816" s="8" t="s">
        <v>1553</v>
      </c>
    </row>
    <row r="8817" spans="1:3" x14ac:dyDescent="0.25">
      <c r="A8817" s="8" t="str">
        <f>"HEALTHINF 2011 - Proceedings of the International Conference on Health Informatics"</f>
        <v>HEALTHINF 2011 - Proceedings of the International Conference on Health Informatics</v>
      </c>
      <c r="B8817" s="8" t="str">
        <f>"9789898425348"</f>
        <v>9789898425348</v>
      </c>
      <c r="C8817" s="8" t="s">
        <v>1680</v>
      </c>
    </row>
    <row r="8818" spans="1:3" x14ac:dyDescent="0.25">
      <c r="A8818" s="8" t="str">
        <f>"HEALTHINF 2012 - Proceedings of the International Conference on Health Informatics"</f>
        <v>HEALTHINF 2012 - Proceedings of the International Conference on Health Informatics</v>
      </c>
      <c r="B8818" s="8" t="str">
        <f>"9789898425881"</f>
        <v>9789898425881</v>
      </c>
      <c r="C8818" s="8" t="s">
        <v>1197</v>
      </c>
    </row>
    <row r="8819" spans="1:3" x14ac:dyDescent="0.25">
      <c r="A8819" s="8" t="str">
        <f>"HEALTHINF 2013 - Proceedings of the International Conference on Health Informatics"</f>
        <v>HEALTHINF 2013 - Proceedings of the International Conference on Health Informatics</v>
      </c>
      <c r="B8819" s="8" t="str">
        <f>"9789898565372"</f>
        <v>9789898565372</v>
      </c>
      <c r="C8819" s="8" t="s">
        <v>1680</v>
      </c>
    </row>
    <row r="8820" spans="1:3" x14ac:dyDescent="0.25">
      <c r="A8820" s="8" t="str">
        <f>"HEALTHINF 2015 - 8th International Conference on Health Informatics, Proceedings; Part of 8th International Joint Conference on Biomedical Engineering Systems and Technologies, BIOSTEC 2015"</f>
        <v>HEALTHINF 2015 - 8th International Conference on Health Informatics, Proceedings; Part of 8th International Joint Conference on Biomedical Engineering Systems and Technologies, BIOSTEC 2015</v>
      </c>
      <c r="B8820" s="8" t="str">
        <f>"9789897580680"</f>
        <v>9789897580680</v>
      </c>
      <c r="C8820" s="8" t="s">
        <v>1197</v>
      </c>
    </row>
    <row r="8821" spans="1:3" x14ac:dyDescent="0.25">
      <c r="A8821" s="8" t="str">
        <f>"HealthNet'07: Proceedings of the 1st ACM SIGMOBILE International Workshop on Systems and Networking Support for Healthcare and Assisted Living Environments"</f>
        <v>HealthNet'07: Proceedings of the 1st ACM SIGMOBILE International Workshop on Systems and Networking Support for Healthcare and Assisted Living Environments</v>
      </c>
      <c r="B8821" s="8" t="str">
        <f>"9781595937674"</f>
        <v>9781595937674</v>
      </c>
      <c r="C8821" s="8" t="s">
        <v>21</v>
      </c>
    </row>
    <row r="8822" spans="1:3" x14ac:dyDescent="0.25">
      <c r="A8822" s="8" t="str">
        <f>"HealthSys 2011 - Proceedings of the 1st ACM Workshop on Mobile Systems, Applications, and Services for HealthCare - Co-held with ACM SenSys 2011"</f>
        <v>HealthSys 2011 - Proceedings of the 1st ACM Workshop on Mobile Systems, Applications, and Services for HealthCare - Co-held with ACM SenSys 2011</v>
      </c>
      <c r="B8822" s="8" t="str">
        <f>"9781450306843"</f>
        <v>9781450306843</v>
      </c>
      <c r="C8822" s="8" t="s">
        <v>21</v>
      </c>
    </row>
    <row r="8823" spans="1:3" x14ac:dyDescent="0.25">
      <c r="A8823" s="8" t="str">
        <f>"Heat Treatment and Surface Engineering - Proceedings of Heat Treatment and Surface Engineering, HTSE 2013"</f>
        <v>Heat Treatment and Surface Engineering - Proceedings of Heat Treatment and Surface Engineering, HTSE 2013</v>
      </c>
      <c r="B8823" s="8" t="str">
        <f>"-"</f>
        <v>-</v>
      </c>
      <c r="C8823" s="8" t="s">
        <v>65</v>
      </c>
    </row>
    <row r="8824" spans="1:3" x14ac:dyDescent="0.25">
      <c r="A8824" s="8" t="str">
        <f>"Henry P.G. Darcy and Other Pioneers in Hydraulics"</f>
        <v>Henry P.G. Darcy and Other Pioneers in Hydraulics</v>
      </c>
      <c r="B8824" s="8" t="str">
        <f>"9780784406830"</f>
        <v>9780784406830</v>
      </c>
      <c r="C8824" s="8" t="s">
        <v>111</v>
      </c>
    </row>
    <row r="8825" spans="1:3" x14ac:dyDescent="0.25">
      <c r="A8825" s="8" t="str">
        <f>"HERA and the LHC: A Workshop on the Implications of HERA for LHC Physics, HERA-LHC 2005 - Proceedings"</f>
        <v>HERA and the LHC: A Workshop on the Implications of HERA for LHC Physics, HERA-LHC 2005 - Proceedings</v>
      </c>
      <c r="B8825" s="8" t="str">
        <f>"-"</f>
        <v>-</v>
      </c>
      <c r="C8825" s="8" t="s">
        <v>1863</v>
      </c>
    </row>
    <row r="8826" spans="1:3" x14ac:dyDescent="0.25">
      <c r="A8826" s="8" t="str">
        <f>"HiBi09 - 2009 International Workshop on High Performance Computational Systems Biology"</f>
        <v>HiBi09 - 2009 International Workshop on High Performance Computational Systems Biology</v>
      </c>
      <c r="B8826" s="8" t="str">
        <f>"9780769538099"</f>
        <v>9780769538099</v>
      </c>
      <c r="C8826" s="8" t="s">
        <v>9</v>
      </c>
    </row>
    <row r="8827" spans="1:3" x14ac:dyDescent="0.25">
      <c r="A8827" s="8" t="str">
        <f>"HiCoNS 2013 - Proceedings of the 2nd ACM International Conference on High Confidence Networked Systems, Part of CPSWeek 2013"</f>
        <v>HiCoNS 2013 - Proceedings of the 2nd ACM International Conference on High Confidence Networked Systems, Part of CPSWeek 2013</v>
      </c>
      <c r="B8827" s="8" t="str">
        <f>"9781450319614"</f>
        <v>9781450319614</v>
      </c>
      <c r="C8827" s="8" t="s">
        <v>21</v>
      </c>
    </row>
    <row r="8828" spans="1:3" x14ac:dyDescent="0.25">
      <c r="A8828" s="8" t="str">
        <f>"HiCoNS 2014 - Proceedings of the 3rd International Conference on High Confidence Networked Systems (Part of CPS Week)"</f>
        <v>HiCoNS 2014 - Proceedings of the 3rd International Conference on High Confidence Networked Systems (Part of CPS Week)</v>
      </c>
      <c r="B8828" s="8" t="str">
        <f>"9781450326520"</f>
        <v>9781450326520</v>
      </c>
      <c r="C8828" s="8" t="s">
        <v>21</v>
      </c>
    </row>
    <row r="8829" spans="1:3" x14ac:dyDescent="0.25">
      <c r="A8829" s="8" t="str">
        <f>"HiCoNS'12 - Proceedings of the 1st ACM International Conference on High Confidence Networked Systems"</f>
        <v>HiCoNS'12 - Proceedings of the 1st ACM International Conference on High Confidence Networked Systems</v>
      </c>
      <c r="B8829" s="8" t="str">
        <f>"9781450312639"</f>
        <v>9781450312639</v>
      </c>
      <c r="C8829" s="8" t="s">
        <v>21</v>
      </c>
    </row>
    <row r="8830" spans="1:3" x14ac:dyDescent="0.25">
      <c r="A8830" s="8" t="str">
        <f>"High Intensity Lasers and High Field Phenomena, HILAS 2012"</f>
        <v>High Intensity Lasers and High Field Phenomena, HILAS 2012</v>
      </c>
      <c r="B8830" s="8" t="str">
        <f>"9781557529398"</f>
        <v>9781557529398</v>
      </c>
      <c r="C8830" s="8" t="s">
        <v>86</v>
      </c>
    </row>
    <row r="8831" spans="1:3" x14ac:dyDescent="0.25">
      <c r="A8831" s="8" t="str">
        <f>"High Performance Computing in Science and Engineering 2005 - Transactions of the High Performance Computing Center Stuttgart, HLRS 2005"</f>
        <v>High Performance Computing in Science and Engineering 2005 - Transactions of the High Performance Computing Center Stuttgart, HLRS 2005</v>
      </c>
      <c r="B8831" s="8" t="str">
        <f>"9783540283775"</f>
        <v>9783540283775</v>
      </c>
      <c r="C8831" s="8" t="s">
        <v>42</v>
      </c>
    </row>
    <row r="8832" spans="1:3" x14ac:dyDescent="0.25">
      <c r="A8832" s="8" t="str">
        <f>"High Performance Computing in Science and Engineering 2006 - Transactions of the High Performance Computing Center Stuttgart, HLRS 2006"</f>
        <v>High Performance Computing in Science and Engineering 2006 - Transactions of the High Performance Computing Center Stuttgart, HLRS 2006</v>
      </c>
      <c r="B8832" s="8" t="str">
        <f>"9783540361657"</f>
        <v>9783540361657</v>
      </c>
      <c r="C8832" s="8" t="s">
        <v>42</v>
      </c>
    </row>
    <row r="8833" spans="1:3" x14ac:dyDescent="0.25">
      <c r="A8833" s="8" t="str">
        <f>"High Performance Computing in Science and Engineering 2007 - Transactions of the High Performance Computing Center Stuttgart, HLRS 2007"</f>
        <v>High Performance Computing in Science and Engineering 2007 - Transactions of the High Performance Computing Center Stuttgart, HLRS 2007</v>
      </c>
      <c r="B8833" s="8" t="str">
        <f>"9783540747383"</f>
        <v>9783540747383</v>
      </c>
      <c r="C8833" s="8" t="s">
        <v>42</v>
      </c>
    </row>
    <row r="8834" spans="1:3" x14ac:dyDescent="0.25">
      <c r="A8834" s="8" t="str">
        <f>"High Performance Computing in Science and Engineering 2008 - Transactions of the High Performance Computing Center Stuttgart, HLRS 2008"</f>
        <v>High Performance Computing in Science and Engineering 2008 - Transactions of the High Performance Computing Center Stuttgart, HLRS 2008</v>
      </c>
      <c r="B8834" s="8" t="str">
        <f>"9783540883012"</f>
        <v>9783540883012</v>
      </c>
      <c r="C8834" s="8" t="s">
        <v>42</v>
      </c>
    </row>
    <row r="8835" spans="1:3" x14ac:dyDescent="0.25">
      <c r="A8835" s="8" t="str">
        <f>"High Performance Computing in Science and Engineering 2009 - Transactions of the High Performance Computing Center Stuttgart, HLRS 2009"</f>
        <v>High Performance Computing in Science and Engineering 2009 - Transactions of the High Performance Computing Center Stuttgart, HLRS 2009</v>
      </c>
      <c r="B8835" s="8" t="str">
        <f>"9783642046643"</f>
        <v>9783642046643</v>
      </c>
      <c r="C8835" s="8" t="s">
        <v>42</v>
      </c>
    </row>
    <row r="8836" spans="1:3" x14ac:dyDescent="0.25">
      <c r="A8836" s="8" t="str">
        <f>"High Performance Computing in Science and Engineering 2010 - Transactions of the High Performance Computing Center, Stuttgart, HLRS 2010"</f>
        <v>High Performance Computing in Science and Engineering 2010 - Transactions of the High Performance Computing Center, Stuttgart, HLRS 2010</v>
      </c>
      <c r="B8836" s="8" t="str">
        <f>"9783642157479"</f>
        <v>9783642157479</v>
      </c>
      <c r="C8836" s="8" t="s">
        <v>42</v>
      </c>
    </row>
    <row r="8837" spans="1:3" x14ac:dyDescent="0.25">
      <c r="A8837" s="8" t="str">
        <f>"High Performance Computing in Science and Engineering 2011 - Transactions of the High Performance Computing Center, Stuttgart, HLRS 2011"</f>
        <v>High Performance Computing in Science and Engineering 2011 - Transactions of the High Performance Computing Center, Stuttgart, HLRS 2011</v>
      </c>
      <c r="B8837" s="8" t="str">
        <f>"9783642238680"</f>
        <v>9783642238680</v>
      </c>
      <c r="C8837" s="8" t="s">
        <v>42</v>
      </c>
    </row>
    <row r="8838" spans="1:3" x14ac:dyDescent="0.25">
      <c r="A8838" s="8" t="str">
        <f>"High Performance Computing in Science and Engineering 2012 - Transactions of the High Performance Computing Center, Stuttgart, HLRS 2012"</f>
        <v>High Performance Computing in Science and Engineering 2012 - Transactions of the High Performance Computing Center, Stuttgart, HLRS 2012</v>
      </c>
      <c r="B8838" s="8" t="str">
        <f>"9783642333736"</f>
        <v>9783642333736</v>
      </c>
      <c r="C8838" s="8" t="s">
        <v>42</v>
      </c>
    </row>
    <row r="8839" spans="1:3" x14ac:dyDescent="0.25">
      <c r="A8839" s="8" t="str">
        <f>"High Performance Computing in Science and Engineering, Garching/Munich 2007 - Transactions of the 3rd Joint HLRB and KONWIHR Status and Result Workshop"</f>
        <v>High Performance Computing in Science and Engineering, Garching/Munich 2007 - Transactions of the 3rd Joint HLRB and KONWIHR Status and Result Workshop</v>
      </c>
      <c r="B8839" s="8" t="str">
        <f>"9783540691815"</f>
        <v>9783540691815</v>
      </c>
      <c r="C8839" s="8" t="s">
        <v>162</v>
      </c>
    </row>
    <row r="8840" spans="1:3" x14ac:dyDescent="0.25">
      <c r="A8840" s="8" t="str">
        <f>"High Performance Computing on Vector Systems 2006 - Proceedings of the High Performance Computing Center"</f>
        <v>High Performance Computing on Vector Systems 2006 - Proceedings of the High Performance Computing Center</v>
      </c>
      <c r="B8840" s="8" t="str">
        <f>"9783540476924"</f>
        <v>9783540476924</v>
      </c>
      <c r="C8840" s="8" t="s">
        <v>834</v>
      </c>
    </row>
    <row r="8841" spans="1:3" x14ac:dyDescent="0.25">
      <c r="A8841" s="8" t="str">
        <f>"High Performance Computing on Vector Systems 2007"</f>
        <v>High Performance Computing on Vector Systems 2007</v>
      </c>
      <c r="B8841" s="8" t="str">
        <f>"9783540743835"</f>
        <v>9783540743835</v>
      </c>
      <c r="C8841" s="8" t="s">
        <v>834</v>
      </c>
    </row>
    <row r="8842" spans="1:3" x14ac:dyDescent="0.25">
      <c r="A8842" s="8" t="str">
        <f>"High Performance Computing on Vector Systems 2009"</f>
        <v>High Performance Computing on Vector Systems 2009</v>
      </c>
      <c r="B8842" s="8" t="str">
        <f>"9783642039126"</f>
        <v>9783642039126</v>
      </c>
      <c r="C8842" s="8" t="s">
        <v>834</v>
      </c>
    </row>
    <row r="8843" spans="1:3" x14ac:dyDescent="0.25">
      <c r="A8843" s="8" t="str">
        <f>"High Performance Computing on Vector Systems 2010"</f>
        <v>High Performance Computing on Vector Systems 2010</v>
      </c>
      <c r="B8843" s="8" t="str">
        <f>"9783642118500"</f>
        <v>9783642118500</v>
      </c>
      <c r="C8843" s="8" t="s">
        <v>834</v>
      </c>
    </row>
    <row r="8844" spans="1:3" x14ac:dyDescent="0.25">
      <c r="A8844" s="8" t="str">
        <f>"High Performance Computing on Vector Systems 2011"</f>
        <v>High Performance Computing on Vector Systems 2011</v>
      </c>
      <c r="B8844" s="8" t="str">
        <f>"9783642222436"</f>
        <v>9783642222436</v>
      </c>
      <c r="C8844" s="8" t="s">
        <v>834</v>
      </c>
    </row>
    <row r="8845" spans="1:3" x14ac:dyDescent="0.25">
      <c r="A8845" s="8" t="str">
        <f>"High Performance Distributed Computing - Proceedings of the 3rd International Workshop on Use of P2P, Grid and Agents for the Development of Content Networks 2008, UPGRADE'08"</f>
        <v>High Performance Distributed Computing - Proceedings of the 3rd International Workshop on Use of P2P, Grid and Agents for the Development of Content Networks 2008, UPGRADE'08</v>
      </c>
      <c r="B8845" s="8" t="str">
        <f>"9781605581552"</f>
        <v>9781605581552</v>
      </c>
      <c r="C8845" s="8" t="s">
        <v>21</v>
      </c>
    </row>
    <row r="8846" spans="1:3" x14ac:dyDescent="0.25">
      <c r="A8846" s="8" t="str">
        <f>"High Performance Materials in Bridges"</f>
        <v>High Performance Materials in Bridges</v>
      </c>
      <c r="B8846" s="8" t="str">
        <f>"9780784406915"</f>
        <v>9780784406915</v>
      </c>
      <c r="C8846" s="8" t="s">
        <v>111</v>
      </c>
    </row>
    <row r="8847" spans="1:3" x14ac:dyDescent="0.25">
      <c r="A8847" s="8" t="str">
        <f>"High Performance Materials in Bridges"</f>
        <v>High Performance Materials in Bridges</v>
      </c>
      <c r="B8847" s="8" t="str">
        <f>"9780784406915"</f>
        <v>9780784406915</v>
      </c>
      <c r="C8847" s="8" t="s">
        <v>111</v>
      </c>
    </row>
    <row r="8848" spans="1:3" x14ac:dyDescent="0.25">
      <c r="A8848" s="8" t="str">
        <f>"High Value Manufacturing: Advanced Research in Virtual and Rapid Prototyping - Proceedings of the 6th International Conference on Advanced Research and Rapid Prototyping, VR@P 2013"</f>
        <v>High Value Manufacturing: Advanced Research in Virtual and Rapid Prototyping - Proceedings of the 6th International Conference on Advanced Research and Rapid Prototyping, VR@P 2013</v>
      </c>
      <c r="B8848" s="8" t="str">
        <f>"9781138001374"</f>
        <v>9781138001374</v>
      </c>
      <c r="C8848" s="8" t="s">
        <v>1619</v>
      </c>
    </row>
    <row r="8849" spans="1:3" x14ac:dyDescent="0.25">
      <c r="A8849" s="8" t="str">
        <f>"Higher Education in the Twenty-First Century II - Papers From The Two-Day Workshop, 2014"</f>
        <v>Higher Education in the Twenty-First Century II - Papers From The Two-Day Workshop, 2014</v>
      </c>
      <c r="B8849" s="8" t="str">
        <f>"9781138029255"</f>
        <v>9781138029255</v>
      </c>
      <c r="C8849" s="8" t="s">
        <v>1635</v>
      </c>
    </row>
    <row r="8850" spans="1:3" x14ac:dyDescent="0.25">
      <c r="A8850" s="8" t="str">
        <f>"High-Frequency Oscillator Design for Integrated Transceivers"</f>
        <v>High-Frequency Oscillator Design for Integrated Transceivers</v>
      </c>
      <c r="B8850" s="8" t="str">
        <f>"9789038619705"</f>
        <v>9789038619705</v>
      </c>
      <c r="C8850" s="8" t="s">
        <v>1203</v>
      </c>
    </row>
    <row r="8851" spans="1:3" x14ac:dyDescent="0.25">
      <c r="A8851" s="8" t="str">
        <f>"Highlights of Spanish Astrophysics IV - Proceedings of the 7th Scientific Meeting of the Spanish Astronomical Society, SEA 2006"</f>
        <v>Highlights of Spanish Astrophysics IV - Proceedings of the 7th Scientific Meeting of the Spanish Astronomical Society, SEA 2006</v>
      </c>
      <c r="B8851" s="8" t="str">
        <f>"9781402059995"</f>
        <v>9781402059995</v>
      </c>
      <c r="C8851" s="8" t="s">
        <v>162</v>
      </c>
    </row>
    <row r="8852" spans="1:3" x14ac:dyDescent="0.25">
      <c r="A8852" s="8" t="str">
        <f>"High-Performance Graphics 2012, HPG 2012 - ACM SIGGRAPH / Eurographics Symposium Proceedings"</f>
        <v>High-Performance Graphics 2012, HPG 2012 - ACM SIGGRAPH / Eurographics Symposium Proceedings</v>
      </c>
      <c r="B8852" s="8" t="str">
        <f>"9783905674415"</f>
        <v>9783905674415</v>
      </c>
      <c r="C8852" s="8" t="s">
        <v>23</v>
      </c>
    </row>
    <row r="8853" spans="1:3" x14ac:dyDescent="0.25">
      <c r="A8853" s="8" t="str">
        <f>"High-Performance Graphics 2014, HPG 2014 - Proceedings"</f>
        <v>High-Performance Graphics 2014, HPG 2014 - Proceedings</v>
      </c>
      <c r="B8853" s="8" t="str">
        <f>"9783905674606"</f>
        <v>9783905674606</v>
      </c>
      <c r="C8853" s="8" t="s">
        <v>23</v>
      </c>
    </row>
    <row r="8854" spans="1:3" x14ac:dyDescent="0.25">
      <c r="A8854" s="8" t="str">
        <f>"HILT 2013 - Proceedings of the ACM Conference on High Integrity Language Technology"</f>
        <v>HILT 2013 - Proceedings of the ACM Conference on High Integrity Language Technology</v>
      </c>
      <c r="B8854" s="8" t="str">
        <f>"9781450324670"</f>
        <v>9781450324670</v>
      </c>
      <c r="C8854" s="8" t="s">
        <v>21</v>
      </c>
    </row>
    <row r="8855" spans="1:3" x14ac:dyDescent="0.25">
      <c r="A8855" s="8" t="str">
        <f>"HILT 2014 - Proceedings of the ACM Conference on High Integrity Language Technology"</f>
        <v>HILT 2014 - Proceedings of the ACM Conference on High Integrity Language Technology</v>
      </c>
      <c r="B8855" s="8" t="str">
        <f>"9781450332170"</f>
        <v>9781450332170</v>
      </c>
      <c r="C8855" s="8" t="s">
        <v>1235</v>
      </c>
    </row>
    <row r="8856" spans="1:3" x14ac:dyDescent="0.25">
      <c r="A8856" s="8" t="str">
        <f>"HiPCNA-PG'11 - Proceedings of the 1st International Workshop on High Performance Computing, Networking and Analytics for the Power Grid, Co-located with SC'11"</f>
        <v>HiPCNA-PG'11 - Proceedings of the 1st International Workshop on High Performance Computing, Networking and Analytics for the Power Grid, Co-located with SC'11</v>
      </c>
      <c r="B8856" s="8" t="str">
        <f>"9781450310611"</f>
        <v>9781450310611</v>
      </c>
      <c r="C8856" s="8" t="s">
        <v>21</v>
      </c>
    </row>
    <row r="8857" spans="1:3" x14ac:dyDescent="0.25">
      <c r="A8857" s="8" t="str">
        <f>"HiPEAC'11 - Proceedings of the 6th International Conference on High Performance and Embedded Architectures and Compilers"</f>
        <v>HiPEAC'11 - Proceedings of the 6th International Conference on High Performance and Embedded Architectures and Compilers</v>
      </c>
      <c r="B8857" s="8" t="str">
        <f>"9781450302418"</f>
        <v>9781450302418</v>
      </c>
      <c r="C8857" s="8" t="s">
        <v>21</v>
      </c>
    </row>
    <row r="8858" spans="1:3" x14ac:dyDescent="0.25">
      <c r="A8858" s="8" t="str">
        <f>"History of the Future: 52nd World Congress of the International Federation of Landscape Architects, IFLA 2015 - Congress Proceedings"</f>
        <v>History of the Future: 52nd World Congress of the International Federation of Landscape Architects, IFLA 2015 - Congress Proceedings</v>
      </c>
      <c r="B8858" s="8" t="str">
        <f>"9785742248774"</f>
        <v>9785742248774</v>
      </c>
      <c r="C8858" s="8" t="s">
        <v>1864</v>
      </c>
    </row>
    <row r="8859" spans="1:3" x14ac:dyDescent="0.25">
      <c r="A8859" s="8" t="str">
        <f>"HLPP'11 - Proceedings of the 5th International Workshop on High-Level Parallel Programming and Applications"</f>
        <v>HLPP'11 - Proceedings of the 5th International Workshop on High-Level Parallel Programming and Applications</v>
      </c>
      <c r="B8859" s="8" t="str">
        <f>"9781450308625"</f>
        <v>9781450308625</v>
      </c>
      <c r="C8859" s="8" t="s">
        <v>21</v>
      </c>
    </row>
    <row r="8860" spans="1:3" x14ac:dyDescent="0.25">
      <c r="A8860" s="8" t="str">
        <f>"HLT/EMNLP 2005 - Human Language Technology Conference and Conference on Empirical Methods in Natural Language Processing, Proceedings of the Conference"</f>
        <v>HLT/EMNLP 2005 - Human Language Technology Conference and Conference on Empirical Methods in Natural Language Processing, Proceedings of the Conference</v>
      </c>
      <c r="B8860" s="8" t="str">
        <f>"-"</f>
        <v>-</v>
      </c>
      <c r="C8860" s="8" t="s">
        <v>554</v>
      </c>
    </row>
    <row r="8861" spans="1:3" x14ac:dyDescent="0.25">
      <c r="A8861" s="8" t="str">
        <f>"HLT-NAACL 2006 - Human Language Technology Conference of the North American Chapter of the Association of Computational Linguistics, Proceedings of the Main Conference"</f>
        <v>HLT-NAACL 2006 - Human Language Technology Conference of the North American Chapter of the Association of Computational Linguistics, Proceedings of the Main Conference</v>
      </c>
      <c r="B8861" s="8" t="str">
        <f>"-"</f>
        <v>-</v>
      </c>
      <c r="C8861" s="8" t="s">
        <v>554</v>
      </c>
    </row>
    <row r="8862" spans="1:3" x14ac:dyDescent="0.25">
      <c r="A8862" s="8" t="str">
        <f>"HLT-NAACL 2007 - TextGraphs 2007: Graph-Based Algorithms for Natural Language Processing, Proceedings of the Workshop"</f>
        <v>HLT-NAACL 2007 - TextGraphs 2007: Graph-Based Algorithms for Natural Language Processing, Proceedings of the Workshop</v>
      </c>
      <c r="B8862" s="8" t="str">
        <f>"-"</f>
        <v>-</v>
      </c>
      <c r="C8862" s="8" t="s">
        <v>554</v>
      </c>
    </row>
    <row r="8863" spans="1:3" x14ac:dyDescent="0.25">
      <c r="A8863" s="8" t="str">
        <f>"Hoist and Haul 2010 - Proceedings of the International Conference on Hoisting and Haulage"</f>
        <v>Hoist and Haul 2010 - Proceedings of the International Conference on Hoisting and Haulage</v>
      </c>
      <c r="B8863" s="8" t="str">
        <f>"9780873353373"</f>
        <v>9780873353373</v>
      </c>
      <c r="C8863" s="8" t="s">
        <v>877</v>
      </c>
    </row>
    <row r="8864" spans="1:3" x14ac:dyDescent="0.25">
      <c r="A8864" s="8" t="str">
        <f>"Hoover Dam: 75th Anniversary History Symposium"</f>
        <v>Hoover Dam: 75th Anniversary History Symposium</v>
      </c>
      <c r="B8864" s="8" t="str">
        <f>"9780784411414"</f>
        <v>9780784411414</v>
      </c>
      <c r="C8864" s="8" t="s">
        <v>111</v>
      </c>
    </row>
    <row r="8865" spans="1:3" x14ac:dyDescent="0.25">
      <c r="A8865" s="8" t="str">
        <f>"Hot Cracking Phenomena in Welds II"</f>
        <v>Hot Cracking Phenomena in Welds II</v>
      </c>
      <c r="B8865" s="8" t="str">
        <f>"9783540786276"</f>
        <v>9783540786276</v>
      </c>
      <c r="C8865" s="8" t="s">
        <v>42</v>
      </c>
    </row>
    <row r="8866" spans="1:3" x14ac:dyDescent="0.25">
      <c r="A8866" s="8" t="str">
        <f>"Hot Cracking Phenomena in Welds III"</f>
        <v>Hot Cracking Phenomena in Welds III</v>
      </c>
      <c r="B8866" s="8" t="str">
        <f>"9783642168635"</f>
        <v>9783642168635</v>
      </c>
      <c r="C8866" s="8" t="s">
        <v>42</v>
      </c>
    </row>
    <row r="8867" spans="1:3" x14ac:dyDescent="0.25">
      <c r="A8867" s="8" t="str">
        <f>"HotMiddlebox 2013 - Proceedings of the 2013 Workshop on Hot Topics in Middleboxes and Network Function Virtualization"</f>
        <v>HotMiddlebox 2013 - Proceedings of the 2013 Workshop on Hot Topics in Middleboxes and Network Function Virtualization</v>
      </c>
      <c r="B8867" s="8" t="str">
        <f>"9781450325745"</f>
        <v>9781450325745</v>
      </c>
      <c r="C8867" s="8" t="s">
        <v>21</v>
      </c>
    </row>
    <row r="8868" spans="1:3" x14ac:dyDescent="0.25">
      <c r="A8868" s="8" t="str">
        <f>"HotMobile 2008: 9th Workshop on Mobile Computing Systems and Applications"</f>
        <v>HotMobile 2008: 9th Workshop on Mobile Computing Systems and Applications</v>
      </c>
      <c r="B8868" s="8" t="str">
        <f>"9781605581187"</f>
        <v>9781605581187</v>
      </c>
      <c r="C8868" s="8" t="s">
        <v>21</v>
      </c>
    </row>
    <row r="8869" spans="1:3" x14ac:dyDescent="0.25">
      <c r="A8869" s="8" t="str">
        <f>"HotMobile 2010: The 11th Workshop on Mobile Computing Systems and Applications"</f>
        <v>HotMobile 2010: The 11th Workshop on Mobile Computing Systems and Applications</v>
      </c>
      <c r="B8869" s="8" t="str">
        <f>"9781450300056"</f>
        <v>9781450300056</v>
      </c>
      <c r="C8869" s="8" t="s">
        <v>21</v>
      </c>
    </row>
    <row r="8870" spans="1:3" x14ac:dyDescent="0.25">
      <c r="A8870" s="8" t="str">
        <f>"HotMobile 2011: The 12th Workshop on Mobile Computing Systems and Applications"</f>
        <v>HotMobile 2011: The 12th Workshop on Mobile Computing Systems and Applications</v>
      </c>
      <c r="B8870" s="8" t="str">
        <f>"9781450306492"</f>
        <v>9781450306492</v>
      </c>
      <c r="C8870" s="8" t="s">
        <v>21</v>
      </c>
    </row>
    <row r="8871" spans="1:3" x14ac:dyDescent="0.25">
      <c r="A8871" s="8" t="str">
        <f>"HotMobile 2012 - 13th Workshop on Mobile Computing Systems and Applications"</f>
        <v>HotMobile 2012 - 13th Workshop on Mobile Computing Systems and Applications</v>
      </c>
      <c r="B8871" s="8" t="str">
        <f>"9781450300056"</f>
        <v>9781450300056</v>
      </c>
      <c r="C8871" s="8" t="s">
        <v>21</v>
      </c>
    </row>
    <row r="8872" spans="1:3" x14ac:dyDescent="0.25">
      <c r="A8872" s="8" t="str">
        <f>"HotMobile 2015 - 16th International Workshop on Mobile Computing Systems and Applications"</f>
        <v>HotMobile 2015 - 16th International Workshop on Mobile Computing Systems and Applications</v>
      </c>
      <c r="B8872" s="8" t="str">
        <f>"9781450333917"</f>
        <v>9781450333917</v>
      </c>
      <c r="C8872" s="8" t="s">
        <v>1235</v>
      </c>
    </row>
    <row r="8873" spans="1:3" x14ac:dyDescent="0.25">
      <c r="A8873" s="8" t="str">
        <f>"HotPlanet 2013 - Proceedings of the 5th, 2013 ACM SIGCOMM Workshop on Hot Topics in Planet-Scale Measurement"</f>
        <v>HotPlanet 2013 - Proceedings of the 5th, 2013 ACM SIGCOMM Workshop on Hot Topics in Planet-Scale Measurement</v>
      </c>
      <c r="B8873" s="8" t="str">
        <f>"9781450321778"</f>
        <v>9781450321778</v>
      </c>
      <c r="C8873" s="8" t="s">
        <v>21</v>
      </c>
    </row>
    <row r="8874" spans="1:3" x14ac:dyDescent="0.25">
      <c r="A8874" s="8" t="str">
        <f>"HotPlanet'12 - Proceedings of the 4th ACM International Workshop on Hot Topics in Planet-Scale Measurement"</f>
        <v>HotPlanet'12 - Proceedings of the 4th ACM International Workshop on Hot Topics in Planet-Scale Measurement</v>
      </c>
      <c r="B8874" s="8" t="str">
        <f>"9781450313186"</f>
        <v>9781450313186</v>
      </c>
      <c r="C8874" s="8" t="s">
        <v>21</v>
      </c>
    </row>
    <row r="8875" spans="1:3" x14ac:dyDescent="0.25">
      <c r="A8875" s="8" t="str">
        <f>"HotSDN 2013 - Proceedings of the 2013 ACM SIGCOMM Workshop on Hot Topics in Software Defined Networking"</f>
        <v>HotSDN 2013 - Proceedings of the 2013 ACM SIGCOMM Workshop on Hot Topics in Software Defined Networking</v>
      </c>
      <c r="B8875" s="8" t="str">
        <f>"9781450320566"</f>
        <v>9781450320566</v>
      </c>
      <c r="C8875" s="8" t="s">
        <v>21</v>
      </c>
    </row>
    <row r="8876" spans="1:3" x14ac:dyDescent="0.25">
      <c r="A8876" s="8" t="str">
        <f>"HotSDN'12 - Proceedings of the 1st ACM International Workshop on Hot Topics in Software Defined Networks"</f>
        <v>HotSDN'12 - Proceedings of the 1st ACM International Workshop on Hot Topics in Software Defined Networks</v>
      </c>
      <c r="B8876" s="8" t="str">
        <f>"9781450314770"</f>
        <v>9781450314770</v>
      </c>
      <c r="C8876" s="8" t="s">
        <v>21</v>
      </c>
    </row>
    <row r="8877" spans="1:3" x14ac:dyDescent="0.25">
      <c r="A8877" s="8" t="str">
        <f>"HotTopiCS 2013 - Proceedings of the 2013 International Workshop on Hot Topics in Cloud Services"</f>
        <v>HotTopiCS 2013 - Proceedings of the 2013 International Workshop on Hot Topics in Cloud Services</v>
      </c>
      <c r="B8877" s="8" t="str">
        <f>"9781450320511"</f>
        <v>9781450320511</v>
      </c>
      <c r="C8877" s="8" t="s">
        <v>21</v>
      </c>
    </row>
    <row r="8878" spans="1:3" x14ac:dyDescent="0.25">
      <c r="A8878" s="8" t="str">
        <f>"HotWireless 2014 - Proceedings of the 1st ACM MobiCom Workshop on Hot Topics in Wireless"</f>
        <v>HotWireless 2014 - Proceedings of the 1st ACM MobiCom Workshop on Hot Topics in Wireless</v>
      </c>
      <c r="B8878" s="8" t="str">
        <f>"9781450330763"</f>
        <v>9781450330763</v>
      </c>
      <c r="C8878" s="8" t="s">
        <v>1235</v>
      </c>
    </row>
    <row r="8879" spans="1:3" x14ac:dyDescent="0.25">
      <c r="A8879" s="8" t="str">
        <f>"HotWiSec 2013 - Proceedings of the 2013 ACM Workshop on Hot Topics on Wireless Network Security and Privacy"</f>
        <v>HotWiSec 2013 - Proceedings of the 2013 ACM Workshop on Hot Topics on Wireless Network Security and Privacy</v>
      </c>
      <c r="B8879" s="8" t="str">
        <f>"9781450320030"</f>
        <v>9781450320030</v>
      </c>
      <c r="C8879" s="8" t="s">
        <v>21</v>
      </c>
    </row>
    <row r="8880" spans="1:3" x14ac:dyDescent="0.25">
      <c r="A8880" s="8" t="str">
        <f>"HPCDB'11 - Proceedings of the 2011 Workshop on High-Performance Computing Meets Databases, Co-located with SC'11"</f>
        <v>HPCDB'11 - Proceedings of the 2011 Workshop on High-Performance Computing Meets Databases, Co-located with SC'11</v>
      </c>
      <c r="B8880" s="8" t="str">
        <f>"9781450311571"</f>
        <v>9781450311571</v>
      </c>
      <c r="C8880" s="8" t="s">
        <v>21</v>
      </c>
    </row>
    <row r="8881" spans="1:3" x14ac:dyDescent="0.25">
      <c r="A8881" s="8" t="str">
        <f>"HPDC '12 - Proceedings of the 21st ACM Symposium on High-Performance Parallel and Distributed Computing"</f>
        <v>HPDC '12 - Proceedings of the 21st ACM Symposium on High-Performance Parallel and Distributed Computing</v>
      </c>
      <c r="B8881" s="8" t="str">
        <f>"9781450308052"</f>
        <v>9781450308052</v>
      </c>
      <c r="C8881" s="8" t="s">
        <v>21</v>
      </c>
    </row>
    <row r="8882" spans="1:3" x14ac:dyDescent="0.25">
      <c r="A8882" s="8" t="str">
        <f>"HPDC 2010 - Proceedings of the 19th ACM International Symposium on High Performance Distributed Computing"</f>
        <v>HPDC 2010 - Proceedings of the 19th ACM International Symposium on High Performance Distributed Computing</v>
      </c>
      <c r="B8882" s="8" t="str">
        <f>"9781605589428"</f>
        <v>9781605589428</v>
      </c>
      <c r="C8882" s="8" t="s">
        <v>21</v>
      </c>
    </row>
    <row r="8883" spans="1:3" x14ac:dyDescent="0.25">
      <c r="A8883" s="8" t="str">
        <f>"HPDC 2013 - Proceedings of the 22nd ACM International Symposium on High-Performance Parallel and Distributed Computing"</f>
        <v>HPDC 2013 - Proceedings of the 22nd ACM International Symposium on High-Performance Parallel and Distributed Computing</v>
      </c>
      <c r="B8883" s="8" t="str">
        <f>"9781450319102"</f>
        <v>9781450319102</v>
      </c>
      <c r="C8883" s="8" t="s">
        <v>21</v>
      </c>
    </row>
    <row r="8884" spans="1:3" x14ac:dyDescent="0.25">
      <c r="A8884" s="8" t="str">
        <f>"HP-MOSys 2013 - Proceedings of the 2nd ACM Workshop on High Performance Mobile Opportunistic Systems, Co-located with ACM MSWiM 2013"</f>
        <v>HP-MOSys 2013 - Proceedings of the 2nd ACM Workshop on High Performance Mobile Opportunistic Systems, Co-located with ACM MSWiM 2013</v>
      </c>
      <c r="B8884" s="8" t="str">
        <f>"9781450323727"</f>
        <v>9781450323727</v>
      </c>
      <c r="C8884" s="8" t="s">
        <v>21</v>
      </c>
    </row>
    <row r="8885" spans="1:3" x14ac:dyDescent="0.25">
      <c r="A8885" s="8" t="str">
        <f>"HP-MOSys'12 - Proceedings of the ACM Workshop on High Performance Mobile Opportunistic Systems"</f>
        <v>HP-MOSys'12 - Proceedings of the ACM Workshop on High Performance Mobile Opportunistic Systems</v>
      </c>
      <c r="B8885" s="8" t="str">
        <f>"9781450316293"</f>
        <v>9781450316293</v>
      </c>
      <c r="C8885" s="8" t="s">
        <v>21</v>
      </c>
    </row>
    <row r="8886" spans="1:3" x14ac:dyDescent="0.25">
      <c r="A8886" s="8" t="str">
        <f>"HPMV CHINA 2006 - 6th International Conference on High Performance Marine Vessels"</f>
        <v>HPMV CHINA 2006 - 6th International Conference on High Performance Marine Vessels</v>
      </c>
      <c r="B8886" s="8" t="str">
        <f>"-"</f>
        <v>-</v>
      </c>
      <c r="C8886" s="8" t="s">
        <v>1137</v>
      </c>
    </row>
    <row r="8887" spans="1:3" x14ac:dyDescent="0.25">
      <c r="A8887" s="8" t="str">
        <f>"HPPN 2013 - Proceedings of the 2013 ACM Workshop on High Performance and Programmable Networking"</f>
        <v>HPPN 2013 - Proceedings of the 2013 ACM Workshop on High Performance and Programmable Networking</v>
      </c>
      <c r="B8887" s="8" t="str">
        <f>"9781450319812"</f>
        <v>9781450319812</v>
      </c>
      <c r="C8887" s="8" t="s">
        <v>21</v>
      </c>
    </row>
    <row r="8888" spans="1:3" x14ac:dyDescent="0.25">
      <c r="A8888" s="8" t="str">
        <f>"HQL 2008 - 9th International Conference on Heavy Quarks and Leptons"</f>
        <v>HQL 2008 - 9th International Conference on Heavy Quarks and Leptons</v>
      </c>
      <c r="B8888" s="8" t="str">
        <f>"-"</f>
        <v>-</v>
      </c>
      <c r="C8888" s="8" t="s">
        <v>1865</v>
      </c>
    </row>
    <row r="8889" spans="1:3" x14ac:dyDescent="0.25">
      <c r="A8889" s="8" t="str">
        <f>"HRI 2006: Proceedings of the 2006 ACM Conference on Human-Robot Interaction"</f>
        <v>HRI 2006: Proceedings of the 2006 ACM Conference on Human-Robot Interaction</v>
      </c>
      <c r="B8889" s="8" t="str">
        <f>"-"</f>
        <v>-</v>
      </c>
      <c r="C8889" s="8" t="s">
        <v>21</v>
      </c>
    </row>
    <row r="8890" spans="1:3" x14ac:dyDescent="0.25">
      <c r="A8890" s="8" t="str">
        <f>"HRI 2007 - Proceedings of the 2007 ACM/IEEE Conference on Human-Robot Interaction - Robot as Team Member"</f>
        <v>HRI 2007 - Proceedings of the 2007 ACM/IEEE Conference on Human-Robot Interaction - Robot as Team Member</v>
      </c>
      <c r="B8890" s="8" t="str">
        <f>"9781595936172"</f>
        <v>9781595936172</v>
      </c>
      <c r="C8890" s="8" t="s">
        <v>21</v>
      </c>
    </row>
    <row r="8891" spans="1:3" x14ac:dyDescent="0.25">
      <c r="A8891" s="8" t="str">
        <f>"HRI 2008 - Proceedings of the 3rd ACM/IEEE International Conference on Human-Robot Interaction: Living with Robots"</f>
        <v>HRI 2008 - Proceedings of the 3rd ACM/IEEE International Conference on Human-Robot Interaction: Living with Robots</v>
      </c>
      <c r="B8891" s="8" t="str">
        <f>"9781605580173"</f>
        <v>9781605580173</v>
      </c>
      <c r="C8891" s="8" t="s">
        <v>21</v>
      </c>
    </row>
    <row r="8892" spans="1:3" x14ac:dyDescent="0.25">
      <c r="A8892" s="8" t="str">
        <f>"HRI 2011 - Proceedings of the 6th ACM/IEEE International Conference on Human-Robot Interaction"</f>
        <v>HRI 2011 - Proceedings of the 6th ACM/IEEE International Conference on Human-Robot Interaction</v>
      </c>
      <c r="B8892" s="8" t="str">
        <f>"9781450305617"</f>
        <v>9781450305617</v>
      </c>
      <c r="C8892" s="8" t="s">
        <v>21</v>
      </c>
    </row>
    <row r="8893" spans="1:3" x14ac:dyDescent="0.25">
      <c r="A8893" s="8" t="str">
        <f>"HRI'12 - Proceedings of the 7th Annual ACM/IEEE International Conference on Human-Robot Interaction"</f>
        <v>HRI'12 - Proceedings of the 7th Annual ACM/IEEE International Conference on Human-Robot Interaction</v>
      </c>
      <c r="B8893" s="8" t="str">
        <f>"9781450310635"</f>
        <v>9781450310635</v>
      </c>
      <c r="C8893" s="8" t="s">
        <v>21</v>
      </c>
    </row>
    <row r="8894" spans="1:3" x14ac:dyDescent="0.25">
      <c r="A8894" s="8" t="str">
        <f>"HSCC 2013 - Proceedings of the 16th International Conference on Hybrid Systems: Computation and Control, Part of CPSWeek 2013"</f>
        <v>HSCC 2013 - Proceedings of the 16th International Conference on Hybrid Systems: Computation and Control, Part of CPSWeek 2013</v>
      </c>
      <c r="B8894" s="8" t="str">
        <f>"9781450315678"</f>
        <v>9781450315678</v>
      </c>
      <c r="C8894" s="8" t="s">
        <v>21</v>
      </c>
    </row>
    <row r="8895" spans="1:3" x14ac:dyDescent="0.25">
      <c r="A8895" s="8" t="str">
        <f>"HSCC 2014 - Proceedings of the 17th International Conference on Hybrid Systems: Computation and Control (Part of CPS Week)"</f>
        <v>HSCC 2014 - Proceedings of the 17th International Conference on Hybrid Systems: Computation and Control (Part of CPS Week)</v>
      </c>
      <c r="B8895" s="8" t="str">
        <f>"9781450327329"</f>
        <v>9781450327329</v>
      </c>
      <c r="C8895" s="8" t="s">
        <v>21</v>
      </c>
    </row>
    <row r="8896" spans="1:3" x14ac:dyDescent="0.25">
      <c r="A8896" s="8" t="str">
        <f>"HSCC'10 - Proceedings of the 13th ACM International Conference on Hybrid Systems: Computation and Control"</f>
        <v>HSCC'10 - Proceedings of the 13th ACM International Conference on Hybrid Systems: Computation and Control</v>
      </c>
      <c r="B8896" s="8" t="str">
        <f>"9781605589558"</f>
        <v>9781605589558</v>
      </c>
      <c r="C8896" s="8" t="s">
        <v>21</v>
      </c>
    </row>
    <row r="8897" spans="1:3" x14ac:dyDescent="0.25">
      <c r="A8897" s="8" t="str">
        <f>"HSCC'11 - Proceedings of the 2011 ACM/SIGBED Hybrid Systems: Computation and Control"</f>
        <v>HSCC'11 - Proceedings of the 2011 ACM/SIGBED Hybrid Systems: Computation and Control</v>
      </c>
      <c r="B8897" s="8" t="str">
        <f>"9781450306294"</f>
        <v>9781450306294</v>
      </c>
      <c r="C8897" s="8" t="s">
        <v>21</v>
      </c>
    </row>
    <row r="8898" spans="1:3" x14ac:dyDescent="0.25">
      <c r="A8898" s="8" t="str">
        <f>"HSCC'12 - Proceedings of the 15th ACM International Conference on Hybrid Systems: Computation and Control"</f>
        <v>HSCC'12 - Proceedings of the 15th ACM International Conference on Hybrid Systems: Computation and Control</v>
      </c>
      <c r="B8898" s="8" t="str">
        <f>"9781450312202"</f>
        <v>9781450312202</v>
      </c>
      <c r="C8898" s="8" t="s">
        <v>21</v>
      </c>
    </row>
    <row r="8899" spans="1:3" x14ac:dyDescent="0.25">
      <c r="A8899" s="8" t="str">
        <f>"HT 2005 - 16th ACM Conference on Hypertext and Hypermedia"</f>
        <v>HT 2005 - 16th ACM Conference on Hypertext and Hypermedia</v>
      </c>
      <c r="B8899" s="8" t="str">
        <f>"9781595931689"</f>
        <v>9781595931689</v>
      </c>
      <c r="C8899" s="8" t="s">
        <v>21</v>
      </c>
    </row>
    <row r="8900" spans="1:3" x14ac:dyDescent="0.25">
      <c r="A8900" s="8" t="str">
        <f>"HT 2011 - Proceedings of the 22nd ACM Conference on Hypertext and Hypermedia"</f>
        <v>HT 2011 - Proceedings of the 22nd ACM Conference on Hypertext and Hypermedia</v>
      </c>
      <c r="B8900" s="8" t="str">
        <f>"9781450302562"</f>
        <v>9781450302562</v>
      </c>
      <c r="C8900" s="8" t="s">
        <v>21</v>
      </c>
    </row>
    <row r="8901" spans="1:3" x14ac:dyDescent="0.25">
      <c r="A8901" s="8" t="str">
        <f>"HT 2013 - Proceedings of the 24th ACM Conference on Hypertext and Social Media"</f>
        <v>HT 2013 - Proceedings of the 24th ACM Conference on Hypertext and Social Media</v>
      </c>
      <c r="B8901" s="8" t="str">
        <f>"9781450319676"</f>
        <v>9781450319676</v>
      </c>
      <c r="C8901" s="8" t="s">
        <v>21</v>
      </c>
    </row>
    <row r="8902" spans="1:3" x14ac:dyDescent="0.25">
      <c r="A8902" s="8" t="str">
        <f>"HT'10 - Proceedings of the 21st ACM Conference on Hypertext and Hypermedia"</f>
        <v>HT'10 - Proceedings of the 21st ACM Conference on Hypertext and Hypermedia</v>
      </c>
      <c r="B8902" s="8" t="str">
        <f>"9781450300414"</f>
        <v>9781450300414</v>
      </c>
      <c r="C8902" s="8" t="s">
        <v>21</v>
      </c>
    </row>
    <row r="8903" spans="1:3" x14ac:dyDescent="0.25">
      <c r="A8903" s="8" t="str">
        <f>"HT'12 - Proceedings of 23rd ACM Conference on Hypertext and Social Media"</f>
        <v>HT'12 - Proceedings of 23rd ACM Conference on Hypertext and Social Media</v>
      </c>
      <c r="B8903" s="8" t="str">
        <f>"9781450313353"</f>
        <v>9781450313353</v>
      </c>
      <c r="C8903" s="8" t="s">
        <v>21</v>
      </c>
    </row>
    <row r="8904" spans="1:3" x14ac:dyDescent="0.25">
      <c r="A8904" s="8" t="str">
        <f>"HUCOM 2008 - 1st International Working Conference on Human Factors and Computational Models in Negotiation"</f>
        <v>HUCOM 2008 - 1st International Working Conference on Human Factors and Computational Models in Negotiation</v>
      </c>
      <c r="B8904" s="8" t="str">
        <f>"9789081381116"</f>
        <v>9789081381116</v>
      </c>
      <c r="C8904" s="8" t="s">
        <v>21</v>
      </c>
    </row>
    <row r="8905" spans="1:3" x14ac:dyDescent="0.25">
      <c r="A8905" s="8" t="str">
        <f>"HuEvent 2014 - Proceedings of the 2014 Workshop on Human Centered Event Understanding from Multimedia"</f>
        <v>HuEvent 2014 - Proceedings of the 2014 Workshop on Human Centered Event Understanding from Multimedia</v>
      </c>
      <c r="B8905" s="8" t="str">
        <f>"9781450331203"</f>
        <v>9781450331203</v>
      </c>
      <c r="C8905" s="8" t="s">
        <v>1235</v>
      </c>
    </row>
    <row r="8906" spans="1:3" x14ac:dyDescent="0.25">
      <c r="A8906" s="8" t="str">
        <f>"Human Capital Development for Progress: 2009 ITI 7th International Conference on Information and Communications Technology, ICICT 2009"</f>
        <v>Human Capital Development for Progress: 2009 ITI 7th International Conference on Information and Communications Technology, ICICT 2009</v>
      </c>
      <c r="B8906" s="8" t="str">
        <f>"9781424460199"</f>
        <v>9781424460199</v>
      </c>
      <c r="C8906" s="8" t="s">
        <v>9</v>
      </c>
    </row>
    <row r="8907" spans="1:3" x14ac:dyDescent="0.25">
      <c r="A8907" s="8" t="str">
        <f>"Human Resource Information Systems - Proceedings of the 2nd International Workshop on Human Resource Information Systems, HRIS 2008; In Conjunction with ICEIS 2008"</f>
        <v>Human Resource Information Systems - Proceedings of the 2nd International Workshop on Human Resource Information Systems, HRIS 2008; In Conjunction with ICEIS 2008</v>
      </c>
      <c r="B8907" s="8" t="str">
        <f>"9789898111470"</f>
        <v>9789898111470</v>
      </c>
      <c r="C8907" s="8" t="s">
        <v>1553</v>
      </c>
    </row>
    <row r="8908" spans="1:3" x14ac:dyDescent="0.25">
      <c r="A8908" s="8" t="str">
        <f>"Human Resource Information Systems - Proceedings of the 3rd International Workshop on Human Resource Information Systems - HRIS 2009 In Conjunction with ICEIS 2009"</f>
        <v>Human Resource Information Systems - Proceedings of the 3rd International Workshop on Human Resource Information Systems - HRIS 2009 In Conjunction with ICEIS 2009</v>
      </c>
      <c r="B8908" s="8" t="str">
        <f>"9789898111975"</f>
        <v>9789898111975</v>
      </c>
      <c r="C8908" s="8" t="s">
        <v>1680</v>
      </c>
    </row>
    <row r="8909" spans="1:3" x14ac:dyDescent="0.25">
      <c r="A8909" s="8" t="str">
        <f>"Human Respiration - Anatomy and Physiology, Mathematical Modeling, Numerical Simulation and Applications"</f>
        <v>Human Respiration - Anatomy and Physiology, Mathematical Modeling, Numerical Simulation and Applications</v>
      </c>
      <c r="B8909" s="8" t="str">
        <f>"9781853129445"</f>
        <v>9781853129445</v>
      </c>
      <c r="C8909" s="8" t="s">
        <v>1641</v>
      </c>
    </row>
    <row r="8910" spans="1:3" x14ac:dyDescent="0.25">
      <c r="A8910" s="8" t="str">
        <f>"Huntsville Simulation Conference, HSC 2006"</f>
        <v>Huntsville Simulation Conference, HSC 2006</v>
      </c>
      <c r="B8910" s="8" t="str">
        <f>"-"</f>
        <v>-</v>
      </c>
      <c r="C8910" s="8" t="s">
        <v>1566</v>
      </c>
    </row>
    <row r="8911" spans="1:3" x14ac:dyDescent="0.25">
      <c r="A8911" s="8" t="str">
        <f>"Huntsville Simulation Conference, HSC 2007"</f>
        <v>Huntsville Simulation Conference, HSC 2007</v>
      </c>
      <c r="B8911" s="8" t="str">
        <f>"-"</f>
        <v>-</v>
      </c>
      <c r="C8911" s="8" t="s">
        <v>1072</v>
      </c>
    </row>
    <row r="8912" spans="1:3" x14ac:dyDescent="0.25">
      <c r="A8912" s="8" t="str">
        <f>"Huntsville Simulation Conference, HSC 2008"</f>
        <v>Huntsville Simulation Conference, HSC 2008</v>
      </c>
      <c r="B8912" s="8" t="str">
        <f>"-"</f>
        <v>-</v>
      </c>
      <c r="C8912" s="8" t="s">
        <v>1072</v>
      </c>
    </row>
    <row r="8913" spans="1:3" x14ac:dyDescent="0.25">
      <c r="A8913" s="8" t="s">
        <v>1866</v>
      </c>
      <c r="B8913" s="8" t="str">
        <f>"9781565553019"</f>
        <v>9781565553019</v>
      </c>
      <c r="C8913" s="8" t="s">
        <v>1072</v>
      </c>
    </row>
    <row r="8914" spans="1:3" x14ac:dyDescent="0.25">
      <c r="A8914" s="8" t="str">
        <f>"Hurricanes and Climate Change"</f>
        <v>Hurricanes and Climate Change</v>
      </c>
      <c r="B8914" s="8" t="str">
        <f>"9780387094090"</f>
        <v>9780387094090</v>
      </c>
      <c r="C8914" s="8" t="s">
        <v>834</v>
      </c>
    </row>
    <row r="8915" spans="1:3" x14ac:dyDescent="0.25">
      <c r="A8915" s="8" t="str">
        <f>"HUT-ICCE 2006 First International Conference on Communications and Electronics, Proceedings"</f>
        <v>HUT-ICCE 2006 First International Conference on Communications and Electronics, Proceedings</v>
      </c>
      <c r="B8915" s="8" t="str">
        <f>"9781424405688"</f>
        <v>9781424405688</v>
      </c>
      <c r="C8915" s="8" t="s">
        <v>9</v>
      </c>
    </row>
    <row r="8916" spans="1:3" x14ac:dyDescent="0.25">
      <c r="A8916" s="8" t="str">
        <f>"HUT-ICCE 2008 - 2nd International Conference on Communications and Electronics"</f>
        <v>HUT-ICCE 2008 - 2nd International Conference on Communications and Electronics</v>
      </c>
      <c r="B8916" s="8" t="str">
        <f>"9781424424269"</f>
        <v>9781424424269</v>
      </c>
      <c r="C8916" s="8" t="s">
        <v>9</v>
      </c>
    </row>
    <row r="8917" spans="1:3" x14ac:dyDescent="0.25">
      <c r="A8917" s="8" t="str">
        <f>"Hydraulic Design of Labyrinth Weirs"</f>
        <v>Hydraulic Design of Labyrinth Weirs</v>
      </c>
      <c r="B8917" s="8" t="str">
        <f>"9780784406311"</f>
        <v>9780784406311</v>
      </c>
      <c r="C8917" s="8" t="s">
        <v>1643</v>
      </c>
    </row>
    <row r="8918" spans="1:3" x14ac:dyDescent="0.25">
      <c r="A8918" s="8" t="str">
        <f>"Hydraulic Engineering - Proceedings of the 2012 SREE Conference on Hydraulic Engineering, CHE 2012 and 2nd SREE Workshop on Environment and Safety Engineering, WESE 2012"</f>
        <v>Hydraulic Engineering - Proceedings of the 2012 SREE Conference on Hydraulic Engineering, CHE 2012 and 2nd SREE Workshop on Environment and Safety Engineering, WESE 2012</v>
      </c>
      <c r="B8918" s="8" t="str">
        <f>"9781138000438"</f>
        <v>9781138000438</v>
      </c>
      <c r="C8918" s="8" t="s">
        <v>1635</v>
      </c>
    </row>
    <row r="8919" spans="1:3" x14ac:dyDescent="0.25">
      <c r="A8919" s="8" t="str">
        <f>"Hydraulic Engineering II - Proceedings of the 2nd SREE Conference on Hydraulic Engineering, CHE 2013"</f>
        <v>Hydraulic Engineering II - Proceedings of the 2nd SREE Conference on Hydraulic Engineering, CHE 2013</v>
      </c>
      <c r="B8919" s="8" t="str">
        <f>"9781138001305"</f>
        <v>9781138001305</v>
      </c>
      <c r="C8919" s="8" t="s">
        <v>1619</v>
      </c>
    </row>
    <row r="8920" spans="1:3" x14ac:dyDescent="0.25">
      <c r="A8920" s="8" t="str">
        <f>"Hydraulic Engineering III - Proceedings of the 3rd Technical Conference on Hydraulic Engineering, CHE 2014"</f>
        <v>Hydraulic Engineering III - Proceedings of the 3rd Technical Conference on Hydraulic Engineering, CHE 2014</v>
      </c>
      <c r="B8920" s="8" t="str">
        <f>"9781138027435"</f>
        <v>9781138027435</v>
      </c>
      <c r="C8920" s="8" t="s">
        <v>1635</v>
      </c>
    </row>
    <row r="8921" spans="1:3" x14ac:dyDescent="0.25">
      <c r="A8921" s="8" t="str">
        <f>"Hydraulic Measurements and Experimental Methods"</f>
        <v>Hydraulic Measurements and Experimental Methods</v>
      </c>
      <c r="B8921" s="8" t="str">
        <f>"9780784406557"</f>
        <v>9780784406557</v>
      </c>
      <c r="C8921" s="8" t="s">
        <v>111</v>
      </c>
    </row>
    <row r="8922" spans="1:3" x14ac:dyDescent="0.25">
      <c r="A8922" s="8" t="str">
        <f>"Hydrogen Effects on Material Behaviour and Corrosion Deformation Interactions - Proc. of the International Conference on Hydrogen Effects on Material Behaviour and Corrosion Deformation Interactions"</f>
        <v>Hydrogen Effects on Material Behaviour and Corrosion Deformation Interactions - Proc. of the International Conference on Hydrogen Effects on Material Behaviour and Corrosion Deformation Interactions</v>
      </c>
      <c r="B8922" s="8" t="str">
        <f>"9780873395014"</f>
        <v>9780873395014</v>
      </c>
      <c r="C8922" s="8" t="s">
        <v>648</v>
      </c>
    </row>
    <row r="8923" spans="1:3" x14ac:dyDescent="0.25">
      <c r="A8923" s="8" t="str">
        <f>"Hydrology and Management of Forested Wetlands - Proceeding of the International Conference"</f>
        <v>Hydrology and Management of Forested Wetlands - Proceeding of the International Conference</v>
      </c>
      <c r="B8923" s="8" t="str">
        <f>"9781892769534"</f>
        <v>9781892769534</v>
      </c>
      <c r="C8923" s="8" t="s">
        <v>140</v>
      </c>
    </row>
    <row r="8924" spans="1:3" x14ac:dyDescent="0.25">
      <c r="A8924" s="8" t="str">
        <f>"Hydrology and Water Resources Symposium 2014, HWRS 2014 - Conference Proceedings"</f>
        <v>Hydrology and Water Resources Symposium 2014, HWRS 2014 - Conference Proceedings</v>
      </c>
      <c r="B8924" s="8" t="str">
        <f>"9781922107190"</f>
        <v>9781922107190</v>
      </c>
      <c r="C8924" s="8" t="s">
        <v>1271</v>
      </c>
    </row>
    <row r="8925" spans="1:3" x14ac:dyDescent="0.25">
      <c r="A8925" s="8" t="str">
        <f>"Hydrometallurgy 2008: Proceedings of the 6th International Symposium"</f>
        <v>Hydrometallurgy 2008: Proceedings of the 6th International Symposium</v>
      </c>
      <c r="B8925" s="8" t="str">
        <f>"9780873352666"</f>
        <v>9780873352666</v>
      </c>
      <c r="C8925" s="8" t="s">
        <v>877</v>
      </c>
    </row>
    <row r="8926" spans="1:3" x14ac:dyDescent="0.25">
      <c r="A8926" s="8" t="str">
        <f>"Hydrotransport 16th International Conference"</f>
        <v>Hydrotransport 16th International Conference</v>
      </c>
      <c r="B8926" s="8" t="str">
        <f>"9781855980549"</f>
        <v>9781855980549</v>
      </c>
      <c r="C8926" s="8" t="s">
        <v>1246</v>
      </c>
    </row>
    <row r="8927" spans="1:3" x14ac:dyDescent="0.25">
      <c r="A8927" s="8" t="str">
        <f>"HYDROTRANSPORT 17 - The 17th International Conference on the Hydraulic Transport of Solids"</f>
        <v>HYDROTRANSPORT 17 - The 17th International Conference on the Hydraulic Transport of Solids</v>
      </c>
      <c r="B8927" s="8" t="str">
        <f>"9781920211028"</f>
        <v>9781920211028</v>
      </c>
      <c r="C8927" s="8" t="s">
        <v>1246</v>
      </c>
    </row>
    <row r="8928" spans="1:3" x14ac:dyDescent="0.25">
      <c r="A8928" s="8" t="str">
        <f>"Hyperspectral Imaging and Sounding of the Environment, HISE 2015"</f>
        <v>Hyperspectral Imaging and Sounding of the Environment, HISE 2015</v>
      </c>
      <c r="B8928" s="8" t="str">
        <f>"9781557528148"</f>
        <v>9781557528148</v>
      </c>
      <c r="C8928" s="8" t="s">
        <v>86</v>
      </c>
    </row>
    <row r="8929" spans="1:3" x14ac:dyDescent="0.25">
      <c r="A8929" s="8" t="str">
        <f>"Hypertext 2007: Proceedings of the Eighteenth ACM Conference on Hypertext and Hypermedia, HT'07"</f>
        <v>Hypertext 2007: Proceedings of the Eighteenth ACM Conference on Hypertext and Hypermedia, HT'07</v>
      </c>
      <c r="B8929" s="8" t="str">
        <f>"9781595938206"</f>
        <v>9781595938206</v>
      </c>
      <c r="C8929" s="8" t="s">
        <v>21</v>
      </c>
    </row>
    <row r="8930" spans="1:3" x14ac:dyDescent="0.25">
      <c r="A8930" s="8" t="str">
        <f>"HYPERTEXT'08: Proceedings of the 19th ACM Conference on Hypertext and Hypermedia, HT'08 with Creating'08 and WebScience'08"</f>
        <v>HYPERTEXT'08: Proceedings of the 19th ACM Conference on Hypertext and Hypermedia, HT'08 with Creating'08 and WebScience'08</v>
      </c>
      <c r="B8930" s="8" t="str">
        <f>"9781595939852"</f>
        <v>9781595939852</v>
      </c>
      <c r="C8930" s="8" t="s">
        <v>21</v>
      </c>
    </row>
    <row r="8931" spans="1:3" x14ac:dyDescent="0.25">
      <c r="A8931" s="8" t="str">
        <f>"I4CT 2014 - 1st International Conference on Computer, Communications, and Control Technology, Proceedings"</f>
        <v>I4CT 2014 - 1st International Conference on Computer, Communications, and Control Technology, Proceedings</v>
      </c>
      <c r="B8931" s="8" t="str">
        <f>"9781479945559"</f>
        <v>9781479945559</v>
      </c>
      <c r="C8931" s="8" t="s">
        <v>105</v>
      </c>
    </row>
    <row r="8932" spans="1:3" x14ac:dyDescent="0.25">
      <c r="A8932" s="8" t="str">
        <f>"I4CT 2015 - 2015 2nd International Conference on Computer, Communications, and Control Technology, Art Proceeding"</f>
        <v>I4CT 2015 - 2015 2nd International Conference on Computer, Communications, and Control Technology, Art Proceeding</v>
      </c>
      <c r="B8932" s="8" t="str">
        <f>"9781479979523"</f>
        <v>9781479979523</v>
      </c>
      <c r="C8932" s="8" t="s">
        <v>105</v>
      </c>
    </row>
    <row r="8933" spans="1:3" x14ac:dyDescent="0.25">
      <c r="A8933" s="8" t="str">
        <f>"IAAA'11 - Proceedings of the 1st Workshop on Irregular Applications: Architectures and Algorithm, Co-located with SC'11"</f>
        <v>IAAA'11 - Proceedings of the 1st Workshop on Irregular Applications: Architectures and Algorithm, Co-located with SC'11</v>
      </c>
      <c r="B8933" s="8" t="str">
        <f>"9781450311212"</f>
        <v>9781450311212</v>
      </c>
      <c r="C8933" s="8" t="s">
        <v>21</v>
      </c>
    </row>
    <row r="8934" spans="1:3" x14ac:dyDescent="0.25">
      <c r="A8934" s="8" t="str">
        <f>"IADC/SPE Drilling Conference"</f>
        <v>IADC/SPE Drilling Conference</v>
      </c>
      <c r="B8934" s="8" t="str">
        <f>"-"</f>
        <v>-</v>
      </c>
      <c r="C8934" s="8" t="s">
        <v>915</v>
      </c>
    </row>
    <row r="8935" spans="1:3" x14ac:dyDescent="0.25">
      <c r="A8935" s="8" t="str">
        <f>"IADC/SPE Managed Pressure Drilling and Underbalanced Operations Conference and Exhibition 2007"</f>
        <v>IADC/SPE Managed Pressure Drilling and Underbalanced Operations Conference and Exhibition 2007</v>
      </c>
      <c r="B8935" s="8" t="str">
        <f>"9781604230109"</f>
        <v>9781604230109</v>
      </c>
      <c r="C8935" s="8" t="s">
        <v>671</v>
      </c>
    </row>
    <row r="8936" spans="1:3" x14ac:dyDescent="0.25">
      <c r="A8936" s="8" t="str">
        <f>"IADIS International Conference on Cognition and Exploratory Learning in Digital Age, CELDA 2005"</f>
        <v>IADIS International Conference on Cognition and Exploratory Learning in Digital Age, CELDA 2005</v>
      </c>
      <c r="B8936" s="8" t="str">
        <f>"9781627483308"</f>
        <v>9781627483308</v>
      </c>
      <c r="C8936" s="8" t="s">
        <v>1228</v>
      </c>
    </row>
    <row r="8937" spans="1:3" x14ac:dyDescent="0.25">
      <c r="A8937" s="8" t="str">
        <f>"IADIS International Conference on Cognition and Exploratory Learning in Digital Age, CELDA 2006"</f>
        <v>IADIS International Conference on Cognition and Exploratory Learning in Digital Age, CELDA 2006</v>
      </c>
      <c r="B8937" s="8" t="str">
        <f>"9781627483315"</f>
        <v>9781627483315</v>
      </c>
      <c r="C8937" s="8" t="s">
        <v>1228</v>
      </c>
    </row>
    <row r="8938" spans="1:3" x14ac:dyDescent="0.25">
      <c r="A8938" s="8" t="str">
        <f>"IADIS International Conference on Cognition and Exploratory Learning in Digital Age, CELDA 2007"</f>
        <v>IADIS International Conference on Cognition and Exploratory Learning in Digital Age, CELDA 2007</v>
      </c>
      <c r="B8938" s="8" t="str">
        <f>"9781627483322"</f>
        <v>9781627483322</v>
      </c>
      <c r="C8938" s="8" t="s">
        <v>1228</v>
      </c>
    </row>
    <row r="8939" spans="1:3" x14ac:dyDescent="0.25">
      <c r="A8939" s="8" t="str">
        <f>"IADIS International Conference on Cognition and Exploratory Learning in Digital Age, CELDA 2008"</f>
        <v>IADIS International Conference on Cognition and Exploratory Learning in Digital Age, CELDA 2008</v>
      </c>
      <c r="B8939" s="8" t="str">
        <f>"9781627483339"</f>
        <v>9781627483339</v>
      </c>
      <c r="C8939" s="8" t="s">
        <v>1228</v>
      </c>
    </row>
    <row r="8940" spans="1:3" x14ac:dyDescent="0.25">
      <c r="A8940" s="8" t="str">
        <f>"IADIS International Conference on Cognition and Exploratory Learning in Digital Age, CELDA 2009"</f>
        <v>IADIS International Conference on Cognition and Exploratory Learning in Digital Age, CELDA 2009</v>
      </c>
      <c r="B8940" s="8" t="str">
        <f>"9781627483346"</f>
        <v>9781627483346</v>
      </c>
      <c r="C8940" s="8" t="s">
        <v>1228</v>
      </c>
    </row>
    <row r="8941" spans="1:3" x14ac:dyDescent="0.25">
      <c r="A8941" s="8" t="str">
        <f>"IADIS International Conference on Cognition and Exploratory Learning in Digital Age, CELDA 2011"</f>
        <v>IADIS International Conference on Cognition and Exploratory Learning in Digital Age, CELDA 2011</v>
      </c>
      <c r="B8941" s="8" t="str">
        <f>"9781627483360"</f>
        <v>9781627483360</v>
      </c>
      <c r="C8941" s="8" t="s">
        <v>1228</v>
      </c>
    </row>
    <row r="8942" spans="1:3" x14ac:dyDescent="0.25">
      <c r="A8942" s="8" t="str">
        <f>"IADIS International Conference on Cognition and Exploratory Learning in Digital Age, CELDA 2012"</f>
        <v>IADIS International Conference on Cognition and Exploratory Learning in Digital Age, CELDA 2012</v>
      </c>
      <c r="B8942" s="8" t="str">
        <f>"9781627483377"</f>
        <v>9781627483377</v>
      </c>
      <c r="C8942" s="8" t="s">
        <v>1228</v>
      </c>
    </row>
    <row r="8943" spans="1:3" x14ac:dyDescent="0.25">
      <c r="A8943" s="8" t="str">
        <f>"IADIS International Conference on Cognition and Exploratory Learning in Digital Age, CELDA 2013"</f>
        <v>IADIS International Conference on Cognition and Exploratory Learning in Digital Age, CELDA 2013</v>
      </c>
      <c r="B8943" s="8" t="str">
        <f>"9781629936055"</f>
        <v>9781629936055</v>
      </c>
      <c r="C8943" s="8" t="s">
        <v>1228</v>
      </c>
    </row>
    <row r="8944" spans="1:3" x14ac:dyDescent="0.25">
      <c r="A8944" s="8" t="str">
        <f>"IAENG Transactions on Engineering Sciences - Special Issue of the International MultiConference of Engineers and Computer Scientists, IMECS 2013 and World Congress on Engineering, WCE 2013"</f>
        <v>IAENG Transactions on Engineering Sciences - Special Issue of the International MultiConference of Engineers and Computer Scientists, IMECS 2013 and World Congress on Engineering, WCE 2013</v>
      </c>
      <c r="B8944" s="8" t="str">
        <f>"9781138001367"</f>
        <v>9781138001367</v>
      </c>
      <c r="C8944" s="8" t="s">
        <v>1619</v>
      </c>
    </row>
    <row r="8945" spans="1:3" x14ac:dyDescent="0.25">
      <c r="A8945" s="8" t="str">
        <f>"IAMA 2011 - 2011 2nd International Conference on Intelligent Agent and Multi-Agent Systems"</f>
        <v>IAMA 2011 - 2011 2nd International Conference on Intelligent Agent and Multi-Agent Systems</v>
      </c>
      <c r="B8945" s="8" t="str">
        <f>"9781457708787"</f>
        <v>9781457708787</v>
      </c>
      <c r="C8945" s="8" t="s">
        <v>9</v>
      </c>
    </row>
    <row r="8946" spans="1:3" x14ac:dyDescent="0.25">
      <c r="A8946" s="8" t="str">
        <f>"IAQVEC 2007 Proceedings - 6th International Conference on Indoor Air Quality, Ventilation and Energy Conservation in Buildings: Sustainable Built Environment"</f>
        <v>IAQVEC 2007 Proceedings - 6th International Conference on Indoor Air Quality, Ventilation and Energy Conservation in Buildings: Sustainable Built Environment</v>
      </c>
      <c r="B8946" s="8" t="str">
        <f>"9784861630705"</f>
        <v>9784861630705</v>
      </c>
      <c r="C8946" s="8" t="s">
        <v>1867</v>
      </c>
    </row>
    <row r="8947" spans="1:3" x14ac:dyDescent="0.25">
      <c r="A8947" s="8" t="str">
        <f>"IAQVEC 2010: 7th International Conference on Indoor Air Quality, Ventilation and Energy Conservation in Buildings"</f>
        <v>IAQVEC 2010: 7th International Conference on Indoor Air Quality, Ventilation and Energy Conservation in Buildings</v>
      </c>
      <c r="B8947" s="8" t="str">
        <f>"-"</f>
        <v>-</v>
      </c>
      <c r="C8947" s="8" t="s">
        <v>1868</v>
      </c>
    </row>
    <row r="8948" spans="1:3" x14ac:dyDescent="0.25">
      <c r="A8948" s="8" t="str">
        <f>"IASH - 10th International Conference on Stability, Handling and Use of Liquid Fuels 2007"</f>
        <v>IASH - 10th International Conference on Stability, Handling and Use of Liquid Fuels 2007</v>
      </c>
      <c r="B8948" s="8" t="str">
        <f>"9781615670529"</f>
        <v>9781615670529</v>
      </c>
      <c r="C8948" s="8" t="s">
        <v>394</v>
      </c>
    </row>
    <row r="8949" spans="1:3" x14ac:dyDescent="0.25">
      <c r="A8949" s="8" t="str">
        <f>"IASP 10 - 2010 International Conference on Image Analysis and Signal Processing"</f>
        <v>IASP 10 - 2010 International Conference on Image Analysis and Signal Processing</v>
      </c>
      <c r="B8949" s="8" t="str">
        <f>"9781424455553"</f>
        <v>9781424455553</v>
      </c>
      <c r="C8949" s="8" t="s">
        <v>9</v>
      </c>
    </row>
    <row r="8950" spans="1:3" x14ac:dyDescent="0.25">
      <c r="A8950" s="8" t="str">
        <f>"IASTED International Conference on Computer Graphics and Imaging"</f>
        <v>IASTED International Conference on Computer Graphics and Imaging</v>
      </c>
      <c r="B8950" s="8" t="str">
        <f>"9780889863767"</f>
        <v>9780889863767</v>
      </c>
      <c r="C8950" s="8" t="s">
        <v>1869</v>
      </c>
    </row>
    <row r="8951" spans="1:3" x14ac:dyDescent="0.25">
      <c r="A8951" s="8" t="str">
        <f>"IASTED International Conference on Modelling Identification and Control"</f>
        <v>IASTED International Conference on Modelling Identification and Control</v>
      </c>
      <c r="B8951" s="8" t="str">
        <f>"9780889863392"</f>
        <v>9780889863392</v>
      </c>
      <c r="C8951" s="8" t="s">
        <v>1869</v>
      </c>
    </row>
    <row r="8952" spans="1:3" x14ac:dyDescent="0.25">
      <c r="A8952" s="8" t="str">
        <f>"IASTED International Multi-Conference on Applied Informatics"</f>
        <v>IASTED International Multi-Conference on Applied Informatics</v>
      </c>
      <c r="B8952" s="8" t="str">
        <f>"9780889863415"</f>
        <v>9780889863415</v>
      </c>
      <c r="C8952" s="8" t="s">
        <v>1869</v>
      </c>
    </row>
    <row r="8953" spans="1:3" x14ac:dyDescent="0.25">
      <c r="A8953" s="8" t="str">
        <f>"IASTED International Symposium on Computational Biology and Bioinformatics, CBB 2008"</f>
        <v>IASTED International Symposium on Computational Biology and Bioinformatics, CBB 2008</v>
      </c>
      <c r="B8953" s="8" t="str">
        <f>"9780889867741"</f>
        <v>9780889867741</v>
      </c>
      <c r="C8953" s="8" t="s">
        <v>305</v>
      </c>
    </row>
    <row r="8954" spans="1:3" x14ac:dyDescent="0.25">
      <c r="A8954" s="8" t="str">
        <f>"IASTED International Symposium on Distributed and Intelligent Multimedia Systems, DIMS 2008"</f>
        <v>IASTED International Symposium on Distributed and Intelligent Multimedia Systems, DIMS 2008</v>
      </c>
      <c r="B8954" s="8" t="str">
        <f>"9780889867741"</f>
        <v>9780889867741</v>
      </c>
      <c r="C8954" s="8" t="s">
        <v>305</v>
      </c>
    </row>
    <row r="8955" spans="1:3" x14ac:dyDescent="0.25">
      <c r="A8955" s="8" t="str">
        <f>"IASTED International Symposium on Distributed Sensor Networks, DSN 2008"</f>
        <v>IASTED International Symposium on Distributed Sensor Networks, DSN 2008</v>
      </c>
      <c r="B8955" s="8" t="str">
        <f>"9780889867741"</f>
        <v>9780889867741</v>
      </c>
      <c r="C8955" s="8" t="s">
        <v>305</v>
      </c>
    </row>
    <row r="8956" spans="1:3" x14ac:dyDescent="0.25">
      <c r="A8956" s="8" t="str">
        <f>"IASTED International Symposium on Environmental Modelling and Simulation, EMS 2008"</f>
        <v>IASTED International Symposium on Environmental Modelling and Simulation, EMS 2008</v>
      </c>
      <c r="B8956" s="8" t="str">
        <f>"9780889867741"</f>
        <v>9780889867741</v>
      </c>
      <c r="C8956" s="8" t="s">
        <v>305</v>
      </c>
    </row>
    <row r="8957" spans="1:3" x14ac:dyDescent="0.25">
      <c r="A8957" s="8" t="str">
        <f>"IASTED Multiconferences - Proceedings of the IASTED International Conference on Artificial Intelligence and Applications, AIA 2013"</f>
        <v>IASTED Multiconferences - Proceedings of the IASTED International Conference on Artificial Intelligence and Applications, AIA 2013</v>
      </c>
      <c r="B8957" s="8" t="str">
        <f>"9780889869431"</f>
        <v>9780889869431</v>
      </c>
      <c r="C8957" s="8" t="s">
        <v>305</v>
      </c>
    </row>
    <row r="8958" spans="1:3" x14ac:dyDescent="0.25">
      <c r="A8958" s="8" t="str">
        <f>"IASTED Multiconferences - Proceedings of the IASTED International Conference on Parallel and Distributed Computing and Networks, PDCN 2013"</f>
        <v>IASTED Multiconferences - Proceedings of the IASTED International Conference on Parallel and Distributed Computing and Networks, PDCN 2013</v>
      </c>
      <c r="B8958" s="8" t="str">
        <f>"9780889869431"</f>
        <v>9780889869431</v>
      </c>
      <c r="C8958" s="8" t="s">
        <v>305</v>
      </c>
    </row>
    <row r="8959" spans="1:3" x14ac:dyDescent="0.25">
      <c r="A8959" s="8" t="str">
        <f>"IASTED Multiconferences - Proceedings of the IASTED International Conference on Software Engineering, SE 2013"</f>
        <v>IASTED Multiconferences - Proceedings of the IASTED International Conference on Software Engineering, SE 2013</v>
      </c>
      <c r="B8959" s="8" t="str">
        <f>"9780889869431"</f>
        <v>9780889869431</v>
      </c>
      <c r="C8959" s="8" t="s">
        <v>305</v>
      </c>
    </row>
    <row r="8960" spans="1:3" x14ac:dyDescent="0.25">
      <c r="A8960" s="8" t="str">
        <f>"IASTED Multiconferences - Proceedings of the IASTED International Conference on Web-Based Education, WBE 2013"</f>
        <v>IASTED Multiconferences - Proceedings of the IASTED International Conference on Web-Based Education, WBE 2013</v>
      </c>
      <c r="B8960" s="8" t="str">
        <f>"9780889869431"</f>
        <v>9780889869431</v>
      </c>
      <c r="C8960" s="8" t="s">
        <v>305</v>
      </c>
    </row>
    <row r="8961" spans="1:3" x14ac:dyDescent="0.25">
      <c r="A8961" s="8" t="str">
        <f>"IATUL Proceedings"</f>
        <v>IATUL Proceedings</v>
      </c>
      <c r="B8961" s="8" t="str">
        <f>"-"</f>
        <v>-</v>
      </c>
      <c r="C8961" s="8" t="s">
        <v>1870</v>
      </c>
    </row>
    <row r="8962" spans="1:3" x14ac:dyDescent="0.25">
      <c r="A8962" s="8" t="str">
        <f>"IATUL Proceedings Volume 14 (New Series) 2004: Library Management in Changing Environment"</f>
        <v>IATUL Proceedings Volume 14 (New Series) 2004: Library Management in Changing Environment</v>
      </c>
      <c r="B8962" s="8" t="str">
        <f>"-"</f>
        <v>-</v>
      </c>
      <c r="C8962" s="8" t="s">
        <v>1871</v>
      </c>
    </row>
    <row r="8963" spans="1:3" x14ac:dyDescent="0.25">
      <c r="A8963" s="8" t="str">
        <f>"IB2COM 2011 - 6th International Conference on Broadband Communications and Biomedical Applications, Program"</f>
        <v>IB2COM 2011 - 6th International Conference on Broadband Communications and Biomedical Applications, Program</v>
      </c>
      <c r="B8963" s="8" t="str">
        <f>"9781467307680"</f>
        <v>9781467307680</v>
      </c>
      <c r="C8963" s="8" t="s">
        <v>9</v>
      </c>
    </row>
    <row r="8964" spans="1:3" x14ac:dyDescent="0.25">
      <c r="A8964" s="8" t="str">
        <f>"IBIC 2013: Proceedings of the 2nd International Beam Instrumentation Conference"</f>
        <v>IBIC 2013: Proceedings of the 2nd International Beam Instrumentation Conference</v>
      </c>
      <c r="B8964" s="8" t="str">
        <f>"9783954501274"</f>
        <v>9783954501274</v>
      </c>
      <c r="C8964" s="8" t="s">
        <v>1359</v>
      </c>
    </row>
    <row r="8965" spans="1:3" x14ac:dyDescent="0.25">
      <c r="A8965" s="8" t="str">
        <f>"IBPSA 2005 - International Building Performance Simulation Association 2005"</f>
        <v>IBPSA 2005 - International Building Performance Simulation Association 2005</v>
      </c>
      <c r="B8965" s="8" t="str">
        <f>"-"</f>
        <v>-</v>
      </c>
      <c r="C8965" s="8" t="s">
        <v>1872</v>
      </c>
    </row>
    <row r="8966" spans="1:3" x14ac:dyDescent="0.25">
      <c r="A8966" s="8" t="str">
        <f>"IBPSA 2007 - International Building Performance Simulation Association 2007"</f>
        <v>IBPSA 2007 - International Building Performance Simulation Association 2007</v>
      </c>
      <c r="B8966" s="8" t="str">
        <f>"-"</f>
        <v>-</v>
      </c>
      <c r="C8966" s="8" t="s">
        <v>1872</v>
      </c>
    </row>
    <row r="8967" spans="1:3" x14ac:dyDescent="0.25">
      <c r="A8967" s="8" t="str">
        <f>"IBPSA 2009 - International Building Performance Simulation Association 2009"</f>
        <v>IBPSA 2009 - International Building Performance Simulation Association 2009</v>
      </c>
      <c r="B8967" s="8" t="str">
        <f>"-"</f>
        <v>-</v>
      </c>
      <c r="C8967" s="8" t="s">
        <v>1872</v>
      </c>
    </row>
    <row r="8968" spans="1:3" x14ac:dyDescent="0.25">
      <c r="A8968" s="8" t="str">
        <f>"IBSC 2012 - Proceedings of the 5th International Brazing and Soldering Conference"</f>
        <v>IBSC 2012 - Proceedings of the 5th International Brazing and Soldering Conference</v>
      </c>
      <c r="B8968" s="8" t="str">
        <f>"9781615039753"</f>
        <v>9781615039753</v>
      </c>
      <c r="C8968" s="8" t="s">
        <v>65</v>
      </c>
    </row>
    <row r="8969" spans="1:3" x14ac:dyDescent="0.25">
      <c r="A8969" s="8" t="str">
        <f>"IC 2008: Ingenierie des Connaissances 2008 - Proceedings of the 19th French Knowledge Engineering Conference"</f>
        <v>IC 2008: Ingenierie des Connaissances 2008 - Proceedings of the 19th French Knowledge Engineering Conference</v>
      </c>
      <c r="B8969" s="8" t="str">
        <f>"9782905267603"</f>
        <v>9782905267603</v>
      </c>
      <c r="C8969" s="8" t="s">
        <v>1873</v>
      </c>
    </row>
    <row r="8970" spans="1:3" x14ac:dyDescent="0.25">
      <c r="A8970" s="8" t="str">
        <f>"IC 2009 - Actes des 20es Journees Francophones d'Ingenierie des Connaissances"</f>
        <v>IC 2009 - Actes des 20es Journees Francophones d'Ingenierie des Connaissances</v>
      </c>
      <c r="B8970" s="8" t="str">
        <f>"9782706115387"</f>
        <v>9782706115387</v>
      </c>
      <c r="C8970" s="8" t="s">
        <v>1402</v>
      </c>
    </row>
    <row r="8971" spans="1:3" x14ac:dyDescent="0.25">
      <c r="A8971" s="8" t="str">
        <f>"IC 2012 - 23es Journees Francophones d'Ingenierie des Connaissances"</f>
        <v>IC 2012 - 23es Journees Francophones d'Ingenierie des Connaissances</v>
      </c>
      <c r="B8971" s="8" t="str">
        <f>"-"</f>
        <v>-</v>
      </c>
      <c r="C8971" s="8" t="s">
        <v>1402</v>
      </c>
    </row>
    <row r="8972" spans="1:3" x14ac:dyDescent="0.25">
      <c r="A8972" s="8" t="str">
        <f>"IC3e 2014 - 2014 IEEE Conference on e-Learning, e-Management and e-Services"</f>
        <v>IC3e 2014 - 2014 IEEE Conference on e-Learning, e-Management and e-Services</v>
      </c>
      <c r="B8972" s="8" t="str">
        <f>"9781479971770"</f>
        <v>9781479971770</v>
      </c>
      <c r="C8972" s="8" t="s">
        <v>105</v>
      </c>
    </row>
    <row r="8973" spans="1:3" x14ac:dyDescent="0.25">
      <c r="A8973" s="8" t="str">
        <f>"IC3K 2013; KDIR 2013 - 5th International Conference on Knowledge Discovery and Information Retrieval and KMIS 2013 - 5th International Conference on Knowledge Management and Information Sharing, Proc."</f>
        <v>IC3K 2013; KDIR 2013 - 5th International Conference on Knowledge Discovery and Information Retrieval and KMIS 2013 - 5th International Conference on Knowledge Management and Information Sharing, Proc.</v>
      </c>
      <c r="B8973" s="8" t="str">
        <f>"9789898565754"</f>
        <v>9789898565754</v>
      </c>
      <c r="C8973" s="8" t="s">
        <v>1197</v>
      </c>
    </row>
    <row r="8974" spans="1:3" x14ac:dyDescent="0.25">
      <c r="A8974" s="8" t="str">
        <f>"IC3K 2013; KEOD 2013 - 5th International Conference on Knowledge Engineering and Ontology Development, Proceedings"</f>
        <v>IC3K 2013; KEOD 2013 - 5th International Conference on Knowledge Engineering and Ontology Development, Proceedings</v>
      </c>
      <c r="B8974" s="8" t="str">
        <f>"9789898565815"</f>
        <v>9789898565815</v>
      </c>
      <c r="C8974" s="8" t="s">
        <v>1197</v>
      </c>
    </row>
    <row r="8975" spans="1:3" x14ac:dyDescent="0.25">
      <c r="A8975" s="8" t="str">
        <f>"IC4E 2010 - 2010 International Conference on e-Education, e-Business, e-Management and e-Learning"</f>
        <v>IC4E 2010 - 2010 International Conference on e-Education, e-Business, e-Management and e-Learning</v>
      </c>
      <c r="B8975" s="8" t="str">
        <f>"9780769539485"</f>
        <v>9780769539485</v>
      </c>
      <c r="C8975" s="8" t="s">
        <v>9</v>
      </c>
    </row>
    <row r="8976" spans="1:3" x14ac:dyDescent="0.25">
      <c r="A8976" s="8" t="str">
        <f>"ICAART 2009 - Proceedings of the 1st International Conference on Agents and Artificial Intelligence"</f>
        <v>ICAART 2009 - Proceedings of the 1st International Conference on Agents and Artificial Intelligence</v>
      </c>
      <c r="B8976" s="8" t="str">
        <f>"9789898111661"</f>
        <v>9789898111661</v>
      </c>
      <c r="C8976" s="8" t="s">
        <v>1525</v>
      </c>
    </row>
    <row r="8977" spans="1:3" x14ac:dyDescent="0.25">
      <c r="A8977" s="8" t="str">
        <f>"ICAART 2010 - 2nd International Conference on Agents and Artificial Intelligence, Proceedings"</f>
        <v>ICAART 2010 - 2nd International Conference on Agents and Artificial Intelligence, Proceedings</v>
      </c>
      <c r="B8977" s="8" t="str">
        <f>"9789896740221"</f>
        <v>9789896740221</v>
      </c>
      <c r="C8977" s="8" t="s">
        <v>1553</v>
      </c>
    </row>
    <row r="8978" spans="1:3" x14ac:dyDescent="0.25">
      <c r="A8978" s="8" t="str">
        <f>"ICAART 2011 - Proceedings of the 3rd International Conference on Agents and Artificial Intelligence"</f>
        <v>ICAART 2011 - Proceedings of the 3rd International Conference on Agents and Artificial Intelligence</v>
      </c>
      <c r="B8978" s="8" t="str">
        <f>"-"</f>
        <v>-</v>
      </c>
      <c r="C8978" s="8" t="s">
        <v>1525</v>
      </c>
    </row>
    <row r="8979" spans="1:3" x14ac:dyDescent="0.25">
      <c r="A8979" s="8" t="str">
        <f>"ICAART 2012 - Proceedings of the 4th International Conference on Agents and Artificial Intelligence"</f>
        <v>ICAART 2012 - Proceedings of the 4th International Conference on Agents and Artificial Intelligence</v>
      </c>
      <c r="B8979" s="8" t="str">
        <f>"9789898425959"</f>
        <v>9789898425959</v>
      </c>
      <c r="C8979" s="8" t="s">
        <v>1197</v>
      </c>
    </row>
    <row r="8980" spans="1:3" x14ac:dyDescent="0.25">
      <c r="A8980" s="8" t="str">
        <f>"ICAART 2013 - Proceedings of the 5th International Conference on Agents and Artificial Intelligence"</f>
        <v>ICAART 2013 - Proceedings of the 5th International Conference on Agents and Artificial Intelligence</v>
      </c>
      <c r="B8980" s="8" t="str">
        <f>"9789898565389"</f>
        <v>9789898565389</v>
      </c>
      <c r="C8980" s="8" t="s">
        <v>1197</v>
      </c>
    </row>
    <row r="8981" spans="1:3" x14ac:dyDescent="0.25">
      <c r="A8981" s="8" t="str">
        <f>"ICAART 2015 - 7th International Conference on Agents and Artificial Intelligence, Proceedings"</f>
        <v>ICAART 2015 - 7th International Conference on Agents and Artificial Intelligence, Proceedings</v>
      </c>
      <c r="B8981" s="8" t="str">
        <f>"-"</f>
        <v>-</v>
      </c>
      <c r="C8981" s="8" t="s">
        <v>1197</v>
      </c>
    </row>
    <row r="8982" spans="1:3" x14ac:dyDescent="0.25">
      <c r="A8982" s="8" t="str">
        <f>"ICAC 12 - Proceedings of the 18th International Conference on Automation and Computing: Integration of Design and Engineering"</f>
        <v>ICAC 12 - Proceedings of the 18th International Conference on Automation and Computing: Integration of Design and Engineering</v>
      </c>
      <c r="B8982" s="8" t="str">
        <f>"9781908549006"</f>
        <v>9781908549006</v>
      </c>
      <c r="C8982" s="8" t="s">
        <v>9</v>
      </c>
    </row>
    <row r="8983" spans="1:3" x14ac:dyDescent="0.25">
      <c r="A8983" s="8" t="str">
        <f>"ICAC 2013 - Proceedings of the 19th International Conference on Automation and Computing: Future Energy and Automation"</f>
        <v>ICAC 2013 - Proceedings of the 19th International Conference on Automation and Computing: Future Energy and Automation</v>
      </c>
      <c r="B8983" s="8" t="str">
        <f>"9781908549082"</f>
        <v>9781908549082</v>
      </c>
      <c r="C8983" s="8" t="s">
        <v>9</v>
      </c>
    </row>
    <row r="8984" spans="1:3" x14ac:dyDescent="0.25">
      <c r="A8984" s="8" t="str">
        <f>"ICAC 2014 - Proceedings of the 20th International Conference on Automation and Computing: Future Automation, Computing and Manufacturing"</f>
        <v>ICAC 2014 - Proceedings of the 20th International Conference on Automation and Computing: Future Automation, Computing and Manufacturing</v>
      </c>
      <c r="B8984" s="8" t="str">
        <f>"9781909522022"</f>
        <v>9781909522022</v>
      </c>
      <c r="C8984" s="8" t="s">
        <v>105</v>
      </c>
    </row>
    <row r="8985" spans="1:3" x14ac:dyDescent="0.25">
      <c r="A8985" s="8" t="str">
        <f>"ICAC'12 - Proceedings of the 9th ACM International Conference on Autonomic Computing"</f>
        <v>ICAC'12 - Proceedings of the 9th ACM International Conference on Autonomic Computing</v>
      </c>
      <c r="B8985" s="8" t="str">
        <f>"9781450315203"</f>
        <v>9781450315203</v>
      </c>
      <c r="C8985" s="8" t="s">
        <v>21</v>
      </c>
    </row>
    <row r="8986" spans="1:3" x14ac:dyDescent="0.25">
      <c r="A8986" s="8" t="str">
        <f>"ICACCS 2013 - Proceedings of the 2013 International Conference on Advanced Computing and Communication Systems: Bringing to the Table, Futuristic Technologies from Around the Globe"</f>
        <v>ICACCS 2013 - Proceedings of the 2013 International Conference on Advanced Computing and Communication Systems: Bringing to the Table, Futuristic Technologies from Around the Globe</v>
      </c>
      <c r="B8986" s="8" t="str">
        <f>"9781479935062"</f>
        <v>9781479935062</v>
      </c>
      <c r="C8986" s="8" t="s">
        <v>105</v>
      </c>
    </row>
    <row r="8987" spans="1:3" x14ac:dyDescent="0.25">
      <c r="A8987" s="8" t="str">
        <f>"ICACSIS 2011 - 2011 International Conference on Advanced Computer Science and Information Systems, Proceedings"</f>
        <v>ICACSIS 2011 - 2011 International Conference on Advanced Computer Science and Information Systems, Proceedings</v>
      </c>
      <c r="B8987" s="8" t="str">
        <f>"9789791421119"</f>
        <v>9789791421119</v>
      </c>
      <c r="C8987" s="8" t="s">
        <v>9</v>
      </c>
    </row>
    <row r="8988" spans="1:3" x14ac:dyDescent="0.25">
      <c r="A8988" s="8" t="str">
        <f>"ICACTE 2009 - Proceedings of the 2nd International Conference on Advanced Computer Theory and Engineering"</f>
        <v>ICACTE 2009 - Proceedings of the 2nd International Conference on Advanced Computer Theory and Engineering</v>
      </c>
      <c r="B8988" s="8" t="str">
        <f>"9780791802977"</f>
        <v>9780791802977</v>
      </c>
      <c r="C8988" s="8" t="s">
        <v>73</v>
      </c>
    </row>
    <row r="8989" spans="1:3" x14ac:dyDescent="0.25">
      <c r="A8989" s="8" t="str">
        <f>"ICACTE 2010 - 2010 3rd International Conference on Advanced Computer Theory and Engineering, Proceedings"</f>
        <v>ICACTE 2010 - 2010 3rd International Conference on Advanced Computer Theory and Engineering, Proceedings</v>
      </c>
      <c r="B8989" s="8" t="str">
        <f>"9781424465408"</f>
        <v>9781424465408</v>
      </c>
      <c r="C8989" s="8" t="s">
        <v>9</v>
      </c>
    </row>
    <row r="8990" spans="1:3" x14ac:dyDescent="0.25">
      <c r="A8990" s="8" t="str">
        <f>"ICACTE 2011 - Proceedings of the 4th International Conference on Advanced Computer Theory and Engineering"</f>
        <v>ICACTE 2011 - Proceedings of the 4th International Conference on Advanced Computer Theory and Engineering</v>
      </c>
      <c r="B8990" s="8" t="str">
        <f>"9780791859933"</f>
        <v>9780791859933</v>
      </c>
      <c r="C8990" s="8" t="s">
        <v>1874</v>
      </c>
    </row>
    <row r="8991" spans="1:3" x14ac:dyDescent="0.25">
      <c r="A8991" s="8" t="str">
        <f>"ICAE 2011 Proceedings: 2011 International Conference on New Technology of Agricultural Engineering"</f>
        <v>ICAE 2011 Proceedings: 2011 International Conference on New Technology of Agricultural Engineering</v>
      </c>
      <c r="B8991" s="8" t="str">
        <f>"9781424495757"</f>
        <v>9781424495757</v>
      </c>
      <c r="C8991" s="8" t="s">
        <v>9</v>
      </c>
    </row>
    <row r="8992" spans="1:3" x14ac:dyDescent="0.25">
      <c r="A8992" s="8" t="str">
        <f>"ICAF 2009, Bridging the Gap Between Theory and Operational Practice - Proceedings of the 25th Symposium of the International Committee on Aeronautical Fatigue"</f>
        <v>ICAF 2009, Bridging the Gap Between Theory and Operational Practice - Proceedings of the 25th Symposium of the International Committee on Aeronautical Fatigue</v>
      </c>
      <c r="B8992" s="8" t="str">
        <f>"9789048127450"</f>
        <v>9789048127450</v>
      </c>
      <c r="C8992" s="8" t="s">
        <v>162</v>
      </c>
    </row>
    <row r="8993" spans="1:3" x14ac:dyDescent="0.25">
      <c r="A8993" s="8" t="str">
        <f>"ICAF 2011 Structural Integrity: Influence of Efficiency and Green Imperatives - Proceedings of the 26th Symposium of the International Committee on Aeronautical Fatigue"</f>
        <v>ICAF 2011 Structural Integrity: Influence of Efficiency and Green Imperatives - Proceedings of the 26th Symposium of the International Committee on Aeronautical Fatigue</v>
      </c>
      <c r="B8993" s="8" t="str">
        <f>"9789400716636"</f>
        <v>9789400716636</v>
      </c>
      <c r="C8993" s="8" t="s">
        <v>582</v>
      </c>
    </row>
    <row r="8994" spans="1:3" x14ac:dyDescent="0.25">
      <c r="A8994" s="8" t="str">
        <f>"ICALEO 2002 - 21st International Congress on Applications of Laser and Electro-Optics, Congress Proceedings"</f>
        <v>ICALEO 2002 - 21st International Congress on Applications of Laser and Electro-Optics, Congress Proceedings</v>
      </c>
      <c r="B8994" s="8" t="str">
        <f>"9780912035727"</f>
        <v>9780912035727</v>
      </c>
      <c r="C8994" s="8" t="s">
        <v>723</v>
      </c>
    </row>
    <row r="8995" spans="1:3" x14ac:dyDescent="0.25">
      <c r="A8995" s="8" t="str">
        <f>"ICALEO 2003 - 22nd International Congress on Applications of Laser and Electro-Optics, Congress Proceedings"</f>
        <v>ICALEO 2003 - 22nd International Congress on Applications of Laser and Electro-Optics, Congress Proceedings</v>
      </c>
      <c r="B8995" s="8" t="str">
        <f>"9780912035758"</f>
        <v>9780912035758</v>
      </c>
      <c r="C8995" s="8" t="s">
        <v>723</v>
      </c>
    </row>
    <row r="8996" spans="1:3" x14ac:dyDescent="0.25">
      <c r="A8996" s="8" t="str">
        <f>"ICALEO 2004 - 23rd International Congress on Applications of Laser and Electro-Optics, Congress Proceedings"</f>
        <v>ICALEO 2004 - 23rd International Congress on Applications of Laser and Electro-Optics, Congress Proceedings</v>
      </c>
      <c r="B8996" s="8" t="str">
        <f>"9780912035772"</f>
        <v>9780912035772</v>
      </c>
      <c r="C8996" s="8" t="s">
        <v>723</v>
      </c>
    </row>
    <row r="8997" spans="1:3" x14ac:dyDescent="0.25">
      <c r="A8997" s="8" t="str">
        <f>"ICALEO 2006 - 25th International Congress on Applications of Laser and Electro-Optics, Congress Proceedings"</f>
        <v>ICALEO 2006 - 25th International Congress on Applications of Laser and Electro-Optics, Congress Proceedings</v>
      </c>
      <c r="B8997" s="8" t="str">
        <f>"-"</f>
        <v>-</v>
      </c>
      <c r="C8997" s="8" t="s">
        <v>723</v>
      </c>
    </row>
    <row r="8998" spans="1:3" x14ac:dyDescent="0.25">
      <c r="A8998" s="8" t="str">
        <f>"ICALEO 2008 - 27th International Congress on Applications of Lasers and Electro-Optics, Congress Proceedings"</f>
        <v>ICALEO 2008 - 27th International Congress on Applications of Lasers and Electro-Optics, Congress Proceedings</v>
      </c>
      <c r="B8998" s="8" t="str">
        <f>"-"</f>
        <v>-</v>
      </c>
      <c r="C8998" s="8" t="s">
        <v>723</v>
      </c>
    </row>
    <row r="8999" spans="1:3" x14ac:dyDescent="0.25">
      <c r="A8999" s="8" t="str">
        <f>"ICALEO 2009 - 28th International Congress on Applications of Lasers and Electro-Optics, Congress Proceedings"</f>
        <v>ICALEO 2009 - 28th International Congress on Applications of Lasers and Electro-Optics, Congress Proceedings</v>
      </c>
      <c r="B8999" s="8" t="str">
        <f>"9780912035598"</f>
        <v>9780912035598</v>
      </c>
      <c r="C8999" s="8" t="s">
        <v>723</v>
      </c>
    </row>
    <row r="9000" spans="1:3" x14ac:dyDescent="0.25">
      <c r="A9000" s="8" t="str">
        <f>"ICALEO 2012 - 31st International Congress on Applications of Lasers and Electro-Optics"</f>
        <v>ICALEO 2012 - 31st International Congress on Applications of Lasers and Electro-Optics</v>
      </c>
      <c r="B9000" s="8" t="str">
        <f>"-"</f>
        <v>-</v>
      </c>
      <c r="C9000" s="8" t="s">
        <v>723</v>
      </c>
    </row>
    <row r="9001" spans="1:3" x14ac:dyDescent="0.25">
      <c r="A9001" s="8" t="str">
        <f>"ICALEO 2013 - 32nd International Congress on Applications of Lasers and Electro-Optics"</f>
        <v>ICALEO 2013 - 32nd International Congress on Applications of Lasers and Electro-Optics</v>
      </c>
      <c r="B9001" s="8" t="str">
        <f>"-"</f>
        <v>-</v>
      </c>
      <c r="C9001" s="8" t="s">
        <v>723</v>
      </c>
    </row>
    <row r="9002" spans="1:3" x14ac:dyDescent="0.25">
      <c r="A9002" s="8" t="str">
        <f>"ICALIP 2008 - 2008 International Conference on Audio, Language and Image Processing, Proceedings"</f>
        <v>ICALIP 2008 - 2008 International Conference on Audio, Language and Image Processing, Proceedings</v>
      </c>
      <c r="B9002" s="8" t="str">
        <f>"9781424417230"</f>
        <v>9781424417230</v>
      </c>
      <c r="C9002" s="8" t="s">
        <v>9</v>
      </c>
    </row>
    <row r="9003" spans="1:3" x14ac:dyDescent="0.25">
      <c r="A9003" s="8" t="str">
        <f>"ICALIP 2010 - 2010 International Conference on Audio, Language and Image Processing, Proceedings"</f>
        <v>ICALIP 2010 - 2010 International Conference on Audio, Language and Image Processing, Proceedings</v>
      </c>
      <c r="B9003" s="8" t="str">
        <f>"9781424458653"</f>
        <v>9781424458653</v>
      </c>
      <c r="C9003" s="8" t="s">
        <v>9</v>
      </c>
    </row>
    <row r="9004" spans="1:3" x14ac:dyDescent="0.25">
      <c r="A9004" s="8" t="str">
        <f>"ICALIP 2012 - 2012 International Conference on Audio, Language and Image Processing, Proceedings"</f>
        <v>ICALIP 2012 - 2012 International Conference on Audio, Language and Image Processing, Proceedings</v>
      </c>
      <c r="B9004" s="8" t="str">
        <f>"9781467301718"</f>
        <v>9781467301718</v>
      </c>
      <c r="C9004" s="8" t="s">
        <v>9</v>
      </c>
    </row>
    <row r="9005" spans="1:3" x14ac:dyDescent="0.25">
      <c r="A9005" s="8" t="str">
        <f>"ICALIP 2014 - 2014 International Conference on Audio, Language and Image Processing, Proceedings"</f>
        <v>ICALIP 2014 - 2014 International Conference on Audio, Language and Image Processing, Proceedings</v>
      </c>
      <c r="B9005" s="8" t="str">
        <f>"9781479939022"</f>
        <v>9781479939022</v>
      </c>
      <c r="C9005" s="8" t="s">
        <v>105</v>
      </c>
    </row>
    <row r="9006" spans="1:3" x14ac:dyDescent="0.25">
      <c r="A9006" s="8" t="str">
        <f>"ICAMS 2010 - Proceedings of 2010 IEEE International Conference on Advanced Management Science"</f>
        <v>ICAMS 2010 - Proceedings of 2010 IEEE International Conference on Advanced Management Science</v>
      </c>
      <c r="B9006" s="8" t="str">
        <f>"9781424469291"</f>
        <v>9781424469291</v>
      </c>
      <c r="C9006" s="8" t="s">
        <v>9</v>
      </c>
    </row>
    <row r="9007" spans="1:3" x14ac:dyDescent="0.25">
      <c r="A9007" s="8" t="str">
        <f>"ICAPR 2015 - 2015 8th International Conference on Advances in Pattern Recognition"</f>
        <v>ICAPR 2015 - 2015 8th International Conference on Advances in Pattern Recognition</v>
      </c>
      <c r="B9007" s="8" t="str">
        <f>"9781479974580"</f>
        <v>9781479974580</v>
      </c>
      <c r="C9007" s="8" t="s">
        <v>105</v>
      </c>
    </row>
    <row r="9008" spans="1:3" x14ac:dyDescent="0.25">
      <c r="A9008" s="8" t="str">
        <f>"ICAPS 2005 - Proceedings of the 15th International Conference on Automated Planning and Scheduling"</f>
        <v>ICAPS 2005 - Proceedings of the 15th International Conference on Automated Planning and Scheduling</v>
      </c>
      <c r="B9008" s="8" t="str">
        <f>"9781577352204"</f>
        <v>9781577352204</v>
      </c>
      <c r="C9008" s="8" t="s">
        <v>1257</v>
      </c>
    </row>
    <row r="9009" spans="1:3" x14ac:dyDescent="0.25">
      <c r="A9009" s="8" t="str">
        <f>"ICAPS 2006 - Proceedings, Sixteenth International Conference on Automated Planning and Scheduling"</f>
        <v>ICAPS 2006 - Proceedings, Sixteenth International Conference on Automated Planning and Scheduling</v>
      </c>
      <c r="B9009" s="8" t="str">
        <f>"-"</f>
        <v>-</v>
      </c>
      <c r="C9009" s="8" t="s">
        <v>21</v>
      </c>
    </row>
    <row r="9010" spans="1:3" x14ac:dyDescent="0.25">
      <c r="A9010" s="8" t="str">
        <f>"ICAPS 2006 - Workshop on Constraint Satisfaction Techniques for Planning and Scheduling Problems"</f>
        <v>ICAPS 2006 - Workshop on Constraint Satisfaction Techniques for Planning and Scheduling Problems</v>
      </c>
      <c r="B9010" s="8" t="str">
        <f>"-"</f>
        <v>-</v>
      </c>
      <c r="C9010" s="8" t="s">
        <v>1875</v>
      </c>
    </row>
    <row r="9011" spans="1:3" x14ac:dyDescent="0.25">
      <c r="A9011" s="8" t="str">
        <f>"ICAPS 2007, 17th International Conference on Automated Planning and Scheduling"</f>
        <v>ICAPS 2007, 17th International Conference on Automated Planning and Scheduling</v>
      </c>
      <c r="B9011" s="8" t="str">
        <f>"9781577353447"</f>
        <v>9781577353447</v>
      </c>
      <c r="C9011" s="8" t="s">
        <v>394</v>
      </c>
    </row>
    <row r="9012" spans="1:3" x14ac:dyDescent="0.25">
      <c r="A9012" s="8" t="str">
        <f>"ICAPS 2008 - Proceedings of the 18th International Conference on Automated Planning and Scheduling"</f>
        <v>ICAPS 2008 - Proceedings of the 18th International Conference on Automated Planning and Scheduling</v>
      </c>
      <c r="B9012" s="8" t="str">
        <f>"9781577353867"</f>
        <v>9781577353867</v>
      </c>
      <c r="C9012" s="8" t="s">
        <v>1266</v>
      </c>
    </row>
    <row r="9013" spans="1:3" x14ac:dyDescent="0.25">
      <c r="A9013" s="8" t="str">
        <f>"ICAPS 2009 - Proceedings of the 19th International Conference on Automated Planning and Scheduling"</f>
        <v>ICAPS 2009 - Proceedings of the 19th International Conference on Automated Planning and Scheduling</v>
      </c>
      <c r="B9013" s="8" t="str">
        <f>"9781577354062"</f>
        <v>9781577354062</v>
      </c>
      <c r="C9013" s="8" t="s">
        <v>1257</v>
      </c>
    </row>
    <row r="9014" spans="1:3" x14ac:dyDescent="0.25">
      <c r="A9014" s="8" t="str">
        <f>"ICAPS 2010 - Proceedings of the 20th International Conference on Automated Planning and Scheduling"</f>
        <v>ICAPS 2010 - Proceedings of the 20th International Conference on Automated Planning and Scheduling</v>
      </c>
      <c r="B9014" s="8" t="str">
        <f>"9781577354499"</f>
        <v>9781577354499</v>
      </c>
      <c r="C9014" s="8" t="s">
        <v>1257</v>
      </c>
    </row>
    <row r="9015" spans="1:3" x14ac:dyDescent="0.25">
      <c r="A9015" s="8" t="str">
        <f>"ICAPS 2011 - Proceedings of the 21st International Conference on Automated Planning and Scheduling"</f>
        <v>ICAPS 2011 - Proceedings of the 21st International Conference on Automated Planning and Scheduling</v>
      </c>
      <c r="B9015" s="8" t="str">
        <f>"9781577355038"</f>
        <v>9781577355038</v>
      </c>
      <c r="C9015" s="8" t="s">
        <v>1257</v>
      </c>
    </row>
    <row r="9016" spans="1:3" x14ac:dyDescent="0.25">
      <c r="A9016" s="8" t="str">
        <f>"ICAPS 2012 - 22nd International Conference on Automated Planning and Scheduling; COPLAS 2012 - Proceedings of the Workshop on Constraint Satisfaction Techniques for Planning and Scheduling Problems"</f>
        <v>ICAPS 2012 - 22nd International Conference on Automated Planning and Scheduling; COPLAS 2012 - Proceedings of the Workshop on Constraint Satisfaction Techniques for Planning and Scheduling Problems</v>
      </c>
      <c r="B9016" s="8" t="str">
        <f>"-"</f>
        <v>-</v>
      </c>
      <c r="C9016" s="8" t="s">
        <v>1875</v>
      </c>
    </row>
    <row r="9017" spans="1:3" x14ac:dyDescent="0.25">
      <c r="A9017" s="8" t="str">
        <f>"ICAPS 2012 - Proceedings of the 22nd International Conference on Automated Planning and Scheduling"</f>
        <v>ICAPS 2012 - Proceedings of the 22nd International Conference on Automated Planning and Scheduling</v>
      </c>
      <c r="B9017" s="8" t="str">
        <f>"9781577355625"</f>
        <v>9781577355625</v>
      </c>
      <c r="C9017" s="8" t="s">
        <v>1257</v>
      </c>
    </row>
    <row r="9018" spans="1:3" x14ac:dyDescent="0.25">
      <c r="A9018" s="8" t="str">
        <f>"ICAPS 2013 - Proceedings of the 23rd International Conference on Automated Planning and Scheduling"</f>
        <v>ICAPS 2013 - Proceedings of the 23rd International Conference on Automated Planning and Scheduling</v>
      </c>
      <c r="B9018" s="8" t="str">
        <f>"9781577356097"</f>
        <v>9781577356097</v>
      </c>
      <c r="C9018" s="8" t="s">
        <v>1257</v>
      </c>
    </row>
    <row r="9019" spans="1:3" x14ac:dyDescent="0.25">
      <c r="A9019" s="8" t="str">
        <f>"ICARA 2009 - Proceedings of the 4th International Conference on Autonomous Robots and Agents"</f>
        <v>ICARA 2009 - Proceedings of the 4th International Conference on Autonomous Robots and Agents</v>
      </c>
      <c r="B9019" s="8" t="str">
        <f>"9781424427130"</f>
        <v>9781424427130</v>
      </c>
      <c r="C9019" s="8" t="s">
        <v>9</v>
      </c>
    </row>
    <row r="9020" spans="1:3" x14ac:dyDescent="0.25">
      <c r="A9020" s="8" t="str">
        <f>"ICARA 2011 - Proceedings of the 5th International Conference on Automation, Robotics and Applications"</f>
        <v>ICARA 2011 - Proceedings of the 5th International Conference on Automation, Robotics and Applications</v>
      </c>
      <c r="B9020" s="8" t="str">
        <f>"9781457703287"</f>
        <v>9781457703287</v>
      </c>
      <c r="C9020" s="8" t="s">
        <v>9</v>
      </c>
    </row>
    <row r="9021" spans="1:3" x14ac:dyDescent="0.25">
      <c r="A9021" s="8" t="str">
        <f>"ICARA 2015 - Proceedings of the 2015 6th International Conference on Automation, Robotics and Applications"</f>
        <v>ICARA 2015 - Proceedings of the 2015 6th International Conference on Automation, Robotics and Applications</v>
      </c>
      <c r="B9021" s="8" t="str">
        <f>"9781479964666"</f>
        <v>9781479964666</v>
      </c>
      <c r="C9021" s="8" t="s">
        <v>105</v>
      </c>
    </row>
    <row r="9022" spans="1:3" x14ac:dyDescent="0.25">
      <c r="A9022" s="8" t="str">
        <f>"ICARCV 2004 - Proceedings of the 8th International Conference on Control, Automation, Robotics and Vision"</f>
        <v>ICARCV 2004 - Proceedings of the 8th International Conference on Control, Automation, Robotics and Vision</v>
      </c>
      <c r="B9022" s="8" t="str">
        <f>"9780780386549"</f>
        <v>9780780386549</v>
      </c>
      <c r="C9022" s="8" t="s">
        <v>105</v>
      </c>
    </row>
    <row r="9023" spans="1:3" x14ac:dyDescent="0.25">
      <c r="A9023" s="8" t="str">
        <f>"ICAS Secretariat - 26th Congress of International Council of the Aeronautical Sciences 2008, ICAS 2008"</f>
        <v>ICAS Secretariat - 26th Congress of International Council of the Aeronautical Sciences 2008, ICAS 2008</v>
      </c>
      <c r="B9023" s="8" t="str">
        <f>"9781605607153"</f>
        <v>9781605607153</v>
      </c>
      <c r="C9023" s="8" t="s">
        <v>1443</v>
      </c>
    </row>
    <row r="9024" spans="1:3" x14ac:dyDescent="0.25">
      <c r="A9024" s="8" t="str">
        <f>"ICASE 2013 - Proceedings of the 3rd International Conference on Aerospace Science and Engineering"</f>
        <v>ICASE 2013 - Proceedings of the 3rd International Conference on Aerospace Science and Engineering</v>
      </c>
      <c r="B9024" s="8" t="str">
        <f>"9781479909933"</f>
        <v>9781479909933</v>
      </c>
      <c r="C9024" s="8" t="s">
        <v>9</v>
      </c>
    </row>
    <row r="9025" spans="1:3" x14ac:dyDescent="0.25">
      <c r="A9025" s="8" t="str">
        <f>"ICASS '09/IJSSD - Proceedings of Sixth International Conference on Advances in Steel Structures and Progress in Structural Stability and Dynamics"</f>
        <v>ICASS '09/IJSSD - Proceedings of Sixth International Conference on Advances in Steel Structures and Progress in Structural Stability and Dynamics</v>
      </c>
      <c r="B9025" s="8" t="str">
        <f>"9789889914059"</f>
        <v>9789889914059</v>
      </c>
      <c r="C9025" s="8" t="s">
        <v>1876</v>
      </c>
    </row>
    <row r="9026" spans="1:3" x14ac:dyDescent="0.25">
      <c r="A9026" s="8" t="str">
        <f>"ICAS-Secretariat - 25th Congress of the International Council of the Aeronautical Sciences 2006"</f>
        <v>ICAS-Secretariat - 25th Congress of the International Council of the Aeronautical Sciences 2006</v>
      </c>
      <c r="B9026" s="8" t="str">
        <f>"9781604232271"</f>
        <v>9781604232271</v>
      </c>
      <c r="C9026" s="8" t="s">
        <v>394</v>
      </c>
    </row>
    <row r="9027" spans="1:3" x14ac:dyDescent="0.25">
      <c r="A9027" s="8" t="str">
        <f>"ICAST 2008: Proceedings of 2nd International Conference on Advances in Space Technologies - Space in the Service of Mankind"</f>
        <v>ICAST 2008: Proceedings of 2nd International Conference on Advances in Space Technologies - Space in the Service of Mankind</v>
      </c>
      <c r="B9027" s="8" t="str">
        <f>"9781424432998"</f>
        <v>9781424432998</v>
      </c>
      <c r="C9027" s="8" t="s">
        <v>9</v>
      </c>
    </row>
    <row r="9028" spans="1:3" x14ac:dyDescent="0.25">
      <c r="A9028" s="8" t="str">
        <f>"ICAST 2009 - 2nd International Conference on Adaptive Science and Technology"</f>
        <v>ICAST 2009 - 2nd International Conference on Adaptive Science and Technology</v>
      </c>
      <c r="B9028" s="8" t="str">
        <f>"9781424435234"</f>
        <v>9781424435234</v>
      </c>
      <c r="C9028" s="8" t="s">
        <v>9</v>
      </c>
    </row>
    <row r="9029" spans="1:3" x14ac:dyDescent="0.25">
      <c r="A9029" s="8" t="str">
        <f>"iCAST 2012 - Proceedings: 4th International Conference on Awareness Science and Technology"</f>
        <v>iCAST 2012 - Proceedings: 4th International Conference on Awareness Science and Technology</v>
      </c>
      <c r="B9029" s="8" t="str">
        <f>"9781467321112"</f>
        <v>9781467321112</v>
      </c>
      <c r="C9029" s="8" t="s">
        <v>9</v>
      </c>
    </row>
    <row r="9030" spans="1:3" x14ac:dyDescent="0.25">
      <c r="A9030" s="8" t="str">
        <f>"ICAST 2014 - 25th International Conference on Adaptive Structures and Technologies"</f>
        <v>ICAST 2014 - 25th International Conference on Adaptive Structures and Technologies</v>
      </c>
      <c r="B9030" s="8" t="str">
        <f>"-"</f>
        <v>-</v>
      </c>
      <c r="C9030" s="8" t="s">
        <v>1407</v>
      </c>
    </row>
    <row r="9031" spans="1:3" x14ac:dyDescent="0.25">
      <c r="A9031" s="8" t="str">
        <f>"ICAT 2009 - 2009 22nd International Symposium on Information, Communication and Automation Technologies"</f>
        <v>ICAT 2009 - 2009 22nd International Symposium on Information, Communication and Automation Technologies</v>
      </c>
      <c r="B9031" s="8" t="str">
        <f>"9781424442218"</f>
        <v>9781424442218</v>
      </c>
      <c r="C9031" s="8" t="s">
        <v>9</v>
      </c>
    </row>
    <row r="9032" spans="1:3" x14ac:dyDescent="0.25">
      <c r="A9032" s="8" t="str">
        <f>"ICBBT 2010 - 2010 International Conference on Bioinformatics and Biomedical Technology"</f>
        <v>ICBBT 2010 - 2010 International Conference on Bioinformatics and Biomedical Technology</v>
      </c>
      <c r="B9032" s="8" t="str">
        <f>"9781424467761"</f>
        <v>9781424467761</v>
      </c>
      <c r="C9032" s="8" t="s">
        <v>9</v>
      </c>
    </row>
    <row r="9033" spans="1:3" x14ac:dyDescent="0.25">
      <c r="A9033" s="8" t="str">
        <f>"ICBEE 2010 - 2010 2nd International Conference on Chemical, Biological and Environmental Engineering, Proceedings"</f>
        <v>ICBEE 2010 - 2010 2nd International Conference on Chemical, Biological and Environmental Engineering, Proceedings</v>
      </c>
      <c r="B9033" s="8" t="str">
        <f>"9781424487479"</f>
        <v>9781424487479</v>
      </c>
      <c r="C9033" s="8" t="s">
        <v>9</v>
      </c>
    </row>
    <row r="9034" spans="1:3" x14ac:dyDescent="0.25">
      <c r="A9034" s="8" t="str">
        <f>"ICBEIA 2011 - 2011 International Conference on Business, Engineering and Industrial Applications"</f>
        <v>ICBEIA 2011 - 2011 International Conference on Business, Engineering and Industrial Applications</v>
      </c>
      <c r="B9034" s="8" t="str">
        <f>"9781457712807"</f>
        <v>9781457712807</v>
      </c>
      <c r="C9034" s="8" t="s">
        <v>9</v>
      </c>
    </row>
    <row r="9035" spans="1:3" x14ac:dyDescent="0.25">
      <c r="A9035" s="8" t="str">
        <f>"ICBMH 2013 - 11th International Conference on Bulk Materials Storage, Handling and Transportation"</f>
        <v>ICBMH 2013 - 11th International Conference on Bulk Materials Storage, Handling and Transportation</v>
      </c>
      <c r="B9035" s="8" t="str">
        <f>"9780858259836"</f>
        <v>9780858259836</v>
      </c>
      <c r="C9035" s="8" t="s">
        <v>1604</v>
      </c>
    </row>
    <row r="9036" spans="1:3" x14ac:dyDescent="0.25">
      <c r="A9036" s="8" t="str">
        <f>"ICBPE 2006 - Proceedings of the 2006 International Conference on Biomedical and Pharmaceutical Engineering"</f>
        <v>ICBPE 2006 - Proceedings of the 2006 International Conference on Biomedical and Pharmaceutical Engineering</v>
      </c>
      <c r="B9036" s="8" t="str">
        <f>"9788190426244"</f>
        <v>9788190426244</v>
      </c>
      <c r="C9036" s="8" t="s">
        <v>9</v>
      </c>
    </row>
    <row r="9037" spans="1:3" x14ac:dyDescent="0.25">
      <c r="A9037" s="8" t="str">
        <f>"ICC2009 - International Conference of Computing in Engineering, Science and Information"</f>
        <v>ICC2009 - International Conference of Computing in Engineering, Science and Information</v>
      </c>
      <c r="B9037" s="8" t="str">
        <f>"9780769535388"</f>
        <v>9780769535388</v>
      </c>
      <c r="C9037" s="8" t="s">
        <v>9</v>
      </c>
    </row>
    <row r="9038" spans="1:3" x14ac:dyDescent="0.25">
      <c r="A9038" s="8" t="str">
        <f>"ICCAIE 2010 - 2010 International Conference on Computer Applications and Industrial Electronics"</f>
        <v>ICCAIE 2010 - 2010 International Conference on Computer Applications and Industrial Electronics</v>
      </c>
      <c r="B9038" s="8" t="str">
        <f>"9781424490554"</f>
        <v>9781424490554</v>
      </c>
      <c r="C9038" s="8" t="s">
        <v>9</v>
      </c>
    </row>
    <row r="9039" spans="1:3" x14ac:dyDescent="0.25">
      <c r="A9039" s="8" t="str">
        <f>"ICCAIE 2011 - 2011 IEEE Conference on Computer Applications and Industrial Electronics"</f>
        <v>ICCAIE 2011 - 2011 IEEE Conference on Computer Applications and Industrial Electronics</v>
      </c>
      <c r="B9039" s="8" t="str">
        <f>"9781457720581"</f>
        <v>9781457720581</v>
      </c>
      <c r="C9039" s="8" t="s">
        <v>9</v>
      </c>
    </row>
    <row r="9040" spans="1:3" x14ac:dyDescent="0.25">
      <c r="A9040" s="8" t="str">
        <f>"ICCAS 2007 - International Conference on Control, Automation and Systems"</f>
        <v>ICCAS 2007 - International Conference on Control, Automation and Systems</v>
      </c>
      <c r="B9040" s="8" t="str">
        <f>"9788995003879"</f>
        <v>9788995003879</v>
      </c>
      <c r="C9040" s="8" t="s">
        <v>9</v>
      </c>
    </row>
    <row r="9041" spans="1:3" x14ac:dyDescent="0.25">
      <c r="A9041" s="8" t="str">
        <f>"ICCAS 2010 - International Conference on Control, Automation and Systems"</f>
        <v>ICCAS 2010 - International Conference on Control, Automation and Systems</v>
      </c>
      <c r="B9041" s="8" t="str">
        <f>"9781424474530"</f>
        <v>9781424474530</v>
      </c>
      <c r="C9041" s="8" t="s">
        <v>9</v>
      </c>
    </row>
    <row r="9042" spans="1:3" x14ac:dyDescent="0.25">
      <c r="A9042" s="8" t="s">
        <v>1877</v>
      </c>
      <c r="B9042" s="8" t="str">
        <f>"9781467331197"</f>
        <v>9781467331197</v>
      </c>
      <c r="C9042" s="8" t="s">
        <v>9</v>
      </c>
    </row>
    <row r="9043" spans="1:3" x14ac:dyDescent="0.25">
      <c r="A9043" s="8" t="s">
        <v>1878</v>
      </c>
      <c r="B9043" s="8" t="str">
        <f>"9781479913374"</f>
        <v>9781479913374</v>
      </c>
      <c r="C9043" s="8" t="s">
        <v>9</v>
      </c>
    </row>
    <row r="9044" spans="1:3" x14ac:dyDescent="0.25">
      <c r="A9044" s="8" t="str">
        <f>"ICCASM 2010 - 2010 International Conference on Computer Application and System Modeling, Proceedings"</f>
        <v>ICCASM 2010 - 2010 International Conference on Computer Application and System Modeling, Proceedings</v>
      </c>
      <c r="B9044" s="8" t="str">
        <f>"9781424472369"</f>
        <v>9781424472369</v>
      </c>
      <c r="C9044" s="8" t="s">
        <v>9</v>
      </c>
    </row>
    <row r="9045" spans="1:3" x14ac:dyDescent="0.25">
      <c r="A9045" s="8" t="str">
        <f>"ICCAS-SICE 2009 - ICROS-SICE International Joint Conference 2009"</f>
        <v>ICCAS-SICE 2009 - ICROS-SICE International Joint Conference 2009</v>
      </c>
      <c r="B9045" s="8" t="str">
        <f>"9784907764296"</f>
        <v>9784907764296</v>
      </c>
      <c r="C9045" s="8" t="s">
        <v>995</v>
      </c>
    </row>
    <row r="9046" spans="1:3" x14ac:dyDescent="0.25">
      <c r="A9046" s="8" t="str">
        <f>"ICCAS-SICE 2009 - ICROS-SICE International Joint Conference 2009, Proceedings"</f>
        <v>ICCAS-SICE 2009 - ICROS-SICE International Joint Conference 2009, Proceedings</v>
      </c>
      <c r="B9046" s="8" t="str">
        <f>"9784907764333"</f>
        <v>9784907764333</v>
      </c>
      <c r="C9046" s="8" t="s">
        <v>9</v>
      </c>
    </row>
    <row r="9047" spans="1:3" x14ac:dyDescent="0.25">
      <c r="A9047" s="8" t="str">
        <f>"ICCC 2004 - Second IEEE International Conference on Computational Cybernetics, Proceedings"</f>
        <v>ICCC 2004 - Second IEEE International Conference on Computational Cybernetics, Proceedings</v>
      </c>
      <c r="B9047" s="8" t="str">
        <f>"9780780385887"</f>
        <v>9780780385887</v>
      </c>
      <c r="C9047" s="8" t="s">
        <v>105</v>
      </c>
    </row>
    <row r="9048" spans="1:3" x14ac:dyDescent="0.25">
      <c r="A9048" s="8" t="str">
        <f>"ICCC 2005 - IEEE 3rd International Conference on Computational Cybernetics - Proceedings"</f>
        <v>ICCC 2005 - IEEE 3rd International Conference on Computational Cybernetics - Proceedings</v>
      </c>
      <c r="B9048" s="8" t="str">
        <f>"-"</f>
        <v>-</v>
      </c>
      <c r="C9048" s="8" t="s">
        <v>9</v>
      </c>
    </row>
    <row r="9049" spans="1:3" x14ac:dyDescent="0.25">
      <c r="A9049" s="8" t="str">
        <f>"ICCC 2007 - 5th IEEE International Conference on Computational Cybernetics, Proceedings"</f>
        <v>ICCC 2007 - 5th IEEE International Conference on Computational Cybernetics, Proceedings</v>
      </c>
      <c r="B9049" s="8" t="str">
        <f>"9781424411467"</f>
        <v>9781424411467</v>
      </c>
      <c r="C9049" s="8" t="s">
        <v>9</v>
      </c>
    </row>
    <row r="9050" spans="1:3" x14ac:dyDescent="0.25">
      <c r="A9050" s="8" t="str">
        <f>"ICCC 2008 - IEEE 6th International Conference on Computational Cybernetics, Proceedings"</f>
        <v>ICCC 2008 - IEEE 6th International Conference on Computational Cybernetics, Proceedings</v>
      </c>
      <c r="B9050" s="8" t="str">
        <f>"9781424428755"</f>
        <v>9781424428755</v>
      </c>
      <c r="C9050" s="8" t="s">
        <v>9</v>
      </c>
    </row>
    <row r="9051" spans="1:3" x14ac:dyDescent="0.25">
      <c r="A9051" s="8" t="str">
        <f>"ICCC 2009 - IEEE 7th International Conference on Computational Cybernetics"</f>
        <v>ICCC 2009 - IEEE 7th International Conference on Computational Cybernetics</v>
      </c>
      <c r="B9051" s="8" t="str">
        <f>"9781424453115"</f>
        <v>9781424453115</v>
      </c>
      <c r="C9051" s="8" t="s">
        <v>9</v>
      </c>
    </row>
    <row r="9052" spans="1:3" x14ac:dyDescent="0.25">
      <c r="A9052" s="8" t="str">
        <f>"ICCC 2013 - IEEE 9th International Conference on Computational Cybernetics, Proceedings"</f>
        <v>ICCC 2013 - IEEE 9th International Conference on Computational Cybernetics, Proceedings</v>
      </c>
      <c r="B9052" s="8" t="str">
        <f>"9781479900633"</f>
        <v>9781479900633</v>
      </c>
      <c r="C9052" s="8" t="s">
        <v>9</v>
      </c>
    </row>
    <row r="9053" spans="1:3" x14ac:dyDescent="0.25">
      <c r="A9053" s="8" t="str">
        <f>"ICCCAS 2007 - International Conference on Communications, Circuits and Systems 2007"</f>
        <v>ICCCAS 2007 - International Conference on Communications, Circuits and Systems 2007</v>
      </c>
      <c r="B9053" s="8" t="str">
        <f>"9781424414741"</f>
        <v>9781424414741</v>
      </c>
      <c r="C9053" s="8" t="s">
        <v>9</v>
      </c>
    </row>
    <row r="9054" spans="1:3" x14ac:dyDescent="0.25">
      <c r="A9054" s="8" t="str">
        <f>"ICCC-CONTI 2010 - IEEE International Joint Conferences on Computational Cybernetics and Technical Informatics, Proceedings"</f>
        <v>ICCC-CONTI 2010 - IEEE International Joint Conferences on Computational Cybernetics and Technical Informatics, Proceedings</v>
      </c>
      <c r="B9054" s="8" t="str">
        <f>"9781424474332"</f>
        <v>9781424474332</v>
      </c>
      <c r="C9054" s="8" t="s">
        <v>9</v>
      </c>
    </row>
    <row r="9055" spans="1:3" x14ac:dyDescent="0.25">
      <c r="A9055" s="8" t="str">
        <f>"ICCCE 2010 - 2010 International Conference on Chemistry and Chemical Engineering, Proceedings"</f>
        <v>ICCCE 2010 - 2010 International Conference on Chemistry and Chemical Engineering, Proceedings</v>
      </c>
      <c r="B9055" s="8" t="str">
        <f>"9781424477647"</f>
        <v>9781424477647</v>
      </c>
      <c r="C9055" s="8" t="s">
        <v>21</v>
      </c>
    </row>
    <row r="9056" spans="1:3" x14ac:dyDescent="0.25">
      <c r="A9056" s="8" t="str">
        <f>"ICCDCS 2002 - 4th IEEE International Caracas Conference on Devices, Circuits and Systems"</f>
        <v>ICCDCS 2002 - 4th IEEE International Caracas Conference on Devices, Circuits and Systems</v>
      </c>
      <c r="B9056" s="8" t="str">
        <f>"9780780373808"</f>
        <v>9780780373808</v>
      </c>
      <c r="C9056" s="8" t="s">
        <v>9</v>
      </c>
    </row>
    <row r="9057" spans="1:3" x14ac:dyDescent="0.25">
      <c r="A9057" s="8" t="str">
        <f>"ICCE 2010 - 2010 Digest of Technical Papers International Conference on Consumer Electronics"</f>
        <v>ICCE 2010 - 2010 Digest of Technical Papers International Conference on Consumer Electronics</v>
      </c>
      <c r="B9057" s="8" t="str">
        <f>"9781424443161"</f>
        <v>9781424443161</v>
      </c>
      <c r="C9057" s="8" t="s">
        <v>9</v>
      </c>
    </row>
    <row r="9058" spans="1:3" x14ac:dyDescent="0.25">
      <c r="A9058" s="8" t="str">
        <f>"ICCE 2010 - 3rd International Conference on Communications and Electronics"</f>
        <v>ICCE 2010 - 3rd International Conference on Communications and Electronics</v>
      </c>
      <c r="B9058" s="8" t="str">
        <f>"9781424470587"</f>
        <v>9781424470587</v>
      </c>
      <c r="C9058" s="8" t="s">
        <v>9</v>
      </c>
    </row>
    <row r="9059" spans="1:3" x14ac:dyDescent="0.25">
      <c r="A9059" s="8" t="str">
        <f>"ICCEA 2004 - 2004 3rd International Conference on Computational Electromagnetics and its Applications, Proceedings"</f>
        <v>ICCEA 2004 - 2004 3rd International Conference on Computational Electromagnetics and its Applications, Proceedings</v>
      </c>
      <c r="B9059" s="8" t="str">
        <f>"9780780385627"</f>
        <v>9780780385627</v>
      </c>
      <c r="C9059" s="8" t="s">
        <v>105</v>
      </c>
    </row>
    <row r="9060" spans="1:3" x14ac:dyDescent="0.25">
      <c r="A9060" s="8" t="str">
        <f>"ICCEM 2015 - 2015 IEEE International Conference on Computational Electromagnetics"</f>
        <v>ICCEM 2015 - 2015 IEEE International Conference on Computational Electromagnetics</v>
      </c>
      <c r="B9060" s="8" t="str">
        <f>"9781479962815"</f>
        <v>9781479962815</v>
      </c>
      <c r="C9060" s="8" t="s">
        <v>105</v>
      </c>
    </row>
    <row r="9061" spans="1:3" x14ac:dyDescent="0.25">
      <c r="A9061" s="8" t="str">
        <f>"ICCES'07 - 2007 International Conference on Computer Engineering and Systems"</f>
        <v>ICCES'07 - 2007 International Conference on Computer Engineering and Systems</v>
      </c>
      <c r="B9061" s="8" t="str">
        <f>"9781424413652"</f>
        <v>9781424413652</v>
      </c>
      <c r="C9061" s="8" t="s">
        <v>9</v>
      </c>
    </row>
    <row r="9062" spans="1:3" x14ac:dyDescent="0.25">
      <c r="A9062" s="8" t="str">
        <f>"ICCET 2010 - 2010 International Conference on Computer Engineering and Technology, Proceedings"</f>
        <v>ICCET 2010 - 2010 International Conference on Computer Engineering and Technology, Proceedings</v>
      </c>
      <c r="B9062" s="8" t="str">
        <f>"9781424463503"</f>
        <v>9781424463503</v>
      </c>
      <c r="C9062" s="8" t="s">
        <v>9</v>
      </c>
    </row>
    <row r="9063" spans="1:3" x14ac:dyDescent="0.25">
      <c r="A9063" s="8" t="str">
        <f>"ICCF-15 - 15th International Conference on Condensed Matter Nuclear Science"</f>
        <v>ICCF-15 - 15th International Conference on Condensed Matter Nuclear Science</v>
      </c>
      <c r="B9063" s="8" t="str">
        <f>"9788882862565"</f>
        <v>9788882862565</v>
      </c>
      <c r="C9063" s="8" t="s">
        <v>1879</v>
      </c>
    </row>
    <row r="9064" spans="1:3" x14ac:dyDescent="0.25">
      <c r="A9064" s="8" t="str">
        <f>"ICCH 2012 Proceedings - International Conference on Computerized Healthcare"</f>
        <v>ICCH 2012 Proceedings - International Conference on Computerized Healthcare</v>
      </c>
      <c r="B9064" s="8" t="str">
        <f>"9781467351294"</f>
        <v>9781467351294</v>
      </c>
      <c r="C9064" s="8" t="s">
        <v>9</v>
      </c>
    </row>
    <row r="9065" spans="1:3" x14ac:dyDescent="0.25">
      <c r="A9065" s="8" t="str">
        <f>"ICCIT 2009 - 4th International Conference on Computer Sciences and Convergence Information Technology"</f>
        <v>ICCIT 2009 - 4th International Conference on Computer Sciences and Convergence Information Technology</v>
      </c>
      <c r="B9065" s="8" t="str">
        <f>"9780769538969"</f>
        <v>9780769538969</v>
      </c>
      <c r="C9065" s="8" t="s">
        <v>9</v>
      </c>
    </row>
    <row r="9066" spans="1:3" x14ac:dyDescent="0.25">
      <c r="A9066" s="8" t="str">
        <f>"ICCIT 2009 - Proceedings of 2009 12th International Conference on Computer and Information Technology"</f>
        <v>ICCIT 2009 - Proceedings of 2009 12th International Conference on Computer and Information Technology</v>
      </c>
      <c r="B9066" s="8" t="str">
        <f>"9781424462841"</f>
        <v>9781424462841</v>
      </c>
      <c r="C9066" s="8" t="s">
        <v>9</v>
      </c>
    </row>
    <row r="9067" spans="1:3" x14ac:dyDescent="0.25">
      <c r="A9067" s="8" t="str">
        <f>"ICCMS 2010 - 2010 International Conference on Computer Modeling and Simulation"</f>
        <v>ICCMS 2010 - 2010 International Conference on Computer Modeling and Simulation</v>
      </c>
      <c r="B9067" s="8" t="str">
        <f>"9780769539416"</f>
        <v>9780769539416</v>
      </c>
      <c r="C9067" s="8" t="s">
        <v>9</v>
      </c>
    </row>
    <row r="9068" spans="1:3" x14ac:dyDescent="0.25">
      <c r="A9068" s="8" t="str">
        <f>"ICCP 2007 Proceedings IEEE 3rd International Conference on Intelligent Computer Communication and Processing"</f>
        <v>ICCP 2007 Proceedings IEEE 3rd International Conference on Intelligent Computer Communication and Processing</v>
      </c>
      <c r="B9068" s="8" t="str">
        <f>"9781424414918"</f>
        <v>9781424414918</v>
      </c>
      <c r="C9068" s="8" t="s">
        <v>9</v>
      </c>
    </row>
    <row r="9069" spans="1:3" x14ac:dyDescent="0.25">
      <c r="A9069" s="8" t="str">
        <f>"ICCRD2011 - 2011 3rd International Conference on Computer Research and Development"</f>
        <v>ICCRD2011 - 2011 3rd International Conference on Computer Research and Development</v>
      </c>
      <c r="B9069" s="8" t="str">
        <f>"9781612848372"</f>
        <v>9781612848372</v>
      </c>
      <c r="C9069" s="8" t="s">
        <v>9</v>
      </c>
    </row>
    <row r="9070" spans="1:3" x14ac:dyDescent="0.25">
      <c r="A9070" s="8" t="str">
        <f>"ICCREM 2013: Construction and Operation in the Context of Sustainability - Proceedings of the 2013 International Conference on Construction and Real Estate Management"</f>
        <v>ICCREM 2013: Construction and Operation in the Context of Sustainability - Proceedings of the 2013 International Conference on Construction and Real Estate Management</v>
      </c>
      <c r="B9070" s="8" t="str">
        <f>"9780784413135"</f>
        <v>9780784413135</v>
      </c>
      <c r="C9070" s="8" t="s">
        <v>111</v>
      </c>
    </row>
    <row r="9071" spans="1:3" x14ac:dyDescent="0.25">
      <c r="A9071" s="8" t="str">
        <f>"ICCREM 2014: Smart Construction and Management in the Context of New Technology - Proceedings of the 2014 International Conference on Construction and Real Estate Management"</f>
        <v>ICCREM 2014: Smart Construction and Management in the Context of New Technology - Proceedings of the 2014 International Conference on Construction and Real Estate Management</v>
      </c>
      <c r="B9071" s="8" t="str">
        <f>"9780784413777"</f>
        <v>9780784413777</v>
      </c>
      <c r="C9071" s="8" t="s">
        <v>111</v>
      </c>
    </row>
    <row r="9072" spans="1:3" x14ac:dyDescent="0.25">
      <c r="A9072" s="8" t="str">
        <f>"ICCSC 2002 - 1st IEEE International Conference on Circuits and Systems for Communications, Proceedings"</f>
        <v>ICCSC 2002 - 1st IEEE International Conference on Circuits and Systems for Communications, Proceedings</v>
      </c>
      <c r="B9072" s="8" t="str">
        <f>"9785742202608"</f>
        <v>9785742202608</v>
      </c>
      <c r="C9072" s="8" t="s">
        <v>105</v>
      </c>
    </row>
    <row r="9073" spans="1:3" x14ac:dyDescent="0.25">
      <c r="A9073" s="8" t="str">
        <f>"ICCSE 2010 - 5th International Conference on Computer Science and Education, Final Program and Book of Abstracts"</f>
        <v>ICCSE 2010 - 5th International Conference on Computer Science and Education, Final Program and Book of Abstracts</v>
      </c>
      <c r="B9073" s="8" t="str">
        <f>"9781424460052"</f>
        <v>9781424460052</v>
      </c>
      <c r="C9073" s="8" t="s">
        <v>9</v>
      </c>
    </row>
    <row r="9074" spans="1:3" x14ac:dyDescent="0.25">
      <c r="A9074" s="8" t="str">
        <f>"ICCSE 2011 - 6th International Conference on Computer Science and Education, Final Program and Proceedings"</f>
        <v>ICCSE 2011 - 6th International Conference on Computer Science and Education, Final Program and Proceedings</v>
      </c>
      <c r="B9074" s="8" t="str">
        <f>"9781424497188"</f>
        <v>9781424497188</v>
      </c>
      <c r="C9074" s="8" t="s">
        <v>9</v>
      </c>
    </row>
    <row r="9075" spans="1:3" x14ac:dyDescent="0.25">
      <c r="A9075" s="8" t="str">
        <f>"ICCSE 2012 - Proceedings of 2012 7th International Conference on Computer Science and Education"</f>
        <v>ICCSE 2012 - Proceedings of 2012 7th International Conference on Computer Science and Education</v>
      </c>
      <c r="B9075" s="8" t="str">
        <f>"9781467302425"</f>
        <v>9781467302425</v>
      </c>
      <c r="C9075" s="8" t="s">
        <v>9</v>
      </c>
    </row>
    <row r="9076" spans="1:3" x14ac:dyDescent="0.25">
      <c r="A9076" s="8" t="str">
        <f>"ICCSP 2011 - 2011 International Conference on Communications and Signal Processing"</f>
        <v>ICCSP 2011 - 2011 International Conference on Communications and Signal Processing</v>
      </c>
      <c r="B9076" s="8" t="str">
        <f>"9781424497980"</f>
        <v>9781424497980</v>
      </c>
      <c r="C9076" s="8" t="s">
        <v>9</v>
      </c>
    </row>
    <row r="9077" spans="1:3" x14ac:dyDescent="0.25">
      <c r="A9077" s="8" t="str">
        <f>"ICCSS 2014 - Proceedings: 2014 International Conference on Informative and Cybernetics for Computational Social Systems"</f>
        <v>ICCSS 2014 - Proceedings: 2014 International Conference on Informative and Cybernetics for Computational Social Systems</v>
      </c>
      <c r="B9077" s="8" t="str">
        <f>"9781479947522"</f>
        <v>9781479947522</v>
      </c>
      <c r="C9077" s="8" t="s">
        <v>105</v>
      </c>
    </row>
    <row r="9078" spans="1:3" x14ac:dyDescent="0.25">
      <c r="A9078" s="8" t="str">
        <f>"ICCTD 2009 - 2009 International Conference on Computer Technology and Development"</f>
        <v>ICCTD 2009 - 2009 International Conference on Computer Technology and Development</v>
      </c>
      <c r="B9078" s="8" t="str">
        <f>"9780769538921"</f>
        <v>9780769538921</v>
      </c>
      <c r="C9078" s="8" t="s">
        <v>9</v>
      </c>
    </row>
    <row r="9079" spans="1:3" x14ac:dyDescent="0.25">
      <c r="A9079" s="8" t="str">
        <f>"ICCTD 2010 - 2010 2nd International Conference on Computer Technology and Development, Proceedings"</f>
        <v>ICCTD 2010 - 2010 2nd International Conference on Computer Technology and Development, Proceedings</v>
      </c>
      <c r="B9079" s="8" t="str">
        <f>"9781424488438"</f>
        <v>9781424488438</v>
      </c>
      <c r="C9079" s="8" t="s">
        <v>9</v>
      </c>
    </row>
    <row r="9080" spans="1:3" x14ac:dyDescent="0.25">
      <c r="A9080" s="8" t="str">
        <f>"ICCTP 2010: Integrated Transportation Systems: Green, Intelligent, Reliable - Proceedings of the 10th International Conference of Chinese Transportation Professionals"</f>
        <v>ICCTP 2010: Integrated Transportation Systems: Green, Intelligent, Reliable - Proceedings of the 10th International Conference of Chinese Transportation Professionals</v>
      </c>
      <c r="B9080" s="8" t="str">
        <f>"9780784411278"</f>
        <v>9780784411278</v>
      </c>
      <c r="C9080" s="8" t="s">
        <v>111</v>
      </c>
    </row>
    <row r="9081" spans="1:3" x14ac:dyDescent="0.25">
      <c r="A9081" s="8" t="str">
        <f>"ICCTP 2011: Towards Sustainable Transportation Systems - Proceedings of the 11th International Conference of Chinese Transportation Professionals"</f>
        <v>ICCTP 2011: Towards Sustainable Transportation Systems - Proceedings of the 11th International Conference of Chinese Transportation Professionals</v>
      </c>
      <c r="B9081" s="8" t="str">
        <f>"9780784411865"</f>
        <v>9780784411865</v>
      </c>
      <c r="C9081" s="8" t="s">
        <v>111</v>
      </c>
    </row>
    <row r="9082" spans="1:3" x14ac:dyDescent="0.25">
      <c r="A9082" s="8" t="str">
        <f>"ICDC 2012 - 2nd International Conference on Design Creativity, Proceedings"</f>
        <v>ICDC 2012 - 2nd International Conference on Design Creativity, Proceedings</v>
      </c>
      <c r="B9082" s="8" t="str">
        <f>"-"</f>
        <v>-</v>
      </c>
      <c r="C9082" s="8" t="s">
        <v>1231</v>
      </c>
    </row>
    <row r="9083" spans="1:3" x14ac:dyDescent="0.25">
      <c r="A9083" s="8" t="str">
        <f>"ICDLE 2010 - 2010 4th International Conference on Distance Learning and Education, Proceedings"</f>
        <v>ICDLE 2010 - 2010 4th International Conference on Distance Learning and Education, Proceedings</v>
      </c>
      <c r="B9083" s="8" t="str">
        <f>"9781424487509"</f>
        <v>9781424487509</v>
      </c>
      <c r="C9083" s="8" t="s">
        <v>9</v>
      </c>
    </row>
    <row r="9084" spans="1:3" x14ac:dyDescent="0.25">
      <c r="A9084" s="8" t="str">
        <f>"ICDM Workshops 2009 - IEEE International Conference on Data Mining"</f>
        <v>ICDM Workshops 2009 - IEEE International Conference on Data Mining</v>
      </c>
      <c r="B9084" s="8" t="str">
        <f>"9780769539027"</f>
        <v>9780769539027</v>
      </c>
      <c r="C9084" s="8" t="s">
        <v>9</v>
      </c>
    </row>
    <row r="9085" spans="1:3" x14ac:dyDescent="0.25">
      <c r="A9085" s="8" t="str">
        <f>"ICDSC - 4th ACM/IEEE International Conference on Distributed Smart Cameras"</f>
        <v>ICDSC - 4th ACM/IEEE International Conference on Distributed Smart Cameras</v>
      </c>
      <c r="B9085" s="8" t="str">
        <f>"9781450303170"</f>
        <v>9781450303170</v>
      </c>
      <c r="C9085" s="8" t="s">
        <v>21</v>
      </c>
    </row>
    <row r="9086" spans="1:3" x14ac:dyDescent="0.25">
      <c r="A9086" s="8" t="str">
        <f>"ICEAA 2003 - International Conference on Electromagnetics in Advanced Applications"</f>
        <v>ICEAA 2003 - International Conference on Electromagnetics in Advanced Applications</v>
      </c>
      <c r="B9086" s="8" t="str">
        <f>"9788882020095"</f>
        <v>9788882020095</v>
      </c>
      <c r="C9086" s="8" t="s">
        <v>86</v>
      </c>
    </row>
    <row r="9087" spans="1:3" x14ac:dyDescent="0.25">
      <c r="A9087" s="8" t="str">
        <f>"ICEAA 2005 - 9th International Conference on Electromagnetics in Advanced Applications and EESC 2005 - 11th European Electromagnetic Structures Conference"</f>
        <v>ICEAA 2005 - 9th International Conference on Electromagnetics in Advanced Applications and EESC 2005 - 11th European Electromagnetic Structures Conference</v>
      </c>
      <c r="B9087" s="8" t="str">
        <f>"9788882020934"</f>
        <v>9788882020934</v>
      </c>
      <c r="C9087" s="8" t="s">
        <v>86</v>
      </c>
    </row>
    <row r="9088" spans="1:3" x14ac:dyDescent="0.25">
      <c r="A9088" s="8" t="str">
        <f>"ICE-B 2006 - International Conference on e-Business, Proceedings"</f>
        <v>ICE-B 2006 - International Conference on e-Business, Proceedings</v>
      </c>
      <c r="B9088" s="8" t="str">
        <f>"9789728865627"</f>
        <v>9789728865627</v>
      </c>
      <c r="C9088" s="8" t="s">
        <v>1680</v>
      </c>
    </row>
    <row r="9089" spans="1:3" x14ac:dyDescent="0.25">
      <c r="A9089" s="8" t="str">
        <f>"ICE-B 2007 - Proceedings of the 2nd International Conference on e-Business"</f>
        <v>ICE-B 2007 - Proceedings of the 2nd International Conference on e-Business</v>
      </c>
      <c r="B9089" s="8" t="str">
        <f>"9789898111111"</f>
        <v>9789898111111</v>
      </c>
      <c r="C9089" s="8" t="s">
        <v>1553</v>
      </c>
    </row>
    <row r="9090" spans="1:3" x14ac:dyDescent="0.25">
      <c r="A9090" s="8" t="str">
        <f>"ICE-B 2007 - Proceedings of the 2nd International Conference on e-Business"</f>
        <v>ICE-B 2007 - Proceedings of the 2nd International Conference on e-Business</v>
      </c>
      <c r="B9090" s="8" t="str">
        <f>"9789898111111"</f>
        <v>9789898111111</v>
      </c>
    </row>
    <row r="9091" spans="1:3" x14ac:dyDescent="0.25">
      <c r="A9091" s="8" t="str">
        <f>"ICE-B 2008 - Proceedings of the International Conference on e-Business"</f>
        <v>ICE-B 2008 - Proceedings of the International Conference on e-Business</v>
      </c>
      <c r="B9091" s="8" t="str">
        <f>"9789898111586"</f>
        <v>9789898111586</v>
      </c>
      <c r="C9091" s="8" t="s">
        <v>1553</v>
      </c>
    </row>
    <row r="9092" spans="1:3" x14ac:dyDescent="0.25">
      <c r="A9092" s="8" t="str">
        <f>"ICE-B 2009 - International Conference on e-Business, Proceedings"</f>
        <v>ICE-B 2009 - International Conference on e-Business, Proceedings</v>
      </c>
      <c r="B9092" s="8" t="str">
        <f>"9789896740061"</f>
        <v>9789896740061</v>
      </c>
      <c r="C9092" s="8" t="s">
        <v>1680</v>
      </c>
    </row>
    <row r="9093" spans="1:3" x14ac:dyDescent="0.25">
      <c r="A9093" s="8" t="str">
        <f>"ICE-B 2010 - Proceedings of the International Conference on e-Business"</f>
        <v>ICE-B 2010 - Proceedings of the International Conference on e-Business</v>
      </c>
      <c r="B9093" s="8" t="str">
        <f>"9789898425171"</f>
        <v>9789898425171</v>
      </c>
      <c r="C9093" s="8" t="s">
        <v>1197</v>
      </c>
    </row>
    <row r="9094" spans="1:3" x14ac:dyDescent="0.25">
      <c r="A9094" s="8" t="str">
        <f>"ICE-B 2011 - Proceedings of the International Conference on e-Business"</f>
        <v>ICE-B 2011 - Proceedings of the International Conference on e-Business</v>
      </c>
      <c r="B9094" s="8" t="str">
        <f>"9789898425706"</f>
        <v>9789898425706</v>
      </c>
      <c r="C9094" s="8" t="s">
        <v>1680</v>
      </c>
    </row>
    <row r="9095" spans="1:3" x14ac:dyDescent="0.25">
      <c r="A9095" s="8" t="str">
        <f>"ICE-B 2014 - Proceedings of the 11th International Conference on e-Business, Part of ICETE 2014 - 11th International Joint Conference on e-Business and Telecommunications"</f>
        <v>ICE-B 2014 - Proceedings of the 11th International Conference on e-Business, Part of ICETE 2014 - 11th International Joint Conference on e-Business and Telecommunications</v>
      </c>
      <c r="B9095" s="8" t="str">
        <f>"9789897580437"</f>
        <v>9789897580437</v>
      </c>
      <c r="C9095" s="8" t="s">
        <v>1197</v>
      </c>
    </row>
    <row r="9096" spans="1:3" x14ac:dyDescent="0.25">
      <c r="A9096" s="8" t="str">
        <f>"ICEC 2010 - Proceedings of the International Conference on Evolutionary Computation"</f>
        <v>ICEC 2010 - Proceedings of the International Conference on Evolutionary Computation</v>
      </c>
      <c r="B9096" s="8" t="str">
        <f>"9789898425317"</f>
        <v>9789898425317</v>
      </c>
      <c r="C9096" s="8" t="s">
        <v>105</v>
      </c>
    </row>
    <row r="9097" spans="1:3" x14ac:dyDescent="0.25">
      <c r="A9097" s="8" t="str">
        <f>"ICECE 2010 - 6th International Conference on Electrical and Computer Engineering"</f>
        <v>ICECE 2010 - 6th International Conference on Electrical and Computer Engineering</v>
      </c>
      <c r="B9097" s="8" t="str">
        <f>"9781424462797"</f>
        <v>9781424462797</v>
      </c>
      <c r="C9097" s="8" t="s">
        <v>9</v>
      </c>
    </row>
    <row r="9098" spans="1:3" x14ac:dyDescent="0.25">
      <c r="A9098" s="8" t="str">
        <f>"ICECom 2013 - Conference Proceedings: 21st International Conference on Applied Electromagnetics and Communications"</f>
        <v>ICECom 2013 - Conference Proceedings: 21st International Conference on Applied Electromagnetics and Communications</v>
      </c>
      <c r="B9098" s="8" t="str">
        <f>"9789536037667"</f>
        <v>9789536037667</v>
      </c>
      <c r="C9098" s="8" t="s">
        <v>9</v>
      </c>
    </row>
    <row r="9099" spans="1:3" x14ac:dyDescent="0.25">
      <c r="A9099" s="8" t="str">
        <f>"ICECT 2010 - Proceedings of the 2010 2nd International Conference on Electronic Computer Technology"</f>
        <v>ICECT 2010 - Proceedings of the 2010 2nd International Conference on Electronic Computer Technology</v>
      </c>
      <c r="B9099" s="8" t="str">
        <f>"9781424474059"</f>
        <v>9781424474059</v>
      </c>
      <c r="C9099" s="8" t="s">
        <v>9</v>
      </c>
    </row>
    <row r="9100" spans="1:3" x14ac:dyDescent="0.25">
      <c r="A9100" s="8" t="str">
        <f>"ICECT 2011 - 2011 3rd International Conference on Electronics Computer Technology"</f>
        <v>ICECT 2011 - 2011 3rd International Conference on Electronics Computer Technology</v>
      </c>
      <c r="B9100" s="8" t="str">
        <f>"9781424486779"</f>
        <v>9781424486779</v>
      </c>
      <c r="C9100" s="8" t="s">
        <v>9</v>
      </c>
    </row>
    <row r="9101" spans="1:3" x14ac:dyDescent="0.25">
      <c r="A9101" s="8" t="str">
        <f>"ICED 11 - 18th International Conference on Engineering Design - Impacting Society Through Engineering Design"</f>
        <v>ICED 11 - 18th International Conference on Engineering Design - Impacting Society Through Engineering Design</v>
      </c>
      <c r="B9101" s="8" t="str">
        <f>"-"</f>
        <v>-</v>
      </c>
      <c r="C9101" s="8" t="s">
        <v>1231</v>
      </c>
    </row>
    <row r="9102" spans="1:3" x14ac:dyDescent="0.25">
      <c r="A9102" s="8" t="str">
        <f>"ICEE 2009 - Proceeding 2009 3rd International Conference on Energy and Environment: Advancement Towards Global Sustainability"</f>
        <v>ICEE 2009 - Proceeding 2009 3rd International Conference on Energy and Environment: Advancement Towards Global Sustainability</v>
      </c>
      <c r="B9102" s="8" t="str">
        <f>"9781424451456"</f>
        <v>9781424451456</v>
      </c>
      <c r="C9102" s="8" t="s">
        <v>9</v>
      </c>
    </row>
    <row r="9103" spans="1:3" x14ac:dyDescent="0.25">
      <c r="A9103" s="8" t="str">
        <f>"ICEE 2012 - 20th Iranian Conference on Electrical Engineering"</f>
        <v>ICEE 2012 - 20th Iranian Conference on Electrical Engineering</v>
      </c>
      <c r="B9103" s="8" t="str">
        <f>"9781467311489"</f>
        <v>9781467311489</v>
      </c>
      <c r="C9103" s="8" t="s">
        <v>9</v>
      </c>
    </row>
    <row r="9104" spans="1:3" x14ac:dyDescent="0.25">
      <c r="A9104" s="8" t="str">
        <f>"ICEE 2015 - Proceedings of the 23rd Iranian Conference on Electrical Engineering"</f>
        <v>ICEE 2015 - Proceedings of the 23rd Iranian Conference on Electrical Engineering</v>
      </c>
      <c r="B9104" s="8" t="str">
        <f>"9781479919727"</f>
        <v>9781479919727</v>
      </c>
      <c r="C9104" s="8" t="s">
        <v>105</v>
      </c>
    </row>
    <row r="9105" spans="1:3" x14ac:dyDescent="0.25">
      <c r="A9105" s="8" t="str">
        <f>"ICEEA 2010 - 2010 International Conference on Environmental Engineering and Applications, Proceedings"</f>
        <v>ICEEA 2010 - 2010 International Conference on Environmental Engineering and Applications, Proceedings</v>
      </c>
      <c r="B9105" s="8" t="str">
        <f>"9781424486205"</f>
        <v>9781424486205</v>
      </c>
      <c r="C9105" s="8" t="s">
        <v>9</v>
      </c>
    </row>
    <row r="9106" spans="1:3" x14ac:dyDescent="0.25">
      <c r="A9106" s="8" t="str">
        <f>"ICEED 2012 - 2012 4th International Congress on Engineering Education - Improving Engineering Education: Towards Sustainable Development"</f>
        <v>ICEED 2012 - 2012 4th International Congress on Engineering Education - Improving Engineering Education: Towards Sustainable Development</v>
      </c>
      <c r="B9106" s="8" t="str">
        <f>"9781467348683"</f>
        <v>9781467348683</v>
      </c>
      <c r="C9106" s="8" t="s">
        <v>9</v>
      </c>
    </row>
    <row r="9107" spans="1:3" x14ac:dyDescent="0.25">
      <c r="A9107" s="8" t="str">
        <f>"ICEIE 2010 - 2010 International Conference on Electronics and Information Engineering, Proceedings"</f>
        <v>ICEIE 2010 - 2010 International Conference on Electronics and Information Engineering, Proceedings</v>
      </c>
      <c r="B9107" s="8" t="str">
        <f>"9781424476800"</f>
        <v>9781424476800</v>
      </c>
      <c r="C9107" s="8" t="s">
        <v>9</v>
      </c>
    </row>
    <row r="9108" spans="1:3" x14ac:dyDescent="0.25">
      <c r="A9108" s="8" t="str">
        <f>"ICEIS 2001 - Proceedings of the 3rd International Conference on Enterprise Information Systems"</f>
        <v>ICEIS 2001 - Proceedings of the 3rd International Conference on Enterprise Information Systems</v>
      </c>
      <c r="B9108" s="8" t="str">
        <f>"9789729805028"</f>
        <v>9789729805028</v>
      </c>
      <c r="C9108" s="8" t="s">
        <v>1880</v>
      </c>
    </row>
    <row r="9109" spans="1:3" x14ac:dyDescent="0.25">
      <c r="A9109" s="8" t="str">
        <f>"ICEIS 2002 - Proceedings of the 4th International Conference on Enterprise Information Systems"</f>
        <v>ICEIS 2002 - Proceedings of the 4th International Conference on Enterprise Information Systems</v>
      </c>
      <c r="B9109" s="8" t="str">
        <f>"-"</f>
        <v>-</v>
      </c>
      <c r="C9109" s="8" t="s">
        <v>1880</v>
      </c>
    </row>
    <row r="9110" spans="1:3" x14ac:dyDescent="0.25">
      <c r="A9110" s="8" t="str">
        <f>"ICEIS 2003 - Proceedings of the 5th International Conference on Enterprise Information Systems"</f>
        <v>ICEIS 2003 - Proceedings of the 5th International Conference on Enterprise Information Systems</v>
      </c>
      <c r="B9110" s="8" t="str">
        <f>"-"</f>
        <v>-</v>
      </c>
      <c r="C9110" s="8" t="s">
        <v>1881</v>
      </c>
    </row>
    <row r="9111" spans="1:3" x14ac:dyDescent="0.25">
      <c r="A9111" s="8" t="str">
        <f>"ICEIS 2004 - Proceedings of the Sixth International Conference on Enterprise Information Systems"</f>
        <v>ICEIS 2004 - Proceedings of the Sixth International Conference on Enterprise Information Systems</v>
      </c>
      <c r="B9111" s="8" t="str">
        <f>"9789728865009"</f>
        <v>9789728865009</v>
      </c>
      <c r="C9111" s="8" t="s">
        <v>1553</v>
      </c>
    </row>
    <row r="9112" spans="1:3" x14ac:dyDescent="0.25">
      <c r="A9112" s="8" t="str">
        <f>"ICEIS 2005 - Proceedings of the 7th International Conference on Enterprise Information Systems"</f>
        <v>ICEIS 2005 - Proceedings of the 7th International Conference on Enterprise Information Systems</v>
      </c>
      <c r="B9112" s="8" t="str">
        <f>"9789728865191"</f>
        <v>9789728865191</v>
      </c>
      <c r="C9112" s="8" t="s">
        <v>1529</v>
      </c>
    </row>
    <row r="9113" spans="1:3" x14ac:dyDescent="0.25">
      <c r="A9113" s="8" t="str">
        <f>"ICEIS 2006 - 8th International Conference on Enterprise Information Systems, Proceedings"</f>
        <v>ICEIS 2006 - 8th International Conference on Enterprise Information Systems, Proceedings</v>
      </c>
      <c r="B9113" s="8" t="str">
        <f>"-"</f>
        <v>-</v>
      </c>
      <c r="C9113" s="8" t="s">
        <v>1680</v>
      </c>
    </row>
    <row r="9114" spans="1:3" x14ac:dyDescent="0.25">
      <c r="A9114" s="8" t="str">
        <f>"ICEIS 2007 - 9th International Conference on Enterprise Information Systems, Proceedings"</f>
        <v>ICEIS 2007 - 9th International Conference on Enterprise Information Systems, Proceedings</v>
      </c>
      <c r="B9114" s="8" t="str">
        <f>"-"</f>
        <v>-</v>
      </c>
      <c r="C9114" s="8" t="s">
        <v>1680</v>
      </c>
    </row>
    <row r="9115" spans="1:3" x14ac:dyDescent="0.25">
      <c r="A9115" s="8" t="str">
        <f>"ICEIS 2008 - 10th International Conference on Enterprise Information Systems, Proceedings"</f>
        <v>ICEIS 2008 - 10th International Conference on Enterprise Information Systems, Proceedings</v>
      </c>
      <c r="B9115" s="8" t="str">
        <f>"9789898111395"</f>
        <v>9789898111395</v>
      </c>
      <c r="C9115" s="8" t="s">
        <v>1553</v>
      </c>
    </row>
    <row r="9116" spans="1:3" x14ac:dyDescent="0.25">
      <c r="A9116" s="8" t="str">
        <f>"ICEIS 2008 - Proceedings of the 10th International Conference on Enterprise Information Systems"</f>
        <v>ICEIS 2008 - Proceedings of the 10th International Conference on Enterprise Information Systems</v>
      </c>
      <c r="B9116" s="8" t="str">
        <f>"9789898111364"</f>
        <v>9789898111364</v>
      </c>
      <c r="C9116" s="8" t="s">
        <v>1553</v>
      </c>
    </row>
    <row r="9117" spans="1:3" x14ac:dyDescent="0.25">
      <c r="A9117" s="8" t="str">
        <f>"ICEIS 2008 - Proceedings of the 10th International Conference on Enterprise Information Systems"</f>
        <v>ICEIS 2008 - Proceedings of the 10th International Conference on Enterprise Information Systems</v>
      </c>
      <c r="B9117" s="8" t="str">
        <f>"9789898111371"</f>
        <v>9789898111371</v>
      </c>
      <c r="C9117" s="8" t="s">
        <v>1553</v>
      </c>
    </row>
    <row r="9118" spans="1:3" x14ac:dyDescent="0.25">
      <c r="A9118" s="8" t="str">
        <f>"ICEIS 2008 - Proceedings of the 10th International Conference on Enterprise Information Systems"</f>
        <v>ICEIS 2008 - Proceedings of the 10th International Conference on Enterprise Information Systems</v>
      </c>
      <c r="B9118" s="8" t="str">
        <f>"9789898111401"</f>
        <v>9789898111401</v>
      </c>
      <c r="C9118" s="8" t="s">
        <v>1553</v>
      </c>
    </row>
    <row r="9119" spans="1:3" x14ac:dyDescent="0.25">
      <c r="A9119" s="8" t="str">
        <f>"ICEIS 2008 - Proceedings of the 10th International Conference on Enterprise Information Systems"</f>
        <v>ICEIS 2008 - Proceedings of the 10th International Conference on Enterprise Information Systems</v>
      </c>
      <c r="B9119" s="8" t="str">
        <f>"9789898111388"</f>
        <v>9789898111388</v>
      </c>
      <c r="C9119" s="8" t="s">
        <v>1553</v>
      </c>
    </row>
    <row r="9120" spans="1:3" x14ac:dyDescent="0.25">
      <c r="A9120" s="8" t="str">
        <f>"ICEIS 2009 - 11th International Conference on Enterprise Information Systems, Proceedings"</f>
        <v>ICEIS 2009 - 11th International Conference on Enterprise Information Systems, Proceedings</v>
      </c>
      <c r="B9120" s="8" t="str">
        <f>"9789898111845"</f>
        <v>9789898111845</v>
      </c>
      <c r="C9120" s="8" t="s">
        <v>1680</v>
      </c>
    </row>
    <row r="9121" spans="1:3" x14ac:dyDescent="0.25">
      <c r="A9121" s="8" t="str">
        <f>"ICEIS 2010 - Proceedings of the 12th International Conference on Enterprise Information Systems"</f>
        <v>ICEIS 2010 - Proceedings of the 12th International Conference on Enterprise Information Systems</v>
      </c>
      <c r="B9121" s="8" t="str">
        <f>"-"</f>
        <v>-</v>
      </c>
      <c r="C9121" s="8" t="s">
        <v>1553</v>
      </c>
    </row>
    <row r="9122" spans="1:3" x14ac:dyDescent="0.25">
      <c r="A9122" s="8" t="str">
        <f>"ICEIS 2011 - Proceedings of the 13th International Conference on Enterprise Information Systems"</f>
        <v>ICEIS 2011 - Proceedings of the 13th International Conference on Enterprise Information Systems</v>
      </c>
      <c r="B9122" s="8" t="str">
        <f>"-"</f>
        <v>-</v>
      </c>
      <c r="C9122" s="8" t="s">
        <v>182</v>
      </c>
    </row>
    <row r="9123" spans="1:3" x14ac:dyDescent="0.25">
      <c r="A9123" s="8" t="str">
        <f>"ICEIS 2012 - Proceedings of the 14th International Conference on Enterprise Information Systems"</f>
        <v>ICEIS 2012 - Proceedings of the 14th International Conference on Enterprise Information Systems</v>
      </c>
      <c r="B9123" s="8" t="str">
        <f>"9789898565105"</f>
        <v>9789898565105</v>
      </c>
      <c r="C9123" s="8" t="s">
        <v>1882</v>
      </c>
    </row>
    <row r="9124" spans="1:3" x14ac:dyDescent="0.25">
      <c r="A9124" s="8" t="str">
        <f>"ICEIS 2013 - Proceedings of the 15th International Conference on Enterprise Information Systems"</f>
        <v>ICEIS 2013 - Proceedings of the 15th International Conference on Enterprise Information Systems</v>
      </c>
      <c r="B9124" s="8" t="str">
        <f>"-"</f>
        <v>-</v>
      </c>
      <c r="C9124" s="8" t="s">
        <v>1197</v>
      </c>
    </row>
    <row r="9125" spans="1:3" x14ac:dyDescent="0.25">
      <c r="A9125" s="8" t="str">
        <f>"ICEIS 2015 - 17th International Conference on Enterprise Information Systems, Proceedings"</f>
        <v>ICEIS 2015 - 17th International Conference on Enterprise Information Systems, Proceedings</v>
      </c>
      <c r="B9125" s="8" t="str">
        <f>"-"</f>
        <v>-</v>
      </c>
      <c r="C9125" s="8" t="s">
        <v>1197</v>
      </c>
    </row>
    <row r="9126" spans="1:3" x14ac:dyDescent="0.25">
      <c r="A9126" s="8" t="str">
        <f>"ICEIT 2010 - 2010 International Conference on Educational and Information Technology, Proceedings"</f>
        <v>ICEIT 2010 - 2010 International Conference on Educational and Information Technology, Proceedings</v>
      </c>
      <c r="B9126" s="8" t="str">
        <f>"9781424480340"</f>
        <v>9781424480340</v>
      </c>
      <c r="C9126" s="8" t="s">
        <v>9</v>
      </c>
    </row>
    <row r="9127" spans="1:3" x14ac:dyDescent="0.25">
      <c r="A9127" s="8" t="str">
        <f>"ICEMI 2009 - Proceedings of 9th International Conference on Electronic Measurement and Instruments"</f>
        <v>ICEMI 2009 - Proceedings of 9th International Conference on Electronic Measurement and Instruments</v>
      </c>
      <c r="B9127" s="8" t="str">
        <f>"9781424438624"</f>
        <v>9781424438624</v>
      </c>
      <c r="C9127" s="8" t="s">
        <v>9</v>
      </c>
    </row>
    <row r="9128" spans="1:3" x14ac:dyDescent="0.25">
      <c r="A9128" s="8" t="str">
        <f>"ICEMMS 2011 - Proceedings: 2011 2nd IEEE International Conference on Emergency Management and Management Sciences"</f>
        <v>ICEMMS 2011 - Proceedings: 2011 2nd IEEE International Conference on Emergency Management and Management Sciences</v>
      </c>
      <c r="B9128" s="8" t="str">
        <f>"9781424496631"</f>
        <v>9781424496631</v>
      </c>
      <c r="C9128" s="8" t="s">
        <v>9</v>
      </c>
    </row>
    <row r="9129" spans="1:3" x14ac:dyDescent="0.25">
      <c r="A9129" s="8" t="str">
        <f>"ICEMS 2001 - Proceedings of the 5th International Conference on Electrical Machines and Systems"</f>
        <v>ICEMS 2001 - Proceedings of the 5th International Conference on Electrical Machines and Systems</v>
      </c>
      <c r="B9129" s="8" t="str">
        <f>"-"</f>
        <v>-</v>
      </c>
      <c r="C9129" s="8" t="s">
        <v>105</v>
      </c>
    </row>
    <row r="9130" spans="1:3" x14ac:dyDescent="0.25">
      <c r="A9130" s="8" t="str">
        <f>"ICEMS 2005: Proceedings of the Eighth International Conference on Electrical Machines and Systems"</f>
        <v>ICEMS 2005: Proceedings of the Eighth International Conference on Electrical Machines and Systems</v>
      </c>
      <c r="B9130" s="8" t="str">
        <f>"9787506274074"</f>
        <v>9787506274074</v>
      </c>
      <c r="C9130" s="8" t="s">
        <v>9</v>
      </c>
    </row>
    <row r="9131" spans="1:3" x14ac:dyDescent="0.25">
      <c r="A9131" s="8" t="str">
        <f>"ICEMS 2012 - Proceedings: 15th International Conference on Electrical Machines and Systems"</f>
        <v>ICEMS 2012 - Proceedings: 15th International Conference on Electrical Machines and Systems</v>
      </c>
      <c r="B9131" s="8" t="str">
        <f>"9784886860774"</f>
        <v>9784886860774</v>
      </c>
      <c r="C9131" s="8" t="s">
        <v>9</v>
      </c>
    </row>
    <row r="9132" spans="1:3" x14ac:dyDescent="0.25">
      <c r="A9132" s="8" t="str">
        <f>"ICEMSI 2013 - 2013 International Conference on Engineering, Management Science and Innovation"</f>
        <v>ICEMSI 2013 - 2013 International Conference on Engineering, Management Science and Innovation</v>
      </c>
      <c r="B9132" s="8" t="str">
        <f>"9781479935574"</f>
        <v>9781479935574</v>
      </c>
      <c r="C9132" s="8" t="s">
        <v>105</v>
      </c>
    </row>
    <row r="9133" spans="1:3" x14ac:dyDescent="0.25">
      <c r="A9133" s="8" t="str">
        <f>"ICEMT 2010 - 2010 International Conference on Education and Management Technology, Proceedings"</f>
        <v>ICEMT 2010 - 2010 International Conference on Education and Management Technology, Proceedings</v>
      </c>
      <c r="B9133" s="8" t="str">
        <f>"9781424486175"</f>
        <v>9781424486175</v>
      </c>
      <c r="C9133" s="8" t="s">
        <v>9</v>
      </c>
    </row>
    <row r="9134" spans="1:3" x14ac:dyDescent="0.25">
      <c r="A9134" s="8" t="str">
        <f>"ICENCO'2010 - 2010 International Computer Engineering Conference: Expanding Information Society Frontiers"</f>
        <v>ICENCO'2010 - 2010 International Computer Engineering Conference: Expanding Information Society Frontiers</v>
      </c>
      <c r="B9134" s="8" t="str">
        <f>"9781612841830"</f>
        <v>9781612841830</v>
      </c>
      <c r="C9134" s="8" t="s">
        <v>9</v>
      </c>
    </row>
    <row r="9135" spans="1:3" x14ac:dyDescent="0.25">
      <c r="A9135" s="8" t="str">
        <f>"ICENCO'2011 - 2011 7th International Computer Engineering Conference: Today Information Society What's Next?"</f>
        <v>ICENCO'2011 - 2011 7th International Computer Engineering Conference: Today Information Society What's Next?</v>
      </c>
      <c r="B9135" s="8" t="str">
        <f>"9781467307291"</f>
        <v>9781467307291</v>
      </c>
      <c r="C9135" s="8" t="s">
        <v>9</v>
      </c>
    </row>
    <row r="9136" spans="1:3" x14ac:dyDescent="0.25">
      <c r="A9136" s="8" t="str">
        <f>"ICENT 2010 - 2010 International Conference on Educational and Network Technology"</f>
        <v>ICENT 2010 - 2010 International Conference on Educational and Network Technology</v>
      </c>
      <c r="B9136" s="8" t="str">
        <f>"9781424476619"</f>
        <v>9781424476619</v>
      </c>
      <c r="C9136" s="8" t="s">
        <v>9</v>
      </c>
    </row>
    <row r="9137" spans="1:3" x14ac:dyDescent="0.25">
      <c r="A9137" s="8" t="str">
        <f>"ICEOE 2011 - 2011 International Conference on Electronics and Optoelectronics, Proceedings"</f>
        <v>ICEOE 2011 - 2011 International Conference on Electronics and Optoelectronics, Proceedings</v>
      </c>
      <c r="B9137" s="8" t="str">
        <f>"9781612842738"</f>
        <v>9781612842738</v>
      </c>
      <c r="C9137" s="8" t="s">
        <v>9</v>
      </c>
    </row>
    <row r="9138" spans="1:3" x14ac:dyDescent="0.25">
      <c r="A9138" s="8" t="str">
        <f>"ICEP-IAAC 2015 - 2015 International Conference on Electronic Packaging and iMAPS All Asia Conference"</f>
        <v>ICEP-IAAC 2015 - 2015 International Conference on Electronic Packaging and iMAPS All Asia Conference</v>
      </c>
      <c r="B9138" s="8" t="str">
        <f>"9784904090138"</f>
        <v>9784904090138</v>
      </c>
      <c r="C9138" s="8" t="s">
        <v>105</v>
      </c>
    </row>
    <row r="9139" spans="1:3" x14ac:dyDescent="0.25">
      <c r="A9139" s="8" t="str">
        <f>"ICEPT 2003 - 5th International Conference on Electronic Packaging Technology, Proceedings"</f>
        <v>ICEPT 2003 - 5th International Conference on Electronic Packaging Technology, Proceedings</v>
      </c>
      <c r="B9139" s="8" t="str">
        <f>"9780780381681"</f>
        <v>9780780381681</v>
      </c>
      <c r="C9139" s="8" t="s">
        <v>105</v>
      </c>
    </row>
    <row r="9140" spans="1:3" x14ac:dyDescent="0.25">
      <c r="A9140" s="8" t="str">
        <f>"ICEPT-HDP 2011 Proceedings - 2011 International Conference on Electronic Packaging Technology and High Density Packaging"</f>
        <v>ICEPT-HDP 2011 Proceedings - 2011 International Conference on Electronic Packaging Technology and High Density Packaging</v>
      </c>
      <c r="B9140" s="8" t="str">
        <f>"9781457717680"</f>
        <v>9781457717680</v>
      </c>
      <c r="C9140" s="8" t="s">
        <v>9</v>
      </c>
    </row>
    <row r="9141" spans="1:3" x14ac:dyDescent="0.25">
      <c r="A9141" s="8" t="str">
        <f>"ICEPT-HDP 2012 Proceedings - 2012 13th International Conference on Electronic Packaging Technology and High Density Packaging"</f>
        <v>ICEPT-HDP 2012 Proceedings - 2012 13th International Conference on Electronic Packaging Technology and High Density Packaging</v>
      </c>
      <c r="B9141" s="8" t="str">
        <f>"9781467316804"</f>
        <v>9781467316804</v>
      </c>
      <c r="C9141" s="8" t="s">
        <v>9</v>
      </c>
    </row>
    <row r="9142" spans="1:3" x14ac:dyDescent="0.25">
      <c r="A9142" s="8" t="str">
        <f>"ICER 2006 - Proceedings of the 2nd International Computing Education Research Workshop"</f>
        <v>ICER 2006 - Proceedings of the 2nd International Computing Education Research Workshop</v>
      </c>
      <c r="B9142" s="8" t="str">
        <f>"-"</f>
        <v>-</v>
      </c>
      <c r="C9142" s="8" t="s">
        <v>21</v>
      </c>
    </row>
    <row r="9143" spans="1:3" x14ac:dyDescent="0.25">
      <c r="A9143" s="8" t="str">
        <f>"ICER 2013 - Proceedings of the 2013 ACM Conference on International Computing Education Research"</f>
        <v>ICER 2013 - Proceedings of the 2013 ACM Conference on International Computing Education Research</v>
      </c>
      <c r="B9143" s="8" t="str">
        <f>"9781450322430"</f>
        <v>9781450322430</v>
      </c>
      <c r="C9143" s="8" t="s">
        <v>21</v>
      </c>
    </row>
    <row r="9144" spans="1:3" x14ac:dyDescent="0.25">
      <c r="A9144" s="8" t="str">
        <f>"ICER'08 - Proceedings of the ACM Workshop on International Computing Education Research"</f>
        <v>ICER'08 - Proceedings of the ACM Workshop on International Computing Education Research</v>
      </c>
      <c r="B9144" s="8" t="str">
        <f>"9781605582160"</f>
        <v>9781605582160</v>
      </c>
      <c r="C9144" s="8" t="s">
        <v>21</v>
      </c>
    </row>
    <row r="9145" spans="1:3" x14ac:dyDescent="0.25">
      <c r="A9145" s="8" t="str">
        <f>"ICER'09 - Proceedings of the 2009 ACM Workshop on International Computing Education Research"</f>
        <v>ICER'09 - Proceedings of the 2009 ACM Workshop on International Computing Education Research</v>
      </c>
      <c r="B9145" s="8" t="str">
        <f>"9781605586151"</f>
        <v>9781605586151</v>
      </c>
      <c r="C9145" s="8" t="s">
        <v>21</v>
      </c>
    </row>
    <row r="9146" spans="1:3" x14ac:dyDescent="0.25">
      <c r="A9146" s="8" t="str">
        <f>"ICER'10 - Proceedings of the International Computing Education Research Workshop"</f>
        <v>ICER'10 - Proceedings of the International Computing Education Research Workshop</v>
      </c>
      <c r="B9146" s="8" t="str">
        <f>"9781450301466"</f>
        <v>9781450301466</v>
      </c>
      <c r="C9146" s="8" t="s">
        <v>21</v>
      </c>
    </row>
    <row r="9147" spans="1:3" x14ac:dyDescent="0.25">
      <c r="A9147" s="8" t="str">
        <f>"ICER'11 - Proceedings of the ACM SIGCSE 2011 International Computing Education Research Workshop"</f>
        <v>ICER'11 - Proceedings of the ACM SIGCSE 2011 International Computing Education Research Workshop</v>
      </c>
      <c r="B9147" s="8" t="str">
        <f>"9781450308298"</f>
        <v>9781450308298</v>
      </c>
      <c r="C9147" s="8" t="s">
        <v>21</v>
      </c>
    </row>
    <row r="9148" spans="1:3" x14ac:dyDescent="0.25">
      <c r="A9148" s="8" t="str">
        <f>"ICER'12 - Proceedings of the 9th Annual International Conference on International Computing Education Research"</f>
        <v>ICER'12 - Proceedings of the 9th Annual International Conference on International Computing Education Research</v>
      </c>
      <c r="B9148" s="8" t="str">
        <f>"9781450316040"</f>
        <v>9781450316040</v>
      </c>
      <c r="C9148" s="8" t="s">
        <v>21</v>
      </c>
    </row>
    <row r="9149" spans="1:3" x14ac:dyDescent="0.25">
      <c r="A9149" s="8" t="str">
        <f>"ICESS 2005 - Second International Conference on Embedded Software and Systems"</f>
        <v>ICESS 2005 - Second International Conference on Embedded Software and Systems</v>
      </c>
      <c r="B9149" s="8" t="str">
        <f>"-"</f>
        <v>-</v>
      </c>
      <c r="C9149" s="8" t="s">
        <v>9</v>
      </c>
    </row>
    <row r="9150" spans="1:3" x14ac:dyDescent="0.25">
      <c r="A9150" s="8" t="str">
        <f>"ICET 2013 - 2013 IEEE 9th International Conference on Emerging Technologies"</f>
        <v>ICET 2013 - 2013 IEEE 9th International Conference on Emerging Technologies</v>
      </c>
      <c r="B9150" s="8" t="str">
        <f>"9781479934560"</f>
        <v>9781479934560</v>
      </c>
      <c r="C9150" s="8" t="s">
        <v>9</v>
      </c>
    </row>
    <row r="9151" spans="1:3" x14ac:dyDescent="0.25">
      <c r="A9151" s="8" t="str">
        <f>"ICET 2014 - 2nd International Conference on Engineering and Technology"</f>
        <v>ICET 2014 - 2nd International Conference on Engineering and Technology</v>
      </c>
      <c r="B9151" s="8" t="str">
        <f>"9781479958078"</f>
        <v>9781479958078</v>
      </c>
      <c r="C9151" s="8" t="s">
        <v>105</v>
      </c>
    </row>
    <row r="9152" spans="1:3" x14ac:dyDescent="0.25">
      <c r="A9152" s="8" t="str">
        <f>"ICETA 2011 - 9th IEEE International Conference on Emerging eLearning Technologies and Applications, Proceedings"</f>
        <v>ICETA 2011 - 9th IEEE International Conference on Emerging eLearning Technologies and Applications, Proceedings</v>
      </c>
      <c r="B9152" s="8" t="str">
        <f>"9781457700521"</f>
        <v>9781457700521</v>
      </c>
      <c r="C9152" s="8" t="s">
        <v>9</v>
      </c>
    </row>
    <row r="9153" spans="1:3" x14ac:dyDescent="0.25">
      <c r="A9153" s="8" t="str">
        <f>"ICETA 2012 - 10th IEEE International Conference on Emerging eLearning Technologies and Applications, Proceedings"</f>
        <v>ICETA 2012 - 10th IEEE International Conference on Emerging eLearning Technologies and Applications, Proceedings</v>
      </c>
      <c r="B9153" s="8" t="str">
        <f>"9781467351225"</f>
        <v>9781467351225</v>
      </c>
      <c r="C9153" s="8" t="s">
        <v>9</v>
      </c>
    </row>
    <row r="9154" spans="1:3" x14ac:dyDescent="0.25">
      <c r="A9154" s="8" t="str">
        <f>"ICETA 2013 - 11th IEEE International Conference on Emerging eLearning Technologies and Applications, Proceedings"</f>
        <v>ICETA 2013 - 11th IEEE International Conference on Emerging eLearning Technologies and Applications, Proceedings</v>
      </c>
      <c r="B9154" s="8" t="str">
        <f>"9781479921621"</f>
        <v>9781479921621</v>
      </c>
      <c r="C9154" s="8" t="s">
        <v>9</v>
      </c>
    </row>
    <row r="9155" spans="1:3" x14ac:dyDescent="0.25">
      <c r="A9155" s="8" t="str">
        <f>"ICETC 2010 - 2010 2nd International Conference on Education Technology and Computer"</f>
        <v>ICETC 2010 - 2010 2nd International Conference on Education Technology and Computer</v>
      </c>
      <c r="B9155" s="8" t="str">
        <f>"9781424463688"</f>
        <v>9781424463688</v>
      </c>
      <c r="C9155" s="8" t="s">
        <v>9</v>
      </c>
    </row>
    <row r="9156" spans="1:3" x14ac:dyDescent="0.25">
      <c r="A9156" s="8" t="str">
        <f>"ICETE 2006 - International Joint Conference on e-Business and Telecommunications"</f>
        <v>ICETE 2006 - International Joint Conference on e-Business and Telecommunications</v>
      </c>
      <c r="B9156" s="8" t="str">
        <f>"-"</f>
        <v>-</v>
      </c>
      <c r="C9156" s="8" t="s">
        <v>1680</v>
      </c>
    </row>
    <row r="9157" spans="1:3" x14ac:dyDescent="0.25">
      <c r="A9157" s="8" t="str">
        <f>"ICETE 2009 - International Joint Conference on e-Business and Telecommunications"</f>
        <v>ICETE 2009 - International Joint Conference on e-Business and Telecommunications</v>
      </c>
      <c r="B9157" s="8" t="str">
        <f>"-"</f>
        <v>-</v>
      </c>
      <c r="C9157" s="8" t="s">
        <v>1553</v>
      </c>
    </row>
    <row r="9158" spans="1:3" x14ac:dyDescent="0.25">
      <c r="A9158" s="8" t="str">
        <f>"ICETE 2013 - 10th Int. Joint Conf. on E-Business and Telecommunications; 4th Int. Conf. DCNET 2013, - 10th Int. Conf. on ICE-B 2013 and OPTICS 2013 - 4th Int. Conf. on Optical Communication Systems"</f>
        <v>ICETE 2013 - 10th Int. Joint Conf. on E-Business and Telecommunications; 4th Int. Conf. DCNET 2013, - 10th Int. Conf. on ICE-B 2013 and OPTICS 2013 - 4th Int. Conf. on Optical Communication Systems</v>
      </c>
      <c r="B9158" s="8" t="str">
        <f>"9789898565723"</f>
        <v>9789898565723</v>
      </c>
      <c r="C9158" s="8" t="s">
        <v>1197</v>
      </c>
    </row>
    <row r="9159" spans="1:3" x14ac:dyDescent="0.25">
      <c r="A9159" s="8" t="str">
        <f>"ICETE 2013 - 10th International Joint Conference on E-Business and Telecommunications; SECRYPT 2013 - 10th International Conference on Security and Cryptography, Proceedings"</f>
        <v>ICETE 2013 - 10th International Joint Conference on E-Business and Telecommunications; SECRYPT 2013 - 10th International Conference on Security and Cryptography, Proceedings</v>
      </c>
      <c r="B9159" s="8" t="str">
        <f>"9789898565730"</f>
        <v>9789898565730</v>
      </c>
      <c r="C9159" s="8" t="s">
        <v>1197</v>
      </c>
    </row>
    <row r="9160" spans="1:3" x14ac:dyDescent="0.25">
      <c r="A9160" s="8" t="str">
        <f>"ICFA Mini-Workshop on Beam-Beam Effects in Hadron Colliders, BB 2013 - Proceedings"</f>
        <v>ICFA Mini-Workshop on Beam-Beam Effects in Hadron Colliders, BB 2013 - Proceedings</v>
      </c>
      <c r="B9160" s="8" t="str">
        <f>"9789290834045"</f>
        <v>9789290834045</v>
      </c>
      <c r="C9160" s="8" t="s">
        <v>1341</v>
      </c>
    </row>
    <row r="9161" spans="1:3" x14ac:dyDescent="0.25">
      <c r="A9161" s="8" t="str">
        <f>"ICFC 2010 ICNC 2010 - Proceedings of the International Conference on Fuzzy Computation and International Conference on Neural Computation"</f>
        <v>ICFC 2010 ICNC 2010 - Proceedings of the International Conference on Fuzzy Computation and International Conference on Neural Computation</v>
      </c>
      <c r="B9161" s="8" t="str">
        <f>"9789898425324"</f>
        <v>9789898425324</v>
      </c>
      <c r="C9161" s="8" t="s">
        <v>1197</v>
      </c>
    </row>
    <row r="9162" spans="1:3" x14ac:dyDescent="0.25">
      <c r="A9162" s="8" t="str">
        <f>"ICFEM 2000 - 3rd IEEE International Conference on Formal Engineering Methods"</f>
        <v>ICFEM 2000 - 3rd IEEE International Conference on Formal Engineering Methods</v>
      </c>
      <c r="B9162" s="8" t="str">
        <f>"9780769508221"</f>
        <v>9780769508221</v>
      </c>
      <c r="C9162" s="8" t="s">
        <v>105</v>
      </c>
    </row>
    <row r="9163" spans="1:3" x14ac:dyDescent="0.25">
      <c r="A9163" s="8" t="str">
        <f>"ICFPT 2007 - International Conference on Field Programmable Technology"</f>
        <v>ICFPT 2007 - International Conference on Field Programmable Technology</v>
      </c>
      <c r="B9163" s="8" t="str">
        <f>"9781424414727"</f>
        <v>9781424414727</v>
      </c>
      <c r="C9163" s="8" t="s">
        <v>9</v>
      </c>
    </row>
    <row r="9164" spans="1:3" x14ac:dyDescent="0.25">
      <c r="A9164" s="8" t="str">
        <f>"ICHIM05 - International Cultural Heritage Informatics Meeting, Proceedings"</f>
        <v>ICHIM05 - International Cultural Heritage Informatics Meeting, Proceedings</v>
      </c>
      <c r="B9164" s="8" t="str">
        <f>"9781885626325"</f>
        <v>9781885626325</v>
      </c>
      <c r="C9164" s="8" t="s">
        <v>1883</v>
      </c>
    </row>
    <row r="9165" spans="1:3" x14ac:dyDescent="0.25">
      <c r="A9165" s="8" t="str">
        <f>"ICHIM07 - International Cultural Heritage Informatics Meeting, Proceedings"</f>
        <v>ICHIM07 - International Cultural Heritage Informatics Meeting, Proceedings</v>
      </c>
      <c r="B9165" s="8" t="str">
        <f>"-"</f>
        <v>-</v>
      </c>
      <c r="C9165" s="8" t="s">
        <v>1883</v>
      </c>
    </row>
    <row r="9166" spans="1:3" x14ac:dyDescent="0.25">
      <c r="A9166" s="8" t="str">
        <f>"ICHQP 2008: 13th International Conference on Harmonics and Quality of Power"</f>
        <v>ICHQP 2008: 13th International Conference on Harmonics and Quality of Power</v>
      </c>
      <c r="B9166" s="8" t="str">
        <f>"9781424417704"</f>
        <v>9781424417704</v>
      </c>
      <c r="C9166" s="8" t="s">
        <v>9</v>
      </c>
    </row>
    <row r="9167" spans="1:3" x14ac:dyDescent="0.25">
      <c r="A9167" s="8" t="str">
        <f>"ICHQP 2010 - 14th International Conference on Harmonics and Quality of Power"</f>
        <v>ICHQP 2010 - 14th International Conference on Harmonics and Quality of Power</v>
      </c>
      <c r="B9167" s="8" t="str">
        <f>"9781424472444"</f>
        <v>9781424472444</v>
      </c>
      <c r="C9167" s="8" t="s">
        <v>9</v>
      </c>
    </row>
    <row r="9168" spans="1:3" x14ac:dyDescent="0.25">
      <c r="A9168" s="8" t="str">
        <f>"ICHVE 2012 - 2012 International Conference on High Voltage Engineering and Application"</f>
        <v>ICHVE 2012 - 2012 International Conference on High Voltage Engineering and Application</v>
      </c>
      <c r="B9168" s="8" t="str">
        <f>"9781467347464"</f>
        <v>9781467347464</v>
      </c>
      <c r="C9168" s="8" t="s">
        <v>9</v>
      </c>
    </row>
    <row r="9169" spans="1:3" x14ac:dyDescent="0.25">
      <c r="A9169" s="8" t="str">
        <f>"ICHVE 2014 - 2014 International Conference on High Voltage Engineering and Application"</f>
        <v>ICHVE 2014 - 2014 International Conference on High Voltage Engineering and Application</v>
      </c>
      <c r="B9169" s="8" t="str">
        <f>"9781479966134"</f>
        <v>9781479966134</v>
      </c>
      <c r="C9169" s="8" t="s">
        <v>105</v>
      </c>
    </row>
    <row r="9170" spans="1:3" x14ac:dyDescent="0.25">
      <c r="A9170" s="8" t="str">
        <f>"ICIA 2005 - Proceedings of 2005 International Conference on Information Acquisition"</f>
        <v>ICIA 2005 - Proceedings of 2005 International Conference on Information Acquisition</v>
      </c>
      <c r="B9170" s="8" t="str">
        <f>"-"</f>
        <v>-</v>
      </c>
      <c r="C9170" s="8" t="s">
        <v>9</v>
      </c>
    </row>
    <row r="9171" spans="1:3" x14ac:dyDescent="0.25">
      <c r="A9171" s="8" t="str">
        <f>"ICIAFS 2012 - Proceedings: 2012 IEEE 6th International Conference on Information and Automation for Sustainability"</f>
        <v>ICIAFS 2012 - Proceedings: 2012 IEEE 6th International Conference on Information and Automation for Sustainability</v>
      </c>
      <c r="B9171" s="8" t="str">
        <f>"9781467319737"</f>
        <v>9781467319737</v>
      </c>
      <c r="C9171" s="8" t="s">
        <v>9</v>
      </c>
    </row>
    <row r="9172" spans="1:3" x14ac:dyDescent="0.25">
      <c r="A9172" s="8" t="str">
        <f>"ICIAS 2012 - 2012 4th International Conference on Intelligent and Advanced Systems: A Conference of World Engineering, Science and Technology Congress (ESTCON) - Conference Proceedings"</f>
        <v>ICIAS 2012 - 2012 4th International Conference on Intelligent and Advanced Systems: A Conference of World Engineering, Science and Technology Congress (ESTCON) - Conference Proceedings</v>
      </c>
      <c r="B9172" s="8" t="str">
        <f>"9781457719677"</f>
        <v>9781457719677</v>
      </c>
      <c r="C9172" s="8" t="s">
        <v>9</v>
      </c>
    </row>
    <row r="9173" spans="1:3" x14ac:dyDescent="0.25">
      <c r="A9173" s="8" t="str">
        <f>"ICIC 2010 - 3rd International Conference on Information and Computing"</f>
        <v>ICIC 2010 - 3rd International Conference on Information and Computing</v>
      </c>
      <c r="B9173" s="8" t="str">
        <f>"9780769540474"</f>
        <v>9780769540474</v>
      </c>
      <c r="C9173" s="8" t="s">
        <v>9</v>
      </c>
    </row>
    <row r="9174" spans="1:3" x14ac:dyDescent="0.25">
      <c r="A9174" s="8" t="str">
        <f>"ICICDT 2012 - IEEE International Conference on Integrated Circuit Design and Technology"</f>
        <v>ICICDT 2012 - IEEE International Conference on Integrated Circuit Design and Technology</v>
      </c>
      <c r="B9174" s="8" t="str">
        <f>"9781467301466"</f>
        <v>9781467301466</v>
      </c>
      <c r="C9174" s="8" t="s">
        <v>9</v>
      </c>
    </row>
    <row r="9175" spans="1:3" x14ac:dyDescent="0.25">
      <c r="A9175" s="8" t="str">
        <f>"ICICDT 2013 - International Conference on IC Design and Technology, Proceedings"</f>
        <v>ICICDT 2013 - International Conference on IC Design and Technology, Proceedings</v>
      </c>
      <c r="B9175" s="8" t="str">
        <f>"9781467347419"</f>
        <v>9781467347419</v>
      </c>
      <c r="C9175" s="8" t="s">
        <v>9</v>
      </c>
    </row>
    <row r="9176" spans="1:3" x14ac:dyDescent="0.25">
      <c r="A9176" s="8" t="str">
        <f>"ICICIP 2012 - 2012 3rd International Conference on Intelligent Control and Information Processing"</f>
        <v>ICICIP 2012 - 2012 3rd International Conference on Intelligent Control and Information Processing</v>
      </c>
      <c r="B9176" s="8" t="str">
        <f>"9781457721427"</f>
        <v>9781457721427</v>
      </c>
      <c r="C9176" s="8" t="s">
        <v>9</v>
      </c>
    </row>
    <row r="9177" spans="1:3" x14ac:dyDescent="0.25">
      <c r="A9177" s="8" t="str">
        <f>"ICICS 2009 - Conference Proceedings of the 7th International Conference on Information, Communications and Signal Processing"</f>
        <v>ICICS 2009 - Conference Proceedings of the 7th International Conference on Information, Communications and Signal Processing</v>
      </c>
      <c r="B9177" s="8" t="str">
        <f>"9781424446575"</f>
        <v>9781424446575</v>
      </c>
      <c r="C9177" s="8" t="s">
        <v>9</v>
      </c>
    </row>
    <row r="9178" spans="1:3" x14ac:dyDescent="0.25">
      <c r="A9178" s="8" t="str">
        <f>"ICICS 2011 - 8th International Conference on Information, Communications and Signal Processing"</f>
        <v>ICICS 2011 - 8th International Conference on Information, Communications and Signal Processing</v>
      </c>
      <c r="B9178" s="8" t="str">
        <f>"9781457700309"</f>
        <v>9781457700309</v>
      </c>
      <c r="C9178" s="8" t="s">
        <v>9</v>
      </c>
    </row>
    <row r="9179" spans="1:3" x14ac:dyDescent="0.25">
      <c r="A9179" s="8" t="str">
        <f>"ICICS 2013 - Conference Guide of the 9th International Conference on Information, Communications and Signal Processing"</f>
        <v>ICICS 2013 - Conference Guide of the 9th International Conference on Information, Communications and Signal Processing</v>
      </c>
      <c r="B9179" s="8" t="str">
        <f>"9781479904341"</f>
        <v>9781479904341</v>
      </c>
      <c r="C9179" s="8" t="s">
        <v>9</v>
      </c>
    </row>
    <row r="9180" spans="1:3" x14ac:dyDescent="0.25">
      <c r="A9180" s="8" t="str">
        <f>"ICICS-PCM 2003 - Proceedings of the 2003 Joint Conference of the 4th International Conference on Information, Communications and Signal Processing and 4th Pacific-Rim Conference on Multimedia"</f>
        <v>ICICS-PCM 2003 - Proceedings of the 2003 Joint Conference of the 4th International Conference on Information, Communications and Signal Processing and 4th Pacific-Rim Conference on Multimedia</v>
      </c>
      <c r="B9180" s="8" t="str">
        <f>"-"</f>
        <v>-</v>
      </c>
      <c r="C9180" s="8" t="s">
        <v>105</v>
      </c>
    </row>
    <row r="9181" spans="1:3" x14ac:dyDescent="0.25">
      <c r="A9181" s="8" t="str">
        <f>"ICICT 2007: Proceedings of International Conference on Information and Communication Technology"</f>
        <v>ICICT 2007: Proceedings of International Conference on Information and Communication Technology</v>
      </c>
      <c r="B9181" s="8" t="str">
        <f>"9789843233943"</f>
        <v>9789843233943</v>
      </c>
      <c r="C9181" s="8" t="s">
        <v>9</v>
      </c>
    </row>
    <row r="9182" spans="1:3" x14ac:dyDescent="0.25">
      <c r="A9182" s="8" t="str">
        <f>"ICICT 2011 - Proceedings of the 4th International Conference on Information and Communication Technologies"</f>
        <v>ICICT 2011 - Proceedings of the 4th International Conference on Information and Communication Technologies</v>
      </c>
      <c r="B9182" s="8" t="str">
        <f>"9781457715532"</f>
        <v>9781457715532</v>
      </c>
      <c r="C9182" s="8" t="s">
        <v>9</v>
      </c>
    </row>
    <row r="9183" spans="1:3" x14ac:dyDescent="0.25">
      <c r="A9183" s="8" t="str">
        <f>"ICICT 2013 - Proceedings of the 2013 5th International Conference on Information and Communication Technologies: Using Technology to Create a Better World"</f>
        <v>ICICT 2013 - Proceedings of the 2013 5th International Conference on Information and Communication Technologies: Using Technology to Create a Better World</v>
      </c>
      <c r="B9183" s="8" t="str">
        <f>"9781479926220"</f>
        <v>9781479926220</v>
      </c>
      <c r="C9183" s="8" t="s">
        <v>9</v>
      </c>
    </row>
    <row r="9184" spans="1:3" x14ac:dyDescent="0.25">
      <c r="A9184" s="8" t="str">
        <f>"ICIEA 2007: 2007 Second IEEE Conference on Industrial Electronics and Applications"</f>
        <v>ICIEA 2007: 2007 Second IEEE Conference on Industrial Electronics and Applications</v>
      </c>
      <c r="B9184" s="8" t="str">
        <f>"9781424407378"</f>
        <v>9781424407378</v>
      </c>
      <c r="C9184" s="8" t="s">
        <v>9</v>
      </c>
    </row>
    <row r="9185" spans="1:3" x14ac:dyDescent="0.25">
      <c r="A9185" s="8" t="str">
        <f>"ICIECA 2005: International Conference on Industrial Electronics and Control Applications 2005"</f>
        <v>ICIECA 2005: International Conference on Industrial Electronics and Control Applications 2005</v>
      </c>
      <c r="B9185" s="8" t="str">
        <f>"-"</f>
        <v>-</v>
      </c>
      <c r="C9185" s="8" t="s">
        <v>9</v>
      </c>
    </row>
    <row r="9186" spans="1:3" x14ac:dyDescent="0.25">
      <c r="A9186" s="8" t="str">
        <f>"ICIIP 2011 - Proceedings: 2011 International Conference on Image Information Processing"</f>
        <v>ICIIP 2011 - Proceedings: 2011 International Conference on Image Information Processing</v>
      </c>
      <c r="B9186" s="8" t="str">
        <f>"9781612848617"</f>
        <v>9781612848617</v>
      </c>
      <c r="C9186" s="8" t="s">
        <v>9</v>
      </c>
    </row>
    <row r="9187" spans="1:3" x14ac:dyDescent="0.25">
      <c r="A9187" s="8" t="str">
        <f>"ICIIS 2007 - 2nd International Conference on Industrial and Information Systems 2007, Conference Proceedings"</f>
        <v>ICIIS 2007 - 2nd International Conference on Industrial and Information Systems 2007, Conference Proceedings</v>
      </c>
      <c r="B9187" s="8" t="str">
        <f>"9781424411528"</f>
        <v>9781424411528</v>
      </c>
      <c r="C9187" s="8" t="s">
        <v>9</v>
      </c>
    </row>
    <row r="9188" spans="1:3" x14ac:dyDescent="0.25">
      <c r="A9188" s="8" t="str">
        <f>"ICIIS 2009 - 4th International Conference on Industrial and Information Systems 2009, Conference Proceedings"</f>
        <v>ICIIS 2009 - 4th International Conference on Industrial and Information Systems 2009, Conference Proceedings</v>
      </c>
      <c r="B9188" s="8" t="str">
        <f>"9781424448371"</f>
        <v>9781424448371</v>
      </c>
      <c r="C9188" s="8" t="s">
        <v>9</v>
      </c>
    </row>
    <row r="9189" spans="1:3" x14ac:dyDescent="0.25">
      <c r="A9189" s="8" t="str">
        <f>"ICIM 2009 - 2009 International Conference on Innovation Management"</f>
        <v>ICIM 2009 - 2009 International Conference on Innovation Management</v>
      </c>
      <c r="B9189" s="8" t="str">
        <f>"9780769539119"</f>
        <v>9780769539119</v>
      </c>
      <c r="C9189" s="8" t="s">
        <v>9</v>
      </c>
    </row>
    <row r="9190" spans="1:3" x14ac:dyDescent="0.25">
      <c r="A9190" s="8" t="str">
        <f>"ICIMA 2010 - 2010 2nd International Conference on Industrial Mechatronics and Automation"</f>
        <v>ICIMA 2010 - 2010 2nd International Conference on Industrial Mechatronics and Automation</v>
      </c>
      <c r="B9190" s="8" t="str">
        <f>"9781424476541"</f>
        <v>9781424476541</v>
      </c>
      <c r="C9190" s="8" t="s">
        <v>9</v>
      </c>
    </row>
    <row r="9191" spans="1:3" x14ac:dyDescent="0.25">
      <c r="A9191" s="8" t="str">
        <f>"ICIME 2010 - 2010 2nd IEEE International Conference on Information Management and Engineering"</f>
        <v>ICIME 2010 - 2010 2nd IEEE International Conference on Information Management and Engineering</v>
      </c>
      <c r="B9191" s="8" t="str">
        <f>"9781424452644"</f>
        <v>9781424452644</v>
      </c>
      <c r="C9191" s="8" t="s">
        <v>9</v>
      </c>
    </row>
    <row r="9192" spans="1:3" x14ac:dyDescent="0.25">
      <c r="A9192" s="8" t="str">
        <f>"ICIMTR 2012 - 2012 International Conference on Innovation, Management and Technology Research"</f>
        <v>ICIMTR 2012 - 2012 International Conference on Innovation, Management and Technology Research</v>
      </c>
      <c r="B9192" s="8" t="str">
        <f>"9781467306553"</f>
        <v>9781467306553</v>
      </c>
      <c r="C9192" s="8" t="s">
        <v>9</v>
      </c>
    </row>
    <row r="9193" spans="1:3" x14ac:dyDescent="0.25">
      <c r="A9193" s="8" t="str">
        <f>"ICINA 2010 - 2010 International Conference on Information, Networking and Automation, Proceedings"</f>
        <v>ICINA 2010 - 2010 International Conference on Information, Networking and Automation, Proceedings</v>
      </c>
      <c r="B9193" s="8" t="str">
        <f>"9781424481057"</f>
        <v>9781424481057</v>
      </c>
      <c r="C9193" s="8" t="s">
        <v>9</v>
      </c>
    </row>
    <row r="9194" spans="1:3" x14ac:dyDescent="0.25">
      <c r="A9194" s="8" t="str">
        <f>"ICINCO 2006 - 3rd International Conference on Informatics in Control, Automation and Robotics, Proceedings"</f>
        <v>ICINCO 2006 - 3rd International Conference on Informatics in Control, Automation and Robotics, Proceedings</v>
      </c>
      <c r="B9194" s="8" t="str">
        <f>"-"</f>
        <v>-</v>
      </c>
      <c r="C9194" s="8" t="s">
        <v>1680</v>
      </c>
    </row>
    <row r="9195" spans="1:3" x14ac:dyDescent="0.25">
      <c r="A9195" s="8" t="str">
        <f>"ICINCO 2007 - 4th International Conference on Informatics in Control, Automation and Robotics, Proceedings"</f>
        <v>ICINCO 2007 - 4th International Conference on Informatics in Control, Automation and Robotics, Proceedings</v>
      </c>
      <c r="B9195" s="8" t="str">
        <f>"-"</f>
        <v>-</v>
      </c>
      <c r="C9195" s="8" t="s">
        <v>1680</v>
      </c>
    </row>
    <row r="9196" spans="1:3" x14ac:dyDescent="0.25">
      <c r="A9196" s="8" t="str">
        <f>"ICINCO 2008 - 5th International Conference on Informatics in Control, Automation and Robotics, Proceedings"</f>
        <v>ICINCO 2008 - 5th International Conference on Informatics in Control, Automation and Robotics, Proceedings</v>
      </c>
      <c r="B9196" s="8" t="str">
        <f>"9789898111326"</f>
        <v>9789898111326</v>
      </c>
      <c r="C9196" s="8" t="s">
        <v>1553</v>
      </c>
    </row>
    <row r="9197" spans="1:3" x14ac:dyDescent="0.25">
      <c r="A9197" s="8" t="str">
        <f>"ICINCO 2009 - 6th International Conference on Informatics in Control, Automation and Robotics, Proceedings"</f>
        <v>ICINCO 2009 - 6th International Conference on Informatics in Control, Automation and Robotics, Proceedings</v>
      </c>
      <c r="B9197" s="8" t="str">
        <f>"9789898111999"</f>
        <v>9789898111999</v>
      </c>
      <c r="C9197" s="8" t="s">
        <v>1680</v>
      </c>
    </row>
    <row r="9198" spans="1:3" x14ac:dyDescent="0.25">
      <c r="A9198" s="8" t="str">
        <f>"ICINCO 2010 - Proceedings of the 7th International Conference on Informatics in Control, Automation and Robotics"</f>
        <v>ICINCO 2010 - Proceedings of the 7th International Conference on Informatics in Control, Automation and Robotics</v>
      </c>
      <c r="B9198" s="8" t="str">
        <f>"-"</f>
        <v>-</v>
      </c>
      <c r="C9198" s="8" t="s">
        <v>1680</v>
      </c>
    </row>
    <row r="9199" spans="1:3" x14ac:dyDescent="0.25">
      <c r="A9199" s="8" t="str">
        <f>"ICINCO 2011 - Proceedings of the 8th International Conference on Informatics in Control, Automation and Robotics"</f>
        <v>ICINCO 2011 - Proceedings of the 8th International Conference on Informatics in Control, Automation and Robotics</v>
      </c>
      <c r="B9199" s="8" t="str">
        <f>"-"</f>
        <v>-</v>
      </c>
      <c r="C9199" s="8" t="s">
        <v>1680</v>
      </c>
    </row>
    <row r="9200" spans="1:3" x14ac:dyDescent="0.25">
      <c r="A9200" s="8" t="str">
        <f>"ICINCO 2012 - Proceedings of the 9th International Conference on Informatics in Control, Automation and Robotics"</f>
        <v>ICINCO 2012 - Proceedings of the 9th International Conference on Informatics in Control, Automation and Robotics</v>
      </c>
      <c r="B9200" s="8" t="str">
        <f>"9789898565211"</f>
        <v>9789898565211</v>
      </c>
      <c r="C9200" s="8" t="s">
        <v>1197</v>
      </c>
    </row>
    <row r="9201" spans="1:3" x14ac:dyDescent="0.25">
      <c r="A9201" s="8" t="str">
        <f>"ICINCO 2013 - Proceedings of the 10th International Conference on Informatics in Control, Automation and Robotics"</f>
        <v>ICINCO 2013 - Proceedings of the 10th International Conference on Informatics in Control, Automation and Robotics</v>
      </c>
      <c r="B9201" s="8" t="str">
        <f>"-"</f>
        <v>-</v>
      </c>
      <c r="C9201" s="8" t="s">
        <v>1197</v>
      </c>
    </row>
    <row r="9202" spans="1:3" x14ac:dyDescent="0.25">
      <c r="A9202" s="8" t="str">
        <f>"ICINCO 2014 - Proceedings of the 11th International Conference on Informatics in Control, Automation and Robotics"</f>
        <v>ICINCO 2014 - Proceedings of the 11th International Conference on Informatics in Control, Automation and Robotics</v>
      </c>
      <c r="B9202" s="8" t="str">
        <f>"-"</f>
        <v>-</v>
      </c>
      <c r="C9202" s="8" t="s">
        <v>1197</v>
      </c>
    </row>
    <row r="9203" spans="1:3" x14ac:dyDescent="0.25">
      <c r="A9203" s="8" t="str">
        <f>"ICINCO 2015 - 12th International Conference on Informatics in Control, Automation and Robotics, Proceedings"</f>
        <v>ICINCO 2015 - 12th International Conference on Informatics in Control, Automation and Robotics, Proceedings</v>
      </c>
      <c r="B9203" s="8" t="str">
        <f>"-"</f>
        <v>-</v>
      </c>
      <c r="C9203" s="8" t="s">
        <v>1197</v>
      </c>
    </row>
    <row r="9204" spans="1:3" x14ac:dyDescent="0.25">
      <c r="A9204" s="8" t="str">
        <f>"ICINIS 2009 - Proceedings of the 2nd International Conference on Intelligent Networks and Intelligent Systems"</f>
        <v>ICINIS 2009 - Proceedings of the 2nd International Conference on Intelligent Networks and Intelligent Systems</v>
      </c>
      <c r="B9204" s="8" t="str">
        <f>"9780769538525"</f>
        <v>9780769538525</v>
      </c>
      <c r="C9204" s="8" t="s">
        <v>9</v>
      </c>
    </row>
    <row r="9205" spans="1:3" x14ac:dyDescent="0.25">
      <c r="A9205" s="8" t="str">
        <f>"ICIQ 2011 - Proceedings of the 16th International Conference on Information Quality"</f>
        <v>ICIQ 2011 - Proceedings of the 16th International Conference on Information Quality</v>
      </c>
      <c r="B9205" s="8" t="str">
        <f t="shared" ref="B9205:B9210" si="21">"-"</f>
        <v>-</v>
      </c>
      <c r="C9205" s="8" t="s">
        <v>1107</v>
      </c>
    </row>
    <row r="9206" spans="1:3" x14ac:dyDescent="0.25">
      <c r="A9206" s="8" t="str">
        <f>"ICIS '06: International Congress of Imaging Science - Final Program and Proceedings"</f>
        <v>ICIS '06: International Congress of Imaging Science - Final Program and Proceedings</v>
      </c>
      <c r="B9206" s="8" t="str">
        <f t="shared" si="21"/>
        <v>-</v>
      </c>
      <c r="C9206" s="8" t="s">
        <v>415</v>
      </c>
    </row>
    <row r="9207" spans="1:3" x14ac:dyDescent="0.25">
      <c r="A9207" s="8" t="str">
        <f>"ICIS 2006 Proceedings - Twenty Seventh International Conference on Information Systems"</f>
        <v>ICIS 2006 Proceedings - Twenty Seventh International Conference on Information Systems</v>
      </c>
      <c r="B9207" s="8" t="str">
        <f t="shared" si="21"/>
        <v>-</v>
      </c>
      <c r="C9207" s="8" t="s">
        <v>289</v>
      </c>
    </row>
    <row r="9208" spans="1:3" x14ac:dyDescent="0.25">
      <c r="A9208" s="8" t="str">
        <f>"ICIS 2007 Proceedings - Twenty Eighth International Conference on Information Systems"</f>
        <v>ICIS 2007 Proceedings - Twenty Eighth International Conference on Information Systems</v>
      </c>
      <c r="B9208" s="8" t="str">
        <f t="shared" si="21"/>
        <v>-</v>
      </c>
      <c r="C9208" s="8" t="s">
        <v>289</v>
      </c>
    </row>
    <row r="9209" spans="1:3" x14ac:dyDescent="0.25">
      <c r="A9209" s="8" t="str">
        <f>"ICIS 2008 Proceedings - Twenty Ninth International Conference on Information Systems"</f>
        <v>ICIS 2008 Proceedings - Twenty Ninth International Conference on Information Systems</v>
      </c>
      <c r="B9209" s="8" t="str">
        <f t="shared" si="21"/>
        <v>-</v>
      </c>
      <c r="C9209" s="8" t="s">
        <v>289</v>
      </c>
    </row>
    <row r="9210" spans="1:3" x14ac:dyDescent="0.25">
      <c r="A9210" s="8" t="str">
        <f>"ICIS 2009 Proceedings - Thirtieth International Conference on Information Systems"</f>
        <v>ICIS 2009 Proceedings - Thirtieth International Conference on Information Systems</v>
      </c>
      <c r="B9210" s="8" t="str">
        <f t="shared" si="21"/>
        <v>-</v>
      </c>
      <c r="C9210" s="8" t="s">
        <v>289</v>
      </c>
    </row>
    <row r="9211" spans="1:3" x14ac:dyDescent="0.25">
      <c r="A9211" s="8" t="str">
        <f>"ICIS 2010 Proceedings - Thirty First International Conference on Information Systems"</f>
        <v>ICIS 2010 Proceedings - Thirty First International Conference on Information Systems</v>
      </c>
      <c r="B9211" s="8" t="str">
        <f>"9780615418988"</f>
        <v>9780615418988</v>
      </c>
      <c r="C9211" s="8" t="s">
        <v>289</v>
      </c>
    </row>
    <row r="9212" spans="1:3" x14ac:dyDescent="0.25">
      <c r="A9212" s="8" t="str">
        <f>"ICIS 2011 - 32nd International Conference on Information Systems 2011"</f>
        <v>ICIS 2011 - 32nd International Conference on Information Systems 2011</v>
      </c>
      <c r="B9212" s="8" t="str">
        <f>"9780615559070"</f>
        <v>9780615559070</v>
      </c>
      <c r="C9212" s="8" t="s">
        <v>1262</v>
      </c>
    </row>
    <row r="9213" spans="1:3" x14ac:dyDescent="0.25">
      <c r="A9213" s="8" t="str">
        <f>"ICISO 2010 - Proceedings of the 12th International Conference on Informatics and Semiotics in Organisations, IFIP WG8.1 Working Conference"</f>
        <v>ICISO 2010 - Proceedings of the 12th International Conference on Informatics and Semiotics in Organisations, IFIP WG8.1 Working Conference</v>
      </c>
      <c r="B9213" s="8" t="str">
        <f>"9789898425263"</f>
        <v>9789898425263</v>
      </c>
      <c r="C9213" s="8" t="s">
        <v>1266</v>
      </c>
    </row>
    <row r="9214" spans="1:3" x14ac:dyDescent="0.25">
      <c r="A9214" s="8" t="str">
        <f>"ICISO 2013 - Proceedings of the 14th International Conference on Informatics and Semiotics in Organisations, IFIP WG8.1 Working Conference"</f>
        <v>ICISO 2013 - Proceedings of the 14th International Conference on Informatics and Semiotics in Organisations, IFIP WG8.1 Working Conference</v>
      </c>
      <c r="B9214" s="8" t="str">
        <f>"9789898565518"</f>
        <v>9789898565518</v>
      </c>
      <c r="C9214" s="8" t="s">
        <v>1197</v>
      </c>
    </row>
    <row r="9215" spans="1:3" x14ac:dyDescent="0.25">
      <c r="A9215" s="8" t="str">
        <f>"ICISSP 2015 - 1st International Conference on Information Systems Security and Privacy, Proceedings"</f>
        <v>ICISSP 2015 - 1st International Conference on Information Systems Security and Privacy, Proceedings</v>
      </c>
      <c r="B9215" s="8" t="str">
        <f>"9789897580819"</f>
        <v>9789897580819</v>
      </c>
      <c r="C9215" s="8" t="s">
        <v>1197</v>
      </c>
    </row>
    <row r="9216" spans="1:3" x14ac:dyDescent="0.25">
      <c r="A9216" s="8" t="str">
        <f>"ICIST 2014 - Proceedings of 2014 4th IEEE International Conference on Information Science and Technology"</f>
        <v>ICIST 2014 - Proceedings of 2014 4th IEEE International Conference on Information Science and Technology</v>
      </c>
      <c r="B9216" s="8" t="str">
        <f>"9781479948086"</f>
        <v>9781479948086</v>
      </c>
      <c r="C9216" s="8" t="s">
        <v>105</v>
      </c>
    </row>
    <row r="9217" spans="1:3" x14ac:dyDescent="0.25">
      <c r="A9217" s="8" t="str">
        <f>"ICIW 2007: 2nd International Conference on i-Warfare and Security"</f>
        <v>ICIW 2007: 2nd International Conference on i-Warfare and Security</v>
      </c>
      <c r="B9217" s="8" t="str">
        <f>"9781905305407"</f>
        <v>9781905305407</v>
      </c>
      <c r="C9217" s="8" t="s">
        <v>973</v>
      </c>
    </row>
    <row r="9218" spans="1:3" x14ac:dyDescent="0.25">
      <c r="A9218" s="8" t="str">
        <f>"ICLEM 2010: Logistics for Sustained Economic Development - Infrastructure, Information, Integration - Proceedings of the 2010 International Conference of Logistics Engineering and Management"</f>
        <v>ICLEM 2010: Logistics for Sustained Economic Development - Infrastructure, Information, Integration - Proceedings of the 2010 International Conference of Logistics Engineering and Management</v>
      </c>
      <c r="B9218" s="8" t="str">
        <f>"9780784411391"</f>
        <v>9780784411391</v>
      </c>
      <c r="C9218" s="8" t="s">
        <v>111</v>
      </c>
    </row>
    <row r="9219" spans="1:3" x14ac:dyDescent="0.25">
      <c r="A9219" s="8" t="str">
        <f>"ICLEM 2012: Logistics for Sustained Economic Development - Technology and Management for Efficiency - Proceedings of the 2012 International Conference of Logistics Engineering and Management"</f>
        <v>ICLEM 2012: Logistics for Sustained Economic Development - Technology and Management for Efficiency - Proceedings of the 2012 International Conference of Logistics Engineering and Management</v>
      </c>
      <c r="B9219" s="8" t="str">
        <f>"9780784412602"</f>
        <v>9780784412602</v>
      </c>
      <c r="C9219" s="8" t="s">
        <v>111</v>
      </c>
    </row>
    <row r="9220" spans="1:3" x14ac:dyDescent="0.25">
      <c r="A9220" s="8" t="str">
        <f>"ICLEM 2014: System Planning, Supply Chain Management, and Safety - Proceedings of the 2014 International Conference of Logistics Engineering and Management"</f>
        <v>ICLEM 2014: System Planning, Supply Chain Management, and Safety - Proceedings of the 2014 International Conference of Logistics Engineering and Management</v>
      </c>
      <c r="B9220" s="8" t="str">
        <f>"9780784413753"</f>
        <v>9780784413753</v>
      </c>
      <c r="C9220" s="8" t="s">
        <v>111</v>
      </c>
    </row>
    <row r="9221" spans="1:3" x14ac:dyDescent="0.25">
      <c r="A9221" s="8" t="str">
        <f>"ICLS 2006 - International Conference of the Learning Sciences, Proceedings"</f>
        <v>ICLS 2006 - International Conference of the Learning Sciences, Proceedings</v>
      </c>
      <c r="B9221" s="8" t="str">
        <f>"9780805861747"</f>
        <v>9780805861747</v>
      </c>
      <c r="C9221" s="8" t="s">
        <v>298</v>
      </c>
    </row>
    <row r="9222" spans="1:3" x14ac:dyDescent="0.25">
      <c r="A9222" s="8" t="str">
        <f>"ICMA 2004 - Proceedings of the International Conference on Manufacturing Automation: Advanced Design and Manufacturing in Global Competition"</f>
        <v>ICMA 2004 - Proceedings of the International Conference on Manufacturing Automation: Advanced Design and Manufacturing in Global Competition</v>
      </c>
      <c r="B9222" s="8" t="str">
        <f>"9781860584688"</f>
        <v>9781860584688</v>
      </c>
      <c r="C9222" s="8" t="s">
        <v>1884</v>
      </c>
    </row>
    <row r="9223" spans="1:3" x14ac:dyDescent="0.25">
      <c r="A9223" s="8" t="str">
        <f>"ICMB and GMR 2010 - 2010 9th International Conference on Mobile Business/2010 9th Global Mobility Roundtable"</f>
        <v>ICMB and GMR 2010 - 2010 9th International Conference on Mobile Business/2010 9th Global Mobility Roundtable</v>
      </c>
      <c r="B9223" s="8" t="str">
        <f>"9780769540849"</f>
        <v>9780769540849</v>
      </c>
      <c r="C9223" s="8" t="s">
        <v>9</v>
      </c>
    </row>
    <row r="9224" spans="1:3" x14ac:dyDescent="0.25">
      <c r="A9224" s="8" t="str">
        <f>"ICMEE 2010 - 2010 2nd International Conference on Mechanical and Electronics Engineering, Proceedings"</f>
        <v>ICMEE 2010 - 2010 2nd International Conference on Mechanical and Electronics Engineering, Proceedings</v>
      </c>
      <c r="B9224" s="8" t="str">
        <f>"9781424474806"</f>
        <v>9781424474806</v>
      </c>
      <c r="C9224" s="8" t="s">
        <v>9</v>
      </c>
    </row>
    <row r="9225" spans="1:3" x14ac:dyDescent="0.25">
      <c r="A9225" s="8" t="str">
        <f>"ICMET 2010 - 2010 International Conference on Mechanical and Electrical Technology, Proceedings"</f>
        <v>ICMET 2010 - 2010 International Conference on Mechanical and Electrical Technology, Proceedings</v>
      </c>
      <c r="B9225" s="8" t="str">
        <f>"9781424481019"</f>
        <v>9781424481019</v>
      </c>
      <c r="C9225" s="8" t="s">
        <v>9</v>
      </c>
    </row>
    <row r="9226" spans="1:3" x14ac:dyDescent="0.25">
      <c r="A9226" s="8" t="str">
        <f>"ICMET'09 - Proceedings of the 2009 International Conference on Mechanical and Electrical Technology"</f>
        <v>ICMET'09 - Proceedings of the 2009 International Conference on Mechanical and Electrical Technology</v>
      </c>
      <c r="B9226" s="8" t="str">
        <f>"9780791802946"</f>
        <v>9780791802946</v>
      </c>
      <c r="C9226" s="8" t="s">
        <v>73</v>
      </c>
    </row>
    <row r="9227" spans="1:3" x14ac:dyDescent="0.25">
      <c r="A9227" s="8" t="str">
        <f>"ICMHPC - 2010 International Conference on Mine Hazards Prevention and Control"</f>
        <v>ICMHPC - 2010 International Conference on Mine Hazards Prevention and Control</v>
      </c>
      <c r="B9227" s="8" t="str">
        <f>"9789078677383"</f>
        <v>9789078677383</v>
      </c>
      <c r="C9227" s="8" t="s">
        <v>1380</v>
      </c>
    </row>
    <row r="9228" spans="1:3" x14ac:dyDescent="0.25">
      <c r="A9228" s="8" t="str">
        <f>"ICMI 2013 - Proceedings of the 2013 ACM International Conference on Multimodal Interaction"</f>
        <v>ICMI 2013 - Proceedings of the 2013 ACM International Conference on Multimodal Interaction</v>
      </c>
      <c r="B9228" s="8" t="str">
        <f>"9781450321297"</f>
        <v>9781450321297</v>
      </c>
      <c r="C9228" s="8" t="s">
        <v>21</v>
      </c>
    </row>
    <row r="9229" spans="1:3" x14ac:dyDescent="0.25">
      <c r="A9229" s="8" t="str">
        <f>"ICMI'03: Fifth International Conference on Multimodal Interfaces"</f>
        <v>ICMI'03: Fifth International Conference on Multimodal Interfaces</v>
      </c>
      <c r="B9229" s="8" t="str">
        <f>"9781581136210"</f>
        <v>9781581136210</v>
      </c>
      <c r="C9229" s="8" t="s">
        <v>21</v>
      </c>
    </row>
    <row r="9230" spans="1:3" x14ac:dyDescent="0.25">
      <c r="A9230" s="8" t="str">
        <f>"ICMI'04 - Sixth International Conference on Multimodal Interfaces"</f>
        <v>ICMI'04 - Sixth International Conference on Multimodal Interfaces</v>
      </c>
      <c r="B9230" s="8" t="str">
        <f>"9781581139549"</f>
        <v>9781581139549</v>
      </c>
      <c r="C9230" s="8" t="s">
        <v>21</v>
      </c>
    </row>
    <row r="9231" spans="1:3" x14ac:dyDescent="0.25">
      <c r="A9231" s="8" t="str">
        <f>"ICMI'06: 8th International Conference on Multimodal Interfaces, Conference Proceeding"</f>
        <v>ICMI'06: 8th International Conference on Multimodal Interfaces, Conference Proceeding</v>
      </c>
      <c r="B9231" s="8" t="str">
        <f>"9781595935410"</f>
        <v>9781595935410</v>
      </c>
      <c r="C9231" s="8" t="s">
        <v>21</v>
      </c>
    </row>
    <row r="9232" spans="1:3" x14ac:dyDescent="0.25">
      <c r="A9232" s="8" t="str">
        <f>"ICMI'07: Workshop on Tagging, Mining and Retrieval of Human-Related Activity Information, TMR'07 - Workshop Proceedings"</f>
        <v>ICMI'07: Workshop on Tagging, Mining and Retrieval of Human-Related Activity Information, TMR'07 - Workshop Proceedings</v>
      </c>
      <c r="B9232" s="8" t="str">
        <f>"9781595938701"</f>
        <v>9781595938701</v>
      </c>
      <c r="C9232" s="8" t="s">
        <v>21</v>
      </c>
    </row>
    <row r="9233" spans="1:3" x14ac:dyDescent="0.25">
      <c r="A9233" s="8" t="str">
        <f>"ICMI'08: Proceedings of the 10th International Conference on Multimodal Interfaces"</f>
        <v>ICMI'08: Proceedings of the 10th International Conference on Multimodal Interfaces</v>
      </c>
      <c r="B9233" s="8" t="str">
        <f>"9781605581989"</f>
        <v>9781605581989</v>
      </c>
      <c r="C9233" s="8" t="s">
        <v>21</v>
      </c>
    </row>
    <row r="9234" spans="1:3" x14ac:dyDescent="0.25">
      <c r="A9234" s="8" t="str">
        <f>"ICMI'11 - Proceedings of the 2011 ACM International Conference on Multimodal Interaction"</f>
        <v>ICMI'11 - Proceedings of the 2011 ACM International Conference on Multimodal Interaction</v>
      </c>
      <c r="B9234" s="8" t="str">
        <f>"9781450306416"</f>
        <v>9781450306416</v>
      </c>
      <c r="C9234" s="8" t="s">
        <v>21</v>
      </c>
    </row>
    <row r="9235" spans="1:3" x14ac:dyDescent="0.25">
      <c r="A9235" s="8" t="str">
        <f>"ICMI'12 - Proceedings of the ACM International Conference on Multimodal Interaction"</f>
        <v>ICMI'12 - Proceedings of the ACM International Conference on Multimodal Interaction</v>
      </c>
      <c r="B9235" s="8" t="str">
        <f>"9781450314671"</f>
        <v>9781450314671</v>
      </c>
      <c r="C9235" s="8" t="s">
        <v>21</v>
      </c>
    </row>
    <row r="9236" spans="1:3" x14ac:dyDescent="0.25">
      <c r="A9236" s="8" t="str">
        <f>"ICMI-MLMI'09 - Proceedings of the International Conference on Multimodal Interfaces and the Workshop on Machine Learning for Multimodal Interfaces"</f>
        <v>ICMI-MLMI'09 - Proceedings of the International Conference on Multimodal Interfaces and the Workshop on Machine Learning for Multimodal Interfaces</v>
      </c>
      <c r="B9236" s="8" t="str">
        <f>"9781605587721"</f>
        <v>9781605587721</v>
      </c>
      <c r="C9236" s="8" t="s">
        <v>21</v>
      </c>
    </row>
    <row r="9237" spans="1:3" x14ac:dyDescent="0.25">
      <c r="A9237" s="8" t="str">
        <f>"ICMIT 2006 Proceedings - 2006 IEEE International Conference on Management of Innovation and Technology"</f>
        <v>ICMIT 2006 Proceedings - 2006 IEEE International Conference on Management of Innovation and Technology</v>
      </c>
      <c r="B9237" s="8" t="str">
        <f>"9781424401482"</f>
        <v>9781424401482</v>
      </c>
      <c r="C9237" s="8" t="s">
        <v>9</v>
      </c>
    </row>
    <row r="9238" spans="1:3" x14ac:dyDescent="0.25">
      <c r="A9238" s="8" t="str">
        <f>"ICMIT 2014 - 2014 IEEE International Conference on Management of Innovation and Technology"</f>
        <v>ICMIT 2014 - 2014 IEEE International Conference on Management of Innovation and Technology</v>
      </c>
      <c r="B9238" s="8" t="str">
        <f>"9781479955299"</f>
        <v>9781479955299</v>
      </c>
      <c r="C9238" s="8" t="s">
        <v>105</v>
      </c>
    </row>
    <row r="9239" spans="1:3" x14ac:dyDescent="0.25">
      <c r="A9239" s="8" t="str">
        <f>"ICML 2005 - Proceedings of the 22nd International Conference on Machine Learning"</f>
        <v>ICML 2005 - Proceedings of the 22nd International Conference on Machine Learning</v>
      </c>
      <c r="B9239" s="8" t="str">
        <f>"9781595931801"</f>
        <v>9781595931801</v>
      </c>
      <c r="C9239" s="8" t="s">
        <v>21</v>
      </c>
    </row>
    <row r="9240" spans="1:3" x14ac:dyDescent="0.25">
      <c r="A9240" s="8" t="str">
        <f>"ICML 2006 - Proceedings of the 23rd International Conference on Machine Learning"</f>
        <v>ICML 2006 - Proceedings of the 23rd International Conference on Machine Learning</v>
      </c>
      <c r="B9240" s="8" t="str">
        <f>"-"</f>
        <v>-</v>
      </c>
      <c r="C9240" s="8" t="s">
        <v>21</v>
      </c>
    </row>
    <row r="9241" spans="1:3" x14ac:dyDescent="0.25">
      <c r="A9241" s="8" t="str">
        <f>"ICML 2007 - Proceedings of the 24th International Conference on Machine Learning"</f>
        <v>ICML 2007 - Proceedings of the 24th International Conference on Machine Learning</v>
      </c>
      <c r="B9241" s="8" t="str">
        <f>"9781595937933"</f>
        <v>9781595937933</v>
      </c>
      <c r="C9241" s="8" t="s">
        <v>21</v>
      </c>
    </row>
    <row r="9242" spans="1:3" x14ac:dyDescent="0.25">
      <c r="A9242" s="8" t="str">
        <f>"ICML 2008 - Proceedings of the 25th International Conference on Machine Learning"</f>
        <v>ICML 2008 - Proceedings of the 25th International Conference on Machine Learning</v>
      </c>
      <c r="B9242" s="8" t="str">
        <f>"9781605582054"</f>
        <v>9781605582054</v>
      </c>
      <c r="C9242" s="8" t="s">
        <v>21</v>
      </c>
    </row>
    <row r="9243" spans="1:3" x14ac:dyDescent="0.25">
      <c r="A9243" s="8" t="str">
        <f>"ICML 2010 - Proceedings, 27th International Conference on Machine Learning"</f>
        <v>ICML 2010 - Proceedings, 27th International Conference on Machine Learning</v>
      </c>
      <c r="B9243" s="8" t="str">
        <f>"9781605589077"</f>
        <v>9781605589077</v>
      </c>
      <c r="C9243" s="8" t="s">
        <v>1266</v>
      </c>
    </row>
    <row r="9244" spans="1:3" x14ac:dyDescent="0.25">
      <c r="A9244" s="8" t="str">
        <f>"ICMLC 2010 - The 2nd International Conference on Machine Learning and Computing"</f>
        <v>ICMLC 2010 - The 2nd International Conference on Machine Learning and Computing</v>
      </c>
      <c r="B9244" s="8" t="str">
        <f>"9780769539775"</f>
        <v>9780769539775</v>
      </c>
      <c r="C9244" s="8" t="s">
        <v>9</v>
      </c>
    </row>
    <row r="9245" spans="1:3" x14ac:dyDescent="0.25">
      <c r="A9245" s="8" t="str">
        <f>"ICMMT 2000 - 2000 2nd International Conference on Microwave and Millimeter Wave Technology"</f>
        <v>ICMMT 2000 - 2000 2nd International Conference on Microwave and Millimeter Wave Technology</v>
      </c>
      <c r="B9245" s="8" t="str">
        <f>"9780780357433"</f>
        <v>9780780357433</v>
      </c>
      <c r="C9245" s="8" t="s">
        <v>105</v>
      </c>
    </row>
    <row r="9246" spans="1:3" x14ac:dyDescent="0.25">
      <c r="A9246" s="8" t="str">
        <f>"ICMMT 2002 - 2002 3rd International Conference on Microwave and Millimeter Wave Technology"</f>
        <v>ICMMT 2002 - 2002 3rd International Conference on Microwave and Millimeter Wave Technology</v>
      </c>
      <c r="B9246" s="8" t="str">
        <f>"9780780374867"</f>
        <v>9780780374867</v>
      </c>
      <c r="C9246" s="8" t="s">
        <v>105</v>
      </c>
    </row>
    <row r="9247" spans="1:3" x14ac:dyDescent="0.25">
      <c r="A9247" s="8" t="str">
        <f>"ICMR 2013 - Proceedings of the 3rd ACM International Conference on Multimedia Retrieval"</f>
        <v>ICMR 2013 - Proceedings of the 3rd ACM International Conference on Multimedia Retrieval</v>
      </c>
      <c r="B9247" s="8" t="str">
        <f>"9781450320337"</f>
        <v>9781450320337</v>
      </c>
      <c r="C9247" s="8" t="s">
        <v>21</v>
      </c>
    </row>
    <row r="9248" spans="1:3" x14ac:dyDescent="0.25">
      <c r="A9248" s="8" t="str">
        <f>"ICMR 2014 - Proceedings of the ACM International Conference on Multimedia Retrieval 2014"</f>
        <v>ICMR 2014 - Proceedings of the ACM International Conference on Multimedia Retrieval 2014</v>
      </c>
      <c r="B9248" s="8" t="str">
        <f>"9781595930361"</f>
        <v>9781595930361</v>
      </c>
      <c r="C9248" s="8" t="s">
        <v>21</v>
      </c>
    </row>
    <row r="9249" spans="1:3" x14ac:dyDescent="0.25">
      <c r="A9249" s="8" t="str">
        <f>"ICMREE 2013 - Proceedings: 2013 International Conference on Materials for Renewable Energy and Environment"</f>
        <v>ICMREE 2013 - Proceedings: 2013 International Conference on Materials for Renewable Energy and Environment</v>
      </c>
      <c r="B9249" s="8" t="str">
        <f>"-"</f>
        <v>-</v>
      </c>
      <c r="C9249" s="8" t="s">
        <v>105</v>
      </c>
    </row>
    <row r="9250" spans="1:3" x14ac:dyDescent="0.25">
      <c r="A9250" s="8" t="str">
        <f>"ICMREE2011 - Proceedings 2011 International Conference on Materials for Renewable Energy and Environment"</f>
        <v>ICMREE2011 - Proceedings 2011 International Conference on Materials for Renewable Energy and Environment</v>
      </c>
      <c r="B9250" s="8" t="str">
        <f>"9781612847504"</f>
        <v>9781612847504</v>
      </c>
      <c r="C9250" s="8" t="s">
        <v>9</v>
      </c>
    </row>
    <row r="9251" spans="1:3" x14ac:dyDescent="0.25">
      <c r="A9251" s="8" t="str">
        <f>"ICMSEM: Proceedings of 2007 International Conference on Management Science and Engineering Management"</f>
        <v>ICMSEM: Proceedings of 2007 International Conference on Management Science and Engineering Management</v>
      </c>
      <c r="B9251" s="8" t="str">
        <f>"9781846260018"</f>
        <v>9781846260018</v>
      </c>
      <c r="C9251" s="8" t="s">
        <v>1885</v>
      </c>
    </row>
    <row r="9252" spans="1:3" x14ac:dyDescent="0.25">
      <c r="A9252" s="8" t="str">
        <f>"ICMT 2012 - 16th International Conference on Mechatronics Technology"</f>
        <v>ICMT 2012 - 16th International Conference on Mechatronics Technology</v>
      </c>
      <c r="B9252" s="8" t="str">
        <f>"9787900769428"</f>
        <v>9787900769428</v>
      </c>
      <c r="C9252" s="8" t="s">
        <v>1886</v>
      </c>
    </row>
    <row r="9253" spans="1:3" x14ac:dyDescent="0.25">
      <c r="A9253" s="8" t="str">
        <f>"ICMT 2015 - International Conference on Military Technologies 2015"</f>
        <v>ICMT 2015 - International Conference on Military Technologies 2015</v>
      </c>
      <c r="B9253" s="8" t="str">
        <f>"9788072319763"</f>
        <v>9788072319763</v>
      </c>
      <c r="C9253" s="8" t="s">
        <v>105</v>
      </c>
    </row>
    <row r="9254" spans="1:3" x14ac:dyDescent="0.25">
      <c r="A9254" s="8" t="str">
        <f>"ICMTCE 2013 - 2013 IEEE International Conference on Microwave Technology and Computational Electromagnetics, Proceedings"</f>
        <v>ICMTCE 2013 - 2013 IEEE International Conference on Microwave Technology and Computational Electromagnetics, Proceedings</v>
      </c>
      <c r="B9254" s="8" t="str">
        <f>"9781467363273"</f>
        <v>9781467363273</v>
      </c>
      <c r="C9254" s="8" t="s">
        <v>9</v>
      </c>
    </row>
    <row r="9255" spans="1:3" x14ac:dyDescent="0.25">
      <c r="A9255" s="8" t="str">
        <f>"ICMTCE2011 - Proceedings 2011 IEEE International Conference on Microwave Technology and Computational Electromagnetics"</f>
        <v>ICMTCE2011 - Proceedings 2011 IEEE International Conference on Microwave Technology and Computational Electromagnetics</v>
      </c>
      <c r="B9255" s="8" t="str">
        <f>"9781424485574"</f>
        <v>9781424485574</v>
      </c>
      <c r="C9255" s="8" t="s">
        <v>9</v>
      </c>
    </row>
    <row r="9256" spans="1:3" x14ac:dyDescent="0.25">
      <c r="A9256" s="8" t="str">
        <f>"ICN 2013 - Proceedings of the 3rd, 2013 ACM SIGCOMM Workshop on Information-Centric Networking"</f>
        <v>ICN 2013 - Proceedings of the 3rd, 2013 ACM SIGCOMM Workshop on Information-Centric Networking</v>
      </c>
      <c r="B9256" s="8" t="str">
        <f>"9781450321792"</f>
        <v>9781450321792</v>
      </c>
      <c r="C9256" s="8" t="s">
        <v>21</v>
      </c>
    </row>
    <row r="9257" spans="1:3" x14ac:dyDescent="0.25">
      <c r="A9257" s="8" t="str">
        <f>"ICN 2014 - Proceedings of the 1st International Conference on Information-Centric Networking"</f>
        <v>ICN 2014 - Proceedings of the 1st International Conference on Information-Centric Networking</v>
      </c>
      <c r="B9257" s="8" t="str">
        <f>"9781450332064"</f>
        <v>9781450332064</v>
      </c>
      <c r="C9257" s="8" t="s">
        <v>1235</v>
      </c>
    </row>
    <row r="9258" spans="1:3" x14ac:dyDescent="0.25">
      <c r="A9258" s="8" t="str">
        <f>"ICN'12 - ACM Proceedings of the Information-Centric Networking Workshop"</f>
        <v>ICN'12 - ACM Proceedings of the Information-Centric Networking Workshop</v>
      </c>
      <c r="B9258" s="8" t="str">
        <f>"9781450314794"</f>
        <v>9781450314794</v>
      </c>
      <c r="C9258" s="8" t="s">
        <v>21</v>
      </c>
    </row>
    <row r="9259" spans="1:3" x14ac:dyDescent="0.25">
      <c r="A9259" s="8" t="str">
        <f>"ICNIT 2010 - 2010 International Conference on Networking and Information Technology"</f>
        <v>ICNIT 2010 - 2010 International Conference on Networking and Information Technology</v>
      </c>
      <c r="B9259" s="8" t="str">
        <f>"9781424475773"</f>
        <v>9781424475773</v>
      </c>
      <c r="C9259" s="8" t="s">
        <v>9</v>
      </c>
    </row>
    <row r="9260" spans="1:3" x14ac:dyDescent="0.25">
      <c r="A9260" s="8" t="str">
        <f>"ICNS 2011 - Integrated Communications, Navigation and Surveillance Conference: Renovating the Global Air Transportation System, Proceedings"</f>
        <v>ICNS 2011 - Integrated Communications, Navigation and Surveillance Conference: Renovating the Global Air Transportation System, Proceedings</v>
      </c>
      <c r="B9260" s="8" t="str">
        <f>"9781457705939"</f>
        <v>9781457705939</v>
      </c>
      <c r="C9260" s="8" t="s">
        <v>9</v>
      </c>
    </row>
    <row r="9261" spans="1:3" x14ac:dyDescent="0.25">
      <c r="A9261" s="8" t="str">
        <f>"ICNS 2012: Bridging CNS and ATM - Conference Proceedings"</f>
        <v>ICNS 2012: Bridging CNS and ATM - Conference Proceedings</v>
      </c>
      <c r="B9261" s="8" t="str">
        <f>"9781467318990"</f>
        <v>9781467318990</v>
      </c>
      <c r="C9261" s="8" t="s">
        <v>9</v>
      </c>
    </row>
    <row r="9262" spans="1:3" x14ac:dyDescent="0.25">
      <c r="A9262" s="8" t="str">
        <f>"ICNS 2015 - Innovation in Operations, Implementation Benefits and Integration of the CNS Infrastructure, Conference Proceedings"</f>
        <v>ICNS 2015 - Innovation in Operations, Implementation Benefits and Integration of the CNS Infrastructure, Conference Proceedings</v>
      </c>
      <c r="B9262" s="8" t="str">
        <f>"9781479989522"</f>
        <v>9781479989522</v>
      </c>
      <c r="C9262" s="8" t="s">
        <v>105</v>
      </c>
    </row>
    <row r="9263" spans="1:3" x14ac:dyDescent="0.25">
      <c r="A9263" s="8" t="str">
        <f>"ICNSC 2015 - 2015 IEEE 12th International Conference on Networking, Sensing and Control"</f>
        <v>ICNSC 2015 - 2015 IEEE 12th International Conference on Networking, Sensing and Control</v>
      </c>
      <c r="B9263" s="8" t="str">
        <f>"9781479980697"</f>
        <v>9781479980697</v>
      </c>
      <c r="C9263" s="8" t="s">
        <v>105</v>
      </c>
    </row>
    <row r="9264" spans="1:3" x14ac:dyDescent="0.25">
      <c r="A9264" s="8" t="str">
        <f>"ICOLIM 2014 - 11th International Conference on Live Maintenance"</f>
        <v>ICOLIM 2014 - 11th International Conference on Live Maintenance</v>
      </c>
      <c r="B9264" s="8" t="str">
        <f>"9781479959938"</f>
        <v>9781479959938</v>
      </c>
      <c r="C9264" s="8" t="s">
        <v>105</v>
      </c>
    </row>
    <row r="9265" spans="1:3" x14ac:dyDescent="0.25">
      <c r="A9265" s="8" t="str">
        <f>"ICON 2007 - Proceedings of the 2007 15th IEEE International Conference on Networks"</f>
        <v>ICON 2007 - Proceedings of the 2007 15th IEEE International Conference on Networks</v>
      </c>
      <c r="B9265" s="8" t="str">
        <f>"9781424412303"</f>
        <v>9781424412303</v>
      </c>
      <c r="C9265" s="8" t="s">
        <v>9</v>
      </c>
    </row>
    <row r="9266" spans="1:3" x14ac:dyDescent="0.25">
      <c r="A9266" s="8" t="str">
        <f>"ICON 2011 - 17th IEEE International Conference on Networks"</f>
        <v>ICON 2011 - 17th IEEE International Conference on Networks</v>
      </c>
      <c r="B9266" s="8" t="str">
        <f>"9781457718250"</f>
        <v>9781457718250</v>
      </c>
      <c r="C9266" s="8" t="s">
        <v>9</v>
      </c>
    </row>
    <row r="9267" spans="1:3" x14ac:dyDescent="0.25">
      <c r="A9267" s="8" t="str">
        <f>"ICONIP 2002 - Proceedings of the 9th International Conference on Neural Information Processing: Computational Intelligence for the E-Age"</f>
        <v>ICONIP 2002 - Proceedings of the 9th International Conference on Neural Information Processing: Computational Intelligence for the E-Age</v>
      </c>
      <c r="B9267" s="8" t="str">
        <f>"-"</f>
        <v>-</v>
      </c>
    </row>
    <row r="9268" spans="1:3" x14ac:dyDescent="0.25">
      <c r="A9268" s="8" t="str">
        <f>"ICONN 2010 - Proceedings of the 2010 International Conference on Nanoscience and Nanotechnology"</f>
        <v>ICONN 2010 - Proceedings of the 2010 International Conference on Nanoscience and Nanotechnology</v>
      </c>
      <c r="B9268" s="8" t="str">
        <f>"9781424452620"</f>
        <v>9781424452620</v>
      </c>
      <c r="C9268" s="8" t="s">
        <v>9</v>
      </c>
    </row>
    <row r="9269" spans="1:3" x14ac:dyDescent="0.25">
      <c r="A9269" s="8" t="str">
        <f>"ICOPS/BEAMS 2014 - 41st IEEE International Conference on Plasma Science and the 20th International Conference on High-Power Particle Beams"</f>
        <v>ICOPS/BEAMS 2014 - 41st IEEE International Conference on Plasma Science and the 20th International Conference on High-Power Particle Beams</v>
      </c>
      <c r="B9269" s="8" t="str">
        <f>"9781479927111"</f>
        <v>9781479927111</v>
      </c>
      <c r="C9269" s="8" t="s">
        <v>105</v>
      </c>
    </row>
    <row r="9270" spans="1:3" x14ac:dyDescent="0.25">
      <c r="A9270" s="8" t="str">
        <f>"ICORES 2012 - Proceedings of the 1st International Conference on Operations Research and Enterprise Systems"</f>
        <v>ICORES 2012 - Proceedings of the 1st International Conference on Operations Research and Enterprise Systems</v>
      </c>
      <c r="B9270" s="8" t="str">
        <f>"9789898425973"</f>
        <v>9789898425973</v>
      </c>
      <c r="C9270" s="8" t="s">
        <v>1197</v>
      </c>
    </row>
    <row r="9271" spans="1:3" x14ac:dyDescent="0.25">
      <c r="A9271" s="8" t="str">
        <f>"ICORES 2013 - Proceedings of the 2nd International Conference on Operations Research and Enterprise Systems"</f>
        <v>ICORES 2013 - Proceedings of the 2nd International Conference on Operations Research and Enterprise Systems</v>
      </c>
      <c r="B9271" s="8" t="str">
        <f>"9789898565402"</f>
        <v>9789898565402</v>
      </c>
      <c r="C9271" s="8" t="s">
        <v>1197</v>
      </c>
    </row>
    <row r="9272" spans="1:3" x14ac:dyDescent="0.25">
      <c r="A9272" s="8" t="str">
        <f>"ICORES 2015 - 4th International Conference on Operations Research and Enterprise Systems, Proceedings"</f>
        <v>ICORES 2015 - 4th International Conference on Operations Research and Enterprise Systems, Proceedings</v>
      </c>
      <c r="B9272" s="8" t="str">
        <f>"9789897580758"</f>
        <v>9789897580758</v>
      </c>
      <c r="C9272" s="8" t="s">
        <v>1197</v>
      </c>
    </row>
    <row r="9273" spans="1:3" x14ac:dyDescent="0.25">
      <c r="A9273" s="8" t="str">
        <f>"ICOS 2010 - 2010 IEEE Conference on Open Systems"</f>
        <v>ICOS 2010 - 2010 IEEE Conference on Open Systems</v>
      </c>
      <c r="B9273" s="8" t="str">
        <f>"9781424491926"</f>
        <v>9781424491926</v>
      </c>
      <c r="C9273" s="8" t="s">
        <v>9</v>
      </c>
    </row>
    <row r="9274" spans="1:3" x14ac:dyDescent="0.25">
      <c r="A9274" s="8" t="str">
        <f>"ICOS 2014 - 2014 IEEE Conference on Open Systems"</f>
        <v>ICOS 2014 - 2014 IEEE Conference on Open Systems</v>
      </c>
      <c r="B9274" s="8" t="str">
        <f>"9781479963676"</f>
        <v>9781479963676</v>
      </c>
      <c r="C9274" s="8" t="s">
        <v>105</v>
      </c>
    </row>
    <row r="9275" spans="1:3" x14ac:dyDescent="0.25">
      <c r="A9275" s="8" t="str">
        <f>"ICOSST 2012 - 2012 International Conference on Open Source Systems and Technologies, Proceedings"</f>
        <v>ICOSST 2012 - 2012 International Conference on Open Source Systems and Technologies, Proceedings</v>
      </c>
      <c r="B9275" s="8" t="str">
        <f>"9781467330978"</f>
        <v>9781467330978</v>
      </c>
      <c r="C9275" s="8" t="s">
        <v>9</v>
      </c>
    </row>
    <row r="9276" spans="1:3" x14ac:dyDescent="0.25">
      <c r="A9276" s="8" t="str">
        <f>"ICOSST 2013 - 2013 International Conference on Open Source Systems and Technologies, Proceedings"</f>
        <v>ICOSST 2013 - 2013 International Conference on Open Source Systems and Technologies, Proceedings</v>
      </c>
      <c r="B9276" s="8" t="str">
        <f>"9781479920464"</f>
        <v>9781479920464</v>
      </c>
      <c r="C9276" s="8" t="s">
        <v>9</v>
      </c>
    </row>
    <row r="9277" spans="1:3" x14ac:dyDescent="0.25">
      <c r="A9277" s="8" t="str">
        <f>"ICOSST 2014 - 2014 International Conference on Open Source Systems and Technologies, Proceedings"</f>
        <v>ICOSST 2014 - 2014 International Conference on Open Source Systems and Technologies, Proceedings</v>
      </c>
      <c r="B9277" s="8" t="str">
        <f>"9781479920549"</f>
        <v>9781479920549</v>
      </c>
      <c r="C9277" s="8" t="s">
        <v>105</v>
      </c>
    </row>
    <row r="9278" spans="1:3" x14ac:dyDescent="0.25">
      <c r="A9278" s="8" t="str">
        <f>"ICOT 2013 - 1st International Conference on Orange Technologies"</f>
        <v>ICOT 2013 - 1st International Conference on Orange Technologies</v>
      </c>
      <c r="B9278" s="8" t="str">
        <f>"9781467359368"</f>
        <v>9781467359368</v>
      </c>
      <c r="C9278" s="8" t="s">
        <v>9</v>
      </c>
    </row>
    <row r="9279" spans="1:3" x14ac:dyDescent="0.25">
      <c r="A9279" s="8" t="str">
        <f>"ICP 2012 - 3rd International Conference on Photonics 2012, Proceedings"</f>
        <v>ICP 2012 - 3rd International Conference on Photonics 2012, Proceedings</v>
      </c>
      <c r="B9279" s="8" t="str">
        <f>"9781467314633"</f>
        <v>9781467314633</v>
      </c>
      <c r="C9279" s="8" t="s">
        <v>9</v>
      </c>
    </row>
    <row r="9280" spans="1:3" x14ac:dyDescent="0.25">
      <c r="A9280" s="8" t="str">
        <f>"ICPCA10 - 5th International Conference on Pervasive Computing and Applications"</f>
        <v>ICPCA10 - 5th International Conference on Pervasive Computing and Applications</v>
      </c>
      <c r="B9280" s="8" t="str">
        <f>"9781424491421"</f>
        <v>9781424491421</v>
      </c>
      <c r="C9280" s="8" t="s">
        <v>9</v>
      </c>
    </row>
    <row r="9281" spans="1:3" x14ac:dyDescent="0.25">
      <c r="A9281" s="8" t="str">
        <f>"ICPCES 2010 - International Conference on Power, Control and Embedded Systems"</f>
        <v>ICPCES 2010 - International Conference on Power, Control and Embedded Systems</v>
      </c>
      <c r="B9281" s="8" t="str">
        <f>"9781424485420"</f>
        <v>9781424485420</v>
      </c>
      <c r="C9281" s="8" t="s">
        <v>9</v>
      </c>
    </row>
    <row r="9282" spans="1:3" x14ac:dyDescent="0.25">
      <c r="A9282" s="8" t="str">
        <f>"ICPCES 2012 - 2012 2nd International Conference on Power, Control and Embedded Systems"</f>
        <v>ICPCES 2012 - 2012 2nd International Conference on Power, Control and Embedded Systems</v>
      </c>
      <c r="B9282" s="8" t="str">
        <f>"9781467310499"</f>
        <v>9781467310499</v>
      </c>
      <c r="C9282" s="8" t="s">
        <v>9</v>
      </c>
    </row>
    <row r="9283" spans="1:3" x14ac:dyDescent="0.25">
      <c r="A9283" s="8" t="str">
        <f>"ICPE 2013 - Proceedings of the 2013 ACM/SPEC International Conference on Performance Engineering"</f>
        <v>ICPE 2013 - Proceedings of the 2013 ACM/SPEC International Conference on Performance Engineering</v>
      </c>
      <c r="B9283" s="8" t="str">
        <f>"9781450316361"</f>
        <v>9781450316361</v>
      </c>
      <c r="C9283" s="8" t="s">
        <v>21</v>
      </c>
    </row>
    <row r="9284" spans="1:3" x14ac:dyDescent="0.25">
      <c r="A9284" s="8" t="str">
        <f>"ICPE 2014 - Proceedings of the 5th ACM/SPEC International Conference on Performance Engineering"</f>
        <v>ICPE 2014 - Proceedings of the 5th ACM/SPEC International Conference on Performance Engineering</v>
      </c>
      <c r="B9284" s="8" t="str">
        <f>"9781450327336"</f>
        <v>9781450327336</v>
      </c>
      <c r="C9284" s="8" t="s">
        <v>21</v>
      </c>
    </row>
    <row r="9285" spans="1:3" x14ac:dyDescent="0.25">
      <c r="A9285" s="8" t="str">
        <f>"ICPE 2015 - Proceedings of the 6th ACM/SPEC International Conference on Performance Engineering"</f>
        <v>ICPE 2015 - Proceedings of the 6th ACM/SPEC International Conference on Performance Engineering</v>
      </c>
      <c r="B9285" s="8" t="str">
        <f>"9781450332484"</f>
        <v>9781450332484</v>
      </c>
      <c r="C9285" s="8" t="s">
        <v>1235</v>
      </c>
    </row>
    <row r="9286" spans="1:3" x14ac:dyDescent="0.25">
      <c r="A9286" s="8" t="str">
        <f>"ICPE'11 - Proceedings of the 2nd Joint WOSP/SIPEW International Conference on Performance Engineering"</f>
        <v>ICPE'11 - Proceedings of the 2nd Joint WOSP/SIPEW International Conference on Performance Engineering</v>
      </c>
      <c r="B9286" s="8" t="str">
        <f>"9781450305198"</f>
        <v>9781450305198</v>
      </c>
      <c r="C9286" s="8" t="s">
        <v>21</v>
      </c>
    </row>
    <row r="9287" spans="1:3" x14ac:dyDescent="0.25">
      <c r="A9287" s="8" t="str">
        <f>"ICPE'12 - Proceedings of the 3rd Joint WOSP/SIPEW International Conference on Performance Engineering"</f>
        <v>ICPE'12 - Proceedings of the 3rd Joint WOSP/SIPEW International Conference on Performance Engineering</v>
      </c>
      <c r="B9287" s="8" t="str">
        <f>"9781450312028"</f>
        <v>9781450312028</v>
      </c>
      <c r="C9287" s="8" t="s">
        <v>21</v>
      </c>
    </row>
    <row r="9288" spans="1:3" x14ac:dyDescent="0.25">
      <c r="A9288" s="8" t="str">
        <f>"ICPMT2006 - Progress of Machining Technology - Proceedings of the 8th International Conference on Progress of Machining Technology"</f>
        <v>ICPMT2006 - Progress of Machining Technology - Proceedings of the 8th International Conference on Progress of Machining Technology</v>
      </c>
      <c r="B9288" s="8" t="str">
        <f>"9784990324704"</f>
        <v>9784990324704</v>
      </c>
      <c r="C9288" s="8" t="s">
        <v>1887</v>
      </c>
    </row>
    <row r="9289" spans="1:3" x14ac:dyDescent="0.25">
      <c r="A9289" s="8" t="str">
        <f>"ICPRAM 2012 - Proceedings of the 1st International Conference on Pattern Recognition Applications and Methods"</f>
        <v>ICPRAM 2012 - Proceedings of the 1st International Conference on Pattern Recognition Applications and Methods</v>
      </c>
      <c r="B9289" s="8" t="str">
        <f>"9789898425980"</f>
        <v>9789898425980</v>
      </c>
      <c r="C9289" s="8" t="s">
        <v>1197</v>
      </c>
    </row>
    <row r="9290" spans="1:3" x14ac:dyDescent="0.25">
      <c r="A9290" s="8" t="str">
        <f>"ICPRAM 2013 - Proceedings of the 2nd International Conference on Pattern Recognition Applications and Methods"</f>
        <v>ICPRAM 2013 - Proceedings of the 2nd International Conference on Pattern Recognition Applications and Methods</v>
      </c>
      <c r="B9290" s="8" t="str">
        <f>"9789898565419"</f>
        <v>9789898565419</v>
      </c>
      <c r="C9290" s="8" t="s">
        <v>1197</v>
      </c>
    </row>
    <row r="9291" spans="1:3" x14ac:dyDescent="0.25">
      <c r="A9291" s="8" t="str">
        <f>"ICPRAM 2015 - 4th International Conference on Pattern Recognition Applications and Methods, Proceedings"</f>
        <v>ICPRAM 2015 - 4th International Conference on Pattern Recognition Applications and Methods, Proceedings</v>
      </c>
      <c r="B9291" s="8" t="str">
        <f>"-"</f>
        <v>-</v>
      </c>
      <c r="C9291" s="8" t="s">
        <v>1197</v>
      </c>
    </row>
    <row r="9292" spans="1:3" x14ac:dyDescent="0.25">
      <c r="A9292" s="8" t="str">
        <f>"ICPS'09 - Proceedings of the 2009 International Conference on Pervasive Services and Co-located Workshops"</f>
        <v>ICPS'09 - Proceedings of the 2009 International Conference on Pervasive Services and Co-located Workshops</v>
      </c>
      <c r="B9292" s="8" t="str">
        <f>"9781605586441"</f>
        <v>9781605586441</v>
      </c>
      <c r="C9292" s="8" t="s">
        <v>21</v>
      </c>
    </row>
    <row r="9293" spans="1:3" x14ac:dyDescent="0.25">
      <c r="A9293" s="8" t="str">
        <f>"ICPT 2014 - Proceedings of International Conference on Planarization/CMP Technology 2014"</f>
        <v>ICPT 2014 - Proceedings of International Conference on Planarization/CMP Technology 2014</v>
      </c>
      <c r="B9293" s="8" t="str">
        <f>"9781479955565"</f>
        <v>9781479955565</v>
      </c>
      <c r="C9293" s="8" t="s">
        <v>105</v>
      </c>
    </row>
    <row r="9294" spans="1:3" x14ac:dyDescent="0.25">
      <c r="A9294" s="8" t="str">
        <f>"ICPTT 2011: Sustainable Solutions for Water, Sewer, Gas, and Oil Pipelines - Proceedings of the International Conference on Pipelines and Trenchless Technology 2011"</f>
        <v>ICPTT 2011: Sustainable Solutions for Water, Sewer, Gas, and Oil Pipelines - Proceedings of the International Conference on Pipelines and Trenchless Technology 2011</v>
      </c>
      <c r="B9294" s="8" t="str">
        <f>"9780784412022"</f>
        <v>9780784412022</v>
      </c>
      <c r="C9294" s="8" t="s">
        <v>111</v>
      </c>
    </row>
    <row r="9295" spans="1:3" x14ac:dyDescent="0.25">
      <c r="A9295" s="8" t="str">
        <f>"ICPTT 2012: Better Pipeline Infrastructure for a Better Life - Proceedings of the International Conference on Pipelines and Trenchless Technology 2012"</f>
        <v>ICPTT 2012: Better Pipeline Infrastructure for a Better Life - Proceedings of the International Conference on Pipelines and Trenchless Technology 2012</v>
      </c>
      <c r="B9295" s="8" t="str">
        <f>"9780784412619"</f>
        <v>9780784412619</v>
      </c>
      <c r="C9295" s="8" t="s">
        <v>111</v>
      </c>
    </row>
    <row r="9296" spans="1:3" x14ac:dyDescent="0.25">
      <c r="A9296" s="8" t="str">
        <f>"ICPTT 2013: Trenchless Technology - The Best Choice for Underground Pipeline Construction and Renewal, Proceedings of the International Conference on Pipelines and Trenchless Technology"</f>
        <v>ICPTT 2013: Trenchless Technology - The Best Choice for Underground Pipeline Construction and Renewal, Proceedings of the International Conference on Pipelines and Trenchless Technology</v>
      </c>
      <c r="B9296" s="8" t="str">
        <f>"9780784413142"</f>
        <v>9780784413142</v>
      </c>
      <c r="C9296" s="8" t="s">
        <v>111</v>
      </c>
    </row>
    <row r="9297" spans="1:3" x14ac:dyDescent="0.25">
      <c r="A9297" s="8" t="str">
        <f>"ICPTT 2014 - Proceedings of the 2014 International Conference on Pipelines and Trenchless Technology"</f>
        <v>ICPTT 2014 - Proceedings of the 2014 International Conference on Pipelines and Trenchless Technology</v>
      </c>
      <c r="B9297" s="8" t="str">
        <f>"9780784413821"</f>
        <v>9780784413821</v>
      </c>
      <c r="C9297" s="8" t="s">
        <v>111</v>
      </c>
    </row>
    <row r="9298" spans="1:3" x14ac:dyDescent="0.25">
      <c r="A9298" s="8" t="str">
        <f>"ICQR2MSE 2011 - Proceedings of 2011 International Conference on Quality, Reliability, Risk, Maintenance, and Safety Engineering"</f>
        <v>ICQR2MSE 2011 - Proceedings of 2011 International Conference on Quality, Reliability, Risk, Maintenance, and Safety Engineering</v>
      </c>
      <c r="B9298" s="8" t="str">
        <f>"9781457712326"</f>
        <v>9781457712326</v>
      </c>
      <c r="C9298" s="8" t="s">
        <v>9</v>
      </c>
    </row>
    <row r="9299" spans="1:3" x14ac:dyDescent="0.25">
      <c r="A9299" s="8" t="str">
        <f>"ICRCCS 2009 - 2009 International Conference on Research Challenges in Computer Science"</f>
        <v>ICRCCS 2009 - 2009 International Conference on Research Challenges in Computer Science</v>
      </c>
      <c r="B9299" s="8" t="str">
        <f>"9780769539270"</f>
        <v>9780769539270</v>
      </c>
      <c r="C9299" s="8" t="s">
        <v>9</v>
      </c>
    </row>
    <row r="9300" spans="1:3" x14ac:dyDescent="0.25">
      <c r="A9300" s="8" t="str">
        <f>"ICREATE '09 - International Convention on Rehabilitation Engineering and Assistive Technology"</f>
        <v>ICREATE '09 - International Convention on Rehabilitation Engineering and Assistive Technology</v>
      </c>
      <c r="B9300" s="8" t="str">
        <f>"9781605587929"</f>
        <v>9781605587929</v>
      </c>
      <c r="C9300" s="8" t="s">
        <v>21</v>
      </c>
    </row>
    <row r="9301" spans="1:3" x14ac:dyDescent="0.25">
      <c r="A9301" s="8" t="str">
        <f>"i-CREATe 2007 - Proceedings of the 1st International Convention on Rehabilitation Engineering and Assistive Technology in Conjunction with 1st Tan Tock Seng Hospital Neurorehabilitation Meeting"</f>
        <v>i-CREATe 2007 - Proceedings of the 1st International Convention on Rehabilitation Engineering and Assistive Technology in Conjunction with 1st Tan Tock Seng Hospital Neurorehabilitation Meeting</v>
      </c>
      <c r="B9301" s="8" t="str">
        <f>"9781595938527"</f>
        <v>9781595938527</v>
      </c>
      <c r="C9301" s="8" t="s">
        <v>21</v>
      </c>
    </row>
    <row r="9302" spans="1:3" x14ac:dyDescent="0.25">
      <c r="A9302" s="8" t="str">
        <f>"i-CREATe 2008 - International Convention on Rehabilitation Engineering and Assistive Technology 2008"</f>
        <v>i-CREATe 2008 - International Convention on Rehabilitation Engineering and Assistive Technology 2008</v>
      </c>
      <c r="B9302" s="8" t="str">
        <f>"9789810803681"</f>
        <v>9789810803681</v>
      </c>
      <c r="C9302" s="8" t="s">
        <v>1888</v>
      </c>
    </row>
    <row r="9303" spans="1:3" x14ac:dyDescent="0.25">
      <c r="A9303" s="8" t="str">
        <f>"i-CREATe 2010 - International Convention on Rehabilitation Engineering and Assistive Technology"</f>
        <v>i-CREATe 2010 - International Convention on Rehabilitation Engineering and Assistive Technology</v>
      </c>
      <c r="B9303" s="8" t="str">
        <f>"9789810861995"</f>
        <v>9789810861995</v>
      </c>
      <c r="C9303" s="8" t="s">
        <v>1888</v>
      </c>
    </row>
    <row r="9304" spans="1:3" x14ac:dyDescent="0.25">
      <c r="A9304" s="8" t="str">
        <f>"i-CREATe 2011 - International Convention on Rehabilitation Engineering and Assistive Technology"</f>
        <v>i-CREATe 2011 - International Convention on Rehabilitation Engineering and Assistive Technology</v>
      </c>
      <c r="B9304" s="8" t="str">
        <f>"-"</f>
        <v>-</v>
      </c>
      <c r="C9304" s="8" t="s">
        <v>1888</v>
      </c>
    </row>
    <row r="9305" spans="1:3" x14ac:dyDescent="0.25">
      <c r="A9305" s="8" t="str">
        <f>"i-CREATe 2012 - 6th International Convention on Rehabilitation Engineering and Assistive Technology"</f>
        <v>i-CREATe 2012 - 6th International Convention on Rehabilitation Engineering and Assistive Technology</v>
      </c>
      <c r="B9305" s="8" t="str">
        <f>"-"</f>
        <v>-</v>
      </c>
      <c r="C9305" s="8" t="s">
        <v>1888</v>
      </c>
    </row>
    <row r="9306" spans="1:3" x14ac:dyDescent="0.25">
      <c r="A9306" s="8" t="str">
        <f>"i-CREATe 2013 - International Convention on Rehabilitation Engineering and Assistive Technology, in Conjunction with SENDEX 2013"</f>
        <v>i-CREATe 2013 - International Convention on Rehabilitation Engineering and Assistive Technology, in Conjunction with SENDEX 2013</v>
      </c>
      <c r="B9306" s="8" t="str">
        <f>"-"</f>
        <v>-</v>
      </c>
      <c r="C9306" s="8" t="s">
        <v>1888</v>
      </c>
    </row>
    <row r="9307" spans="1:3" x14ac:dyDescent="0.25">
      <c r="A9307" s="8" t="str">
        <f>"i-CREATe 2014 - international Convention on Rehabilitation Engineering and Assistive Technology"</f>
        <v>i-CREATe 2014 - international Convention on Rehabilitation Engineering and Assistive Technology</v>
      </c>
      <c r="B9307" s="8" t="str">
        <f>"-"</f>
        <v>-</v>
      </c>
      <c r="C9307" s="8" t="s">
        <v>1888</v>
      </c>
    </row>
    <row r="9308" spans="1:3" x14ac:dyDescent="0.25">
      <c r="A9308" s="8" t="str">
        <f>"ICREPEC 2007 - Proceedings of the 2nd International Conference on Reliability of Electrical Products and Electrical Contacts"</f>
        <v>ICREPEC 2007 - Proceedings of the 2nd International Conference on Reliability of Electrical Products and Electrical Contacts</v>
      </c>
      <c r="B9308" s="8" t="str">
        <f>"9787504646293"</f>
        <v>9787504646293</v>
      </c>
      <c r="C9308" s="8" t="s">
        <v>1434</v>
      </c>
    </row>
    <row r="9309" spans="1:3" x14ac:dyDescent="0.25">
      <c r="A9309" s="8" t="str">
        <f>"ICRM 2007 - 4th International Conference on Responsive Manufacturing"</f>
        <v>ICRM 2007 - 4th International Conference on Responsive Manufacturing</v>
      </c>
      <c r="B9309" s="8" t="str">
        <f>"9780853582397"</f>
        <v>9780853582397</v>
      </c>
      <c r="C9309" s="8" t="s">
        <v>1889</v>
      </c>
    </row>
    <row r="9310" spans="1:3" x14ac:dyDescent="0.25">
      <c r="A9310" s="8" t="str">
        <f>"ICRMS 2014 - Proceedings of 2014 10th International Conference on Reliability, Maintainability and Safety: More Reliable Products, More Secure Life"</f>
        <v>ICRMS 2014 - Proceedings of 2014 10th International Conference on Reliability, Maintainability and Safety: More Reliable Products, More Secure Life</v>
      </c>
      <c r="B9310" s="8" t="str">
        <f>"9781479919925"</f>
        <v>9781479919925</v>
      </c>
      <c r="C9310" s="8" t="s">
        <v>105</v>
      </c>
    </row>
    <row r="9311" spans="1:3" x14ac:dyDescent="0.25">
      <c r="A9311" s="8" t="str">
        <f>"ICRMS'2011 - Safety First, Reliability Primary: Proceedings of 2011 9th International Conference on Reliability, Maintainability and Safety"</f>
        <v>ICRMS'2011 - Safety First, Reliability Primary: Proceedings of 2011 9th International Conference on Reliability, Maintainability and Safety</v>
      </c>
      <c r="B9311" s="8" t="str">
        <f>"9781612846644"</f>
        <v>9781612846644</v>
      </c>
      <c r="C9311" s="8" t="s">
        <v>9</v>
      </c>
    </row>
    <row r="9312" spans="1:3" x14ac:dyDescent="0.25">
      <c r="A9312" s="8" t="str">
        <f>"ICROIT 2014 - Proceedings of the 2014 International Conference on Reliability, Optimization and Information Technology"</f>
        <v>ICROIT 2014 - Proceedings of the 2014 International Conference on Reliability, Optimization and Information Technology</v>
      </c>
      <c r="B9312" s="8" t="str">
        <f>"9781479929955"</f>
        <v>9781479929955</v>
      </c>
      <c r="C9312" s="8" t="s">
        <v>9</v>
      </c>
    </row>
    <row r="9313" spans="1:3" x14ac:dyDescent="0.25">
      <c r="A9313" s="8" t="str">
        <f>"ICS 2005 - Proceedings of the 3rd International Congress on the Science and Technology of Steelmaking"</f>
        <v>ICS 2005 - Proceedings of the 3rd International Congress on the Science and Technology of Steelmaking</v>
      </c>
      <c r="B9313" s="8" t="str">
        <f>"9781886362819"</f>
        <v>9781886362819</v>
      </c>
      <c r="C9313" s="8" t="s">
        <v>113</v>
      </c>
    </row>
    <row r="9314" spans="1:3" x14ac:dyDescent="0.25">
      <c r="A9314" s="8" t="str">
        <f>"ICS 2010 - International Computer Symposium"</f>
        <v>ICS 2010 - International Computer Symposium</v>
      </c>
      <c r="B9314" s="8" t="str">
        <f>"9781424476404"</f>
        <v>9781424476404</v>
      </c>
      <c r="C9314" s="8" t="s">
        <v>9</v>
      </c>
    </row>
    <row r="9315" spans="1:3" x14ac:dyDescent="0.25">
      <c r="A9315" s="8" t="str">
        <f>"ICSC 2007 International Conference on Semantic Computing"</f>
        <v>ICSC 2007 International Conference on Semantic Computing</v>
      </c>
      <c r="B9315" s="8" t="str">
        <f>"9780769529974"</f>
        <v>9780769529974</v>
      </c>
      <c r="C9315" s="8" t="s">
        <v>9</v>
      </c>
    </row>
    <row r="9316" spans="1:3" x14ac:dyDescent="0.25">
      <c r="A9316" s="8" t="str">
        <f>"ICSC 2009 - 2009 IEEE International Conference on Semantic Computing"</f>
        <v>ICSC 2009 - 2009 IEEE International Conference on Semantic Computing</v>
      </c>
      <c r="B9316" s="8" t="str">
        <f>"9780769538006"</f>
        <v>9780769538006</v>
      </c>
      <c r="C9316" s="8" t="s">
        <v>9</v>
      </c>
    </row>
    <row r="9317" spans="1:3" x14ac:dyDescent="0.25">
      <c r="A9317" s="8" t="str">
        <f>"ICSCCW 2009 - 5th International Conference on Soft Computing, Computing with Words and Perceptions in System Analysis, Decision and Control"</f>
        <v>ICSCCW 2009 - 5th International Conference on Soft Computing, Computing with Words and Perceptions in System Analysis, Decision and Control</v>
      </c>
      <c r="B9317" s="8" t="str">
        <f>"9781424434282"</f>
        <v>9781424434282</v>
      </c>
      <c r="C9317" s="8" t="s">
        <v>9</v>
      </c>
    </row>
    <row r="9318" spans="1:3" x14ac:dyDescent="0.25">
      <c r="A9318" s="8" t="str">
        <f>"ICSCS 2012 - 2012 1st International Conference on Systems and Computer Science"</f>
        <v>ICSCS 2012 - 2012 1st International Conference on Systems and Computer Science</v>
      </c>
      <c r="B9318" s="8" t="str">
        <f>"9781467306720"</f>
        <v>9781467306720</v>
      </c>
      <c r="C9318" s="8" t="s">
        <v>9</v>
      </c>
    </row>
    <row r="9319" spans="1:3" x14ac:dyDescent="0.25">
      <c r="A9319" s="8" t="str">
        <f>"ICSDC 2011: Integrating Sustainability Practices in the Construction Industry - Proceedings of the International Conference on Sustainable Design and Construction 2011"</f>
        <v>ICSDC 2011: Integrating Sustainability Practices in the Construction Industry - Proceedings of the International Conference on Sustainable Design and Construction 2011</v>
      </c>
      <c r="B9319" s="8" t="str">
        <f>"9780784412046"</f>
        <v>9780784412046</v>
      </c>
      <c r="C9319" s="8" t="s">
        <v>111</v>
      </c>
    </row>
    <row r="9320" spans="1:3" x14ac:dyDescent="0.25">
      <c r="A9320" s="8" t="str">
        <f>"ICSDEC 2012: Developing the Frontier of Sustainable Design, Engineering, and Construction - Proceedings of the 2012 International Conference on Sustainable Design and Construction"</f>
        <v>ICSDEC 2012: Developing the Frontier of Sustainable Design, Engineering, and Construction - Proceedings of the 2012 International Conference on Sustainable Design and Construction</v>
      </c>
      <c r="B9320" s="8" t="str">
        <f>"9780784412688"</f>
        <v>9780784412688</v>
      </c>
      <c r="C9320" s="8" t="s">
        <v>111</v>
      </c>
    </row>
    <row r="9321" spans="1:3" x14ac:dyDescent="0.25">
      <c r="A9321" s="8" t="str">
        <f>"ICSDM 2011 - Proceedings 2011 IEEE International Conference on Spatial Data Mining and Geographical Knowledge Services"</f>
        <v>ICSDM 2011 - Proceedings 2011 IEEE International Conference on Spatial Data Mining and Geographical Knowledge Services</v>
      </c>
      <c r="B9321" s="8" t="str">
        <f>"9781424483495"</f>
        <v>9781424483495</v>
      </c>
      <c r="C9321" s="8" t="s">
        <v>9</v>
      </c>
    </row>
    <row r="9322" spans="1:3" x14ac:dyDescent="0.25">
      <c r="A9322" s="8" t="str">
        <f>"ICSES'06 - International Conference on Signals and Electronic Systems, Proceedings"</f>
        <v>ICSES'06 - International Conference on Signals and Electronic Systems, Proceedings</v>
      </c>
      <c r="B9322" s="8" t="str">
        <f>"9788392117261"</f>
        <v>9788392117261</v>
      </c>
      <c r="C9322" s="8" t="s">
        <v>1890</v>
      </c>
    </row>
    <row r="9323" spans="1:3" x14ac:dyDescent="0.25">
      <c r="A9323" s="8" t="str">
        <f>"ICSES'08 - ICSES 2008 International Conference on Signals and Electronic Systems, Proceedings"</f>
        <v>ICSES'08 - ICSES 2008 International Conference on Signals and Electronic Systems, Proceedings</v>
      </c>
      <c r="B9323" s="8" t="str">
        <f>"9788388309526"</f>
        <v>9788388309526</v>
      </c>
      <c r="C9323" s="8" t="s">
        <v>9</v>
      </c>
    </row>
    <row r="9324" spans="1:3" x14ac:dyDescent="0.25">
      <c r="A9324" s="8" t="str">
        <f>"ICSESS 2011 - Proceedings: 2011 IEEE 2nd International Conference on Software Engineering and Service Science"</f>
        <v>ICSESS 2011 - Proceedings: 2011 IEEE 2nd International Conference on Software Engineering and Service Science</v>
      </c>
      <c r="B9324" s="8" t="str">
        <f>"9781424496969"</f>
        <v>9781424496969</v>
      </c>
      <c r="C9324" s="8" t="s">
        <v>9</v>
      </c>
    </row>
    <row r="9325" spans="1:3" x14ac:dyDescent="0.25">
      <c r="A9325" s="8" t="str">
        <f>"ICSESS 2012 - Proceedings of 2012 IEEE 3rd International Conference on Software Engineering and Service Science"</f>
        <v>ICSESS 2012 - Proceedings of 2012 IEEE 3rd International Conference on Software Engineering and Service Science</v>
      </c>
      <c r="B9325" s="8" t="str">
        <f>"9781467320054"</f>
        <v>9781467320054</v>
      </c>
      <c r="C9325" s="8" t="s">
        <v>9</v>
      </c>
    </row>
    <row r="9326" spans="1:3" x14ac:dyDescent="0.25">
      <c r="A9326" s="8" t="str">
        <f>"ICSI 2014: Creating Infrastructure for a Sustainable World - Proceedings of the 2014 International Conference on Sustainable Infrastructure"</f>
        <v>ICSI 2014: Creating Infrastructure for a Sustainable World - Proceedings of the 2014 International Conference on Sustainable Infrastructure</v>
      </c>
      <c r="B9326" s="8" t="str">
        <f>"9780784478745"</f>
        <v>9780784478745</v>
      </c>
      <c r="C9326" s="8" t="s">
        <v>111</v>
      </c>
    </row>
    <row r="9327" spans="1:3" x14ac:dyDescent="0.25">
      <c r="A9327" s="8" t="str">
        <f>"ICSICT 2012 - 2012 IEEE 11th International Conference on Solid-State and Integrated Circuit Technology, Proceedings"</f>
        <v>ICSICT 2012 - 2012 IEEE 11th International Conference on Solid-State and Integrated Circuit Technology, Proceedings</v>
      </c>
      <c r="B9327" s="8" t="str">
        <f>"9781467324724"</f>
        <v>9781467324724</v>
      </c>
      <c r="C9327" s="8" t="s">
        <v>9</v>
      </c>
    </row>
    <row r="9328" spans="1:3" x14ac:dyDescent="0.25">
      <c r="A9328" s="8" t="str">
        <f>"ICSICT-2006: 2006 8th International Conference on Solid-State and Integrated Circuit Technology, Proceedings"</f>
        <v>ICSICT-2006: 2006 8th International Conference on Solid-State and Integrated Circuit Technology, Proceedings</v>
      </c>
      <c r="B9328" s="8" t="str">
        <f>"9781424401611"</f>
        <v>9781424401611</v>
      </c>
      <c r="C9328" s="8" t="s">
        <v>9</v>
      </c>
    </row>
    <row r="9329" spans="1:3" x14ac:dyDescent="0.25">
      <c r="A9329" s="8" t="str">
        <f>"ICSICT-2010 - 2010 10th IEEE International Conference on Solid-State and Integrated Circuit Technology, Proceedings"</f>
        <v>ICSICT-2010 - 2010 10th IEEE International Conference on Solid-State and Integrated Circuit Technology, Proceedings</v>
      </c>
      <c r="B9329" s="8" t="str">
        <f>"9781424457984"</f>
        <v>9781424457984</v>
      </c>
      <c r="C9329" s="8" t="s">
        <v>9</v>
      </c>
    </row>
    <row r="9330" spans="1:3" x14ac:dyDescent="0.25">
      <c r="A9330" s="8" t="str">
        <f>"ICSIPA09 - 2009 IEEE International Conference on Signal and Image Processing Applications, Conference Proceedings"</f>
        <v>ICSIPA09 - 2009 IEEE International Conference on Signal and Image Processing Applications, Conference Proceedings</v>
      </c>
      <c r="B9330" s="8" t="str">
        <f>"9781424455614"</f>
        <v>9781424455614</v>
      </c>
      <c r="C9330" s="8" t="s">
        <v>9</v>
      </c>
    </row>
    <row r="9331" spans="1:3" x14ac:dyDescent="0.25">
      <c r="A9331" s="8" t="str">
        <f>"ICSJ 2013 - IEEE CPMT Symposium Japan"</f>
        <v>ICSJ 2013 - IEEE CPMT Symposium Japan</v>
      </c>
      <c r="B9331" s="8" t="str">
        <f>"9781479908776"</f>
        <v>9781479908776</v>
      </c>
      <c r="C9331" s="8" t="s">
        <v>9</v>
      </c>
    </row>
    <row r="9332" spans="1:3" x14ac:dyDescent="0.25">
      <c r="A9332" s="8" t="str">
        <f>"ICSMA 2008 - International Conference on Smart Manufacturing Application"</f>
        <v>ICSMA 2008 - International Conference on Smart Manufacturing Application</v>
      </c>
      <c r="B9332" s="8" t="str">
        <f>"9788995003886"</f>
        <v>9788995003886</v>
      </c>
      <c r="C9332" s="8" t="s">
        <v>9</v>
      </c>
    </row>
    <row r="9333" spans="1:3" x14ac:dyDescent="0.25">
      <c r="A9333" s="8" t="str">
        <f>"ICSOC '04: Proceedings of the Second International Conference on Service Oriented Computing"</f>
        <v>ICSOC '04: Proceedings of the Second International Conference on Service Oriented Computing</v>
      </c>
      <c r="B9333" s="8" t="str">
        <f>"9781581138719"</f>
        <v>9781581138719</v>
      </c>
      <c r="C9333" s="8" t="s">
        <v>21</v>
      </c>
    </row>
    <row r="9334" spans="1:3" x14ac:dyDescent="0.25">
      <c r="A9334" s="8" t="str">
        <f>"ICSOFT 2006 - 1st International Conference on Software and Data Technologies, Proceedings"</f>
        <v>ICSOFT 2006 - 1st International Conference on Software and Data Technologies, Proceedings</v>
      </c>
      <c r="B9334" s="8" t="str">
        <f>"9789728865696"</f>
        <v>9789728865696</v>
      </c>
      <c r="C9334" s="8" t="s">
        <v>1680</v>
      </c>
    </row>
    <row r="9335" spans="1:3" x14ac:dyDescent="0.25">
      <c r="A9335" s="8" t="str">
        <f>"ICSOFT 2007 - 2nd International Conference on Software and Data Technologies, Proceedings"</f>
        <v>ICSOFT 2007 - 2nd International Conference on Software and Data Technologies, Proceedings</v>
      </c>
      <c r="B9335" s="8" t="str">
        <f>"-"</f>
        <v>-</v>
      </c>
      <c r="C9335" s="8" t="s">
        <v>1680</v>
      </c>
    </row>
    <row r="9336" spans="1:3" x14ac:dyDescent="0.25">
      <c r="A9336" s="8" t="str">
        <f>"ICSOFT 2008 - 3rd International Conference on Software and Data Technologies, Proceedings"</f>
        <v>ICSOFT 2008 - 3rd International Conference on Software and Data Technologies, Proceedings</v>
      </c>
      <c r="B9336" s="8" t="str">
        <f>"9789898111531"</f>
        <v>9789898111531</v>
      </c>
      <c r="C9336" s="8" t="s">
        <v>1553</v>
      </c>
    </row>
    <row r="9337" spans="1:3" x14ac:dyDescent="0.25">
      <c r="A9337" s="8" t="str">
        <f>"ICSOFT 2008 - Proceedings of the 3rd International Conference on Software and Data Technologies"</f>
        <v>ICSOFT 2008 - Proceedings of the 3rd International Conference on Software and Data Technologies</v>
      </c>
      <c r="B9337" s="8" t="str">
        <f>"9789898111517"</f>
        <v>9789898111517</v>
      </c>
      <c r="C9337" s="8" t="s">
        <v>1553</v>
      </c>
    </row>
    <row r="9338" spans="1:3" x14ac:dyDescent="0.25">
      <c r="A9338" s="8" t="str">
        <f>"ICSOFT 2008 - Proceedings of the 3rd International Conference on Software and Data Technologies"</f>
        <v>ICSOFT 2008 - Proceedings of the 3rd International Conference on Software and Data Technologies</v>
      </c>
      <c r="B9338" s="8" t="str">
        <f>"9789898111524"</f>
        <v>9789898111524</v>
      </c>
      <c r="C9338" s="8" t="s">
        <v>1553</v>
      </c>
    </row>
    <row r="9339" spans="1:3" x14ac:dyDescent="0.25">
      <c r="A9339" s="8" t="str">
        <f>"ICSOFT 2009 - 4th International Conference on Software and Data Technologies, Proceedings"</f>
        <v>ICSOFT 2009 - 4th International Conference on Software and Data Technologies, Proceedings</v>
      </c>
      <c r="B9339" s="8" t="str">
        <f>"9789896740092"</f>
        <v>9789896740092</v>
      </c>
      <c r="C9339" s="8" t="s">
        <v>1680</v>
      </c>
    </row>
    <row r="9340" spans="1:3" x14ac:dyDescent="0.25">
      <c r="A9340" s="8" t="str">
        <f>"ICSOFT 2010 - Proceedings of the 5th International Conference on Software and Data Technologies"</f>
        <v>ICSOFT 2010 - Proceedings of the 5th International Conference on Software and Data Technologies</v>
      </c>
      <c r="B9340" s="8" t="str">
        <f>"9789898425225"</f>
        <v>9789898425225</v>
      </c>
      <c r="C9340" s="8" t="s">
        <v>1553</v>
      </c>
    </row>
    <row r="9341" spans="1:3" x14ac:dyDescent="0.25">
      <c r="A9341" s="8" t="str">
        <f>"ICSOFT 2011 - Proceedings of the 6th International Conference on Software and Database Technologies"</f>
        <v>ICSOFT 2011 - Proceedings of the 6th International Conference on Software and Database Technologies</v>
      </c>
      <c r="B9341" s="8" t="str">
        <f>"-"</f>
        <v>-</v>
      </c>
      <c r="C9341" s="8" t="s">
        <v>1680</v>
      </c>
    </row>
    <row r="9342" spans="1:3" x14ac:dyDescent="0.25">
      <c r="A9342" s="8" t="str">
        <f>"ICSOFT 2012 - Proceedings of the 7th International Conference on Software Paradigm Trends"</f>
        <v>ICSOFT 2012 - Proceedings of the 7th International Conference on Software Paradigm Trends</v>
      </c>
      <c r="B9342" s="8" t="str">
        <f>"9789898565198"</f>
        <v>9789898565198</v>
      </c>
      <c r="C9342" s="8" t="s">
        <v>1197</v>
      </c>
    </row>
    <row r="9343" spans="1:3" x14ac:dyDescent="0.25">
      <c r="A9343" s="8" t="str">
        <f>"ICSOFT 2013 - Proceedings of the 8th International Joint Conference on Software Technologies"</f>
        <v>ICSOFT 2013 - Proceedings of the 8th International Joint Conference on Software Technologies</v>
      </c>
      <c r="B9343" s="8" t="str">
        <f>"9789898565686"</f>
        <v>9789898565686</v>
      </c>
      <c r="C9343" s="8" t="s">
        <v>1197</v>
      </c>
    </row>
    <row r="9344" spans="1:3" x14ac:dyDescent="0.25">
      <c r="A9344" s="8" t="str">
        <f>"ICSOFT-EA 2014 - Proceedings of the 9th International Conference on Software Engineering and Applications"</f>
        <v>ICSOFT-EA 2014 - Proceedings of the 9th International Conference on Software Engineering and Applications</v>
      </c>
      <c r="B9344" s="8" t="str">
        <f>"9789897580369"</f>
        <v>9789897580369</v>
      </c>
      <c r="C9344" s="8" t="s">
        <v>1197</v>
      </c>
    </row>
    <row r="9345" spans="1:3" x14ac:dyDescent="0.25">
      <c r="A9345" s="8" t="str">
        <f>"ICSOFT-PT 2014 - Proceedings of the 9th International Conference on Software Paradigm Trends"</f>
        <v>ICSOFT-PT 2014 - Proceedings of the 9th International Conference on Software Paradigm Trends</v>
      </c>
      <c r="B9345" s="8" t="str">
        <f>"9789897580376"</f>
        <v>9789897580376</v>
      </c>
      <c r="C9345" s="8" t="s">
        <v>1197</v>
      </c>
    </row>
    <row r="9346" spans="1:3" x14ac:dyDescent="0.25">
      <c r="A9346" s="8" t="str">
        <f>"ICSPC 2007 Proceedings - 2007 IEEE International Conference on Signal Processing and Communications"</f>
        <v>ICSPC 2007 Proceedings - 2007 IEEE International Conference on Signal Processing and Communications</v>
      </c>
      <c r="B9346" s="8" t="str">
        <f>"9781424412365"</f>
        <v>9781424412365</v>
      </c>
      <c r="C9346" s="8" t="s">
        <v>9</v>
      </c>
    </row>
    <row r="9347" spans="1:3" x14ac:dyDescent="0.25">
      <c r="A9347" s="8" t="str">
        <f>"icSPORTS 2013 - Proceedings of the International Congress on Sports Science Research and Technology Support"</f>
        <v>icSPORTS 2013 - Proceedings of the International Congress on Sports Science Research and Technology Support</v>
      </c>
      <c r="B9347" s="8" t="str">
        <f>"9789898565792"</f>
        <v>9789898565792</v>
      </c>
      <c r="C9347" s="8" t="s">
        <v>1197</v>
      </c>
    </row>
    <row r="9348" spans="1:3" x14ac:dyDescent="0.25">
      <c r="A9348" s="8" t="str">
        <f>"icSPORTS 2014 - Proceedings of the 2nd International Congress on Sports Sciences Research and Technology Support"</f>
        <v>icSPORTS 2014 - Proceedings of the 2nd International Congress on Sports Sciences Research and Technology Support</v>
      </c>
      <c r="B9348" s="8" t="str">
        <f>"9789897580574"</f>
        <v>9789897580574</v>
      </c>
      <c r="C9348" s="8" t="s">
        <v>1680</v>
      </c>
    </row>
    <row r="9349" spans="1:3" x14ac:dyDescent="0.25">
      <c r="A9349" s="8" t="str">
        <f>"ICSPS 2010 - Proceedings of the 2010 2nd International Conference on Signal Processing Systems"</f>
        <v>ICSPS 2010 - Proceedings of the 2010 2nd International Conference on Signal Processing Systems</v>
      </c>
      <c r="B9349" s="8" t="str">
        <f>"9781424468911"</f>
        <v>9781424468911</v>
      </c>
      <c r="C9349" s="8" t="s">
        <v>9</v>
      </c>
    </row>
    <row r="9350" spans="1:3" x14ac:dyDescent="0.25">
      <c r="A9350" s="8" t="s">
        <v>1891</v>
      </c>
      <c r="B9350" s="8" t="str">
        <f>"9781467315821"</f>
        <v>9781467315821</v>
      </c>
      <c r="C9350" s="8" t="s">
        <v>9</v>
      </c>
    </row>
    <row r="9351" spans="1:3" x14ac:dyDescent="0.25">
      <c r="A9351" s="8" t="str">
        <f>"ICSSE 2013 - IEEE International Conference on System Science and Engineering, Proceedings"</f>
        <v>ICSSE 2013 - IEEE International Conference on System Science and Engineering, Proceedings</v>
      </c>
      <c r="B9351" s="8" t="str">
        <f>"9781479900091"</f>
        <v>9781479900091</v>
      </c>
      <c r="C9351" s="8" t="s">
        <v>9</v>
      </c>
    </row>
    <row r="9352" spans="1:3" x14ac:dyDescent="0.25">
      <c r="A9352" s="8" t="str">
        <f>"ICST 2010 - 3rd International Conference on Software Testing, Verification and Validation"</f>
        <v>ICST 2010 - 3rd International Conference on Software Testing, Verification and Validation</v>
      </c>
      <c r="B9352" s="8" t="str">
        <f>"9780769539904"</f>
        <v>9780769539904</v>
      </c>
      <c r="C9352" s="8" t="s">
        <v>9</v>
      </c>
    </row>
    <row r="9353" spans="1:3" x14ac:dyDescent="0.25">
      <c r="A9353" s="8" t="str">
        <f>"ICSTE 2010 - 2010 2nd International Conference on Software Technology and Engineering, Proceedings"</f>
        <v>ICSTE 2010 - 2010 2nd International Conference on Software Technology and Engineering, Proceedings</v>
      </c>
      <c r="B9353" s="8" t="str">
        <f>"9781424486656"</f>
        <v>9781424486656</v>
      </c>
      <c r="C9353" s="8" t="s">
        <v>9</v>
      </c>
    </row>
    <row r="9354" spans="1:3" x14ac:dyDescent="0.25">
      <c r="A9354" s="8" t="str">
        <f>"ICSTW 2010 - 3rd International Conference on Software Testing, Verification, and Validation Workshops"</f>
        <v>ICSTW 2010 - 3rd International Conference on Software Testing, Verification, and Validation Workshops</v>
      </c>
      <c r="B9354" s="8" t="str">
        <f>"9780769540504"</f>
        <v>9780769540504</v>
      </c>
      <c r="C9354" s="8" t="s">
        <v>9</v>
      </c>
    </row>
    <row r="9355" spans="1:3" x14ac:dyDescent="0.25">
      <c r="A9355" s="8" t="str">
        <f>"ICT 2010: 2010 17th International Conference on Telecommunications"</f>
        <v>ICT 2010: 2010 17th International Conference on Telecommunications</v>
      </c>
      <c r="B9355" s="8" t="str">
        <f>"9781424452477"</f>
        <v>9781424452477</v>
      </c>
      <c r="C9355" s="8" t="s">
        <v>9</v>
      </c>
    </row>
    <row r="9356" spans="1:3" x14ac:dyDescent="0.25">
      <c r="A9356" s="8" t="str">
        <f>"ICT for Sustainability 2014, ICT4S 2014"</f>
        <v>ICT for Sustainability 2014, ICT4S 2014</v>
      </c>
      <c r="B9356" s="8" t="str">
        <f>"9789462520226"</f>
        <v>9789462520226</v>
      </c>
      <c r="C9356" s="8" t="s">
        <v>1380</v>
      </c>
    </row>
    <row r="9357" spans="1:3" x14ac:dyDescent="0.25">
      <c r="A9357" s="8" t="str">
        <f>"ICT4AgeingWell 2015 - Proceedings of the 1st International Conference on Information and Communication Technologies for Ageing Well and e-Health"</f>
        <v>ICT4AgeingWell 2015 - Proceedings of the 1st International Conference on Information and Communication Technologies for Ageing Well and e-Health</v>
      </c>
      <c r="B9357" s="8" t="str">
        <f>"9789897581021"</f>
        <v>9789897581021</v>
      </c>
      <c r="C9357" s="8" t="s">
        <v>1197</v>
      </c>
    </row>
    <row r="9358" spans="1:3" x14ac:dyDescent="0.25">
      <c r="A9358" s="8" t="str">
        <f>"ICTB-VII - Proceedings of the 7th International Conference on Tall Buildings"</f>
        <v>ICTB-VII - Proceedings of the 7th International Conference on Tall Buildings</v>
      </c>
      <c r="B9358" s="8" t="str">
        <f>"9789628014194"</f>
        <v>9789628014194</v>
      </c>
      <c r="C9358" s="8" t="s">
        <v>1554</v>
      </c>
    </row>
    <row r="9359" spans="1:3" x14ac:dyDescent="0.25">
      <c r="A9359" s="8" t="str">
        <f>"ICTCA 2011 - 10th International Conference on Theoretical and Computational Acoustics, Proceeding"</f>
        <v>ICTCA 2011 - 10th International Conference on Theoretical and Computational Acoustics, Proceeding</v>
      </c>
      <c r="B9359" s="8" t="str">
        <f>"-"</f>
        <v>-</v>
      </c>
      <c r="C9359" s="8" t="s">
        <v>1793</v>
      </c>
    </row>
    <row r="9360" spans="1:3" x14ac:dyDescent="0.25">
      <c r="A9360" s="8" t="str">
        <f>"ICTE 2011 - Proceedings of the 3rd International Conference on Transportation Engineering"</f>
        <v>ICTE 2011 - Proceedings of the 3rd International Conference on Transportation Engineering</v>
      </c>
      <c r="B9360" s="8" t="str">
        <f>"9780784411841"</f>
        <v>9780784411841</v>
      </c>
      <c r="C9360" s="8" t="s">
        <v>111</v>
      </c>
    </row>
    <row r="9361" spans="1:3" x14ac:dyDescent="0.25">
      <c r="A9361" s="8" t="str">
        <f>"ICTE 2013 - Proceedings of the 4th International Conference on Transportation Engineering"</f>
        <v>ICTE 2013 - Proceedings of the 4th International Conference on Transportation Engineering</v>
      </c>
      <c r="B9361" s="8" t="str">
        <f>"9780784413159"</f>
        <v>9780784413159</v>
      </c>
      <c r="C9361" s="8" t="s">
        <v>111</v>
      </c>
    </row>
    <row r="9362" spans="1:3" x14ac:dyDescent="0.25">
      <c r="A9362" s="8" t="str">
        <f>"ICTIS 2011: Multimodal Approach to Sustained Transportation System Development - Information, Technology, Implementation - Proceedings of the 1st Int. Conf. on Transportation Information and Safety"</f>
        <v>ICTIS 2011: Multimodal Approach to Sustained Transportation System Development - Information, Technology, Implementation - Proceedings of the 1st Int. Conf. on Transportation Information and Safety</v>
      </c>
      <c r="B9362" s="8" t="str">
        <f>"9780784411773"</f>
        <v>9780784411773</v>
      </c>
      <c r="C9362" s="8" t="s">
        <v>111</v>
      </c>
    </row>
    <row r="9363" spans="1:3" x14ac:dyDescent="0.25">
      <c r="A9363" s="8" t="str">
        <f>"ICTIS 2013: Improving Multimodal Transportation Systems - Information, Safety, and Integration - Proceedings of the 2nd International Conference on Transportation Information and Safety"</f>
        <v>ICTIS 2013: Improving Multimodal Transportation Systems - Information, Safety, and Integration - Proceedings of the 2nd International Conference on Transportation Information and Safety</v>
      </c>
      <c r="B9363" s="8" t="str">
        <f>"9780784413036"</f>
        <v>9780784413036</v>
      </c>
      <c r="C9363" s="8" t="s">
        <v>111</v>
      </c>
    </row>
    <row r="9364" spans="1:3" x14ac:dyDescent="0.25">
      <c r="A9364" s="8" t="str">
        <f>"ICTKE 2009 - Proceedings 2009 7th International Conference on ICT and Knowledge Engineering"</f>
        <v>ICTKE 2009 - Proceedings 2009 7th International Conference on ICT and Knowledge Engineering</v>
      </c>
      <c r="B9364" s="8" t="str">
        <f>"9781424445141"</f>
        <v>9781424445141</v>
      </c>
      <c r="C9364" s="8" t="s">
        <v>9</v>
      </c>
    </row>
    <row r="9365" spans="1:3" x14ac:dyDescent="0.25">
      <c r="A9365" s="8" t="str">
        <f>"ICTON 2009: 11th International Conference on Transparent Optical Networks"</f>
        <v>ICTON 2009: 11th International Conference on Transparent Optical Networks</v>
      </c>
      <c r="B9365" s="8" t="str">
        <f>"9781424448265"</f>
        <v>9781424448265</v>
      </c>
      <c r="C9365" s="8" t="s">
        <v>9</v>
      </c>
    </row>
    <row r="9366" spans="1:3" x14ac:dyDescent="0.25">
      <c r="A9366" s="8" t="s">
        <v>1892</v>
      </c>
      <c r="B9366" s="8" t="str">
        <f>"9781424434855"</f>
        <v>9781424434855</v>
      </c>
      <c r="C9366" s="8" t="s">
        <v>9</v>
      </c>
    </row>
    <row r="9367" spans="1:3" x14ac:dyDescent="0.25">
      <c r="A9367" s="8" t="s">
        <v>1893</v>
      </c>
      <c r="B9367" s="8" t="str">
        <f>"9781424416394"</f>
        <v>9781424416394</v>
      </c>
      <c r="C9367" s="8" t="s">
        <v>9</v>
      </c>
    </row>
    <row r="9368" spans="1:3" x14ac:dyDescent="0.25">
      <c r="A9368" s="8" t="str">
        <f>"ICU 2005: 2005 IEEE International Conference on Ultra-Wideband, Conference Proceedings"</f>
        <v>ICU 2005: 2005 IEEE International Conference on Ultra-Wideband, Conference Proceedings</v>
      </c>
      <c r="B9368" s="8" t="str">
        <f>"-"</f>
        <v>-</v>
      </c>
      <c r="C9368" s="8" t="s">
        <v>9</v>
      </c>
    </row>
    <row r="9369" spans="1:3" x14ac:dyDescent="0.25">
      <c r="A9369" s="8" t="str">
        <f>"ICUFN 2010 - 2nd International Conference on Ubiquitous and Future Networks"</f>
        <v>ICUFN 2010 - 2nd International Conference on Ubiquitous and Future Networks</v>
      </c>
      <c r="B9369" s="8" t="str">
        <f>"9781424480883"</f>
        <v>9781424480883</v>
      </c>
      <c r="C9369" s="8" t="s">
        <v>9</v>
      </c>
    </row>
    <row r="9370" spans="1:3" x14ac:dyDescent="0.25">
      <c r="A9370" s="8" t="str">
        <f>"ICUFN 2011 - 3rd International Conference on Ubiquitous and Future Networks"</f>
        <v>ICUFN 2011 - 3rd International Conference on Ubiquitous and Future Networks</v>
      </c>
      <c r="B9370" s="8" t="str">
        <f>"9781457711763"</f>
        <v>9781457711763</v>
      </c>
      <c r="C9370" s="8" t="s">
        <v>9</v>
      </c>
    </row>
    <row r="9371" spans="1:3" x14ac:dyDescent="0.25">
      <c r="A9371" s="8" t="str">
        <f>"ICUFN 2012 - 4th International Conference on Ubiquitous and Future Networks, Final Program"</f>
        <v>ICUFN 2012 - 4th International Conference on Ubiquitous and Future Networks, Final Program</v>
      </c>
      <c r="B9371" s="8" t="str">
        <f>"9781467313773"</f>
        <v>9781467313773</v>
      </c>
      <c r="C9371" s="8" t="s">
        <v>9</v>
      </c>
    </row>
    <row r="9372" spans="1:3" x14ac:dyDescent="0.25">
      <c r="A9372" s="8" t="str">
        <f>"ICUWB2006: 2006 IEEE International Conference on Ultra-Wideband - Proceedings"</f>
        <v>ICUWB2006: 2006 IEEE International Conference on Ultra-Wideband - Proceedings</v>
      </c>
      <c r="B9372" s="8" t="str">
        <f>"9781424401024"</f>
        <v>9781424401024</v>
      </c>
      <c r="C9372" s="8" t="s">
        <v>9</v>
      </c>
    </row>
    <row r="9373" spans="1:3" x14ac:dyDescent="0.25">
      <c r="A9373" s="8" t="str">
        <f>"ICVES 2009 - 2009 IEEE International Conference on Vehicular Electronics and Safety"</f>
        <v>ICVES 2009 - 2009 IEEE International Conference on Vehicular Electronics and Safety</v>
      </c>
      <c r="B9373" s="8" t="str">
        <f>"9781424454419"</f>
        <v>9781424454419</v>
      </c>
      <c r="C9373" s="8" t="s">
        <v>9</v>
      </c>
    </row>
    <row r="9374" spans="1:3" x14ac:dyDescent="0.25">
      <c r="A9374" s="8" t="str">
        <f>"ICWE'06: The Sixth International Conference on Web Engineering"</f>
        <v>ICWE'06: The Sixth International Conference on Web Engineering</v>
      </c>
      <c r="B9374" s="8" t="str">
        <f>"9781595933522"</f>
        <v>9781595933522</v>
      </c>
      <c r="C9374" s="8" t="s">
        <v>21</v>
      </c>
    </row>
    <row r="9375" spans="1:3" x14ac:dyDescent="0.25">
      <c r="A9375" s="8" t="str">
        <f>"ICWET 2010 - International Conference and Workshop on Emerging Trends in Technology 2010, Conference Proceedings"</f>
        <v>ICWET 2010 - International Conference and Workshop on Emerging Trends in Technology 2010, Conference Proceedings</v>
      </c>
      <c r="B9375" s="8" t="str">
        <f>"9781605588124"</f>
        <v>9781605588124</v>
      </c>
      <c r="C9375" s="8" t="s">
        <v>21</v>
      </c>
    </row>
    <row r="9376" spans="1:3" x14ac:dyDescent="0.25">
      <c r="A9376" s="8" t="str">
        <f>"ICWiSe 2014 - 2014 IEEE Conference on Wireless Sensors"</f>
        <v>ICWiSe 2014 - 2014 IEEE Conference on Wireless Sensors</v>
      </c>
      <c r="B9376" s="8" t="str">
        <f>"9781479955947"</f>
        <v>9781479955947</v>
      </c>
      <c r="C9376" s="8" t="s">
        <v>105</v>
      </c>
    </row>
    <row r="9377" spans="1:3" x14ac:dyDescent="0.25">
      <c r="A9377" s="8" t="str">
        <f>"ICWL 2008 - Short Paper Proceedings of the 7th International Conference on Web-Based Learning"</f>
        <v>ICWL 2008 - Short Paper Proceedings of the 7th International Conference on Web-Based Learning</v>
      </c>
      <c r="B9377" s="8" t="str">
        <f>"9780769535180"</f>
        <v>9780769535180</v>
      </c>
      <c r="C9377" s="8" t="s">
        <v>9</v>
      </c>
    </row>
    <row r="9378" spans="1:3" x14ac:dyDescent="0.25">
      <c r="A9378" s="8" t="str">
        <f>"ICWS 2010 - 2010 IEEE 8th International Conference on Web Services"</f>
        <v>ICWS 2010 - 2010 IEEE 8th International Conference on Web Services</v>
      </c>
      <c r="B9378" s="8" t="str">
        <f>"9780769541280"</f>
        <v>9780769541280</v>
      </c>
      <c r="C9378" s="8" t="s">
        <v>9</v>
      </c>
    </row>
    <row r="9379" spans="1:3" x14ac:dyDescent="0.25">
      <c r="A9379" s="8" t="str">
        <f>"ICWSM 2007 - International Conference on Weblogs and Social Media"</f>
        <v>ICWSM 2007 - International Conference on Weblogs and Social Media</v>
      </c>
      <c r="B9379" s="8" t="str">
        <f>"-"</f>
        <v>-</v>
      </c>
      <c r="C9379" s="8" t="s">
        <v>1257</v>
      </c>
    </row>
    <row r="9380" spans="1:3" x14ac:dyDescent="0.25">
      <c r="A9380" s="8" t="str">
        <f>"ICWSM 2008 - Proceedings of the 2nd International Conference on Weblogs and Social Media"</f>
        <v>ICWSM 2008 - Proceedings of the 2nd International Conference on Weblogs and Social Media</v>
      </c>
      <c r="B9380" s="8" t="str">
        <f>"9781577353553"</f>
        <v>9781577353553</v>
      </c>
      <c r="C9380" s="8" t="s">
        <v>1257</v>
      </c>
    </row>
    <row r="9381" spans="1:3" x14ac:dyDescent="0.25">
      <c r="A9381" s="8" t="str">
        <f>"ICWSM 2010 - Proceedings of the 4th International AAAI Conference on Weblogs and Social Media"</f>
        <v>ICWSM 2010 - Proceedings of the 4th International AAAI Conference on Weblogs and Social Media</v>
      </c>
      <c r="B9381" s="8" t="str">
        <f>"9781577354451"</f>
        <v>9781577354451</v>
      </c>
      <c r="C9381" s="8" t="s">
        <v>1257</v>
      </c>
    </row>
    <row r="9382" spans="1:3" x14ac:dyDescent="0.25">
      <c r="A9382" s="8" t="str">
        <f>"ICWSM 2012 - Proceedings of the 6th International AAAI Conference on Weblogs and Social Media"</f>
        <v>ICWSM 2012 - Proceedings of the 6th International AAAI Conference on Weblogs and Social Media</v>
      </c>
      <c r="B9382" s="8" t="str">
        <f>"9781577355564"</f>
        <v>9781577355564</v>
      </c>
      <c r="C9382" s="8" t="s">
        <v>956</v>
      </c>
    </row>
    <row r="9383" spans="1:3" x14ac:dyDescent="0.25">
      <c r="A9383" s="8" t="str">
        <f>"IDC 2002 - Information, Decision and Control, Final Program and Abstracts"</f>
        <v>IDC 2002 - Information, Decision and Control, Final Program and Abstracts</v>
      </c>
      <c r="B9383" s="8" t="str">
        <f>"9780780372702"</f>
        <v>9780780372702</v>
      </c>
      <c r="C9383" s="8" t="s">
        <v>105</v>
      </c>
    </row>
    <row r="9384" spans="1:3" x14ac:dyDescent="0.25">
      <c r="A9384" s="8" t="str">
        <f>"IDIMT 2012 - ICT Support for Complex Systems, 20th Interdisciplinary Information Management Talks"</f>
        <v>IDIMT 2012 - ICT Support for Complex Systems, 20th Interdisciplinary Information Management Talks</v>
      </c>
      <c r="B9384" s="8" t="str">
        <f>"9783990330227"</f>
        <v>9783990330227</v>
      </c>
      <c r="C9384" s="8" t="s">
        <v>1744</v>
      </c>
    </row>
    <row r="9385" spans="1:3" x14ac:dyDescent="0.25">
      <c r="A9385" s="8" t="str">
        <f>"IDIMT 2013 - Information Technology Human Values, Innovation and Economy, 21st Interdisciplinary Information Management Talks"</f>
        <v>IDIMT 2013 - Information Technology Human Values, Innovation and Economy, 21st Interdisciplinary Information Management Talks</v>
      </c>
      <c r="B9385" s="8" t="str">
        <f>"9783990330838"</f>
        <v>9783990330838</v>
      </c>
      <c r="C9385" s="8" t="s">
        <v>1744</v>
      </c>
    </row>
    <row r="9386" spans="1:3" x14ac:dyDescent="0.25">
      <c r="A9386" s="8" t="str">
        <f>"IDIMT 2014: Networking Societies - Cooperation and Conflict, 22nd Interdisciplinary Information Management Talks"</f>
        <v>IDIMT 2014: Networking Societies - Cooperation and Conflict, 22nd Interdisciplinary Information Management Talks</v>
      </c>
      <c r="B9386" s="8" t="str">
        <f>"9783990333402"</f>
        <v>9783990333402</v>
      </c>
      <c r="C9386" s="8" t="s">
        <v>1744</v>
      </c>
    </row>
    <row r="9387" spans="1:3" x14ac:dyDescent="0.25">
      <c r="A9387" s="8" t="str">
        <f>"IDMC 2007 - International Display Manufacturing Conference and FPD Expo - Proceedings"</f>
        <v>IDMC 2007 - International Display Manufacturing Conference and FPD Expo - Proceedings</v>
      </c>
      <c r="B9387" s="8" t="str">
        <f>"9789572852248"</f>
        <v>9789572852248</v>
      </c>
      <c r="C9387" s="8" t="s">
        <v>535</v>
      </c>
    </row>
    <row r="9388" spans="1:3" x14ac:dyDescent="0.25">
      <c r="A9388" s="8" t="str">
        <f>"IDT'10 - 2010 5th International Design and Test Workshop, Proceedings"</f>
        <v>IDT'10 - 2010 5th International Design and Test Workshop, Proceedings</v>
      </c>
      <c r="B9388" s="8" t="str">
        <f>"9781612842929"</f>
        <v>9781612842929</v>
      </c>
      <c r="C9388" s="8" t="s">
        <v>9</v>
      </c>
    </row>
    <row r="9389" spans="1:3" x14ac:dyDescent="0.25">
      <c r="A9389" s="8" t="str">
        <f>"IDtrust 2008: Proceedings of the 7th Symposium on Identity and Trust on the Internet"</f>
        <v>IDtrust 2008: Proceedings of the 7th Symposium on Identity and Trust on the Internet</v>
      </c>
      <c r="B9389" s="8" t="str">
        <f>"9781605580661"</f>
        <v>9781605580661</v>
      </c>
      <c r="C9389" s="8" t="s">
        <v>21</v>
      </c>
    </row>
    <row r="9390" spans="1:3" x14ac:dyDescent="0.25">
      <c r="A9390" s="8" t="str">
        <f>"IDW '06 - Proceedings of the 13th International Display Workshops"</f>
        <v>IDW '06 - Proceedings of the 13th International Display Workshops</v>
      </c>
      <c r="B9390" s="8" t="str">
        <f t="shared" ref="B9390:B9396" si="22">"-"</f>
        <v>-</v>
      </c>
      <c r="C9390" s="8" t="s">
        <v>828</v>
      </c>
    </row>
    <row r="9391" spans="1:3" x14ac:dyDescent="0.25">
      <c r="A9391" s="8" t="str">
        <f>"IDW '07 - Proceedings of the 14th International Display Workshops"</f>
        <v>IDW '07 - Proceedings of the 14th International Display Workshops</v>
      </c>
      <c r="B9391" s="8" t="str">
        <f t="shared" si="22"/>
        <v>-</v>
      </c>
      <c r="C9391" s="8" t="s">
        <v>828</v>
      </c>
    </row>
    <row r="9392" spans="1:3" x14ac:dyDescent="0.25">
      <c r="A9392" s="8" t="str">
        <f>"IDW '08 - Proceedings of the 15th International Display Workshops"</f>
        <v>IDW '08 - Proceedings of the 15th International Display Workshops</v>
      </c>
      <c r="B9392" s="8" t="str">
        <f t="shared" si="22"/>
        <v>-</v>
      </c>
      <c r="C9392" s="8" t="s">
        <v>828</v>
      </c>
    </row>
    <row r="9393" spans="1:3" x14ac:dyDescent="0.25">
      <c r="A9393" s="8" t="str">
        <f>"IDW '08 - Proceedings of the 15th International Display Workshops Additional Volume: 15th Anniversary Special Supplement Technical Review of CRTs"</f>
        <v>IDW '08 - Proceedings of the 15th International Display Workshops Additional Volume: 15th Anniversary Special Supplement Technical Review of CRTs</v>
      </c>
      <c r="B9393" s="8" t="str">
        <f t="shared" si="22"/>
        <v>-</v>
      </c>
      <c r="C9393" s="8" t="s">
        <v>828</v>
      </c>
    </row>
    <row r="9394" spans="1:3" x14ac:dyDescent="0.25">
      <c r="A9394" s="8" t="str">
        <f>"IDW '09 - Proceedings of the 16th International Display Workshops"</f>
        <v>IDW '09 - Proceedings of the 16th International Display Workshops</v>
      </c>
      <c r="B9394" s="8" t="str">
        <f t="shared" si="22"/>
        <v>-</v>
      </c>
      <c r="C9394" s="8" t="s">
        <v>828</v>
      </c>
    </row>
    <row r="9395" spans="1:3" x14ac:dyDescent="0.25">
      <c r="A9395" s="8" t="str">
        <f>"IDW/AD'05 - Proceedings of the 12th International Display Workshops in Conjunction with Asia Display 2005"</f>
        <v>IDW/AD'05 - Proceedings of the 12th International Display Workshops in Conjunction with Asia Display 2005</v>
      </c>
      <c r="B9395" s="8" t="str">
        <f t="shared" si="22"/>
        <v>-</v>
      </c>
      <c r="C9395" s="8" t="s">
        <v>535</v>
      </c>
    </row>
    <row r="9396" spans="1:3" x14ac:dyDescent="0.25">
      <c r="A9396" s="8" t="str">
        <f>"IDW'10 - Proceedings of the 17th International Display Workshops"</f>
        <v>IDW'10 - Proceedings of the 17th International Display Workshops</v>
      </c>
      <c r="B9396" s="8" t="str">
        <f t="shared" si="22"/>
        <v>-</v>
      </c>
      <c r="C9396" s="8" t="s">
        <v>535</v>
      </c>
    </row>
    <row r="9397" spans="1:3" x14ac:dyDescent="0.25">
      <c r="A9397" s="8" t="str">
        <f>"IE and EM 2009 - Proceedings 2009 IEEE 16th International Conference on Industrial Engineering and Engineering Management"</f>
        <v>IE and EM 2009 - Proceedings 2009 IEEE 16th International Conference on Industrial Engineering and Engineering Management</v>
      </c>
      <c r="B9397" s="8" t="str">
        <f>"9781424436705"</f>
        <v>9781424436705</v>
      </c>
      <c r="C9397" s="8" t="s">
        <v>9</v>
      </c>
    </row>
    <row r="9398" spans="1:3" x14ac:dyDescent="0.25">
      <c r="A9398" s="8" t="s">
        <v>1894</v>
      </c>
      <c r="B9398" s="8" t="str">
        <f>"9781479940844"</f>
        <v>9781479940844</v>
      </c>
      <c r="C9398" s="8" t="s">
        <v>105</v>
      </c>
    </row>
    <row r="9399" spans="1:3" x14ac:dyDescent="0.25">
      <c r="A9399" s="8" t="str">
        <f>"IEEE - 2011 Semiconductor Conference Dresden: Technology, Design, Packaging, Simulation and Test, SCD 2011 - International Conference, Workshop and Table-Top Exhibition"</f>
        <v>IEEE - 2011 Semiconductor Conference Dresden: Technology, Design, Packaging, Simulation and Test, SCD 2011 - International Conference, Workshop and Table-Top Exhibition</v>
      </c>
      <c r="B9399" s="8" t="str">
        <f>"9781457704291"</f>
        <v>9781457704291</v>
      </c>
      <c r="C9399" s="8" t="s">
        <v>9</v>
      </c>
    </row>
    <row r="9400" spans="1:3" x14ac:dyDescent="0.25">
      <c r="A9400" s="8" t="str">
        <f>"IEEE 10th International Workshop on Variable Structure Systems, VSS'08"</f>
        <v>IEEE 10th International Workshop on Variable Structure Systems, VSS'08</v>
      </c>
      <c r="B9400" s="8" t="str">
        <f>"9781424422005"</f>
        <v>9781424422005</v>
      </c>
      <c r="C9400" s="8" t="s">
        <v>9</v>
      </c>
    </row>
    <row r="9401" spans="1:3" x14ac:dyDescent="0.25">
      <c r="A9401" s="8" t="str">
        <f>"IEEE 10th Jubilee International Symposium on Applied Machine Intelligence and Informatics, SAMI 2012 - Proceedings"</f>
        <v>IEEE 10th Jubilee International Symposium on Applied Machine Intelligence and Informatics, SAMI 2012 - Proceedings</v>
      </c>
      <c r="B9401" s="8" t="str">
        <f>"9781457701979"</f>
        <v>9781457701979</v>
      </c>
      <c r="C9401" s="8" t="s">
        <v>9</v>
      </c>
    </row>
    <row r="9402" spans="1:3" x14ac:dyDescent="0.25">
      <c r="A9402" s="8" t="str">
        <f>"IEEE 12th International Conference on BioInformatics and BioEngineering, BIBE 2012"</f>
        <v>IEEE 12th International Conference on BioInformatics and BioEngineering, BIBE 2012</v>
      </c>
      <c r="B9402" s="8" t="str">
        <f>"9781467343589"</f>
        <v>9781467343589</v>
      </c>
      <c r="C9402" s="8" t="s">
        <v>9</v>
      </c>
    </row>
    <row r="9403" spans="1:3" x14ac:dyDescent="0.25">
      <c r="A9403" s="8" t="str">
        <f>"IEEE 13th International Working Conference on Source Code Analysis and Manipulation, SCAM 2013"</f>
        <v>IEEE 13th International Working Conference on Source Code Analysis and Manipulation, SCAM 2013</v>
      </c>
      <c r="B9403" s="8" t="str">
        <f>"9781467357395"</f>
        <v>9781467357395</v>
      </c>
      <c r="C9403" s="8" t="s">
        <v>9</v>
      </c>
    </row>
    <row r="9404" spans="1:3" x14ac:dyDescent="0.25">
      <c r="A9404" s="8" t="str">
        <f>"IEEE 15th International Conference on Advanced Robotics: New Boundaries for Robotics, ICAR 2011"</f>
        <v>IEEE 15th International Conference on Advanced Robotics: New Boundaries for Robotics, ICAR 2011</v>
      </c>
      <c r="B9404" s="8" t="str">
        <f>"9781457711589"</f>
        <v>9781457711589</v>
      </c>
      <c r="C9404" s="8" t="s">
        <v>9</v>
      </c>
    </row>
    <row r="9405" spans="1:3" x14ac:dyDescent="0.25">
      <c r="A9405" s="8" t="str">
        <f>"IEEE 2000 Adaptive Systems for Signal Processing, Communications, and Control Symposium, AS-SPCC 2000"</f>
        <v>IEEE 2000 Adaptive Systems for Signal Processing, Communications, and Control Symposium, AS-SPCC 2000</v>
      </c>
      <c r="B9405" s="8" t="str">
        <f>"9780780358003"</f>
        <v>9780780358003</v>
      </c>
      <c r="C9405" s="8" t="s">
        <v>105</v>
      </c>
    </row>
    <row r="9406" spans="1:3" x14ac:dyDescent="0.25">
      <c r="A9406" s="8" t="str">
        <f>"IEEE 2005 Symposium on Computational Intelligence and Games, CIG'05"</f>
        <v>IEEE 2005 Symposium on Computational Intelligence and Games, CIG'05</v>
      </c>
      <c r="B9406" s="8" t="str">
        <f>"-"</f>
        <v>-</v>
      </c>
      <c r="C9406" s="8" t="s">
        <v>9</v>
      </c>
    </row>
    <row r="9407" spans="1:3" x14ac:dyDescent="0.25">
      <c r="A9407" s="8" t="str">
        <f>"IEEE 2006 Biomedical Circuits and Systems Conference Healthcare Technology, BioCAS 2006"</f>
        <v>IEEE 2006 Biomedical Circuits and Systems Conference Healthcare Technology, BioCAS 2006</v>
      </c>
      <c r="B9407" s="8" t="str">
        <f>"9781424404377"</f>
        <v>9781424404377</v>
      </c>
      <c r="C9407" s="8" t="s">
        <v>9</v>
      </c>
    </row>
    <row r="9408" spans="1:3" x14ac:dyDescent="0.25">
      <c r="A9408" s="8" t="str">
        <f>"IEEE 2007 International Symposium on Microwave, Antenna, Propagation and EMC Technologies for Wireless Communications, MAPE"</f>
        <v>IEEE 2007 International Symposium on Microwave, Antenna, Propagation and EMC Technologies for Wireless Communications, MAPE</v>
      </c>
      <c r="B9408" s="8" t="str">
        <f>"9781424410446"</f>
        <v>9781424410446</v>
      </c>
      <c r="C9408" s="8" t="s">
        <v>9</v>
      </c>
    </row>
    <row r="9409" spans="1:3" x14ac:dyDescent="0.25">
      <c r="A9409" s="8" t="str">
        <f>"IEEE 2008 Silicon Nanoelectronics Workshop, SNW 2008"</f>
        <v>IEEE 2008 Silicon Nanoelectronics Workshop, SNW 2008</v>
      </c>
      <c r="B9409" s="8" t="str">
        <f>"9781424420711"</f>
        <v>9781424420711</v>
      </c>
      <c r="C9409" s="8" t="s">
        <v>9</v>
      </c>
    </row>
    <row r="9410" spans="1:3" x14ac:dyDescent="0.25">
      <c r="A9410" s="8" t="str">
        <f>"IEEE 2009 International Conference on Mechatronics, ICM 2009"</f>
        <v>IEEE 2009 International Conference on Mechatronics, ICM 2009</v>
      </c>
      <c r="B9410" s="8" t="str">
        <f>"9781424441952"</f>
        <v>9781424441952</v>
      </c>
      <c r="C9410" s="8" t="s">
        <v>9</v>
      </c>
    </row>
    <row r="9411" spans="1:3" x14ac:dyDescent="0.25">
      <c r="A9411" s="8" t="str">
        <f>"IEEE 2010 International Conference on Autonomous and Intelligent Systems, AIS 2010"</f>
        <v>IEEE 2010 International Conference on Autonomous and Intelligent Systems, AIS 2010</v>
      </c>
      <c r="B9411" s="8" t="str">
        <f>"9781424471072"</f>
        <v>9781424471072</v>
      </c>
      <c r="C9411" s="8" t="s">
        <v>9</v>
      </c>
    </row>
    <row r="9412" spans="1:3" x14ac:dyDescent="0.25">
      <c r="A9412" s="8" t="str">
        <f>"IEEE 2011 EnergyTech, ENERGYTECH 2011"</f>
        <v>IEEE 2011 EnergyTech, ENERGYTECH 2011</v>
      </c>
      <c r="B9412" s="8" t="str">
        <f>"9781457707773"</f>
        <v>9781457707773</v>
      </c>
      <c r="C9412" s="8" t="s">
        <v>9</v>
      </c>
    </row>
    <row r="9413" spans="1:3" x14ac:dyDescent="0.25">
      <c r="A9413" s="8" t="str">
        <f>"IEEE 2012 International Semiconductor Conference Dresden-Grenoble, ISCDG 2012"</f>
        <v>IEEE 2012 International Semiconductor Conference Dresden-Grenoble, ISCDG 2012</v>
      </c>
      <c r="B9413" s="8" t="str">
        <f>"9781467317177"</f>
        <v>9781467317177</v>
      </c>
      <c r="C9413" s="8" t="s">
        <v>9</v>
      </c>
    </row>
    <row r="9414" spans="1:3" x14ac:dyDescent="0.25">
      <c r="A9414" s="8" t="str">
        <f>"IEEE 2013 Tencon - Spring, TENCONSpring 2013 - Conference Proceedings"</f>
        <v>IEEE 2013 Tencon - Spring, TENCONSpring 2013 - Conference Proceedings</v>
      </c>
      <c r="B9414" s="8" t="str">
        <f>"9781467363495"</f>
        <v>9781467363495</v>
      </c>
      <c r="C9414" s="8" t="s">
        <v>9</v>
      </c>
    </row>
    <row r="9415" spans="1:3" x14ac:dyDescent="0.25">
      <c r="A9415" s="8" t="str">
        <f>"IEEE 2014 Biomedical Circuits and Systems Conference, BioCAS 2014 - Proceedings"</f>
        <v>IEEE 2014 Biomedical Circuits and Systems Conference, BioCAS 2014 - Proceedings</v>
      </c>
      <c r="B9415" s="8" t="str">
        <f>"9781479923465"</f>
        <v>9781479923465</v>
      </c>
      <c r="C9415" s="8" t="s">
        <v>105</v>
      </c>
    </row>
    <row r="9416" spans="1:3" x14ac:dyDescent="0.25">
      <c r="A9416" s="8" t="str">
        <f>"IEEE 2nd Integrated STEM Education Conference, ISEC 2012"</f>
        <v>IEEE 2nd Integrated STEM Education Conference, ISEC 2012</v>
      </c>
      <c r="B9416" s="8" t="str">
        <f>"9781467310970"</f>
        <v>9781467310970</v>
      </c>
      <c r="C9416" s="8" t="s">
        <v>9</v>
      </c>
    </row>
    <row r="9417" spans="1:3" x14ac:dyDescent="0.25">
      <c r="A9417" s="8" t="str">
        <f>"IEEE 3D System Integration Conference 2010, 3DIC 2010"</f>
        <v>IEEE 3D System Integration Conference 2010, 3DIC 2010</v>
      </c>
      <c r="B9417" s="8" t="str">
        <f>"9781457705274"</f>
        <v>9781457705274</v>
      </c>
      <c r="C9417" s="8" t="s">
        <v>9</v>
      </c>
    </row>
    <row r="9418" spans="1:3" x14ac:dyDescent="0.25">
      <c r="A9418" s="8" t="str">
        <f>"IEEE 3rd International Conference on Biometrics: Theory, Applications and Systems, BTAS 2009"</f>
        <v>IEEE 3rd International Conference on Biometrics: Theory, Applications and Systems, BTAS 2009</v>
      </c>
      <c r="B9418" s="8" t="str">
        <f>"9781424450206"</f>
        <v>9781424450206</v>
      </c>
      <c r="C9418" s="8" t="s">
        <v>9</v>
      </c>
    </row>
    <row r="9419" spans="1:3" x14ac:dyDescent="0.25">
      <c r="A9419" s="8" t="str">
        <f>"IEEE 4th International Conference on Biometrics: Theory, Applications and Systems, BTAS 2010"</f>
        <v>IEEE 4th International Conference on Biometrics: Theory, Applications and Systems, BTAS 2010</v>
      </c>
      <c r="B9419" s="8" t="str">
        <f>"9781424475803"</f>
        <v>9781424475803</v>
      </c>
      <c r="C9419" s="8" t="s">
        <v>9</v>
      </c>
    </row>
    <row r="9420" spans="1:3" x14ac:dyDescent="0.25">
      <c r="A9420" s="8" t="str">
        <f>"IEEE 4th International Conference on Nonlinear Science and Complexity, NSC 2012 - Proceedings"</f>
        <v>IEEE 4th International Conference on Nonlinear Science and Complexity, NSC 2012 - Proceedings</v>
      </c>
      <c r="B9420" s="8" t="str">
        <f>"9781467327039"</f>
        <v>9781467327039</v>
      </c>
      <c r="C9420" s="8" t="s">
        <v>9</v>
      </c>
    </row>
    <row r="9421" spans="1:3" x14ac:dyDescent="0.25">
      <c r="A9421" s="8" t="str">
        <f>"IEEE 6th International Conference on Biometrics: Theory, Applications and Systems, BTAS 2013"</f>
        <v>IEEE 6th International Conference on Biometrics: Theory, Applications and Systems, BTAS 2013</v>
      </c>
      <c r="B9421" s="8" t="str">
        <f>"9781479905270"</f>
        <v>9781479905270</v>
      </c>
      <c r="C9421" s="8" t="s">
        <v>9</v>
      </c>
    </row>
    <row r="9422" spans="1:3" x14ac:dyDescent="0.25">
      <c r="A9422" s="8" t="str">
        <f>"IEEE 6th International Symposium on Electromagnetic Compatibility and Electromagnetic Ecology, 2005, Proceedings"</f>
        <v>IEEE 6th International Symposium on Electromagnetic Compatibility and Electromagnetic Ecology, 2005, Proceedings</v>
      </c>
      <c r="B9422" s="8" t="str">
        <f>"-"</f>
        <v>-</v>
      </c>
      <c r="C9422" s="8" t="s">
        <v>9</v>
      </c>
    </row>
    <row r="9423" spans="1:3" x14ac:dyDescent="0.25">
      <c r="A9423" s="8" t="str">
        <f>"IEEE 9th VLSI Packaging Workshop in Japan, VPWJ 2008"</f>
        <v>IEEE 9th VLSI Packaging Workshop in Japan, VPWJ 2008</v>
      </c>
      <c r="B9423" s="8" t="str">
        <f>"9781424434978"</f>
        <v>9781424434978</v>
      </c>
      <c r="C9423" s="8" t="s">
        <v>9</v>
      </c>
    </row>
    <row r="9424" spans="1:3" x14ac:dyDescent="0.25">
      <c r="A9424" s="8" t="str">
        <f>"IEEE Avionics Fiber Optics and Photonics Conference, AVFOP 2007"</f>
        <v>IEEE Avionics Fiber Optics and Photonics Conference, AVFOP 2007</v>
      </c>
      <c r="B9424" s="8" t="str">
        <f>"9781424409372"</f>
        <v>9781424409372</v>
      </c>
      <c r="C9424" s="8" t="s">
        <v>9</v>
      </c>
    </row>
    <row r="9425" spans="1:3" x14ac:dyDescent="0.25">
      <c r="A9425" s="8" t="str">
        <f>"IEEE Avionics, Fiber-Optics and Photonics Technology Conference, AVFOP 2008"</f>
        <v>IEEE Avionics, Fiber-Optics and Photonics Technology Conference, AVFOP 2008</v>
      </c>
      <c r="B9425" s="8" t="str">
        <f>"9781424419203"</f>
        <v>9781424419203</v>
      </c>
      <c r="C9425" s="8" t="s">
        <v>9</v>
      </c>
    </row>
    <row r="9426" spans="1:3" x14ac:dyDescent="0.25">
      <c r="A9426" s="8" t="str">
        <f>"IEEE CAMSAP 2005 - First International Workshop on Computational Advances in Multi-Sensor Adaptive Processing"</f>
        <v>IEEE CAMSAP 2005 - First International Workshop on Computational Advances in Multi-Sensor Adaptive Processing</v>
      </c>
      <c r="B9426" s="8" t="str">
        <f>"-"</f>
        <v>-</v>
      </c>
      <c r="C9426" s="8" t="s">
        <v>9</v>
      </c>
    </row>
    <row r="9427" spans="1:3" x14ac:dyDescent="0.25">
      <c r="A9427" s="8" t="str">
        <f>"IEEE CITS 2012 - 2012 International Conference on Computer, Information and Telecommunication Systems"</f>
        <v>IEEE CITS 2012 - 2012 International Conference on Computer, Information and Telecommunication Systems</v>
      </c>
      <c r="B9427" s="8" t="str">
        <f>"9781467315500"</f>
        <v>9781467315500</v>
      </c>
      <c r="C9427" s="8" t="s">
        <v>9</v>
      </c>
    </row>
    <row r="9428" spans="1:3" x14ac:dyDescent="0.25">
      <c r="A9428" s="8" t="str">
        <f>"IEEE CITS 2015 - 2015 International Conference on Computer, Information and Telecommunication Systems"</f>
        <v>IEEE CITS 2015 - 2015 International Conference on Computer, Information and Telecommunication Systems</v>
      </c>
      <c r="B9428" s="8" t="str">
        <f>"9781467369459"</f>
        <v>9781467369459</v>
      </c>
      <c r="C9428" s="8" t="s">
        <v>105</v>
      </c>
    </row>
    <row r="9429" spans="1:3" x14ac:dyDescent="0.25">
      <c r="A9429" s="8" t="str">
        <f>"IEEE Cloud Computing for Emerging Markets, CCEM 2012 - Proceedings"</f>
        <v>IEEE Cloud Computing for Emerging Markets, CCEM 2012 - Proceedings</v>
      </c>
      <c r="B9429" s="8" t="str">
        <f>"9781467344227"</f>
        <v>9781467344227</v>
      </c>
      <c r="C9429" s="8" t="s">
        <v>9</v>
      </c>
    </row>
    <row r="9430" spans="1:3" x14ac:dyDescent="0.25">
      <c r="A9430" s="8" t="str">
        <f>"IEEE Compatibility in Power Electronics 2005"</f>
        <v>IEEE Compatibility in Power Electronics 2005</v>
      </c>
      <c r="B9430" s="8" t="str">
        <f>"-"</f>
        <v>-</v>
      </c>
      <c r="C9430" s="8" t="s">
        <v>9</v>
      </c>
    </row>
    <row r="9431" spans="1:3" x14ac:dyDescent="0.25">
      <c r="A9431" s="8" t="str">
        <f>"IEEE CONECCT 2014 - 2014 IEEE International Conference on Electronics, Computing and Communication Technologies"</f>
        <v>IEEE CONECCT 2014 - 2014 IEEE International Conference on Electronics, Computing and Communication Technologies</v>
      </c>
      <c r="B9431" s="8" t="str">
        <f>"9781479923175"</f>
        <v>9781479923175</v>
      </c>
      <c r="C9431" s="8" t="s">
        <v>9</v>
      </c>
    </row>
    <row r="9432" spans="1:3" x14ac:dyDescent="0.25">
      <c r="A9432" s="8" t="str">
        <f>"IEEE Conference on Biometrics: Theory, Applications and Systems, BTAS'07"</f>
        <v>IEEE Conference on Biometrics: Theory, Applications and Systems, BTAS'07</v>
      </c>
      <c r="B9432" s="8" t="str">
        <f>"9781424415977"</f>
        <v>9781424415977</v>
      </c>
      <c r="C9432" s="8" t="s">
        <v>9</v>
      </c>
    </row>
    <row r="9433" spans="1:3" x14ac:dyDescent="0.25">
      <c r="A9433" s="8" t="str">
        <f>"IEEE Conference on Electron Devices and Solid-State Circuits 2007, EDSSC 2007"</f>
        <v>IEEE Conference on Electron Devices and Solid-State Circuits 2007, EDSSC 2007</v>
      </c>
      <c r="B9433" s="8" t="str">
        <f>"9781424406371"</f>
        <v>9781424406371</v>
      </c>
      <c r="C9433" s="8" t="s">
        <v>105</v>
      </c>
    </row>
    <row r="9434" spans="1:3" x14ac:dyDescent="0.25">
      <c r="A9434" s="8" t="str">
        <f>"IEEE Conference on Long Island Systems, Applications and Technology Conference 2005, LISAT2005"</f>
        <v>IEEE Conference on Long Island Systems, Applications and Technology Conference 2005, LISAT2005</v>
      </c>
      <c r="B9434" s="8" t="str">
        <f>"-"</f>
        <v>-</v>
      </c>
      <c r="C9434" s="8" t="s">
        <v>9</v>
      </c>
    </row>
    <row r="9435" spans="1:3" x14ac:dyDescent="0.25">
      <c r="A9435" s="8" t="str">
        <f>"IEEE Conference on Sustainable Utilization and Development in Engineering and Technology 2010, STUDENT 2010 - Conference Booklet"</f>
        <v>IEEE Conference on Sustainable Utilization and Development in Engineering and Technology 2010, STUDENT 2010 - Conference Booklet</v>
      </c>
      <c r="B9435" s="8" t="str">
        <f>"9781424475032"</f>
        <v>9781424475032</v>
      </c>
      <c r="C9435" s="8" t="s">
        <v>9</v>
      </c>
    </row>
    <row r="9436" spans="1:3" x14ac:dyDescent="0.25">
      <c r="A9436" s="8" t="str">
        <f>"IEEE Conference on Visual Analytics Science and Technology 2012, VAST 2012 - Proceedings"</f>
        <v>IEEE Conference on Visual Analytics Science and Technology 2012, VAST 2012 - Proceedings</v>
      </c>
      <c r="B9436" s="8" t="str">
        <f>"9781467347532"</f>
        <v>9781467347532</v>
      </c>
      <c r="C9436" s="8" t="s">
        <v>9</v>
      </c>
    </row>
    <row r="9437" spans="1:3" x14ac:dyDescent="0.25">
      <c r="A9437" s="8" t="str">
        <f>"IEEE Consumer Communications and Networking Conference, CCNC"</f>
        <v>IEEE Consumer Communications and Networking Conference, CCNC</v>
      </c>
      <c r="B9437" s="8" t="str">
        <f>"9780780381452"</f>
        <v>9780780381452</v>
      </c>
      <c r="C9437" s="8" t="s">
        <v>105</v>
      </c>
    </row>
    <row r="9438" spans="1:3" x14ac:dyDescent="0.25">
      <c r="A9438" s="8" t="s">
        <v>1895</v>
      </c>
      <c r="B9438" s="8" t="str">
        <f>"9781479961955"</f>
        <v>9781479961955</v>
      </c>
      <c r="C9438" s="8" t="s">
        <v>105</v>
      </c>
    </row>
    <row r="9439" spans="1:3" x14ac:dyDescent="0.25">
      <c r="A9439" s="8" t="str">
        <f>"IEEE Electric Ship Technologies Symposium, ESTS 2007"</f>
        <v>IEEE Electric Ship Technologies Symposium, ESTS 2007</v>
      </c>
      <c r="B9439" s="8" t="str">
        <f>"9781424409471"</f>
        <v>9781424409471</v>
      </c>
      <c r="C9439" s="8" t="s">
        <v>9</v>
      </c>
    </row>
    <row r="9440" spans="1:3" x14ac:dyDescent="0.25">
      <c r="A9440" s="8" t="str">
        <f>"IEEE Electric Ship Technologies Symposium, ESTS 2009"</f>
        <v>IEEE Electric Ship Technologies Symposium, ESTS 2009</v>
      </c>
      <c r="B9440" s="8" t="str">
        <f>"9781424434398"</f>
        <v>9781424434398</v>
      </c>
      <c r="C9440" s="8" t="s">
        <v>9</v>
      </c>
    </row>
    <row r="9441" spans="1:3" x14ac:dyDescent="0.25">
      <c r="A9441" s="8" t="str">
        <f>"IEEE EMBS Special Topic Conference on Point-of-Care (POC) Healthcare Technologies: Synergy Towards Better Global Healthcare, PHT 2013"</f>
        <v>IEEE EMBS Special Topic Conference on Point-of-Care (POC) Healthcare Technologies: Synergy Towards Better Global Healthcare, PHT 2013</v>
      </c>
      <c r="B9441" s="8" t="str">
        <f>"9781467327664"</f>
        <v>9781467327664</v>
      </c>
      <c r="C9441" s="8" t="s">
        <v>9</v>
      </c>
    </row>
    <row r="9442" spans="1:3" x14ac:dyDescent="0.25">
      <c r="A9442" s="8" t="str">
        <f>"IEEE Energy Conversion Congress and Exposition: Energy Conversion Innovation for a Clean Energy Future, ECCE 2011, Proceedings"</f>
        <v>IEEE Energy Conversion Congress and Exposition: Energy Conversion Innovation for a Clean Energy Future, ECCE 2011, Proceedings</v>
      </c>
      <c r="B9442" s="8" t="str">
        <f>"9781457705427"</f>
        <v>9781457705427</v>
      </c>
      <c r="C9442" s="8" t="s">
        <v>9</v>
      </c>
    </row>
    <row r="9443" spans="1:3" x14ac:dyDescent="0.25">
      <c r="A9443" s="8" t="str">
        <f>"IEEE ESUCB 2015 - 6th European Symposium on Ultrasonic Characterization of Bone"</f>
        <v>IEEE ESUCB 2015 - 6th European Symposium on Ultrasonic Characterization of Bone</v>
      </c>
      <c r="B9443" s="8" t="str">
        <f>"9781479987627"</f>
        <v>9781479987627</v>
      </c>
      <c r="C9443" s="8" t="s">
        <v>105</v>
      </c>
    </row>
    <row r="9444" spans="1:3" x14ac:dyDescent="0.25">
      <c r="A9444" s="8" t="str">
        <f>"IEEE EUROCON 2009, EUROCON 2009"</f>
        <v>IEEE EUROCON 2009, EUROCON 2009</v>
      </c>
      <c r="B9444" s="8" t="str">
        <f>"9781424438617"</f>
        <v>9781424438617</v>
      </c>
      <c r="C9444" s="8" t="s">
        <v>9</v>
      </c>
    </row>
    <row r="9445" spans="1:3" x14ac:dyDescent="0.25">
      <c r="A9445" s="8" t="str">
        <f>"IEEE EuroCon 2013"</f>
        <v>IEEE EuroCon 2013</v>
      </c>
      <c r="B9445" s="8" t="str">
        <f>"9781467322324"</f>
        <v>9781467322324</v>
      </c>
      <c r="C9445" s="8" t="s">
        <v>9</v>
      </c>
    </row>
    <row r="9446" spans="1:3" x14ac:dyDescent="0.25">
      <c r="A9446" s="8" t="str">
        <f>"IEEE History of Telecommunications Conference, HISTELCON 2008"</f>
        <v>IEEE History of Telecommunications Conference, HISTELCON 2008</v>
      </c>
      <c r="B9446" s="8" t="str">
        <f>"9781424425310"</f>
        <v>9781424425310</v>
      </c>
      <c r="C9446" s="8" t="s">
        <v>9</v>
      </c>
    </row>
    <row r="9447" spans="1:3" x14ac:dyDescent="0.25">
      <c r="A9447" s="8" t="str">
        <f>"IEEE ICDL-EPIROB 2014 - 4th Joint IEEE International Conference on Development and Learning and on Epigenetic Robotics"</f>
        <v>IEEE ICDL-EPIROB 2014 - 4th Joint IEEE International Conference on Development and Learning and on Epigenetic Robotics</v>
      </c>
      <c r="B9447" s="8" t="str">
        <f>"9781479975402"</f>
        <v>9781479975402</v>
      </c>
      <c r="C9447" s="8" t="s">
        <v>105</v>
      </c>
    </row>
    <row r="9448" spans="1:3" x14ac:dyDescent="0.25">
      <c r="A9448" s="8" t="str">
        <f>"IEEE ICIRT 2013 - Proceedings: IEEE International Conference on Intelligent Rail Transportation"</f>
        <v>IEEE ICIRT 2013 - Proceedings: IEEE International Conference on Intelligent Rail Transportation</v>
      </c>
      <c r="B9448" s="8" t="str">
        <f>"9781467352772"</f>
        <v>9781467352772</v>
      </c>
      <c r="C9448" s="8" t="s">
        <v>9</v>
      </c>
    </row>
    <row r="9449" spans="1:3" x14ac:dyDescent="0.25">
      <c r="A9449" s="8" t="str">
        <f>"IEEE ICIT 2007 - 2007 IEEE International Conference on Integration Technology"</f>
        <v>IEEE ICIT 2007 - 2007 IEEE International Conference on Integration Technology</v>
      </c>
      <c r="B9449" s="8" t="str">
        <f>"9781424410927"</f>
        <v>9781424410927</v>
      </c>
      <c r="C9449" s="8" t="s">
        <v>9</v>
      </c>
    </row>
    <row r="9450" spans="1:3" x14ac:dyDescent="0.25">
      <c r="A9450" s="8" t="str">
        <f>"IEEE ICSIPA 2013 - IEEE International Conference on Signal and Image Processing Applications"</f>
        <v>IEEE ICSIPA 2013 - IEEE International Conference on Signal and Image Processing Applications</v>
      </c>
      <c r="B9450" s="8" t="str">
        <f>"9781479902675"</f>
        <v>9781479902675</v>
      </c>
      <c r="C9450" s="8" t="s">
        <v>9</v>
      </c>
    </row>
    <row r="9451" spans="1:3" x14ac:dyDescent="0.25">
      <c r="A9451" s="8" t="str">
        <f>"IEEE Information Theory Workshop 2010, ITW 2010"</f>
        <v>IEEE Information Theory Workshop 2010, ITW 2010</v>
      </c>
      <c r="B9451" s="8" t="str">
        <f>"9781424463725"</f>
        <v>9781424463725</v>
      </c>
      <c r="C9451" s="8" t="s">
        <v>9</v>
      </c>
    </row>
    <row r="9452" spans="1:3" x14ac:dyDescent="0.25">
      <c r="A9452" s="8" t="str">
        <f>"IEEE INMIC 2008: 12th IEEE International Multitopic Conference - Conference Proceedings"</f>
        <v>IEEE INMIC 2008: 12th IEEE International Multitopic Conference - Conference Proceedings</v>
      </c>
      <c r="B9452" s="8" t="str">
        <f>"9781424428243"</f>
        <v>9781424428243</v>
      </c>
      <c r="C9452" s="8" t="s">
        <v>9</v>
      </c>
    </row>
    <row r="9453" spans="1:3" x14ac:dyDescent="0.25">
      <c r="A9453" s="8" t="str">
        <f>"IEEE International Conference on Advanced Robotics and its Social Impacts, ARSO 2008"</f>
        <v>IEEE International Conference on Advanced Robotics and its Social Impacts, ARSO 2008</v>
      </c>
      <c r="B9453" s="8" t="str">
        <f>"9781424426751"</f>
        <v>9781424426751</v>
      </c>
      <c r="C9453" s="8" t="s">
        <v>9</v>
      </c>
    </row>
    <row r="9454" spans="1:3" x14ac:dyDescent="0.25">
      <c r="A9454" s="8" t="str">
        <f>"IEEE International Conference on Advanced Video and Signal Based Surveillance - Proceedings of AVSS 2005"</f>
        <v>IEEE International Conference on Advanced Video and Signal Based Surveillance - Proceedings of AVSS 2005</v>
      </c>
      <c r="B9454" s="8" t="str">
        <f>"-"</f>
        <v>-</v>
      </c>
      <c r="C9454" s="8" t="s">
        <v>9</v>
      </c>
    </row>
    <row r="9455" spans="1:3" x14ac:dyDescent="0.25">
      <c r="A9455" s="8" t="str">
        <f>"IEEE International Conference on Circuit, Power and Computing Technologies, ICCPCT 2015"</f>
        <v>IEEE International Conference on Circuit, Power and Computing Technologies, ICCPCT 2015</v>
      </c>
      <c r="B9455" s="8" t="str">
        <f>"9781479970759"</f>
        <v>9781479970759</v>
      </c>
      <c r="C9455" s="8" t="s">
        <v>105</v>
      </c>
    </row>
    <row r="9456" spans="1:3" x14ac:dyDescent="0.25">
      <c r="A9456" s="8" t="str">
        <f>"IEEE International Conference on Computer Design, ICCD 2006"</f>
        <v>IEEE International Conference on Computer Design, ICCD 2006</v>
      </c>
      <c r="B9456" s="8" t="str">
        <f>"-"</f>
        <v>-</v>
      </c>
      <c r="C9456" s="8" t="s">
        <v>9</v>
      </c>
    </row>
    <row r="9457" spans="1:3" x14ac:dyDescent="0.25">
      <c r="A9457" s="8" t="str">
        <f>"IEEE International Conference on Computer Systems and Applications, 2006"</f>
        <v>IEEE International Conference on Computer Systems and Applications, 2006</v>
      </c>
      <c r="B9457" s="8" t="str">
        <f>"-"</f>
        <v>-</v>
      </c>
      <c r="C9457" s="8" t="s">
        <v>9</v>
      </c>
    </row>
    <row r="9458" spans="1:3" x14ac:dyDescent="0.25">
      <c r="A9458" s="8" t="str">
        <f>"IEEE International Conference on e-Business Engineering, ICEBE'08 - Workshops: AiR'08, EM2I'08, SOAIC'08, SOKM'08, BIMA'08, DKEEE'08"</f>
        <v>IEEE International Conference on e-Business Engineering, ICEBE'08 - Workshops: AiR'08, EM2I'08, SOAIC'08, SOKM'08, BIMA'08, DKEEE'08</v>
      </c>
      <c r="B9458" s="8" t="str">
        <f>"9780769533957"</f>
        <v>9780769533957</v>
      </c>
      <c r="C9458" s="8" t="s">
        <v>9</v>
      </c>
    </row>
    <row r="9459" spans="1:3" x14ac:dyDescent="0.25">
      <c r="A9459" s="8" t="str">
        <f>"IEEE International Conference on Embedded Software, EMSOFT 2006"</f>
        <v>IEEE International Conference on Embedded Software, EMSOFT 2006</v>
      </c>
      <c r="B9459" s="8" t="str">
        <f>"9781595935427"</f>
        <v>9781595935427</v>
      </c>
      <c r="C9459" s="8" t="s">
        <v>21</v>
      </c>
    </row>
    <row r="9460" spans="1:3" x14ac:dyDescent="0.25">
      <c r="A9460" s="8" t="str">
        <f>"IEEE International Conference on Engineering of Intelligent Systems, ICEIS 2006"</f>
        <v>IEEE International Conference on Engineering of Intelligent Systems, ICEIS 2006</v>
      </c>
      <c r="B9460" s="8" t="str">
        <f>"9781424404568"</f>
        <v>9781424404568</v>
      </c>
      <c r="C9460" s="8" t="s">
        <v>9</v>
      </c>
    </row>
    <row r="9461" spans="1:3" x14ac:dyDescent="0.25">
      <c r="A9461" s="8" t="str">
        <f>"IEEE International Conference on Intelligence and Security Informatics, 2008, IEEE ISI 2008"</f>
        <v>IEEE International Conference on Intelligence and Security Informatics, 2008, IEEE ISI 2008</v>
      </c>
      <c r="B9461" s="8" t="str">
        <f>"-"</f>
        <v>-</v>
      </c>
      <c r="C9461" s="8" t="s">
        <v>9</v>
      </c>
    </row>
    <row r="9462" spans="1:3" x14ac:dyDescent="0.25">
      <c r="A9462" s="8" t="str">
        <f>"IEEE International Conference on Mechatronics and Automation, ICMA 2005"</f>
        <v>IEEE International Conference on Mechatronics and Automation, ICMA 2005</v>
      </c>
      <c r="B9462" s="8" t="str">
        <f>"9780780390454"</f>
        <v>9780780390454</v>
      </c>
      <c r="C9462" s="8" t="s">
        <v>9</v>
      </c>
    </row>
    <row r="9463" spans="1:3" x14ac:dyDescent="0.25">
      <c r="A9463" s="8" t="str">
        <f>"IEEE International Conference on Multimedia and Expo, ICME 2005"</f>
        <v>IEEE International Conference on Multimedia and Expo, ICME 2005</v>
      </c>
      <c r="B9463" s="8" t="str">
        <f>"-"</f>
        <v>-</v>
      </c>
      <c r="C9463" s="8" t="s">
        <v>9</v>
      </c>
    </row>
    <row r="9464" spans="1:3" x14ac:dyDescent="0.25">
      <c r="A9464" s="8" t="str">
        <f>"IEEE International Conference on Orange Technologies, ICOT 2014"</f>
        <v>IEEE International Conference on Orange Technologies, ICOT 2014</v>
      </c>
      <c r="B9464" s="8" t="str">
        <f>"9781479962846"</f>
        <v>9781479962846</v>
      </c>
      <c r="C9464" s="8" t="s">
        <v>105</v>
      </c>
    </row>
    <row r="9465" spans="1:3" x14ac:dyDescent="0.25">
      <c r="A9465" s="8" t="str">
        <f>"IEEE International Conference on Service-Oriented Computing and Applications, SOCA' 09"</f>
        <v>IEEE International Conference on Service-Oriented Computing and Applications, SOCA' 09</v>
      </c>
      <c r="B9465" s="8" t="str">
        <f>"9781424452996"</f>
        <v>9781424452996</v>
      </c>
      <c r="C9465" s="8" t="s">
        <v>9</v>
      </c>
    </row>
    <row r="9466" spans="1:3" x14ac:dyDescent="0.25">
      <c r="A9466" s="8" t="str">
        <f>"IEEE International Conference on Shape Modeling and Applications 2008, Proceedings, SMI"</f>
        <v>IEEE International Conference on Shape Modeling and Applications 2008, Proceedings, SMI</v>
      </c>
      <c r="B9466" s="8" t="str">
        <f>"9781424422609"</f>
        <v>9781424422609</v>
      </c>
      <c r="C9466" s="8" t="s">
        <v>9</v>
      </c>
    </row>
    <row r="9467" spans="1:3" x14ac:dyDescent="0.25">
      <c r="A9467" s="8" t="str">
        <f>"IEEE International Conference on Smart Energy Grid Engineering, SEGE 2013"</f>
        <v>IEEE International Conference on Smart Energy Grid Engineering, SEGE 2013</v>
      </c>
      <c r="B9467" s="8" t="str">
        <f>"9781479927753"</f>
        <v>9781479927753</v>
      </c>
      <c r="C9467" s="8" t="s">
        <v>9</v>
      </c>
    </row>
    <row r="9468" spans="1:3" x14ac:dyDescent="0.25">
      <c r="A9468" s="8" t="str">
        <f>"IEEE International Conference on Software Testing, Verification, and Validation Workshops, ICSTW 2009"</f>
        <v>IEEE International Conference on Software Testing, Verification, and Validation Workshops, ICSTW 2009</v>
      </c>
      <c r="B9468" s="8" t="str">
        <f>"9780769536712"</f>
        <v>9780769536712</v>
      </c>
      <c r="C9468" s="8" t="s">
        <v>9</v>
      </c>
    </row>
    <row r="9469" spans="1:3" x14ac:dyDescent="0.25">
      <c r="A9469" s="8" t="str">
        <f>"IEEE International Conference on Wireless and Mobile Computing, Networking and Communications 2006, WiMob 2006"</f>
        <v>IEEE International Conference on Wireless and Mobile Computing, Networking and Communications 2006, WiMob 2006</v>
      </c>
      <c r="B9469" s="8" t="str">
        <f>"9781424404940"</f>
        <v>9781424404940</v>
      </c>
      <c r="C9469" s="8" t="s">
        <v>9</v>
      </c>
    </row>
    <row r="9470" spans="1:3" x14ac:dyDescent="0.25">
      <c r="A9470" s="8" t="str">
        <f>"IEEE International Conference on Wireless for Space and Extreme Environments, WiSEE 2013 - Conference Proceedings"</f>
        <v>IEEE International Conference on Wireless for Space and Extreme Environments, WiSEE 2013 - Conference Proceedings</v>
      </c>
      <c r="B9470" s="8" t="str">
        <f>"9781479929580"</f>
        <v>9781479929580</v>
      </c>
      <c r="C9470" s="8" t="s">
        <v>9</v>
      </c>
    </row>
    <row r="9471" spans="1:3" x14ac:dyDescent="0.25">
      <c r="A9471" s="8" t="str">
        <f>"IEEE International Electric Machines and Drives Conference, IEMDC 1999 - Proceedings"</f>
        <v>IEEE International Electric Machines and Drives Conference, IEMDC 1999 - Proceedings</v>
      </c>
      <c r="B9471" s="8" t="str">
        <f>"9780780352933"</f>
        <v>9780780352933</v>
      </c>
      <c r="C9471" s="8" t="s">
        <v>9</v>
      </c>
    </row>
    <row r="9472" spans="1:3" x14ac:dyDescent="0.25">
      <c r="A9472" s="8" t="str">
        <f>"IEEE International Microwave Symposium, IMS 2012"</f>
        <v>IEEE International Microwave Symposium, IMS 2012</v>
      </c>
      <c r="B9472" s="8" t="str">
        <f>"-"</f>
        <v>-</v>
      </c>
      <c r="C9472" s="8" t="s">
        <v>9</v>
      </c>
    </row>
    <row r="9473" spans="1:3" x14ac:dyDescent="0.25">
      <c r="A9473" s="8" t="str">
        <f>"IEEE International Siberian Conference on Control and Communications 2005, SIBCON 05 - Proceedings"</f>
        <v>IEEE International Siberian Conference on Control and Communications 2005, SIBCON 05 - Proceedings</v>
      </c>
      <c r="B9473" s="8" t="str">
        <f>"-"</f>
        <v>-</v>
      </c>
      <c r="C9473" s="8" t="s">
        <v>9</v>
      </c>
    </row>
    <row r="9474" spans="1:3" x14ac:dyDescent="0.25">
      <c r="A9474" s="8" t="str">
        <f>"IEEE International Siberian Conference on Control and Communications, SIBCON-2007; Proceedings"</f>
        <v>IEEE International Siberian Conference on Control and Communications, SIBCON-2007; Proceedings</v>
      </c>
      <c r="B9474" s="8" t="str">
        <f>"9781424403462"</f>
        <v>9781424403462</v>
      </c>
      <c r="C9474" s="8" t="s">
        <v>9</v>
      </c>
    </row>
    <row r="9475" spans="1:3" x14ac:dyDescent="0.25">
      <c r="A9475" s="8" t="str">
        <f>"IEEE- International Symposium on Biometrics and Security Technologies, ISBAST'08"</f>
        <v>IEEE- International Symposium on Biometrics and Security Technologies, ISBAST'08</v>
      </c>
      <c r="B9475" s="8" t="str">
        <f>"-"</f>
        <v>-</v>
      </c>
      <c r="C9475" s="8" t="s">
        <v>9</v>
      </c>
    </row>
    <row r="9476" spans="1:3" x14ac:dyDescent="0.25">
      <c r="A9476" s="8" t="str">
        <f>"IEEE International Symposium on Broadband Multimedia Systems and Broadcasting 2008, Broadband Multimedia Symposium 2008, BMSB"</f>
        <v>IEEE International Symposium on Broadband Multimedia Systems and Broadcasting 2008, Broadband Multimedia Symposium 2008, BMSB</v>
      </c>
      <c r="B9476" s="8" t="str">
        <f>"9781424416493"</f>
        <v>9781424416493</v>
      </c>
      <c r="C9476" s="8" t="s">
        <v>9</v>
      </c>
    </row>
    <row r="9477" spans="1:3" x14ac:dyDescent="0.25">
      <c r="A9477" s="8" t="str">
        <f>"IEEE International Symposium on Broadband Multimedia Systems and Broadcasting 2010, BMSB 2010 - Final Programme"</f>
        <v>IEEE International Symposium on Broadband Multimedia Systems and Broadcasting 2010, BMSB 2010 - Final Programme</v>
      </c>
      <c r="B9477" s="8" t="str">
        <f>"9781424444625"</f>
        <v>9781424444625</v>
      </c>
      <c r="C9477" s="8" t="s">
        <v>9</v>
      </c>
    </row>
    <row r="9478" spans="1:3" x14ac:dyDescent="0.25">
      <c r="A9478" s="8" t="str">
        <f>"IEEE International Symposium on Broadband Multimedia Systems and Broadcasting, BMSB 2011 - Conference Programme"</f>
        <v>IEEE International Symposium on Broadband Multimedia Systems and Broadcasting, BMSB 2011 - Conference Programme</v>
      </c>
      <c r="B9478" s="8" t="str">
        <f>"9781612841229"</f>
        <v>9781612841229</v>
      </c>
      <c r="C9478" s="8" t="s">
        <v>9</v>
      </c>
    </row>
    <row r="9479" spans="1:3" x14ac:dyDescent="0.25">
      <c r="A9479" s="8" t="str">
        <f>"IEEE International Symposium on Communications and Information Technologies: ISCIT 2004"</f>
        <v>IEEE International Symposium on Communications and Information Technologies: ISCIT 2004</v>
      </c>
      <c r="B9479" s="8" t="str">
        <f>"9780780385931"</f>
        <v>9780780385931</v>
      </c>
      <c r="C9479" s="8" t="s">
        <v>105</v>
      </c>
    </row>
    <row r="9480" spans="1:3" x14ac:dyDescent="0.25">
      <c r="A9480" s="8" t="str">
        <f>"IEEE International Symposium on Diagnostics for Electric Machines, Power Electronics and Drives, SDEMPED 2003 - Proceedings"</f>
        <v>IEEE International Symposium on Diagnostics for Electric Machines, Power Electronics and Drives, SDEMPED 2003 - Proceedings</v>
      </c>
      <c r="B9480" s="8" t="str">
        <f>"9780780378384"</f>
        <v>9780780378384</v>
      </c>
      <c r="C9480" s="8" t="s">
        <v>105</v>
      </c>
    </row>
    <row r="9481" spans="1:3" x14ac:dyDescent="0.25">
      <c r="A9481" s="8" t="str">
        <f>"IEEE International Symposium on Intelligent Control - Proceedings"</f>
        <v>IEEE International Symposium on Intelligent Control - Proceedings</v>
      </c>
      <c r="B9481" s="8" t="str">
        <f>"9780780397989"</f>
        <v>9780780397989</v>
      </c>
      <c r="C9481" s="8" t="s">
        <v>105</v>
      </c>
    </row>
    <row r="9482" spans="1:3" x14ac:dyDescent="0.25">
      <c r="A9482" s="8" t="str">
        <f>"IEEE International Symposium on Intelligent Control - Proceedings"</f>
        <v>IEEE International Symposium on Intelligent Control - Proceedings</v>
      </c>
      <c r="B9482" s="8" t="str">
        <f>"9781424422241"</f>
        <v>9781424422241</v>
      </c>
      <c r="C9482" s="8" t="s">
        <v>9</v>
      </c>
    </row>
    <row r="9483" spans="1:3" x14ac:dyDescent="0.25">
      <c r="A9483" s="8" t="str">
        <f>"IEEE International Symposium on Intelligent Control - Proceedings"</f>
        <v>IEEE International Symposium on Intelligent Control - Proceedings</v>
      </c>
      <c r="B9483" s="8" t="str">
        <f>"9781424453603"</f>
        <v>9781424453603</v>
      </c>
      <c r="C9483" s="8" t="s">
        <v>105</v>
      </c>
    </row>
    <row r="9484" spans="1:3" x14ac:dyDescent="0.25">
      <c r="A9484" s="8" t="str">
        <f>"IEEE International Symposium on Parallel and Distributed Processing Workshops and Phd Forum"</f>
        <v>IEEE International Symposium on Parallel and Distributed Processing Workshops and Phd Forum</v>
      </c>
      <c r="B9484" s="8" t="str">
        <f>"9780769543857"</f>
        <v>9780769543857</v>
      </c>
      <c r="C9484" s="8" t="s">
        <v>9</v>
      </c>
    </row>
    <row r="9485" spans="1:3" x14ac:dyDescent="0.25">
      <c r="A9485" s="8" t="str">
        <f>"IEEE International Symposium on Precision Clock Synchronization for Measurement, Control and Communication, ISPCS '09 - Proceedings"</f>
        <v>IEEE International Symposium on Precision Clock Synchronization for Measurement, Control and Communication, ISPCS '09 - Proceedings</v>
      </c>
      <c r="B9485" s="8" t="str">
        <f>"9781424443925"</f>
        <v>9781424443925</v>
      </c>
      <c r="C9485" s="8" t="s">
        <v>9</v>
      </c>
    </row>
    <row r="9486" spans="1:3" x14ac:dyDescent="0.25">
      <c r="A9486" s="8" t="str">
        <f>"IEEE International Symposium on Signal Processing and Information Technology, IEEE ISSPIT 2013"</f>
        <v>IEEE International Symposium on Signal Processing and Information Technology, IEEE ISSPIT 2013</v>
      </c>
      <c r="B9486" s="8" t="str">
        <f>"9781479947966"</f>
        <v>9781479947966</v>
      </c>
      <c r="C9486" s="8" t="s">
        <v>9</v>
      </c>
    </row>
    <row r="9487" spans="1:3" x14ac:dyDescent="0.25">
      <c r="A9487" s="8" t="str">
        <f>"IEEE International Symposium on Signal Processing and Information Technology, ISSPIT 2009"</f>
        <v>IEEE International Symposium on Signal Processing and Information Technology, ISSPIT 2009</v>
      </c>
      <c r="B9487" s="8" t="str">
        <f>"9781424459506"</f>
        <v>9781424459506</v>
      </c>
      <c r="C9487" s="8" t="s">
        <v>9</v>
      </c>
    </row>
    <row r="9488" spans="1:3" x14ac:dyDescent="0.25">
      <c r="A9488" s="8" t="str">
        <f>"IEEE International Symposium on Signal Processing and Information Technology, ISSPIT 2011"</f>
        <v>IEEE International Symposium on Signal Processing and Information Technology, ISSPIT 2011</v>
      </c>
      <c r="B9488" s="8" t="str">
        <f>"9781467307529"</f>
        <v>9781467307529</v>
      </c>
      <c r="C9488" s="8" t="s">
        <v>9</v>
      </c>
    </row>
    <row r="9489" spans="1:3" x14ac:dyDescent="0.25">
      <c r="A9489" s="8" t="str">
        <f>"IEEE International Symposium on Workload Characterization, IISWC'10"</f>
        <v>IEEE International Symposium on Workload Characterization, IISWC'10</v>
      </c>
      <c r="B9489" s="8" t="str">
        <f>"9781424492978"</f>
        <v>9781424492978</v>
      </c>
      <c r="C9489" s="8" t="s">
        <v>9</v>
      </c>
    </row>
    <row r="9490" spans="1:3" x14ac:dyDescent="0.25">
      <c r="A9490" s="8" t="str">
        <f>"IEEE International Workshop on Machine Learning for Signal Processing"</f>
        <v>IEEE International Workshop on Machine Learning for Signal Processing</v>
      </c>
      <c r="B9490" s="8" t="str">
        <f>"9781457716232"</f>
        <v>9781457716232</v>
      </c>
      <c r="C9490" s="8" t="s">
        <v>9</v>
      </c>
    </row>
    <row r="9491" spans="1:3" x14ac:dyDescent="0.25">
      <c r="A9491" s="8" t="str">
        <f>"IEEE International Workshop on Medical Measurement and Applications, MeMeA 2006"</f>
        <v>IEEE International Workshop on Medical Measurement and Applications, MeMeA 2006</v>
      </c>
      <c r="B9491" s="8" t="str">
        <f>"-"</f>
        <v>-</v>
      </c>
      <c r="C9491" s="8" t="s">
        <v>9</v>
      </c>
    </row>
    <row r="9492" spans="1:3" x14ac:dyDescent="0.25">
      <c r="A9492" s="8" t="str">
        <f>"IEEE ISI 2013 - 2013 IEEE International Conference on Intelligence and Security Informatics: Big Data, Emergent Threats, and Decision-Making in Security Informatics"</f>
        <v>IEEE ISI 2013 - 2013 IEEE International Conference on Intelligence and Security Informatics: Big Data, Emergent Threats, and Decision-Making in Security Informatics</v>
      </c>
      <c r="B9492" s="8" t="str">
        <f>"9781467362115"</f>
        <v>9781467362115</v>
      </c>
      <c r="C9492" s="8" t="s">
        <v>9</v>
      </c>
    </row>
    <row r="9493" spans="1:3" x14ac:dyDescent="0.25">
      <c r="A9493" s="8" t="str">
        <f>"IEEE ISPLC 2008 - 2008 IEEE International Symposium on Power Line Communications and Its Applications"</f>
        <v>IEEE ISPLC 2008 - 2008 IEEE International Symposium on Power Line Communications and Its Applications</v>
      </c>
      <c r="B9493" s="8" t="str">
        <f>"9781424419760"</f>
        <v>9781424419760</v>
      </c>
      <c r="C9493" s="8" t="s">
        <v>9</v>
      </c>
    </row>
    <row r="9494" spans="1:3" x14ac:dyDescent="0.25">
      <c r="A9494" s="8" t="str">
        <f>"IEEE ISPLC 2010 - International Symposium on Power Line Communications and its Applications"</f>
        <v>IEEE ISPLC 2010 - International Symposium on Power Line Communications and its Applications</v>
      </c>
      <c r="B9494" s="8" t="str">
        <f>"9781424450107"</f>
        <v>9781424450107</v>
      </c>
      <c r="C9494" s="8" t="s">
        <v>9</v>
      </c>
    </row>
    <row r="9495" spans="1:3" x14ac:dyDescent="0.25">
      <c r="A9495" s="8" t="str">
        <f>"IEEE ISPLC 2014 - 18th IEEE International Symposium on Power Line Communications and Its Applications"</f>
        <v>IEEE ISPLC 2014 - 18th IEEE International Symposium on Power Line Communications and Its Applications</v>
      </c>
      <c r="B9495" s="8" t="str">
        <f>"9781479949809"</f>
        <v>9781479949809</v>
      </c>
      <c r="C9495" s="8" t="s">
        <v>9</v>
      </c>
    </row>
    <row r="9496" spans="1:3" x14ac:dyDescent="0.25">
      <c r="A9496" s="8" t="str">
        <f>"IEEE iWEM 2014 - IEEE International Workshop on Electromagnetics: Applications and Student Innovation Competition"</f>
        <v>IEEE iWEM 2014 - IEEE International Workshop on Electromagnetics: Applications and Student Innovation Competition</v>
      </c>
      <c r="B9496" s="8" t="str">
        <f>"9781479948154"</f>
        <v>9781479948154</v>
      </c>
      <c r="C9496" s="8" t="s">
        <v>105</v>
      </c>
    </row>
    <row r="9497" spans="1:3" x14ac:dyDescent="0.25">
      <c r="A9497" s="8" t="str">
        <f>"IEEE MTT-S International Microwave and RF Conference 2014, IMaRC 2014 - Collocated with Intemational Symposium on Microwaves, ISM 2014"</f>
        <v>IEEE MTT-S International Microwave and RF Conference 2014, IMaRC 2014 - Collocated with Intemational Symposium on Microwaves, ISM 2014</v>
      </c>
      <c r="B9497" s="8" t="str">
        <f>"9781479963164"</f>
        <v>9781479963164</v>
      </c>
      <c r="C9497" s="8" t="s">
        <v>105</v>
      </c>
    </row>
    <row r="9498" spans="1:3" x14ac:dyDescent="0.25">
      <c r="A9498" s="8" t="str">
        <f>"IEEE MTT-S International Microwave Workshop Series on Millimeter Wave Wireless Technology and Applications, IMWS 2012 - Proceeding"</f>
        <v>IEEE MTT-S International Microwave Workshop Series on Millimeter Wave Wireless Technology and Applications, IMWS 2012 - Proceeding</v>
      </c>
      <c r="B9498" s="8" t="str">
        <f>"9781467309028"</f>
        <v>9781467309028</v>
      </c>
      <c r="C9498" s="8" t="s">
        <v>9</v>
      </c>
    </row>
    <row r="9499" spans="1:3" x14ac:dyDescent="0.25">
      <c r="A9499" s="8" t="str">
        <f>"IEEE MTT-S International Microwave Workshop Series on Wireless Sensing, Local Positioning and RFID, Proceedings, IMWS 2009 - Croatia"</f>
        <v>IEEE MTT-S International Microwave Workshop Series on Wireless Sensing, Local Positioning and RFID, Proceedings, IMWS 2009 - Croatia</v>
      </c>
      <c r="B9499" s="8" t="str">
        <f>"9781424450626"</f>
        <v>9781424450626</v>
      </c>
      <c r="C9499" s="8" t="s">
        <v>9</v>
      </c>
    </row>
    <row r="9500" spans="1:3" x14ac:dyDescent="0.25">
      <c r="A9500" s="8" t="str">
        <f>"IEEE Nanotechnology Materials and Devices Conference, IEEE NMDC 2013"</f>
        <v>IEEE Nanotechnology Materials and Devices Conference, IEEE NMDC 2013</v>
      </c>
      <c r="B9500" s="8" t="str">
        <f>"9781479933877"</f>
        <v>9781479933877</v>
      </c>
      <c r="C9500" s="8" t="s">
        <v>9</v>
      </c>
    </row>
    <row r="9501" spans="1:3" x14ac:dyDescent="0.25">
      <c r="A9501" s="8" t="str">
        <f>"IEEE NLP-KE 2007 - Proceedings of International Conference on Natural Language Processing and Knowledge Engineering"</f>
        <v>IEEE NLP-KE 2007 - Proceedings of International Conference on Natural Language Processing and Knowledge Engineering</v>
      </c>
      <c r="B9501" s="8" t="str">
        <f>"9781424416103"</f>
        <v>9781424416103</v>
      </c>
      <c r="C9501" s="8" t="s">
        <v>9</v>
      </c>
    </row>
    <row r="9502" spans="1:3" x14ac:dyDescent="0.25">
      <c r="A9502" s="8" t="str">
        <f>"IEEE Odyssey 2006: Workshop on Speaker and Language Recognition"</f>
        <v>IEEE Odyssey 2006: Workshop on Speaker and Language Recognition</v>
      </c>
      <c r="B9502" s="8" t="str">
        <f>"-"</f>
        <v>-</v>
      </c>
      <c r="C9502" s="8" t="s">
        <v>9</v>
      </c>
    </row>
    <row r="9503" spans="1:3" x14ac:dyDescent="0.25">
      <c r="A9503" s="8" t="str">
        <f>"IEEE P2P'09 - 9th International Conference on Peer-to-Peer Computing"</f>
        <v>IEEE P2P'09 - 9th International Conference on Peer-to-Peer Computing</v>
      </c>
      <c r="B9503" s="8" t="str">
        <f>"9781424450671"</f>
        <v>9781424450671</v>
      </c>
      <c r="C9503" s="8" t="s">
        <v>9</v>
      </c>
    </row>
    <row r="9504" spans="1:3" x14ac:dyDescent="0.25">
      <c r="A9504" s="8" t="str">
        <f>"IEEE Pacific Visualisation Symposium 2008, PacificVis - Proceedings"</f>
        <v>IEEE Pacific Visualisation Symposium 2008, PacificVis - Proceedings</v>
      </c>
      <c r="B9504" s="8" t="str">
        <f>"9781424419661"</f>
        <v>9781424419661</v>
      </c>
      <c r="C9504" s="8" t="s">
        <v>9</v>
      </c>
    </row>
    <row r="9505" spans="1:3" x14ac:dyDescent="0.25">
      <c r="A9505" s="8" t="str">
        <f>"IEEE Pacific Visualization Symposium 2010, PacificVis 2010 - Proceedings"</f>
        <v>IEEE Pacific Visualization Symposium 2010, PacificVis 2010 - Proceedings</v>
      </c>
      <c r="B9505" s="8" t="str">
        <f>"9781424466849"</f>
        <v>9781424466849</v>
      </c>
      <c r="C9505" s="8" t="s">
        <v>9</v>
      </c>
    </row>
    <row r="9506" spans="1:3" x14ac:dyDescent="0.25">
      <c r="A9506" s="8" t="str">
        <f>"IEEE Pacific Visualization Symposium 2011, PacificVis 2011 - Proceedings"</f>
        <v>IEEE Pacific Visualization Symposium 2011, PacificVis 2011 - Proceedings</v>
      </c>
      <c r="B9506" s="8" t="str">
        <f>"9781612849324"</f>
        <v>9781612849324</v>
      </c>
      <c r="C9506" s="8" t="s">
        <v>9</v>
      </c>
    </row>
    <row r="9507" spans="1:3" x14ac:dyDescent="0.25">
      <c r="A9507" s="8" t="str">
        <f>"IEEE Pacific Visualization Symposium 2012, PacificVis 2012 - Proceedings"</f>
        <v>IEEE Pacific Visualization Symposium 2012, PacificVis 2012 - Proceedings</v>
      </c>
      <c r="B9507" s="8" t="str">
        <f>"9781467308649"</f>
        <v>9781467308649</v>
      </c>
      <c r="C9507" s="8" t="s">
        <v>9</v>
      </c>
    </row>
    <row r="9508" spans="1:3" x14ac:dyDescent="0.25">
      <c r="A9508" s="8" t="str">
        <f>"IEEE Pacific Visualization Symposium, PacificVis 2009 - Proceedings"</f>
        <v>IEEE Pacific Visualization Symposium, PacificVis 2009 - Proceedings</v>
      </c>
      <c r="B9508" s="8" t="str">
        <f>"9781424444045"</f>
        <v>9781424444045</v>
      </c>
      <c r="C9508" s="8" t="s">
        <v>9</v>
      </c>
    </row>
    <row r="9509" spans="1:3" x14ac:dyDescent="0.25">
      <c r="A9509" s="8" t="str">
        <f>"IEEE PES General Meeting, PES 2010"</f>
        <v>IEEE PES General Meeting, PES 2010</v>
      </c>
      <c r="B9509" s="8" t="str">
        <f>"9781424483570"</f>
        <v>9781424483570</v>
      </c>
      <c r="C9509" s="8" t="s">
        <v>9</v>
      </c>
    </row>
    <row r="9510" spans="1:3" x14ac:dyDescent="0.25">
      <c r="A9510" s="8" t="str">
        <f>"IEEE PES Innovative Smart Grid Technologies Conference Europe, ISGT Europe"</f>
        <v>IEEE PES Innovative Smart Grid Technologies Conference Europe, ISGT Europe</v>
      </c>
      <c r="B9510" s="8" t="str">
        <f>"9781424485109"</f>
        <v>9781424485109</v>
      </c>
      <c r="C9510" s="8" t="s">
        <v>9</v>
      </c>
    </row>
    <row r="9511" spans="1:3" x14ac:dyDescent="0.25">
      <c r="A9511" s="8" t="str">
        <f>"IEEE PES Innovative Smart Grid Technologies Conference Europe, ISGT Europe"</f>
        <v>IEEE PES Innovative Smart Grid Technologies Conference Europe, ISGT Europe</v>
      </c>
      <c r="B9511" s="8" t="str">
        <f>"9781612842189"</f>
        <v>9781612842189</v>
      </c>
      <c r="C9511" s="8" t="s">
        <v>9</v>
      </c>
    </row>
    <row r="9512" spans="1:3" x14ac:dyDescent="0.25">
      <c r="A9512" s="8" t="str">
        <f>"IEEE PES PowerAfrica 2007 Conference and Exposition, PowerAfrica"</f>
        <v>IEEE PES PowerAfrica 2007 Conference and Exposition, PowerAfrica</v>
      </c>
      <c r="B9512" s="8" t="str">
        <f>"9781424414789"</f>
        <v>9781424414789</v>
      </c>
      <c r="C9512" s="8" t="s">
        <v>9</v>
      </c>
    </row>
    <row r="9513" spans="1:3" x14ac:dyDescent="0.25">
      <c r="A9513" s="8" t="str">
        <f>"IEEE Photonic Society 24th Annual Meeting, PHO 2011"</f>
        <v>IEEE Photonic Society 24th Annual Meeting, PHO 2011</v>
      </c>
      <c r="B9513" s="8" t="str">
        <f>"9781424489404"</f>
        <v>9781424489404</v>
      </c>
      <c r="C9513" s="8" t="s">
        <v>9</v>
      </c>
    </row>
    <row r="9514" spans="1:3" x14ac:dyDescent="0.25">
      <c r="A9514" s="8" t="str">
        <f>"IEEE Power and Energy Society 2008 General Meeting: Conversion and Delivery of Electrical Energy in the 21st Century, PES"</f>
        <v>IEEE Power and Energy Society 2008 General Meeting: Conversion and Delivery of Electrical Energy in the 21st Century, PES</v>
      </c>
      <c r="B9514" s="8" t="str">
        <f>"9781424419067"</f>
        <v>9781424419067</v>
      </c>
      <c r="C9514" s="8" t="s">
        <v>9</v>
      </c>
    </row>
    <row r="9515" spans="1:3" x14ac:dyDescent="0.25">
      <c r="A9515" s="8" t="str">
        <f>"IEEE Power and Energy Society Conference and Exposition in Africa: Intelligent Grid Integration of Renewable Energy Resources, PowerAfrica 2012"</f>
        <v>IEEE Power and Energy Society Conference and Exposition in Africa: Intelligent Grid Integration of Renewable Energy Resources, PowerAfrica 2012</v>
      </c>
      <c r="B9515" s="8" t="str">
        <f>"9781467325486"</f>
        <v>9781467325486</v>
      </c>
      <c r="C9515" s="8" t="s">
        <v>9</v>
      </c>
    </row>
    <row r="9516" spans="1:3" x14ac:dyDescent="0.25">
      <c r="A9516" s="8" t="str">
        <f>"IEEE Power Electronics Education Workshop 2005"</f>
        <v>IEEE Power Electronics Education Workshop 2005</v>
      </c>
      <c r="B9516" s="8" t="str">
        <f>"-"</f>
        <v>-</v>
      </c>
      <c r="C9516" s="8" t="s">
        <v>9</v>
      </c>
    </row>
    <row r="9517" spans="1:3" x14ac:dyDescent="0.25">
      <c r="A9517" s="8" t="str">
        <f>"IEEE Proceedings of the INternational Conference On Emerging Trends in Science Engineering and Technology: Recent Advancements on Science and Engineering Innovation, INCOSET 2012"</f>
        <v>IEEE Proceedings of the INternational Conference On Emerging Trends in Science Engineering and Technology: Recent Advancements on Science and Engineering Innovation, INCOSET 2012</v>
      </c>
      <c r="B9517" s="8" t="str">
        <f>"9781467351447"</f>
        <v>9781467351447</v>
      </c>
      <c r="C9517" s="8" t="s">
        <v>105</v>
      </c>
    </row>
    <row r="9518" spans="1:3" x14ac:dyDescent="0.25">
      <c r="A9518" s="8" t="str">
        <f>"IEEE Region 10 Colloquium and 3rd International Conference on Industrial and Information Systems, ICIIS 2008"</f>
        <v>IEEE Region 10 Colloquium and 3rd International Conference on Industrial and Information Systems, ICIIS 2008</v>
      </c>
      <c r="B9518" s="8" t="str">
        <f>"9781424428069"</f>
        <v>9781424428069</v>
      </c>
      <c r="C9518" s="8" t="s">
        <v>9</v>
      </c>
    </row>
    <row r="9519" spans="1:3" x14ac:dyDescent="0.25">
      <c r="A9519" s="8" t="str">
        <f>"IEEE Region 10 International Conference on Electrical and Electronic Technology"</f>
        <v>IEEE Region 10 International Conference on Electrical and Electronic Technology</v>
      </c>
      <c r="B9519" s="8" t="str">
        <f>"9780780371019"</f>
        <v>9780780371019</v>
      </c>
      <c r="C9519" s="8" t="s">
        <v>105</v>
      </c>
    </row>
    <row r="9520" spans="1:3" x14ac:dyDescent="0.25">
      <c r="A9520" s="8" t="str">
        <f>"IEEE Region 10 International Conference on Electrical and Electronic Technology"</f>
        <v>IEEE Region 10 International Conference on Electrical and Electronic Technology</v>
      </c>
      <c r="B9520" s="8" t="str">
        <f>"9780780371019"</f>
        <v>9780780371019</v>
      </c>
      <c r="C9520" s="8" t="s">
        <v>105</v>
      </c>
    </row>
    <row r="9521" spans="1:3" x14ac:dyDescent="0.25">
      <c r="A9521" s="8" t="str">
        <f>"IEEE Region 5 - 2003 Annual Technical Conference, Conference Record - Papers Presented at the 2003 Annual Meeting"</f>
        <v>IEEE Region 5 - 2003 Annual Technical Conference, Conference Record - Papers Presented at the 2003 Annual Meeting</v>
      </c>
      <c r="B9521" s="8" t="str">
        <f>"9780780377400"</f>
        <v>9780780377400</v>
      </c>
      <c r="C9521" s="8" t="s">
        <v>105</v>
      </c>
    </row>
    <row r="9522" spans="1:3" x14ac:dyDescent="0.25">
      <c r="A9522" s="8" t="str">
        <f>"IEEE Region 5 Conference: Annual Technical and Leadership Workshop"</f>
        <v>IEEE Region 5 Conference: Annual Technical and Leadership Workshop</v>
      </c>
      <c r="B9522" s="8" t="str">
        <f>"9780780382176"</f>
        <v>9780780382176</v>
      </c>
      <c r="C9522" s="8" t="s">
        <v>105</v>
      </c>
    </row>
    <row r="9523" spans="1:3" x14ac:dyDescent="0.25">
      <c r="A9523" s="8" t="str">
        <f>"IEEE Region 8 EUROCON 2003: Computer as a Tool - Proceedings"</f>
        <v>IEEE Region 8 EUROCON 2003: Computer as a Tool - Proceedings</v>
      </c>
      <c r="B9523" s="8" t="str">
        <f>"-"</f>
        <v>-</v>
      </c>
      <c r="C9523" s="8" t="s">
        <v>105</v>
      </c>
    </row>
    <row r="9524" spans="1:3" x14ac:dyDescent="0.25">
      <c r="A9524" s="8" t="str">
        <f>"IEEE RO-MAN 2014 - 23rd IEEE International Symposium on Robot and Human Interactive Communication: Human-Robot Co-Existence: Adaptive Interfaces and Systems for Daily Life, Therapy, Assistance and Socially Engaging Interactions"</f>
        <v>IEEE RO-MAN 2014 - 23rd IEEE International Symposium on Robot and Human Interactive Communication: Human-Robot Co-Existence: Adaptive Interfaces and Systems for Daily Life, Therapy, Assistance and Socially Engaging Interactions</v>
      </c>
      <c r="B9524" s="8" t="str">
        <f>"9781479967636"</f>
        <v>9781479967636</v>
      </c>
      <c r="C9524" s="8" t="s">
        <v>105</v>
      </c>
    </row>
    <row r="9525" spans="1:3" x14ac:dyDescent="0.25">
      <c r="A9525" s="8" t="str">
        <f>"IEEE SCVT 2013 - Proceedings of 20th IEEE Symposium on Communications and Vehicular Technology in the BeNeLux"</f>
        <v>IEEE SCVT 2013 - Proceedings of 20th IEEE Symposium on Communications and Vehicular Technology in the BeNeLux</v>
      </c>
      <c r="B9525" s="8" t="str">
        <f>"9781479932061"</f>
        <v>9781479932061</v>
      </c>
      <c r="C9525" s="8" t="s">
        <v>9</v>
      </c>
    </row>
    <row r="9526" spans="1:3" x14ac:dyDescent="0.25">
      <c r="A9526" s="8" t="str">
        <f>"IEEE SENSORS 2013 - Proceedings"</f>
        <v>IEEE SENSORS 2013 - Proceedings</v>
      </c>
      <c r="B9526" s="8" t="str">
        <f>"9781467346405"</f>
        <v>9781467346405</v>
      </c>
      <c r="C9526" s="8" t="s">
        <v>9</v>
      </c>
    </row>
    <row r="9527" spans="1:3" x14ac:dyDescent="0.25">
      <c r="A9527" s="8" t="str">
        <f>"IEEE SSCI 2011 - Symposium Series on Computational Intelligence - CCMB 2011: 2011 IEEE Symposium on Computational Intelligence, Cognitive Algorithms, Mind, and Brain"</f>
        <v>IEEE SSCI 2011 - Symposium Series on Computational Intelligence - CCMB 2011: 2011 IEEE Symposium on Computational Intelligence, Cognitive Algorithms, Mind, and Brain</v>
      </c>
      <c r="B9527" s="8" t="str">
        <f>"9781424498918"</f>
        <v>9781424498918</v>
      </c>
      <c r="C9527" s="8" t="s">
        <v>9</v>
      </c>
    </row>
    <row r="9528" spans="1:3" x14ac:dyDescent="0.25">
      <c r="A9528" s="8" t="str">
        <f>"IEEE SSCI 2011 - Symposium Series on Computational Intelligence - CIASG 2011: 2011 IEEE Symposium on Computational Intelligence Applications in Smart Grid"</f>
        <v>IEEE SSCI 2011 - Symposium Series on Computational Intelligence - CIASG 2011: 2011 IEEE Symposium on Computational Intelligence Applications in Smart Grid</v>
      </c>
      <c r="B9528" s="8" t="str">
        <f>"9781424498949"</f>
        <v>9781424498949</v>
      </c>
      <c r="C9528" s="8" t="s">
        <v>9</v>
      </c>
    </row>
    <row r="9529" spans="1:3" x14ac:dyDescent="0.25">
      <c r="A9529" s="8" t="str">
        <f>"IEEE SSCI 2011 - Symposium Series on Computational Intelligence - CIBCB 2011: 2011 IEEE Symposium on Computational Intelligence in Bioinformatics and Computational Biology"</f>
        <v>IEEE SSCI 2011 - Symposium Series on Computational Intelligence - CIBCB 2011: 2011 IEEE Symposium on Computational Intelligence in Bioinformatics and Computational Biology</v>
      </c>
      <c r="B9529" s="8" t="str">
        <f>"9781424498970"</f>
        <v>9781424498970</v>
      </c>
      <c r="C9529" s="8" t="s">
        <v>9</v>
      </c>
    </row>
    <row r="9530" spans="1:3" x14ac:dyDescent="0.25">
      <c r="A9530" s="8" t="str">
        <f>"IEEE SSCI 2011 - Symposium Series on Computational Intelligence - CIBIM 2011: 2011 IEEE Workshop on Computational Intelligence in Biometrics and Identity Management"</f>
        <v>IEEE SSCI 2011 - Symposium Series on Computational Intelligence - CIBIM 2011: 2011 IEEE Workshop on Computational Intelligence in Biometrics and Identity Management</v>
      </c>
      <c r="B9530" s="8" t="str">
        <f>"9781424499007"</f>
        <v>9781424499007</v>
      </c>
      <c r="C9530" s="8" t="s">
        <v>9</v>
      </c>
    </row>
    <row r="9531" spans="1:3" x14ac:dyDescent="0.25">
      <c r="A9531" s="8" t="str">
        <f>"IEEE SSCI 2011 - Symposium Series on Computational Intelligence - CICA 2011 - 2011 IEEE Symposium on Computational Intelligence in Control and Automation"</f>
        <v>IEEE SSCI 2011 - Symposium Series on Computational Intelligence - CICA 2011 - 2011 IEEE Symposium on Computational Intelligence in Control and Automation</v>
      </c>
      <c r="B9531" s="8" t="str">
        <f>"9781424499038"</f>
        <v>9781424499038</v>
      </c>
      <c r="C9531" s="8" t="s">
        <v>9</v>
      </c>
    </row>
    <row r="9532" spans="1:3" x14ac:dyDescent="0.25">
      <c r="A9532" s="8" t="str">
        <f>"IEEE SSCI 2011 - Symposium Series on Computational Intelligence - CIFEr 2011: 2011 IEEE Symposium on Computational Intelligence for Financial Engineering and Economics"</f>
        <v>IEEE SSCI 2011 - Symposium Series on Computational Intelligence - CIFEr 2011: 2011 IEEE Symposium on Computational Intelligence for Financial Engineering and Economics</v>
      </c>
      <c r="B9532" s="8" t="str">
        <f>"9781424499342"</f>
        <v>9781424499342</v>
      </c>
      <c r="C9532" s="8" t="s">
        <v>9</v>
      </c>
    </row>
    <row r="9533" spans="1:3" x14ac:dyDescent="0.25">
      <c r="A9533" s="8" t="str">
        <f>"IEEE SSCI 2011 - Symposium Series on Computational Intelligence - CIMI 2011: 2011 IEEE 3rd International Workshop on Computational Intelligence in Medical Imaging"</f>
        <v>IEEE SSCI 2011 - Symposium Series on Computational Intelligence - CIMI 2011: 2011 IEEE 3rd International Workshop on Computational Intelligence in Medical Imaging</v>
      </c>
      <c r="B9533" s="8" t="str">
        <f>"9781612843360"</f>
        <v>9781612843360</v>
      </c>
      <c r="C9533" s="8" t="s">
        <v>9</v>
      </c>
    </row>
    <row r="9534" spans="1:3" x14ac:dyDescent="0.25">
      <c r="A9534" s="8" t="str">
        <f>"IEEE SSCI 2011 - Symposium Series on Computational Intelligence - CIMSIVP 2011: 2011 IEEE Symposium on Computational Intelligence for Multimedia, Signal and Vision Processing"</f>
        <v>IEEE SSCI 2011 - Symposium Series on Computational Intelligence - CIMSIVP 2011: 2011 IEEE Symposium on Computational Intelligence for Multimedia, Signal and Vision Processing</v>
      </c>
      <c r="B9534" s="8" t="str">
        <f>"9781424499151"</f>
        <v>9781424499151</v>
      </c>
      <c r="C9534" s="8" t="s">
        <v>9</v>
      </c>
    </row>
    <row r="9535" spans="1:3" x14ac:dyDescent="0.25">
      <c r="A9535" s="8" t="str">
        <f>"IEEE SSCI 2011 - Symposium Series on Computational Intelligence - CIPLS 2011: 2011 IEEE Workshop on Computational Intelligence in Production and Logistics Systems"</f>
        <v>IEEE SSCI 2011 - Symposium Series on Computational Intelligence - CIPLS 2011: 2011 IEEE Workshop on Computational Intelligence in Production and Logistics Systems</v>
      </c>
      <c r="B9535" s="8" t="str">
        <f>"9781612843339"</f>
        <v>9781612843339</v>
      </c>
      <c r="C9535" s="8" t="s">
        <v>9</v>
      </c>
    </row>
    <row r="9536" spans="1:3" x14ac:dyDescent="0.25">
      <c r="A9536" s="8" t="str">
        <f>"IEEE SSCI 2011 - Symposium Series on Computational Intelligence - CISched 2011: 2011 IEEE Symposium on Computational Intelligence in Scheduling"</f>
        <v>IEEE SSCI 2011 - Symposium Series on Computational Intelligence - CISched 2011: 2011 IEEE Symposium on Computational Intelligence in Scheduling</v>
      </c>
      <c r="B9536" s="8" t="str">
        <f>"9781612841960"</f>
        <v>9781612841960</v>
      </c>
      <c r="C9536" s="8" t="s">
        <v>9</v>
      </c>
    </row>
    <row r="9537" spans="1:3" x14ac:dyDescent="0.25">
      <c r="A9537" s="8" t="str">
        <f>"IEEE SSCI 2011 - Symposium Series on Computational Intelligence - CISDA 2011: 2011 IEEE Symposium on Computational Intelligence for Security and Defense Applications"</f>
        <v>IEEE SSCI 2011 - Symposium Series on Computational Intelligence - CISDA 2011: 2011 IEEE Symposium on Computational Intelligence for Security and Defense Applications</v>
      </c>
      <c r="B9537" s="8" t="str">
        <f>"9781424499410"</f>
        <v>9781424499410</v>
      </c>
      <c r="C9537" s="8" t="s">
        <v>9</v>
      </c>
    </row>
    <row r="9538" spans="1:3" x14ac:dyDescent="0.25">
      <c r="A9538" s="8" t="str">
        <f>"IEEE SSCI 2011 - Symposium Series on Computational Intelligence - CIVI 2011: 2011 IEEE Workshop on Computational Intelligence for Visual Intelligence"</f>
        <v>IEEE SSCI 2011 - Symposium Series on Computational Intelligence - CIVI 2011: 2011 IEEE Workshop on Computational Intelligence for Visual Intelligence</v>
      </c>
      <c r="B9538" s="8" t="str">
        <f>"9781424499731"</f>
        <v>9781424499731</v>
      </c>
      <c r="C9538" s="8" t="s">
        <v>9</v>
      </c>
    </row>
    <row r="9539" spans="1:3" x14ac:dyDescent="0.25">
      <c r="A9539" s="8" t="str">
        <f>"IEEE SSCI 2011 - Symposium Series on Computational Intelligence - CompSens 2011: 2011 IEEE Workshop on Merging Fields of Computational Intelligence and Sensor Technology"</f>
        <v>IEEE SSCI 2011 - Symposium Series on Computational Intelligence - CompSens 2011: 2011 IEEE Workshop on Merging Fields of Computational Intelligence and Sensor Technology</v>
      </c>
      <c r="B9539" s="8" t="str">
        <f>"9781424499120"</f>
        <v>9781424499120</v>
      </c>
      <c r="C9539" s="8" t="s">
        <v>9</v>
      </c>
    </row>
    <row r="9540" spans="1:3" x14ac:dyDescent="0.25">
      <c r="A9540" s="8" t="str">
        <f>"IEEE SSCI 2011 - Symposium Series on Computational Intelligence - FOCI 2011: 2011 IEEE Symposium on Foundations of Computational Intelligence"</f>
        <v>IEEE SSCI 2011 - Symposium Series on Computational Intelligence - FOCI 2011: 2011 IEEE Symposium on Foundations of Computational Intelligence</v>
      </c>
      <c r="B9540" s="8" t="str">
        <f>"9781424499823"</f>
        <v>9781424499823</v>
      </c>
      <c r="C9540" s="8" t="s">
        <v>9</v>
      </c>
    </row>
    <row r="9541" spans="1:3" x14ac:dyDescent="0.25">
      <c r="A9541" s="8" t="str">
        <f>"IEEE SSCI 2011 - Symposium Series on Computational Intelligence - HIMA 2011: 2011 IEEE Workshop on Hybrid Intelligent Models and Applications"</f>
        <v>IEEE SSCI 2011 - Symposium Series on Computational Intelligence - HIMA 2011: 2011 IEEE Workshop on Hybrid Intelligent Models and Applications</v>
      </c>
      <c r="B9541" s="8" t="str">
        <f>"9781424499090"</f>
        <v>9781424499090</v>
      </c>
      <c r="C9541" s="8" t="s">
        <v>9</v>
      </c>
    </row>
    <row r="9542" spans="1:3" x14ac:dyDescent="0.25">
      <c r="A9542" s="8" t="str">
        <f>"IEEE SSCI 2011 - Symposium Series on Computational Intelligence - IA 2011: 2011 IEEE Symposium on Intelligent Agents"</f>
        <v>IEEE SSCI 2011 - Symposium Series on Computational Intelligence - IA 2011: 2011 IEEE Symposium on Intelligent Agents</v>
      </c>
      <c r="B9542" s="8" t="str">
        <f>"9781612840604"</f>
        <v>9781612840604</v>
      </c>
      <c r="C9542" s="8" t="s">
        <v>9</v>
      </c>
    </row>
    <row r="9543" spans="1:3" x14ac:dyDescent="0.25">
      <c r="A9543" s="8" t="str">
        <f>"IEEE SSCI 2011 - Symposium Series on Computational Intelligence - IEEE ALIFE 2011: 2011 IEEE Symposium on Artificial Life"</f>
        <v>IEEE SSCI 2011 - Symposium Series on Computational Intelligence - IEEE ALIFE 2011: 2011 IEEE Symposium on Artificial Life</v>
      </c>
      <c r="B9543" s="8" t="str">
        <f>"9781612840635"</f>
        <v>9781612840635</v>
      </c>
      <c r="C9543" s="8" t="s">
        <v>9</v>
      </c>
    </row>
    <row r="9544" spans="1:3" x14ac:dyDescent="0.25">
      <c r="A9544" s="8" t="str">
        <f>"IEEE SSCI 2011 - Symposium Series on Computational Intelligence - MC 2011: 2011 IEEE Workshop on Memetic Computing"</f>
        <v>IEEE SSCI 2011 - Symposium Series on Computational Intelligence - MC 2011: 2011 IEEE Workshop on Memetic Computing</v>
      </c>
      <c r="B9544" s="8" t="str">
        <f>"9781612840666"</f>
        <v>9781612840666</v>
      </c>
      <c r="C9544" s="8" t="s">
        <v>9</v>
      </c>
    </row>
    <row r="9545" spans="1:3" x14ac:dyDescent="0.25">
      <c r="A9545" s="8" t="str">
        <f>"IEEE SSCI 2011 - Symposium Series on Computational Intelligence - MCDM 2011: 2011 IEEE Symposium on Computational Intelligence in Multicriteria Decision-Making"</f>
        <v>IEEE SSCI 2011 - Symposium Series on Computational Intelligence - MCDM 2011: 2011 IEEE Symposium on Computational Intelligence in Multicriteria Decision-Making</v>
      </c>
      <c r="B9545" s="8" t="str">
        <f>"9781612840697"</f>
        <v>9781612840697</v>
      </c>
      <c r="C9545" s="8" t="s">
        <v>9</v>
      </c>
    </row>
    <row r="9546" spans="1:3" x14ac:dyDescent="0.25">
      <c r="A9546" s="8" t="str">
        <f>"IEEE SSCI 2011 - Symposium Series on Computational Intelligence - SDE 2011: 2011 IEEE Symposium on Differential Evolution"</f>
        <v>IEEE SSCI 2011 - Symposium Series on Computational Intelligence - SDE 2011: 2011 IEEE Symposium on Differential Evolution</v>
      </c>
      <c r="B9546" s="8" t="str">
        <f>"9781612840727"</f>
        <v>9781612840727</v>
      </c>
      <c r="C9546" s="8" t="s">
        <v>9</v>
      </c>
    </row>
    <row r="9547" spans="1:3" x14ac:dyDescent="0.25">
      <c r="A9547" s="8" t="str">
        <f>"IEEE SSCI 2011 - Symposium Series on Computational Intelligence - SIS 2011: 2011 IEEE Symposium on Swarm Intelligence"</f>
        <v>IEEE SSCI 2011 - Symposium Series on Computational Intelligence - SIS 2011: 2011 IEEE Symposium on Swarm Intelligence</v>
      </c>
      <c r="B9547" s="8" t="str">
        <f>"9781612840529"</f>
        <v>9781612840529</v>
      </c>
      <c r="C9547" s="8" t="s">
        <v>9</v>
      </c>
    </row>
    <row r="9548" spans="1:3" x14ac:dyDescent="0.25">
      <c r="A9548" s="8" t="str">
        <f>"IEEE SSCI 2011 - Symposium Series on Computational Intelligence - WACI 2011: 2011 Workshop on Affective Computational Intelligence"</f>
        <v>IEEE SSCI 2011 - Symposium Series on Computational Intelligence - WACI 2011: 2011 Workshop on Affective Computational Intelligence</v>
      </c>
      <c r="B9548" s="8" t="str">
        <f>"9781612840840"</f>
        <v>9781612840840</v>
      </c>
      <c r="C9548" s="8" t="s">
        <v>9</v>
      </c>
    </row>
    <row r="9549" spans="1:3" x14ac:dyDescent="0.25">
      <c r="A9549" s="8" t="str">
        <f>"IEEE SSCI 2011: Symposium Series on Computational Intelligence - ADPRL 2011: 2011 IEEE Symposium on Adaptive Dynamic Programming and Reinforcement Learning"</f>
        <v>IEEE SSCI 2011: Symposium Series on Computational Intelligence - ADPRL 2011: 2011 IEEE Symposium on Adaptive Dynamic Programming and Reinforcement Learning</v>
      </c>
      <c r="B9549" s="8" t="str">
        <f>"9781424498888"</f>
        <v>9781424498888</v>
      </c>
      <c r="C9549" s="8" t="s">
        <v>9</v>
      </c>
    </row>
    <row r="9550" spans="1:3" x14ac:dyDescent="0.25">
      <c r="A9550" s="8" t="str">
        <f>"IEEE SSCI 2011: Symposium Series on Computational Intelligence - CICS 2011: 2011 IEEE Symposium on Computational Intelligence in Cyber Security"</f>
        <v>IEEE SSCI 2011: Symposium Series on Computational Intelligence - CICS 2011: 2011 IEEE Symposium on Computational Intelligence in Cyber Security</v>
      </c>
      <c r="B9550" s="8" t="str">
        <f>"9781424499069"</f>
        <v>9781424499069</v>
      </c>
      <c r="C9550" s="8" t="s">
        <v>9</v>
      </c>
    </row>
    <row r="9551" spans="1:3" x14ac:dyDescent="0.25">
      <c r="A9551" s="8" t="str">
        <f>"IEEE SSCI 2011: Symposium Series on Computational Intelligence - CIDM 2011: 2011 IEEE Symposium on Computational Intelligence and Data Mining"</f>
        <v>IEEE SSCI 2011: Symposium Series on Computational Intelligence - CIDM 2011: 2011 IEEE Symposium on Computational Intelligence and Data Mining</v>
      </c>
      <c r="B9551" s="8" t="str">
        <f>"9781424499274"</f>
        <v>9781424499274</v>
      </c>
      <c r="C9551" s="8" t="s">
        <v>9</v>
      </c>
    </row>
    <row r="9552" spans="1:3" x14ac:dyDescent="0.25">
      <c r="A9552" s="8" t="str">
        <f>"IEEE SSCI 2011: Symposium Series on Computational Intelligence - CIDUE 2011: 2011 IEEE Symposium on Computational Intelligence in Dynamic and Uncertain Environments"</f>
        <v>IEEE SSCI 2011: Symposium Series on Computational Intelligence - CIDUE 2011: 2011 IEEE Symposium on Computational Intelligence in Dynamic and Uncertain Environments</v>
      </c>
      <c r="B9552" s="8" t="str">
        <f>"9781424499311"</f>
        <v>9781424499311</v>
      </c>
      <c r="C9552" s="8" t="s">
        <v>9</v>
      </c>
    </row>
    <row r="9553" spans="1:3" x14ac:dyDescent="0.25">
      <c r="A9553" s="8" t="str">
        <f>"IEEE SSCI 2011: Symposium Series on Computational Intelligence - CIVTS 2011: 2011 IEEE Symposium on Computational Intelligence in Vehicles and Transportation Systems"</f>
        <v>IEEE SSCI 2011: Symposium Series on Computational Intelligence - CIVTS 2011: 2011 IEEE Symposium on Computational Intelligence in Vehicles and Transportation Systems</v>
      </c>
      <c r="B9553" s="8" t="str">
        <f>"9781424499762"</f>
        <v>9781424499762</v>
      </c>
      <c r="C9553" s="8" t="s">
        <v>9</v>
      </c>
    </row>
    <row r="9554" spans="1:3" x14ac:dyDescent="0.25">
      <c r="A9554" s="8" t="str">
        <f>"IEEE SSCI 2011: Symposium Series on Computational Intelligence - EAIS 2011: 2011 IEEE Workshop on Evolving and Adaptive Intelligent Systems"</f>
        <v>IEEE SSCI 2011: Symposium Series on Computational Intelligence - EAIS 2011: 2011 IEEE Workshop on Evolving and Adaptive Intelligent Systems</v>
      </c>
      <c r="B9554" s="8" t="str">
        <f>"9781424499793"</f>
        <v>9781424499793</v>
      </c>
      <c r="C9554" s="8" t="s">
        <v>9</v>
      </c>
    </row>
    <row r="9555" spans="1:3" x14ac:dyDescent="0.25">
      <c r="A9555" s="8" t="str">
        <f>"IEEE SSCI 2011: Symposium Series on Computational Intelligence - GEFS 2011: 2011 IEEE 5th International Workshop on Genetic and Evolutionary Fuzzy Systems"</f>
        <v>IEEE SSCI 2011: Symposium Series on Computational Intelligence - GEFS 2011: 2011 IEEE 5th International Workshop on Genetic and Evolutionary Fuzzy Systems</v>
      </c>
      <c r="B9555" s="8" t="str">
        <f>"9781612840505"</f>
        <v>9781612840505</v>
      </c>
      <c r="C9555" s="8" t="s">
        <v>9</v>
      </c>
    </row>
    <row r="9556" spans="1:3" x14ac:dyDescent="0.25">
      <c r="A9556" s="8" t="str">
        <f>"IEEE SSCI 2011: Symposium Series on Computational Intelligence - RIISS 2011: 2011 IEEE Workshop on Robotic Intelligence in Informationally Structured Space"</f>
        <v>IEEE SSCI 2011: Symposium Series on Computational Intelligence - RIISS 2011: 2011 IEEE Workshop on Robotic Intelligence in Informationally Structured Space</v>
      </c>
      <c r="B9556" s="8" t="str">
        <f>"9781424498840"</f>
        <v>9781424498840</v>
      </c>
      <c r="C9556" s="8" t="s">
        <v>9</v>
      </c>
    </row>
    <row r="9557" spans="1:3" x14ac:dyDescent="0.25">
      <c r="A9557" s="8" t="str">
        <f>"IEEE SSCI 2011: Symposium Series on Computational Intelligence - T2FUZZ 2011: 2011 IEEE Symposium on Advances in Type-2 Fuzzy Logic Systems"</f>
        <v>IEEE SSCI 2011: Symposium Series on Computational Intelligence - T2FUZZ 2011: 2011 IEEE Symposium on Advances in Type-2 Fuzzy Logic Systems</v>
      </c>
      <c r="B9557" s="8" t="str">
        <f>"9781612840789"</f>
        <v>9781612840789</v>
      </c>
      <c r="C9557" s="8" t="s">
        <v>9</v>
      </c>
    </row>
    <row r="9558" spans="1:3" x14ac:dyDescent="0.25">
      <c r="A9558" s="8" t="str">
        <f>"IEEE SSCI 2014 - 2014 IEEE Symposium Series on Computational Intelligence - ADPRL 2014: 2014 IEEE Symposium on Adaptive Dynamic Programming and Reinforcement Learning, Proceedings"</f>
        <v>IEEE SSCI 2014 - 2014 IEEE Symposium Series on Computational Intelligence - ADPRL 2014: 2014 IEEE Symposium on Adaptive Dynamic Programming and Reinforcement Learning, Proceedings</v>
      </c>
      <c r="B9558" s="8" t="str">
        <f>"9781479945535"</f>
        <v>9781479945535</v>
      </c>
      <c r="C9558" s="8" t="s">
        <v>105</v>
      </c>
    </row>
    <row r="9559" spans="1:3" x14ac:dyDescent="0.25">
      <c r="A9559" s="8" t="str">
        <f>"IEEE SSCI 2014 - 2014 IEEE Symposium Series on Computational Intelligence - CCMB 2014: 2014 IEEE Symposium on Computational Intelligence, Cognitive Algorithms, Mind, and Brain, Proceedings"</f>
        <v>IEEE SSCI 2014 - 2014 IEEE Symposium Series on Computational Intelligence - CCMB 2014: 2014 IEEE Symposium on Computational Intelligence, Cognitive Algorithms, Mind, and Brain, Proceedings</v>
      </c>
      <c r="B9559" s="8" t="str">
        <f>"9781479945504"</f>
        <v>9781479945504</v>
      </c>
      <c r="C9559" s="8" t="s">
        <v>105</v>
      </c>
    </row>
    <row r="9560" spans="1:3" x14ac:dyDescent="0.25">
      <c r="A9560" s="8" t="str">
        <f>"IEEE SSCI 2014 - 2014 IEEE Symposium Series on Computational Intelligence - CIBCI 2014: 2014 IEEE Symposium on Computational Intelligence in Brain Computer Interfaces, Proceedings"</f>
        <v>IEEE SSCI 2014 - 2014 IEEE Symposium Series on Computational Intelligence - CIBCI 2014: 2014 IEEE Symposium on Computational Intelligence in Brain Computer Interfaces, Proceedings</v>
      </c>
      <c r="B9560" s="8" t="str">
        <f>"9781479945443"</f>
        <v>9781479945443</v>
      </c>
      <c r="C9560" s="8" t="s">
        <v>105</v>
      </c>
    </row>
    <row r="9561" spans="1:3" x14ac:dyDescent="0.25">
      <c r="A9561" s="8" t="str">
        <f>"IEEE SSCI 2014 - 2014 IEEE Symposium Series on Computational Intelligence - CIBD 2014: 2014 IEEE Symposium on Computational Intelligence in Big Data, Proceedings"</f>
        <v>IEEE SSCI 2014 - 2014 IEEE Symposium Series on Computational Intelligence - CIBD 2014: 2014 IEEE Symposium on Computational Intelligence in Big Data, Proceedings</v>
      </c>
      <c r="B9561" s="8" t="str">
        <f>"9781479945412"</f>
        <v>9781479945412</v>
      </c>
      <c r="C9561" s="8" t="s">
        <v>105</v>
      </c>
    </row>
    <row r="9562" spans="1:3" x14ac:dyDescent="0.25">
      <c r="A9562" s="8" t="str">
        <f>"IEEE SSCI 2014 - 2014 IEEE Symposium Series on Computational Intelligence - CICA 2014: 2014 IEEE Symposium on Computational Intelligence in Control and Automation, Proceedings"</f>
        <v>IEEE SSCI 2014 - 2014 IEEE Symposium Series on Computational Intelligence - CICA 2014: 2014 IEEE Symposium on Computational Intelligence in Control and Automation, Proceedings</v>
      </c>
      <c r="B9562" s="8" t="str">
        <f>"9781479945313"</f>
        <v>9781479945313</v>
      </c>
      <c r="C9562" s="8" t="s">
        <v>105</v>
      </c>
    </row>
    <row r="9563" spans="1:3" x14ac:dyDescent="0.25">
      <c r="A9563" s="8" t="str">
        <f>"IEEE SSCI 2014 - 2014 IEEE Symposium Series on Computational Intelligence - CICARE 2014: 2014 IEEE Symposium on Computational Intelligence in Healthcare and e-Health, Proceedings"</f>
        <v>IEEE SSCI 2014 - 2014 IEEE Symposium Series on Computational Intelligence - CICARE 2014: 2014 IEEE Symposium on Computational Intelligence in Healthcare and e-Health, Proceedings</v>
      </c>
      <c r="B9563" s="8" t="str">
        <f>"9781479945283"</f>
        <v>9781479945283</v>
      </c>
      <c r="C9563" s="8" t="s">
        <v>105</v>
      </c>
    </row>
    <row r="9564" spans="1:3" x14ac:dyDescent="0.25">
      <c r="A9564" s="8" t="str">
        <f>"IEEE SSCI 2014 - 2014 IEEE Symposium Series on Computational Intelligence - CIComms 2014: 2014 IEEE Symposium on Computational Intelligence for Communication Systems and Networks, Proceedings"</f>
        <v>IEEE SSCI 2014 - 2014 IEEE Symposium Series on Computational Intelligence - CIComms 2014: 2014 IEEE Symposium on Computational Intelligence for Communication Systems and Networks, Proceedings</v>
      </c>
      <c r="B9564" s="8" t="str">
        <f>"9781479945252"</f>
        <v>9781479945252</v>
      </c>
      <c r="C9564" s="8" t="s">
        <v>105</v>
      </c>
    </row>
    <row r="9565" spans="1:3" x14ac:dyDescent="0.25">
      <c r="A9565" s="8" t="str">
        <f>"IEEE SSCI 2014 - 2014 IEEE Symposium Series on Computational Intelligence - CIDM 2014: 2014 IEEE Symposium on Computational Intelligence and Data Mining, Proceedings"</f>
        <v>IEEE SSCI 2014 - 2014 IEEE Symposium Series on Computational Intelligence - CIDM 2014: 2014 IEEE Symposium on Computational Intelligence and Data Mining, Proceedings</v>
      </c>
      <c r="B9565" s="8" t="str">
        <f>"9781479945191"</f>
        <v>9781479945191</v>
      </c>
      <c r="C9565" s="8" t="s">
        <v>105</v>
      </c>
    </row>
    <row r="9566" spans="1:3" x14ac:dyDescent="0.25">
      <c r="A9566" s="8" t="str">
        <f>"IEEE SSCI 2014 - 2014 IEEE Symposium Series on Computational Intelligence - CIEL 2014: 2014 IEEE Symposium on Computational Intelligence in Ensemble Learning, Proceedings"</f>
        <v>IEEE SSCI 2014 - 2014 IEEE Symposium Series on Computational Intelligence - CIEL 2014: 2014 IEEE Symposium on Computational Intelligence in Ensemble Learning, Proceedings</v>
      </c>
      <c r="B9566" s="8" t="str">
        <f>"9781479945139"</f>
        <v>9781479945139</v>
      </c>
      <c r="C9566" s="8" t="s">
        <v>105</v>
      </c>
    </row>
    <row r="9567" spans="1:3" x14ac:dyDescent="0.25">
      <c r="A9567" s="8" t="str">
        <f>"IEEE SSCI 2014 - 2014 IEEE Symposium Series on Computational Intelligence - CIES 2014: 2014 IEEE Symposium on Computational Intelligence for Engineering Solutions, Proceedings"</f>
        <v>IEEE SSCI 2014 - 2014 IEEE Symposium Series on Computational Intelligence - CIES 2014: 2014 IEEE Symposium on Computational Intelligence for Engineering Solutions, Proceedings</v>
      </c>
      <c r="B9567" s="8" t="str">
        <f>"9781479945108"</f>
        <v>9781479945108</v>
      </c>
      <c r="C9567" s="8" t="s">
        <v>105</v>
      </c>
    </row>
    <row r="9568" spans="1:3" x14ac:dyDescent="0.25">
      <c r="A9568" s="8" t="str">
        <f>"IEEE SSCI 2014 - 2014 IEEE Symposium Series on Computational Intelligence - CIHLI 2014: 2014 IEEE Symposium on Computational Intelligence for Human-Like Intelligence, Proceedings"</f>
        <v>IEEE SSCI 2014 - 2014 IEEE Symposium Series on Computational Intelligence - CIHLI 2014: 2014 IEEE Symposium on Computational Intelligence for Human-Like Intelligence, Proceedings</v>
      </c>
      <c r="B9568" s="8" t="str">
        <f>"9781479945078"</f>
        <v>9781479945078</v>
      </c>
      <c r="C9568" s="8" t="s">
        <v>105</v>
      </c>
    </row>
    <row r="9569" spans="1:3" x14ac:dyDescent="0.25">
      <c r="A9569" s="8" t="str">
        <f>"IEEE SSCI 2014 - 2014 IEEE Symposium Series on Computational Intelligence - CIMSIVP 2014: 2014 IEEE Symposium on Computational Intelligence for Multimedia, Signal and Vision Processing, Proceedings"</f>
        <v>IEEE SSCI 2014 - 2014 IEEE Symposium Series on Computational Intelligence - CIMSIVP 2014: 2014 IEEE Symposium on Computational Intelligence for Multimedia, Signal and Vision Processing, Proceedings</v>
      </c>
      <c r="B9569" s="8" t="str">
        <f>"9781479945047"</f>
        <v>9781479945047</v>
      </c>
      <c r="C9569" s="8" t="s">
        <v>105</v>
      </c>
    </row>
    <row r="9570" spans="1:3" x14ac:dyDescent="0.25">
      <c r="A9570" s="8" t="str">
        <f>"IEEE SSCI 2014 - 2014 IEEE Symposium Series on Computational Intelligence - CIPLS 2014: 2014 IEEE Symposium on Computational Intelligence in Production and Logistics Systems, Proceedings"</f>
        <v>IEEE SSCI 2014 - 2014 IEEE Symposium Series on Computational Intelligence - CIPLS 2014: 2014 IEEE Symposium on Computational Intelligence in Production and Logistics Systems, Proceedings</v>
      </c>
      <c r="B9570" s="8" t="str">
        <f>"9781479945016"</f>
        <v>9781479945016</v>
      </c>
      <c r="C9570" s="8" t="s">
        <v>105</v>
      </c>
    </row>
    <row r="9571" spans="1:3" x14ac:dyDescent="0.25">
      <c r="A9571" s="8" t="str">
        <f>"IEEE SSCI 2014 - 2014 IEEE Symposium Series on Computational Intelligence - CIR2AT 2014: 2014 IEEE Symposium on Computational Intelligence in Robotic Rehabilitation and Assistive Technologies, Proceedings"</f>
        <v>IEEE SSCI 2014 - 2014 IEEE Symposium Series on Computational Intelligence - CIR2AT 2014: 2014 IEEE Symposium on Computational Intelligence in Robotic Rehabilitation and Assistive Technologies, Proceedings</v>
      </c>
      <c r="B9571" s="8" t="str">
        <f>"9781479944743"</f>
        <v>9781479944743</v>
      </c>
      <c r="C9571" s="8" t="s">
        <v>105</v>
      </c>
    </row>
    <row r="9572" spans="1:3" x14ac:dyDescent="0.25">
      <c r="A9572" s="8" t="str">
        <f>"IEEE SSCI 2014 - 2014 IEEE Symposium Series on Computational Intelligence - EALS 2014: 2014 IEEE Symposium on Evolving and Autonomous Learning Systems, Proceedings"</f>
        <v>IEEE SSCI 2014 - 2014 IEEE Symposium Series on Computational Intelligence - EALS 2014: 2014 IEEE Symposium on Evolving and Autonomous Learning Systems, Proceedings</v>
      </c>
      <c r="B9572" s="8" t="str">
        <f>"9781479944958"</f>
        <v>9781479944958</v>
      </c>
      <c r="C9572" s="8" t="s">
        <v>105</v>
      </c>
    </row>
    <row r="9573" spans="1:3" x14ac:dyDescent="0.25">
      <c r="A9573" s="8" t="str">
        <f>"IEEE SSCI 2014 - 2014 IEEE Symposium Series on Computational Intelligence - FOCI 2014: 2014 IEEE Symposium on Foundations of Computational Intelligence, Proceedings"</f>
        <v>IEEE SSCI 2014 - 2014 IEEE Symposium Series on Computational Intelligence - FOCI 2014: 2014 IEEE Symposium on Foundations of Computational Intelligence, Proceedings</v>
      </c>
      <c r="B9573" s="8" t="str">
        <f>"9781479944927"</f>
        <v>9781479944927</v>
      </c>
      <c r="C9573" s="8" t="s">
        <v>105</v>
      </c>
    </row>
    <row r="9574" spans="1:3" x14ac:dyDescent="0.25">
      <c r="A9574" s="8" t="str">
        <f>"IEEE SSCI 2014 - 2014 IEEE Symposium Series on Computational Intelligence - IA 2014: 2014 IEEE Symposium on Intelligent Agents, Proceedings"</f>
        <v>IEEE SSCI 2014 - 2014 IEEE Symposium Series on Computational Intelligence - IA 2014: 2014 IEEE Symposium on Intelligent Agents, Proceedings</v>
      </c>
      <c r="B9574" s="8" t="str">
        <f>"9781479944897"</f>
        <v>9781479944897</v>
      </c>
      <c r="C9574" s="8" t="s">
        <v>105</v>
      </c>
    </row>
    <row r="9575" spans="1:3" x14ac:dyDescent="0.25">
      <c r="A9575" s="8" t="str">
        <f>"IEEE SSCI 2014 - 2014 IEEE Symposium Series on Computational Intelligence - IEEE ICES: 2014 IEEE International Conference on Evolvable Systems, Proceedings"</f>
        <v>IEEE SSCI 2014 - 2014 IEEE Symposium Series on Computational Intelligence - IEEE ICES: 2014 IEEE International Conference on Evolvable Systems, Proceedings</v>
      </c>
      <c r="B9575" s="8" t="str">
        <f>"9781479944804"</f>
        <v>9781479944804</v>
      </c>
      <c r="C9575" s="8" t="s">
        <v>105</v>
      </c>
    </row>
    <row r="9576" spans="1:3" x14ac:dyDescent="0.25">
      <c r="A9576" s="8" t="str">
        <f>"IEEE SSCI 2014 - 2014 IEEE Symposium Series on Computational Intelligence - IES 2014: 2014 IEEE Symposium on Intelligent Embedded Systems, Proceedings"</f>
        <v>IEEE SSCI 2014 - 2014 IEEE Symposium Series on Computational Intelligence - IES 2014: 2014 IEEE Symposium on Intelligent Embedded Systems, Proceedings</v>
      </c>
      <c r="B9576" s="8" t="str">
        <f>"9781479944866"</f>
        <v>9781479944866</v>
      </c>
      <c r="C9576" s="8" t="s">
        <v>105</v>
      </c>
    </row>
    <row r="9577" spans="1:3" x14ac:dyDescent="0.25">
      <c r="A9577" s="8" t="str">
        <f>"IEEE SSCI 2014 - 2014 IEEE Symposium Series on Computational Intelligence - ISIC 2014: 2014 IEEE International Symposium on Independent Computing, Proceedings"</f>
        <v>IEEE SSCI 2014 - 2014 IEEE Symposium Series on Computational Intelligence - ISIC 2014: 2014 IEEE International Symposium on Independent Computing, Proceedings</v>
      </c>
      <c r="B9577" s="8" t="str">
        <f>"9781479944774"</f>
        <v>9781479944774</v>
      </c>
      <c r="C9577" s="8" t="s">
        <v>105</v>
      </c>
    </row>
    <row r="9578" spans="1:3" x14ac:dyDescent="0.25">
      <c r="A9578" s="8" t="str">
        <f>"IEEE SSCI 2014 - 2014 IEEE Symposium Series on Computational Intelligence - MCDM 2014: 2014 IEEE Symposium on Computational Intelligence in Multi-Criteria Decision-Making, Proceedings"</f>
        <v>IEEE SSCI 2014 - 2014 IEEE Symposium Series on Computational Intelligence - MCDM 2014: 2014 IEEE Symposium on Computational Intelligence in Multi-Criteria Decision-Making, Proceedings</v>
      </c>
      <c r="B9578" s="8" t="str">
        <f>"9781479944682"</f>
        <v>9781479944682</v>
      </c>
      <c r="C9578" s="8" t="s">
        <v>105</v>
      </c>
    </row>
    <row r="9579" spans="1:3" x14ac:dyDescent="0.25">
      <c r="A9579" s="8" t="str">
        <f>"IEEE SSCI 2014 - 2014 IEEE Symposium Series on Computational Intelligence - SDE 2014: 2014 IEEE Symposium on Differential Evolution, Proceedings"</f>
        <v>IEEE SSCI 2014 - 2014 IEEE Symposium Series on Computational Intelligence - SDE 2014: 2014 IEEE Symposium on Differential Evolution, Proceedings</v>
      </c>
      <c r="B9579" s="8" t="str">
        <f>"9781479944620"</f>
        <v>9781479944620</v>
      </c>
      <c r="C9579" s="8" t="s">
        <v>105</v>
      </c>
    </row>
    <row r="9580" spans="1:3" x14ac:dyDescent="0.25">
      <c r="A9580" s="8" t="str">
        <f>"IEEE SSCI 2014 - 2014 IEEE Symposium Series on Computational Intelligence - SIS 2014: 2014 IEEE Symposium on Swarm Intelligence, Proceedings"</f>
        <v>IEEE SSCI 2014 - 2014 IEEE Symposium Series on Computational Intelligence - SIS 2014: 2014 IEEE Symposium on Swarm Intelligence, Proceedings</v>
      </c>
      <c r="B9580" s="8" t="str">
        <f>"9781479944590"</f>
        <v>9781479944590</v>
      </c>
      <c r="C9580" s="8" t="s">
        <v>105</v>
      </c>
    </row>
    <row r="9581" spans="1:3" x14ac:dyDescent="0.25">
      <c r="A9581" s="8" t="str">
        <f>"IEEE SSCI 2014: 2014 IEEE Symposium Series on Computational Intelligence - CICS 2014: 2014 IEEE Symposium on Computational Intelligence in Cyber Security, Proceedings"</f>
        <v>IEEE SSCI 2014: 2014 IEEE Symposium Series on Computational Intelligence - CICS 2014: 2014 IEEE Symposium on Computational Intelligence in Cyber Security, Proceedings</v>
      </c>
      <c r="B9581" s="8" t="str">
        <f>"9781479945221"</f>
        <v>9781479945221</v>
      </c>
      <c r="C9581" s="8" t="s">
        <v>105</v>
      </c>
    </row>
    <row r="9582" spans="1:3" x14ac:dyDescent="0.25">
      <c r="A9582" s="8" t="str">
        <f>"IEEE SSCI 2014: 2014 IEEE Symposium Series on Computational Intelligence - CIDUE 2014: 2014 IEEE Symposium on Computational Intelligence in Dynamic and Uncertain Environments, Proceedings"</f>
        <v>IEEE SSCI 2014: 2014 IEEE Symposium Series on Computational Intelligence - CIDUE 2014: 2014 IEEE Symposium on Computational Intelligence in Dynamic and Uncertain Environments, Proceedings</v>
      </c>
      <c r="B9582" s="8" t="str">
        <f>"9781479945160"</f>
        <v>9781479945160</v>
      </c>
      <c r="C9582" s="8" t="s">
        <v>105</v>
      </c>
    </row>
    <row r="9583" spans="1:3" x14ac:dyDescent="0.25">
      <c r="A9583" s="8" t="str">
        <f>"IEEE SSCI 2014: 2014 IEEE Symposium Series on Computational Intelligence - CIVTS 2014: 2014 IEEE Symposium on Computational Intelligence in Vehicles and Transportation Systems, Proceedings"</f>
        <v>IEEE SSCI 2014: 2014 IEEE Symposium Series on Computational Intelligence - CIVTS 2014: 2014 IEEE Symposium on Computational Intelligence in Vehicles and Transportation Systems, Proceedings</v>
      </c>
      <c r="B9583" s="8" t="str">
        <f>"9781479944989"</f>
        <v>9781479944989</v>
      </c>
      <c r="C9583" s="8" t="s">
        <v>105</v>
      </c>
    </row>
    <row r="9584" spans="1:3" x14ac:dyDescent="0.25">
      <c r="A9584" s="8" t="str">
        <f>"IEEE SSCI 2014: 2014 IEEE Symposium Series on Computational Intelligence - RiiSS 2014: 2014 IEEE Symposium on Robotic Intelligence in Informationally Structured Space, Proceedings"</f>
        <v>IEEE SSCI 2014: 2014 IEEE Symposium Series on Computational Intelligence - RiiSS 2014: 2014 IEEE Symposium on Robotic Intelligence in Informationally Structured Space, Proceedings</v>
      </c>
      <c r="B9584" s="8" t="str">
        <f>"9781479944651"</f>
        <v>9781479944651</v>
      </c>
      <c r="C9584" s="8" t="s">
        <v>105</v>
      </c>
    </row>
    <row r="9585" spans="1:3" x14ac:dyDescent="0.25">
      <c r="A9585" s="8" t="str">
        <f>"IEEE Symposium on 3D User Interface 2013, 3DUI 2013 - Proceedings"</f>
        <v>IEEE Symposium on 3D User Interface 2013, 3DUI 2013 - Proceedings</v>
      </c>
      <c r="B9585" s="8" t="str">
        <f>"9781467360975"</f>
        <v>9781467360975</v>
      </c>
      <c r="C9585" s="8" t="s">
        <v>9</v>
      </c>
    </row>
    <row r="9586" spans="1:3" x14ac:dyDescent="0.25">
      <c r="A9586" s="8" t="str">
        <f>"IEEE Symposium on 3D User Interfaces 2007 - Proceedings, 3DUI 2007"</f>
        <v>IEEE Symposium on 3D User Interfaces 2007 - Proceedings, 3DUI 2007</v>
      </c>
      <c r="B9586" s="8" t="str">
        <f>"9781424409075"</f>
        <v>9781424409075</v>
      </c>
      <c r="C9586" s="8" t="s">
        <v>9</v>
      </c>
    </row>
    <row r="9587" spans="1:3" x14ac:dyDescent="0.25">
      <c r="A9587" s="8" t="str">
        <f>"IEEE Symposium on 3D User Interfaces 2012, 3DUI 2012 - Proceedings"</f>
        <v>IEEE Symposium on 3D User Interfaces 2012, 3DUI 2012 - Proceedings</v>
      </c>
      <c r="B9587" s="8" t="str">
        <f>"9781467312059"</f>
        <v>9781467312059</v>
      </c>
      <c r="C9587" s="8" t="s">
        <v>9</v>
      </c>
    </row>
    <row r="9588" spans="1:3" x14ac:dyDescent="0.25">
      <c r="A9588" s="8" t="str">
        <f>"IEEE Symposium on 3D User Interfaces 2014, 3DUI 2014 - Proceedings"</f>
        <v>IEEE Symposium on 3D User Interfaces 2014, 3DUI 2014 - Proceedings</v>
      </c>
      <c r="B9588" s="8" t="str">
        <f>"9781479936243"</f>
        <v>9781479936243</v>
      </c>
      <c r="C9588" s="8" t="s">
        <v>9</v>
      </c>
    </row>
    <row r="9589" spans="1:3" x14ac:dyDescent="0.25">
      <c r="A9589" s="8" t="str">
        <f>"IEEE Symposium on Biological Data Visualization 2011, BioVis 2011 - Proceedings"</f>
        <v>IEEE Symposium on Biological Data Visualization 2011, BioVis 2011 - Proceedings</v>
      </c>
      <c r="B9589" s="8" t="str">
        <f>"9781467300025"</f>
        <v>9781467300025</v>
      </c>
      <c r="C9589" s="8" t="s">
        <v>9</v>
      </c>
    </row>
    <row r="9590" spans="1:3" x14ac:dyDescent="0.25">
      <c r="A9590" s="8" t="str">
        <f>"IEEE Symposium on Biological Data Visualization 2012, BioVis 2012 - Proceedings"</f>
        <v>IEEE Symposium on Biological Data Visualization 2012, BioVis 2012 - Proceedings</v>
      </c>
      <c r="B9590" s="8" t="str">
        <f>"9781467347303"</f>
        <v>9781467347303</v>
      </c>
      <c r="C9590" s="8" t="s">
        <v>9</v>
      </c>
    </row>
    <row r="9591" spans="1:3" x14ac:dyDescent="0.25">
      <c r="A9591" s="8" t="str">
        <f>"IEEE Symposium on Computational Intelligence for Security and Defense Applications, CISDA 2009"</f>
        <v>IEEE Symposium on Computational Intelligence for Security and Defense Applications, CISDA 2009</v>
      </c>
      <c r="B9591" s="8" t="str">
        <f>"9781424437641"</f>
        <v>9781424437641</v>
      </c>
      <c r="C9591" s="8" t="s">
        <v>9</v>
      </c>
    </row>
    <row r="9592" spans="1:3" x14ac:dyDescent="0.25">
      <c r="A9592" s="8" t="str">
        <f>"IEEE Symposium on Computers and Informatics, ISCI 2013"</f>
        <v>IEEE Symposium on Computers and Informatics, ISCI 2013</v>
      </c>
      <c r="B9592" s="8" t="str">
        <f>"9781479902101"</f>
        <v>9781479902101</v>
      </c>
      <c r="C9592" s="8" t="s">
        <v>9</v>
      </c>
    </row>
    <row r="9593" spans="1:3" x14ac:dyDescent="0.25">
      <c r="A9593" s="8" t="str">
        <f>"IEEE Symposium on Large Data Analysis and Visualization 2012, LDAV 2012 - Proceedings"</f>
        <v>IEEE Symposium on Large Data Analysis and Visualization 2012, LDAV 2012 - Proceedings</v>
      </c>
      <c r="B9593" s="8" t="str">
        <f>"9781467347334"</f>
        <v>9781467347334</v>
      </c>
      <c r="C9593" s="8" t="s">
        <v>9</v>
      </c>
    </row>
    <row r="9594" spans="1:3" x14ac:dyDescent="0.25">
      <c r="A9594" s="8" t="str">
        <f>"IEEE Symposium on Large Data Analysis and Visualization 2013, LDAV 2013 - Proceedings"</f>
        <v>IEEE Symposium on Large Data Analysis and Visualization 2013, LDAV 2013 - Proceedings</v>
      </c>
      <c r="B9594" s="8" t="str">
        <f>"9781479916597"</f>
        <v>9781479916597</v>
      </c>
      <c r="C9594" s="8" t="s">
        <v>9</v>
      </c>
    </row>
    <row r="9595" spans="1:3" x14ac:dyDescent="0.25">
      <c r="A9595" s="8" t="str">
        <f>"IEEE Symposium on Large Data Analysis and Visualization 2014, LDAV 2014 - Proceedings"</f>
        <v>IEEE Symposium on Large Data Analysis and Visualization 2014, LDAV 2014 - Proceedings</v>
      </c>
      <c r="B9595" s="8" t="str">
        <f>"9781479952151"</f>
        <v>9781479952151</v>
      </c>
      <c r="C9595" s="8" t="s">
        <v>105</v>
      </c>
    </row>
    <row r="9596" spans="1:3" x14ac:dyDescent="0.25">
      <c r="A9596" s="8" t="str">
        <f>"IEEE Symposium on Low-Power and High-Speed Chips - 2011 IEEE COOL Chips XIV, Proceedings"</f>
        <v>IEEE Symposium on Low-Power and High-Speed Chips - 2011 IEEE COOL Chips XIV, Proceedings</v>
      </c>
      <c r="B9596" s="8" t="str">
        <f>"9781612848846"</f>
        <v>9781612848846</v>
      </c>
      <c r="C9596" s="8" t="s">
        <v>9</v>
      </c>
    </row>
    <row r="9597" spans="1:3" x14ac:dyDescent="0.25">
      <c r="A9597" s="8" t="str">
        <f>"IEEE Symposium on Low-Power and High-Speed Chips - Proceedings for 2013 COOL Chips XVI"</f>
        <v>IEEE Symposium on Low-Power and High-Speed Chips - Proceedings for 2013 COOL Chips XVI</v>
      </c>
      <c r="B9597" s="8" t="str">
        <f>"9781467357814"</f>
        <v>9781467357814</v>
      </c>
      <c r="C9597" s="8" t="s">
        <v>9</v>
      </c>
    </row>
    <row r="9598" spans="1:3" x14ac:dyDescent="0.25">
      <c r="A9598" s="8" t="str">
        <f>"IEEE Symposium on Low-Power and High-Speed Chips, COOL Chips XVIII - Proceedings"</f>
        <v>IEEE Symposium on Low-Power and High-Speed Chips, COOL Chips XVIII - Proceedings</v>
      </c>
      <c r="B9598" s="8" t="str">
        <f>"9781467373258"</f>
        <v>9781467373258</v>
      </c>
      <c r="C9598" s="8" t="s">
        <v>105</v>
      </c>
    </row>
    <row r="9599" spans="1:3" x14ac:dyDescent="0.25">
      <c r="A9599" s="8" t="str">
        <f>"IEEE Symposium on Visual Analytics Science and Technology 2006, VAST 2006 - Proceedings"</f>
        <v>IEEE Symposium on Visual Analytics Science and Technology 2006, VAST 2006 - Proceedings</v>
      </c>
      <c r="B9599" s="8" t="str">
        <f>"9781424405916"</f>
        <v>9781424405916</v>
      </c>
      <c r="C9599" s="8" t="s">
        <v>9</v>
      </c>
    </row>
    <row r="9600" spans="1:3" x14ac:dyDescent="0.25">
      <c r="A9600" s="8" t="str">
        <f>"IEEE Systems, Man and Cybernetics Society Information Assurance Workshop"</f>
        <v>IEEE Systems, Man and Cybernetics Society Information Assurance Workshop</v>
      </c>
      <c r="B9600" s="8" t="str">
        <f>"9780780378087"</f>
        <v>9780780378087</v>
      </c>
      <c r="C9600" s="8" t="s">
        <v>105</v>
      </c>
    </row>
    <row r="9601" spans="1:3" x14ac:dyDescent="0.25">
      <c r="A9601" s="8" t="str">
        <f>"IEEE Technology Time Machine Symposium on Technologies Beyond 2020, TTM 2011"</f>
        <v>IEEE Technology Time Machine Symposium on Technologies Beyond 2020, TTM 2011</v>
      </c>
      <c r="B9601" s="8" t="str">
        <f>"9781457704147"</f>
        <v>9781457704147</v>
      </c>
      <c r="C9601" s="8" t="s">
        <v>9</v>
      </c>
    </row>
    <row r="9602" spans="1:3" x14ac:dyDescent="0.25">
      <c r="A9602" s="8" t="str">
        <f>"IEEE Technology Time Machine: Symposium on Technologies Beyond 2020, TTM 2012"</f>
        <v>IEEE Technology Time Machine: Symposium on Technologies Beyond 2020, TTM 2012</v>
      </c>
      <c r="B9602" s="8" t="str">
        <f>"9781467324564"</f>
        <v>9781467324564</v>
      </c>
      <c r="C9602" s="8" t="s">
        <v>9</v>
      </c>
    </row>
    <row r="9603" spans="1:3" x14ac:dyDescent="0.25">
      <c r="A9603" s="8" t="str">
        <f>"IEEE TechSym 2014 - 2014 IEEE Students' Technology Symposium"</f>
        <v>IEEE TechSym 2014 - 2014 IEEE Students' Technology Symposium</v>
      </c>
      <c r="B9603" s="8" t="str">
        <f>"9781479926084"</f>
        <v>9781479926084</v>
      </c>
      <c r="C9603" s="8" t="s">
        <v>9</v>
      </c>
    </row>
    <row r="9604" spans="1:3" x14ac:dyDescent="0.25">
      <c r="A9604" s="8" t="str">
        <f>"IEEE TENSYMP 2014 - 2014 IEEE Region 10 Symposium"</f>
        <v>IEEE TENSYMP 2014 - 2014 IEEE Region 10 Symposium</v>
      </c>
      <c r="B9604" s="8" t="str">
        <f>"9781479920280"</f>
        <v>9781479920280</v>
      </c>
      <c r="C9604" s="8" t="s">
        <v>105</v>
      </c>
    </row>
    <row r="9605" spans="1:3" x14ac:dyDescent="0.25">
      <c r="A9605" s="8" t="str">
        <f>"IEEE Transportation Electrification Conference and Expo, ITEC Asia-Pacific 2014 - Conference Proceedings"</f>
        <v>IEEE Transportation Electrification Conference and Expo, ITEC Asia-Pacific 2014 - Conference Proceedings</v>
      </c>
      <c r="B9605" s="8" t="str">
        <f>"9781479942398"</f>
        <v>9781479942398</v>
      </c>
      <c r="C9605" s="8" t="s">
        <v>105</v>
      </c>
    </row>
    <row r="9606" spans="1:3" x14ac:dyDescent="0.25">
      <c r="A9606" s="8" t="str">
        <f>"IEEE VCIP 2013 - 2013 IEEE International Conference on Visual Communications and Image Processing"</f>
        <v>IEEE VCIP 2013 - 2013 IEEE International Conference on Visual Communications and Image Processing</v>
      </c>
      <c r="B9606" s="8" t="str">
        <f>"9781479902903"</f>
        <v>9781479902903</v>
      </c>
      <c r="C9606" s="8" t="s">
        <v>9</v>
      </c>
    </row>
    <row r="9607" spans="1:3" x14ac:dyDescent="0.25">
      <c r="A9607" s="8" t="str">
        <f>"IEEE Visualization 2004 - Proceedings, VIS 2004"</f>
        <v>IEEE Visualization 2004 - Proceedings, VIS 2004</v>
      </c>
      <c r="B9607" s="8" t="str">
        <f>"9780780387881"</f>
        <v>9780780387881</v>
      </c>
      <c r="C9607" s="8" t="s">
        <v>105</v>
      </c>
    </row>
    <row r="9608" spans="1:3" x14ac:dyDescent="0.25">
      <c r="A9608" s="8" t="str">
        <f>"IEEE Wireless and Microwave Technology Conference, WAMICON 2006"</f>
        <v>IEEE Wireless and Microwave Technology Conference, WAMICON 2006</v>
      </c>
      <c r="B9608" s="8" t="str">
        <f>"9781424408481"</f>
        <v>9781424408481</v>
      </c>
      <c r="C9608" s="8" t="s">
        <v>9</v>
      </c>
    </row>
    <row r="9609" spans="1:3" x14ac:dyDescent="0.25">
      <c r="A9609" s="8" t="str">
        <f>"IEEE Workshop on High Performance Switching and Routing, HPSR"</f>
        <v>IEEE Workshop on High Performance Switching and Routing, HPSR</v>
      </c>
      <c r="B9609" s="8" t="str">
        <f>"9780780383753"</f>
        <v>9780780383753</v>
      </c>
      <c r="C9609" s="8" t="s">
        <v>105</v>
      </c>
    </row>
    <row r="9610" spans="1:3" x14ac:dyDescent="0.25">
      <c r="A9610" s="8" t="str">
        <f>"IEEE Workshop on Microelectronics and Electron Devices, WMED: IEEE Electron Devices Northwest Regional Meeting"</f>
        <v>IEEE Workshop on Microelectronics and Electron Devices, WMED: IEEE Electron Devices Northwest Regional Meeting</v>
      </c>
      <c r="B9610" s="8" t="str">
        <f>"9780780383692"</f>
        <v>9780780383692</v>
      </c>
      <c r="C9610" s="8" t="s">
        <v>105</v>
      </c>
    </row>
    <row r="9611" spans="1:3" x14ac:dyDescent="0.25">
      <c r="A9611" s="8" t="str">
        <f>"IEEE Workshop on Visualization for Computer Security 2005, VizSEC 05, Proceedings"</f>
        <v>IEEE Workshop on Visualization for Computer Security 2005, VizSEC 05, Proceedings</v>
      </c>
      <c r="B9611" s="8" t="str">
        <f>"9780780394773"</f>
        <v>9780780394773</v>
      </c>
      <c r="C9611" s="8" t="s">
        <v>9</v>
      </c>
    </row>
    <row r="9612" spans="1:3" x14ac:dyDescent="0.25">
      <c r="A9612" s="8" t="str">
        <f>"IEEE WoW 2015 - IEEE PELS Workshop on Emerging Technologies: Wireless Power, Proceedings"</f>
        <v>IEEE WoW 2015 - IEEE PELS Workshop on Emerging Technologies: Wireless Power, Proceedings</v>
      </c>
      <c r="B9612" s="8" t="str">
        <f>"9781479966097"</f>
        <v>9781479966097</v>
      </c>
      <c r="C9612" s="8" t="s">
        <v>105</v>
      </c>
    </row>
    <row r="9613" spans="1:3" x14ac:dyDescent="0.25">
      <c r="A9613" s="8" t="str">
        <f>"IEEE/ EG Symposium on Interactive Ray Tracing 2007 Proceedings, IRT"</f>
        <v>IEEE/ EG Symposium on Interactive Ray Tracing 2007 Proceedings, IRT</v>
      </c>
      <c r="B9613" s="8" t="str">
        <f>"9781424416295"</f>
        <v>9781424416295</v>
      </c>
      <c r="C9613" s="8" t="s">
        <v>9</v>
      </c>
    </row>
    <row r="9614" spans="1:3" x14ac:dyDescent="0.25">
      <c r="A9614" s="8" t="str">
        <f>"IEEE/ACM SC2004 Conference, Proceedings"</f>
        <v>IEEE/ACM SC2004 Conference, Proceedings</v>
      </c>
      <c r="B9614" s="8" t="str">
        <f>"9780769521534"</f>
        <v>9780769521534</v>
      </c>
      <c r="C9614" s="8" t="s">
        <v>105</v>
      </c>
    </row>
    <row r="9615" spans="1:3" x14ac:dyDescent="0.25">
      <c r="A9615" s="8" t="str">
        <f>"IEEE/AFCEA - EUROCOMM 2000: Information Systems for Enhanced Public Safety and Security"</f>
        <v>IEEE/AFCEA - EUROCOMM 2000: Information Systems for Enhanced Public Safety and Security</v>
      </c>
      <c r="B9615" s="8" t="str">
        <f>"9780780363236"</f>
        <v>9780780363236</v>
      </c>
      <c r="C9615" s="8" t="s">
        <v>105</v>
      </c>
    </row>
    <row r="9616" spans="1:3" x14ac:dyDescent="0.25">
      <c r="A9616" s="8" t="str">
        <f>"IEEE/ASME 2003 Joint Rail Conference, RTD 2003"</f>
        <v>IEEE/ASME 2003 Joint Rail Conference, RTD 2003</v>
      </c>
      <c r="B9616" s="8" t="str">
        <f>"9780791836668"</f>
        <v>9780791836668</v>
      </c>
      <c r="C9616" s="8" t="s">
        <v>73</v>
      </c>
    </row>
    <row r="9617" spans="1:3" x14ac:dyDescent="0.25">
      <c r="A9617" s="8" t="str">
        <f>"IEEE/LEOS International Conference on Optical MEMS and Their Applications Conference, 2006"</f>
        <v>IEEE/LEOS International Conference on Optical MEMS and Their Applications Conference, 2006</v>
      </c>
      <c r="B9617" s="8" t="str">
        <f>"9780780395626"</f>
        <v>9780780395626</v>
      </c>
      <c r="C9617" s="8" t="s">
        <v>9</v>
      </c>
    </row>
    <row r="9618" spans="1:3" x14ac:dyDescent="0.25">
      <c r="A9618" s="8" t="str">
        <f>"IEEE/LEOS Optical MEMS 2005: International Conference on Optical MEMS and Their Applications"</f>
        <v>IEEE/LEOS Optical MEMS 2005: International Conference on Optical MEMS and Their Applications</v>
      </c>
      <c r="B9618" s="8" t="str">
        <f>"-"</f>
        <v>-</v>
      </c>
      <c r="C9618" s="8" t="s">
        <v>9</v>
      </c>
    </row>
    <row r="9619" spans="1:3" x14ac:dyDescent="0.25">
      <c r="A9619" s="8" t="str">
        <f>"IEEE/RSJ 2010 International Conference on Intelligent Robots and Systems, IROS 2010 - Conference Proceedings"</f>
        <v>IEEE/RSJ 2010 International Conference on Intelligent Robots and Systems, IROS 2010 - Conference Proceedings</v>
      </c>
      <c r="B9619" s="8" t="str">
        <f>"9781424466757"</f>
        <v>9781424466757</v>
      </c>
      <c r="C9619" s="8" t="s">
        <v>9</v>
      </c>
    </row>
    <row r="9620" spans="1:3" x14ac:dyDescent="0.25">
      <c r="A9620" s="8" t="str">
        <f>"IEEE-Eurasip Nonlinear Signal and Image Processing, NSIP 2005 - Abstracts"</f>
        <v>IEEE-Eurasip Nonlinear Signal and Image Processing, NSIP 2005 - Abstracts</v>
      </c>
      <c r="B9620" s="8" t="str">
        <f>"9780780390645"</f>
        <v>9780780390645</v>
      </c>
      <c r="C9620" s="8" t="s">
        <v>105</v>
      </c>
    </row>
    <row r="9621" spans="1:3" x14ac:dyDescent="0.25">
      <c r="A9621" s="8" t="str">
        <f>"IEEE-International Conference on Advances in Engineering, Science and Management, ICAESM-2012"</f>
        <v>IEEE-International Conference on Advances in Engineering, Science and Management, ICAESM-2012</v>
      </c>
      <c r="B9621" s="8" t="str">
        <f>"9781467302135"</f>
        <v>9781467302135</v>
      </c>
      <c r="C9621" s="8" t="s">
        <v>9</v>
      </c>
    </row>
    <row r="9622" spans="1:3" x14ac:dyDescent="0.25">
      <c r="A9622" s="8" t="str">
        <f>"IEEE-Siberian Conference on Control and Communications, SIBCON 2003 - Proceedings"</f>
        <v>IEEE-Siberian Conference on Control and Communications, SIBCON 2003 - Proceedings</v>
      </c>
      <c r="B9622" s="8" t="str">
        <f>"9780780378544"</f>
        <v>9780780378544</v>
      </c>
      <c r="C9622" s="8" t="s">
        <v>105</v>
      </c>
    </row>
    <row r="9623" spans="1:3" x14ac:dyDescent="0.25">
      <c r="A9623" s="8" t="str">
        <f>"IEEE-Siberian Conference on Electron Devices and Materials, SIBEDEM 2002 - Proceedings"</f>
        <v>IEEE-Siberian Conference on Electron Devices and Materials, SIBEDEM 2002 - Proceedings</v>
      </c>
      <c r="B9623" s="8" t="str">
        <f>"9780780372740"</f>
        <v>9780780372740</v>
      </c>
      <c r="C9623" s="8" t="s">
        <v>105</v>
      </c>
    </row>
    <row r="9624" spans="1:3" x14ac:dyDescent="0.25">
      <c r="A9624" s="8" t="str">
        <f>"IEEE-Siberian Workshop of Students and Young Researches, Modern Communication Technologies, SIBCOM 2001 - Proceedings"</f>
        <v>IEEE-Siberian Workshop of Students and Young Researches, Modern Communication Technologies, SIBCOM 2001 - Proceedings</v>
      </c>
      <c r="B9624" s="8" t="str">
        <f>"9780780366114"</f>
        <v>9780780366114</v>
      </c>
      <c r="C9624" s="8" t="s">
        <v>105</v>
      </c>
    </row>
    <row r="9625" spans="1:3" x14ac:dyDescent="0.25">
      <c r="A9625" s="8" t="str">
        <f>"IEEExPO 2009 - 3rd Conference of University of Guanajuato IEEE Students Chapter"</f>
        <v>IEEExPO 2009 - 3rd Conference of University of Guanajuato IEEE Students Chapter</v>
      </c>
      <c r="B9625" s="8" t="str">
        <f>"9781424460298"</f>
        <v>9781424460298</v>
      </c>
      <c r="C9625" s="8" t="s">
        <v>9</v>
      </c>
    </row>
    <row r="9626" spans="1:3" x14ac:dyDescent="0.25">
      <c r="A9626" s="8" t="str">
        <f>"IEEM 2007: 2007 IEEE International Conference on Industrial Engineering and Engineering Management"</f>
        <v>IEEM 2007: 2007 IEEE International Conference on Industrial Engineering and Engineering Management</v>
      </c>
      <c r="B9626" s="8" t="str">
        <f>"9781424415298"</f>
        <v>9781424415298</v>
      </c>
      <c r="C9626" s="8" t="s">
        <v>9</v>
      </c>
    </row>
    <row r="9627" spans="1:3" x14ac:dyDescent="0.25">
      <c r="A9627" s="8" t="str">
        <f>"IEEM 2009 - IEEE International Conference on Industrial Engineering and Engineering Management"</f>
        <v>IEEM 2009 - IEEE International Conference on Industrial Engineering and Engineering Management</v>
      </c>
      <c r="B9627" s="8" t="str">
        <f>"9781424448708"</f>
        <v>9781424448708</v>
      </c>
      <c r="C9627" s="8" t="s">
        <v>9</v>
      </c>
    </row>
    <row r="9628" spans="1:3" x14ac:dyDescent="0.25">
      <c r="A9628" s="8" t="str">
        <f>"IEEM2010 - IEEE International Conference on Industrial Engineering and Engineering Management"</f>
        <v>IEEM2010 - IEEE International Conference on Industrial Engineering and Engineering Management</v>
      </c>
      <c r="B9628" s="8" t="str">
        <f>"9781424485031"</f>
        <v>9781424485031</v>
      </c>
      <c r="C9628" s="8" t="s">
        <v>9</v>
      </c>
    </row>
    <row r="9629" spans="1:3" x14ac:dyDescent="0.25">
      <c r="A9629" s="8" t="str">
        <f>"IEMC-Europe 2008 - 2008 IEEE International Engineering Management Conference, Europe: Managing Engineering, Technology and Innovation for Growth"</f>
        <v>IEMC-Europe 2008 - 2008 IEEE International Engineering Management Conference, Europe: Managing Engineering, Technology and Innovation for Growth</v>
      </c>
      <c r="B9629" s="8" t="str">
        <f>"9781424422890"</f>
        <v>9781424422890</v>
      </c>
      <c r="C9629" s="8" t="s">
        <v>9</v>
      </c>
    </row>
    <row r="9630" spans="1:3" x14ac:dyDescent="0.25">
      <c r="A9630" s="8" t="str">
        <f>"IEMDC 2001 - IEEE International Electric Machines and Drives Conference"</f>
        <v>IEMDC 2001 - IEEE International Electric Machines and Drives Conference</v>
      </c>
      <c r="B9630" s="8" t="str">
        <f>"9780780370913"</f>
        <v>9780780370913</v>
      </c>
      <c r="C9630" s="8" t="s">
        <v>9</v>
      </c>
    </row>
    <row r="9631" spans="1:3" x14ac:dyDescent="0.25">
      <c r="A9631" s="8" t="str">
        <f>"IEMDC 2003 - IEEE International Electric Machines and Drives Conference"</f>
        <v>IEMDC 2003 - IEEE International Electric Machines and Drives Conference</v>
      </c>
      <c r="B9631" s="8" t="str">
        <f>"-"</f>
        <v>-</v>
      </c>
      <c r="C9631" s="8" t="s">
        <v>105</v>
      </c>
    </row>
    <row r="9632" spans="1:3" x14ac:dyDescent="0.25">
      <c r="A9632" s="8" t="str">
        <f>"iEMSs 2012 - Managing Resources of a Limited Planet: Proceedings of the 6th Biennial Meeting of the International Environmental Modelling and Software Society"</f>
        <v>iEMSs 2012 - Managing Resources of a Limited Planet: Proceedings of the 6th Biennial Meeting of the International Environmental Modelling and Software Society</v>
      </c>
      <c r="B9632" s="8" t="str">
        <f>"9788890357428"</f>
        <v>9788890357428</v>
      </c>
      <c r="C9632" s="8" t="s">
        <v>1896</v>
      </c>
    </row>
    <row r="9633" spans="1:3" x14ac:dyDescent="0.25">
      <c r="A9633" s="8" t="str">
        <f>"IEOM 2015 - 5th International Conference on Industrial Engineering and Operations Management, Proceeding"</f>
        <v>IEOM 2015 - 5th International Conference on Industrial Engineering and Operations Management, Proceeding</v>
      </c>
      <c r="B9633" s="8" t="str">
        <f>"9781479960651"</f>
        <v>9781479960651</v>
      </c>
      <c r="C9633" s="8" t="s">
        <v>105</v>
      </c>
    </row>
    <row r="9634" spans="1:3" x14ac:dyDescent="0.25">
      <c r="A9634" s="8" t="str">
        <f>"IET Seminar on Data Analytics 2013: Deriving Intelligence and Value from Big Data"</f>
        <v>IET Seminar on Data Analytics 2013: Deriving Intelligence and Value from Big Data</v>
      </c>
      <c r="B9634" s="8" t="str">
        <f>"9781849198189"</f>
        <v>9781849198189</v>
      </c>
      <c r="C9634" s="8" t="s">
        <v>370</v>
      </c>
    </row>
    <row r="9635" spans="1:3" x14ac:dyDescent="0.25">
      <c r="A9635" s="8" t="str">
        <f>"IFCSTA 2009 Proceedings - 2009 International Forum on Computer Science-Technology and Applications"</f>
        <v>IFCSTA 2009 Proceedings - 2009 International Forum on Computer Science-Technology and Applications</v>
      </c>
      <c r="B9635" s="8" t="str">
        <f>"9780769539300"</f>
        <v>9780769539300</v>
      </c>
      <c r="C9635" s="8" t="s">
        <v>9</v>
      </c>
    </row>
    <row r="9636" spans="1:3" x14ac:dyDescent="0.25">
      <c r="A9636" s="8" t="str">
        <f>"IFIP Med-Hoc-Net'09: The 8th IFIP Annual Mediterranean Ad Hoc Networking Workshop"</f>
        <v>IFIP Med-Hoc-Net'09: The 8th IFIP Annual Mediterranean Ad Hoc Networking Workshop</v>
      </c>
      <c r="B9636" s="8" t="str">
        <f>"9781424446612"</f>
        <v>9781424446612</v>
      </c>
      <c r="C9636" s="8" t="s">
        <v>9</v>
      </c>
    </row>
    <row r="9637" spans="1:3" x14ac:dyDescent="0.25">
      <c r="A9637" s="8" t="str">
        <f>"IFIP VLSI-SoIC 2006 - IFIP WG 10.5 International Conference on Very Large Scale Integration and System-on-Chip"</f>
        <v>IFIP VLSI-SoIC 2006 - IFIP WG 10.5 International Conference on Very Large Scale Integration and System-on-Chip</v>
      </c>
      <c r="B9637" s="8" t="str">
        <f>"9783901882197"</f>
        <v>9783901882197</v>
      </c>
      <c r="C9637" s="8" t="s">
        <v>9</v>
      </c>
    </row>
    <row r="9638" spans="1:3" x14ac:dyDescent="0.25">
      <c r="A9638" s="8" t="str">
        <f>"IFIP/ACM Latin America Networking Conference 2003: Towards a Latin American Agenda for Network Research"</f>
        <v>IFIP/ACM Latin America Networking Conference 2003: Towards a Latin American Agenda for Network Research</v>
      </c>
      <c r="B9638" s="8" t="str">
        <f>"9781581137897"</f>
        <v>9781581137897</v>
      </c>
      <c r="C9638" s="8" t="s">
        <v>21</v>
      </c>
    </row>
    <row r="9639" spans="1:3" x14ac:dyDescent="0.25">
      <c r="A9639" s="8" t="str">
        <f>"iFUZZY 2014 - 2014 International Conference on Fuzzy Theory and Its Applications, Conference Digest"</f>
        <v>iFUZZY 2014 - 2014 International Conference on Fuzzy Theory and Its Applications, Conference Digest</v>
      </c>
      <c r="B9639" s="8" t="str">
        <f>"9781479945887"</f>
        <v>9781479945887</v>
      </c>
      <c r="C9639" s="8" t="s">
        <v>105</v>
      </c>
    </row>
    <row r="9640" spans="1:3" x14ac:dyDescent="0.25">
      <c r="A9640" s="8" t="str">
        <f>"IGLC 2012 - 20th Conference of the International Group for Lean Construction"</f>
        <v>IGLC 2012 - 20th Conference of the International Group for Lean Construction</v>
      </c>
      <c r="B9640" s="8" t="str">
        <f>"-"</f>
        <v>-</v>
      </c>
      <c r="C9640" s="8" t="s">
        <v>1259</v>
      </c>
    </row>
    <row r="9641" spans="1:3" x14ac:dyDescent="0.25">
      <c r="A9641" s="8" t="str">
        <f>"IH and MMSec 2013 - Proceedings of the 2013 ACM Information Hiding and Multimedia Security Workshop"</f>
        <v>IH and MMSec 2013 - Proceedings of the 2013 ACM Information Hiding and Multimedia Security Workshop</v>
      </c>
      <c r="B9641" s="8" t="str">
        <f>"9781450320818"</f>
        <v>9781450320818</v>
      </c>
      <c r="C9641" s="8" t="s">
        <v>21</v>
      </c>
    </row>
    <row r="9642" spans="1:3" x14ac:dyDescent="0.25">
      <c r="A9642" s="8" t="str">
        <f>"IH and MMSec 2014 - Proceedings of the 2014 ACM Information Hiding and Multimedia Security Workshop"</f>
        <v>IH and MMSec 2014 - Proceedings of the 2014 ACM Information Hiding and Multimedia Security Workshop</v>
      </c>
      <c r="B9642" s="8" t="str">
        <f>"9781450326476"</f>
        <v>9781450326476</v>
      </c>
      <c r="C9642" s="8" t="s">
        <v>1235</v>
      </c>
    </row>
    <row r="9643" spans="1:3" x14ac:dyDescent="0.25">
      <c r="A9643" s="8" t="str">
        <f>"IHI'10 - Proceedings of the 1st ACM International Health Informatics Symposium"</f>
        <v>IHI'10 - Proceedings of the 1st ACM International Health Informatics Symposium</v>
      </c>
      <c r="B9643" s="8" t="str">
        <f>"9781450300308"</f>
        <v>9781450300308</v>
      </c>
      <c r="C9643" s="8" t="s">
        <v>21</v>
      </c>
    </row>
    <row r="9644" spans="1:3" x14ac:dyDescent="0.25">
      <c r="A9644" s="8" t="str">
        <f>"IHI'12 - Proceedings of the 2nd ACM SIGHIT International Health Informatics Symposium"</f>
        <v>IHI'12 - Proceedings of the 2nd ACM SIGHIT International Health Informatics Symposium</v>
      </c>
      <c r="B9644" s="8" t="str">
        <f>"9781450307819"</f>
        <v>9781450307819</v>
      </c>
      <c r="C9644" s="8" t="s">
        <v>21</v>
      </c>
    </row>
    <row r="9645" spans="1:3" x14ac:dyDescent="0.25">
      <c r="A9645" s="8" t="str">
        <f>"IHIS'05 - Proceedings of the First International Workshop on Interoperability of Heterogeneous Information Systems"</f>
        <v>IHIS'05 - Proceedings of the First International Workshop on Interoperability of Heterogeneous Information Systems</v>
      </c>
      <c r="B9645" s="8" t="str">
        <f>"-"</f>
        <v>-</v>
      </c>
      <c r="C9645" s="8" t="s">
        <v>21</v>
      </c>
    </row>
    <row r="9646" spans="1:3" x14ac:dyDescent="0.25">
      <c r="A9646" s="8" t="str">
        <f>"IHM 2013 - Actes de la 25ieme Conference Francophone sur l'Interaction Homme-Machine"</f>
        <v>IHM 2013 - Actes de la 25ieme Conference Francophone sur l'Interaction Homme-Machine</v>
      </c>
      <c r="B9646" s="8" t="str">
        <f>"9781450324076"</f>
        <v>9781450324076</v>
      </c>
      <c r="C9646" s="8" t="s">
        <v>21</v>
      </c>
    </row>
    <row r="9647" spans="1:3" x14ac:dyDescent="0.25">
      <c r="A9647" s="8" t="str">
        <f>"IHM 2014 - Actes de la 26ieme Conference Francophone sur l'Interaction Homme-Machine"</f>
        <v>IHM 2014 - Actes de la 26ieme Conference Francophone sur l'Interaction Homme-Machine</v>
      </c>
      <c r="B9647" s="8" t="str">
        <f>"9781450329354"</f>
        <v>9781450329354</v>
      </c>
      <c r="C9647" s="8" t="s">
        <v>1235</v>
      </c>
    </row>
    <row r="9648" spans="1:3" x14ac:dyDescent="0.25">
      <c r="A9648" s="8" t="str">
        <f>"IHM'10 - 22nd Conference Francophone sur l'Interaction Homme-Machine"</f>
        <v>IHM'10 - 22nd Conference Francophone sur l'Interaction Homme-Machine</v>
      </c>
      <c r="B9648" s="8" t="str">
        <f>"9781450304108"</f>
        <v>9781450304108</v>
      </c>
      <c r="C9648" s="8" t="s">
        <v>21</v>
      </c>
    </row>
    <row r="9649" spans="1:3" x14ac:dyDescent="0.25">
      <c r="A9649" s="8" t="str">
        <f>"IIE Annual Conference and Exhibition 2004"</f>
        <v>IIE Annual Conference and Exhibition 2004</v>
      </c>
      <c r="B9649" s="8" t="str">
        <f>"-"</f>
        <v>-</v>
      </c>
      <c r="C9649" s="8" t="s">
        <v>530</v>
      </c>
    </row>
    <row r="9650" spans="1:3" x14ac:dyDescent="0.25">
      <c r="A9650" s="8" t="str">
        <f>"IIE Annual Conference and Expo 2007 - Industrial Engineering's Critical Role in a Flat World - Conference Proceedings"</f>
        <v>IIE Annual Conference and Expo 2007 - Industrial Engineering's Critical Role in a Flat World - Conference Proceedings</v>
      </c>
      <c r="B9650" s="8" t="str">
        <f>"-"</f>
        <v>-</v>
      </c>
      <c r="C9650" s="8" t="s">
        <v>530</v>
      </c>
    </row>
    <row r="9651" spans="1:3" x14ac:dyDescent="0.25">
      <c r="A9651" s="8" t="str">
        <f>"IIE Annual Conference and Expo 2008"</f>
        <v>IIE Annual Conference and Expo 2008</v>
      </c>
      <c r="B9651" s="8" t="str">
        <f>"-"</f>
        <v>-</v>
      </c>
      <c r="C9651" s="8" t="s">
        <v>530</v>
      </c>
    </row>
    <row r="9652" spans="1:3" x14ac:dyDescent="0.25">
      <c r="A9652" s="8" t="str">
        <f>"IIE Annual Conference and Expo 2009"</f>
        <v>IIE Annual Conference and Expo 2009</v>
      </c>
      <c r="B9652" s="8" t="str">
        <f>"-"</f>
        <v>-</v>
      </c>
      <c r="C9652" s="8" t="s">
        <v>530</v>
      </c>
    </row>
    <row r="9653" spans="1:3" x14ac:dyDescent="0.25">
      <c r="A9653" s="8" t="str">
        <f>"IIE Annual Conference and Expo 2010 Proceedings"</f>
        <v>IIE Annual Conference and Expo 2010 Proceedings</v>
      </c>
      <c r="B9653" s="8" t="str">
        <f>"-"</f>
        <v>-</v>
      </c>
      <c r="C9653" s="8" t="s">
        <v>530</v>
      </c>
    </row>
    <row r="9654" spans="1:3" x14ac:dyDescent="0.25">
      <c r="A9654" s="8" t="str">
        <f>"IIE Annual Conference and Expo 2013"</f>
        <v>IIE Annual Conference and Expo 2013</v>
      </c>
      <c r="B9654" s="8" t="str">
        <f>"9780983762423"</f>
        <v>9780983762423</v>
      </c>
      <c r="C9654" s="8" t="s">
        <v>530</v>
      </c>
    </row>
    <row r="9655" spans="1:3" x14ac:dyDescent="0.25">
      <c r="A9655" s="8" t="str">
        <f>"IIE Annual Conference and Expo 2014"</f>
        <v>IIE Annual Conference and Expo 2014</v>
      </c>
      <c r="B9655" s="8" t="str">
        <f>"9780983762430"</f>
        <v>9780983762430</v>
      </c>
      <c r="C9655" s="8" t="s">
        <v>530</v>
      </c>
    </row>
    <row r="9656" spans="1:3" x14ac:dyDescent="0.25">
      <c r="A9656" s="8" t="str">
        <f>"IIE Annual Conference and Exposition 2005"</f>
        <v>IIE Annual Conference and Exposition 2005</v>
      </c>
      <c r="B9656" s="8" t="str">
        <f>"-"</f>
        <v>-</v>
      </c>
      <c r="C9656" s="8" t="s">
        <v>530</v>
      </c>
    </row>
    <row r="9657" spans="1:3" x14ac:dyDescent="0.25">
      <c r="A9657" s="8" t="str">
        <f>"IIES 2008 - Proceedings of the 1st Workshop on Isolation and Integration in Embedded Systems"</f>
        <v>IIES 2008 - Proceedings of the 1st Workshop on Isolation and Integration in Embedded Systems</v>
      </c>
      <c r="B9657" s="8" t="str">
        <f>"9781605581262"</f>
        <v>9781605581262</v>
      </c>
      <c r="C9657" s="8" t="s">
        <v>21</v>
      </c>
    </row>
    <row r="9658" spans="1:3" x14ac:dyDescent="0.25">
      <c r="A9658" s="8" t="str">
        <f>"IIH-MSP 2009 - 2009 5th International Conference on Intelligent Information Hiding and Multimedia Signal Processing"</f>
        <v>IIH-MSP 2009 - 2009 5th International Conference on Intelligent Information Hiding and Multimedia Signal Processing</v>
      </c>
      <c r="B9658" s="8" t="str">
        <f>"9780769537627"</f>
        <v>9780769537627</v>
      </c>
      <c r="C9658" s="8" t="s">
        <v>9</v>
      </c>
    </row>
    <row r="9659" spans="1:3" x14ac:dyDescent="0.25">
      <c r="A9659" s="8" t="str">
        <f>"IIiX 2010 - Proceedings of the 2010 Information Interaction in Context Symposium"</f>
        <v>IIiX 2010 - Proceedings of the 2010 Information Interaction in Context Symposium</v>
      </c>
      <c r="B9659" s="8" t="str">
        <f>"9781450302470"</f>
        <v>9781450302470</v>
      </c>
      <c r="C9659" s="8" t="s">
        <v>21</v>
      </c>
    </row>
    <row r="9660" spans="1:3" x14ac:dyDescent="0.25">
      <c r="A9660" s="8" t="str">
        <f>"IIiX 2012 - Proceedings 4th Information Interaction in Context Symposium: Behaviors, Interactions, Interfaces, Systems"</f>
        <v>IIiX 2012 - Proceedings 4th Information Interaction in Context Symposium: Behaviors, Interactions, Interfaces, Systems</v>
      </c>
      <c r="B9660" s="8" t="str">
        <f>"9781450312820"</f>
        <v>9781450312820</v>
      </c>
      <c r="C9660" s="8" t="s">
        <v>21</v>
      </c>
    </row>
    <row r="9661" spans="1:3" x14ac:dyDescent="0.25">
      <c r="A9661" s="8" t="str">
        <f>"IIiX'08: Proceedings of the 2nd International Symposium on Information Interaction in Context"</f>
        <v>IIiX'08: Proceedings of the 2nd International Symposium on Information Interaction in Context</v>
      </c>
      <c r="B9661" s="8" t="str">
        <f>"9781605583105"</f>
        <v>9781605583105</v>
      </c>
      <c r="C9661" s="8" t="s">
        <v>21</v>
      </c>
    </row>
    <row r="9662" spans="1:3" x14ac:dyDescent="0.25">
      <c r="A9662" s="8" t="str">
        <f>"IIORC 05 - 2005 SPE International Improved Oil Recovery Conference in Asia Pacific, Proceedings"</f>
        <v>IIORC 05 - 2005 SPE International Improved Oil Recovery Conference in Asia Pacific, Proceedings</v>
      </c>
      <c r="B9662" s="8" t="str">
        <f>"-"</f>
        <v>-</v>
      </c>
      <c r="C9662" s="8" t="s">
        <v>915</v>
      </c>
    </row>
    <row r="9663" spans="1:3" x14ac:dyDescent="0.25">
      <c r="A9663" s="8" t="str">
        <f>"IISA 2013 - 4th International Conference on Information, Intelligence, Systems and Applications"</f>
        <v>IISA 2013 - 4th International Conference on Information, Intelligence, Systems and Applications</v>
      </c>
      <c r="B9663" s="8" t="str">
        <f>"9781479907717"</f>
        <v>9781479907717</v>
      </c>
      <c r="C9663" s="8" t="s">
        <v>9</v>
      </c>
    </row>
    <row r="9664" spans="1:3" x14ac:dyDescent="0.25">
      <c r="A9664" s="8" t="str">
        <f>"IISWC 2014 - IEEE International Symposium on Workload Characterization"</f>
        <v>IISWC 2014 - IEEE International Symposium on Workload Characterization</v>
      </c>
      <c r="B9664" s="8" t="str">
        <f>"9781479964536"</f>
        <v>9781479964536</v>
      </c>
      <c r="C9664" s="8" t="s">
        <v>105</v>
      </c>
    </row>
    <row r="9665" spans="1:3" x14ac:dyDescent="0.25">
      <c r="A9665" s="8" t="str">
        <f>"iiWAS2009 - The 11th International Conference on Information Integration and Web-based Applications and Services"</f>
        <v>iiWAS2009 - The 11th International Conference on Information Integration and Web-based Applications and Services</v>
      </c>
      <c r="B9665" s="8" t="str">
        <f>"9781605586601"</f>
        <v>9781605586601</v>
      </c>
      <c r="C9665" s="8" t="s">
        <v>21</v>
      </c>
    </row>
    <row r="9666" spans="1:3" x14ac:dyDescent="0.25">
      <c r="A9666" s="8" t="str">
        <f>"iiWAS2010 - 12th International Conference on Information Integration and Web-Based Applications and Services"</f>
        <v>iiWAS2010 - 12th International Conference on Information Integration and Web-Based Applications and Services</v>
      </c>
      <c r="B9666" s="8" t="str">
        <f>"9781450304214"</f>
        <v>9781450304214</v>
      </c>
      <c r="C9666" s="8" t="s">
        <v>21</v>
      </c>
    </row>
    <row r="9667" spans="1:3" x14ac:dyDescent="0.25">
      <c r="A9667" s="8" t="str">
        <f>"IJCAI 2005 Workshop on Reasoning with Uncertainty in Robotics, RUR 2005"</f>
        <v>IJCAI 2005 Workshop on Reasoning with Uncertainty in Robotics, RUR 2005</v>
      </c>
      <c r="B9667" s="8" t="str">
        <f>"-"</f>
        <v>-</v>
      </c>
      <c r="C9667" s="8" t="s">
        <v>1897</v>
      </c>
    </row>
    <row r="9668" spans="1:3" x14ac:dyDescent="0.25">
      <c r="A9668" s="8" t="str">
        <f>"IJCB 2014 - 2014 IEEE/IAPR International Joint Conference on Biometrics"</f>
        <v>IJCB 2014 - 2014 IEEE/IAPR International Joint Conference on Biometrics</v>
      </c>
      <c r="B9668" s="8" t="str">
        <f>"9781479935840"</f>
        <v>9781479935840</v>
      </c>
      <c r="C9668" s="8" t="s">
        <v>105</v>
      </c>
    </row>
    <row r="9669" spans="1:3" x14ac:dyDescent="0.25">
      <c r="A9669" s="8" t="str">
        <f>"IJCCI 2009 - International Joint Conference on Computational Intelligence, Proceedings"</f>
        <v>IJCCI 2009 - International Joint Conference on Computational Intelligence, Proceedings</v>
      </c>
      <c r="B9669" s="8" t="str">
        <f>"9789896740146"</f>
        <v>9789896740146</v>
      </c>
      <c r="C9669" s="8" t="s">
        <v>1553</v>
      </c>
    </row>
    <row r="9670" spans="1:3" x14ac:dyDescent="0.25">
      <c r="A9670" s="8" t="str">
        <f>"IJCCI 2009 - Proceedings of the International Joint Conference on Computational Intelligence"</f>
        <v>IJCCI 2009 - Proceedings of the International Joint Conference on Computational Intelligence</v>
      </c>
      <c r="B9670" s="8" t="str">
        <f>"9789896740146"</f>
        <v>9789896740146</v>
      </c>
      <c r="C9670" s="8" t="s">
        <v>1680</v>
      </c>
    </row>
    <row r="9671" spans="1:3" x14ac:dyDescent="0.25">
      <c r="A9671" s="8" t="str">
        <f>"IJCCI 2012 - Proceedings of the 4th International Joint Conference on Computational Intelligence"</f>
        <v>IJCCI 2012 - Proceedings of the 4th International Joint Conference on Computational Intelligence</v>
      </c>
      <c r="B9671" s="8" t="str">
        <f>"9789898565334"</f>
        <v>9789898565334</v>
      </c>
      <c r="C9671" s="8" t="s">
        <v>1197</v>
      </c>
    </row>
    <row r="9672" spans="1:3" x14ac:dyDescent="0.25">
      <c r="A9672" s="8" t="str">
        <f>"IJCCI 2013 - Proceedings of the 5th International Joint Conference on Computational Intelligence"</f>
        <v>IJCCI 2013 - Proceedings of the 5th International Joint Conference on Computational Intelligence</v>
      </c>
      <c r="B9672" s="8" t="str">
        <f>"9789898565778"</f>
        <v>9789898565778</v>
      </c>
      <c r="C9672" s="8" t="s">
        <v>1197</v>
      </c>
    </row>
    <row r="9673" spans="1:3" x14ac:dyDescent="0.25">
      <c r="A9673" s="8" t="str">
        <f>"IKT 2013 - 2013 5th Conference on Information and Knowledge Technology"</f>
        <v>IKT 2013 - 2013 5th Conference on Information and Knowledge Technology</v>
      </c>
      <c r="B9673" s="8" t="str">
        <f>"9781467364904"</f>
        <v>9781467364904</v>
      </c>
      <c r="C9673" s="8" t="s">
        <v>9</v>
      </c>
    </row>
    <row r="9674" spans="1:3" x14ac:dyDescent="0.25">
      <c r="A9674" s="8" t="s">
        <v>1898</v>
      </c>
      <c r="B9674" s="8" t="str">
        <f>"9787302139225"</f>
        <v>9787302139225</v>
      </c>
      <c r="C9674" s="8" t="s">
        <v>9</v>
      </c>
    </row>
    <row r="9675" spans="1:3" x14ac:dyDescent="0.25">
      <c r="A9675" s="8" t="str">
        <f>"IMAGAPP 2009 - Proceedings of the 1st International Conference on Computer Imaging Theory and Applications"</f>
        <v>IMAGAPP 2009 - Proceedings of the 1st International Conference on Computer Imaging Theory and Applications</v>
      </c>
      <c r="B9675" s="8" t="str">
        <f>"9789898111685"</f>
        <v>9789898111685</v>
      </c>
      <c r="C9675" s="8" t="s">
        <v>1525</v>
      </c>
    </row>
    <row r="9676" spans="1:3" x14ac:dyDescent="0.25">
      <c r="A9676" s="8" t="str">
        <f>"IMAGAPP 2010 - Proceedings of the International Conference on Imaging Theory and Applications, IVAPP 2010 - Proc. Int. Conf. Information Visualization Theory and Applications"</f>
        <v>IMAGAPP 2010 - Proceedings of the International Conference on Imaging Theory and Applications, IVAPP 2010 - Proc. Int. Conf. Information Visualization Theory and Applications</v>
      </c>
      <c r="B9676" s="8" t="str">
        <f>"9789896740276"</f>
        <v>9789896740276</v>
      </c>
      <c r="C9676" s="8" t="s">
        <v>1553</v>
      </c>
    </row>
    <row r="9677" spans="1:3" x14ac:dyDescent="0.25">
      <c r="A9677" s="8" t="str">
        <f>"IMAGAPP and IVAPP 2011 - Proceedings of the International Conference on Imaging Theory and Applications and International Conference on Information Visualization Theory and Applications"</f>
        <v>IMAGAPP and IVAPP 2011 - Proceedings of the International Conference on Imaging Theory and Applications and International Conference on Information Visualization Theory and Applications</v>
      </c>
      <c r="B9677" s="8" t="str">
        <f>"9789898425461"</f>
        <v>9789898425461</v>
      </c>
      <c r="C9677" s="8" t="s">
        <v>1553</v>
      </c>
    </row>
    <row r="9678" spans="1:3" x14ac:dyDescent="0.25">
      <c r="A9678" s="8" t="str">
        <f>"Image and Signal Processing and Analysis, 2005. ISPA 2005. Proceedings of the 4th International Symposium"</f>
        <v>Image and Signal Processing and Analysis, 2005. ISPA 2005. Proceedings of the 4th International Symposium</v>
      </c>
      <c r="B9678" s="8" t="str">
        <f>"-"</f>
        <v>-</v>
      </c>
      <c r="C9678" s="8" t="s">
        <v>9</v>
      </c>
    </row>
    <row r="9679" spans="1:3" x14ac:dyDescent="0.25">
      <c r="A9679" s="8" t="str">
        <f>"Image Processing, Biomedicine, Multimedia, Financial Engineering and Manufacturing - Proceedings of the Sixth Biannual World Automation Congress"</f>
        <v>Image Processing, Biomedicine, Multimedia, Financial Engineering and Manufacturing - Proceedings of the Sixth Biannual World Automation Congress</v>
      </c>
      <c r="B9679" s="8" t="str">
        <f>"9781889335247"</f>
        <v>9781889335247</v>
      </c>
      <c r="C9679" s="8" t="s">
        <v>1899</v>
      </c>
    </row>
    <row r="9680" spans="1:3" x14ac:dyDescent="0.25">
      <c r="A9680" s="8" t="str">
        <f>"Imagination and Implementation - Thermosets 2004: SPE Topical Conference"</f>
        <v>Imagination and Implementation - Thermosets 2004: SPE Topical Conference</v>
      </c>
      <c r="B9680" s="8" t="str">
        <f>"-"</f>
        <v>-</v>
      </c>
      <c r="C9680" s="8" t="s">
        <v>132</v>
      </c>
    </row>
    <row r="9681" spans="1:3" x14ac:dyDescent="0.25">
      <c r="A9681" s="8" t="str">
        <f>"Imaging and Geospatial Technology Forum, IGTF 2015 - ASPRS Annual Conference and co-located JACIE Workshop"</f>
        <v>Imaging and Geospatial Technology Forum, IGTF 2015 - ASPRS Annual Conference and co-located JACIE Workshop</v>
      </c>
      <c r="B9681" s="8" t="str">
        <f>"9781510804579"</f>
        <v>9781510804579</v>
      </c>
      <c r="C9681" s="8" t="s">
        <v>931</v>
      </c>
    </row>
    <row r="9682" spans="1:3" x14ac:dyDescent="0.25">
      <c r="A9682" s="8" t="str">
        <f>"Imaging Systems and Applications, ISA 2012"</f>
        <v>Imaging Systems and Applications, ISA 2012</v>
      </c>
      <c r="B9682" s="8" t="str">
        <f>"9781557529473"</f>
        <v>9781557529473</v>
      </c>
      <c r="C9682" s="8" t="s">
        <v>86</v>
      </c>
    </row>
    <row r="9683" spans="1:3" x14ac:dyDescent="0.25">
      <c r="A9683" s="8" t="str">
        <f>"IMAPS International Conference and Exhibition on Device Packaging - Co-located with the Global Business Council, GBC 2006 Spring Conference"</f>
        <v>IMAPS International Conference and Exhibition on Device Packaging - Co-located with the Global Business Council, GBC 2006 Spring Conference</v>
      </c>
      <c r="B9683" s="8" t="str">
        <f>"-"</f>
        <v>-</v>
      </c>
      <c r="C9683" s="8" t="s">
        <v>93</v>
      </c>
    </row>
    <row r="9684" spans="1:3" x14ac:dyDescent="0.25">
      <c r="A9684" s="8" t="str">
        <f>"IMAPS International Conference and Exhibition on Device Packaging - In Conjunction with the Global Business Council, GBC 2008 Spring Conference"</f>
        <v>IMAPS International Conference and Exhibition on Device Packaging - In Conjunction with the Global Business Council, GBC 2008 Spring Conference</v>
      </c>
      <c r="B9684" s="8" t="str">
        <f>"-"</f>
        <v>-</v>
      </c>
      <c r="C9684" s="8" t="s">
        <v>93</v>
      </c>
    </row>
    <row r="9685" spans="1:3" x14ac:dyDescent="0.25">
      <c r="A9685" s="8" t="str">
        <f>"IMAPS International Conference and Exhibition on Device Packaging - In Conjunction with the Global Business Council, GBC 2011 Spring Conference"</f>
        <v>IMAPS International Conference and Exhibition on Device Packaging - In Conjunction with the Global Business Council, GBC 2011 Spring Conference</v>
      </c>
      <c r="B9685" s="8" t="str">
        <f>"-"</f>
        <v>-</v>
      </c>
      <c r="C9685" s="8" t="s">
        <v>93</v>
      </c>
    </row>
    <row r="9686" spans="1:3" x14ac:dyDescent="0.25">
      <c r="A9686" s="8" t="str">
        <f>"IMAPS International Conference and Exhibition on Device Packaging, DPC 2012 - In Conjunction with the Global Business Council, GBC 2012 Spring Conference"</f>
        <v>IMAPS International Conference and Exhibition on Device Packaging, DPC 2012 - In Conjunction with the Global Business Council, GBC 2012 Spring Conference</v>
      </c>
      <c r="B9686" s="8" t="str">
        <f>"-"</f>
        <v>-</v>
      </c>
      <c r="C9686" s="8" t="s">
        <v>93</v>
      </c>
    </row>
    <row r="9687" spans="1:3" x14ac:dyDescent="0.25">
      <c r="A9687" s="8" t="str">
        <f>"IMAPS International Conference on High Temperature Electronics Network, HiTEN 2015"</f>
        <v>IMAPS International Conference on High Temperature Electronics Network, HiTEN 2015</v>
      </c>
      <c r="B9687" s="8" t="str">
        <f>"-"</f>
        <v>-</v>
      </c>
      <c r="C9687" s="8" t="s">
        <v>93</v>
      </c>
    </row>
    <row r="9688" spans="1:3" x14ac:dyDescent="0.25">
      <c r="A9688" s="8" t="str">
        <f>"IMAPS Nordic Annual Conference 2005"</f>
        <v>IMAPS Nordic Annual Conference 2005</v>
      </c>
      <c r="B9688" s="8" t="str">
        <f>"9781622761814"</f>
        <v>9781622761814</v>
      </c>
      <c r="C9688" s="8" t="s">
        <v>1285</v>
      </c>
    </row>
    <row r="9689" spans="1:3" x14ac:dyDescent="0.25">
      <c r="A9689" s="8" t="str">
        <f>"IMAPS Nordic Annual Conference 2006"</f>
        <v>IMAPS Nordic Annual Conference 2006</v>
      </c>
      <c r="B9689" s="8" t="str">
        <f>"9781622761821"</f>
        <v>9781622761821</v>
      </c>
      <c r="C9689" s="8" t="s">
        <v>1285</v>
      </c>
    </row>
    <row r="9690" spans="1:3" x14ac:dyDescent="0.25">
      <c r="A9690" s="8" t="str">
        <f>"IMAPS Nordic Annual Conference 2008"</f>
        <v>IMAPS Nordic Annual Conference 2008</v>
      </c>
      <c r="B9690" s="8" t="str">
        <f>"9781622764044"</f>
        <v>9781622764044</v>
      </c>
      <c r="C9690" s="8" t="s">
        <v>1285</v>
      </c>
    </row>
    <row r="9691" spans="1:3" x14ac:dyDescent="0.25">
      <c r="A9691" s="8" t="str">
        <f>"IMAPS Nordic Annual Conference 2009"</f>
        <v>IMAPS Nordic Annual Conference 2009</v>
      </c>
      <c r="B9691" s="8" t="str">
        <f>"9781622761838"</f>
        <v>9781622761838</v>
      </c>
      <c r="C9691" s="8" t="s">
        <v>1285</v>
      </c>
    </row>
    <row r="9692" spans="1:3" x14ac:dyDescent="0.25">
      <c r="A9692" s="8" t="str">
        <f>"IMAPS Nordic Annual Conference 2010, Proceedings"</f>
        <v>IMAPS Nordic Annual Conference 2010, Proceedings</v>
      </c>
      <c r="B9692" s="8" t="str">
        <f>"9781617821905"</f>
        <v>9781617821905</v>
      </c>
      <c r="C9692" s="8" t="s">
        <v>93</v>
      </c>
    </row>
    <row r="9693" spans="1:3" x14ac:dyDescent="0.25">
      <c r="A9693" s="8" t="str">
        <f>"IMAPS Nordic Annual Conference Proceedings"</f>
        <v>IMAPS Nordic Annual Conference Proceedings</v>
      </c>
      <c r="B9693" s="8" t="str">
        <f>"9789526815008"</f>
        <v>9789526815008</v>
      </c>
      <c r="C9693" s="8" t="s">
        <v>1285</v>
      </c>
    </row>
    <row r="9694" spans="1:3" x14ac:dyDescent="0.25">
      <c r="A9694" s="8" t="str">
        <f>"IMAPS Nordic Annual Conference Proceedings 2012"</f>
        <v>IMAPS Nordic Annual Conference Proceedings 2012</v>
      </c>
      <c r="B9694" s="8" t="str">
        <f>"9781622763160"</f>
        <v>9781622763160</v>
      </c>
      <c r="C9694" s="8" t="s">
        <v>1285</v>
      </c>
    </row>
    <row r="9695" spans="1:3" x14ac:dyDescent="0.25">
      <c r="A9695" s="8" t="str">
        <f>"IMAPS Nordic Annual Conference Proceedings 2015"</f>
        <v>IMAPS Nordic Annual Conference Proceedings 2015</v>
      </c>
      <c r="B9695" s="8" t="str">
        <f>"9789526815015"</f>
        <v>9789526815015</v>
      </c>
      <c r="C9695" s="8" t="s">
        <v>93</v>
      </c>
    </row>
    <row r="9696" spans="1:3" x14ac:dyDescent="0.25">
      <c r="A9696" s="8" t="str">
        <f>"IMAPS Nordic Conference 2011"</f>
        <v>IMAPS Nordic Conference 2011</v>
      </c>
      <c r="B9696" s="8" t="str">
        <f>"9781618391124"</f>
        <v>9781618391124</v>
      </c>
      <c r="C9696" s="8" t="s">
        <v>1285</v>
      </c>
    </row>
    <row r="9697" spans="1:3" x14ac:dyDescent="0.25">
      <c r="A9697" s="8" t="str">
        <f>"IMAPS/ACerS - 2nd International Conference and Exhibition on Ceramic Interconnect and Ceramic Microsystems Technologies, CICMT 2006"</f>
        <v>IMAPS/ACerS - 2nd International Conference and Exhibition on Ceramic Interconnect and Ceramic Microsystems Technologies, CICMT 2006</v>
      </c>
      <c r="B9697" s="8" t="str">
        <f>"9781604236200"</f>
        <v>9781604236200</v>
      </c>
      <c r="C9697" s="8" t="s">
        <v>93</v>
      </c>
    </row>
    <row r="9698" spans="1:3" x14ac:dyDescent="0.25">
      <c r="A9698" s="8" t="str">
        <f>"IMCET 2011 - Proceedings of the 22nd International Mining Congress of Turkey"</f>
        <v>IMCET 2011 - Proceedings of the 22nd International Mining Congress of Turkey</v>
      </c>
      <c r="B9698" s="8" t="str">
        <f>"9786050101034"</f>
        <v>9786050101034</v>
      </c>
      <c r="C9698" s="8" t="s">
        <v>1900</v>
      </c>
    </row>
    <row r="9699" spans="1:3" x14ac:dyDescent="0.25">
      <c r="A9699" s="8" t="str">
        <f>"IMechE, Fluid Machinery Group - International Conference on Compressors and their systems 2005"</f>
        <v>IMechE, Fluid Machinery Group - International Conference on Compressors and their systems 2005</v>
      </c>
      <c r="B9699" s="8" t="str">
        <f>"9780470025765"</f>
        <v>9780470025765</v>
      </c>
      <c r="C9699" s="8" t="s">
        <v>87</v>
      </c>
    </row>
    <row r="9700" spans="1:3" x14ac:dyDescent="0.25">
      <c r="A9700" s="8" t="str">
        <f>"IMECS 2011 - International MultiConference of Engineers and Computer Scientists 2011"</f>
        <v>IMECS 2011 - International MultiConference of Engineers and Computer Scientists 2011</v>
      </c>
      <c r="B9700" s="8" t="str">
        <f>"9789881925121"</f>
        <v>9789881925121</v>
      </c>
      <c r="C9700" s="8" t="s">
        <v>380</v>
      </c>
    </row>
    <row r="9701" spans="1:3" x14ac:dyDescent="0.25">
      <c r="A9701" s="8" t="str">
        <f>"IMEKO TC1 Symposium on Education in Measurement and Instrumentation 2002: Challenges of New Technologies"</f>
        <v>IMEKO TC1 Symposium on Education in Measurement and Instrumentation 2002: Challenges of New Technologies</v>
      </c>
      <c r="B9701" s="8" t="str">
        <f>"9781634391801"</f>
        <v>9781634391801</v>
      </c>
      <c r="C9701" s="8" t="s">
        <v>1198</v>
      </c>
    </row>
    <row r="9702" spans="1:3" x14ac:dyDescent="0.25">
      <c r="A9702" s="8" t="str">
        <f>"IMEKO TC1 Workshop and Symposium on Virtual and Real Tools for Education in Measurement 2001"</f>
        <v>IMEKO TC1 Workshop and Symposium on Virtual and Real Tools for Education in Measurement 2001</v>
      </c>
      <c r="B9702" s="8" t="str">
        <f>"9781510803930"</f>
        <v>9781510803930</v>
      </c>
      <c r="C9702" s="8" t="s">
        <v>1198</v>
      </c>
    </row>
    <row r="9703" spans="1:3" x14ac:dyDescent="0.25">
      <c r="A9703" s="8" t="str">
        <f>"IMEKO TC2 Symposium on Photonics in Measurements 2010"</f>
        <v>IMEKO TC2 Symposium on Photonics in Measurements 2010</v>
      </c>
      <c r="B9703" s="8" t="str">
        <f>"9781617823510"</f>
        <v>9781617823510</v>
      </c>
      <c r="C9703" s="8" t="s">
        <v>1198</v>
      </c>
    </row>
    <row r="9704" spans="1:3" x14ac:dyDescent="0.25">
      <c r="A9704" s="8" t="str">
        <f>"IMEKO TC4 International Workshop on ADC Modelling, Testing and Data Converter Analysis and Design 2011, IWADC 2011 and IEEE 2011 ADC Forum"</f>
        <v>IMEKO TC4 International Workshop on ADC Modelling, Testing and Data Converter Analysis and Design 2011, IWADC 2011 and IEEE 2011 ADC Forum</v>
      </c>
      <c r="B9704" s="8" t="str">
        <f>"9781618392794"</f>
        <v>9781618392794</v>
      </c>
      <c r="C9704" s="8" t="s">
        <v>1198</v>
      </c>
    </row>
    <row r="9705" spans="1:3" x14ac:dyDescent="0.25">
      <c r="A9705" s="8" t="str">
        <f>"IMEKO TC5 Conference on Hardness Measurements Theory and Application in Laboratories and Industries, HARDMEKO 2004"</f>
        <v>IMEKO TC5 Conference on Hardness Measurements Theory and Application in Laboratories and Industries, HARDMEKO 2004</v>
      </c>
      <c r="B9705" s="8" t="str">
        <f>"9781634391870"</f>
        <v>9781634391870</v>
      </c>
      <c r="C9705" s="8" t="s">
        <v>1198</v>
      </c>
    </row>
    <row r="9706" spans="1:3" x14ac:dyDescent="0.25">
      <c r="A9706" s="8" t="str">
        <f>"IMEKO TC8 Workshop on Traceability to Support CIPM MRA and Other International Arrangements 2008"</f>
        <v>IMEKO TC8 Workshop on Traceability to Support CIPM MRA and Other International Arrangements 2008</v>
      </c>
      <c r="B9706" s="8" t="str">
        <f>"9781615670710"</f>
        <v>9781615670710</v>
      </c>
      <c r="C9706" s="8" t="s">
        <v>1901</v>
      </c>
    </row>
    <row r="9707" spans="1:3" x14ac:dyDescent="0.25">
      <c r="A9707" s="8" t="str">
        <f>"IMETI 2008 - International Multi-Conference on Engineering and Technological Innovation, Proceedings"</f>
        <v>IMETI 2008 - International Multi-Conference on Engineering and Technological Innovation, Proceedings</v>
      </c>
      <c r="B9707" s="8" t="str">
        <f>"-"</f>
        <v>-</v>
      </c>
      <c r="C9707" s="8" t="s">
        <v>1502</v>
      </c>
    </row>
    <row r="9708" spans="1:3" x14ac:dyDescent="0.25">
      <c r="A9708" s="8" t="str">
        <f>"IMETI 2009 - 2nd International Multi-Conference on Engineering and Technological Innovation, Proceedings"</f>
        <v>IMETI 2009 - 2nd International Multi-Conference on Engineering and Technological Innovation, Proceedings</v>
      </c>
      <c r="B9708" s="8" t="str">
        <f>"-"</f>
        <v>-</v>
      </c>
      <c r="C9708" s="8" t="s">
        <v>1902</v>
      </c>
    </row>
    <row r="9709" spans="1:3" x14ac:dyDescent="0.25">
      <c r="A9709" s="8" t="str">
        <f>"IMETI 2010 - 3rd International Multi-Conference on Engineering and Technological Innovation, Proceedings"</f>
        <v>IMETI 2010 - 3rd International Multi-Conference on Engineering and Technological Innovation, Proceedings</v>
      </c>
      <c r="B9709" s="8" t="str">
        <f>"-"</f>
        <v>-</v>
      </c>
      <c r="C9709" s="8" t="s">
        <v>1502</v>
      </c>
    </row>
    <row r="9710" spans="1:3" x14ac:dyDescent="0.25">
      <c r="A9710" s="8" t="str">
        <f>"IMETI 2011 - 4th International Multi-Conference on Engineering and Technological Innovation, Proceedings"</f>
        <v>IMETI 2011 - 4th International Multi-Conference on Engineering and Technological Innovation, Proceedings</v>
      </c>
      <c r="B9710" s="8" t="str">
        <f>"-"</f>
        <v>-</v>
      </c>
      <c r="C9710" s="8" t="s">
        <v>1502</v>
      </c>
    </row>
    <row r="9711" spans="1:3" x14ac:dyDescent="0.25">
      <c r="A9711" s="8" t="str">
        <f>"IMETI 2012 - 5th International Multi-Conference on Engineering and Technological Innovation, Proceedings"</f>
        <v>IMETI 2012 - 5th International Multi-Conference on Engineering and Technological Innovation, Proceedings</v>
      </c>
      <c r="B9711" s="8" t="str">
        <f>"9781936338740"</f>
        <v>9781936338740</v>
      </c>
      <c r="C9711" s="8" t="s">
        <v>1502</v>
      </c>
    </row>
    <row r="9712" spans="1:3" x14ac:dyDescent="0.25">
      <c r="A9712" s="8" t="str">
        <f>"IMETI 2013 - 6th International Multi-Conference on Engineering and Technological Innovation, Proceedings"</f>
        <v>IMETI 2013 - 6th International Multi-Conference on Engineering and Technological Innovation, Proceedings</v>
      </c>
      <c r="B9712" s="8" t="str">
        <f>"9781936338924"</f>
        <v>9781936338924</v>
      </c>
      <c r="C9712" s="8" t="s">
        <v>1502</v>
      </c>
    </row>
    <row r="9713" spans="1:3" x14ac:dyDescent="0.25">
      <c r="A9713" s="8" t="str">
        <f>"IMETI 2014 - 7th International Multi-Conference on Engineering and Technological Innovation, Proceedings"</f>
        <v>IMETI 2014 - 7th International Multi-Conference on Engineering and Technological Innovation, Proceedings</v>
      </c>
      <c r="B9713" s="8" t="str">
        <f>"9781941763070"</f>
        <v>9781941763070</v>
      </c>
      <c r="C9713" s="8" t="s">
        <v>1502</v>
      </c>
    </row>
    <row r="9714" spans="1:3" x14ac:dyDescent="0.25">
      <c r="A9714" s="8" t="str">
        <f>"IMF 2009 - 5th International Conference on IT Security Incident Management and IT Forensics - Conference Proceedings"</f>
        <v>IMF 2009 - 5th International Conference on IT Security Incident Management and IT Forensics - Conference Proceedings</v>
      </c>
      <c r="B9714" s="8" t="str">
        <f>"9780769538075"</f>
        <v>9780769538075</v>
      </c>
      <c r="C9714" s="8" t="s">
        <v>9</v>
      </c>
    </row>
    <row r="9715" spans="1:3" x14ac:dyDescent="0.25">
      <c r="A9715" s="8" t="str">
        <f>"IMFEDK 2004 - International Meeting for Future of Electron Devices, Kansai"</f>
        <v>IMFEDK 2004 - International Meeting for Future of Electron Devices, Kansai</v>
      </c>
      <c r="B9715" s="8" t="str">
        <f>"9780780384231"</f>
        <v>9780780384231</v>
      </c>
      <c r="C9715" s="8" t="s">
        <v>105</v>
      </c>
    </row>
    <row r="9716" spans="1:3" x14ac:dyDescent="0.25">
      <c r="A9716" s="8" t="str">
        <f>"IMFEDK 2011 - 2011 International Meeting for Future of Electron Devices, Kansai"</f>
        <v>IMFEDK 2011 - 2011 International Meeting for Future of Electron Devices, Kansai</v>
      </c>
      <c r="B9716" s="8" t="str">
        <f>"9781612841465"</f>
        <v>9781612841465</v>
      </c>
      <c r="C9716" s="8" t="s">
        <v>9</v>
      </c>
    </row>
    <row r="9717" spans="1:3" x14ac:dyDescent="0.25">
      <c r="A9717" s="8" t="str">
        <f>"IMFEDK 2012 - 2012 International Meeting for Future of Electron Devices, Kansai"</f>
        <v>IMFEDK 2012 - 2012 International Meeting for Future of Electron Devices, Kansai</v>
      </c>
      <c r="B9717" s="8" t="str">
        <f>"9781467308359"</f>
        <v>9781467308359</v>
      </c>
      <c r="C9717" s="8" t="s">
        <v>9</v>
      </c>
    </row>
    <row r="9718" spans="1:3" x14ac:dyDescent="0.25">
      <c r="A9718" s="8" t="str">
        <f>"IMFEDK 2013 - 2013 International Meeting for Future of Electron Devices, Kansai"</f>
        <v>IMFEDK 2013 - 2013 International Meeting for Future of Electron Devices, Kansai</v>
      </c>
      <c r="B9718" s="8" t="str">
        <f>"9781467361064"</f>
        <v>9781467361064</v>
      </c>
      <c r="C9718" s="8" t="s">
        <v>9</v>
      </c>
    </row>
    <row r="9719" spans="1:3" x14ac:dyDescent="0.25">
      <c r="A9719" s="8" t="str">
        <f>"IMFEDK 2014 - 2014 International Meeting for Future of Electron Devices, Kansai"</f>
        <v>IMFEDK 2014 - 2014 International Meeting for Future of Electron Devices, Kansai</v>
      </c>
      <c r="B9719" s="8" t="str">
        <f>"9781479936144"</f>
        <v>9781479936144</v>
      </c>
      <c r="C9719" s="8" t="s">
        <v>105</v>
      </c>
    </row>
    <row r="9720" spans="1:3" x14ac:dyDescent="0.25">
      <c r="A9720" s="8" t="str">
        <f>"ImmersiveMe 2013 - Proceedings of the 2nd International Workshop on Immersive Media Experiences, Co-located with ACM Multimedia 2013"</f>
        <v>ImmersiveMe 2013 - Proceedings of the 2nd International Workshop on Immersive Media Experiences, Co-located with ACM Multimedia 2013</v>
      </c>
      <c r="B9720" s="8" t="str">
        <f>"9781450323970"</f>
        <v>9781450323970</v>
      </c>
      <c r="C9720" s="8" t="s">
        <v>21</v>
      </c>
    </row>
    <row r="9721" spans="1:3" x14ac:dyDescent="0.25">
      <c r="A9721" s="8" t="str">
        <f>"ImmersiveMe 2014 - Proceedings of the 2nd Workshop on Immersive Media Experiences, Workshop of MM 2014"</f>
        <v>ImmersiveMe 2014 - Proceedings of the 2nd Workshop on Immersive Media Experiences, Workshop of MM 2014</v>
      </c>
      <c r="B9721" s="8" t="str">
        <f>"9781450331227"</f>
        <v>9781450331227</v>
      </c>
      <c r="C9721" s="8" t="s">
        <v>1235</v>
      </c>
    </row>
    <row r="9722" spans="1:3" x14ac:dyDescent="0.25">
      <c r="A9722" s="8" t="str">
        <f>"IMMPD 2012 - Proceedings of the 2012 ACM Workshop on Interactive Multimedia on Mobile and Portable Devices, Co-located with ACM Multimedia 2012"</f>
        <v>IMMPD 2012 - Proceedings of the 2012 ACM Workshop on Interactive Multimedia on Mobile and Portable Devices, Co-located with ACM Multimedia 2012</v>
      </c>
      <c r="B9722" s="8" t="str">
        <f>"9781450315951"</f>
        <v>9781450315951</v>
      </c>
      <c r="C9722" s="8" t="s">
        <v>21</v>
      </c>
    </row>
    <row r="9723" spans="1:3" x14ac:dyDescent="0.25">
      <c r="A9723" s="8" t="str">
        <f>"IMMPD 2013 - Proceedings of the 3rd ACM International Workshop on Interactive Multimedia on Mobile and Portable Devices, Co-located with ACM Multimedia 2013"</f>
        <v>IMMPD 2013 - Proceedings of the 3rd ACM International Workshop on Interactive Multimedia on Mobile and Portable Devices, Co-located with ACM Multimedia 2013</v>
      </c>
      <c r="B9723" s="8" t="str">
        <f>"9781450323994"</f>
        <v>9781450323994</v>
      </c>
      <c r="C9723" s="8" t="s">
        <v>21</v>
      </c>
    </row>
    <row r="9724" spans="1:3" x14ac:dyDescent="0.25">
      <c r="A9724" s="8" t="str">
        <f>"IMPACT Conference 2009 International 3D IC Conference - Proceedings"</f>
        <v>IMPACT Conference 2009 International 3D IC Conference - Proceedings</v>
      </c>
      <c r="B9724" s="8" t="str">
        <f>"9781424443413"</f>
        <v>9781424443413</v>
      </c>
      <c r="C9724" s="8" t="s">
        <v>9</v>
      </c>
    </row>
    <row r="9725" spans="1:3" x14ac:dyDescent="0.25">
      <c r="A9725" s="8" t="str">
        <f>"Impact of Human Activity on the Geological Environment - Proceedings of the International Symposium of the International Society for Rock Mechanics, Eurock 2005"</f>
        <v>Impact of Human Activity on the Geological Environment - Proceedings of the International Symposium of the International Society for Rock Mechanics, Eurock 2005</v>
      </c>
      <c r="B9725" s="8" t="str">
        <f>"9780415380423"</f>
        <v>9780415380423</v>
      </c>
      <c r="C9725" s="8" t="s">
        <v>1558</v>
      </c>
    </row>
    <row r="9726" spans="1:3" x14ac:dyDescent="0.25">
      <c r="A9726" s="8" t="str">
        <f>"Impact of Technology on Sport II"</f>
        <v>Impact of Technology on Sport II</v>
      </c>
      <c r="B9726" s="8" t="str">
        <f>"9780415456951"</f>
        <v>9780415456951</v>
      </c>
      <c r="C9726" s="8" t="s">
        <v>1520</v>
      </c>
    </row>
    <row r="9727" spans="1:3" x14ac:dyDescent="0.25">
      <c r="A9727" s="8" t="str">
        <f>"Impact of Technology on Sport II"</f>
        <v>Impact of Technology on Sport II</v>
      </c>
      <c r="B9727" s="8" t="str">
        <f>"9780415456951"</f>
        <v>9780415456951</v>
      </c>
    </row>
    <row r="9728" spans="1:3" x14ac:dyDescent="0.25">
      <c r="A9728" s="8" t="str">
        <f>"IMPC 2006 - Proceedings of 23rd International Mineral Processing Congress"</f>
        <v>IMPC 2006 - Proceedings of 23rd International Mineral Processing Congress</v>
      </c>
      <c r="B9728" s="8" t="str">
        <f>"-"</f>
        <v>-</v>
      </c>
      <c r="C9728" s="8" t="s">
        <v>1485</v>
      </c>
    </row>
    <row r="9729" spans="1:3" x14ac:dyDescent="0.25">
      <c r="A9729" s="8" t="str">
        <f>"IMPC 2014 - 27th International Mineral Processing Congress"</f>
        <v>IMPC 2014 - 27th International Mineral Processing Congress</v>
      </c>
      <c r="B9729" s="8" t="str">
        <f>"-"</f>
        <v>-</v>
      </c>
      <c r="C9729" s="8" t="s">
        <v>1903</v>
      </c>
    </row>
    <row r="9730" spans="1:3" x14ac:dyDescent="0.25">
      <c r="A9730" s="8" t="str">
        <f>"Imperial College Computing Student Workshop - Proceedings of ICCSW'11"</f>
        <v>Imperial College Computing Student Workshop - Proceedings of ICCSW'11</v>
      </c>
      <c r="B9730" s="8" t="str">
        <f>"-"</f>
        <v>-</v>
      </c>
      <c r="C9730" s="8" t="s">
        <v>1904</v>
      </c>
    </row>
    <row r="9731" spans="1:3" x14ac:dyDescent="0.25">
      <c r="A9731" s="8" t="str">
        <f>"Improvement of Buildings' Structural Quality by New Technologies - Proceedings of the Final Conference of COST Action C12"</f>
        <v>Improvement of Buildings' Structural Quality by New Technologies - Proceedings of the Final Conference of COST Action C12</v>
      </c>
      <c r="B9731" s="8" t="str">
        <f>"9780415366090"</f>
        <v>9780415366090</v>
      </c>
      <c r="C9731" s="8" t="s">
        <v>1558</v>
      </c>
    </row>
    <row r="9732" spans="1:3" x14ac:dyDescent="0.25">
      <c r="A9732" s="8" t="str">
        <f>"Improvements in System Safety - Proceedings of the 16th Safety-Critical Systems Symposium, SSS 2008"</f>
        <v>Improvements in System Safety - Proceedings of the 16th Safety-Critical Systems Symposium, SSS 2008</v>
      </c>
      <c r="B9732" s="8" t="str">
        <f>"9781848000995"</f>
        <v>9781848000995</v>
      </c>
      <c r="C9732" s="8" t="s">
        <v>62</v>
      </c>
    </row>
    <row r="9733" spans="1:3" x14ac:dyDescent="0.25">
      <c r="A9733" s="8" t="str">
        <f>"Improving and Optimizing Operations: Things That Actually Work - Plant Operators' Forum 2004"</f>
        <v>Improving and Optimizing Operations: Things That Actually Work - Plant Operators' Forum 2004</v>
      </c>
      <c r="B9733" s="8" t="str">
        <f>"9780873352352"</f>
        <v>9780873352352</v>
      </c>
      <c r="C9733" s="8" t="s">
        <v>877</v>
      </c>
    </row>
    <row r="9734" spans="1:3" x14ac:dyDescent="0.25">
      <c r="A9734" s="8" t="str">
        <f>"Improving Indoor Air Quality: Practical Applications and Solutions"</f>
        <v>Improving Indoor Air Quality: Practical Applications and Solutions</v>
      </c>
      <c r="B9734" s="8" t="str">
        <f>"-"</f>
        <v>-</v>
      </c>
      <c r="C9734" s="8" t="s">
        <v>10</v>
      </c>
    </row>
    <row r="9735" spans="1:3" x14ac:dyDescent="0.25">
      <c r="A9735" s="8" t="str">
        <f>"Improving the Seismic Performance of Existing Buildings and Other Structures - Proc. 2009 ATC and SEI Conference on Improving the Seismic Performance of Existing Buildings and Other Structures"</f>
        <v>Improving the Seismic Performance of Existing Buildings and Other Structures - Proc. 2009 ATC and SEI Conference on Improving the Seismic Performance of Existing Buildings and Other Structures</v>
      </c>
      <c r="B9735" s="8" t="str">
        <f>"9780784410844"</f>
        <v>9780784410844</v>
      </c>
      <c r="C9735" s="8" t="s">
        <v>111</v>
      </c>
    </row>
    <row r="9736" spans="1:3" x14ac:dyDescent="0.25">
      <c r="A9736" s="8" t="str">
        <f>"IMS 2005 - Proceedings of the 2005 IEEE International Workshop on Measurement Systems for Homeland Security, Contraband Detection and Personal Safety"</f>
        <v>IMS 2005 - Proceedings of the 2005 IEEE International Workshop on Measurement Systems for Homeland Security, Contraband Detection and Personal Safety</v>
      </c>
      <c r="B9736" s="8" t="str">
        <f>"-"</f>
        <v>-</v>
      </c>
      <c r="C9736" s="8" t="s">
        <v>9</v>
      </c>
    </row>
    <row r="9737" spans="1:3" x14ac:dyDescent="0.25">
      <c r="A9737" s="8" t="str">
        <f>"IMS 2006 - Proceedings of the 2006 IEEE International Workshop on Measurement Systems for Homeland Security, Contraband Detection and Personal Safety"</f>
        <v>IMS 2006 - Proceedings of the 2006 IEEE International Workshop on Measurement Systems for Homeland Security, Contraband Detection and Personal Safety</v>
      </c>
      <c r="B9737" s="8" t="str">
        <f>"9781424402410"</f>
        <v>9781424402410</v>
      </c>
      <c r="C9737" s="8" t="s">
        <v>9</v>
      </c>
    </row>
    <row r="9738" spans="1:3" x14ac:dyDescent="0.25">
      <c r="A9738" s="8" t="str">
        <f>"IMSAA'08 - 2nd International Conference on Internet Multimedia Services Architecture and Application"</f>
        <v>IMSAA'08 - 2nd International Conference on Internet Multimedia Services Architecture and Application</v>
      </c>
      <c r="B9738" s="8" t="str">
        <f>"9781424426843"</f>
        <v>9781424426843</v>
      </c>
      <c r="C9738" s="8" t="s">
        <v>9</v>
      </c>
    </row>
    <row r="9739" spans="1:3" x14ac:dyDescent="0.25">
      <c r="A9739" s="8" t="str">
        <f>"IMSCI 2007 - International Multi-Conference on Society, Cybernetics and Informatics, Proceedings"</f>
        <v>IMSCI 2007 - International Multi-Conference on Society, Cybernetics and Informatics, Proceedings</v>
      </c>
      <c r="B9739" s="8" t="str">
        <f>"-"</f>
        <v>-</v>
      </c>
      <c r="C9739" s="8" t="s">
        <v>1502</v>
      </c>
    </row>
    <row r="9740" spans="1:3" x14ac:dyDescent="0.25">
      <c r="A9740" s="8" t="str">
        <f>"IMSCI 2008 - 2nd International Multi-Conference on Society, Cybernetics and Informatics, Proceedings"</f>
        <v>IMSCI 2008 - 2nd International Multi-Conference on Society, Cybernetics and Informatics, Proceedings</v>
      </c>
      <c r="B9740" s="8" t="str">
        <f>"-"</f>
        <v>-</v>
      </c>
      <c r="C9740" s="8" t="s">
        <v>1502</v>
      </c>
    </row>
    <row r="9741" spans="1:3" x14ac:dyDescent="0.25">
      <c r="A9741" s="8" t="str">
        <f>"IMSCI 2009 - 3rd International Multi-Conference on Society, Cybernetics and Informatics, Proceedings"</f>
        <v>IMSCI 2009 - 3rd International Multi-Conference on Society, Cybernetics and Informatics, Proceedings</v>
      </c>
      <c r="B9741" s="8" t="str">
        <f>"-"</f>
        <v>-</v>
      </c>
      <c r="C9741" s="8" t="s">
        <v>1502</v>
      </c>
    </row>
    <row r="9742" spans="1:3" x14ac:dyDescent="0.25">
      <c r="A9742" s="8" t="str">
        <f>"IMSCI 2010 - 4th International Multi-Conference on Society, Cybernetics and Informatics, Proceedings"</f>
        <v>IMSCI 2010 - 4th International Multi-Conference on Society, Cybernetics and Informatics, Proceedings</v>
      </c>
      <c r="B9742" s="8" t="str">
        <f>"-"</f>
        <v>-</v>
      </c>
      <c r="C9742" s="8" t="s">
        <v>1502</v>
      </c>
    </row>
    <row r="9743" spans="1:3" x14ac:dyDescent="0.25">
      <c r="A9743" s="8" t="str">
        <f>"IMSCI 2011 - 5th International Multi-Conference on Society, Cybernetics and Informatics, Proceedings"</f>
        <v>IMSCI 2011 - 5th International Multi-Conference on Society, Cybernetics and Informatics, Proceedings</v>
      </c>
      <c r="B9743" s="8" t="str">
        <f>"-"</f>
        <v>-</v>
      </c>
      <c r="C9743" s="8" t="s">
        <v>1502</v>
      </c>
    </row>
    <row r="9744" spans="1:3" x14ac:dyDescent="0.25">
      <c r="A9744" s="8" t="str">
        <f>"IMSCI 2012 - 6th International Multi-Conference on Society, Cybernetics and Informatics, Proceedings"</f>
        <v>IMSCI 2012 - 6th International Multi-Conference on Society, Cybernetics and Informatics, Proceedings</v>
      </c>
      <c r="B9744" s="8" t="str">
        <f>"9781936338733"</f>
        <v>9781936338733</v>
      </c>
      <c r="C9744" s="8" t="s">
        <v>1502</v>
      </c>
    </row>
    <row r="9745" spans="1:3" x14ac:dyDescent="0.25">
      <c r="A9745" s="8" t="str">
        <f>"IMSCI 2013 - 7th International Multi-Conference on Society, Cybernetics and Informatics, Proceedings"</f>
        <v>IMSCI 2013 - 7th International Multi-Conference on Society, Cybernetics and Informatics, Proceedings</v>
      </c>
      <c r="B9745" s="8" t="str">
        <f>"9781936338832"</f>
        <v>9781936338832</v>
      </c>
      <c r="C9745" s="8" t="s">
        <v>1502</v>
      </c>
    </row>
    <row r="9746" spans="1:3" x14ac:dyDescent="0.25">
      <c r="A9746" s="8" t="str">
        <f>"IMSCI 2014 - 8th International Multi-Conference on Society, Cybernetics and Informatics, Proceedings"</f>
        <v>IMSCI 2014 - 8th International Multi-Conference on Society, Cybernetics and Informatics, Proceedings</v>
      </c>
      <c r="B9746" s="8" t="str">
        <f>"9781941763063"</f>
        <v>9781941763063</v>
      </c>
      <c r="C9746" s="8" t="s">
        <v>1502</v>
      </c>
    </row>
    <row r="9747" spans="1:3" x14ac:dyDescent="0.25">
      <c r="A9747" s="8" t="str">
        <f>"IMVIP 2009 - 2009 International Machine Vision and Image Processing Conference"</f>
        <v>IMVIP 2009 - 2009 International Machine Vision and Image Processing Conference</v>
      </c>
      <c r="B9747" s="8" t="str">
        <f>"9780769537962"</f>
        <v>9780769537962</v>
      </c>
      <c r="C9747" s="8" t="s">
        <v>9</v>
      </c>
    </row>
    <row r="9748" spans="1:3" x14ac:dyDescent="0.25">
      <c r="A9748" s="8" t="str">
        <f>"In Memoriam Lilian Barros - Proceedings of the International Conference on Industrial Logistics, ICIL 2005"</f>
        <v>In Memoriam Lilian Barros - Proceedings of the International Conference on Industrial Logistics, ICIL 2005</v>
      </c>
      <c r="B9748" s="8" t="str">
        <f>"-"</f>
        <v>-</v>
      </c>
      <c r="C9748" s="8" t="s">
        <v>1905</v>
      </c>
    </row>
    <row r="9749" spans="1:3" x14ac:dyDescent="0.25">
      <c r="A9749" s="8" t="str">
        <f>"In Situ and On-Site Bioremediation-2009: Proceedings of the 10th International In Situ and On-Site Bioremediation Symposium"</f>
        <v>In Situ and On-Site Bioremediation-2009: Proceedings of the 10th International In Situ and On-Site Bioremediation Symposium</v>
      </c>
      <c r="B9749" s="8" t="str">
        <f>"9780981973012"</f>
        <v>9780981973012</v>
      </c>
      <c r="C9749" s="8" t="s">
        <v>1678</v>
      </c>
    </row>
    <row r="9750" spans="1:3" x14ac:dyDescent="0.25">
      <c r="A9750" s="8" t="str">
        <f>"Inaugural Asia Pacific Value Convention 2006: The World of Innovation - Incorporating the 8th HKIVM International Conference and the 11th Biennial Conference of IVMA"</f>
        <v>Inaugural Asia Pacific Value Convention 2006: The World of Innovation - Incorporating the 8th HKIVM International Conference and the 11th Biennial Conference of IVMA</v>
      </c>
      <c r="B9750" s="8" t="str">
        <f>"9781627481694"</f>
        <v>9781627481694</v>
      </c>
      <c r="C9750" s="8" t="s">
        <v>1580</v>
      </c>
    </row>
    <row r="9751" spans="1:3" x14ac:dyDescent="0.25">
      <c r="A9751" s="8" t="str">
        <f>"INC2010 - The International Conference on Networked Computing, Proceeding"</f>
        <v>INC2010 - The International Conference on Networked Computing, Proceeding</v>
      </c>
      <c r="B9751" s="8" t="str">
        <f>"9788988678206"</f>
        <v>9788988678206</v>
      </c>
      <c r="C9751" s="8" t="s">
        <v>9</v>
      </c>
    </row>
    <row r="9752" spans="1:3" x14ac:dyDescent="0.25">
      <c r="A9752" s="8" t="str">
        <f>"Inclusive Designing: Joining Usability, Accessibility, and Inclusion"</f>
        <v>Inclusive Designing: Joining Usability, Accessibility, and Inclusion</v>
      </c>
      <c r="B9752" s="8" t="str">
        <f>"9783319050942"</f>
        <v>9783319050942</v>
      </c>
      <c r="C9752" s="8" t="s">
        <v>62</v>
      </c>
    </row>
    <row r="9753" spans="1:3" x14ac:dyDescent="0.25">
      <c r="A9753" s="8" t="str">
        <f>"Incorporating Sustainable Practice in Mechanics of Structures and Materials - Proceedings of the 21st Australian Conference on the Mechanics of Structures and Materials"</f>
        <v>Incorporating Sustainable Practice in Mechanics of Structures and Materials - Proceedings of the 21st Australian Conference on the Mechanics of Structures and Materials</v>
      </c>
      <c r="B9753" s="8" t="str">
        <f>"9780415616577"</f>
        <v>9780415616577</v>
      </c>
      <c r="C9753" s="8" t="s">
        <v>1637</v>
      </c>
    </row>
    <row r="9754" spans="1:3" x14ac:dyDescent="0.25">
      <c r="A9754" s="8" t="str">
        <f>"INDA Association of the Nonwoven Fabrics Industry - INDA/TAPPI International Nonwovens Technical Conference 2009, INTC 2009"</f>
        <v>INDA Association of the Nonwoven Fabrics Industry - INDA/TAPPI International Nonwovens Technical Conference 2009, INTC 2009</v>
      </c>
      <c r="B9754" s="8" t="str">
        <f>"9781615675678"</f>
        <v>9781615675678</v>
      </c>
      <c r="C9754" s="8" t="s">
        <v>695</v>
      </c>
    </row>
    <row r="9755" spans="1:3" x14ac:dyDescent="0.25">
      <c r="A9755" s="8" t="str">
        <f>"INDA Association of the Nonwoven Fabrics Industry - International Nonwovens Technical Conference, INTC 2008"</f>
        <v>INDA Association of the Nonwoven Fabrics Industry - International Nonwovens Technical Conference, INTC 2008</v>
      </c>
      <c r="B9755" s="8" t="str">
        <f>"9781605607702"</f>
        <v>9781605607702</v>
      </c>
      <c r="C9755" s="8" t="s">
        <v>695</v>
      </c>
    </row>
    <row r="9756" spans="1:3" x14ac:dyDescent="0.25">
      <c r="A9756" s="8" t="str">
        <f>"India International Conference on Power Electronics, IICPE 2010"</f>
        <v>India International Conference on Power Electronics, IICPE 2010</v>
      </c>
      <c r="B9756" s="8" t="str">
        <f>"9781424478835"</f>
        <v>9781424478835</v>
      </c>
      <c r="C9756" s="8" t="s">
        <v>9</v>
      </c>
    </row>
    <row r="9757" spans="1:3" x14ac:dyDescent="0.25">
      <c r="A9757" s="8" t="str">
        <f>"Indiana State University - 21st Biennial Workshop on Aerial Photography, Videography and High Resolution Digital Imagery for Resource Assessment 2007"</f>
        <v>Indiana State University - 21st Biennial Workshop on Aerial Photography, Videography and High Resolution Digital Imagery for Resource Assessment 2007</v>
      </c>
      <c r="B9757" s="8" t="str">
        <f>"9781605603759"</f>
        <v>9781605603759</v>
      </c>
      <c r="C9757" s="8" t="s">
        <v>1906</v>
      </c>
    </row>
    <row r="9758" spans="1:3" x14ac:dyDescent="0.25">
      <c r="A9758" s="8" t="str">
        <f>"Indoor Air 2014 - 13th International Conference on Indoor Air Quality and Climate"</f>
        <v>Indoor Air 2014 - 13th International Conference on Indoor Air Quality and Climate</v>
      </c>
      <c r="B9758" s="8" t="str">
        <f>"-"</f>
        <v>-</v>
      </c>
      <c r="C9758" s="8" t="s">
        <v>1205</v>
      </c>
    </row>
    <row r="9759" spans="1:3" x14ac:dyDescent="0.25">
      <c r="A9759" s="8" t="str">
        <f>"Indo-U.S. Forensic Practices: Investigation Techniques and Technology"</f>
        <v>Indo-U.S. Forensic Practices: Investigation Techniques and Technology</v>
      </c>
      <c r="B9759" s="8" t="str">
        <f>"9780784411490"</f>
        <v>9780784411490</v>
      </c>
      <c r="C9759" s="8" t="s">
        <v>111</v>
      </c>
    </row>
    <row r="9760" spans="1:3" x14ac:dyDescent="0.25">
      <c r="A9760" s="8" t="str">
        <f>"Industrial Embedded Systems - IES'2006"</f>
        <v>Industrial Embedded Systems - IES'2006</v>
      </c>
      <c r="B9760" s="8" t="str">
        <f>"9781424407774"</f>
        <v>9781424407774</v>
      </c>
      <c r="C9760" s="8" t="s">
        <v>9</v>
      </c>
    </row>
    <row r="9761" spans="1:3" x14ac:dyDescent="0.25">
      <c r="A9761" s="8" t="str">
        <f>"Industrial Engineering and Manufacturing Technology - Proceedings of the 2014 International Conference on Industrial Engineering and Manufacturing Technology, ICIEMT 2014"</f>
        <v>Industrial Engineering and Manufacturing Technology - Proceedings of the 2014 International Conference on Industrial Engineering and Manufacturing Technology, ICIEMT 2014</v>
      </c>
      <c r="B9761" s="8" t="str">
        <f>"9781138026605"</f>
        <v>9781138026605</v>
      </c>
      <c r="C9761" s="8" t="s">
        <v>1635</v>
      </c>
    </row>
    <row r="9762" spans="1:3" x14ac:dyDescent="0.25">
      <c r="A9762" s="8" t="str">
        <f>"Industrial Network Security - Challenges and Solutions Conference Proceedings"</f>
        <v>Industrial Network Security - Challenges and Solutions Conference Proceedings</v>
      </c>
      <c r="B9762" s="8" t="str">
        <f>"9781556178115"</f>
        <v>9781556178115</v>
      </c>
      <c r="C9762" s="8" t="s">
        <v>1907</v>
      </c>
    </row>
    <row r="9763" spans="1:3" x14ac:dyDescent="0.25">
      <c r="A9763" s="8" t="str">
        <f>"Industrial, Mechanical and Manufacturing Science - Proceedings of the 2014 International Conference on Industrial, Mechanical and Manufacturing Science, ICIMMS 2014"</f>
        <v>Industrial, Mechanical and Manufacturing Science - Proceedings of the 2014 International Conference on Industrial, Mechanical and Manufacturing Science, ICIMMS 2014</v>
      </c>
      <c r="B9763" s="8" t="str">
        <f>"9781138026568"</f>
        <v>9781138026568</v>
      </c>
      <c r="C9763" s="8" t="s">
        <v>1635</v>
      </c>
    </row>
    <row r="9764" spans="1:3" x14ac:dyDescent="0.25">
      <c r="A9764" s="8" t="str">
        <f>"Industry Day'12 - Proceedings of the ACM SIGSOFT Symposium"</f>
        <v>Industry Day'12 - Proceedings of the ACM SIGSOFT Symposium</v>
      </c>
      <c r="B9764" s="8" t="str">
        <f>"9781450313490"</f>
        <v>9781450313490</v>
      </c>
      <c r="C9764" s="8" t="s">
        <v>21</v>
      </c>
    </row>
    <row r="9765" spans="1:3" x14ac:dyDescent="0.25">
      <c r="A9765" s="8" t="str">
        <f>"inec 2002: The Marine Engineer in the Electronic Age - Conference Proceedings"</f>
        <v>inec 2002: The Marine Engineer in the Electronic Age - Conference Proceedings</v>
      </c>
      <c r="B9765" s="8" t="str">
        <f>"9781902536484"</f>
        <v>9781902536484</v>
      </c>
      <c r="C9765" s="8" t="s">
        <v>301</v>
      </c>
    </row>
    <row r="9766" spans="1:3" x14ac:dyDescent="0.25">
      <c r="A9766" s="8" t="str">
        <f>"INEC 2010 - 2010 3rd International Nanoelectronics Conference, Proceedings"</f>
        <v>INEC 2010 - 2010 3rd International Nanoelectronics Conference, Proceedings</v>
      </c>
      <c r="B9766" s="8" t="str">
        <f>"9781424435449"</f>
        <v>9781424435449</v>
      </c>
      <c r="C9766" s="8" t="s">
        <v>9</v>
      </c>
    </row>
    <row r="9767" spans="1:3" x14ac:dyDescent="0.25">
      <c r="A9767" s="8" t="str">
        <f>"INEC 2012 - 11th International Naval Engineering Conference and Exhibition"</f>
        <v>INEC 2012 - 11th International Naval Engineering Conference and Exhibition</v>
      </c>
      <c r="B9767" s="8" t="str">
        <f>"-"</f>
        <v>-</v>
      </c>
      <c r="C9767" s="8" t="s">
        <v>301</v>
      </c>
    </row>
    <row r="9768" spans="1:3" x14ac:dyDescent="0.25">
      <c r="A9768" s="8" t="str">
        <f>"InECCE 2011 - International Conference on Electrical, Control and Computer Engineering"</f>
        <v>InECCE 2011 - International Conference on Electrical, Control and Computer Engineering</v>
      </c>
      <c r="B9768" s="8" t="str">
        <f>"9781612842288"</f>
        <v>9781612842288</v>
      </c>
      <c r="C9768" s="8" t="s">
        <v>9</v>
      </c>
    </row>
    <row r="9769" spans="1:3" x14ac:dyDescent="0.25">
      <c r="A9769" s="8" t="str">
        <f>"Inertial Fusion Sciences and Applications 2003"</f>
        <v>Inertial Fusion Sciences and Applications 2003</v>
      </c>
      <c r="B9769" s="8" t="str">
        <f>"9780894486869"</f>
        <v>9780894486869</v>
      </c>
      <c r="C9769" s="8" t="s">
        <v>453</v>
      </c>
    </row>
    <row r="9770" spans="1:3" x14ac:dyDescent="0.25">
      <c r="A9770" s="8" t="str">
        <f>"INES 2006: 10th International Conference on Intelligent Engineering Systems 2006"</f>
        <v>INES 2006: 10th International Conference on Intelligent Engineering Systems 2006</v>
      </c>
      <c r="B9770" s="8" t="str">
        <f>"9780780397088"</f>
        <v>9780780397088</v>
      </c>
      <c r="C9770" s="8" t="s">
        <v>9</v>
      </c>
    </row>
    <row r="9771" spans="1:3" x14ac:dyDescent="0.25">
      <c r="A9771" s="8" t="str">
        <f>"INES 2007 - 11th International Conference on Intelligent Engineering Systems, Proceedings"</f>
        <v>INES 2007 - 11th International Conference on Intelligent Engineering Systems, Proceedings</v>
      </c>
      <c r="B9771" s="8" t="str">
        <f>"9781424411474"</f>
        <v>9781424411474</v>
      </c>
      <c r="C9771" s="8" t="s">
        <v>9</v>
      </c>
    </row>
    <row r="9772" spans="1:3" x14ac:dyDescent="0.25">
      <c r="A9772" s="8" t="str">
        <f>"INES 2010 - 14th International Conference on Intelligent Engineering Systems, Proceedings"</f>
        <v>INES 2010 - 14th International Conference on Intelligent Engineering Systems, Proceedings</v>
      </c>
      <c r="B9772" s="8" t="str">
        <f>"9781424476527"</f>
        <v>9781424476527</v>
      </c>
      <c r="C9772" s="8" t="s">
        <v>9</v>
      </c>
    </row>
    <row r="9773" spans="1:3" x14ac:dyDescent="0.25">
      <c r="A9773" s="8" t="str">
        <f>"INES 2011 - 15th International Conference on Intelligent Engineering Systems, Proceedings"</f>
        <v>INES 2011 - 15th International Conference on Intelligent Engineering Systems, Proceedings</v>
      </c>
      <c r="B9773" s="8" t="str">
        <f>"9781424489565"</f>
        <v>9781424489565</v>
      </c>
      <c r="C9773" s="8" t="s">
        <v>9</v>
      </c>
    </row>
    <row r="9774" spans="1:3" x14ac:dyDescent="0.25">
      <c r="A9774" s="8" t="str">
        <f>"INES 2012 - IEEE 16th International Conference on Intelligent Engineering Systems, Proceedings"</f>
        <v>INES 2012 - IEEE 16th International Conference on Intelligent Engineering Systems, Proceedings</v>
      </c>
      <c r="B9774" s="8" t="str">
        <f>"9781467326957"</f>
        <v>9781467326957</v>
      </c>
      <c r="C9774" s="8" t="s">
        <v>9</v>
      </c>
    </row>
    <row r="9775" spans="1:3" x14ac:dyDescent="0.25">
      <c r="A9775" s="8" t="str">
        <f>"INES 2013 - IEEE 17th International Conference on Intelligent Engineering Systems, Proceedings"</f>
        <v>INES 2013 - IEEE 17th International Conference on Intelligent Engineering Systems, Proceedings</v>
      </c>
      <c r="B9775" s="8" t="str">
        <f>"9781479908288"</f>
        <v>9781479908288</v>
      </c>
      <c r="C9775" s="8" t="s">
        <v>9</v>
      </c>
    </row>
    <row r="9776" spans="1:3" x14ac:dyDescent="0.25">
      <c r="A9776" s="8" t="str">
        <f>"INES 2014 - IEEE 18th International Conference on Intelligent Engineering Systems, Proceedings"</f>
        <v>INES 2014 - IEEE 18th International Conference on Intelligent Engineering Systems, Proceedings</v>
      </c>
      <c r="B9776" s="8" t="str">
        <f>"9781479946150"</f>
        <v>9781479946150</v>
      </c>
      <c r="C9776" s="8" t="s">
        <v>105</v>
      </c>
    </row>
    <row r="9777" spans="1:3" x14ac:dyDescent="0.25">
      <c r="A9777" s="8" t="str">
        <f>"INES'05: IEEE 9th International Conference on Intelligent Engineering Systems - Proceedings"</f>
        <v>INES'05: IEEE 9th International Conference on Intelligent Engineering Systems - Proceedings</v>
      </c>
      <c r="B9777" s="8" t="str">
        <f>"-"</f>
        <v>-</v>
      </c>
      <c r="C9777" s="8" t="s">
        <v>9</v>
      </c>
    </row>
    <row r="9778" spans="1:3" x14ac:dyDescent="0.25">
      <c r="A9778" s="8" t="str">
        <f>"Informal Proceedings of the 11th International Workshop of Electronics, Control, Measurement, Signals and Their Application to Mechatronics, ECMSM 2013"</f>
        <v>Informal Proceedings of the 11th International Workshop of Electronics, Control, Measurement, Signals and Their Application to Mechatronics, ECMSM 2013</v>
      </c>
      <c r="B9778" s="8" t="str">
        <f>"97811467362979"</f>
        <v>97811467362979</v>
      </c>
      <c r="C9778" s="8" t="s">
        <v>9</v>
      </c>
    </row>
    <row r="9779" spans="1:3" x14ac:dyDescent="0.25">
      <c r="A9779" s="8" t="str">
        <f>"INFORMATIK 2005 - Informatik LIVE!, Beitrage der 35. Jahrestagung der Gesellschaft fur Informatik e.V. (GI)"</f>
        <v>INFORMATIK 2005 - Informatik LIVE!, Beitrage der 35. Jahrestagung der Gesellschaft fur Informatik e.V. (GI)</v>
      </c>
      <c r="B9779" s="8" t="str">
        <f>"-"</f>
        <v>-</v>
      </c>
      <c r="C9779" s="8" t="s">
        <v>833</v>
      </c>
    </row>
    <row r="9780" spans="1:3" x14ac:dyDescent="0.25">
      <c r="A9780" s="8" t="str">
        <f>"INFORMATIK 2006 - Informatik fur Menschen, Beitrage der 36. Jahrestagung der Gesellschaft fur Informatik e.V. (GI)"</f>
        <v>INFORMATIK 2006 - Informatik fur Menschen, Beitrage der 36. Jahrestagung der Gesellschaft fur Informatik e.V. (GI)</v>
      </c>
      <c r="B9780" s="8" t="str">
        <f>"-"</f>
        <v>-</v>
      </c>
      <c r="C9780" s="8" t="s">
        <v>833</v>
      </c>
    </row>
    <row r="9781" spans="1:3" x14ac:dyDescent="0.25">
      <c r="A9781" s="8" t="str">
        <f>"INFORMATIK 2007 - Informatik Trifft Logistik, Beitrage der 37. Jahrestagung der Gesellschaft fur Informatik e.V. (GI)"</f>
        <v>INFORMATIK 2007 - Informatik Trifft Logistik, Beitrage der 37. Jahrestagung der Gesellschaft fur Informatik e.V. (GI)</v>
      </c>
      <c r="B9781" s="8" t="str">
        <f>"-"</f>
        <v>-</v>
      </c>
      <c r="C9781" s="8" t="s">
        <v>833</v>
      </c>
    </row>
    <row r="9782" spans="1:3" x14ac:dyDescent="0.25">
      <c r="A9782" s="8" t="str">
        <f>"INFORMATIK 2008 - Beherrschbare Systeme - Dank Informatik, Beitrage der 38. Jahrestagung der Gesellschaft fur Informatik e.V. (GI)"</f>
        <v>INFORMATIK 2008 - Beherrschbare Systeme - Dank Informatik, Beitrage der 38. Jahrestagung der Gesellschaft fur Informatik e.V. (GI)</v>
      </c>
      <c r="B9782" s="8" t="str">
        <f>"-"</f>
        <v>-</v>
      </c>
      <c r="C9782" s="8" t="s">
        <v>833</v>
      </c>
    </row>
    <row r="9783" spans="1:3" x14ac:dyDescent="0.25">
      <c r="A9783" s="8" t="str">
        <f>"INFORMATIK 2009 - Im Focus das Leben, Beitrage der 39. Jahrestagung der Gesellschaft fur Informatik e.V. (GI)"</f>
        <v>INFORMATIK 2009 - Im Focus das Leben, Beitrage der 39. Jahrestagung der Gesellschaft fur Informatik e.V. (GI)</v>
      </c>
      <c r="B9783" s="8" t="str">
        <f>"9783885792482"</f>
        <v>9783885792482</v>
      </c>
      <c r="C9783" s="8" t="s">
        <v>833</v>
      </c>
    </row>
    <row r="9784" spans="1:3" x14ac:dyDescent="0.25">
      <c r="A9784" s="8" t="str">
        <f>"INFORMATIK 2010 - Business Process and Service Science, Proceedings of ISSS and BPSC"</f>
        <v>INFORMATIK 2010 - Business Process and Service Science, Proceedings of ISSS and BPSC</v>
      </c>
      <c r="B9784" s="8" t="str">
        <f>"9783885792710"</f>
        <v>9783885792710</v>
      </c>
      <c r="C9784" s="8" t="s">
        <v>833</v>
      </c>
    </row>
    <row r="9785" spans="1:3" x14ac:dyDescent="0.25">
      <c r="A9785" s="8" t="str">
        <f>"INFORMATIK 2010 - Service Science - Neue Perspektiven fur die Informatik, Beitrage der 40. Jahrestagung der Gesellschaft fur Informatik e.V. (GI)"</f>
        <v>INFORMATIK 2010 - Service Science - Neue Perspektiven fur die Informatik, Beitrage der 40. Jahrestagung der Gesellschaft fur Informatik e.V. (GI)</v>
      </c>
      <c r="B9785" s="8" t="str">
        <f>"-"</f>
        <v>-</v>
      </c>
      <c r="C9785" s="8" t="s">
        <v>833</v>
      </c>
    </row>
    <row r="9786" spans="1:3" x14ac:dyDescent="0.25">
      <c r="A9786" s="8" t="str">
        <f>"Information Management in the Modern Organizations: Trends and Solutions - Proceedings of the 9th International Business Information Management Association Conference"</f>
        <v>Information Management in the Modern Organizations: Trends and Solutions - Proceedings of the 9th International Business Information Management Association Conference</v>
      </c>
      <c r="B9786" s="8" t="str">
        <f>"9780975339381"</f>
        <v>9780975339381</v>
      </c>
      <c r="C9786" s="8" t="s">
        <v>1760</v>
      </c>
    </row>
    <row r="9787" spans="1:3" x14ac:dyDescent="0.25">
      <c r="A9787" s="8" t="str">
        <f>"Information Optoelectronics, Nanofabrication and Testing, IONT 2012"</f>
        <v>Information Optoelectronics, Nanofabrication and Testing, IONT 2012</v>
      </c>
      <c r="B9787" s="8" t="str">
        <f>"-"</f>
        <v>-</v>
      </c>
      <c r="C9787" s="8" t="s">
        <v>86</v>
      </c>
    </row>
    <row r="9788" spans="1:3" x14ac:dyDescent="0.25">
      <c r="A9788" s="8" t="str">
        <f>"Information Systems and Collaboration: State of the Art and Perspectives - Best Papers of the 11th International Conference of the Association Information and Management, AIM 2006"</f>
        <v>Information Systems and Collaboration: State of the Art and Perspectives - Best Papers of the 11th International Conference of the Association Information and Management, AIM 2006</v>
      </c>
      <c r="B9788" s="8" t="str">
        <f>"9783885791867"</f>
        <v>9783885791867</v>
      </c>
      <c r="C9788" s="8" t="s">
        <v>1243</v>
      </c>
    </row>
    <row r="9789" spans="1:3" x14ac:dyDescent="0.25">
      <c r="A9789" s="8" t="str">
        <f>"Information Systems and Computing Technology - Proceedings of the International Conference on Information Systems and Computing Technology, ISCT 2013"</f>
        <v>Information Systems and Computing Technology - Proceedings of the International Conference on Information Systems and Computing Technology, ISCT 2013</v>
      </c>
      <c r="B9789" s="8" t="str">
        <f>"-"</f>
        <v>-</v>
      </c>
      <c r="C9789" s="8" t="s">
        <v>1635</v>
      </c>
    </row>
    <row r="9790" spans="1:3" x14ac:dyDescent="0.25">
      <c r="A9790" s="8" t="str">
        <f>"Information Systems Development - Business Systems and Services: Modeling and Development"</f>
        <v>Information Systems Development - Business Systems and Services: Modeling and Development</v>
      </c>
      <c r="B9790" s="8" t="str">
        <f>"9781441996459"</f>
        <v>9781441996459</v>
      </c>
      <c r="C9790" s="8" t="s">
        <v>834</v>
      </c>
    </row>
    <row r="9791" spans="1:3" x14ac:dyDescent="0.25">
      <c r="A9791" s="8" t="str">
        <f>"Information Systems Development: Asian Experiences"</f>
        <v>Information Systems Development: Asian Experiences</v>
      </c>
      <c r="B9791" s="8" t="str">
        <f>"9781441972057"</f>
        <v>9781441972057</v>
      </c>
      <c r="C9791" s="8" t="s">
        <v>834</v>
      </c>
    </row>
    <row r="9792" spans="1:3" x14ac:dyDescent="0.25">
      <c r="A9792" s="8" t="str">
        <f>"Information Systems Development: Reflections, Challenges and New Directions"</f>
        <v>Information Systems Development: Reflections, Challenges and New Directions</v>
      </c>
      <c r="B9792" s="8" t="str">
        <f>"9781461449508"</f>
        <v>9781461449508</v>
      </c>
      <c r="C9792" s="8" t="s">
        <v>57</v>
      </c>
    </row>
    <row r="9793" spans="1:3" x14ac:dyDescent="0.25">
      <c r="A9793" s="8" t="str">
        <f>"Information Systems Development: Towards a Service Provision Society"</f>
        <v>Information Systems Development: Towards a Service Provision Society</v>
      </c>
      <c r="B9793" s="8" t="str">
        <f>"9780387848099"</f>
        <v>9780387848099</v>
      </c>
      <c r="C9793" s="8" t="s">
        <v>834</v>
      </c>
    </row>
    <row r="9794" spans="1:3" x14ac:dyDescent="0.25">
      <c r="A9794" s="8" t="str">
        <f>"Information Systems Development: Transforming Organisations and Society Through Information Systems - Proceedings of the 23rd International Conference on Information Systems Development, ISD 2014"</f>
        <v>Information Systems Development: Transforming Organisations and Society Through Information Systems - Proceedings of the 23rd International Conference on Information Systems Development, ISD 2014</v>
      </c>
      <c r="B9794" s="8" t="str">
        <f>"9789536071432"</f>
        <v>9789536071432</v>
      </c>
      <c r="C9794" s="8" t="s">
        <v>1908</v>
      </c>
    </row>
    <row r="9795" spans="1:3" x14ac:dyDescent="0.25">
      <c r="A9795" s="8" t="str">
        <f>"Information Technology and Applications - Proceedings of the 2014 International Conference on Information technology and Applications, ITA 2014"</f>
        <v>Information Technology and Applications - Proceedings of the 2014 International Conference on Information technology and Applications, ITA 2014</v>
      </c>
      <c r="B9795" s="8" t="str">
        <f>"9781138026773"</f>
        <v>9781138026773</v>
      </c>
      <c r="C9795" s="8" t="s">
        <v>1635</v>
      </c>
    </row>
    <row r="9796" spans="1:3" x14ac:dyDescent="0.25">
      <c r="A9796" s="8" t="str">
        <f>"Information Technology and Computer Application Engineering - Proceedings of the 2013 International Conference on Information Technology and Computer Application Engineering, ITCAE 2013"</f>
        <v>Information Technology and Computer Application Engineering - Proceedings of the 2013 International Conference on Information Technology and Computer Application Engineering, ITCAE 2013</v>
      </c>
      <c r="B9796" s="8" t="str">
        <f>"9781138000797"</f>
        <v>9781138000797</v>
      </c>
      <c r="C9796" s="8" t="s">
        <v>1619</v>
      </c>
    </row>
    <row r="9797" spans="1:3" x14ac:dyDescent="0.25">
      <c r="A9797" s="8" t="str">
        <f>"Information Theory and Applications Workshop, ITA 2009"</f>
        <v>Information Theory and Applications Workshop, ITA 2009</v>
      </c>
      <c r="B9797" s="8" t="str">
        <f>"9781424439904"</f>
        <v>9781424439904</v>
      </c>
      <c r="C9797" s="8" t="s">
        <v>9</v>
      </c>
    </row>
    <row r="9798" spans="1:3" x14ac:dyDescent="0.25">
      <c r="A9798" s="8" t="str">
        <f>"Information Wants to be a Topic Map: 6th International Conference on Topic Maps Research and Applications, TMRA 2010"</f>
        <v>Information Wants to be a Topic Map: 6th International Conference on Topic Maps Research and Applications, TMRA 2010</v>
      </c>
      <c r="B9798" s="8" t="str">
        <f>"9783941608115"</f>
        <v>9783941608115</v>
      </c>
      <c r="C9798" s="8" t="s">
        <v>1909</v>
      </c>
    </row>
    <row r="9799" spans="1:3" x14ac:dyDescent="0.25">
      <c r="A9799" s="8" t="str">
        <f>"INFORSID 2005: Actes du XXIIIeme Congres Informatique des Organisations et Systemes d'Information et de Decision"</f>
        <v>INFORSID 2005: Actes du XXIIIeme Congres Informatique des Organisations et Systemes d'Information et de Decision</v>
      </c>
      <c r="B9799" s="8" t="str">
        <f>"-"</f>
        <v>-</v>
      </c>
      <c r="C9799" s="8" t="s">
        <v>1628</v>
      </c>
    </row>
    <row r="9800" spans="1:3" x14ac:dyDescent="0.25">
      <c r="A9800" s="8" t="str">
        <f>"INFORSID 2014 - Actes du 7e Forum Jeunes Chercheurs du Congres INFORSID"</f>
        <v>INFORSID 2014 - Actes du 7e Forum Jeunes Chercheurs du Congres INFORSID</v>
      </c>
      <c r="B9800" s="8" t="str">
        <f>"9781632666963"</f>
        <v>9781632666963</v>
      </c>
      <c r="C9800" s="8" t="s">
        <v>1628</v>
      </c>
    </row>
    <row r="9801" spans="1:3" x14ac:dyDescent="0.25">
      <c r="A9801" s="8" t="str">
        <f>"INFOS2010 - 2010 7th International Conference on Informatics and Systems"</f>
        <v>INFOS2010 - 2010 7th International Conference on Informatics and Systems</v>
      </c>
      <c r="B9801" s="8" t="str">
        <f>"9789774033964"</f>
        <v>9789774033964</v>
      </c>
      <c r="C9801" s="8" t="s">
        <v>9</v>
      </c>
    </row>
    <row r="9802" spans="1:3" x14ac:dyDescent="0.25">
      <c r="A9802" s="8" t="str">
        <f>"InfoSecCD'07: Proceedings of the 4th Annual Conference on Information Security Curriculum Development"</f>
        <v>InfoSecCD'07: Proceedings of the 4th Annual Conference on Information Security Curriculum Development</v>
      </c>
      <c r="B9802" s="8" t="str">
        <f>"9781595939098"</f>
        <v>9781595939098</v>
      </c>
      <c r="C9802" s="8" t="s">
        <v>21</v>
      </c>
    </row>
    <row r="9803" spans="1:3" x14ac:dyDescent="0.25">
      <c r="A9803" s="8" t="str">
        <f>"Infrastructure for Low-Income Communities: Proceedings of the 16th WEDC Conference"</f>
        <v>Infrastructure for Low-Income Communities: Proceedings of the 16th WEDC Conference</v>
      </c>
      <c r="B9803" s="8" t="str">
        <f>"9780906055267"</f>
        <v>9780906055267</v>
      </c>
      <c r="C9803" s="8" t="s">
        <v>1486</v>
      </c>
    </row>
    <row r="9804" spans="1:3" x14ac:dyDescent="0.25">
      <c r="A9804" s="8" t="str">
        <f>"Infrastructure, Environment, Water and People: Proceedings of the 17th WEDC Conference"</f>
        <v>Infrastructure, Environment, Water and People: Proceedings of the 17th WEDC Conference</v>
      </c>
      <c r="B9804" s="8" t="str">
        <f>"9780906055274"</f>
        <v>9780906055274</v>
      </c>
      <c r="C9804" s="8" t="s">
        <v>1486</v>
      </c>
    </row>
    <row r="9805" spans="1:3" x14ac:dyDescent="0.25">
      <c r="A9805" s="8" t="str">
        <f>"INICA 2007 International Conference on Antennas - Proceedings"</f>
        <v>INICA 2007 International Conference on Antennas - Proceedings</v>
      </c>
      <c r="B9805" s="8" t="str">
        <f>"9783000216435"</f>
        <v>9783000216435</v>
      </c>
      <c r="C9805" s="8" t="s">
        <v>9</v>
      </c>
    </row>
    <row r="9806" spans="1:3" x14ac:dyDescent="0.25">
      <c r="A9806" s="8" t="str">
        <f>"INISTA 2011 - 2011 International Symposium on INnovations in Intelligent SysTems and Applications"</f>
        <v>INISTA 2011 - 2011 International Symposium on INnovations in Intelligent SysTems and Applications</v>
      </c>
      <c r="B9806" s="8" t="str">
        <f>"9781612849195"</f>
        <v>9781612849195</v>
      </c>
      <c r="C9806" s="8" t="s">
        <v>9</v>
      </c>
    </row>
    <row r="9807" spans="1:3" x14ac:dyDescent="0.25">
      <c r="A9807" s="8" t="str">
        <f>"INISTA 2012 - International Symposium on INnovations in Intelligent SysTems and Applications"</f>
        <v>INISTA 2012 - International Symposium on INnovations in Intelligent SysTems and Applications</v>
      </c>
      <c r="B9807" s="8" t="str">
        <f>"9781467314466"</f>
        <v>9781467314466</v>
      </c>
      <c r="C9807" s="8" t="s">
        <v>9</v>
      </c>
    </row>
    <row r="9808" spans="1:3" x14ac:dyDescent="0.25">
      <c r="A9808" s="8" t="str">
        <f>"INLG 2008 - 5th International Natural Language Generation Conference, Proceedings of the Conference"</f>
        <v>INLG 2008 - 5th International Natural Language Generation Conference, Proceedings of the Conference</v>
      </c>
      <c r="B9808" s="8" t="str">
        <f>"-"</f>
        <v>-</v>
      </c>
      <c r="C9808" s="8" t="s">
        <v>554</v>
      </c>
    </row>
    <row r="9809" spans="1:3" x14ac:dyDescent="0.25">
      <c r="A9809" s="8" t="str">
        <f>"INLG 2010 - Proceedings of the 6th International Natural Language Generation Conference"</f>
        <v>INLG 2010 - Proceedings of the 6th International Natural Language Generation Conference</v>
      </c>
      <c r="B9809" s="8" t="str">
        <f>"-"</f>
        <v>-</v>
      </c>
      <c r="C9809" s="8" t="s">
        <v>554</v>
      </c>
    </row>
    <row r="9810" spans="1:3" x14ac:dyDescent="0.25">
      <c r="A9810" s="8" t="str">
        <f>"INMIC 2002 - International Multi Topic Conference 2002"</f>
        <v>INMIC 2002 - International Multi Topic Conference 2002</v>
      </c>
      <c r="B9810" s="8" t="str">
        <f>"9780780377158"</f>
        <v>9780780377158</v>
      </c>
      <c r="C9810" s="8" t="s">
        <v>105</v>
      </c>
    </row>
    <row r="9811" spans="1:3" x14ac:dyDescent="0.25">
      <c r="A9811" s="8" t="str">
        <f>"INMIC 2009 - 2009 IEEE 13th International Multitopic Conference"</f>
        <v>INMIC 2009 - 2009 IEEE 13th International Multitopic Conference</v>
      </c>
      <c r="B9811" s="8" t="str">
        <f>"9781424448722"</f>
        <v>9781424448722</v>
      </c>
      <c r="C9811" s="8" t="s">
        <v>9</v>
      </c>
    </row>
    <row r="9812" spans="1:3" x14ac:dyDescent="0.25">
      <c r="A9812" s="8" t="str">
        <f>"INMIC2007 - 11th IEEE International Multitopic Conference"</f>
        <v>INMIC2007 - 11th IEEE International Multitopic Conference</v>
      </c>
      <c r="B9812" s="8" t="str">
        <f>"9781424415533"</f>
        <v>9781424415533</v>
      </c>
      <c r="C9812" s="8" t="s">
        <v>9</v>
      </c>
    </row>
    <row r="9813" spans="1:3" x14ac:dyDescent="0.25">
      <c r="A9813" s="8" t="str">
        <f>"INMMIC 2008 - Workshop on Integrated Nonlinear Microwave and Milimetre-Wave Circuits, Proceedings"</f>
        <v>INMMIC 2008 - Workshop on Integrated Nonlinear Microwave and Milimetre-Wave Circuits, Proceedings</v>
      </c>
      <c r="B9813" s="8" t="str">
        <f>"9781424426461"</f>
        <v>9781424426461</v>
      </c>
      <c r="C9813" s="8" t="s">
        <v>9</v>
      </c>
    </row>
    <row r="9814" spans="1:3" x14ac:dyDescent="0.25">
      <c r="A9814" s="8" t="str">
        <f>"INNOV 2010 - Proceedings of the Multi-Conference on Innovative Developments in ICT"</f>
        <v>INNOV 2010 - Proceedings of the Multi-Conference on Innovative Developments in ICT</v>
      </c>
      <c r="B9814" s="8" t="str">
        <f>"9789898425157"</f>
        <v>9789898425157</v>
      </c>
      <c r="C9814" s="8" t="s">
        <v>1197</v>
      </c>
    </row>
    <row r="9815" spans="1:3" x14ac:dyDescent="0.25">
      <c r="A9815" s="8" t="str">
        <f>"Innovation and Knowledge Management in Business Globalization: Theory and Practice - Proceedings of the 10th International Business Information Management Association Conference"</f>
        <v>Innovation and Knowledge Management in Business Globalization: Theory and Practice - Proceedings of the 10th International Business Information Management Association Conference</v>
      </c>
      <c r="B9815" s="8" t="str">
        <f>"9780975339398"</f>
        <v>9780975339398</v>
      </c>
      <c r="C9815" s="8" t="s">
        <v>1760</v>
      </c>
    </row>
    <row r="9816" spans="1:3" x14ac:dyDescent="0.25">
      <c r="A9816" s="8" t="str">
        <f>"Innovation and Knowledge Management in Twin Track Economies Challenges and Solutions - Proceedings of the 11th International Business Information Management Association Conference, IBIMA 2009"</f>
        <v>Innovation and Knowledge Management in Twin Track Economies Challenges and Solutions - Proceedings of the 11th International Business Information Management Association Conference, IBIMA 2009</v>
      </c>
      <c r="B9816" s="8" t="str">
        <f>"9780982148907"</f>
        <v>9780982148907</v>
      </c>
      <c r="C9816" s="8" t="s">
        <v>1760</v>
      </c>
    </row>
    <row r="9817" spans="1:3" x14ac:dyDescent="0.25">
      <c r="A9817" s="8" t="str">
        <f>"Innovation and Sustainable Competitive Advantage: From Regional Development to World Economies - Proceedings of the 18th International Business Information Management Association Conference"</f>
        <v>Innovation and Sustainable Competitive Advantage: From Regional Development to World Economies - Proceedings of the 18th International Business Information Management Association Conference</v>
      </c>
      <c r="B9817" s="8" t="str">
        <f>"9780982148976"</f>
        <v>9780982148976</v>
      </c>
      <c r="C9817" s="8" t="s">
        <v>1760</v>
      </c>
    </row>
    <row r="9818" spans="1:3" x14ac:dyDescent="0.25">
      <c r="A9818" s="8" t="str">
        <f>"Innovation in Design, Communication and Engineering - Proceedings of the 3rd International Conference on Innovation, Communication and Engineering, ICICE 2014"</f>
        <v>Innovation in Design, Communication and Engineering - Proceedings of the 3rd International Conference on Innovation, Communication and Engineering, ICICE 2014</v>
      </c>
      <c r="B9818" s="8" t="str">
        <f>"9781138027527"</f>
        <v>9781138027527</v>
      </c>
      <c r="C9818" s="8" t="s">
        <v>1635</v>
      </c>
    </row>
    <row r="9819" spans="1:3" x14ac:dyDescent="0.25">
      <c r="A9819" s="8" t="str">
        <f>"Innovation in Life Cycle Engineering and Sustainable Development"</f>
        <v>Innovation in Life Cycle Engineering and Sustainable Development</v>
      </c>
      <c r="B9819" s="8" t="str">
        <f>"9781402046018"</f>
        <v>9781402046018</v>
      </c>
      <c r="C9819" s="8" t="s">
        <v>162</v>
      </c>
    </row>
    <row r="9820" spans="1:3" x14ac:dyDescent="0.25">
      <c r="A9820" s="8" t="str">
        <f>"Innovation Vision 2020: Sustainable growth, Entrepreneurship, and Economic Development - Proceedings of the 19th International Business Information Management Association Conference"</f>
        <v>Innovation Vision 2020: Sustainable growth, Entrepreneurship, and Economic Development - Proceedings of the 19th International Business Information Management Association Conference</v>
      </c>
      <c r="B9820" s="8" t="str">
        <f>"9780982148983"</f>
        <v>9780982148983</v>
      </c>
      <c r="C9820" s="8" t="s">
        <v>1760</v>
      </c>
    </row>
    <row r="9821" spans="1:3" x14ac:dyDescent="0.25">
      <c r="A9821" s="8" t="str">
        <f>"Innovation, Communication and Engineering - Proceedings of the 2nd International Conference on Innovation, Communication and Engineering, ICICE 2013"</f>
        <v>Innovation, Communication and Engineering - Proceedings of the 2nd International Conference on Innovation, Communication and Engineering, ICICE 2013</v>
      </c>
      <c r="B9821" s="8" t="str">
        <f>"9781138001176"</f>
        <v>9781138001176</v>
      </c>
      <c r="C9821" s="8" t="s">
        <v>1619</v>
      </c>
    </row>
    <row r="9822" spans="1:3" x14ac:dyDescent="0.25">
      <c r="A9822" s="8" t="str">
        <f>"Innovations and Advanced Techniques in Computer and Information Sciences and Engineering"</f>
        <v>Innovations and Advanced Techniques in Computer and Information Sciences and Engineering</v>
      </c>
      <c r="B9822" s="8" t="str">
        <f>"9781402062674"</f>
        <v>9781402062674</v>
      </c>
      <c r="C9822" s="8" t="s">
        <v>162</v>
      </c>
    </row>
    <row r="9823" spans="1:3" x14ac:dyDescent="0.25">
      <c r="A9823" s="8" t="str">
        <f>"Innovations and Advanced Techniques in Systems, Computing Sciences and Software Engineering"</f>
        <v>Innovations and Advanced Techniques in Systems, Computing Sciences and Software Engineering</v>
      </c>
      <c r="B9823" s="8" t="str">
        <f>"9781402087349"</f>
        <v>9781402087349</v>
      </c>
      <c r="C9823" s="8" t="s">
        <v>162</v>
      </c>
    </row>
    <row r="9824" spans="1:3" x14ac:dyDescent="0.25">
      <c r="A9824" s="8" t="str">
        <f>"Innovations and Advances in Computer Sciences and Engineering"</f>
        <v>Innovations and Advances in Computer Sciences and Engineering</v>
      </c>
      <c r="B9824" s="8" t="str">
        <f>"9789048136575"</f>
        <v>9789048136575</v>
      </c>
      <c r="C9824" s="8" t="s">
        <v>162</v>
      </c>
    </row>
    <row r="9825" spans="1:3" x14ac:dyDescent="0.25">
      <c r="A9825" s="8" t="str">
        <f>"Innovations in Bridge Engineering Technology"</f>
        <v>Innovations in Bridge Engineering Technology</v>
      </c>
      <c r="B9825" s="8" t="str">
        <f>"9780415453370"</f>
        <v>9780415453370</v>
      </c>
      <c r="C9825" s="8" t="s">
        <v>1619</v>
      </c>
    </row>
    <row r="9826" spans="1:3" x14ac:dyDescent="0.25">
      <c r="A9826" s="8" t="str">
        <f>"Innovations in Computing Sciences and Software Engineering"</f>
        <v>Innovations in Computing Sciences and Software Engineering</v>
      </c>
      <c r="B9826" s="8" t="str">
        <f>"9789048191116"</f>
        <v>9789048191116</v>
      </c>
      <c r="C9826" s="8" t="s">
        <v>162</v>
      </c>
    </row>
    <row r="9827" spans="1:3" x14ac:dyDescent="0.25">
      <c r="A9827" s="8" t="str">
        <f>"Innovations in E-learning, Instruction Technology, Assessment, and Engineering Education"</f>
        <v>Innovations in E-learning, Instruction Technology, Assessment, and Engineering Education</v>
      </c>
      <c r="B9827" s="8" t="str">
        <f>"9781402062612"</f>
        <v>9781402062612</v>
      </c>
      <c r="C9827" s="8" t="s">
        <v>31</v>
      </c>
    </row>
    <row r="9828" spans="1:3" x14ac:dyDescent="0.25">
      <c r="A9828" s="8" t="str">
        <f>"Innovations in Engineering Education 2004: Mechanical Engineering Education, Mechanical Engineering Technology Department Heads"</f>
        <v>Innovations in Engineering Education 2004: Mechanical Engineering Education, Mechanical Engineering Technology Department Heads</v>
      </c>
      <c r="B9828" s="8" t="str">
        <f>"9780791847237"</f>
        <v>9780791847237</v>
      </c>
      <c r="C9828" s="8" t="s">
        <v>1308</v>
      </c>
    </row>
    <row r="9829" spans="1:3" x14ac:dyDescent="0.25">
      <c r="A9829" s="8" t="str">
        <f>"Innovations in Engineering Education 2005: Mechanical Engineering Education, Mechanical Engineering Technology Department Heads"</f>
        <v>Innovations in Engineering Education 2005: Mechanical Engineering Education, Mechanical Engineering Technology Department Heads</v>
      </c>
      <c r="B9829" s="8" t="str">
        <f>"-"</f>
        <v>-</v>
      </c>
      <c r="C9829" s="8" t="s">
        <v>1308</v>
      </c>
    </row>
    <row r="9830" spans="1:3" x14ac:dyDescent="0.25">
      <c r="A9830" s="8" t="str">
        <f>"Innovations in Networks - Proceedings of the APMS 2008 Conference, An Event of the IFIP Working Group 5.7"</f>
        <v>Innovations in Networks - Proceedings of the APMS 2008 Conference, An Event of the IFIP Working Group 5.7</v>
      </c>
      <c r="B9830" s="8" t="str">
        <f>"9789512295470"</f>
        <v>9789512295470</v>
      </c>
      <c r="C9830" s="8" t="s">
        <v>1910</v>
      </c>
    </row>
    <row r="9831" spans="1:3" x14ac:dyDescent="0.25">
      <c r="A9831" s="8" t="str">
        <f>"Innovations In The Ferro Alloy Industry - Proceedings of the XI International Conference on Innovations in the Ferro Alloy Industry, Infacon XI"</f>
        <v>Innovations In The Ferro Alloy Industry - Proceedings of the XI International Conference on Innovations in the Ferro Alloy Industry, Infacon XI</v>
      </c>
      <c r="B9831" s="8" t="str">
        <f>"9780230630697"</f>
        <v>9780230630697</v>
      </c>
      <c r="C9831" s="8" t="s">
        <v>1911</v>
      </c>
    </row>
    <row r="9832" spans="1:3" x14ac:dyDescent="0.25">
      <c r="A9832" s="8" t="str">
        <f>"Innovations'07: 4th International Conference on Innovations in Information Technology, IIT"</f>
        <v>Innovations'07: 4th International Conference on Innovations in Information Technology, IIT</v>
      </c>
      <c r="B9832" s="8" t="str">
        <f>"9781424418411"</f>
        <v>9781424418411</v>
      </c>
      <c r="C9832" s="8" t="s">
        <v>9</v>
      </c>
    </row>
    <row r="9833" spans="1:3" x14ac:dyDescent="0.25">
      <c r="A9833" s="8" t="str">
        <f>"Innovative Algorithms and Techniques in Automation, Industrial Electronics and Telecommunications"</f>
        <v>Innovative Algorithms and Techniques in Automation, Industrial Electronics and Telecommunications</v>
      </c>
      <c r="B9833" s="8" t="str">
        <f>"9781402062650"</f>
        <v>9781402062650</v>
      </c>
      <c r="C9833" s="8" t="s">
        <v>31</v>
      </c>
    </row>
    <row r="9834" spans="1:3" x14ac:dyDescent="0.25">
      <c r="A9834" s="8" t="str">
        <f>"Innovative Coastal Zone Management: Sustainable Engineering for a Dynamic Coast - 7th International Coastal Management Conference"</f>
        <v>Innovative Coastal Zone Management: Sustainable Engineering for a Dynamic Coast - 7th International Coastal Management Conference</v>
      </c>
      <c r="B9834" s="8" t="str">
        <f>"9780727757494"</f>
        <v>9780727757494</v>
      </c>
      <c r="C9834" s="8" t="s">
        <v>74</v>
      </c>
    </row>
    <row r="9835" spans="1:3" x14ac:dyDescent="0.25">
      <c r="A9835" s="8" t="str">
        <f>"Innovative Developments in Design and Manufacturing - Advanced Research in Virtual and Rapid Prototyping"</f>
        <v>Innovative Developments in Design and Manufacturing - Advanced Research in Virtual and Rapid Prototyping</v>
      </c>
      <c r="B9835" s="8" t="str">
        <f>"9780415873079"</f>
        <v>9780415873079</v>
      </c>
      <c r="C9835" s="8" t="s">
        <v>1520</v>
      </c>
    </row>
    <row r="9836" spans="1:3" x14ac:dyDescent="0.25">
      <c r="A9836" s="8" t="str">
        <f>"Innovative Developments in Virtual and Physical Prototyping - Proceedings of the 5th International Conference on Advanced Research and Rapid Prototyping"</f>
        <v>Innovative Developments in Virtual and Physical Prototyping - Proceedings of the 5th International Conference on Advanced Research and Rapid Prototyping</v>
      </c>
      <c r="B9836" s="8" t="str">
        <f>"9780415684187"</f>
        <v>9780415684187</v>
      </c>
      <c r="C9836" s="8" t="s">
        <v>96</v>
      </c>
    </row>
    <row r="9837" spans="1:3" x14ac:dyDescent="0.25">
      <c r="A9837" s="8" t="str">
        <f>"Innovative Materials and Design for Sustainable Transportation Infrastructure - Selected Papers from the International Symposium on Systematic Approaches to Environmental Sustainability in Transportation"</f>
        <v>Innovative Materials and Design for Sustainable Transportation Infrastructure - Selected Papers from the International Symposium on Systematic Approaches to Environmental Sustainability in Transportation</v>
      </c>
      <c r="B9837" s="8" t="str">
        <f>"9780784479278"</f>
        <v>9780784479278</v>
      </c>
      <c r="C9837" s="8" t="s">
        <v>111</v>
      </c>
    </row>
    <row r="9838" spans="1:3" x14ac:dyDescent="0.25">
      <c r="A9838" s="8" t="str">
        <f>"Innovative Nonwovens Conference 2011, NETInc"</f>
        <v>Innovative Nonwovens Conference 2011, NETInc</v>
      </c>
      <c r="B9838" s="8" t="str">
        <f>"9781618394415"</f>
        <v>9781618394415</v>
      </c>
      <c r="C9838" s="8" t="s">
        <v>1099</v>
      </c>
    </row>
    <row r="9839" spans="1:3" x14ac:dyDescent="0.25">
      <c r="A9839" s="8" t="str">
        <f>"Innovative Smart Grid Technologies Conference, ISGT 2010"</f>
        <v>Innovative Smart Grid Technologies Conference, ISGT 2010</v>
      </c>
      <c r="B9839" s="8" t="str">
        <f>"-"</f>
        <v>-</v>
      </c>
      <c r="C9839" s="8" t="s">
        <v>9</v>
      </c>
    </row>
    <row r="9840" spans="1:3" x14ac:dyDescent="0.25">
      <c r="A9840" s="8" t="str">
        <f>"Innovative Techniques in Instruction Technology, E-Learning, E-Assessment, and Education"</f>
        <v>Innovative Techniques in Instruction Technology, E-Learning, E-Assessment, and Education</v>
      </c>
      <c r="B9840" s="8" t="str">
        <f>"9781402087387"</f>
        <v>9781402087387</v>
      </c>
      <c r="C9840" s="8" t="s">
        <v>162</v>
      </c>
    </row>
    <row r="9841" spans="1:3" x14ac:dyDescent="0.25">
      <c r="A9841" s="8" t="str">
        <f>"INSS 2010 - 7th International Conference on Networked Sensing Systems"</f>
        <v>INSS 2010 - 7th International Conference on Networked Sensing Systems</v>
      </c>
      <c r="B9841" s="8" t="str">
        <f>"9781424479108"</f>
        <v>9781424479108</v>
      </c>
      <c r="C9841" s="8" t="s">
        <v>9</v>
      </c>
    </row>
    <row r="9842" spans="1:3" x14ac:dyDescent="0.25">
      <c r="A9842" s="8" t="str">
        <f>"INSS2009 - 6th International Conference on Networked Sensing Systems"</f>
        <v>INSS2009 - 6th International Conference on Networked Sensing Systems</v>
      </c>
      <c r="B9842" s="8" t="str">
        <f>"9781424463145"</f>
        <v>9781424463145</v>
      </c>
      <c r="C9842" s="8" t="s">
        <v>9</v>
      </c>
    </row>
    <row r="9843" spans="1:3" x14ac:dyDescent="0.25">
      <c r="A9843" s="8" t="str">
        <f>"Installation Effects in Geotechnical Engineering - Proceedings of the International Conference on Installation Effects in Geotechnical Engineering, ICIEGE 2013"</f>
        <v>Installation Effects in Geotechnical Engineering - Proceedings of the International Conference on Installation Effects in Geotechnical Engineering, ICIEGE 2013</v>
      </c>
      <c r="B9843" s="8" t="str">
        <f>"9781138000414"</f>
        <v>9781138000414</v>
      </c>
      <c r="C9843" s="8" t="s">
        <v>1619</v>
      </c>
    </row>
    <row r="9844" spans="1:3" x14ac:dyDescent="0.25">
      <c r="A9844" s="8" t="str">
        <f>"Institute of Acoustics - 23rd Reproduced Sound Conference 2007, Reproduced Sound 2007 - Hall of Sound: Audio for Live Events, Proceedings of the Institute of Acoustics"</f>
        <v>Institute of Acoustics - 23rd Reproduced Sound Conference 2007, Reproduced Sound 2007 - Hall of Sound: Audio for Live Events, Proceedings of the Institute of Acoustics</v>
      </c>
      <c r="B9844" s="8" t="str">
        <f>"9781604238532"</f>
        <v>9781604238532</v>
      </c>
      <c r="C9844" s="8" t="s">
        <v>27</v>
      </c>
    </row>
    <row r="9845" spans="1:3" x14ac:dyDescent="0.25">
      <c r="A9845" s="8" t="str">
        <f>"Institute of Acoustics - 24th Reproduced Sound Conference 2008, Reproduced Sound 2008: Immersive Audio, Proceedings of the Institute of Acoustics"</f>
        <v>Institute of Acoustics - 24th Reproduced Sound Conference 2008, Reproduced Sound 2008: Immersive Audio, Proceedings of the Institute of Acoustics</v>
      </c>
      <c r="B9845" s="8" t="str">
        <f>"9781605606811"</f>
        <v>9781605606811</v>
      </c>
      <c r="C9845" s="8" t="s">
        <v>1912</v>
      </c>
    </row>
    <row r="9846" spans="1:3" x14ac:dyDescent="0.25">
      <c r="A9846" s="8" t="str">
        <f>"Institute of Acoustics - 6th International Conference on Auditorium Acoustics 2006"</f>
        <v>Institute of Acoustics - 6th International Conference on Auditorium Acoustics 2006</v>
      </c>
      <c r="B9846" s="8" t="str">
        <f>"9781604235869"</f>
        <v>9781604235869</v>
      </c>
      <c r="C9846" s="8" t="s">
        <v>27</v>
      </c>
    </row>
    <row r="9847" spans="1:3" x14ac:dyDescent="0.25">
      <c r="A9847" s="8" t="str">
        <f>"Institute of Acoustics - Control of Vibration at Work and Control of Noise at Work Regulations: Implementing the Physical Agents Directive in the UK 2005 - Let's Get Physical"</f>
        <v>Institute of Acoustics - Control of Vibration at Work and Control of Noise at Work Regulations: Implementing the Physical Agents Directive in the UK 2005 - Let's Get Physical</v>
      </c>
      <c r="B9847" s="8" t="str">
        <f>"9781604236644"</f>
        <v>9781604236644</v>
      </c>
      <c r="C9847" s="8" t="s">
        <v>1912</v>
      </c>
    </row>
    <row r="9848" spans="1:3" x14ac:dyDescent="0.25">
      <c r="A9848" s="8" t="str">
        <f>"Institute of Acoustics - Harmful? - Judge for Yourself: Making the Vibration Regulations Work Safely 2006"</f>
        <v>Institute of Acoustics - Harmful? - Judge for Yourself: Making the Vibration Regulations Work Safely 2006</v>
      </c>
      <c r="B9848" s="8" t="str">
        <f>"9781604235876"</f>
        <v>9781604235876</v>
      </c>
      <c r="C9848" s="8" t="s">
        <v>27</v>
      </c>
    </row>
    <row r="9849" spans="1:3" x14ac:dyDescent="0.25">
      <c r="A9849" s="8" t="str">
        <f>"Institute of Acoustics - Reproduced Sound 21 2005: Feedback to the Future, Proceedings of the Institute of Acoustics"</f>
        <v>Institute of Acoustics - Reproduced Sound 21 2005: Feedback to the Future, Proceedings of the Institute of Acoustics</v>
      </c>
      <c r="B9849" s="8" t="str">
        <f>"9781604239935"</f>
        <v>9781604239935</v>
      </c>
      <c r="C9849" s="8" t="s">
        <v>27</v>
      </c>
    </row>
    <row r="9850" spans="1:3" x14ac:dyDescent="0.25">
      <c r="A9850" s="8" t="str">
        <f>"Institute of Acoustics - Reproduced Sound 22 2006: Raising the Standards"</f>
        <v>Institute of Acoustics - Reproduced Sound 22 2006: Raising the Standards</v>
      </c>
      <c r="B9850" s="8" t="str">
        <f>"9781604236620"</f>
        <v>9781604236620</v>
      </c>
      <c r="C9850" s="8" t="s">
        <v>27</v>
      </c>
    </row>
    <row r="9851" spans="1:3" x14ac:dyDescent="0.25">
      <c r="A9851" s="8" t="str">
        <f>"Institute of Acoustics - Spring Conference Futures in Acoustics 2006: Today's Research - Tomorrow's Careers"</f>
        <v>Institute of Acoustics - Spring Conference Futures in Acoustics 2006: Today's Research - Tomorrow's Careers</v>
      </c>
      <c r="B9851" s="8" t="str">
        <f>"9781604236941"</f>
        <v>9781604236941</v>
      </c>
      <c r="C9851" s="8" t="s">
        <v>27</v>
      </c>
    </row>
    <row r="9852" spans="1:3" x14ac:dyDescent="0.25">
      <c r="A9852" s="8" t="str">
        <f>"Institute of Applied Mechanics - 17th International Conference on Adaptive Structures and Technologies, ICAST 2006"</f>
        <v>Institute of Applied Mechanics - 17th International Conference on Adaptive Structures and Technologies, ICAST 2006</v>
      </c>
      <c r="B9852" s="8" t="str">
        <f>"9781605601250"</f>
        <v>9781605601250</v>
      </c>
      <c r="C9852" s="8" t="s">
        <v>1913</v>
      </c>
    </row>
    <row r="9853" spans="1:3" x14ac:dyDescent="0.25">
      <c r="A9853" s="8" t="str">
        <f>"Institute of Cast Metals Engineers - 67th World Foundry Congress, wfc06: Casting the Future"</f>
        <v>Institute of Cast Metals Engineers - 67th World Foundry Congress, wfc06: Casting the Future</v>
      </c>
      <c r="B9853" s="8" t="str">
        <f>"9781604236767"</f>
        <v>9781604236767</v>
      </c>
      <c r="C9853" s="8" t="s">
        <v>1914</v>
      </c>
    </row>
    <row r="9854" spans="1:3" x14ac:dyDescent="0.25">
      <c r="A9854" s="8" t="str">
        <f>"Institute of Marine Engineering, Science and Technology, IMarEST - Conference Proceedings"</f>
        <v>Institute of Marine Engineering, Science and Technology, IMarEST - Conference Proceedings</v>
      </c>
      <c r="B9854" s="8" t="str">
        <f>"9781902536507"</f>
        <v>9781902536507</v>
      </c>
      <c r="C9854" s="8" t="s">
        <v>301</v>
      </c>
    </row>
    <row r="9855" spans="1:3" x14ac:dyDescent="0.25">
      <c r="A9855" s="8" t="str">
        <f>"Institute of Mathematics and its Applications - Vision, Video and Graphics 2005, VVG 2005"</f>
        <v>Institute of Mathematics and its Applications - Vision, Video and Graphics 2005, VVG 2005</v>
      </c>
      <c r="B9855" s="8" t="str">
        <f>"9783905673579"</f>
        <v>9783905673579</v>
      </c>
      <c r="C9855" s="8" t="s">
        <v>23</v>
      </c>
    </row>
    <row r="9856" spans="1:3" x14ac:dyDescent="0.25">
      <c r="A9856" s="8" t="str">
        <f>"Institute of Navigation - International Technical Meeting 2010, ITM 2010"</f>
        <v>Institute of Navigation - International Technical Meeting 2010, ITM 2010</v>
      </c>
      <c r="B9856" s="8" t="str">
        <f>"9781617381157"</f>
        <v>9781617381157</v>
      </c>
      <c r="C9856" s="8" t="s">
        <v>969</v>
      </c>
    </row>
    <row r="9857" spans="1:3" x14ac:dyDescent="0.25">
      <c r="A9857" s="8" t="str">
        <f>"Institute of Navigation - International Technical Meeting 2011, ITM 2011"</f>
        <v>Institute of Navigation - International Technical Meeting 2011, ITM 2011</v>
      </c>
      <c r="B9857" s="8" t="str">
        <f>"9781617823985"</f>
        <v>9781617823985</v>
      </c>
      <c r="C9857" s="8" t="s">
        <v>969</v>
      </c>
    </row>
    <row r="9858" spans="1:3" x14ac:dyDescent="0.25">
      <c r="A9858" s="8" t="str">
        <f>"Institute of Navigation International Technical Meeting 2012, ITM 2012"</f>
        <v>Institute of Navigation International Technical Meeting 2012, ITM 2012</v>
      </c>
      <c r="B9858" s="8" t="str">
        <f>"9781618399205"</f>
        <v>9781618399205</v>
      </c>
      <c r="C9858" s="8" t="s">
        <v>969</v>
      </c>
    </row>
    <row r="9859" spans="1:3" x14ac:dyDescent="0.25">
      <c r="A9859" s="8" t="str">
        <f>"Institute of Navigation International Technical Meeting 2013, ITM 2013"</f>
        <v>Institute of Navigation International Technical Meeting 2013, ITM 2013</v>
      </c>
      <c r="B9859" s="8" t="str">
        <f>"9781627481380"</f>
        <v>9781627481380</v>
      </c>
      <c r="C9859" s="8" t="s">
        <v>969</v>
      </c>
    </row>
    <row r="9860" spans="1:3" x14ac:dyDescent="0.25">
      <c r="A9860" s="8" t="str">
        <f>"Institute of Navigation International Technical Meeting 2015, ITM 2015"</f>
        <v>Institute of Navigation International Technical Meeting 2015, ITM 2015</v>
      </c>
      <c r="B9860" s="8" t="str">
        <f>"9781510800434"</f>
        <v>9781510800434</v>
      </c>
      <c r="C9860" s="8" t="s">
        <v>969</v>
      </c>
    </row>
    <row r="9861" spans="1:3" x14ac:dyDescent="0.25">
      <c r="A9861" s="8" t="str">
        <f>"Institute of Noise Control Engineering of the USA - 22nd National Conference on Noise Control Engineering, NOISE-CON 2007"</f>
        <v>Institute of Noise Control Engineering of the USA - 22nd National Conference on Noise Control Engineering, NOISE-CON 2007</v>
      </c>
      <c r="B9861" s="8" t="str">
        <f>"9781604238525"</f>
        <v>9781604238525</v>
      </c>
      <c r="C9861" s="8" t="s">
        <v>907</v>
      </c>
    </row>
    <row r="9862" spans="1:3" x14ac:dyDescent="0.25">
      <c r="A9862" s="8" t="str">
        <f>"Institute of Noise Control Engineering of the USA - 23rd National Conference on Noise Control Engineering, NOISE-CON 08 and Sound Quality Symposium, SQS 08"</f>
        <v>Institute of Noise Control Engineering of the USA - 23rd National Conference on Noise Control Engineering, NOISE-CON 08 and Sound Quality Symposium, SQS 08</v>
      </c>
      <c r="B9862" s="8" t="str">
        <f>"9781605605401"</f>
        <v>9781605605401</v>
      </c>
      <c r="C9862" s="8" t="s">
        <v>907</v>
      </c>
    </row>
    <row r="9863" spans="1:3" x14ac:dyDescent="0.25">
      <c r="A9863" s="8" t="str">
        <f>"Institute of Noise Control Engineering of the USA - 35th International Congress and Exposition on Noise Control Engineering, INTER-NOISE 2006"</f>
        <v>Institute of Noise Control Engineering of the USA - 35th International Congress and Exposition on Noise Control Engineering, INTER-NOISE 2006</v>
      </c>
      <c r="B9863" s="8" t="str">
        <f>"9781604231366"</f>
        <v>9781604231366</v>
      </c>
      <c r="C9863" s="8" t="s">
        <v>907</v>
      </c>
    </row>
    <row r="9864" spans="1:3" x14ac:dyDescent="0.25">
      <c r="A9864" s="8" t="str">
        <f>"Institute of Transportation Engineers Annual Meeting and Exhibit 2007"</f>
        <v>Institute of Transportation Engineers Annual Meeting and Exhibit 2007</v>
      </c>
      <c r="B9864" s="8" t="str">
        <f>"9781622761876"</f>
        <v>9781622761876</v>
      </c>
      <c r="C9864" s="8" t="s">
        <v>1915</v>
      </c>
    </row>
    <row r="9865" spans="1:3" x14ac:dyDescent="0.25">
      <c r="A9865" s="8" t="str">
        <f>"Institute of Transportation Engineers Annual Meeting and Exhibit 2008"</f>
        <v>Institute of Transportation Engineers Annual Meeting and Exhibit 2008</v>
      </c>
      <c r="B9865" s="8" t="str">
        <f>"9781622761883"</f>
        <v>9781622761883</v>
      </c>
      <c r="C9865" s="8" t="s">
        <v>1915</v>
      </c>
    </row>
    <row r="9866" spans="1:3" x14ac:dyDescent="0.25">
      <c r="A9866" s="8" t="str">
        <f>"Institute of Transportation Engineers Annual Meeting and Exhibit 2009"</f>
        <v>Institute of Transportation Engineers Annual Meeting and Exhibit 2009</v>
      </c>
      <c r="B9866" s="8" t="str">
        <f>"9781615676309"</f>
        <v>9781615676309</v>
      </c>
      <c r="C9866" s="8" t="s">
        <v>1915</v>
      </c>
    </row>
    <row r="9867" spans="1:3" x14ac:dyDescent="0.25">
      <c r="A9867" s="8" t="str">
        <f>"Institute of Transportation Engineers Annual Meeting and Exhibit 2010"</f>
        <v>Institute of Transportation Engineers Annual Meeting and Exhibit 2010</v>
      </c>
      <c r="B9867" s="8" t="str">
        <f>"9781617820076"</f>
        <v>9781617820076</v>
      </c>
      <c r="C9867" s="8" t="s">
        <v>1915</v>
      </c>
    </row>
    <row r="9868" spans="1:3" x14ac:dyDescent="0.25">
      <c r="A9868" s="8" t="str">
        <f>"Institute of Transportation Engineers Annual Meeting and Exhibit 2011"</f>
        <v>Institute of Transportation Engineers Annual Meeting and Exhibit 2011</v>
      </c>
      <c r="B9868" s="8" t="str">
        <f>"9781618391988"</f>
        <v>9781618391988</v>
      </c>
      <c r="C9868" s="8" t="s">
        <v>1915</v>
      </c>
    </row>
    <row r="9869" spans="1:3" x14ac:dyDescent="0.25">
      <c r="A9869" s="8" t="str">
        <f>"Institute of Transportation Engineers Annual Meeting and Exhibit 2012"</f>
        <v>Institute of Transportation Engineers Annual Meeting and Exhibit 2012</v>
      </c>
      <c r="B9869" s="8" t="str">
        <f>"9781622767977"</f>
        <v>9781622767977</v>
      </c>
      <c r="C9869" s="8" t="s">
        <v>631</v>
      </c>
    </row>
    <row r="9870" spans="1:3" x14ac:dyDescent="0.25">
      <c r="A9870" s="8" t="str">
        <f>"Institute of Transportation Engineers Annual Meeting and Exhibit 2013"</f>
        <v>Institute of Transportation Engineers Annual Meeting and Exhibit 2013</v>
      </c>
      <c r="B9870" s="8" t="str">
        <f>"9781629931241"</f>
        <v>9781629931241</v>
      </c>
      <c r="C9870" s="8" t="s">
        <v>394</v>
      </c>
    </row>
    <row r="9871" spans="1:3" x14ac:dyDescent="0.25">
      <c r="A9871" s="8" t="str">
        <f>"Institution of Civil Engineers - International Conference on Ground Anchorages and Anchored Structures in Service 2007"</f>
        <v>Institution of Civil Engineers - International Conference on Ground Anchorages and Anchored Structures in Service 2007</v>
      </c>
      <c r="B9871" s="8" t="str">
        <f>"9780727735614"</f>
        <v>9780727735614</v>
      </c>
      <c r="C9871" s="8" t="s">
        <v>74</v>
      </c>
    </row>
    <row r="9872" spans="1:3" x14ac:dyDescent="0.25">
      <c r="A9872" s="8" t="str">
        <f>"Institution of Civil Engineers International Conference on Maintenance Dredging II - Proceedings of the International Conference on Maintenance Dredging"</f>
        <v>Institution of Civil Engineers International Conference on Maintenance Dredging II - Proceedings of the International Conference on Maintenance Dredging</v>
      </c>
      <c r="B9872" s="8" t="str">
        <f>"9780727732880"</f>
        <v>9780727732880</v>
      </c>
      <c r="C9872" s="8" t="s">
        <v>74</v>
      </c>
    </row>
    <row r="9873" spans="1:3" x14ac:dyDescent="0.25">
      <c r="A9873" s="8" t="str">
        <f>"Institution of Engineering and Technology Seminar on MEMS Sensors and Actuators, ICEPT"</f>
        <v>Institution of Engineering and Technology Seminar on MEMS Sensors and Actuators, ICEPT</v>
      </c>
      <c r="B9873" s="8" t="str">
        <f>"9780863416279"</f>
        <v>9780863416279</v>
      </c>
      <c r="C9873" s="8" t="s">
        <v>9</v>
      </c>
    </row>
    <row r="9874" spans="1:3" x14ac:dyDescent="0.25">
      <c r="A9874" s="8" t="str">
        <f>"Institution of Mechanical Engineers - 10th European Fluid Machinery Congress: Advances in the Optimisation, Design and Maintenance of Process Machinery"</f>
        <v>Institution of Mechanical Engineers - 10th European Fluid Machinery Congress: Advances in the Optimisation, Design and Maintenance of Process Machinery</v>
      </c>
      <c r="B9874" s="8" t="str">
        <f>"9781843344926"</f>
        <v>9781843344926</v>
      </c>
      <c r="C9874" s="8" t="s">
        <v>1916</v>
      </c>
    </row>
    <row r="9875" spans="1:3" x14ac:dyDescent="0.25">
      <c r="A9875" s="8" t="str">
        <f>"Institution of Mechanical Engineers - 10th International Conference on Turbochargers and Turbocharging"</f>
        <v>Institution of Mechanical Engineers - 10th International Conference on Turbochargers and Turbocharging</v>
      </c>
      <c r="B9875" s="8" t="str">
        <f>"9780857092090"</f>
        <v>9780857092090</v>
      </c>
      <c r="C9875" s="8" t="s">
        <v>1707</v>
      </c>
    </row>
    <row r="9876" spans="1:3" x14ac:dyDescent="0.25">
      <c r="A9876" s="8" t="str">
        <f>"Institution of Mechanical Engineers - 10th International Conference on Vibrations in Rotating Machinery"</f>
        <v>Institution of Mechanical Engineers - 10th International Conference on Vibrations in Rotating Machinery</v>
      </c>
      <c r="B9876" s="8" t="str">
        <f>"9780857094520"</f>
        <v>9780857094520</v>
      </c>
      <c r="C9876" s="8" t="s">
        <v>1707</v>
      </c>
    </row>
    <row r="9877" spans="1:3" x14ac:dyDescent="0.25">
      <c r="A9877" s="8" t="str">
        <f>"Institution of Mechanical Engineers - 11th European Fluid Machinery Congress"</f>
        <v>Institution of Mechanical Engineers - 11th European Fluid Machinery Congress</v>
      </c>
      <c r="B9877" s="8" t="str">
        <f>"9780857090911"</f>
        <v>9780857090911</v>
      </c>
      <c r="C9877" s="8" t="s">
        <v>1596</v>
      </c>
    </row>
    <row r="9878" spans="1:3" x14ac:dyDescent="0.25">
      <c r="A9878" s="8" t="str">
        <f>"Institution of Mechanical Engineers - 11th International Conference on Turbochargers and Turbocharging"</f>
        <v>Institution of Mechanical Engineers - 11th International Conference on Turbochargers and Turbocharging</v>
      </c>
      <c r="B9878" s="8" t="str">
        <f>"9780081000335"</f>
        <v>9780081000335</v>
      </c>
      <c r="C9878" s="8" t="s">
        <v>1707</v>
      </c>
    </row>
    <row r="9879" spans="1:3" x14ac:dyDescent="0.25">
      <c r="A9879" s="8" t="str">
        <f>"Institution of Mechanical Engineers - 12th European Fluid Machinery Congress"</f>
        <v>Institution of Mechanical Engineers - 12th European Fluid Machinery Congress</v>
      </c>
      <c r="B9879" s="8" t="str">
        <f>"9780081001097"</f>
        <v>9780081001097</v>
      </c>
      <c r="C9879" s="8" t="s">
        <v>1707</v>
      </c>
    </row>
    <row r="9880" spans="1:3" x14ac:dyDescent="0.25">
      <c r="A9880" s="8" t="str">
        <f>"Institution of Mechanical Engineers - 7th International Conference on Compressors and Their Systems 2011"</f>
        <v>Institution of Mechanical Engineers - 7th International Conference on Compressors and Their Systems 2011</v>
      </c>
      <c r="B9880" s="8" t="str">
        <f>"9780857092083"</f>
        <v>9780857092083</v>
      </c>
      <c r="C9880" s="8" t="s">
        <v>1707</v>
      </c>
    </row>
    <row r="9881" spans="1:3" x14ac:dyDescent="0.25">
      <c r="A9881" s="8" t="str">
        <f>"Institution of Mechanical Engineers - 8th International Conference on Compressors and Their Systems"</f>
        <v>Institution of Mechanical Engineers - 8th International Conference on Compressors and Their Systems</v>
      </c>
      <c r="B9881" s="8" t="str">
        <f>"9781782421696"</f>
        <v>9781782421696</v>
      </c>
      <c r="C9881" s="8" t="s">
        <v>1707</v>
      </c>
    </row>
    <row r="9882" spans="1:3" x14ac:dyDescent="0.25">
      <c r="A9882" s="8" t="str">
        <f>"Institution of Mechanical Engineers - 9th International Conference on Vibrations in Rotating Machinery"</f>
        <v>Institution of Mechanical Engineers - 9th International Conference on Vibrations in Rotating Machinery</v>
      </c>
      <c r="B9882" s="8" t="str">
        <f>"9781843344582"</f>
        <v>9781843344582</v>
      </c>
      <c r="C9882" s="8" t="s">
        <v>1917</v>
      </c>
    </row>
    <row r="9883" spans="1:3" x14ac:dyDescent="0.25">
      <c r="A9883" s="8" t="str">
        <f>"Institution of Mechanical Engineers - Braking 2009"</f>
        <v>Institution of Mechanical Engineers - Braking 2009</v>
      </c>
      <c r="B9883" s="8" t="str">
        <f>"9781843345596"</f>
        <v>9781843345596</v>
      </c>
      <c r="C9883" s="8" t="s">
        <v>1917</v>
      </c>
    </row>
    <row r="9884" spans="1:3" x14ac:dyDescent="0.25">
      <c r="A9884" s="8" t="str">
        <f>"Institution of Mechanical Engineers - Fuel Systems for IC Engines"</f>
        <v>Institution of Mechanical Engineers - Fuel Systems for IC Engines</v>
      </c>
      <c r="B9884" s="8" t="str">
        <f>"9780857092106"</f>
        <v>9780857092106</v>
      </c>
      <c r="C9884" s="8" t="s">
        <v>1707</v>
      </c>
    </row>
    <row r="9885" spans="1:3" x14ac:dyDescent="0.25">
      <c r="A9885" s="8" t="str">
        <f>"Institution of Mechanical Engineers - Injection Systems for IC Engines"</f>
        <v>Institution of Mechanical Engineers - Injection Systems for IC Engines</v>
      </c>
      <c r="B9885" s="8" t="str">
        <f>"9781843345619"</f>
        <v>9781843345619</v>
      </c>
      <c r="C9885" s="8" t="s">
        <v>1917</v>
      </c>
    </row>
    <row r="9886" spans="1:3" x14ac:dyDescent="0.25">
      <c r="A9886" s="8" t="str">
        <f>"Institution of Mechanical Engineers - Innovations in Fuel Economy and Sustainable Road Transport"</f>
        <v>Institution of Mechanical Engineers - Innovations in Fuel Economy and Sustainable Road Transport</v>
      </c>
      <c r="B9886" s="8" t="str">
        <f>"9780857092137"</f>
        <v>9780857092137</v>
      </c>
      <c r="C9886" s="8" t="s">
        <v>1707</v>
      </c>
    </row>
    <row r="9887" spans="1:3" x14ac:dyDescent="0.25">
      <c r="A9887" s="8" t="str">
        <f>"Institution of Mechanical Engineers - Internal Combustion Engines: Improving Performance, Fuel Economy and Emissions"</f>
        <v>Institution of Mechanical Engineers - Internal Combustion Engines: Improving Performance, Fuel Economy and Emissions</v>
      </c>
      <c r="B9887" s="8" t="str">
        <f>"9780857092052"</f>
        <v>9780857092052</v>
      </c>
      <c r="C9887" s="8" t="s">
        <v>1707</v>
      </c>
    </row>
    <row r="9888" spans="1:3" x14ac:dyDescent="0.25">
      <c r="A9888" s="8" t="str">
        <f>"Institution of Mechanical Engineers - Internal Combustion Engines: Performance, Fuel Economy and Emissions"</f>
        <v>Institution of Mechanical Engineers - Internal Combustion Engines: Performance, Fuel Economy and Emissions</v>
      </c>
      <c r="B9888" s="8" t="str">
        <f>"9781843346074"</f>
        <v>9781843346074</v>
      </c>
      <c r="C9888" s="8" t="s">
        <v>1917</v>
      </c>
    </row>
    <row r="9889" spans="1:3" x14ac:dyDescent="0.25">
      <c r="A9889" s="8" t="str">
        <f>"Institution of Mechanical Engineers - International Conference on Compressors and their Systems"</f>
        <v>Institution of Mechanical Engineers - International Conference on Compressors and their Systems</v>
      </c>
      <c r="B9889" s="8" t="str">
        <f>"9781843345817"</f>
        <v>9781843345817</v>
      </c>
      <c r="C9889" s="8" t="s">
        <v>1917</v>
      </c>
    </row>
    <row r="9890" spans="1:3" x14ac:dyDescent="0.25">
      <c r="A9890" s="8" t="str">
        <f>"Institution of Mechanical Engineers - Low-Carbon Vehicles 2009"</f>
        <v>Institution of Mechanical Engineers - Low-Carbon Vehicles 2009</v>
      </c>
      <c r="B9890" s="8" t="str">
        <f>"9781843345602"</f>
        <v>9781843345602</v>
      </c>
      <c r="C9890" s="8" t="s">
        <v>1917</v>
      </c>
    </row>
    <row r="9891" spans="1:3" x14ac:dyDescent="0.25">
      <c r="A9891" s="8" t="str">
        <f>"Institution of Mechanical Engineers - Sustainable Vehicle Technologies: Driving the Green Agenda"</f>
        <v>Institution of Mechanical Engineers - Sustainable Vehicle Technologies: Driving the Green Agenda</v>
      </c>
      <c r="B9891" s="8" t="str">
        <f>"9780857094568"</f>
        <v>9780857094568</v>
      </c>
      <c r="C9891" s="8" t="s">
        <v>1707</v>
      </c>
    </row>
    <row r="9892" spans="1:3" x14ac:dyDescent="0.25">
      <c r="A9892" s="8" t="str">
        <f>"Institution of Mechanical Engineers - VTMS 10, Vehicle Thermal Management Systems Conference and Exhibition"</f>
        <v>Institution of Mechanical Engineers - VTMS 10, Vehicle Thermal Management Systems Conference and Exhibition</v>
      </c>
      <c r="B9892" s="8" t="str">
        <f>"-"</f>
        <v>-</v>
      </c>
      <c r="C9892" s="8" t="s">
        <v>1596</v>
      </c>
    </row>
    <row r="9893" spans="1:3" x14ac:dyDescent="0.25">
      <c r="A9893" s="8" t="str">
        <f>"Institution of Mechanical Engineers - VTMS 2011, Vehicle Thermal Management Systems Conference Proceedings"</f>
        <v>Institution of Mechanical Engineers - VTMS 2011, Vehicle Thermal Management Systems Conference Proceedings</v>
      </c>
      <c r="B9893" s="8" t="str">
        <f>"9780857094728"</f>
        <v>9780857094728</v>
      </c>
      <c r="C9893" s="8" t="s">
        <v>1707</v>
      </c>
    </row>
    <row r="9894" spans="1:3" x14ac:dyDescent="0.25">
      <c r="A9894" s="8" t="str">
        <f>"Institution of Mechanical Engineers International Conference on Compressors and their Systems"</f>
        <v>Institution of Mechanical Engineers International Conference on Compressors and their Systems</v>
      </c>
      <c r="B9894" s="8" t="str">
        <f>"9781843344186"</f>
        <v>9781843344186</v>
      </c>
      <c r="C9894" s="8" t="s">
        <v>1917</v>
      </c>
    </row>
    <row r="9895" spans="1:3" x14ac:dyDescent="0.25">
      <c r="A9895" s="8" t="str">
        <f>"Institution of Mechanical Engineers, Fluid Machinery Group - Ninth European Fluid Machinery Congress: Applying the Latest Technology to New and Existing Process Equipment"</f>
        <v>Institution of Mechanical Engineers, Fluid Machinery Group - Ninth European Fluid Machinery Congress: Applying the Latest Technology to New and Existing Process Equipment</v>
      </c>
      <c r="B9895" s="8" t="str">
        <f>"-"</f>
        <v>-</v>
      </c>
      <c r="C9895" s="8" t="s">
        <v>1916</v>
      </c>
    </row>
    <row r="9896" spans="1:3" x14ac:dyDescent="0.25">
      <c r="A9896" s="8" t="str">
        <f>"Institution of Mechanical Engineers: Combustion Engines and Fuels Group - Internal Combustion Engines: Performance, Fuel Economy and Emissions"</f>
        <v>Institution of Mechanical Engineers: Combustion Engines and Fuels Group - Internal Combustion Engines: Performance, Fuel Economy and Emissions</v>
      </c>
      <c r="B9896" s="8" t="str">
        <f>"9781843344513"</f>
        <v>9781843344513</v>
      </c>
      <c r="C9896" s="8" t="s">
        <v>1916</v>
      </c>
    </row>
    <row r="9897" spans="1:3" x14ac:dyDescent="0.25">
      <c r="A9897" s="8" t="str">
        <f>"Instrumentation Systems and Automation Society - 65th Annual Instrumentation Symposium for the Process Industries 2010"</f>
        <v>Instrumentation Systems and Automation Society - 65th Annual Instrumentation Symposium for the Process Industries 2010</v>
      </c>
      <c r="B9897" s="8" t="str">
        <f>"9781615679096"</f>
        <v>9781615679096</v>
      </c>
      <c r="C9897" s="8" t="s">
        <v>1525</v>
      </c>
    </row>
    <row r="9898" spans="1:3" x14ac:dyDescent="0.25">
      <c r="A9898" s="8" t="str">
        <f>"Int. Workshop Syst. Approaches Digit. Forensics Eng., SADFE"</f>
        <v>Int. Workshop Syst. Approaches Digit. Forensics Eng., SADFE</v>
      </c>
      <c r="B9898" s="8" t="str">
        <f>"9781479940615"</f>
        <v>9781479940615</v>
      </c>
      <c r="C9898" s="8" t="s">
        <v>105</v>
      </c>
    </row>
    <row r="9899" spans="1:3" x14ac:dyDescent="0.25">
      <c r="A9899" s="8" t="str">
        <f>"Intech'08 - Proceedings of the 9th International Conference on Intelligent Technologies"</f>
        <v>Intech'08 - Proceedings of the 9th International Conference on Intelligent Technologies</v>
      </c>
      <c r="B9899" s="8" t="str">
        <f>"9789746152969"</f>
        <v>9789746152969</v>
      </c>
      <c r="C9899" s="8" t="s">
        <v>1918</v>
      </c>
    </row>
    <row r="9900" spans="1:3" x14ac:dyDescent="0.25">
      <c r="A9900" s="8" t="str">
        <f>"Integral Methods in Science and Engineering: Analytic Methods"</f>
        <v>Integral Methods in Science and Engineering: Analytic Methods</v>
      </c>
      <c r="B9900" s="8" t="str">
        <f>"9780817648985"</f>
        <v>9780817648985</v>
      </c>
      <c r="C9900" s="8" t="s">
        <v>280</v>
      </c>
    </row>
    <row r="9901" spans="1:3" x14ac:dyDescent="0.25">
      <c r="A9901" s="8" t="str">
        <f>"Integral Methods in Science and Engineering: Computational and Analytic Aspects"</f>
        <v>Integral Methods in Science and Engineering: Computational and Analytic Aspects</v>
      </c>
      <c r="B9901" s="8" t="str">
        <f>"9780817682378"</f>
        <v>9780817682378</v>
      </c>
      <c r="C9901" s="8" t="s">
        <v>280</v>
      </c>
    </row>
    <row r="9902" spans="1:3" x14ac:dyDescent="0.25">
      <c r="A9902" s="8" t="str">
        <f>"Integral Methods in Science and Engineering: Techniques and Applications"</f>
        <v>Integral Methods in Science and Engineering: Techniques and Applications</v>
      </c>
      <c r="B9902" s="8" t="str">
        <f>"9780817646707"</f>
        <v>9780817646707</v>
      </c>
      <c r="C9902" s="8" t="s">
        <v>280</v>
      </c>
    </row>
    <row r="9903" spans="1:3" x14ac:dyDescent="0.25">
      <c r="A9903" s="8" t="str">
        <f>"Integrated Assessment of Water Resources and Global Change: A North-South Analysis"</f>
        <v>Integrated Assessment of Water Resources and Global Change: A North-South Analysis</v>
      </c>
      <c r="B9903" s="8" t="str">
        <f>"9781402055904"</f>
        <v>9781402055904</v>
      </c>
      <c r="C9903" s="8" t="s">
        <v>162</v>
      </c>
    </row>
    <row r="9904" spans="1:3" x14ac:dyDescent="0.25">
      <c r="A9904" s="8" t="str">
        <f>"Integrated Development for Water Supply and Sanitation: Proceedings of the 25th WEDC Conference"</f>
        <v>Integrated Development for Water Supply and Sanitation: Proceedings of the 25th WEDC Conference</v>
      </c>
      <c r="B9904" s="8" t="str">
        <f>"9780906055670"</f>
        <v>9780906055670</v>
      </c>
      <c r="C9904" s="8" t="s">
        <v>1486</v>
      </c>
    </row>
    <row r="9905" spans="1:3" x14ac:dyDescent="0.25">
      <c r="A9905" s="8" t="str">
        <f>"Integrated Photonics Research, Silicon and Nanophotonics, IPRSN 2012"</f>
        <v>Integrated Photonics Research, Silicon and Nanophotonics, IPRSN 2012</v>
      </c>
      <c r="B9905" s="8" t="str">
        <f>"9781557529466"</f>
        <v>9781557529466</v>
      </c>
      <c r="C9905" s="8" t="s">
        <v>86</v>
      </c>
    </row>
    <row r="9906" spans="1:3" x14ac:dyDescent="0.25">
      <c r="A9906" s="8" t="str">
        <f>"Integrated Photonics Research, Silicon and Nanophotonics, IPRSN 2015"</f>
        <v>Integrated Photonics Research, Silicon and Nanophotonics, IPRSN 2015</v>
      </c>
      <c r="B9906" s="8" t="str">
        <f>"9781557520005"</f>
        <v>9781557520005</v>
      </c>
      <c r="C9906" s="8" t="s">
        <v>1638</v>
      </c>
    </row>
    <row r="9907" spans="1:3" x14ac:dyDescent="0.25">
      <c r="A9907" s="8" t="str">
        <f>"Integrated Reservoir Modelling: Are We Doing it Right?"</f>
        <v>Integrated Reservoir Modelling: Are We Doing it Right?</v>
      </c>
      <c r="B9907" s="8" t="str">
        <f>"-"</f>
        <v>-</v>
      </c>
      <c r="C9907" s="8" t="s">
        <v>1251</v>
      </c>
    </row>
    <row r="9908" spans="1:3" x14ac:dyDescent="0.25">
      <c r="A9908" s="8" t="str">
        <f>"Integrating AI and Data Mining - 1st International Workshop Proceedings, AIDM 2006"</f>
        <v>Integrating AI and Data Mining - 1st International Workshop Proceedings, AIDM 2006</v>
      </c>
      <c r="B9908" s="8" t="str">
        <f>"9780769527307"</f>
        <v>9780769527307</v>
      </c>
      <c r="C9908" s="8" t="s">
        <v>9</v>
      </c>
    </row>
    <row r="9909" spans="1:3" x14ac:dyDescent="0.25">
      <c r="A9909" s="8" t="str">
        <f>"Integrating 'Doing' and 'Thinking': Knowledge Management and Reflective Practice - Proceedings of the Australian Conference for Knowledge Management and Intelligent Decision Support, ACKMIDS"</f>
        <v>Integrating 'Doing' and 'Thinking': Knowledge Management and Reflective Practice - Proceedings of the Australian Conference for Knowledge Management and Intelligent Decision Support, ACKMIDS</v>
      </c>
      <c r="B9909" s="8" t="str">
        <f>"9781740971935"</f>
        <v>9781740971935</v>
      </c>
      <c r="C9909" s="8" t="s">
        <v>1919</v>
      </c>
    </row>
    <row r="9910" spans="1:3" x14ac:dyDescent="0.25">
      <c r="A9910" s="8" t="str">
        <f>"Integrating Water Systems - Proceedings of the 10th International on Computing and Control for the Water Industry, CCWI 2009"</f>
        <v>Integrating Water Systems - Proceedings of the 10th International on Computing and Control for the Water Industry, CCWI 2009</v>
      </c>
      <c r="B9910" s="8" t="str">
        <f>"9780415548519"</f>
        <v>9780415548519</v>
      </c>
      <c r="C9910" s="8" t="s">
        <v>1637</v>
      </c>
    </row>
    <row r="9911" spans="1:3" x14ac:dyDescent="0.25">
      <c r="A9911" s="8" t="str">
        <f>"Integration of Machinery Failure Prevention Technologies into Systems Health Management - Proceedings of the 61st Meeting of the Society for Machinery Failure Prevention Technology"</f>
        <v>Integration of Machinery Failure Prevention Technologies into Systems Health Management - Proceedings of the 61st Meeting of the Society for Machinery Failure Prevention Technology</v>
      </c>
      <c r="B9911" s="8" t="str">
        <f>"-"</f>
        <v>-</v>
      </c>
      <c r="C9911" s="8" t="s">
        <v>1826</v>
      </c>
    </row>
    <row r="9912" spans="1:3" x14ac:dyDescent="0.25">
      <c r="A9912" s="8" t="str">
        <f>"Integration Through Computation - Proceedings of the 31st Annual Conference of the Association for Computer Aided Design in Architecture, ACADIA 2011"</f>
        <v>Integration Through Computation - Proceedings of the 31st Annual Conference of the Association for Computer Aided Design in Architecture, ACADIA 2011</v>
      </c>
      <c r="B9912" s="8" t="str">
        <f>"9781613645956"</f>
        <v>9781613645956</v>
      </c>
      <c r="C9912" s="8" t="s">
        <v>1920</v>
      </c>
    </row>
    <row r="9913" spans="1:3" x14ac:dyDescent="0.25">
      <c r="A9913" s="8" t="str">
        <f>"Intelligent Automation and Control Trends, Principles, and Applications - Proceedings of the Sixth Biannual World Automation Congress, WAC"</f>
        <v>Intelligent Automation and Control Trends, Principles, and Applications - Proceedings of the Sixth Biannual World Automation Congress, WAC</v>
      </c>
      <c r="B9913" s="8" t="str">
        <f>"9781889335223"</f>
        <v>9781889335223</v>
      </c>
      <c r="C9913" s="8" t="s">
        <v>1899</v>
      </c>
    </row>
    <row r="9914" spans="1:3" x14ac:dyDescent="0.25">
      <c r="A9914" s="8" t="str">
        <f>"Intelligent Autonomous Systems 10, IAS 2008"</f>
        <v>Intelligent Autonomous Systems 10, IAS 2008</v>
      </c>
      <c r="B9914" s="8" t="str">
        <f>"9781586038878"</f>
        <v>9781586038878</v>
      </c>
      <c r="C9914" s="8" t="s">
        <v>103</v>
      </c>
    </row>
    <row r="9915" spans="1:3" x14ac:dyDescent="0.25">
      <c r="A9915" s="8" t="str">
        <f>"Intelligent Autonomous Systems 11, IAS 2010"</f>
        <v>Intelligent Autonomous Systems 11, IAS 2010</v>
      </c>
      <c r="B9915" s="8" t="str">
        <f>"9781607506126"</f>
        <v>9781607506126</v>
      </c>
      <c r="C9915" s="8" t="s">
        <v>103</v>
      </c>
    </row>
    <row r="9916" spans="1:3" x14ac:dyDescent="0.25">
      <c r="A9916" s="8" t="str">
        <f>"Intelligent Autonomous Systems 9, IAS 2006"</f>
        <v>Intelligent Autonomous Systems 9, IAS 2006</v>
      </c>
      <c r="B9916" s="8" t="str">
        <f>"9781586035952"</f>
        <v>9781586035952</v>
      </c>
      <c r="C9916" s="8" t="s">
        <v>103</v>
      </c>
    </row>
    <row r="9917" spans="1:3" x14ac:dyDescent="0.25">
      <c r="A9917" s="8" t="str">
        <f>"Intelligent Narrative Technologies IV - Papers from the 2011 AIIDE Workshop"</f>
        <v>Intelligent Narrative Technologies IV - Papers from the 2011 AIIDE Workshop</v>
      </c>
      <c r="B9917" s="8" t="str">
        <f>"-"</f>
        <v>-</v>
      </c>
      <c r="C9917" s="8" t="s">
        <v>1257</v>
      </c>
    </row>
    <row r="9918" spans="1:3" x14ac:dyDescent="0.25">
      <c r="A9918" s="8" t="str">
        <f>"Intelligent Systems and Decision Making for Risk Analysis and Crisis Response - Proceedings of the 4th International Conference on Risk Analysis and Crisis Response, RACR 2013"</f>
        <v>Intelligent Systems and Decision Making for Risk Analysis and Crisis Response - Proceedings of the 4th International Conference on Risk Analysis and Crisis Response, RACR 2013</v>
      </c>
      <c r="B9918" s="8" t="str">
        <f>"9781138000193"</f>
        <v>9781138000193</v>
      </c>
      <c r="C9918" s="8" t="s">
        <v>1635</v>
      </c>
    </row>
    <row r="9919" spans="1:3" x14ac:dyDescent="0.25">
      <c r="A9919" s="8" t="str">
        <f>"Intelligent Technologies in Logistics and Mechatronics Systems, ITELMS 2012 - Proceedings of the 7th International Conference"</f>
        <v>Intelligent Technologies in Logistics and Mechatronics Systems, ITELMS 2012 - Proceedings of the 7th International Conference</v>
      </c>
      <c r="B9919" s="8" t="str">
        <f>"9786090205716"</f>
        <v>9786090205716</v>
      </c>
      <c r="C9919" s="8" t="s">
        <v>1140</v>
      </c>
    </row>
    <row r="9920" spans="1:3" x14ac:dyDescent="0.25">
      <c r="A9920" s="8" t="str">
        <f>"Intelligent Technologies in Logistics and Mechatronics Systems, ITELMS'2010 - Proceedings of the 5th International Conference"</f>
        <v>Intelligent Technologies in Logistics and Mechatronics Systems, ITELMS'2010 - Proceedings of the 5th International Conference</v>
      </c>
      <c r="B9920" s="8" t="str">
        <f>"9789955258360"</f>
        <v>9789955258360</v>
      </c>
      <c r="C9920" s="8" t="s">
        <v>1140</v>
      </c>
    </row>
    <row r="9921" spans="1:3" x14ac:dyDescent="0.25">
      <c r="A9921" s="8" t="str">
        <f>"Intelligent Technologies in Logistics and Mechatronics Systems, ITELMS'2012 - Proceedings of the 7th International Conference"</f>
        <v>Intelligent Technologies in Logistics and Mechatronics Systems, ITELMS'2012 - Proceedings of the 7th International Conference</v>
      </c>
      <c r="B9921" s="8" t="str">
        <f>"9786090205716"</f>
        <v>9786090205716</v>
      </c>
      <c r="C9921" s="8" t="s">
        <v>1140</v>
      </c>
    </row>
    <row r="9922" spans="1:3" x14ac:dyDescent="0.25">
      <c r="A9922" s="8" t="str">
        <f>"Intelligent Transportation Society of America - 12th World Congress on Intelligent Transport Systems 2005"</f>
        <v>Intelligent Transportation Society of America - 12th World Congress on Intelligent Transport Systems 2005</v>
      </c>
      <c r="B9922" s="8" t="str">
        <f>"9781604236354"</f>
        <v>9781604236354</v>
      </c>
      <c r="C9922" s="8" t="s">
        <v>394</v>
      </c>
    </row>
    <row r="9923" spans="1:3" x14ac:dyDescent="0.25">
      <c r="A9923" s="8" t="str">
        <f>"Intelligent Vehicle Control Systems - Proceedings of the 2nd International Workshop on Intelligent Vehicle Control Systems, IVCS 2008; In Conjunction with ICINCO 2008"</f>
        <v>Intelligent Vehicle Control Systems - Proceedings of the 2nd International Workshop on Intelligent Vehicle Control Systems, IVCS 2008; In Conjunction with ICINCO 2008</v>
      </c>
      <c r="B9923" s="8" t="str">
        <f>"9789898111340"</f>
        <v>9789898111340</v>
      </c>
      <c r="C9923" s="8" t="s">
        <v>1553</v>
      </c>
    </row>
    <row r="9924" spans="1:3" x14ac:dyDescent="0.25">
      <c r="A9924" s="8" t="str">
        <f>"Intelligent Vehicle Controls and Intelligent Transportation Systems - Proceedings of the 3rd International Workshop - IVC and ITS 2009 In Conjunction with ICINCO 2009"</f>
        <v>Intelligent Vehicle Controls and Intelligent Transportation Systems - Proceedings of the 3rd International Workshop - IVC and ITS 2009 In Conjunction with ICINCO 2009</v>
      </c>
      <c r="B9924" s="8" t="str">
        <f>"9789896740030"</f>
        <v>9789896740030</v>
      </c>
      <c r="C9924" s="8" t="s">
        <v>1680</v>
      </c>
    </row>
    <row r="9925" spans="1:3" x14ac:dyDescent="0.25">
      <c r="A9925" s="8" t="str">
        <f>"Interactions et Usages autour du Document Numerique - Actes du Onzieme Colloque International sur le Document Electronique, CIDE.11"</f>
        <v>Interactions et Usages autour du Document Numerique - Actes du Onzieme Colloque International sur le Document Electronique, CIDE.11</v>
      </c>
      <c r="B9925" s="8" t="str">
        <f>"-"</f>
        <v>-</v>
      </c>
      <c r="C9925" s="8" t="s">
        <v>1790</v>
      </c>
    </row>
    <row r="9926" spans="1:3" x14ac:dyDescent="0.25">
      <c r="A9926" s="8" t="str">
        <f>"Interdisciplinary Behavior and Social Sciences - Proceedings of the 3rd International Congress on Interdisciplinary Behavior and Social Sciences, ICIBSoS 2014"</f>
        <v>Interdisciplinary Behavior and Social Sciences - Proceedings of the 3rd International Congress on Interdisciplinary Behavior and Social Sciences, ICIBSoS 2014</v>
      </c>
      <c r="B9926" s="8" t="str">
        <f>"9781138027350"</f>
        <v>9781138027350</v>
      </c>
      <c r="C9926" s="8" t="s">
        <v>1635</v>
      </c>
    </row>
    <row r="9927" spans="1:3" x14ac:dyDescent="0.25">
      <c r="A9927" s="8" t="str">
        <f>"Intermag 2003 - Program of the 2003 IEEE International Magnetics Conference"</f>
        <v>Intermag 2003 - Program of the 2003 IEEE International Magnetics Conference</v>
      </c>
      <c r="B9927" s="8" t="str">
        <f>"9780780376472"</f>
        <v>9780780376472</v>
      </c>
      <c r="C9927" s="8" t="s">
        <v>105</v>
      </c>
    </row>
    <row r="9928" spans="1:3" x14ac:dyDescent="0.25">
      <c r="A9928" s="8" t="str">
        <f>"INTERMAG 2006 - IEEE International Magnetics Conference"</f>
        <v>INTERMAG 2006 - IEEE International Magnetics Conference</v>
      </c>
      <c r="B9928" s="8" t="str">
        <f>"9781424414796"</f>
        <v>9781424414796</v>
      </c>
      <c r="C9928" s="8" t="s">
        <v>9</v>
      </c>
    </row>
    <row r="9929" spans="1:3" x14ac:dyDescent="0.25">
      <c r="A9929" s="8" t="str">
        <f>"INTERMAG ASIA 2005: Digests of the IEEE International Magnetics Conference"</f>
        <v>INTERMAG ASIA 2005: Digests of the IEEE International Magnetics Conference</v>
      </c>
      <c r="B9929" s="8" t="str">
        <f>"9780780390096"</f>
        <v>9780780390096</v>
      </c>
      <c r="C9929" s="8" t="s">
        <v>9</v>
      </c>
    </row>
    <row r="9930" spans="1:3" x14ac:dyDescent="0.25">
      <c r="A9930" s="8" t="str">
        <f>"International Aegean Conference on Electrical Machines and Power Electronics and Electromotion ACEMP'07 and Electromotion'07 Joint Conference"</f>
        <v>International Aegean Conference on Electrical Machines and Power Electronics and Electromotion ACEMP'07 and Electromotion'07 Joint Conference</v>
      </c>
      <c r="B9930" s="8" t="str">
        <f>"9781424408917"</f>
        <v>9781424408917</v>
      </c>
      <c r="C9930" s="8" t="s">
        <v>9</v>
      </c>
    </row>
    <row r="9931" spans="1:3" x14ac:dyDescent="0.25">
      <c r="A9931" s="8" t="str">
        <f>"International Aegean Conference on Electrical Machines and Power Electronics, ACEMP 2011 and Electromotion 2011 Joint Conference"</f>
        <v>International Aegean Conference on Electrical Machines and Power Electronics, ACEMP 2011 and Electromotion 2011 Joint Conference</v>
      </c>
      <c r="B9931" s="8" t="str">
        <f>"9781467350037"</f>
        <v>9781467350037</v>
      </c>
      <c r="C9931" s="8" t="s">
        <v>9</v>
      </c>
    </row>
    <row r="9932" spans="1:3" x14ac:dyDescent="0.25">
      <c r="A9932" s="8" t="str">
        <f>"International Asia Conference on Industrial Engineering and Management Innovation: Core Areas of Industrial Engineering, IEMI 2012 - Proceedings"</f>
        <v>International Asia Conference on Industrial Engineering and Management Innovation: Core Areas of Industrial Engineering, IEMI 2012 - Proceedings</v>
      </c>
      <c r="B9932" s="8" t="str">
        <f>"9783642384448"</f>
        <v>9783642384448</v>
      </c>
      <c r="C9932" s="8" t="s">
        <v>582</v>
      </c>
    </row>
    <row r="9933" spans="1:3" x14ac:dyDescent="0.25">
      <c r="A9933" s="8" t="str">
        <f>"International Asia Symposium on Intelligent Interaction and Affective Computing, ASIA 2009"</f>
        <v>International Asia Symposium on Intelligent Interaction and Affective Computing, ASIA 2009</v>
      </c>
      <c r="B9933" s="8" t="str">
        <f>"9780769539102"</f>
        <v>9780769539102</v>
      </c>
      <c r="C9933" s="8" t="s">
        <v>9</v>
      </c>
    </row>
    <row r="9934" spans="1:3" x14ac:dyDescent="0.25">
      <c r="A9934" s="8" t="str">
        <f>"International Astronautical Federation - 55th International Astronautical Congress 2004"</f>
        <v>International Astronautical Federation - 55th International Astronautical Congress 2004</v>
      </c>
      <c r="B9934" s="8" t="str">
        <f>"-"</f>
        <v>-</v>
      </c>
      <c r="C9934" s="8" t="s">
        <v>979</v>
      </c>
    </row>
    <row r="9935" spans="1:3" x14ac:dyDescent="0.25">
      <c r="A9935" s="8" t="str">
        <f>"International Astronautical Federation - 56th International Astronautical Congress 2005"</f>
        <v>International Astronautical Federation - 56th International Astronautical Congress 2005</v>
      </c>
      <c r="B9935" s="8" t="str">
        <f>"-"</f>
        <v>-</v>
      </c>
      <c r="C9935" s="8" t="s">
        <v>979</v>
      </c>
    </row>
    <row r="9936" spans="1:3" x14ac:dyDescent="0.25">
      <c r="A9936" s="8" t="str">
        <f>"International Astronautical Federation - 58th International Astronautical Congress 2007"</f>
        <v>International Astronautical Federation - 58th International Astronautical Congress 2007</v>
      </c>
      <c r="B9936" s="8" t="str">
        <f>"9781605601502"</f>
        <v>9781605601502</v>
      </c>
      <c r="C9936" s="8" t="s">
        <v>979</v>
      </c>
    </row>
    <row r="9937" spans="1:3" x14ac:dyDescent="0.25">
      <c r="A9937" s="8" t="str">
        <f>"International Astronautical Federation - 59th International Astronautical Congress 2008, IAC 2008"</f>
        <v>International Astronautical Federation - 59th International Astronautical Congress 2008, IAC 2008</v>
      </c>
      <c r="B9937" s="8" t="str">
        <f>"9781615671601"</f>
        <v>9781615671601</v>
      </c>
      <c r="C9937" s="8" t="s">
        <v>979</v>
      </c>
    </row>
    <row r="9938" spans="1:3" x14ac:dyDescent="0.25">
      <c r="A9938" s="8" t="str">
        <f>"International Automotive Body Congress 2009 and Global Powertrain Congress 2009, IABC 2009 Vaals/GPC 2009 Vaals - Proceedings"</f>
        <v>International Automotive Body Congress 2009 and Global Powertrain Congress 2009, IABC 2009 Vaals/GPC 2009 Vaals - Proceedings</v>
      </c>
      <c r="B9938" s="8" t="str">
        <f>"9781615676989"</f>
        <v>9781615676989</v>
      </c>
      <c r="C9938" s="8" t="s">
        <v>1699</v>
      </c>
    </row>
    <row r="9939" spans="1:3" x14ac:dyDescent="0.25">
      <c r="A9939" s="8" t="str">
        <f>"International Automotive Heat Treating Conference"</f>
        <v>International Automotive Heat Treating Conference</v>
      </c>
      <c r="B9939" s="8" t="str">
        <f>"9780871706256"</f>
        <v>9780871706256</v>
      </c>
      <c r="C9939" s="8" t="s">
        <v>65</v>
      </c>
    </row>
    <row r="9940" spans="1:3" x14ac:dyDescent="0.25">
      <c r="A9940" s="8" t="str">
        <f>"International Beam Instrumentation Conference, IBIC 2014"</f>
        <v>International Beam Instrumentation Conference, IBIC 2014</v>
      </c>
      <c r="B9940" s="8" t="str">
        <f>"-"</f>
        <v>-</v>
      </c>
      <c r="C9940" s="8" t="s">
        <v>1480</v>
      </c>
    </row>
    <row r="9941" spans="1:3" x14ac:dyDescent="0.25">
      <c r="A9941" s="8" t="str">
        <f>"International Cement Microscopy Association - 28th International Conference on Cement Microscopy 2006"</f>
        <v>International Cement Microscopy Association - 28th International Conference on Cement Microscopy 2006</v>
      </c>
      <c r="B9941" s="8" t="str">
        <f>"9781604236002"</f>
        <v>9781604236002</v>
      </c>
      <c r="C9941" s="8" t="s">
        <v>1444</v>
      </c>
    </row>
    <row r="9942" spans="1:3" x14ac:dyDescent="0.25">
      <c r="A9942" s="8" t="str">
        <f>"International Cement Microscopy Association - 29th International Conference on Cement Microscopy 2007"</f>
        <v>International Cement Microscopy Association - 29th International Conference on Cement Microscopy 2007</v>
      </c>
      <c r="B9942" s="8" t="str">
        <f>"9781604232158"</f>
        <v>9781604232158</v>
      </c>
      <c r="C9942" s="8" t="s">
        <v>1444</v>
      </c>
    </row>
    <row r="9943" spans="1:3" x14ac:dyDescent="0.25">
      <c r="A9943" s="8" t="str">
        <f>"International Cement Microscopy Association - 30th International Conference on Cement Microscopy 2008"</f>
        <v>International Cement Microscopy Association - 30th International Conference on Cement Microscopy 2008</v>
      </c>
      <c r="B9943" s="8" t="str">
        <f>"9781605602929"</f>
        <v>9781605602929</v>
      </c>
      <c r="C9943" s="8" t="s">
        <v>1444</v>
      </c>
    </row>
    <row r="9944" spans="1:3" x14ac:dyDescent="0.25">
      <c r="A9944" s="8" t="str">
        <f>"International CIGRE Zagreb Symposium 2007: Transient Phenomena in Large Electric Power Systems"</f>
        <v>International CIGRE Zagreb Symposium 2007: Transient Phenomena in Large Electric Power Systems</v>
      </c>
      <c r="B9944" s="8" t="str">
        <f>"9782858730223"</f>
        <v>9782858730223</v>
      </c>
      <c r="C9944" s="8" t="s">
        <v>1352</v>
      </c>
    </row>
    <row r="9945" spans="1:3" x14ac:dyDescent="0.25">
      <c r="A9945" s="8" t="str">
        <f>"International Coal Preparation Congress 2010, Conference Proceedings"</f>
        <v>International Coal Preparation Congress 2010, Conference Proceedings</v>
      </c>
      <c r="B9945" s="8" t="str">
        <f>"9780873353304"</f>
        <v>9780873353304</v>
      </c>
      <c r="C9945" s="8" t="s">
        <v>877</v>
      </c>
    </row>
    <row r="9946" spans="1:3" x14ac:dyDescent="0.25">
      <c r="A9946" s="8" t="str">
        <f>"International Computer Music Conference, ICMC 2005"</f>
        <v>International Computer Music Conference, ICMC 2005</v>
      </c>
      <c r="B9946" s="8" t="str">
        <f>"-"</f>
        <v>-</v>
      </c>
      <c r="C9946" s="8" t="s">
        <v>1921</v>
      </c>
    </row>
    <row r="9947" spans="1:3" x14ac:dyDescent="0.25">
      <c r="A9947" s="8" t="str">
        <f>"International Computer Music Conference, ICMC 2006"</f>
        <v>International Computer Music Conference, ICMC 2006</v>
      </c>
      <c r="B9947" s="8" t="str">
        <f>"-"</f>
        <v>-</v>
      </c>
      <c r="C9947" s="8" t="s">
        <v>1921</v>
      </c>
    </row>
    <row r="9948" spans="1:3" x14ac:dyDescent="0.25">
      <c r="A9948" s="8" t="str">
        <f>"International Computer Music Conference, ICMC 2007"</f>
        <v>International Computer Music Conference, ICMC 2007</v>
      </c>
      <c r="B9948" s="8" t="str">
        <f>"-"</f>
        <v>-</v>
      </c>
      <c r="C9948" s="8" t="s">
        <v>1921</v>
      </c>
    </row>
    <row r="9949" spans="1:3" x14ac:dyDescent="0.25">
      <c r="A9949" s="8" t="str">
        <f>"International Computer Music Conference, ICMC 2008"</f>
        <v>International Computer Music Conference, ICMC 2008</v>
      </c>
      <c r="B9949" s="8" t="str">
        <f>"-"</f>
        <v>-</v>
      </c>
      <c r="C9949" s="8" t="s">
        <v>1921</v>
      </c>
    </row>
    <row r="9950" spans="1:3" x14ac:dyDescent="0.25">
      <c r="A9950" s="8" t="str">
        <f>"International Computer Music Conference, ICMC 2010"</f>
        <v>International Computer Music Conference, ICMC 2010</v>
      </c>
      <c r="B9950" s="8" t="str">
        <f>"-"</f>
        <v>-</v>
      </c>
      <c r="C9950" s="8" t="s">
        <v>1921</v>
      </c>
    </row>
    <row r="9951" spans="1:3" x14ac:dyDescent="0.25">
      <c r="A9951" s="8" t="str">
        <f>"International Conference - Braking 2004: Vehicle Braking and Chassis Control"</f>
        <v>International Conference - Braking 2004: Vehicle Braking and Chassis Control</v>
      </c>
      <c r="B9951" s="8" t="str">
        <f>"9781860584640"</f>
        <v>9781860584640</v>
      </c>
      <c r="C9951" s="8" t="s">
        <v>1645</v>
      </c>
    </row>
    <row r="9952" spans="1:3" x14ac:dyDescent="0.25">
      <c r="A9952" s="8" t="str">
        <f>"International Conference - Design, Construction and Operation of Super and Mega Yachts - Papers"</f>
        <v>International Conference - Design, Construction and Operation of Super and Mega Yachts - Papers</v>
      </c>
      <c r="B9952" s="8" t="str">
        <f>"9781905040568"</f>
        <v>9781905040568</v>
      </c>
      <c r="C9952" s="8" t="s">
        <v>1137</v>
      </c>
    </row>
    <row r="9953" spans="1:3" x14ac:dyDescent="0.25">
      <c r="A9953" s="8" t="str">
        <f>"International Conference - ICSOT 2006: Design, Construction and Operation Of Natural Gas Carriers and Offshore Systems"</f>
        <v>International Conference - ICSOT 2006: Design, Construction and Operation Of Natural Gas Carriers and Offshore Systems</v>
      </c>
      <c r="B9953" s="8" t="str">
        <f>"9781905040278"</f>
        <v>9781905040278</v>
      </c>
      <c r="C9953" s="8" t="s">
        <v>1137</v>
      </c>
    </row>
    <row r="9954" spans="1:3" x14ac:dyDescent="0.25">
      <c r="A9954" s="8" t="str">
        <f>"International Conference - IMAREST: Education, Training and Continuing Professional Development of Marine Engineers in the Maritime Industry, Papers"</f>
        <v>International Conference - IMAREST: Education, Training and Continuing Professional Development of Marine Engineers in the Maritime Industry, Papers</v>
      </c>
      <c r="B9954" s="8" t="str">
        <f>"9781905040254"</f>
        <v>9781905040254</v>
      </c>
      <c r="C9954" s="8" t="s">
        <v>1137</v>
      </c>
    </row>
    <row r="9955" spans="1:3" x14ac:dyDescent="0.25">
      <c r="A9955" s="8" t="str">
        <f>"International Conference - Nuclear Energy for New Europe, Proceedings"</f>
        <v>International Conference - Nuclear Energy for New Europe, Proceedings</v>
      </c>
      <c r="B9955" s="8" t="str">
        <f>"-"</f>
        <v>-</v>
      </c>
      <c r="C9955" s="8" t="s">
        <v>1922</v>
      </c>
    </row>
    <row r="9956" spans="1:3" x14ac:dyDescent="0.25">
      <c r="A9956" s="8" t="str">
        <f>"International Conference - Radiation Interaction with Material and its use in Technologies 2008"</f>
        <v>International Conference - Radiation Interaction with Material and its use in Technologies 2008</v>
      </c>
      <c r="B9956" s="8" t="str">
        <f>"-"</f>
        <v>-</v>
      </c>
      <c r="C9956" s="8" t="s">
        <v>1140</v>
      </c>
    </row>
    <row r="9957" spans="1:3" x14ac:dyDescent="0.25">
      <c r="A9957" s="8" t="str">
        <f>"International Conference - Warship 2006: Future Surface Warships"</f>
        <v>International Conference - Warship 2006: Future Surface Warships</v>
      </c>
      <c r="B9957" s="8" t="str">
        <f>"9781905040261"</f>
        <v>9781905040261</v>
      </c>
      <c r="C9957" s="8" t="s">
        <v>1137</v>
      </c>
    </row>
    <row r="9958" spans="1:3" x14ac:dyDescent="0.25">
      <c r="A9958" s="8" t="str">
        <f>"International Conference and Exhibition of the American Association of Textile Chemists and Colorists, AATCC IC and E 2006"</f>
        <v>International Conference and Exhibition of the American Association of Textile Chemists and Colorists, AATCC IC and E 2006</v>
      </c>
      <c r="B9958" s="8" t="str">
        <f>"9781604232264"</f>
        <v>9781604232264</v>
      </c>
      <c r="C9958" s="8" t="s">
        <v>1661</v>
      </c>
    </row>
    <row r="9959" spans="1:3" x14ac:dyDescent="0.25">
      <c r="A9959" s="8" t="str">
        <f>"International Conference and Exhibition of the American Association of Textile Chemists and Colorists, AATCC IC and E 2007"</f>
        <v>International Conference and Exhibition of the American Association of Textile Chemists and Colorists, AATCC IC and E 2007</v>
      </c>
      <c r="B9959" s="8" t="str">
        <f>"9781604238518"</f>
        <v>9781604238518</v>
      </c>
      <c r="C9959" s="8" t="s">
        <v>1661</v>
      </c>
    </row>
    <row r="9960" spans="1:3" x14ac:dyDescent="0.25">
      <c r="A9960" s="8" t="str">
        <f>"International Conference and Exhibition on Device Packaging 2009"</f>
        <v>International Conference and Exhibition on Device Packaging 2009</v>
      </c>
      <c r="B9960" s="8" t="str">
        <f>"9781615673254"</f>
        <v>9781615673254</v>
      </c>
      <c r="C9960" s="8" t="s">
        <v>93</v>
      </c>
    </row>
    <row r="9961" spans="1:3" x14ac:dyDescent="0.25">
      <c r="A9961" s="8" t="str">
        <f>"International Conference and Exhibition on Device Packaging 2010, Held in Conjunction with the Global Business Council, GBC 2010 Spring Conference"</f>
        <v>International Conference and Exhibition on Device Packaging 2010, Held in Conjunction with the Global Business Council, GBC 2010 Spring Conference</v>
      </c>
      <c r="B9961" s="8" t="str">
        <f>"9781617386039"</f>
        <v>9781617386039</v>
      </c>
      <c r="C9961" s="8" t="s">
        <v>93</v>
      </c>
    </row>
    <row r="9962" spans="1:3" x14ac:dyDescent="0.25">
      <c r="A9962" s="8" t="str">
        <f>"International Conference and Exhibition on Device Packaging 2013"</f>
        <v>International Conference and Exhibition on Device Packaging 2013</v>
      </c>
      <c r="B9962" s="8" t="str">
        <f>"9781627487740"</f>
        <v>9781627487740</v>
      </c>
      <c r="C9962" s="8" t="s">
        <v>93</v>
      </c>
    </row>
    <row r="9963" spans="1:3" x14ac:dyDescent="0.25">
      <c r="A9963" s="8" t="str">
        <f>"International Conference and Exhibition on High Temperature Electronics 2008, HiTEC 2008"</f>
        <v>International Conference and Exhibition on High Temperature Electronics 2008, HiTEC 2008</v>
      </c>
      <c r="B9963" s="8" t="str">
        <f>"9781615670918"</f>
        <v>9781615670918</v>
      </c>
      <c r="C9963" s="8" t="s">
        <v>93</v>
      </c>
    </row>
    <row r="9964" spans="1:3" x14ac:dyDescent="0.25">
      <c r="A9964" s="8" t="str">
        <f>"International Conference and Exhibition on High Temperature Electronics 2010, HiTEC 2010"</f>
        <v>International Conference and Exhibition on High Temperature Electronics 2010, HiTEC 2010</v>
      </c>
      <c r="B9964" s="8" t="str">
        <f>"9781622769780"</f>
        <v>9781622769780</v>
      </c>
      <c r="C9964" s="8" t="s">
        <v>93</v>
      </c>
    </row>
    <row r="9965" spans="1:3" x14ac:dyDescent="0.25">
      <c r="A9965" s="8" t="str">
        <f>"International Conference and Exhibition on High Temperature Electronics Network, HiTEN 2013"</f>
        <v>International Conference and Exhibition on High Temperature Electronics Network, HiTEN 2013</v>
      </c>
      <c r="B9965" s="8" t="str">
        <f>"9781634391146"</f>
        <v>9781634391146</v>
      </c>
      <c r="C9965" s="8" t="s">
        <v>93</v>
      </c>
    </row>
    <row r="9966" spans="1:3" x14ac:dyDescent="0.25">
      <c r="A9966" s="8" t="str">
        <f>"International Conference and Exhibition on High Temperature Electronics, HiTEC 2014"</f>
        <v>International Conference and Exhibition on High Temperature Electronics, HiTEC 2014</v>
      </c>
      <c r="B9966" s="8" t="str">
        <f>"9781634391153"</f>
        <v>9781634391153</v>
      </c>
      <c r="C9966" s="8" t="s">
        <v>93</v>
      </c>
    </row>
    <row r="9967" spans="1:3" x14ac:dyDescent="0.25">
      <c r="A9967" s="8" t="str">
        <f>"International Conference and Exhibition on Performance of Ships and Structures in Ice 2008, ICETECH 2008"</f>
        <v>International Conference and Exhibition on Performance of Ships and Structures in Ice 2008, ICETECH 2008</v>
      </c>
      <c r="B9967" s="8" t="str">
        <f>"9781618399212"</f>
        <v>9781618399212</v>
      </c>
      <c r="C9967" s="8" t="s">
        <v>762</v>
      </c>
    </row>
    <row r="9968" spans="1:3" x14ac:dyDescent="0.25">
      <c r="A9968" s="8" t="str">
        <f>"International Conference and Exhibition on Performance of Ships and Structures in Ice 2010, ICETECH 2010"</f>
        <v>International Conference and Exhibition on Performance of Ships and Structures in Ice 2010, ICETECH 2010</v>
      </c>
      <c r="B9968" s="8" t="str">
        <f>"9781618399878"</f>
        <v>9781618399878</v>
      </c>
      <c r="C9968" s="8" t="s">
        <v>762</v>
      </c>
    </row>
    <row r="9969" spans="1:3" x14ac:dyDescent="0.25">
      <c r="A9969" s="8" t="str">
        <f>"International Conference and Exhibition on Performance of Ships and Structures in Ice 2012, ICETECH 2012"</f>
        <v>International Conference and Exhibition on Performance of Ships and Structures in Ice 2012, ICETECH 2012</v>
      </c>
      <c r="B9969" s="8" t="str">
        <f>"9781622768011"</f>
        <v>9781622768011</v>
      </c>
      <c r="C9969" s="8" t="s">
        <v>762</v>
      </c>
    </row>
    <row r="9970" spans="1:3" x14ac:dyDescent="0.25">
      <c r="A9970" s="8" t="str">
        <f>"International Conference and Workshop on Emerging Trends in Technology 2011, ICWET 2011 - Conference Proceedings"</f>
        <v>International Conference and Workshop on Emerging Trends in Technology 2011, ICWET 2011 - Conference Proceedings</v>
      </c>
      <c r="B9970" s="8" t="str">
        <f>"9781450304498"</f>
        <v>9781450304498</v>
      </c>
      <c r="C9970" s="8" t="s">
        <v>21</v>
      </c>
    </row>
    <row r="9971" spans="1:3" x14ac:dyDescent="0.25">
      <c r="A9971" s="8" t="str">
        <f>"International Conference for Internet Technology and Secured Transactions, ICITST 2009"</f>
        <v>International Conference for Internet Technology and Secured Transactions, ICITST 2009</v>
      </c>
      <c r="B9971" s="8" t="str">
        <f>"9781424456482"</f>
        <v>9781424456482</v>
      </c>
      <c r="C9971" s="8" t="s">
        <v>9</v>
      </c>
    </row>
    <row r="9972" spans="1:3" x14ac:dyDescent="0.25">
      <c r="A9972" s="8" t="str">
        <f>"International Conference for Technical Postgraduates 2009, TECHPOS 2009"</f>
        <v>International Conference for Technical Postgraduates 2009, TECHPOS 2009</v>
      </c>
      <c r="B9972" s="8" t="str">
        <f>"9781424452231"</f>
        <v>9781424452231</v>
      </c>
      <c r="C9972" s="8" t="s">
        <v>9</v>
      </c>
    </row>
    <row r="9973" spans="1:3" x14ac:dyDescent="0.25">
      <c r="A9973" s="8" t="str">
        <f>"International Conference High Speed Craft - ACV's, WIG's and Hydrofoils"</f>
        <v>International Conference High Speed Craft - ACV's, WIG's and Hydrofoils</v>
      </c>
      <c r="B9973" s="8" t="str">
        <f>"9781905040285"</f>
        <v>9781905040285</v>
      </c>
      <c r="C9973" s="8" t="s">
        <v>1137</v>
      </c>
    </row>
    <row r="9974" spans="1:3" x14ac:dyDescent="0.25">
      <c r="A9974" s="8" t="str">
        <f>"International Conference on Advanced High Strength Sheet Steels for Automotive Applications - Proceedings"</f>
        <v>International Conference on Advanced High Strength Sheet Steels for Automotive Applications - Proceedings</v>
      </c>
      <c r="B9974" s="8" t="str">
        <f>"9781886362727"</f>
        <v>9781886362727</v>
      </c>
      <c r="C9974" s="8" t="s">
        <v>113</v>
      </c>
    </row>
    <row r="9975" spans="1:3" x14ac:dyDescent="0.25">
      <c r="A9975" s="8" t="str">
        <f>"International Conference on Advances in Computer Entertainment Technology 2006"</f>
        <v>International Conference on Advances in Computer Entertainment Technology 2006</v>
      </c>
      <c r="B9975" s="8" t="str">
        <f>"9781595933805"</f>
        <v>9781595933805</v>
      </c>
      <c r="C9975" s="8" t="s">
        <v>21</v>
      </c>
    </row>
    <row r="9976" spans="1:3" x14ac:dyDescent="0.25">
      <c r="A9976" s="8" t="str">
        <f>"International Conference on Advances in ICT for Emerging Regions, ICTer 2012 - Conference Proceedings"</f>
        <v>International Conference on Advances in ICT for Emerging Regions, ICTer 2012 - Conference Proceedings</v>
      </c>
      <c r="B9976" s="8" t="str">
        <f>"9781467355308"</f>
        <v>9781467355308</v>
      </c>
      <c r="C9976" s="8" t="s">
        <v>9</v>
      </c>
    </row>
    <row r="9977" spans="1:3" x14ac:dyDescent="0.25">
      <c r="A9977" s="8" t="str">
        <f>"International Conference on Advances in ICT for Emerging Regions, ICTer 2013 - Conference Proceedings"</f>
        <v>International Conference on Advances in ICT for Emerging Regions, ICTer 2013 - Conference Proceedings</v>
      </c>
      <c r="B9977" s="8" t="str">
        <f>"9781479912742"</f>
        <v>9781479912742</v>
      </c>
      <c r="C9977" s="8" t="s">
        <v>9</v>
      </c>
    </row>
    <row r="9978" spans="1:3" x14ac:dyDescent="0.25">
      <c r="A9978" s="8" t="str">
        <f>"International Conference on Advances in Nuclear Power Plants, ICAPP 2008"</f>
        <v>International Conference on Advances in Nuclear Power Plants, ICAPP 2008</v>
      </c>
      <c r="B9978" s="8" t="str">
        <f>"9781605607870"</f>
        <v>9781605607870</v>
      </c>
      <c r="C9978" s="8" t="s">
        <v>453</v>
      </c>
    </row>
    <row r="9979" spans="1:3" x14ac:dyDescent="0.25">
      <c r="A9979" s="8" t="str">
        <f>"International Conference on Air Cushion Vehicles and Surface Effect Craft 2009"</f>
        <v>International Conference on Air Cushion Vehicles and Surface Effect Craft 2009</v>
      </c>
      <c r="B9979" s="8" t="str">
        <f>"9781615679966"</f>
        <v>9781615679966</v>
      </c>
      <c r="C9979" s="8" t="s">
        <v>1137</v>
      </c>
    </row>
    <row r="9980" spans="1:3" x14ac:dyDescent="0.25">
      <c r="A9980" s="8" t="str">
        <f>"International Conference on Applications of Electromagnetism and Student Innovation Competition Awards, AEM2C 2010"</f>
        <v>International Conference on Applications of Electromagnetism and Student Innovation Competition Awards, AEM2C 2010</v>
      </c>
      <c r="B9980" s="8" t="str">
        <f>"9781424464166"</f>
        <v>9781424464166</v>
      </c>
      <c r="C9980" s="8" t="s">
        <v>9</v>
      </c>
    </row>
    <row r="9981" spans="1:3" x14ac:dyDescent="0.25">
      <c r="A9981" s="8" t="str">
        <f>"International Conference on Applied Electronics 2006, AE"</f>
        <v>International Conference on Applied Electronics 2006, AE</v>
      </c>
      <c r="B9981" s="8" t="str">
        <f>"9788070434420"</f>
        <v>9788070434420</v>
      </c>
      <c r="C9981" s="8" t="s">
        <v>9</v>
      </c>
    </row>
    <row r="9982" spans="1:3" x14ac:dyDescent="0.25">
      <c r="A9982" s="8" t="str">
        <f>"International Conference on Artificial Intelligence and Pattern Recognition 2007, AIPR 2007"</f>
        <v>International Conference on Artificial Intelligence and Pattern Recognition 2007, AIPR 2007</v>
      </c>
      <c r="B9982" s="8" t="str">
        <f>"9781615677214"</f>
        <v>9781615677214</v>
      </c>
      <c r="C9982" s="8" t="s">
        <v>1923</v>
      </c>
    </row>
    <row r="9983" spans="1:3" x14ac:dyDescent="0.25">
      <c r="A9983" s="8" t="str">
        <f>"International Conference on Artificial Intelligence and Pattern Recognition 2008, AIPR 2008"</f>
        <v>International Conference on Artificial Intelligence and Pattern Recognition 2008, AIPR 2008</v>
      </c>
      <c r="B9983" s="8" t="str">
        <f>"9781615677184"</f>
        <v>9781615677184</v>
      </c>
      <c r="C9983" s="8" t="s">
        <v>1923</v>
      </c>
    </row>
    <row r="9984" spans="1:3" x14ac:dyDescent="0.25">
      <c r="A9984" s="8" t="str">
        <f>"International Conference on Artificial Intelligence and Pattern Recognition 2009, AIPR 2009"</f>
        <v>International Conference on Artificial Intelligence and Pattern Recognition 2009, AIPR 2009</v>
      </c>
      <c r="B9984" s="8" t="str">
        <f>"9781615676576"</f>
        <v>9781615676576</v>
      </c>
      <c r="C9984" s="8" t="s">
        <v>1923</v>
      </c>
    </row>
    <row r="9985" spans="1:3" x14ac:dyDescent="0.25">
      <c r="A9985" s="8" t="str">
        <f>"International Conference on Artificial Intelligence and Pattern Recognition 2010, AIPR 2010"</f>
        <v>International Conference on Artificial Intelligence and Pattern Recognition 2010, AIPR 2010</v>
      </c>
      <c r="B9985" s="8" t="str">
        <f>"9781617820670"</f>
        <v>9781617820670</v>
      </c>
      <c r="C9985" s="8" t="s">
        <v>1923</v>
      </c>
    </row>
    <row r="9986" spans="1:3" x14ac:dyDescent="0.25">
      <c r="A9986" s="8" t="str">
        <f>"International Conference on Automation, Robotics and Control Systems 2008, ARCS 2008"</f>
        <v>International Conference on Automation, Robotics and Control Systems 2008, ARCS 2008</v>
      </c>
      <c r="B9986" s="8" t="str">
        <f>"9781615677146"</f>
        <v>9781615677146</v>
      </c>
      <c r="C9986" s="8" t="s">
        <v>1923</v>
      </c>
    </row>
    <row r="9987" spans="1:3" x14ac:dyDescent="0.25">
      <c r="A9987" s="8" t="str">
        <f>"International Conference on Automation, Robotics and Control Systems 2009, ARCS 2009"</f>
        <v>International Conference on Automation, Robotics and Control Systems 2009, ARCS 2009</v>
      </c>
      <c r="B9987" s="8" t="str">
        <f>"9781615676552"</f>
        <v>9781615676552</v>
      </c>
      <c r="C9987" s="8" t="s">
        <v>1923</v>
      </c>
    </row>
    <row r="9988" spans="1:3" x14ac:dyDescent="0.25">
      <c r="A9988" s="8" t="str">
        <f>"International Conference on Automation, Robotics and Control Systems 2010, ARCS 2010"</f>
        <v>International Conference on Automation, Robotics and Control Systems 2010, ARCS 2010</v>
      </c>
      <c r="B9988" s="8" t="str">
        <f>"9781617820700"</f>
        <v>9781617820700</v>
      </c>
      <c r="C9988" s="8" t="s">
        <v>1923</v>
      </c>
    </row>
    <row r="9989" spans="1:3" x14ac:dyDescent="0.25">
      <c r="A9989" s="8" t="str">
        <f>"International Conference on Bioinformatics, Computational Biology, Genomics and Chemoinformatics 2008, BCBGC 2008"</f>
        <v>International Conference on Bioinformatics, Computational Biology, Genomics and Chemoinformatics 2008, BCBGC 2008</v>
      </c>
      <c r="B9989" s="8" t="str">
        <f>"9781615677153"</f>
        <v>9781615677153</v>
      </c>
      <c r="C9989" s="8" t="s">
        <v>1923</v>
      </c>
    </row>
    <row r="9990" spans="1:3" x14ac:dyDescent="0.25">
      <c r="A9990" s="8" t="str">
        <f>"International Conference on Bioinformatics, Computational Biology, Genomics and Chemoinformatics 2009, BCBGC 2009"</f>
        <v>International Conference on Bioinformatics, Computational Biology, Genomics and Chemoinformatics 2009, BCBGC 2009</v>
      </c>
      <c r="B9990" s="8" t="str">
        <f>"9781615676538"</f>
        <v>9781615676538</v>
      </c>
      <c r="C9990" s="8" t="s">
        <v>1923</v>
      </c>
    </row>
    <row r="9991" spans="1:3" x14ac:dyDescent="0.25">
      <c r="A9991" s="8" t="str">
        <f>"International Conference on Bioinformatics, Computational Biology, Genomics and Chemoinformatics 2010, BCBGC 2010"</f>
        <v>International Conference on Bioinformatics, Computational Biology, Genomics and Chemoinformatics 2010, BCBGC 2010</v>
      </c>
      <c r="B9991" s="8" t="str">
        <f>"9781617820694"</f>
        <v>9781617820694</v>
      </c>
      <c r="C9991" s="8" t="s">
        <v>1923</v>
      </c>
    </row>
    <row r="9992" spans="1:3" x14ac:dyDescent="0.25">
      <c r="A9992" s="8" t="str">
        <f>"International Conference on Challenges in Environmental Science and Computer Engineering, CESCE 2010"</f>
        <v>International Conference on Challenges in Environmental Science and Computer Engineering, CESCE 2010</v>
      </c>
      <c r="B9992" s="8" t="str">
        <f>"9780769539720"</f>
        <v>9780769539720</v>
      </c>
      <c r="C9992" s="8" t="s">
        <v>9</v>
      </c>
    </row>
    <row r="9993" spans="1:3" x14ac:dyDescent="0.25">
      <c r="A9993" s="8" t="str">
        <f>"International Conference on Coastal Management,Coastal Management 2003"</f>
        <v>International Conference on Coastal Management,Coastal Management 2003</v>
      </c>
      <c r="B9993" s="8" t="str">
        <f>"9780727732552"</f>
        <v>9780727732552</v>
      </c>
      <c r="C9993" s="8" t="s">
        <v>74</v>
      </c>
    </row>
    <row r="9994" spans="1:3" x14ac:dyDescent="0.25">
      <c r="A9994" s="8" t="str">
        <f>"International Conference on Coastlines, Structures and Breakwaters 2005: Harmonising Scale and Detail - Proceedings of the International Conference on Coastlines, Structures and Breakwaters 2005"</f>
        <v>International Conference on Coastlines, Structures and Breakwaters 2005: Harmonising Scale and Detail - Proceedings of the International Conference on Coastlines, Structures and Breakwaters 2005</v>
      </c>
      <c r="B9994" s="8" t="str">
        <f>"-"</f>
        <v>-</v>
      </c>
      <c r="C9994" s="8" t="s">
        <v>74</v>
      </c>
    </row>
    <row r="9995" spans="1:3" x14ac:dyDescent="0.25">
      <c r="A9995" s="8" t="str">
        <f>"International Conference on Communication and Signal Processing, ICCSP 2013 - Proceedings"</f>
        <v>International Conference on Communication and Signal Processing, ICCSP 2013 - Proceedings</v>
      </c>
      <c r="B9995" s="8" t="str">
        <f>"9781467348669"</f>
        <v>9781467348669</v>
      </c>
      <c r="C9995" s="8" t="s">
        <v>9</v>
      </c>
    </row>
    <row r="9996" spans="1:3" x14ac:dyDescent="0.25">
      <c r="A9996" s="8" t="str">
        <f>"International Conference on Communication and Signal Processing, ICCSP 2014 - Proceedings"</f>
        <v>International Conference on Communication and Signal Processing, ICCSP 2014 - Proceedings</v>
      </c>
      <c r="B9996" s="8" t="str">
        <f>"9781479933587"</f>
        <v>9781479933587</v>
      </c>
      <c r="C9996" s="8" t="s">
        <v>105</v>
      </c>
    </row>
    <row r="9997" spans="1:3" x14ac:dyDescent="0.25">
      <c r="A9997" s="8" t="str">
        <f>"International Conference on Computer and Communication Engineering, ICCCE'10"</f>
        <v>International Conference on Computer and Communication Engineering, ICCCE'10</v>
      </c>
      <c r="B9997" s="8" t="str">
        <f>"9781424462346"</f>
        <v>9781424462346</v>
      </c>
      <c r="C9997" s="8" t="s">
        <v>9</v>
      </c>
    </row>
    <row r="9998" spans="1:3" x14ac:dyDescent="0.25">
      <c r="A9998" s="8" t="str">
        <f>"International Conference on Computer and Communications Security, ICCCS 2009"</f>
        <v>International Conference on Computer and Communications Security, ICCCS 2009</v>
      </c>
      <c r="B9998" s="8" t="str">
        <f>"9780769539065"</f>
        <v>9780769539065</v>
      </c>
      <c r="C9998" s="8" t="s">
        <v>9</v>
      </c>
    </row>
    <row r="9999" spans="1:3" x14ac:dyDescent="0.25">
      <c r="A9999" s="8" t="str">
        <f>"International Conference on Computer Applications Technology, ICCAT 2013"</f>
        <v>International Conference on Computer Applications Technology, ICCAT 2013</v>
      </c>
      <c r="B9999" s="8" t="str">
        <f>"9781467352857"</f>
        <v>9781467352857</v>
      </c>
      <c r="C9999" s="8" t="s">
        <v>9</v>
      </c>
    </row>
    <row r="10000" spans="1:3" x14ac:dyDescent="0.25">
      <c r="A10000" s="8" t="str">
        <f>"International Conference on Computer Medical Applications, ICCMA 2013"</f>
        <v>International Conference on Computer Medical Applications, ICCMA 2013</v>
      </c>
      <c r="B10000" s="8" t="str">
        <f>"9781467352147"</f>
        <v>9781467352147</v>
      </c>
      <c r="C10000" s="8" t="s">
        <v>9</v>
      </c>
    </row>
    <row r="10001" spans="1:3" x14ac:dyDescent="0.25">
      <c r="A10001" s="8" t="str">
        <f>"International Conference on Computing and Communication Technologies, ICCCT 2014"</f>
        <v>International Conference on Computing and Communication Technologies, ICCCT 2014</v>
      </c>
      <c r="B10001" s="8" t="str">
        <f>"9781479981502"</f>
        <v>9781479981502</v>
      </c>
      <c r="C10001" s="8" t="s">
        <v>105</v>
      </c>
    </row>
    <row r="10002" spans="1:3" x14ac:dyDescent="0.25">
      <c r="A10002" s="8" t="str">
        <f>"International Conference on Computing, Communication and Automation, ICCCA 2015"</f>
        <v>International Conference on Computing, Communication and Automation, ICCCA 2015</v>
      </c>
      <c r="B10002" s="8" t="str">
        <f>"9781479988907"</f>
        <v>9781479988907</v>
      </c>
      <c r="C10002" s="8" t="s">
        <v>105</v>
      </c>
    </row>
    <row r="10003" spans="1:3" x14ac:dyDescent="0.25">
      <c r="A10003" s="8" t="str">
        <f>"International Conference on Concrete Pavement Design, Construction and Rehabilitation"</f>
        <v>International Conference on Concrete Pavement Design, Construction and Rehabilitation</v>
      </c>
      <c r="B10003" s="8" t="str">
        <f>"9780984065882"</f>
        <v>9780984065882</v>
      </c>
      <c r="C10003" s="8" t="s">
        <v>1924</v>
      </c>
    </row>
    <row r="10004" spans="1:3" x14ac:dyDescent="0.25">
      <c r="A10004" s="8" t="str">
        <f>"International Conference on Control and Automation"</f>
        <v>International Conference on Control and Automation</v>
      </c>
      <c r="B10004" s="8" t="str">
        <f>"9780780377776"</f>
        <v>9780780377776</v>
      </c>
      <c r="C10004" s="8" t="s">
        <v>105</v>
      </c>
    </row>
    <row r="10005" spans="1:3" x14ac:dyDescent="0.25">
      <c r="A10005" s="8" t="str">
        <f>"International Conference on Control, Instrumentation, Energy and Communication, CIEC 2014"</f>
        <v>International Conference on Control, Instrumentation, Energy and Communication, CIEC 2014</v>
      </c>
      <c r="B10005" s="8" t="str">
        <f>"9781479920440"</f>
        <v>9781479920440</v>
      </c>
      <c r="C10005" s="8" t="s">
        <v>105</v>
      </c>
    </row>
    <row r="10006" spans="1:3" x14ac:dyDescent="0.25">
      <c r="A10006" s="8" t="str">
        <f>"International Conference on Current Problems in Nuclear Physics and Atomic Energy - Proceedings of the NPAE 2006"</f>
        <v>International Conference on Current Problems in Nuclear Physics and Atomic Energy - Proceedings of the NPAE 2006</v>
      </c>
      <c r="B10006" s="8" t="str">
        <f>"-"</f>
        <v>-</v>
      </c>
      <c r="C10006" s="8" t="s">
        <v>1462</v>
      </c>
    </row>
    <row r="10007" spans="1:3" x14ac:dyDescent="0.25">
      <c r="A10007" s="8" t="str">
        <f>"International Conference on Database and Expert Systems Applications - DEXA"</f>
        <v>International Conference on Database and Expert Systems Applications - DEXA</v>
      </c>
      <c r="B10007" s="8" t="str">
        <f>"9780769521954"</f>
        <v>9780769521954</v>
      </c>
      <c r="C10007" s="8" t="s">
        <v>105</v>
      </c>
    </row>
    <row r="10008" spans="1:3" x14ac:dyDescent="0.25">
      <c r="A10008" s="8" t="str">
        <f>"International Conference on Design and Technology of Integrated Systems in Nanoscale Era, DTIS'08"</f>
        <v>International Conference on Design and Technology of Integrated Systems in Nanoscale Era, DTIS'08</v>
      </c>
      <c r="B10008" s="8" t="str">
        <f>"9781424415779"</f>
        <v>9781424415779</v>
      </c>
      <c r="C10008" s="8" t="s">
        <v>9</v>
      </c>
    </row>
    <row r="10009" spans="1:3" x14ac:dyDescent="0.25">
      <c r="A10009" s="8" t="str">
        <f>"International Conference on Digital Production Printing and Industrial Applications, DPP2005 - Final Program and Proceedings"</f>
        <v>International Conference on Digital Production Printing and Industrial Applications, DPP2005 - Final Program and Proceedings</v>
      </c>
      <c r="B10009" s="8" t="str">
        <f>"-"</f>
        <v>-</v>
      </c>
      <c r="C10009" s="8" t="s">
        <v>415</v>
      </c>
    </row>
    <row r="10010" spans="1:3" x14ac:dyDescent="0.25">
      <c r="A10010" s="8" t="str">
        <f>"International Conference on Digital Technologies 2013, DT 2013"</f>
        <v>International Conference on Digital Technologies 2013, DT 2013</v>
      </c>
      <c r="B10010" s="8" t="str">
        <f>"9781479909223"</f>
        <v>9781479909223</v>
      </c>
      <c r="C10010" s="8" t="s">
        <v>9</v>
      </c>
    </row>
    <row r="10011" spans="1:3" x14ac:dyDescent="0.25">
      <c r="A10011" s="8" t="str">
        <f>"International Conference on Digital Telecommunications 2006, ICDT'06"</f>
        <v>International Conference on Digital Telecommunications 2006, ICDT'06</v>
      </c>
      <c r="B10011" s="8" t="str">
        <f>"9780769526508"</f>
        <v>9780769526508</v>
      </c>
      <c r="C10011" s="8" t="s">
        <v>9</v>
      </c>
    </row>
    <row r="10012" spans="1:3" x14ac:dyDescent="0.25">
      <c r="A10012" s="8" t="str">
        <f>"International Conference on Electrical Systems for Aircraft, Railway and Ship Propulsion, ESARS 2010"</f>
        <v>International Conference on Electrical Systems for Aircraft, Railway and Ship Propulsion, ESARS 2010</v>
      </c>
      <c r="B10012" s="8" t="str">
        <f>"9781424490943"</f>
        <v>9781424490943</v>
      </c>
      <c r="C10012" s="8" t="s">
        <v>9</v>
      </c>
    </row>
    <row r="10013" spans="1:3" x14ac:dyDescent="0.25">
      <c r="A10013" s="8" t="str">
        <f>"International Conference on Electronics, Communication and Instrumentation 2014, ICECI 2014"</f>
        <v>International Conference on Electronics, Communication and Instrumentation 2014, ICECI 2014</v>
      </c>
      <c r="B10013" s="8" t="str">
        <f>"9781479939831"</f>
        <v>9781479939831</v>
      </c>
      <c r="C10013" s="8" t="s">
        <v>9</v>
      </c>
    </row>
    <row r="10014" spans="1:3" x14ac:dyDescent="0.25">
      <c r="A10014" s="8" t="str">
        <f>"International Conference on Embedded Systems, ICES 2014"</f>
        <v>International Conference on Embedded Systems, ICES 2014</v>
      </c>
      <c r="B10014" s="8" t="str">
        <f>"9781479950263"</f>
        <v>9781479950263</v>
      </c>
      <c r="C10014" s="8" t="s">
        <v>105</v>
      </c>
    </row>
    <row r="10015" spans="1:3" x14ac:dyDescent="0.25">
      <c r="A10015" s="8" t="s">
        <v>1925</v>
      </c>
      <c r="B10015" s="8" t="str">
        <f>"9781424490066"</f>
        <v>9781424490066</v>
      </c>
      <c r="C10015" s="8" t="s">
        <v>9</v>
      </c>
    </row>
    <row r="10016" spans="1:3" x14ac:dyDescent="0.25">
      <c r="A10016" s="8" t="str">
        <f>"International Conference on Energy, Environment, Devices, Systems, Communications, Computers, EEDSCC'11"</f>
        <v>International Conference on Energy, Environment, Devices, Systems, Communications, Computers, EEDSCC'11</v>
      </c>
      <c r="B10016" s="8" t="str">
        <f>"9789604742844"</f>
        <v>9789604742844</v>
      </c>
      <c r="C10016" s="8" t="s">
        <v>553</v>
      </c>
    </row>
    <row r="10017" spans="1:3" x14ac:dyDescent="0.25">
      <c r="A10017" s="8" t="str">
        <f>"International Conference on Engineering and Technology, ICET 2012 - Conference Booklet"</f>
        <v>International Conference on Engineering and Technology, ICET 2012 - Conference Booklet</v>
      </c>
      <c r="B10017" s="8" t="str">
        <f>"9781467348089"</f>
        <v>9781467348089</v>
      </c>
      <c r="C10017" s="8" t="s">
        <v>9</v>
      </c>
    </row>
    <row r="10018" spans="1:3" x14ac:dyDescent="0.25">
      <c r="A10018" s="8" t="str">
        <f>"International Conference on Enterprise Information Systems and Web Technologies 2007, EISWT 2007"</f>
        <v>International Conference on Enterprise Information Systems and Web Technologies 2007, EISWT 2007</v>
      </c>
      <c r="B10018" s="8" t="str">
        <f>"9781615677245"</f>
        <v>9781615677245</v>
      </c>
      <c r="C10018" s="8" t="s">
        <v>1923</v>
      </c>
    </row>
    <row r="10019" spans="1:3" x14ac:dyDescent="0.25">
      <c r="A10019" s="8" t="str">
        <f>"International Conference on Enterprise Information Systems and Web Technologies 2008, EISWT 2008"</f>
        <v>International Conference on Enterprise Information Systems and Web Technologies 2008, EISWT 2008</v>
      </c>
      <c r="B10019" s="8" t="str">
        <f>"9781615677160"</f>
        <v>9781615677160</v>
      </c>
      <c r="C10019" s="8" t="s">
        <v>1923</v>
      </c>
    </row>
    <row r="10020" spans="1:3" x14ac:dyDescent="0.25">
      <c r="A10020" s="8" t="str">
        <f>"International Conference on Enterprise Information Systems and Web Technologies 2009, EISWT 2009"</f>
        <v>International Conference on Enterprise Information Systems and Web Technologies 2009, EISWT 2009</v>
      </c>
      <c r="B10020" s="8" t="str">
        <f>"9781615676545"</f>
        <v>9781615676545</v>
      </c>
      <c r="C10020" s="8" t="s">
        <v>1923</v>
      </c>
    </row>
    <row r="10021" spans="1:3" x14ac:dyDescent="0.25">
      <c r="A10021" s="8" t="str">
        <f>"International Conference on Enterprise Information Systems and Web Technologies 2010, EISWT 2010"</f>
        <v>International Conference on Enterprise Information Systems and Web Technologies 2010, EISWT 2010</v>
      </c>
      <c r="B10021" s="8" t="str">
        <f>"9781617820656"</f>
        <v>9781617820656</v>
      </c>
      <c r="C10021" s="8" t="s">
        <v>1923</v>
      </c>
    </row>
    <row r="10022" spans="1:3" x14ac:dyDescent="0.25">
      <c r="A10022" s="8" t="str">
        <f>"International Conference on Fibre Optics and Photonics, 2014"</f>
        <v>International Conference on Fibre Optics and Photonics, 2014</v>
      </c>
      <c r="B10022" s="8" t="str">
        <f>"9781557528827"</f>
        <v>9781557528827</v>
      </c>
      <c r="C10022" s="8" t="s">
        <v>86</v>
      </c>
    </row>
    <row r="10023" spans="1:3" x14ac:dyDescent="0.25">
      <c r="A10023" s="8" t="str">
        <f>"International Conference on Fluid Sealing"</f>
        <v>International Conference on Fluid Sealing</v>
      </c>
      <c r="B10023" s="8" t="str">
        <f>"9781855980440"</f>
        <v>9781855980440</v>
      </c>
      <c r="C10023" s="8" t="s">
        <v>1246</v>
      </c>
    </row>
    <row r="10024" spans="1:3" x14ac:dyDescent="0.25">
      <c r="A10024" s="8" t="str">
        <f>"International Conference on Fuzzy Theory and Technology Proceedings, Abstracts and Summaries"</f>
        <v>International Conference on Fuzzy Theory and Technology Proceedings, Abstracts and Summaries</v>
      </c>
      <c r="B10024" s="8" t="str">
        <f>"-"</f>
        <v>-</v>
      </c>
      <c r="C10024" s="8" t="s">
        <v>1926</v>
      </c>
    </row>
    <row r="10025" spans="1:3" x14ac:dyDescent="0.25">
      <c r="A10025" s="8" t="str">
        <f>"International Conference on Harbor, Maritime and Multimodal Logistics Modeling and Simulation, HMS 2009, Held at the International Mediterranean and Latin American Modeling Multiconference, I3M 2009"</f>
        <v>International Conference on Harbor, Maritime and Multimodal Logistics Modeling and Simulation, HMS 2009, Held at the International Mediterranean and Latin American Modeling Multiconference, I3M 2009</v>
      </c>
      <c r="B10025" s="8" t="str">
        <f>"9781629934730"</f>
        <v>9781629934730</v>
      </c>
      <c r="C10025" s="8" t="s">
        <v>1200</v>
      </c>
    </row>
    <row r="10026" spans="1:3" x14ac:dyDescent="0.25">
      <c r="A10026" s="8" t="str">
        <f>"International Conference on High Performance Computing Systems 2010, HPCS 2010"</f>
        <v>International Conference on High Performance Computing Systems 2010, HPCS 2010</v>
      </c>
      <c r="B10026" s="8" t="str">
        <f>"9781617820663"</f>
        <v>9781617820663</v>
      </c>
      <c r="C10026" s="8" t="s">
        <v>1923</v>
      </c>
    </row>
    <row r="10027" spans="1:3" x14ac:dyDescent="0.25">
      <c r="A10027" s="8" t="str">
        <f>"International Conference on High Performance Computing, Networking and Communication Systems 2007, HPCNCS 2007"</f>
        <v>International Conference on High Performance Computing, Networking and Communication Systems 2007, HPCNCS 2007</v>
      </c>
      <c r="B10027" s="8" t="str">
        <f>"9781615677238"</f>
        <v>9781615677238</v>
      </c>
      <c r="C10027" s="8" t="s">
        <v>1923</v>
      </c>
    </row>
    <row r="10028" spans="1:3" x14ac:dyDescent="0.25">
      <c r="A10028" s="8" t="str">
        <f>"International Conference on High Performance Computing, Networking and Communication Systems 2008, HPCNCS 2008"</f>
        <v>International Conference on High Performance Computing, Networking and Communication Systems 2008, HPCNCS 2008</v>
      </c>
      <c r="B10028" s="8" t="str">
        <f>"9781615677177"</f>
        <v>9781615677177</v>
      </c>
      <c r="C10028" s="8" t="s">
        <v>1923</v>
      </c>
    </row>
    <row r="10029" spans="1:3" x14ac:dyDescent="0.25">
      <c r="A10029" s="8" t="str">
        <f>"International Conference on High Performance Computing, Networking and Communication Systems 2009, HPCNCS 2009"</f>
        <v>International Conference on High Performance Computing, Networking and Communication Systems 2009, HPCNCS 2009</v>
      </c>
      <c r="B10029" s="8" t="str">
        <f>"9781615676606"</f>
        <v>9781615676606</v>
      </c>
      <c r="C10029" s="8" t="s">
        <v>1923</v>
      </c>
    </row>
    <row r="10030" spans="1:3" x14ac:dyDescent="0.25">
      <c r="A10030" s="8" t="str">
        <f>"International Conference on Indoor Air Qulity/Healthy Indoor Environment"</f>
        <v>International Conference on Indoor Air Qulity/Healthy Indoor Environment</v>
      </c>
      <c r="B10030" s="8" t="str">
        <f>"9780923204679"</f>
        <v>9780923204679</v>
      </c>
      <c r="C10030" s="8" t="s">
        <v>10</v>
      </c>
    </row>
    <row r="10031" spans="1:3" x14ac:dyDescent="0.25">
      <c r="A10031" s="8" t="str">
        <f>"International Conference on Information Networking 2011, ICOIN 2011"</f>
        <v>International Conference on Information Networking 2011, ICOIN 2011</v>
      </c>
      <c r="B10031" s="8" t="str">
        <f>"9781612846613"</f>
        <v>9781612846613</v>
      </c>
      <c r="C10031" s="8" t="s">
        <v>9</v>
      </c>
    </row>
    <row r="10032" spans="1:3" x14ac:dyDescent="0.25">
      <c r="A10032" s="8" t="str">
        <f>"International Conference on Information Society, i-Society 2011"</f>
        <v>International Conference on Information Society, i-Society 2011</v>
      </c>
      <c r="B10032" s="8" t="str">
        <f>"9780956426383"</f>
        <v>9780956426383</v>
      </c>
      <c r="C10032" s="8" t="s">
        <v>9</v>
      </c>
    </row>
    <row r="10033" spans="1:3" x14ac:dyDescent="0.25">
      <c r="A10033" s="8" t="str">
        <f>"International Conference on Information Society, i-Society 2012"</f>
        <v>International Conference on Information Society, i-Society 2012</v>
      </c>
      <c r="B10033" s="8" t="str">
        <f>"9781908320056"</f>
        <v>9781908320056</v>
      </c>
      <c r="C10033" s="8" t="s">
        <v>9</v>
      </c>
    </row>
    <row r="10034" spans="1:3" x14ac:dyDescent="0.25">
      <c r="A10034" s="8" t="str">
        <f>"International Conference on Information Society, i-Society 2013"</f>
        <v>International Conference on Information Society, i-Society 2013</v>
      </c>
      <c r="B10034" s="8" t="str">
        <f>"9781908320131"</f>
        <v>9781908320131</v>
      </c>
      <c r="C10034" s="8" t="s">
        <v>9</v>
      </c>
    </row>
    <row r="10035" spans="1:3" x14ac:dyDescent="0.25">
      <c r="A10035" s="8" t="str">
        <f>"International Conference on Information Society, i-Society 2014"</f>
        <v>International Conference on Information Society, i-Society 2014</v>
      </c>
      <c r="B10035" s="8" t="str">
        <f>"9781908320384"</f>
        <v>9781908320384</v>
      </c>
      <c r="C10035" s="8" t="s">
        <v>105</v>
      </c>
    </row>
    <row r="10036" spans="1:3" x14ac:dyDescent="0.25">
      <c r="A10036" s="8" t="str">
        <f>"International Conference on Information Systems (ICIS 2013): Reshaping Society Through Information Systems Design"</f>
        <v>International Conference on Information Systems (ICIS 2013): Reshaping Society Through Information Systems Design</v>
      </c>
      <c r="B10036" s="8" t="str">
        <f>"9781629934266"</f>
        <v>9781629934266</v>
      </c>
      <c r="C10036" s="8" t="s">
        <v>1262</v>
      </c>
    </row>
    <row r="10037" spans="1:3" x14ac:dyDescent="0.25">
      <c r="A10037" s="8" t="str">
        <f>"International Conference on Information Systems 2011, ICIS 2011"</f>
        <v>International Conference on Information Systems 2011, ICIS 2011</v>
      </c>
      <c r="B10037" s="8" t="str">
        <f>"9781618394729"</f>
        <v>9781618394729</v>
      </c>
      <c r="C10037" s="8" t="s">
        <v>1262</v>
      </c>
    </row>
    <row r="10038" spans="1:3" x14ac:dyDescent="0.25">
      <c r="A10038" s="8" t="str">
        <f>"International Conference on Information Systems, ICIS 2012"</f>
        <v>International Conference on Information Systems, ICIS 2012</v>
      </c>
      <c r="B10038" s="8" t="str">
        <f>"9781627486040"</f>
        <v>9781627486040</v>
      </c>
      <c r="C10038" s="8" t="s">
        <v>1262</v>
      </c>
    </row>
    <row r="10039" spans="1:3" x14ac:dyDescent="0.25">
      <c r="A10039" s="8" t="str">
        <f>"International Conference on Information Technology: Coding and Computing, ITCC"</f>
        <v>International Conference on Information Technology: Coding and Computing, ITCC</v>
      </c>
      <c r="B10039" s="8" t="str">
        <f>"9780769523156"</f>
        <v>9780769523156</v>
      </c>
      <c r="C10039" s="8" t="s">
        <v>105</v>
      </c>
    </row>
    <row r="10040" spans="1:3" x14ac:dyDescent="0.25">
      <c r="A10040" s="8" t="str">
        <f>"International Conference on Information Technology: Coding Computing, ITCC"</f>
        <v>International Conference on Information Technology: Coding Computing, ITCC</v>
      </c>
      <c r="B10040" s="8" t="str">
        <f>"9780769521084"</f>
        <v>9780769521084</v>
      </c>
      <c r="C10040" s="8" t="s">
        <v>9</v>
      </c>
    </row>
    <row r="10041" spans="1:3" x14ac:dyDescent="0.25">
      <c r="A10041" s="8" t="str">
        <f>"International Conference on Innovation in High Speed Marine Vessels - Papers"</f>
        <v>International Conference on Innovation in High Speed Marine Vessels - Papers</v>
      </c>
      <c r="B10041" s="8" t="str">
        <f>"-"</f>
        <v>-</v>
      </c>
      <c r="C10041" s="8" t="s">
        <v>1137</v>
      </c>
    </row>
    <row r="10042" spans="1:3" x14ac:dyDescent="0.25">
      <c r="A10042" s="8" t="str">
        <f>"International Conference on Innovative Computing Technologies, MKCE-ICICT 2010"</f>
        <v>International Conference on Innovative Computing Technologies, MKCE-ICICT 2010</v>
      </c>
      <c r="B10042" s="8" t="str">
        <f>"9781424464906"</f>
        <v>9781424464906</v>
      </c>
      <c r="C10042" s="8" t="s">
        <v>9</v>
      </c>
    </row>
    <row r="10043" spans="1:3" x14ac:dyDescent="0.25">
      <c r="A10043" s="8" t="str">
        <f>"International Conference on Instrumentation, Communication, Information Technology, and Biomedical Engineering 2009, ICICI-BME 2009"</f>
        <v>International Conference on Instrumentation, Communication, Information Technology, and Biomedical Engineering 2009, ICICI-BME 2009</v>
      </c>
      <c r="B10043" s="8" t="str">
        <f>"9781424449996"</f>
        <v>9781424449996</v>
      </c>
      <c r="C10043" s="8" t="s">
        <v>9</v>
      </c>
    </row>
    <row r="10044" spans="1:3" x14ac:dyDescent="0.25">
      <c r="A10044" s="8" t="str">
        <f>"International Conference on Integrated Modeling and Analysis in Applied Control and Automation, IMAACA 2005, Held at the International Mediterranean Modeling Multiconference, I3M 2005"</f>
        <v>International Conference on Integrated Modeling and Analysis in Applied Control and Automation, IMAACA 2005, Held at the International Mediterranean Modeling Multiconference, I3M 2005</v>
      </c>
      <c r="B10044" s="8" t="str">
        <f>"9781629934693"</f>
        <v>9781629934693</v>
      </c>
      <c r="C10044" s="8" t="s">
        <v>1200</v>
      </c>
    </row>
    <row r="10045" spans="1:3" x14ac:dyDescent="0.25">
      <c r="A10045" s="8" t="str">
        <f>"International Conference on Intelligent Networking and Collaborative Systems, INCoS 2009"</f>
        <v>International Conference on Intelligent Networking and Collaborative Systems, INCoS 2009</v>
      </c>
      <c r="B10045" s="8" t="str">
        <f>"9780769538587"</f>
        <v>9780769538587</v>
      </c>
      <c r="C10045" s="8" t="s">
        <v>9</v>
      </c>
    </row>
    <row r="10046" spans="1:3" x14ac:dyDescent="0.25">
      <c r="A10046" s="8" t="str">
        <f>"International Conference on Internet Surveillance and Protection, ICISP'06"</f>
        <v>International Conference on Internet Surveillance and Protection, ICISP'06</v>
      </c>
      <c r="B10046" s="8" t="str">
        <f>"9780769526492"</f>
        <v>9780769526492</v>
      </c>
      <c r="C10046" s="8" t="s">
        <v>9</v>
      </c>
    </row>
    <row r="10047" spans="1:3" x14ac:dyDescent="0.25">
      <c r="A10047" s="8" t="str">
        <f>"International Conference on Internet Technology and Applications, ITAP 2010 - Proceedings"</f>
        <v>International Conference on Internet Technology and Applications, ITAP 2010 - Proceedings</v>
      </c>
      <c r="B10047" s="8" t="str">
        <f>"9781424451432"</f>
        <v>9781424451432</v>
      </c>
      <c r="C10047" s="8" t="s">
        <v>9</v>
      </c>
    </row>
    <row r="10048" spans="1:3" x14ac:dyDescent="0.25">
      <c r="A10048" s="8" t="str">
        <f>"International Conference on i-Warfare and Security, ICIW 2006"</f>
        <v>International Conference on i-Warfare and Security, ICIW 2006</v>
      </c>
      <c r="B10048" s="8" t="str">
        <f>"9781905305162"</f>
        <v>9781905305162</v>
      </c>
      <c r="C10048" s="8" t="s">
        <v>973</v>
      </c>
    </row>
    <row r="10049" spans="1:3" x14ac:dyDescent="0.25">
      <c r="A10049" s="8" t="str">
        <f>"International Conference on Logistics, Engineering, Management and Computer Science, LEMCS 2014"</f>
        <v>International Conference on Logistics, Engineering, Management and Computer Science, LEMCS 2014</v>
      </c>
      <c r="B10049" s="8" t="str">
        <f>"9789462520103"</f>
        <v>9789462520103</v>
      </c>
      <c r="C10049" s="8" t="s">
        <v>1380</v>
      </c>
    </row>
    <row r="10050" spans="1:3" x14ac:dyDescent="0.25">
      <c r="A10050" s="8" t="str">
        <f>"International Conference on Machine Learning and Cybernetics"</f>
        <v>International Conference on Machine Learning and Cybernetics</v>
      </c>
      <c r="B10050" s="8" t="str">
        <f>"9780780378650"</f>
        <v>9780780378650</v>
      </c>
      <c r="C10050" s="8" t="s">
        <v>105</v>
      </c>
    </row>
    <row r="10051" spans="1:3" x14ac:dyDescent="0.25">
      <c r="A10051" s="8" t="str">
        <f>"International Conference on Management and Service Science, MASS 2011"</f>
        <v>International Conference on Management and Service Science, MASS 2011</v>
      </c>
      <c r="B10051" s="8" t="str">
        <f>"9781424465811"</f>
        <v>9781424465811</v>
      </c>
      <c r="C10051" s="8" t="s">
        <v>9</v>
      </c>
    </row>
    <row r="10052" spans="1:3" x14ac:dyDescent="0.25">
      <c r="A10052" s="8" t="str">
        <f>"International Conference on Marine and Freshwater Environments, iMFE 2014"</f>
        <v>International Conference on Marine and Freshwater Environments, iMFE 2014</v>
      </c>
      <c r="B10052" s="8" t="str">
        <f>"-"</f>
        <v>-</v>
      </c>
      <c r="C10052" s="8" t="s">
        <v>1535</v>
      </c>
    </row>
    <row r="10053" spans="1:3" x14ac:dyDescent="0.25">
      <c r="A10053" s="8" t="str">
        <f>"International Conference on Mathematics and Computational Methods Applied to Nuclear Science and Engineering, M and C 2013"</f>
        <v>International Conference on Mathematics and Computational Methods Applied to Nuclear Science and Engineering, M and C 2013</v>
      </c>
      <c r="B10053" s="8" t="str">
        <f>"9781627486439"</f>
        <v>9781627486439</v>
      </c>
      <c r="C10053" s="8" t="s">
        <v>453</v>
      </c>
    </row>
    <row r="10054" spans="1:3" x14ac:dyDescent="0.25">
      <c r="A10054" s="8" t="str">
        <f>"International Conference on Mechatronics, ICOM 2003"</f>
        <v>International Conference on Mechatronics, ICOM 2003</v>
      </c>
      <c r="B10054" s="8" t="str">
        <f>"9781860584206"</f>
        <v>9781860584206</v>
      </c>
      <c r="C10054" s="8" t="s">
        <v>1645</v>
      </c>
    </row>
    <row r="10055" spans="1:3" x14ac:dyDescent="0.25">
      <c r="A10055" s="8" t="str">
        <f>"International Conference on Microchannels and Minichannels"</f>
        <v>International Conference on Microchannels and Minichannels</v>
      </c>
      <c r="B10055" s="8" t="str">
        <f>"9780791836675"</f>
        <v>9780791836675</v>
      </c>
      <c r="C10055" s="8" t="s">
        <v>1308</v>
      </c>
    </row>
    <row r="10056" spans="1:3" x14ac:dyDescent="0.25">
      <c r="A10056" s="8" t="str">
        <f>"International Conference on Mobile Business, ICMB 2006"</f>
        <v>International Conference on Mobile Business, ICMB 2006</v>
      </c>
      <c r="B10056" s="8" t="str">
        <f>"9780769525952"</f>
        <v>9780769525952</v>
      </c>
      <c r="C10056" s="8" t="s">
        <v>9</v>
      </c>
    </row>
    <row r="10057" spans="1:3" x14ac:dyDescent="0.25">
      <c r="A10057" s="8" t="str">
        <f>"International Conference on Mobile Computing and Networking, MobiCom'07 Co-Located Workshops - Proceedings of the First ACM Workshop on Sensor and Actor Networks, SANET'07"</f>
        <v>International Conference on Mobile Computing and Networking, MobiCom'07 Co-Located Workshops - Proceedings of the First ACM Workshop on Sensor and Actor Networks, SANET'07</v>
      </c>
      <c r="B10057" s="8" t="str">
        <f>"9781595937353"</f>
        <v>9781595937353</v>
      </c>
      <c r="C10057" s="8" t="s">
        <v>21</v>
      </c>
    </row>
    <row r="10058" spans="1:3" x14ac:dyDescent="0.25">
      <c r="A10058" s="8" t="str">
        <f>"International Conference on Mobile Computing and Networking, MobiCom'07 Co-Located Workshops -Proceedings of the the Second ACM International Workshop on Wireless Network Testbeds, Experimental Evalua"</f>
        <v>International Conference on Mobile Computing and Networking, MobiCom'07 Co-Located Workshops -Proceedings of the the Second ACM International Workshop on Wireless Network Testbeds, Experimental Evalua</v>
      </c>
      <c r="B10058" s="8" t="str">
        <f>"9781595937384"</f>
        <v>9781595937384</v>
      </c>
      <c r="C10058" s="8" t="s">
        <v>21</v>
      </c>
    </row>
    <row r="10059" spans="1:3" x14ac:dyDescent="0.25">
      <c r="A10059" s="8" t="str">
        <f>"International Conference on Model-Based Systems Engineering, MBSE 2009"</f>
        <v>International Conference on Model-Based Systems Engineering, MBSE 2009</v>
      </c>
      <c r="B10059" s="8" t="str">
        <f>"9781424429684"</f>
        <v>9781424429684</v>
      </c>
      <c r="C10059" s="8" t="s">
        <v>9</v>
      </c>
    </row>
    <row r="10060" spans="1:3" x14ac:dyDescent="0.25">
      <c r="A10060" s="8" t="str">
        <f>"International Conference on Modeling and Simulation - Methodology, Tools, Software Applications 2006, M and S-MTSA'06, Part of the 2006 Summer Simulation Multiconference, SummerSim'06"</f>
        <v>International Conference on Modeling and Simulation - Methodology, Tools, Software Applications 2006, M and S-MTSA'06, Part of the 2006 Summer Simulation Multiconference, SummerSim'06</v>
      </c>
      <c r="B10060" s="8" t="str">
        <f>"9781622763542"</f>
        <v>9781622763542</v>
      </c>
      <c r="C10060" s="8" t="s">
        <v>1072</v>
      </c>
    </row>
    <row r="10061" spans="1:3" x14ac:dyDescent="0.25">
      <c r="A10061" s="8" t="str">
        <f>"International Conference on Multimodal Interfaces and the Workshop on Machine Learning for Multimodal Interaction, ICMI-MLMI 2010"</f>
        <v>International Conference on Multimodal Interfaces and the Workshop on Machine Learning for Multimodal Interaction, ICMI-MLMI 2010</v>
      </c>
      <c r="B10061" s="8" t="str">
        <f>"9781450304146"</f>
        <v>9781450304146</v>
      </c>
      <c r="C10061" s="8" t="s">
        <v>21</v>
      </c>
    </row>
    <row r="10062" spans="1:3" x14ac:dyDescent="0.25">
      <c r="A10062" s="8" t="str">
        <f>"International Conference on Multiphase: Extending the Boundaries of Flow Assurance"</f>
        <v>International Conference on Multiphase: Extending the Boundaries of Flow Assurance</v>
      </c>
      <c r="B10062" s="8" t="str">
        <f>"9781855980488"</f>
        <v>9781855980488</v>
      </c>
      <c r="C10062" s="8" t="s">
        <v>1246</v>
      </c>
    </row>
    <row r="10063" spans="1:3" x14ac:dyDescent="0.25">
      <c r="A10063" s="8" t="str">
        <f>"International Conference on Nanotechnology for the Forest Products Industry 2009"</f>
        <v>International Conference on Nanotechnology for the Forest Products Industry 2009</v>
      </c>
      <c r="B10063" s="8" t="str">
        <f>"9781615679812"</f>
        <v>9781615679812</v>
      </c>
      <c r="C10063" s="8" t="s">
        <v>1099</v>
      </c>
    </row>
    <row r="10064" spans="1:3" x14ac:dyDescent="0.25">
      <c r="A10064" s="8" t="str">
        <f>"International Conference on Nanotechnology for the Forest Products Industry 2010"</f>
        <v>International Conference on Nanotechnology for the Forest Products Industry 2010</v>
      </c>
      <c r="B10064" s="8" t="str">
        <f>"9781618390011"</f>
        <v>9781618390011</v>
      </c>
      <c r="C10064" s="8" t="s">
        <v>1099</v>
      </c>
    </row>
    <row r="10065" spans="1:3" x14ac:dyDescent="0.25">
      <c r="A10065" s="8" t="str">
        <f>"International Conference on NETwork Games, Control and Optimization, NetGCooP 2011"</f>
        <v>International Conference on NETwork Games, Control and Optimization, NetGCooP 2011</v>
      </c>
      <c r="B10065" s="8" t="str">
        <f>"9781467303842"</f>
        <v>9781467303842</v>
      </c>
      <c r="C10065" s="8" t="s">
        <v>9</v>
      </c>
    </row>
    <row r="10066" spans="1:3" x14ac:dyDescent="0.25">
      <c r="A10066" s="8" t="str">
        <f>"International Conference on Networking and Services 2006, ICNS'06"</f>
        <v>International Conference on Networking and Services 2006, ICNS'06</v>
      </c>
      <c r="B10066" s="8" t="str">
        <f>"9780769526225"</f>
        <v>9780769526225</v>
      </c>
      <c r="C10066" s="8" t="s">
        <v>9</v>
      </c>
    </row>
    <row r="10067" spans="1:3" x14ac:dyDescent="0.25">
      <c r="A10067" s="8" t="str">
        <f>"International Conference on Networking, Architecture, and Storage, NAS 2007"</f>
        <v>International Conference on Networking, Architecture, and Storage, NAS 2007</v>
      </c>
      <c r="B10067" s="8" t="str">
        <f>"9780769529271"</f>
        <v>9780769529271</v>
      </c>
      <c r="C10067" s="8" t="s">
        <v>9</v>
      </c>
    </row>
    <row r="10068" spans="1:3" x14ac:dyDescent="0.25">
      <c r="A10068" s="8" t="str">
        <f>"International Conference on New Developments in Long and Forged Products: Metallurgy and Applications"</f>
        <v>International Conference on New Developments in Long and Forged Products: Metallurgy and Applications</v>
      </c>
      <c r="B10068" s="8" t="str">
        <f>"9781886362871"</f>
        <v>9781886362871</v>
      </c>
      <c r="C10068" s="8" t="s">
        <v>1346</v>
      </c>
    </row>
    <row r="10069" spans="1:3" x14ac:dyDescent="0.25">
      <c r="A10069" s="8" t="str">
        <f>"International Conference on Oxide Materials for Electronic Engineering - Fabrication, Properties and Applications, OMEE 2014 - Book of Conference Proceedings"</f>
        <v>International Conference on Oxide Materials for Electronic Engineering - Fabrication, Properties and Applications, OMEE 2014 - Book of Conference Proceedings</v>
      </c>
      <c r="B10069" s="8" t="str">
        <f>"9781479959617"</f>
        <v>9781479959617</v>
      </c>
      <c r="C10069" s="8" t="s">
        <v>105</v>
      </c>
    </row>
    <row r="10070" spans="1:3" x14ac:dyDescent="0.25">
      <c r="A10070" s="8" t="str">
        <f>"International Conference on Oxide Materials for Electronic Engineering, OMEE 2012"</f>
        <v>International Conference on Oxide Materials for Electronic Engineering, OMEE 2012</v>
      </c>
      <c r="B10070" s="8" t="str">
        <f>"9781467344937"</f>
        <v>9781467344937</v>
      </c>
      <c r="C10070" s="8" t="s">
        <v>9</v>
      </c>
    </row>
    <row r="10071" spans="1:3" x14ac:dyDescent="0.25">
      <c r="A10071" s="8" t="str">
        <f>"International Conference on Parallel Computing in Electrical Engineering: Workshop on System Design Automation, SDA, PARELEC 2004"</f>
        <v>International Conference on Parallel Computing in Electrical Engineering: Workshop on System Design Automation, SDA, PARELEC 2004</v>
      </c>
      <c r="B10071" s="8" t="str">
        <f>"9780769520803"</f>
        <v>9780769520803</v>
      </c>
      <c r="C10071" s="8" t="s">
        <v>9</v>
      </c>
    </row>
    <row r="10072" spans="1:3" x14ac:dyDescent="0.25">
      <c r="A10072" s="8" t="str">
        <f>"International Conference on Pattern Recognition, Informatics and Medical Engineering, PRIME 2012"</f>
        <v>International Conference on Pattern Recognition, Informatics and Medical Engineering, PRIME 2012</v>
      </c>
      <c r="B10072" s="8" t="str">
        <f>"9781467310376"</f>
        <v>9781467310376</v>
      </c>
      <c r="C10072" s="8" t="s">
        <v>9</v>
      </c>
    </row>
    <row r="10073" spans="1:3" x14ac:dyDescent="0.25">
      <c r="A10073" s="8" t="str">
        <f>"International Conference on Polyolefins 2004"</f>
        <v>International Conference on Polyolefins 2004</v>
      </c>
      <c r="B10073" s="8" t="str">
        <f>"-"</f>
        <v>-</v>
      </c>
      <c r="C10073" s="8" t="s">
        <v>132</v>
      </c>
    </row>
    <row r="10074" spans="1:3" x14ac:dyDescent="0.25">
      <c r="A10074" s="8" t="str">
        <f>"International Conference on Power Engineering 2013, ICOPE 2013"</f>
        <v>International Conference on Power Engineering 2013, ICOPE 2013</v>
      </c>
      <c r="B10074" s="8" t="str">
        <f>"-"</f>
        <v>-</v>
      </c>
      <c r="C10074" s="8" t="s">
        <v>653</v>
      </c>
    </row>
    <row r="10075" spans="1:3" x14ac:dyDescent="0.25">
      <c r="A10075" s="8" t="str">
        <f>"International Conference on Recent Advances and Innovations in Engineering, ICRAIE 2014"</f>
        <v>International Conference on Recent Advances and Innovations in Engineering, ICRAIE 2014</v>
      </c>
      <c r="B10075" s="8" t="str">
        <f>"9781479940400"</f>
        <v>9781479940400</v>
      </c>
      <c r="C10075" s="8" t="s">
        <v>105</v>
      </c>
    </row>
    <row r="10076" spans="1:3" x14ac:dyDescent="0.25">
      <c r="A10076" s="8" t="str">
        <f>"International Conference on Recent Trends in Information Technology, ICRTIT 2011"</f>
        <v>International Conference on Recent Trends in Information Technology, ICRTIT 2011</v>
      </c>
      <c r="B10076" s="8" t="str">
        <f>"9781457705885"</f>
        <v>9781457705885</v>
      </c>
      <c r="C10076" s="8" t="s">
        <v>9</v>
      </c>
    </row>
    <row r="10077" spans="1:3" x14ac:dyDescent="0.25">
      <c r="A10077" s="8" t="str">
        <f>"International Conference on Recent Trends in Information Technology, ICRTIT 2012"</f>
        <v>International Conference on Recent Trends in Information Technology, ICRTIT 2012</v>
      </c>
      <c r="B10077" s="8" t="str">
        <f>"9781467316019"</f>
        <v>9781467316019</v>
      </c>
      <c r="C10077" s="8" t="s">
        <v>9</v>
      </c>
    </row>
    <row r="10078" spans="1:3" x14ac:dyDescent="0.25">
      <c r="A10078" s="8" t="str">
        <f>"International Conference on Robotics and Mechatronics, ICRoM 2013"</f>
        <v>International Conference on Robotics and Mechatronics, ICRoM 2013</v>
      </c>
      <c r="B10078" s="8" t="str">
        <f>"9781467358118"</f>
        <v>9781467358118</v>
      </c>
      <c r="C10078" s="8" t="s">
        <v>9</v>
      </c>
    </row>
    <row r="10079" spans="1:3" x14ac:dyDescent="0.25">
      <c r="A10079" s="8" t="str">
        <f>"International Conference on Scalable Computing and Communications - The 8th International Conference on Embedded Computing, ScalCom-EmbeddedCom 2009"</f>
        <v>International Conference on Scalable Computing and Communications - The 8th International Conference on Embedded Computing, ScalCom-EmbeddedCom 2009</v>
      </c>
      <c r="B10079" s="8" t="str">
        <f>"9780769538259"</f>
        <v>9780769538259</v>
      </c>
      <c r="C10079" s="8" t="s">
        <v>9</v>
      </c>
    </row>
    <row r="10080" spans="1:3" x14ac:dyDescent="0.25">
      <c r="A10080" s="8" t="str">
        <f>"International Conference on Signal Processing and Communication Engineering Systems - Proceedings of SPACES 2015, in Association with IEEE"</f>
        <v>International Conference on Signal Processing and Communication Engineering Systems - Proceedings of SPACES 2015, in Association with IEEE</v>
      </c>
      <c r="B10080" s="8" t="str">
        <f>"9781479961085"</f>
        <v>9781479961085</v>
      </c>
      <c r="C10080" s="8" t="s">
        <v>105</v>
      </c>
    </row>
    <row r="10081" spans="1:3" x14ac:dyDescent="0.25">
      <c r="A10081" s="8" t="str">
        <f>"International Conference on Signal Processing, Image Processing and Pattern Recognition 2013, ICSIPR 2013"</f>
        <v>International Conference on Signal Processing, Image Processing and Pattern Recognition 2013, ICSIPR 2013</v>
      </c>
      <c r="B10081" s="8" t="str">
        <f>"9781467348614"</f>
        <v>9781467348614</v>
      </c>
      <c r="C10081" s="8" t="s">
        <v>9</v>
      </c>
    </row>
    <row r="10082" spans="1:3" x14ac:dyDescent="0.25">
      <c r="A10082" s="8" t="str">
        <f>"International Conference on Signals and Electronic Systems, ICSES'10 - Conference Proceeding"</f>
        <v>International Conference on Signals and Electronic Systems, ICSES'10 - Conference Proceeding</v>
      </c>
      <c r="B10082" s="8" t="str">
        <f>"9788390474342"</f>
        <v>9788390474342</v>
      </c>
      <c r="C10082" s="8" t="s">
        <v>9</v>
      </c>
    </row>
    <row r="10083" spans="1:3" x14ac:dyDescent="0.25">
      <c r="A10083" s="8" t="str">
        <f>"International Conference on Software Engineering - Proceedings of the 2nd International Workshop on Ultra-Large-Scale Software-Intensive Systems, ULSSIS'08"</f>
        <v>International Conference on Software Engineering - Proceedings of the 2nd International Workshop on Ultra-Large-Scale Software-Intensive Systems, ULSSIS'08</v>
      </c>
      <c r="B10083" s="8" t="str">
        <f>"9781605580265"</f>
        <v>9781605580265</v>
      </c>
      <c r="C10083" s="8" t="s">
        <v>21</v>
      </c>
    </row>
    <row r="10084" spans="1:3" x14ac:dyDescent="0.25">
      <c r="A10084" s="8" t="str">
        <f>"International Conference on Software Engineering Theory and Practice 2007, SETP 2007"</f>
        <v>International Conference on Software Engineering Theory and Practice 2007, SETP 2007</v>
      </c>
      <c r="B10084" s="8" t="str">
        <f>"9781615677221"</f>
        <v>9781615677221</v>
      </c>
      <c r="C10084" s="8" t="s">
        <v>1923</v>
      </c>
    </row>
    <row r="10085" spans="1:3" x14ac:dyDescent="0.25">
      <c r="A10085" s="8" t="str">
        <f>"International Conference on Software Engineering Theory and Practice 2008, SETP 2008"</f>
        <v>International Conference on Software Engineering Theory and Practice 2008, SETP 2008</v>
      </c>
      <c r="B10085" s="8" t="str">
        <f>"9781615677191"</f>
        <v>9781615677191</v>
      </c>
      <c r="C10085" s="8" t="s">
        <v>1923</v>
      </c>
    </row>
    <row r="10086" spans="1:3" x14ac:dyDescent="0.25">
      <c r="A10086" s="8" t="str">
        <f>"International Conference on Software Engineering Theory and Practice 2009, SETP 2009"</f>
        <v>International Conference on Software Engineering Theory and Practice 2009, SETP 2009</v>
      </c>
      <c r="B10086" s="8" t="str">
        <f>"9781615676590"</f>
        <v>9781615676590</v>
      </c>
      <c r="C10086" s="8" t="s">
        <v>1923</v>
      </c>
    </row>
    <row r="10087" spans="1:3" x14ac:dyDescent="0.25">
      <c r="A10087" s="8" t="str">
        <f>"International Conference on Software Engineering Theory and Practice 2010, SETP 2010"</f>
        <v>International Conference on Software Engineering Theory and Practice 2010, SETP 2010</v>
      </c>
      <c r="B10087" s="8" t="str">
        <f>"9781617820731"</f>
        <v>9781617820731</v>
      </c>
      <c r="C10087" s="8" t="s">
        <v>1923</v>
      </c>
    </row>
    <row r="10088" spans="1:3" x14ac:dyDescent="0.25">
      <c r="A10088" s="8" t="str">
        <f>"International Conference on Synthetic Aperture Sonar and Synthetic Aperture Radar 2010, Proceedings of the Institute of Acoustics"</f>
        <v>International Conference on Synthetic Aperture Sonar and Synthetic Aperture Radar 2010, Proceedings of the Institute of Acoustics</v>
      </c>
      <c r="B10088" s="8" t="str">
        <f>"9781617389573"</f>
        <v>9781617389573</v>
      </c>
      <c r="C10088" s="8" t="s">
        <v>27</v>
      </c>
    </row>
    <row r="10089" spans="1:3" x14ac:dyDescent="0.25">
      <c r="A10089" s="8" t="str">
        <f>"International Conference on Systems in Medicine and Biology, ICSMB 2010 - Proceedings"</f>
        <v>International Conference on Systems in Medicine and Biology, ICSMB 2010 - Proceedings</v>
      </c>
      <c r="B10089" s="8" t="str">
        <f>"9781612840383"</f>
        <v>9781612840383</v>
      </c>
      <c r="C10089" s="8" t="s">
        <v>9</v>
      </c>
    </row>
    <row r="10090" spans="1:3" x14ac:dyDescent="0.25">
      <c r="A10090" s="8" t="str">
        <f>"International Conference on the Physics of Reactors 2008, PHYSOR 08"</f>
        <v>International Conference on the Physics of Reactors 2008, PHYSOR 08</v>
      </c>
      <c r="B10090" s="8" t="str">
        <f>"9781617821219"</f>
        <v>9781617821219</v>
      </c>
      <c r="C10090" s="8" t="s">
        <v>1590</v>
      </c>
    </row>
    <row r="10091" spans="1:3" x14ac:dyDescent="0.25">
      <c r="A10091" s="8" t="str">
        <f>"International Conference on the Physics of Reactors 2010, PHYSOR 2010"</f>
        <v>International Conference on the Physics of Reactors 2010, PHYSOR 2010</v>
      </c>
      <c r="B10091" s="8" t="str">
        <f>"9781617820014"</f>
        <v>9781617820014</v>
      </c>
      <c r="C10091" s="8" t="s">
        <v>453</v>
      </c>
    </row>
    <row r="10092" spans="1:3" x14ac:dyDescent="0.25">
      <c r="A10092" s="8" t="str">
        <f>"International Conference on the Physics of Reactors 2012, PHYSOR 2012: Advances in Reactor Physics"</f>
        <v>International Conference on the Physics of Reactors 2012, PHYSOR 2012: Advances in Reactor Physics</v>
      </c>
      <c r="B10092" s="8" t="str">
        <f>"9781622763894"</f>
        <v>9781622763894</v>
      </c>
      <c r="C10092" s="8" t="s">
        <v>453</v>
      </c>
    </row>
    <row r="10093" spans="1:3" x14ac:dyDescent="0.25">
      <c r="A10093" s="8" t="str">
        <f>"International Conference on the Structure and Interactions of the Photon and 19th International Workshop on Photon-Photon Collisions, Photon 2011"</f>
        <v>International Conference on the Structure and Interactions of the Photon and 19th International Workshop on Photon-Photon Collisions, Photon 2011</v>
      </c>
      <c r="B10093" s="8" t="str">
        <f>"-"</f>
        <v>-</v>
      </c>
      <c r="C10093" s="8" t="s">
        <v>259</v>
      </c>
    </row>
    <row r="10094" spans="1:3" x14ac:dyDescent="0.25">
      <c r="A10094" s="8" t="str">
        <f>"International Conference on Theoretical and Mathematical Foundations of Computer Science 2008, TMFCS 2008"</f>
        <v>International Conference on Theoretical and Mathematical Foundations of Computer Science 2008, TMFCS 2008</v>
      </c>
      <c r="B10094" s="8" t="str">
        <f>"9781615677207"</f>
        <v>9781615677207</v>
      </c>
      <c r="C10094" s="8" t="s">
        <v>1923</v>
      </c>
    </row>
    <row r="10095" spans="1:3" x14ac:dyDescent="0.25">
      <c r="A10095" s="8" t="str">
        <f>"International Conference on Theoretical and Mathematical Foundations of Computer Science 2009, TMFCS 2009"</f>
        <v>International Conference on Theoretical and Mathematical Foundations of Computer Science 2009, TMFCS 2009</v>
      </c>
      <c r="B10095" s="8" t="str">
        <f>"9781615676583"</f>
        <v>9781615676583</v>
      </c>
      <c r="C10095" s="8" t="s">
        <v>1923</v>
      </c>
    </row>
    <row r="10096" spans="1:3" x14ac:dyDescent="0.25">
      <c r="A10096" s="8" t="str">
        <f>"International Conference on Theoretical and Mathematical Foundations of Computer Science 2010, TMFCS 2010"</f>
        <v>International Conference on Theoretical and Mathematical Foundations of Computer Science 2010, TMFCS 2010</v>
      </c>
      <c r="B10096" s="8" t="str">
        <f>"9781617820717"</f>
        <v>9781617820717</v>
      </c>
      <c r="C10096" s="8" t="s">
        <v>1923</v>
      </c>
    </row>
    <row r="10097" spans="1:3" x14ac:dyDescent="0.25">
      <c r="A10097" s="8" t="str">
        <f>"International Conference on Thermal Treatment Technologies and Hazardous Waste Combustors 2010"</f>
        <v>International Conference on Thermal Treatment Technologies and Hazardous Waste Combustors 2010</v>
      </c>
      <c r="B10097" s="8" t="str">
        <f>"9781617386633"</f>
        <v>9781617386633</v>
      </c>
      <c r="C10097" s="8" t="s">
        <v>10</v>
      </c>
    </row>
    <row r="10098" spans="1:3" x14ac:dyDescent="0.25">
      <c r="A10098" s="8" t="str">
        <f>"International Conference on Transportation Engineering 2007, ICTE 2007"</f>
        <v>International Conference on Transportation Engineering 2007, ICTE 2007</v>
      </c>
      <c r="B10098" s="8" t="str">
        <f>"9780784409329"</f>
        <v>9780784409329</v>
      </c>
      <c r="C10098" s="8" t="s">
        <v>111</v>
      </c>
    </row>
    <row r="10099" spans="1:3" x14ac:dyDescent="0.25">
      <c r="A10099" s="8" t="str">
        <f>"International Conference on Ultrafast Structural Dynamics, ICUSD 2012"</f>
        <v>International Conference on Ultrafast Structural Dynamics, ICUSD 2012</v>
      </c>
      <c r="B10099" s="8" t="str">
        <f>"9781557529398"</f>
        <v>9781557529398</v>
      </c>
      <c r="C10099" s="8" t="s">
        <v>86</v>
      </c>
    </row>
    <row r="10100" spans="1:3" x14ac:dyDescent="0.25">
      <c r="A10100" s="8" t="str">
        <f>"International Conference on Wireless and Ubiquitous Systems, ICWUS 2010"</f>
        <v>International Conference on Wireless and Ubiquitous Systems, ICWUS 2010</v>
      </c>
      <c r="B10100" s="8" t="str">
        <f>"9781424492589"</f>
        <v>9781424492589</v>
      </c>
      <c r="C10100" s="8" t="s">
        <v>9</v>
      </c>
    </row>
    <row r="10101" spans="1:3" x14ac:dyDescent="0.25">
      <c r="A10101" s="8" t="str">
        <f>"International Conference on Wireless Networks and Information Systems, WNIS 2009"</f>
        <v>International Conference on Wireless Networks and Information Systems, WNIS 2009</v>
      </c>
      <c r="B10101" s="8" t="str">
        <f>"9780769539010"</f>
        <v>9780769539010</v>
      </c>
      <c r="C10101" s="8" t="s">
        <v>9</v>
      </c>
    </row>
    <row r="10102" spans="1:3" x14ac:dyDescent="0.25">
      <c r="A10102" s="8" t="str">
        <f>"International Conferences on Multi-Material Micro Manufacture, 4M/International Conferences on Micro Manufacturing, ICOMM"</f>
        <v>International Conferences on Multi-Material Micro Manufacture, 4M/International Conferences on Micro Manufacturing, ICOMM</v>
      </c>
      <c r="B10102" s="8" t="str">
        <f>"-"</f>
        <v>-</v>
      </c>
      <c r="C10102" s="8" t="s">
        <v>1645</v>
      </c>
    </row>
    <row r="10103" spans="1:3" x14ac:dyDescent="0.25">
      <c r="A10103" s="8" t="str">
        <f>"International Congress of Mathematicians, ICM 2006"</f>
        <v>International Congress of Mathematicians, ICM 2006</v>
      </c>
      <c r="B10103" s="8" t="str">
        <f>"-"</f>
        <v>-</v>
      </c>
      <c r="C10103" s="8" t="s">
        <v>1927</v>
      </c>
    </row>
    <row r="10104" spans="1:3" x14ac:dyDescent="0.25">
      <c r="A10104" s="8" t="str">
        <f>"International Congress on Advances in Nuclear Power Plants 2009, ICAPP 2009"</f>
        <v>International Congress on Advances in Nuclear Power Plants 2009, ICAPP 2009</v>
      </c>
      <c r="B10104" s="8" t="str">
        <f>"-"</f>
        <v>-</v>
      </c>
      <c r="C10104" s="8" t="s">
        <v>1132</v>
      </c>
    </row>
    <row r="10105" spans="1:3" x14ac:dyDescent="0.25">
      <c r="A10105" s="8" t="str">
        <f>"International Congress on Advances in Nuclear Power Plants 2010, ICAPP 2010"</f>
        <v>International Congress on Advances in Nuclear Power Plants 2010, ICAPP 2010</v>
      </c>
      <c r="B10105" s="8" t="str">
        <f>"9781617386435"</f>
        <v>9781617386435</v>
      </c>
      <c r="C10105" s="8" t="s">
        <v>453</v>
      </c>
    </row>
    <row r="10106" spans="1:3" x14ac:dyDescent="0.25">
      <c r="A10106" s="8" t="str">
        <f>"International Congress on Advances in Nuclear Power Plants 2012, ICAPP 2012"</f>
        <v>International Congress on Advances in Nuclear Power Plants 2012, ICAPP 2012</v>
      </c>
      <c r="B10106" s="8" t="str">
        <f>"9781622762101"</f>
        <v>9781622762101</v>
      </c>
      <c r="C10106" s="8" t="s">
        <v>453</v>
      </c>
    </row>
    <row r="10107" spans="1:3" x14ac:dyDescent="0.25">
      <c r="A10107" s="8" t="str">
        <f>"International Congress on Advances in Nuclear Power Plants, ICAPP 2013: Nuclear Power - A Safe and Sustainable Choice for Green Future, Held with the 28th KAIF/KNS Annual Conference"</f>
        <v>International Congress on Advances in Nuclear Power Plants, ICAPP 2013: Nuclear Power - A Safe and Sustainable Choice for Green Future, Held with the 28th KAIF/KNS Annual Conference</v>
      </c>
      <c r="B10107" s="8" t="str">
        <f>"9781632660381"</f>
        <v>9781632660381</v>
      </c>
      <c r="C10107" s="8" t="s">
        <v>1928</v>
      </c>
    </row>
    <row r="10108" spans="1:3" x14ac:dyDescent="0.25">
      <c r="A10108" s="8" t="str">
        <f>"International Congress on Energy 2013, ICE 2013 - Topical Conference at the 2013 AIChE Annual Meeting: Global Challenges for Engineering a Sustainable Future"</f>
        <v>International Congress on Energy 2013, ICE 2013 - Topical Conference at the 2013 AIChE Annual Meeting: Global Challenges for Engineering a Sustainable Future</v>
      </c>
      <c r="B10108" s="8" t="str">
        <f>"-"</f>
        <v>-</v>
      </c>
      <c r="C10108" s="8" t="s">
        <v>1219</v>
      </c>
    </row>
    <row r="10109" spans="1:3" x14ac:dyDescent="0.25">
      <c r="A10109" s="8" t="str">
        <f>"International Congress on Innovative Solutions for the Advancement of the Transport Industry, TRANSFAC' 06"</f>
        <v>International Congress on Innovative Solutions for the Advancement of the Transport Industry, TRANSFAC' 06</v>
      </c>
      <c r="B10109" s="8" t="str">
        <f>"9788495520111"</f>
        <v>9788495520111</v>
      </c>
      <c r="C10109" s="8" t="s">
        <v>1266</v>
      </c>
    </row>
    <row r="10110" spans="1:3" x14ac:dyDescent="0.25">
      <c r="A10110" s="8" t="str">
        <f>"International Congress on Noise Control Engineering 2005, INTERNOISE 2005"</f>
        <v>International Congress on Noise Control Engineering 2005, INTERNOISE 2005</v>
      </c>
      <c r="B10110" s="8" t="str">
        <f>"9781622763399"</f>
        <v>9781622763399</v>
      </c>
      <c r="C10110" s="8" t="s">
        <v>907</v>
      </c>
    </row>
    <row r="10111" spans="1:3" x14ac:dyDescent="0.25">
      <c r="A10111" s="8" t="str">
        <f>"International Dairy Federation World Dairy Summit, WDS 2007"</f>
        <v>International Dairy Federation World Dairy Summit, WDS 2007</v>
      </c>
      <c r="B10111" s="8" t="str">
        <f>"-"</f>
        <v>-</v>
      </c>
      <c r="C10111" s="8" t="s">
        <v>229</v>
      </c>
    </row>
    <row r="10112" spans="1:3" x14ac:dyDescent="0.25">
      <c r="A10112" s="8" t="str">
        <f>"International Defense and Homeland Security Simulation Workshop, DHSS 2011, Held at the International Mediterranean and Latin American Modeling Multiconference, I3M 2011"</f>
        <v>International Defense and Homeland Security Simulation Workshop, DHSS 2011, Held at the International Mediterranean and Latin American Modeling Multiconference, I3M 2011</v>
      </c>
      <c r="B10112" s="8" t="str">
        <f>"9781629934792"</f>
        <v>9781629934792</v>
      </c>
      <c r="C10112" s="8" t="s">
        <v>1200</v>
      </c>
    </row>
    <row r="10113" spans="1:3" x14ac:dyDescent="0.25">
      <c r="A10113" s="8" t="str">
        <f>"International Defense and Homeland Security Simulation Workshop, DHSS 2012, Held at the International Multidisciplinary Modeling and Simulation Multiconference, I3M 2012"</f>
        <v>International Defense and Homeland Security Simulation Workshop, DHSS 2012, Held at the International Multidisciplinary Modeling and Simulation Multiconference, I3M 2012</v>
      </c>
      <c r="B10113" s="8" t="str">
        <f>"9781629934822"</f>
        <v>9781629934822</v>
      </c>
      <c r="C10113" s="8" t="s">
        <v>1200</v>
      </c>
    </row>
    <row r="10114" spans="1:3" x14ac:dyDescent="0.25">
      <c r="A10114" s="8" t="str">
        <f>"International Display Manufacturing Conference and Exhibition, IDMC'05"</f>
        <v>International Display Manufacturing Conference and Exhibition, IDMC'05</v>
      </c>
      <c r="B10114" s="8" t="str">
        <f>"9789572852224"</f>
        <v>9789572852224</v>
      </c>
      <c r="C10114" s="8" t="s">
        <v>535</v>
      </c>
    </row>
    <row r="10115" spans="1:3" x14ac:dyDescent="0.25">
      <c r="A10115" s="8" t="str">
        <f>"International Energy and Sustainability Conference 2014, IESC 2014"</f>
        <v>International Energy and Sustainability Conference 2014, IESC 2014</v>
      </c>
      <c r="B10115" s="8" t="str">
        <f>"9781479962952"</f>
        <v>9781479962952</v>
      </c>
      <c r="C10115" s="8" t="s">
        <v>105</v>
      </c>
    </row>
    <row r="10116" spans="1:3" x14ac:dyDescent="0.25">
      <c r="A10116" s="8" t="str">
        <f>"International Energy and Sustainability Conference, IESC 2012"</f>
        <v>International Energy and Sustainability Conference, IESC 2012</v>
      </c>
      <c r="B10116" s="8" t="str">
        <f>"9781467316088"</f>
        <v>9781467316088</v>
      </c>
      <c r="C10116" s="8" t="s">
        <v>9</v>
      </c>
    </row>
    <row r="10117" spans="1:3" x14ac:dyDescent="0.25">
      <c r="A10117" s="8" t="str">
        <f>"International Engineering Consortium - DesignCon 2006"</f>
        <v>International Engineering Consortium - DesignCon 2006</v>
      </c>
      <c r="B10117" s="8" t="str">
        <f>"9781604236248"</f>
        <v>9781604236248</v>
      </c>
      <c r="C10117" s="8" t="s">
        <v>1774</v>
      </c>
    </row>
    <row r="10118" spans="1:3" x14ac:dyDescent="0.25">
      <c r="A10118" s="8" t="str">
        <f>"International Engineering Consortium - DesignCon 2007"</f>
        <v>International Engineering Consortium - DesignCon 2007</v>
      </c>
      <c r="B10118" s="8" t="str">
        <f>"9781604237900"</f>
        <v>9781604237900</v>
      </c>
      <c r="C10118" s="8" t="s">
        <v>1774</v>
      </c>
    </row>
    <row r="10119" spans="1:3" x14ac:dyDescent="0.25">
      <c r="A10119" s="8" t="str">
        <f>"International Engineering Consortium - DesignCon 2008"</f>
        <v>International Engineering Consortium - DesignCon 2008</v>
      </c>
      <c r="B10119" s="8" t="str">
        <f>"9781605603452"</f>
        <v>9781605603452</v>
      </c>
      <c r="C10119" s="8" t="s">
        <v>1774</v>
      </c>
    </row>
    <row r="10120" spans="1:3" x14ac:dyDescent="0.25">
      <c r="A10120" s="8" t="str">
        <f>"International Engineering History and Heritage"</f>
        <v>International Engineering History and Heritage</v>
      </c>
      <c r="B10120" s="8" t="str">
        <f>"9780784405949"</f>
        <v>9780784405949</v>
      </c>
      <c r="C10120" s="8" t="s">
        <v>111</v>
      </c>
    </row>
    <row r="10121" spans="1:3" x14ac:dyDescent="0.25">
      <c r="A10121" s="8" t="str">
        <f>"International Erosion Control Association - 38th International Erosion Control Association Conference and Expo 2007: Environmental Connection 2007"</f>
        <v>International Erosion Control Association - 38th International Erosion Control Association Conference and Expo 2007: Environmental Connection 2007</v>
      </c>
      <c r="B10121" s="8" t="str">
        <f>"9781604237627"</f>
        <v>9781604237627</v>
      </c>
      <c r="C10121" s="8" t="s">
        <v>957</v>
      </c>
    </row>
    <row r="10122" spans="1:3" x14ac:dyDescent="0.25">
      <c r="A10122" s="8" t="str">
        <f>"International Erosion Control Association - 39th Annual Conference and Expo of the International Erosion Control Association 2008 - Environmental Connection 2008: Drive Your Future"</f>
        <v>International Erosion Control Association - 39th Annual Conference and Expo of the International Erosion Control Association 2008 - Environmental Connection 2008: Drive Your Future</v>
      </c>
      <c r="B10122" s="8" t="str">
        <f>"9781605601267"</f>
        <v>9781605601267</v>
      </c>
      <c r="C10122" s="8" t="s">
        <v>1454</v>
      </c>
    </row>
    <row r="10123" spans="1:3" x14ac:dyDescent="0.25">
      <c r="A10123" s="8" t="str">
        <f>"International Erosion Control Association - Proceedings of Conference 37"</f>
        <v>International Erosion Control Association - Proceedings of Conference 37</v>
      </c>
      <c r="B10123" s="8" t="str">
        <f>"9781604236835"</f>
        <v>9781604236835</v>
      </c>
      <c r="C10123" s="8" t="s">
        <v>957</v>
      </c>
    </row>
    <row r="10124" spans="1:3" x14ac:dyDescent="0.25">
      <c r="A10124" s="8" t="str">
        <f>"International Image Processing, Applications and Systems Conference, IPAS 2014"</f>
        <v>International Image Processing, Applications and Systems Conference, IPAS 2014</v>
      </c>
      <c r="B10124" s="8" t="str">
        <f>"9781479970698"</f>
        <v>9781479970698</v>
      </c>
      <c r="C10124" s="8" t="s">
        <v>105</v>
      </c>
    </row>
    <row r="10125" spans="1:3" x14ac:dyDescent="0.25">
      <c r="A10125" s="8" t="str">
        <f>"International Institute of Connector and Interconnection Technology - 39th IICIT Connector and Interconnection Symposium 2008"</f>
        <v>International Institute of Connector and Interconnection Technology - 39th IICIT Connector and Interconnection Symposium 2008</v>
      </c>
      <c r="B10125" s="8" t="str">
        <f>"9781605602912"</f>
        <v>9781605602912</v>
      </c>
      <c r="C10125" s="8" t="s">
        <v>1929</v>
      </c>
    </row>
    <row r="10126" spans="1:3" x14ac:dyDescent="0.25">
      <c r="A10126" s="8" t="str">
        <f>"International Institute of Connector and Interconnection Technology, Inc. - 38th IICIT Connector and Interconnection Technology Symposium and Expo 2007"</f>
        <v>International Institute of Connector and Interconnection Technology, Inc. - 38th IICIT Connector and Interconnection Technology Symposium and Expo 2007</v>
      </c>
      <c r="B10126" s="8" t="str">
        <f>"9781604233407"</f>
        <v>9781604233407</v>
      </c>
      <c r="C10126" s="8" t="s">
        <v>1929</v>
      </c>
    </row>
    <row r="10127" spans="1:3" x14ac:dyDescent="0.25">
      <c r="A10127" s="8" t="str">
        <f>"International Laser Safety Conference: The World's Leading Conference on Laser Safety, ILSC 2007"</f>
        <v>International Laser Safety Conference: The World's Leading Conference on Laser Safety, ILSC 2007</v>
      </c>
      <c r="B10127" s="8" t="str">
        <f>"9780912035864"</f>
        <v>9780912035864</v>
      </c>
      <c r="C10127" s="8" t="s">
        <v>723</v>
      </c>
    </row>
    <row r="10128" spans="1:3" x14ac:dyDescent="0.25">
      <c r="A10128" s="8" t="str">
        <f>"International Laterite Nickel Symposium"</f>
        <v>International Laterite Nickel Symposium</v>
      </c>
      <c r="B10128" s="8" t="str">
        <f>"9780873395502"</f>
        <v>9780873395502</v>
      </c>
      <c r="C10128" s="8" t="s">
        <v>648</v>
      </c>
    </row>
    <row r="10129" spans="1:3" x14ac:dyDescent="0.25">
      <c r="A10129" s="8" t="str">
        <f>"International Linear Collider Workshop 2010, LCWS 2010 and ILC 2010"</f>
        <v>International Linear Collider Workshop 2010, LCWS 2010 and ILC 2010</v>
      </c>
      <c r="B10129" s="8" t="str">
        <f>"-"</f>
        <v>-</v>
      </c>
      <c r="C10129" s="8" t="s">
        <v>1471</v>
      </c>
    </row>
    <row r="10130" spans="1:3" x14ac:dyDescent="0.25">
      <c r="A10130" s="8" t="str">
        <f>"International Low Impact Development Conference 2015 - LID: It Works in All Climates and Soils - Proceedings of the 2015 International Low Impact Development Conference"</f>
        <v>International Low Impact Development Conference 2015 - LID: It Works in All Climates and Soils - Proceedings of the 2015 International Low Impact Development Conference</v>
      </c>
      <c r="B10130" s="8" t="str">
        <f>"9780784479025"</f>
        <v>9780784479025</v>
      </c>
      <c r="C10130" s="8" t="s">
        <v>111</v>
      </c>
    </row>
    <row r="10131" spans="1:3" x14ac:dyDescent="0.25">
      <c r="A10131" s="8" t="str">
        <f>"International Machine Vision and Image Processing Conference, IMVIP 2007"</f>
        <v>International Machine Vision and Image Processing Conference, IMVIP 2007</v>
      </c>
      <c r="B10131" s="8" t="str">
        <f>"9780769528878"</f>
        <v>9780769528878</v>
      </c>
      <c r="C10131" s="8" t="s">
        <v>9</v>
      </c>
    </row>
    <row r="10132" spans="1:3" x14ac:dyDescent="0.25">
      <c r="A10132" s="8" t="str">
        <f>"International Maritime Conference 2010, Pacific 2010"</f>
        <v>International Maritime Conference 2010, Pacific 2010</v>
      </c>
      <c r="B10132" s="8" t="str">
        <f>"9781617380167"</f>
        <v>9781617380167</v>
      </c>
      <c r="C10132" s="8" t="s">
        <v>1137</v>
      </c>
    </row>
    <row r="10133" spans="1:3" x14ac:dyDescent="0.25">
      <c r="A10133" s="8" t="str">
        <f>"International Mechanical Pulping Conference 2007, TAPPI"</f>
        <v>International Mechanical Pulping Conference 2007, TAPPI</v>
      </c>
      <c r="B10133" s="8" t="str">
        <f>"9781605602936"</f>
        <v>9781605602936</v>
      </c>
      <c r="C10133" s="8" t="s">
        <v>1099</v>
      </c>
    </row>
    <row r="10134" spans="1:3" x14ac:dyDescent="0.25">
      <c r="A10134" s="8" t="str">
        <f>"International Mechanical Pulping Conference, IMPC 2014, part of PulPaper 2014 Conference"</f>
        <v>International Mechanical Pulping Conference, IMPC 2014, part of PulPaper 2014 Conference</v>
      </c>
      <c r="B10134" s="8" t="str">
        <f>"-"</f>
        <v>-</v>
      </c>
      <c r="C10134" s="8" t="s">
        <v>1704</v>
      </c>
    </row>
    <row r="10135" spans="1:3" x14ac:dyDescent="0.25">
      <c r="A10135" s="8" t="str">
        <f>"International Mediterranean Modeling Multiconference, I3M 2005, European Modeling Simulation Symposium, EMSS 2005"</f>
        <v>International Mediterranean Modeling Multiconference, I3M 2005, European Modeling Simulation Symposium, EMSS 2005</v>
      </c>
      <c r="B10135" s="8" t="str">
        <f>"9782952071239"</f>
        <v>9782952071239</v>
      </c>
      <c r="C10135" s="8" t="s">
        <v>1405</v>
      </c>
    </row>
    <row r="10136" spans="1:3" x14ac:dyDescent="0.25">
      <c r="A10136" s="8" t="str">
        <f>"International Mediterranean Modeling Multiconference, I3M 2007"</f>
        <v>International Mediterranean Modeling Multiconference, I3M 2007</v>
      </c>
      <c r="B10136" s="8" t="str">
        <f>"9788890073267"</f>
        <v>9788890073267</v>
      </c>
      <c r="C10136" s="8" t="s">
        <v>1405</v>
      </c>
    </row>
    <row r="10137" spans="1:3" x14ac:dyDescent="0.25">
      <c r="A10137" s="8" t="str">
        <f>"International Mediterranean Modelling Multiconference, I3M"</f>
        <v>International Mediterranean Modelling Multiconference, I3M</v>
      </c>
      <c r="B10137" s="8" t="str">
        <f>"9788469007266"</f>
        <v>9788469007266</v>
      </c>
      <c r="C10137" s="8" t="s">
        <v>1405</v>
      </c>
    </row>
    <row r="10138" spans="1:3" x14ac:dyDescent="0.25">
      <c r="A10138" s="8" t="str">
        <f>"International Meeting on Nuclear Applications of Accelerator Technology: Accelerator Application in a Nuclear Renaissance"</f>
        <v>International Meeting on Nuclear Applications of Accelerator Technology: Accelerator Application in a Nuclear Renaissance</v>
      </c>
      <c r="B10138" s="8" t="str">
        <f>"-"</f>
        <v>-</v>
      </c>
      <c r="C10138" s="8" t="s">
        <v>453</v>
      </c>
    </row>
    <row r="10139" spans="1:3" x14ac:dyDescent="0.25">
      <c r="A10139" s="8" t="str">
        <f>"International Meeting on Severe Accident Assessment and Management 2012: Lessons Learned from Fukushima Dai-ichi"</f>
        <v>International Meeting on Severe Accident Assessment and Management 2012: Lessons Learned from Fukushima Dai-ichi</v>
      </c>
      <c r="B10139" s="8" t="str">
        <f>"9781627480116"</f>
        <v>9781627480116</v>
      </c>
      <c r="C10139" s="8" t="s">
        <v>453</v>
      </c>
    </row>
    <row r="10140" spans="1:3" x14ac:dyDescent="0.25">
      <c r="A10140" s="8" t="str">
        <f>"International Microelectronics and Packaging Society - 1st International Conference and Exhibition on Device Packaging 2005: Everything in Electronics Between the Chip and the System"</f>
        <v>International Microelectronics and Packaging Society - 1st International Conference and Exhibition on Device Packaging 2005: Everything in Electronics Between the Chip and the System</v>
      </c>
      <c r="B10140" s="8" t="str">
        <f>"9781604235722"</f>
        <v>9781604235722</v>
      </c>
      <c r="C10140" s="8" t="s">
        <v>93</v>
      </c>
    </row>
    <row r="10141" spans="1:3" x14ac:dyDescent="0.25">
      <c r="A10141" s="8" t="str">
        <f>"International Microelectronics and Packaging Society - 3rd IMAPS/ACerS International Conference and Exhibition on Ceramic Interconnect and Ceramic Microsystems Technologies, CICMT 2007"</f>
        <v>International Microelectronics and Packaging Society - 3rd IMAPS/ACerS International Conference and Exhibition on Ceramic Interconnect and Ceramic Microsystems Technologies, CICMT 2007</v>
      </c>
      <c r="B10141" s="8" t="str">
        <f>"9781605603872"</f>
        <v>9781605603872</v>
      </c>
      <c r="C10141" s="8" t="s">
        <v>93</v>
      </c>
    </row>
    <row r="10142" spans="1:3" x14ac:dyDescent="0.25">
      <c r="A10142" s="8" t="str">
        <f>"International Microelectronics and Packaging Society - International Conference and Exhibition on Device Packaging 2007"</f>
        <v>International Microelectronics and Packaging Society - International Conference and Exhibition on Device Packaging 2007</v>
      </c>
      <c r="B10142" s="8" t="str">
        <f>"9781605603889"</f>
        <v>9781605603889</v>
      </c>
      <c r="C10142" s="8" t="s">
        <v>93</v>
      </c>
    </row>
    <row r="10143" spans="1:3" x14ac:dyDescent="0.25">
      <c r="A10143" s="8" t="str">
        <f>"International Microsystems Packaging Assembly and Circuits Technology Conference, IMPACT 2010 and International 3D IC Conference, Proceedings"</f>
        <v>International Microsystems Packaging Assembly and Circuits Technology Conference, IMPACT 2010 and International 3D IC Conference, Proceedings</v>
      </c>
      <c r="B10143" s="8" t="str">
        <f>"9781424497836"</f>
        <v>9781424497836</v>
      </c>
      <c r="C10143" s="8" t="s">
        <v>9</v>
      </c>
    </row>
    <row r="10144" spans="1:3" x14ac:dyDescent="0.25">
      <c r="A10144" s="8" t="str">
        <f>"International Multi-Conference on Systems, Signals and Devices, SSD 2012 - Summary Proceedings"</f>
        <v>International Multi-Conference on Systems, Signals and Devices, SSD 2012 - Summary Proceedings</v>
      </c>
      <c r="B10144" s="8" t="str">
        <f>"9781467315906"</f>
        <v>9781467315906</v>
      </c>
      <c r="C10144" s="8" t="s">
        <v>9</v>
      </c>
    </row>
    <row r="10145" spans="1:3" x14ac:dyDescent="0.25">
      <c r="A10145" s="8" t="str">
        <f>"International Multi-Conference on Systems, Signals and Devices, SSD'11 - Summary Proceedings"</f>
        <v>International Multi-Conference on Systems, Signals and Devices, SSD'11 - Summary Proceedings</v>
      </c>
      <c r="B10145" s="8" t="str">
        <f>"9781457704130"</f>
        <v>9781457704130</v>
      </c>
      <c r="C10145" s="8" t="s">
        <v>9</v>
      </c>
    </row>
    <row r="10146" spans="1:3" x14ac:dyDescent="0.25">
      <c r="A10146" s="8" t="str">
        <f>"International No-Dig Madrid 2014"</f>
        <v>International No-Dig Madrid 2014</v>
      </c>
      <c r="B10146" s="8" t="str">
        <f>"-"</f>
        <v>-</v>
      </c>
      <c r="C10146" s="8" t="s">
        <v>1381</v>
      </c>
    </row>
    <row r="10147" spans="1:3" x14ac:dyDescent="0.25">
      <c r="A10147" s="8" t="str">
        <f>"International Nonwovens Symposium"</f>
        <v>International Nonwovens Symposium</v>
      </c>
      <c r="B10147" s="8" t="str">
        <f>"-"</f>
        <v>-</v>
      </c>
      <c r="C10147" s="8" t="s">
        <v>1930</v>
      </c>
    </row>
    <row r="10148" spans="1:3" x14ac:dyDescent="0.25">
      <c r="A10148" s="8" t="str">
        <f>"International Nonwovens Symposium 2013"</f>
        <v>International Nonwovens Symposium 2013</v>
      </c>
      <c r="B10148" s="8" t="str">
        <f>"9782930159812"</f>
        <v>9782930159812</v>
      </c>
      <c r="C10148" s="8" t="s">
        <v>1801</v>
      </c>
    </row>
    <row r="10149" spans="1:3" x14ac:dyDescent="0.25">
      <c r="A10149" s="8" t="str">
        <f>"International Nonwovens Technical Conference, INTC 2006"</f>
        <v>International Nonwovens Technical Conference, INTC 2006</v>
      </c>
      <c r="B10149" s="8" t="str">
        <f>"9781604231458"</f>
        <v>9781604231458</v>
      </c>
      <c r="C10149" s="8" t="s">
        <v>1099</v>
      </c>
    </row>
    <row r="10150" spans="1:3" x14ac:dyDescent="0.25">
      <c r="A10150" s="8" t="str">
        <f>"International Nonwovens Technical Conference, INTC 2007: Joint INDA-TAPPI Conference"</f>
        <v>International Nonwovens Technical Conference, INTC 2007: Joint INDA-TAPPI Conference</v>
      </c>
      <c r="B10150" s="8" t="str">
        <f>"9781605600642"</f>
        <v>9781605600642</v>
      </c>
      <c r="C10150" s="8" t="s">
        <v>1099</v>
      </c>
    </row>
    <row r="10151" spans="1:3" x14ac:dyDescent="0.25">
      <c r="A10151" s="8" t="str">
        <f>"International Oil and Gas Conference and Exhibition in China 2006 - Sustainable Growth for oil and Gas"</f>
        <v>International Oil and Gas Conference and Exhibition in China 2006 - Sustainable Growth for oil and Gas</v>
      </c>
      <c r="B10151" s="8" t="str">
        <f>"-"</f>
        <v>-</v>
      </c>
      <c r="C10151" s="8" t="s">
        <v>671</v>
      </c>
    </row>
    <row r="10152" spans="1:3" x14ac:dyDescent="0.25">
      <c r="A10152" s="8" t="str">
        <f>"International Petroleum Technology Conference 2007, IPTC 2007"</f>
        <v>International Petroleum Technology Conference 2007, IPTC 2007</v>
      </c>
      <c r="B10152" s="8" t="str">
        <f>"9781615673360"</f>
        <v>9781615673360</v>
      </c>
      <c r="C10152" s="8" t="s">
        <v>671</v>
      </c>
    </row>
    <row r="10153" spans="1:3" x14ac:dyDescent="0.25">
      <c r="A10153" s="8" t="str">
        <f>"International Petroleum Technology Conference, IPTC 2008"</f>
        <v>International Petroleum Technology Conference, IPTC 2008</v>
      </c>
      <c r="B10153" s="8" t="str">
        <f>"9781605609546"</f>
        <v>9781605609546</v>
      </c>
      <c r="C10153" s="8" t="s">
        <v>671</v>
      </c>
    </row>
    <row r="10154" spans="1:3" x14ac:dyDescent="0.25">
      <c r="A10154" s="8" t="str">
        <f>"International Polyolefins Conference 2010: Finding Value in Today's Business Environment"</f>
        <v>International Polyolefins Conference 2010: Finding Value in Today's Business Environment</v>
      </c>
      <c r="B10154" s="8" t="str">
        <f>"-"</f>
        <v>-</v>
      </c>
      <c r="C10154" s="8" t="s">
        <v>132</v>
      </c>
    </row>
    <row r="10155" spans="1:3" x14ac:dyDescent="0.25">
      <c r="A10155" s="8" t="str">
        <f>"International Polyolefins Conference 2011: Evolving Technology for the Global Economy"</f>
        <v>International Polyolefins Conference 2011: Evolving Technology for the Global Economy</v>
      </c>
      <c r="B10155" s="8" t="str">
        <f>"-"</f>
        <v>-</v>
      </c>
      <c r="C10155" s="8" t="s">
        <v>132</v>
      </c>
    </row>
    <row r="10156" spans="1:3" x14ac:dyDescent="0.25">
      <c r="A10156" s="8" t="str">
        <f>"International Powder Metallurgy Congress and Exhibition, Euro PM 2013"</f>
        <v>International Powder Metallurgy Congress and Exhibition, Euro PM 2013</v>
      </c>
      <c r="B10156" s="8" t="str">
        <f>"9781899072408"</f>
        <v>9781899072408</v>
      </c>
      <c r="C10156" s="8" t="s">
        <v>1931</v>
      </c>
    </row>
    <row r="10157" spans="1:3" x14ac:dyDescent="0.25">
      <c r="A10157" s="8" t="str">
        <f>"International Powered Lift Conference 2010"</f>
        <v>International Powered Lift Conference 2010</v>
      </c>
      <c r="B10157" s="8" t="str">
        <f>"9781617820311"</f>
        <v>9781617820311</v>
      </c>
      <c r="C10157" s="8" t="s">
        <v>129</v>
      </c>
    </row>
    <row r="10158" spans="1:3" x14ac:dyDescent="0.25">
      <c r="A10158" s="8" t="str">
        <f>"International PrimeNet Workshop"</f>
        <v>International PrimeNet Workshop</v>
      </c>
      <c r="B10158" s="8" t="str">
        <f>"-"</f>
        <v>-</v>
      </c>
      <c r="C10158" s="8" t="s">
        <v>1932</v>
      </c>
    </row>
    <row r="10159" spans="1:3" x14ac:dyDescent="0.25">
      <c r="A10159" s="8" t="str">
        <f>"International Printing and Graphic Arts Conference Preprints"</f>
        <v>International Printing and Graphic Arts Conference Preprints</v>
      </c>
      <c r="B10159" s="8" t="str">
        <f>"-"</f>
        <v>-</v>
      </c>
      <c r="C10159" s="8" t="s">
        <v>1885</v>
      </c>
    </row>
    <row r="10160" spans="1:3" x14ac:dyDescent="0.25">
      <c r="A10160" s="8" t="str">
        <f>"International Pulp Bleaching Conference 2011, IPBC 2011"</f>
        <v>International Pulp Bleaching Conference 2011, IPBC 2011</v>
      </c>
      <c r="B10160" s="8" t="str">
        <f>"9781618394347"</f>
        <v>9781618394347</v>
      </c>
      <c r="C10160" s="8" t="s">
        <v>1099</v>
      </c>
    </row>
    <row r="10161" spans="1:3" x14ac:dyDescent="0.25">
      <c r="A10161" s="8" t="str">
        <f>"International Radar Symposium, IRS 2011 - Proceedings"</f>
        <v>International Radar Symposium, IRS 2011 - Proceedings</v>
      </c>
      <c r="B10161" s="8" t="str">
        <f>"9783927535282"</f>
        <v>9783927535282</v>
      </c>
      <c r="C10161" s="8" t="s">
        <v>9</v>
      </c>
    </row>
    <row r="10162" spans="1:3" x14ac:dyDescent="0.25">
      <c r="A10162" s="8" t="str">
        <f>"International Research Council on the Biomechanics of Impact - 2005 International IRCOBI Conference on the Biomechanics of Impact, Proceedings"</f>
        <v>International Research Council on the Biomechanics of Impact - 2005 International IRCOBI Conference on the Biomechanics of Impact, Proceedings</v>
      </c>
      <c r="B10162" s="8" t="str">
        <f>"9782951421066"</f>
        <v>9782951421066</v>
      </c>
      <c r="C10162" s="8" t="s">
        <v>1933</v>
      </c>
    </row>
    <row r="10163" spans="1:3" x14ac:dyDescent="0.25">
      <c r="A10163" s="8" t="str">
        <f>"International Research Council on the Biomechanics of Impact - 2006 International IRCOBI Conference on the Biomechanics of Impact, Proceedings"</f>
        <v>International Research Council on the Biomechanics of Impact - 2006 International IRCOBI Conference on the Biomechanics of Impact, Proceedings</v>
      </c>
      <c r="B10163" s="8" t="str">
        <f>"9782951421073"</f>
        <v>9782951421073</v>
      </c>
      <c r="C10163" s="8" t="s">
        <v>1933</v>
      </c>
    </row>
    <row r="10164" spans="1:3" x14ac:dyDescent="0.25">
      <c r="A10164" s="8" t="str">
        <f>"International Research Council on the Biomechanics of Injury - 2007 International IRCOBI Conference on the Biomechanics of Injury, Proceedings"</f>
        <v>International Research Council on the Biomechanics of Injury - 2007 International IRCOBI Conference on the Biomechanics of Injury, Proceedings</v>
      </c>
      <c r="B10164" s="8" t="str">
        <f>"9782951421080"</f>
        <v>9782951421080</v>
      </c>
      <c r="C10164" s="8" t="s">
        <v>1372</v>
      </c>
    </row>
    <row r="10165" spans="1:3" x14ac:dyDescent="0.25">
      <c r="A10165" s="8" t="str">
        <f>"International Research Council on the Biomechanics of Injury - 2008 International IRCOBI Conference on the Biomechanics of Injury, Proceedings"</f>
        <v>International Research Council on the Biomechanics of Injury - 2008 International IRCOBI Conference on the Biomechanics of Injury, Proceedings</v>
      </c>
      <c r="B10165" s="8" t="str">
        <f>"9783033015807"</f>
        <v>9783033015807</v>
      </c>
      <c r="C10165" s="8" t="s">
        <v>1372</v>
      </c>
    </row>
    <row r="10166" spans="1:3" x14ac:dyDescent="0.25">
      <c r="A10166" s="8" t="str">
        <f>"International Research Council on the Biomechanics of Injury - 2009 International IRCOBI Conference on the Biomechanics of Injury, Proceedings"</f>
        <v>International Research Council on the Biomechanics of Injury - 2009 International IRCOBI Conference on the Biomechanics of Injury, Proceedings</v>
      </c>
      <c r="B10166" s="8" t="str">
        <f>"9783033020504"</f>
        <v>9783033020504</v>
      </c>
      <c r="C10166" s="8" t="s">
        <v>1372</v>
      </c>
    </row>
    <row r="10167" spans="1:3" x14ac:dyDescent="0.25">
      <c r="A10167" s="8" t="str">
        <f>"International Research Council on the Biomechanics of Injury - 2010 International IRCOBI Conference on the Biomechanics of Injury, Proceedings"</f>
        <v>International Research Council on the Biomechanics of Injury - 2010 International IRCOBI Conference on the Biomechanics of Injury, Proceedings</v>
      </c>
      <c r="B10167" s="8" t="str">
        <f>"9783033025509"</f>
        <v>9783033025509</v>
      </c>
      <c r="C10167" s="8" t="s">
        <v>1372</v>
      </c>
    </row>
    <row r="10168" spans="1:3" x14ac:dyDescent="0.25">
      <c r="A10168" s="8" t="str">
        <f>"International School of Hydrocarbon Measurement - 81st Annual International School of Hydrocarbon Measurement 2006"</f>
        <v>International School of Hydrocarbon Measurement - 81st Annual International School of Hydrocarbon Measurement 2006</v>
      </c>
      <c r="B10168" s="8" t="str">
        <f>"9781604236064"</f>
        <v>9781604236064</v>
      </c>
      <c r="C10168" s="8" t="s">
        <v>1587</v>
      </c>
    </row>
    <row r="10169" spans="1:3" x14ac:dyDescent="0.25">
      <c r="A10169" s="8" t="str">
        <f>"International School of Hydrocarbon Measurement - 82nd Annual International School of Hydrocarbon Measurement 2007"</f>
        <v>International School of Hydrocarbon Measurement - 82nd Annual International School of Hydrocarbon Measurement 2007</v>
      </c>
      <c r="B10169" s="8" t="str">
        <f>"9781604231373"</f>
        <v>9781604231373</v>
      </c>
      <c r="C10169" s="8" t="s">
        <v>1587</v>
      </c>
    </row>
    <row r="10170" spans="1:3" x14ac:dyDescent="0.25">
      <c r="A10170" s="8" t="str">
        <f>"International School of Hydrocarbon Measurement - 83rd Annual International School of Hydrocarbon Measurement 2008"</f>
        <v>International School of Hydrocarbon Measurement - 83rd Annual International School of Hydrocarbon Measurement 2008</v>
      </c>
      <c r="B10170" s="8" t="str">
        <f>"9781605603933"</f>
        <v>9781605603933</v>
      </c>
      <c r="C10170" s="8" t="s">
        <v>1587</v>
      </c>
    </row>
    <row r="10171" spans="1:3" x14ac:dyDescent="0.25">
      <c r="A10171" s="8" t="str">
        <f>"International Seminar Day on Diffraction Millennium Workshop, DD 2000 - Proceedings"</f>
        <v>International Seminar Day on Diffraction Millennium Workshop, DD 2000 - Proceedings</v>
      </c>
      <c r="B10171" s="8" t="str">
        <f>"9780000000002"</f>
        <v>9780000000002</v>
      </c>
      <c r="C10171" s="8" t="s">
        <v>105</v>
      </c>
    </row>
    <row r="10172" spans="1:3" x14ac:dyDescent="0.25">
      <c r="A10172" s="8" t="str">
        <f>"International Siberian Conference on Control and Communications, SIBCON-2009; Proceedings"</f>
        <v>International Siberian Conference on Control and Communications, SIBCON-2009; Proceedings</v>
      </c>
      <c r="B10172" s="8" t="str">
        <f>"9781424420070"</f>
        <v>9781424420070</v>
      </c>
      <c r="C10172" s="8" t="s">
        <v>9</v>
      </c>
    </row>
    <row r="10173" spans="1:3" x14ac:dyDescent="0.25">
      <c r="A10173" s="8" t="str">
        <f>"International Society for Computers and their Applications - 14th International Conference on Intelligent and Adaptive Systems and Software Engineering, IASSE 2005"</f>
        <v>International Society for Computers and their Applications - 14th International Conference on Intelligent and Adaptive Systems and Software Engineering, IASSE 2005</v>
      </c>
      <c r="B10173" s="8" t="str">
        <f>"9781604234558"</f>
        <v>9781604234558</v>
      </c>
      <c r="C10173" s="8" t="s">
        <v>1934</v>
      </c>
    </row>
    <row r="10174" spans="1:3" x14ac:dyDescent="0.25">
      <c r="A10174" s="8" t="str">
        <f>"International Society for the Systems Sciences - 51st Annual Meeting of the International Society for the Systems Sciences, ISSS 2007"</f>
        <v>International Society for the Systems Sciences - 51st Annual Meeting of the International Society for the Systems Sciences, ISSS 2007</v>
      </c>
      <c r="B10174" s="8" t="str">
        <f>"9781605600437"</f>
        <v>9781605600437</v>
      </c>
      <c r="C10174" s="8" t="s">
        <v>1530</v>
      </c>
    </row>
    <row r="10175" spans="1:3" x14ac:dyDescent="0.25">
      <c r="A10175" s="8" t="str">
        <f>"International Society for Trenchless Technology - 23rd No-Dig International Conference and Exhibition, No-Dig 2005"</f>
        <v>International Society for Trenchless Technology - 23rd No-Dig International Conference and Exhibition, No-Dig 2005</v>
      </c>
      <c r="B10175" s="8" t="str">
        <f>"9781604238785"</f>
        <v>9781604238785</v>
      </c>
      <c r="C10175" s="8" t="s">
        <v>1381</v>
      </c>
    </row>
    <row r="10176" spans="1:3" x14ac:dyDescent="0.25">
      <c r="A10176" s="8" t="str">
        <f>"International Society for Trenchless Technology - 25th No-Dig International Conference and Exhibition, Roma 07: Mediterranean No-Dig 2007"</f>
        <v>International Society for Trenchless Technology - 25th No-Dig International Conference and Exhibition, Roma 07: Mediterranean No-Dig 2007</v>
      </c>
      <c r="B10176" s="8" t="str">
        <f>"9781604239324"</f>
        <v>9781604239324</v>
      </c>
      <c r="C10176" s="8" t="s">
        <v>1381</v>
      </c>
    </row>
    <row r="10177" spans="1:3" x14ac:dyDescent="0.25">
      <c r="A10177" s="8" t="str">
        <f>"International Society for Trenchless Technology - 26th No-Dig International Conference and Exhibition 2008, No-Dig 2008 MOSCOW"</f>
        <v>International Society for Trenchless Technology - 26th No-Dig International Conference and Exhibition 2008, No-Dig 2008 MOSCOW</v>
      </c>
      <c r="B10177" s="8" t="str">
        <f>"9781605604138"</f>
        <v>9781605604138</v>
      </c>
      <c r="C10177" s="8" t="s">
        <v>1381</v>
      </c>
    </row>
    <row r="10178" spans="1:3" x14ac:dyDescent="0.25">
      <c r="A10178" s="8" t="str">
        <f>"International Specialty Conference on Cold-Formed Steel Structures: Recent Research and Developments in Cold-Formed Steel Design and Construction"</f>
        <v>International Specialty Conference on Cold-Formed Steel Structures: Recent Research and Developments in Cold-Formed Steel Design and Construction</v>
      </c>
      <c r="B10178" s="8" t="str">
        <f>"-"</f>
        <v>-</v>
      </c>
      <c r="C10178" s="8" t="s">
        <v>1399</v>
      </c>
    </row>
    <row r="10179" spans="1:3" x14ac:dyDescent="0.25">
      <c r="A10179" s="8" t="str">
        <f>"International Speech Communication Association - 8th Annual Conference of the International Speech Communication Association, Interspeech 2007"</f>
        <v>International Speech Communication Association - 8th Annual Conference of the International Speech Communication Association, Interspeech 2007</v>
      </c>
      <c r="B10179" s="8" t="str">
        <f>"9781605603162"</f>
        <v>9781605603162</v>
      </c>
      <c r="C10179" s="8" t="s">
        <v>1266</v>
      </c>
    </row>
    <row r="10180" spans="1:3" x14ac:dyDescent="0.25">
      <c r="A10180" s="8" t="str">
        <f>"International Surface Engineering Congress - Proceedings of the 1st Congress"</f>
        <v>International Surface Engineering Congress - Proceedings of the 1st Congress</v>
      </c>
      <c r="B10180" s="8" t="str">
        <f>"9780871707819"</f>
        <v>9780871707819</v>
      </c>
      <c r="C10180" s="8" t="s">
        <v>65</v>
      </c>
    </row>
    <row r="10181" spans="1:3" x14ac:dyDescent="0.25">
      <c r="A10181" s="8" t="str">
        <f>"International Symposium on Aerodynamics and Ventilation of Vehicle Tunnels"</f>
        <v>International Symposium on Aerodynamics and Ventilation of Vehicle Tunnels</v>
      </c>
      <c r="B10181" s="8" t="str">
        <f>"9781855980457"</f>
        <v>9781855980457</v>
      </c>
      <c r="C10181" s="8" t="s">
        <v>1246</v>
      </c>
    </row>
    <row r="10182" spans="1:3" x14ac:dyDescent="0.25">
      <c r="A10182" s="8" t="str">
        <f>"International Symposium on Artificial Intelligence and Mathematics, ISAIM 2012"</f>
        <v>International Symposium on Artificial Intelligence and Mathematics, ISAIM 2012</v>
      </c>
      <c r="B10182" s="8" t="str">
        <f>"-"</f>
        <v>-</v>
      </c>
      <c r="C10182" s="8" t="s">
        <v>1935</v>
      </c>
    </row>
    <row r="10183" spans="1:3" x14ac:dyDescent="0.25">
      <c r="A10183" s="8" t="str">
        <f>"International Symposium on Code Generation and Optimization, CGO"</f>
        <v>International Symposium on Code Generation and Optimization, CGO</v>
      </c>
      <c r="B10183" s="8" t="str">
        <f>"9780769521022"</f>
        <v>9780769521022</v>
      </c>
      <c r="C10183" s="8" t="s">
        <v>9</v>
      </c>
    </row>
    <row r="10184" spans="1:3" x14ac:dyDescent="0.25">
      <c r="A10184" s="8" t="str">
        <f>"International Symposium on Code Generation and Optimization, CGO 2003"</f>
        <v>International Symposium on Code Generation and Optimization, CGO 2003</v>
      </c>
      <c r="B10184" s="8" t="str">
        <f>"9780769519135"</f>
        <v>9780769519135</v>
      </c>
      <c r="C10184" s="8" t="s">
        <v>105</v>
      </c>
    </row>
    <row r="10185" spans="1:3" x14ac:dyDescent="0.25">
      <c r="A10185" s="8" t="str">
        <f>"International Symposium on Code Generation and Optimization, CGO 2007"</f>
        <v>International Symposium on Code Generation and Optimization, CGO 2007</v>
      </c>
      <c r="B10185" s="8" t="str">
        <f>"9780769527642"</f>
        <v>9780769527642</v>
      </c>
      <c r="C10185" s="8" t="s">
        <v>9</v>
      </c>
    </row>
    <row r="10186" spans="1:3" x14ac:dyDescent="0.25">
      <c r="A10186" s="8" t="str">
        <f>"International Symposium on Combinatorial Search, SoCS 2008"</f>
        <v>International Symposium on Combinatorial Search, SoCS 2008</v>
      </c>
      <c r="B10186" s="8" t="str">
        <f>"-"</f>
        <v>-</v>
      </c>
      <c r="C10186" s="8" t="s">
        <v>956</v>
      </c>
    </row>
    <row r="10187" spans="1:3" x14ac:dyDescent="0.25">
      <c r="A10187" s="8" t="str">
        <f>"International Symposium on Combinatorial Search, SoCS 2009"</f>
        <v>International Symposium on Combinatorial Search, SoCS 2009</v>
      </c>
      <c r="B10187" s="8" t="str">
        <f>"-"</f>
        <v>-</v>
      </c>
      <c r="C10187" s="8" t="s">
        <v>956</v>
      </c>
    </row>
    <row r="10188" spans="1:3" x14ac:dyDescent="0.25">
      <c r="A10188" s="8" t="str">
        <f>"International Symposium on Control, Communications and Signal Processing, ISCCSP"</f>
        <v>International Symposium on Control, Communications and Signal Processing, ISCCSP</v>
      </c>
      <c r="B10188" s="8" t="str">
        <f>"9780780383791"</f>
        <v>9780780383791</v>
      </c>
      <c r="C10188" s="8" t="s">
        <v>105</v>
      </c>
    </row>
    <row r="10189" spans="1:3" x14ac:dyDescent="0.25">
      <c r="A10189" s="8" t="str">
        <f>"International Symposium on Electrodynamic and Mechatronic Systems, SELM 2013 - Proceedings"</f>
        <v>International Symposium on Electrodynamic and Mechatronic Systems, SELM 2013 - Proceedings</v>
      </c>
      <c r="B10189" s="8" t="str">
        <f>"9781467355902"</f>
        <v>9781467355902</v>
      </c>
      <c r="C10189" s="8" t="s">
        <v>9</v>
      </c>
    </row>
    <row r="10190" spans="1:3" x14ac:dyDescent="0.25">
      <c r="A10190" s="8" t="str">
        <f>"International Symposium on Electronic Materials and Packaging, EMAP 2000"</f>
        <v>International Symposium on Electronic Materials and Packaging, EMAP 2000</v>
      </c>
      <c r="B10190" s="8" t="str">
        <f>"9780780366541"</f>
        <v>9780780366541</v>
      </c>
      <c r="C10190" s="8" t="s">
        <v>105</v>
      </c>
    </row>
    <row r="10191" spans="1:3" x14ac:dyDescent="0.25">
      <c r="A10191" s="8" t="str">
        <f>"International Symposium on Grid Computing, ISGC 2007"</f>
        <v>International Symposium on Grid Computing, ISGC 2007</v>
      </c>
      <c r="B10191" s="8" t="str">
        <f>"9780387784168"</f>
        <v>9780387784168</v>
      </c>
      <c r="C10191" s="8" t="s">
        <v>834</v>
      </c>
    </row>
    <row r="10192" spans="1:3" x14ac:dyDescent="0.25">
      <c r="A10192" s="8" t="str">
        <f>"International Symposium on High Performance Distributed Computing, HPDC 2008 - Proceedings of the 2008 International Workshop on Data-aware Distributed Computing 2008, DADC'08"</f>
        <v>International Symposium on High Performance Distributed Computing, HPDC 2008 - Proceedings of the 2008 International Workshop on Data-aware Distributed Computing 2008, DADC'08</v>
      </c>
      <c r="B10192" s="8" t="str">
        <f>"9781605581545"</f>
        <v>9781605581545</v>
      </c>
      <c r="C10192" s="8" t="s">
        <v>21</v>
      </c>
    </row>
    <row r="10193" spans="1:3" x14ac:dyDescent="0.25">
      <c r="A10193" s="8" t="str">
        <f>"International Symposium on IC Technology, Systems and Applications"</f>
        <v>International Symposium on IC Technology, Systems and Applications</v>
      </c>
      <c r="B10193" s="8" t="str">
        <f>"-"</f>
        <v>-</v>
      </c>
      <c r="C10193" s="8" t="s">
        <v>1216</v>
      </c>
    </row>
    <row r="10194" spans="1:3" x14ac:dyDescent="0.25">
      <c r="A10194" s="8" t="str">
        <f>"International Symposium on Intelligence Techniques in Computer Games and Simulations, Pre-GAMEON-ASIA 2007 and Pre-ASTEC 2007"</f>
        <v>International Symposium on Intelligence Techniques in Computer Games and Simulations, Pre-GAMEON-ASIA 2007 and Pre-ASTEC 2007</v>
      </c>
      <c r="B10194" s="8" t="str">
        <f>"9784903857008"</f>
        <v>9784903857008</v>
      </c>
      <c r="C10194" s="8" t="s">
        <v>1936</v>
      </c>
    </row>
    <row r="10195" spans="1:3" x14ac:dyDescent="0.25">
      <c r="A10195" s="8" t="str">
        <f>"International Symposium on Performance Evaluation of Computer and Telecommunication Systems 2005, SPECTS'05, Part of the 2005 Summer Simulation Multiconference, SummerSim'05"</f>
        <v>International Symposium on Performance Evaluation of Computer and Telecommunication Systems 2005, SPECTS'05, Part of the 2005 Summer Simulation Multiconference, SummerSim'05</v>
      </c>
      <c r="B10195" s="8" t="str">
        <f>"9781622763504"</f>
        <v>9781622763504</v>
      </c>
      <c r="C10195" s="8" t="s">
        <v>1072</v>
      </c>
    </row>
    <row r="10196" spans="1:3" x14ac:dyDescent="0.25">
      <c r="A10196" s="8" t="str">
        <f>"International Symposium on Performance Evaluation of Computer and Telecommunication Systems 2006, SPECTS'06, Part of the 2006 Summer Simulation Multiconference, SummerSim'06"</f>
        <v>International Symposium on Performance Evaluation of Computer and Telecommunication Systems 2006, SPECTS'06, Part of the 2006 Summer Simulation Multiconference, SummerSim'06</v>
      </c>
      <c r="B10196" s="8" t="str">
        <f>"9781622763535"</f>
        <v>9781622763535</v>
      </c>
      <c r="C10196" s="8" t="s">
        <v>1072</v>
      </c>
    </row>
    <row r="10197" spans="1:3" x14ac:dyDescent="0.25">
      <c r="A10197" s="8" t="str">
        <f>"International Symposium on Performance Evaluation of Computer and Telecommunication Systems 2007, SPECTS'07, Part of the 2007 Summer Simulation Multiconference, SummerSim'07"</f>
        <v>International Symposium on Performance Evaluation of Computer and Telecommunication Systems 2007, SPECTS'07, Part of the 2007 Summer Simulation Multiconference, SummerSim'07</v>
      </c>
      <c r="B10197" s="8" t="str">
        <f>"9781622763559"</f>
        <v>9781622763559</v>
      </c>
      <c r="C10197" s="8" t="s">
        <v>1072</v>
      </c>
    </row>
    <row r="10198" spans="1:3" x14ac:dyDescent="0.25">
      <c r="A10198" s="8" t="str">
        <f>"International Symposium on Performance Evaluation of Computer and Telecommunication Systems 2008, SPECTS 2008, Part of the 2008 Summer Simulation Multiconference, SummerSim 2008"</f>
        <v>International Symposium on Performance Evaluation of Computer and Telecommunication Systems 2008, SPECTS 2008, Part of the 2008 Summer Simulation Multiconference, SummerSim 2008</v>
      </c>
      <c r="B10198" s="8" t="str">
        <f>"9781622763566"</f>
        <v>9781622763566</v>
      </c>
      <c r="C10198" s="8" t="s">
        <v>1072</v>
      </c>
    </row>
    <row r="10199" spans="1:3" x14ac:dyDescent="0.25">
      <c r="A10199" s="8" t="str">
        <f>"International Symposium on Performance Evaluation of Computer and Telecommunication Systems 2009, SPECTS 2009, Part of the 2009 Summer Simulation Multiconference, SummerSim 2009"</f>
        <v>International Symposium on Performance Evaluation of Computer and Telecommunication Systems 2009, SPECTS 2009, Part of the 2009 Summer Simulation Multiconference, SummerSim 2009</v>
      </c>
      <c r="B10199" s="8" t="str">
        <f>"9781622763573"</f>
        <v>9781622763573</v>
      </c>
      <c r="C10199" s="8" t="s">
        <v>1454</v>
      </c>
    </row>
    <row r="10200" spans="1:3" x14ac:dyDescent="0.25">
      <c r="A10200" s="8" t="str">
        <f>"International Symposium on Power Electronics, Electrical Drives, Automation and Motion, 2006. SPEEDAM 2006"</f>
        <v>International Symposium on Power Electronics, Electrical Drives, Automation and Motion, 2006. SPEEDAM 2006</v>
      </c>
      <c r="B10200" s="8" t="str">
        <f>"-"</f>
        <v>-</v>
      </c>
      <c r="C10200" s="8" t="s">
        <v>9</v>
      </c>
    </row>
    <row r="10201" spans="1:3" x14ac:dyDescent="0.25">
      <c r="A10201" s="8" t="str">
        <f>"International Symposium on Steel for Fabricated Structures"</f>
        <v>International Symposium on Steel for Fabricated Structures</v>
      </c>
      <c r="B10201" s="8" t="str">
        <f>"9780871706423"</f>
        <v>9780871706423</v>
      </c>
      <c r="C10201" s="8" t="s">
        <v>65</v>
      </c>
    </row>
    <row r="10202" spans="1:3" x14ac:dyDescent="0.25">
      <c r="A10202" s="8" t="str">
        <f>"International Symposium on Technologies for Digital Fulfillment - Technical Program, Abstracts, and Proceedings"</f>
        <v>International Symposium on Technologies for Digital Fulfillment - Technical Program, Abstracts, and Proceedings</v>
      </c>
      <c r="B10202" s="8" t="str">
        <f>"9780892082698"</f>
        <v>9780892082698</v>
      </c>
      <c r="C10202" s="8" t="s">
        <v>1099</v>
      </c>
    </row>
    <row r="10203" spans="1:3" x14ac:dyDescent="0.25">
      <c r="A10203" s="8" t="str">
        <f>"International Symposium on Technologies for Digital Photo Fulfillment 2009"</f>
        <v>International Symposium on Technologies for Digital Photo Fulfillment 2009</v>
      </c>
      <c r="B10203" s="8" t="str">
        <f>"9781617383243"</f>
        <v>9781617383243</v>
      </c>
      <c r="C10203" s="8" t="s">
        <v>415</v>
      </c>
    </row>
    <row r="10204" spans="1:3" x14ac:dyDescent="0.25">
      <c r="A10204" s="8" t="str">
        <f>"International Symposium on the Recent Developments in Plate Steels"</f>
        <v>International Symposium on the Recent Developments in Plate Steels</v>
      </c>
      <c r="B10204" s="8" t="str">
        <f>"9781935117209"</f>
        <v>9781935117209</v>
      </c>
      <c r="C10204" s="8" t="s">
        <v>113</v>
      </c>
    </row>
    <row r="10205" spans="1:3" x14ac:dyDescent="0.25">
      <c r="A10205" s="8" t="str">
        <f>"International Symposium on Ultrafast Phenomena and Terahertz Waves, ISUPTW 2014"</f>
        <v>International Symposium on Ultrafast Phenomena and Terahertz Waves, ISUPTW 2014</v>
      </c>
      <c r="B10205" s="8" t="str">
        <f>"-"</f>
        <v>-</v>
      </c>
      <c r="C10205" s="8" t="s">
        <v>86</v>
      </c>
    </row>
    <row r="10206" spans="1:3" x14ac:dyDescent="0.25">
      <c r="A10206" s="8" t="str">
        <f>"International Symposium on Underwater Technology, UT 2007 - International Workshop on Scientific Use of Submarine Cables and Related Technologies 2007"</f>
        <v>International Symposium on Underwater Technology, UT 2007 - International Workshop on Scientific Use of Submarine Cables and Related Technologies 2007</v>
      </c>
      <c r="B10206" s="8" t="str">
        <f>"9781424412082"</f>
        <v>9781424412082</v>
      </c>
      <c r="C10206" s="8" t="s">
        <v>9</v>
      </c>
    </row>
    <row r="10207" spans="1:3" x14ac:dyDescent="0.25">
      <c r="A10207" s="8" t="str">
        <f>"International Symposium on Waterborne Pathogens"</f>
        <v>International Symposium on Waterborne Pathogens</v>
      </c>
      <c r="B10207" s="8" t="str">
        <f>"9781583214213"</f>
        <v>9781583214213</v>
      </c>
      <c r="C10207" s="8" t="s">
        <v>651</v>
      </c>
    </row>
    <row r="10208" spans="1:3" x14ac:dyDescent="0.25">
      <c r="A10208" s="8" t="str">
        <f>"International Symposium on Wireless and Pervasive Computing, ISWPC 2011"</f>
        <v>International Symposium on Wireless and Pervasive Computing, ISWPC 2011</v>
      </c>
      <c r="B10208" s="8" t="str">
        <f>"9781424498673"</f>
        <v>9781424498673</v>
      </c>
      <c r="C10208" s="8" t="s">
        <v>9</v>
      </c>
    </row>
    <row r="10209" spans="1:3" x14ac:dyDescent="0.25">
      <c r="A10209" s="8" t="str">
        <f>"International Technical Conference on Diamond, Cubic Boron Nitride and Their Applications, INTERTECH 2006"</f>
        <v>International Technical Conference on Diamond, Cubic Boron Nitride and Their Applications, INTERTECH 2006</v>
      </c>
      <c r="B10209" s="8" t="str">
        <f>"-"</f>
        <v>-</v>
      </c>
      <c r="C10209" s="8" t="s">
        <v>1937</v>
      </c>
    </row>
    <row r="10210" spans="1:3" x14ac:dyDescent="0.25">
      <c r="A10210" s="8" t="str">
        <f>"International Technical Conference on Diamond, Cubic Boron Nitride and Their Applications, INTERTECH 2008"</f>
        <v>International Technical Conference on Diamond, Cubic Boron Nitride and Their Applications, INTERTECH 2008</v>
      </c>
      <c r="B10210" s="8" t="str">
        <f>"-"</f>
        <v>-</v>
      </c>
      <c r="C10210" s="8" t="s">
        <v>1937</v>
      </c>
    </row>
    <row r="10211" spans="1:3" x14ac:dyDescent="0.25">
      <c r="A10211" s="8" t="str">
        <f>"International Technical Conference on Diamond, Cubic Boron Nitride and Their Applications, INTERTECH 2013"</f>
        <v>International Technical Conference on Diamond, Cubic Boron Nitride and Their Applications, INTERTECH 2013</v>
      </c>
      <c r="B10211" s="8" t="str">
        <f>"-"</f>
        <v>-</v>
      </c>
      <c r="C10211" s="8" t="s">
        <v>1937</v>
      </c>
    </row>
    <row r="10212" spans="1:3" x14ac:dyDescent="0.25">
      <c r="A10212" s="8" t="str">
        <f>"International Telecommunication Union - Proceedings of the 1st ITU-T Kaleidoscope Academic Conference, Innovations in NGN, K-INGN"</f>
        <v>International Telecommunication Union - Proceedings of the 1st ITU-T Kaleidoscope Academic Conference, Innovations in NGN, K-INGN</v>
      </c>
      <c r="B10212" s="8" t="str">
        <f>"9789261124410"</f>
        <v>9789261124410</v>
      </c>
      <c r="C10212" s="8" t="s">
        <v>9</v>
      </c>
    </row>
    <row r="10213" spans="1:3" x14ac:dyDescent="0.25">
      <c r="A10213" s="8" t="str">
        <f>"International Telecommunication Union - Proceedings of the 2009 ITU-T Kaleidoscope Academic Conference: Innovations for Digital Inclusion, K-IDI 2009"</f>
        <v>International Telecommunication Union - Proceedings of the 2009 ITU-T Kaleidoscope Academic Conference: Innovations for Digital Inclusion, K-IDI 2009</v>
      </c>
      <c r="B10213" s="8" t="str">
        <f>"9789261128913"</f>
        <v>9789261128913</v>
      </c>
      <c r="C10213" s="8" t="s">
        <v>9</v>
      </c>
    </row>
    <row r="10214" spans="1:3" x14ac:dyDescent="0.25">
      <c r="A10214" s="8" t="str">
        <f>"International Telecommunication Union - Proceedings of the 2010 ITU-T Kaleidoscope Academic Conference: Beyond the Internet? Innovations for Future Networks and Services"</f>
        <v>International Telecommunication Union - Proceedings of the 2010 ITU-T Kaleidoscope Academic Conference: Beyond the Internet? Innovations for Future Networks and Services</v>
      </c>
      <c r="B10214" s="8" t="str">
        <f>"9781424482726"</f>
        <v>9781424482726</v>
      </c>
      <c r="C10214" s="8" t="s">
        <v>9</v>
      </c>
    </row>
    <row r="10215" spans="1:3" x14ac:dyDescent="0.25">
      <c r="A10215" s="8" t="str">
        <f>"International Telecommunication Union - Proceedings of the 2011 ITU Kaleidoscope Academic Conference: The Fully Networked Human Innovations for Future Networks and Services, K-2011"</f>
        <v>International Telecommunication Union - Proceedings of the 2011 ITU Kaleidoscope Academic Conference: The Fully Networked Human Innovations for Future Networks and Services, K-2011</v>
      </c>
      <c r="B10215" s="8" t="str">
        <f>"9781457719356"</f>
        <v>9781457719356</v>
      </c>
      <c r="C10215" s="8" t="s">
        <v>9</v>
      </c>
    </row>
    <row r="10216" spans="1:3" x14ac:dyDescent="0.25">
      <c r="A10216" s="8" t="str">
        <f>"International Telecommunication Union - Proceedings of the 2013 ITU Kaleidoscope Academic Conference: Building Sustainable Communities, K 2013"</f>
        <v>International Telecommunication Union - Proceedings of the 2013 ITU Kaleidoscope Academic Conference: Building Sustainable Communities, K 2013</v>
      </c>
      <c r="B10216" s="8" t="str">
        <f>"9781467346764"</f>
        <v>9781467346764</v>
      </c>
      <c r="C10216" s="8" t="s">
        <v>9</v>
      </c>
    </row>
    <row r="10217" spans="1:3" x14ac:dyDescent="0.25">
      <c r="A10217" s="8" t="str">
        <f>"International Topical Meeting on Microwave Photonics, MWP 2005"</f>
        <v>International Topical Meeting on Microwave Photonics, MWP 2005</v>
      </c>
      <c r="B10217" s="8" t="str">
        <f>"-"</f>
        <v>-</v>
      </c>
      <c r="C10217" s="8" t="s">
        <v>9</v>
      </c>
    </row>
    <row r="10218" spans="1:3" x14ac:dyDescent="0.25">
      <c r="A10218" s="8" t="str">
        <f>"International Topical Meeting on Nuclear Research Applications and Utilization of Accelerators"</f>
        <v>International Topical Meeting on Nuclear Research Applications and Utilization of Accelerators</v>
      </c>
      <c r="B10218" s="8" t="str">
        <f>"9789201504104"</f>
        <v>9789201504104</v>
      </c>
      <c r="C10218" s="8" t="s">
        <v>1938</v>
      </c>
    </row>
    <row r="10219" spans="1:3" x14ac:dyDescent="0.25">
      <c r="A10219" s="8" t="str">
        <f>"International Topical Meeting on Probabilistic Safety Assessment and Analysis 2011, PSA 2011"</f>
        <v>International Topical Meeting on Probabilistic Safety Assessment and Analysis 2011, PSA 2011</v>
      </c>
      <c r="B10219" s="8" t="str">
        <f>"9781617828478"</f>
        <v>9781617828478</v>
      </c>
      <c r="C10219" s="8" t="s">
        <v>453</v>
      </c>
    </row>
    <row r="10220" spans="1:3" x14ac:dyDescent="0.25">
      <c r="A10220" s="8" t="str">
        <f>"International Topical Meeting on Probabilistic Safety Assessment and Analysis 2013, PSA 2013"</f>
        <v>International Topical Meeting on Probabilistic Safety Assessment and Analysis 2013, PSA 2013</v>
      </c>
      <c r="B10220" s="8" t="str">
        <f>"9781629938172"</f>
        <v>9781629938172</v>
      </c>
      <c r="C10220" s="8" t="s">
        <v>453</v>
      </c>
    </row>
    <row r="10221" spans="1:3" x14ac:dyDescent="0.25">
      <c r="A10221" s="8" t="str">
        <f>"International Topical Meeting on Probabilistic Safety Assessment and Analysis, PSA 2015"</f>
        <v>International Topical Meeting on Probabilistic Safety Assessment and Analysis, PSA 2015</v>
      </c>
      <c r="B10221" s="8" t="str">
        <f>"-"</f>
        <v>-</v>
      </c>
      <c r="C10221" s="8" t="s">
        <v>453</v>
      </c>
    </row>
    <row r="10222" spans="1:3" x14ac:dyDescent="0.25">
      <c r="A10222" s="8" t="str">
        <f>"International Workshop on Computer Graphics, Computer Vision and Mathematics, GraVisMa 2009 - Workshop Proceedings"</f>
        <v>International Workshop on Computer Graphics, Computer Vision and Mathematics, GraVisMa 2009 - Workshop Proceedings</v>
      </c>
      <c r="B10222" s="8" t="str">
        <f>"9788086943909"</f>
        <v>9788086943909</v>
      </c>
      <c r="C10222" s="8" t="s">
        <v>1276</v>
      </c>
    </row>
    <row r="10223" spans="1:3" x14ac:dyDescent="0.25">
      <c r="A10223" s="8" t="str">
        <f>"International Workshop on Context-Oriented Programming, COP '09"</f>
        <v>International Workshop on Context-Oriented Programming, COP '09</v>
      </c>
      <c r="B10223" s="8" t="str">
        <f>"9781605585383"</f>
        <v>9781605585383</v>
      </c>
      <c r="C10223" s="8" t="s">
        <v>21</v>
      </c>
    </row>
    <row r="10224" spans="1:3" x14ac:dyDescent="0.25">
      <c r="A10224" s="8" t="str">
        <f>"International Workshop on Context-Oriented Programming, COP'12 - Co-located with the 26th European Conference on Object-Oriented Programming, ECOOP'12"</f>
        <v>International Workshop on Context-Oriented Programming, COP'12 - Co-located with the 26th European Conference on Object-Oriented Programming, ECOOP'12</v>
      </c>
      <c r="B10224" s="8" t="str">
        <f>"9781450312769"</f>
        <v>9781450312769</v>
      </c>
      <c r="C10224" s="8" t="s">
        <v>21</v>
      </c>
    </row>
    <row r="10225" spans="1:3" x14ac:dyDescent="0.25">
      <c r="A10225" s="8" t="str">
        <f>"International Workshop on Data Engineering for Wireless and Mobile Access"</f>
        <v>International Workshop on Data Engineering for Wireless and Mobile Access</v>
      </c>
      <c r="B10225" s="8" t="str">
        <f>"9781595937650"</f>
        <v>9781595937650</v>
      </c>
      <c r="C10225" s="8" t="s">
        <v>21</v>
      </c>
    </row>
    <row r="10226" spans="1:3" x14ac:dyDescent="0.25">
      <c r="A10226" s="8" t="str">
        <f>"International Workshop on Future Linear Colliders, LCWS 2011"</f>
        <v>International Workshop on Future Linear Colliders, LCWS 2011</v>
      </c>
      <c r="B10226" s="8" t="str">
        <f>"-"</f>
        <v>-</v>
      </c>
      <c r="C10226" s="8" t="s">
        <v>1471</v>
      </c>
    </row>
    <row r="10227" spans="1:3" x14ac:dyDescent="0.25">
      <c r="A10227" s="8" t="str">
        <f>"International Workshop on Geomechanics and Energy: The Ground as Energy Source and Storage"</f>
        <v>International Workshop on Geomechanics and Energy: The Ground as Energy Source and Storage</v>
      </c>
      <c r="B10227" s="8" t="str">
        <f>"-"</f>
        <v>-</v>
      </c>
      <c r="C10227" s="8" t="s">
        <v>1251</v>
      </c>
    </row>
    <row r="10228" spans="1:3" x14ac:dyDescent="0.25">
      <c r="A10228" s="8" t="str">
        <f>"International Workshop on Harbour, Maritime and Multimodal Logistics Modeling and Simulation, HMS 2005, Held at the International Mediterranean Modeling Multiconference, I3M 2005"</f>
        <v>International Workshop on Harbour, Maritime and Multimodal Logistics Modeling and Simulation, HMS 2005, Held at the International Mediterranean Modeling Multiconference, I3M 2005</v>
      </c>
      <c r="B10228" s="8" t="str">
        <f>"9781629934686"</f>
        <v>9781629934686</v>
      </c>
      <c r="C10228" s="8" t="s">
        <v>1200</v>
      </c>
    </row>
    <row r="10229" spans="1:3" x14ac:dyDescent="0.25">
      <c r="A10229" s="8" t="str">
        <f>"International Workshop on Innovative Software Development Methodologies and Practices, InnoSWDev 2014 - Proceedings"</f>
        <v>International Workshop on Innovative Software Development Methodologies and Practices, InnoSWDev 2014 - Proceedings</v>
      </c>
      <c r="B10229" s="8" t="str">
        <f>"9781450332262"</f>
        <v>9781450332262</v>
      </c>
      <c r="C10229" s="8" t="s">
        <v>1235</v>
      </c>
    </row>
    <row r="10230" spans="1:3" x14ac:dyDescent="0.25">
      <c r="A10230" s="8" t="str">
        <f>"International Workshop on Integrated Nonlinear Microwave and Millimetre-Wave Circuits, INMMiC 2014"</f>
        <v>International Workshop on Integrated Nonlinear Microwave and Millimetre-Wave Circuits, INMMiC 2014</v>
      </c>
      <c r="B10230" s="8" t="str">
        <f>"9781479934546"</f>
        <v>9781479934546</v>
      </c>
      <c r="C10230" s="8" t="s">
        <v>9</v>
      </c>
    </row>
    <row r="10231" spans="1:3" x14ac:dyDescent="0.25">
      <c r="A10231" s="8" t="str">
        <f>"International Workshop on Management of Pollutant Emission from Landfills and Sludge"</f>
        <v>International Workshop on Management of Pollutant Emission from Landfills and Sludge</v>
      </c>
      <c r="B10231" s="8" t="str">
        <f>"9780415433372"</f>
        <v>9780415433372</v>
      </c>
      <c r="C10231" s="8" t="s">
        <v>1520</v>
      </c>
    </row>
    <row r="10232" spans="1:3" x14ac:dyDescent="0.25">
      <c r="A10232" s="8" t="str">
        <f>"International Workshop on Management of Pollutant Emission from Landfills and Sludge"</f>
        <v>International Workshop on Management of Pollutant Emission from Landfills and Sludge</v>
      </c>
      <c r="B10232" s="8" t="str">
        <f>"9780415433372"</f>
        <v>9780415433372</v>
      </c>
      <c r="C10232" s="8" t="s">
        <v>1520</v>
      </c>
    </row>
    <row r="10233" spans="1:3" x14ac:dyDescent="0.25">
      <c r="A10233" s="8" t="str">
        <f>"International Workshop on Microwaves, Radar and Remote Sensing, MRRS 2005"</f>
        <v>International Workshop on Microwaves, Radar and Remote Sensing, MRRS 2005</v>
      </c>
      <c r="B10233" s="8" t="str">
        <f>"9789668550287"</f>
        <v>9789668550287</v>
      </c>
      <c r="C10233" s="8" t="s">
        <v>1939</v>
      </c>
    </row>
    <row r="10234" spans="1:3" x14ac:dyDescent="0.25">
      <c r="A10234" s="8" t="str">
        <f>"International Workshop on Modeling and Applied Simulation, MAS 2009, Held at the International Mediterranean and Latin American Modeling Multiconference, I3M 2009"</f>
        <v>International Workshop on Modeling and Applied Simulation, MAS 2009, Held at the International Mediterranean and Latin American Modeling Multiconference, I3M 2009</v>
      </c>
      <c r="B10234" s="8" t="str">
        <f>"9781629934747"</f>
        <v>9781629934747</v>
      </c>
      <c r="C10234" s="8" t="s">
        <v>1200</v>
      </c>
    </row>
    <row r="10235" spans="1:3" x14ac:dyDescent="0.25">
      <c r="A10235" s="8" t="str">
        <f>"International Workshop on Semantic Data and Service Integration, SDSI 2007"</f>
        <v>International Workshop on Semantic Data and Service Integration, SDSI 2007</v>
      </c>
      <c r="B10235" s="8" t="str">
        <f>"-"</f>
        <v>-</v>
      </c>
      <c r="C10235" s="8" t="s">
        <v>1940</v>
      </c>
    </row>
    <row r="10236" spans="1:3" x14ac:dyDescent="0.25">
      <c r="A10236" s="8" t="str">
        <f>"International Workshop on System Support for Future Mobile Computing Applications, FUMCA 2006"</f>
        <v>International Workshop on System Support for Future Mobile Computing Applications, FUMCA 2006</v>
      </c>
      <c r="B10236" s="8" t="str">
        <f>"9780769527291"</f>
        <v>9780769527291</v>
      </c>
      <c r="C10236" s="8" t="s">
        <v>9</v>
      </c>
    </row>
    <row r="10237" spans="1:3" x14ac:dyDescent="0.25">
      <c r="A10237" s="8" t="str">
        <f>"International Workshop on System-Level Interconnect Prediction (SLIP 2000)"</f>
        <v>International Workshop on System-Level Interconnect Prediction (SLIP 2000)</v>
      </c>
      <c r="B10237" s="8" t="str">
        <f>"9781581132496"</f>
        <v>9781581132496</v>
      </c>
      <c r="C10237" s="8" t="s">
        <v>21</v>
      </c>
    </row>
    <row r="10238" spans="1:3" x14ac:dyDescent="0.25">
      <c r="A10238" s="8" t="str">
        <f>"International Workshop on Technology for Education, T4E'09"</f>
        <v>International Workshop on Technology for Education, T4E'09</v>
      </c>
      <c r="B10238" s="8" t="str">
        <f>"9781424455058"</f>
        <v>9781424455058</v>
      </c>
      <c r="C10238" s="8" t="s">
        <v>9</v>
      </c>
    </row>
    <row r="10239" spans="1:3" x14ac:dyDescent="0.25">
      <c r="A10239" s="8" t="str">
        <f>"Internationales Symposium - Warmeaustausch und Erneuerbare Energiequellen"</f>
        <v>Internationales Symposium - Warmeaustausch und Erneuerbare Energiequellen</v>
      </c>
      <c r="B10239" s="8" t="str">
        <f>"-"</f>
        <v>-</v>
      </c>
      <c r="C10239" s="8" t="s">
        <v>1941</v>
      </c>
    </row>
    <row r="10240" spans="1:3" x14ac:dyDescent="0.25">
      <c r="A10240" s="8" t="str">
        <f>"INTERNOISE 2014 - 43rd International Congress on Noise Control Engineering: Improving the World Through Noise Control"</f>
        <v>INTERNOISE 2014 - 43rd International Congress on Noise Control Engineering: Improving the World Through Noise Control</v>
      </c>
      <c r="B10240" s="8" t="str">
        <f>"9780909882037"</f>
        <v>9780909882037</v>
      </c>
      <c r="C10240" s="8" t="s">
        <v>1270</v>
      </c>
    </row>
    <row r="10241" spans="1:3" x14ac:dyDescent="0.25">
      <c r="A10241" s="8" t="str">
        <f>"INTERSPEECH 2006 and 9th International Conference on Spoken Language Processing, INTERSPEECH 2006 - ICSLP"</f>
        <v>INTERSPEECH 2006 and 9th International Conference on Spoken Language Processing, INTERSPEECH 2006 - ICSLP</v>
      </c>
      <c r="B10241" s="8" t="str">
        <f>"9781604234497"</f>
        <v>9781604234497</v>
      </c>
      <c r="C10241" s="8" t="s">
        <v>1942</v>
      </c>
    </row>
    <row r="10242" spans="1:3" x14ac:dyDescent="0.25">
      <c r="A10242" s="8" t="str">
        <f>"INTERSPEECH 2008 - 9th Annual Conference of the International Speech Communication Association"</f>
        <v>INTERSPEECH 2008 - 9th Annual Conference of the International Speech Communication Association</v>
      </c>
      <c r="B10242" s="8" t="str">
        <f>"-"</f>
        <v>-</v>
      </c>
      <c r="C10242" s="8" t="s">
        <v>1942</v>
      </c>
    </row>
    <row r="10243" spans="1:3" x14ac:dyDescent="0.25">
      <c r="A10243" s="8" t="str">
        <f>"INTETAIN 2008 - 2nd International Conference on INtelligent TEchnologies for Interactive EnterTAINment"</f>
        <v>INTETAIN 2008 - 2nd International Conference on INtelligent TEchnologies for Interactive EnterTAINment</v>
      </c>
      <c r="B10243" s="8" t="str">
        <f>"9789639799134"</f>
        <v>9789639799134</v>
      </c>
      <c r="C10243" s="8" t="s">
        <v>1504</v>
      </c>
    </row>
    <row r="10244" spans="1:3" x14ac:dyDescent="0.25">
      <c r="A10244" s="8" t="str">
        <f>"Introduction to Space-Time Wireless Communications"</f>
        <v>Introduction to Space-Time Wireless Communications</v>
      </c>
      <c r="B10244" s="8" t="str">
        <f>"9780521826150"</f>
        <v>9780521826150</v>
      </c>
      <c r="C10244" s="8" t="s">
        <v>152</v>
      </c>
    </row>
    <row r="10245" spans="1:3" x14ac:dyDescent="0.25">
      <c r="A10245" s="8" t="str">
        <f>"In-Vehicle Corpus and Signal Processing for Driver Behavior"</f>
        <v>In-Vehicle Corpus and Signal Processing for Driver Behavior</v>
      </c>
      <c r="B10245" s="8" t="str">
        <f>"9780387795812"</f>
        <v>9780387795812</v>
      </c>
      <c r="C10245" s="8" t="s">
        <v>834</v>
      </c>
    </row>
    <row r="10246" spans="1:3" x14ac:dyDescent="0.25">
      <c r="A10246" s="8" t="str">
        <f>"Inverted CERN School of Computing, iCSC 2005 and iCSC 2006 - Proceedings"</f>
        <v>Inverted CERN School of Computing, iCSC 2005 and iCSC 2006 - Proceedings</v>
      </c>
      <c r="B10246" s="8" t="str">
        <f>"9789290833093"</f>
        <v>9789290833093</v>
      </c>
      <c r="C10246" s="8" t="s">
        <v>259</v>
      </c>
    </row>
    <row r="10247" spans="1:3" x14ac:dyDescent="0.25">
      <c r="A10247" s="8" t="str">
        <f>"Invest on Visualization - Proceedings of the 13th International DSM Conference"</f>
        <v>Invest on Visualization - Proceedings of the 13th International DSM Conference</v>
      </c>
      <c r="B10247" s="8" t="str">
        <f>"9783446430372"</f>
        <v>9783446430372</v>
      </c>
      <c r="C10247" s="8" t="s">
        <v>1943</v>
      </c>
    </row>
    <row r="10248" spans="1:3" x14ac:dyDescent="0.25">
      <c r="A10248" s="8" t="str">
        <f>"IP Networking over Next-Generation Satellite Systems - International Workshop"</f>
        <v>IP Networking over Next-Generation Satellite Systems - International Workshop</v>
      </c>
      <c r="B10248" s="8" t="str">
        <f>"9780387754277"</f>
        <v>9780387754277</v>
      </c>
      <c r="C10248" s="8" t="s">
        <v>834</v>
      </c>
    </row>
    <row r="10249" spans="1:3" x14ac:dyDescent="0.25">
      <c r="A10249" s="8" t="str">
        <f>"IP over Satellite - The Next Generation: MPLS, VPN and DRM Delivered Services"</f>
        <v>IP over Satellite - The Next Generation: MPLS, VPN and DRM Delivered Services</v>
      </c>
      <c r="B10249" s="8" t="str">
        <f>"-"</f>
        <v>-</v>
      </c>
      <c r="C10249" s="8" t="s">
        <v>1944</v>
      </c>
    </row>
    <row r="10250" spans="1:3" x14ac:dyDescent="0.25">
      <c r="A10250" s="8" t="str">
        <f>"IPAC 2010 - 1st International Particle Accelerator Conference"</f>
        <v>IPAC 2010 - 1st International Particle Accelerator Conference</v>
      </c>
      <c r="B10250" s="8" t="str">
        <f>"9789290833529"</f>
        <v>9789290833529</v>
      </c>
      <c r="C10250" s="8" t="s">
        <v>1945</v>
      </c>
    </row>
    <row r="10251" spans="1:3" x14ac:dyDescent="0.25">
      <c r="A10251" s="8" t="str">
        <f>"IPAC 2011 - 2nd International Particle Accelerator Conference"</f>
        <v>IPAC 2011 - 2nd International Particle Accelerator Conference</v>
      </c>
      <c r="B10251" s="8" t="str">
        <f>"9789290833666"</f>
        <v>9789290833666</v>
      </c>
      <c r="C10251" s="8" t="s">
        <v>1946</v>
      </c>
    </row>
    <row r="10252" spans="1:3" x14ac:dyDescent="0.25">
      <c r="A10252" s="8" t="str">
        <f>"IPAC 2012 - International Particle Accelerator Conference 2012"</f>
        <v>IPAC 2012 - International Particle Accelerator Conference 2012</v>
      </c>
      <c r="B10252" s="8" t="str">
        <f>"9783954501151"</f>
        <v>9783954501151</v>
      </c>
      <c r="C10252" s="8" t="s">
        <v>1359</v>
      </c>
    </row>
    <row r="10253" spans="1:3" x14ac:dyDescent="0.25">
      <c r="A10253" s="8" t="str">
        <f>"IPAC 2013: Proceedings of the 4th International Particle Accelerator Conference"</f>
        <v>IPAC 2013: Proceedings of the 4th International Particle Accelerator Conference</v>
      </c>
      <c r="B10253" s="8" t="str">
        <f>"9783954501229"</f>
        <v>9783954501229</v>
      </c>
      <c r="C10253" s="8" t="s">
        <v>1359</v>
      </c>
    </row>
    <row r="10254" spans="1:3" x14ac:dyDescent="0.25">
      <c r="A10254" s="8" t="str">
        <f>"IPAC 2014: Proceedings of the 5th International Particle Accelerator Conference"</f>
        <v>IPAC 2014: Proceedings of the 5th International Particle Accelerator Conference</v>
      </c>
      <c r="B10254" s="8" t="str">
        <f>"9783954501328"</f>
        <v>9783954501328</v>
      </c>
      <c r="C10254" s="8" t="s">
        <v>1359</v>
      </c>
    </row>
    <row r="10255" spans="1:3" x14ac:dyDescent="0.25">
      <c r="A10255" s="8" t="str">
        <f>"IPC - Electronic Circuits World Convention, Printed Circuits Expo, Apex, and the Designers Summit 2005, ECWC 10: The Perfect Fit"</f>
        <v>IPC - Electronic Circuits World Convention, Printed Circuits Expo, Apex, and the Designers Summit 2005, ECWC 10: The Perfect Fit</v>
      </c>
      <c r="B10255" s="8" t="str">
        <f>"9781604236033"</f>
        <v>9781604236033</v>
      </c>
      <c r="C10255" s="8" t="s">
        <v>1947</v>
      </c>
    </row>
    <row r="10256" spans="1:3" x14ac:dyDescent="0.25">
      <c r="A10256" s="8" t="str">
        <f>"IPC - IPC Printed Circuits Expo, APEX and the Designers Summit 2007"</f>
        <v>IPC - IPC Printed Circuits Expo, APEX and the Designers Summit 2007</v>
      </c>
      <c r="B10256" s="8" t="str">
        <f>"9781604237863"</f>
        <v>9781604237863</v>
      </c>
      <c r="C10256" s="8" t="s">
        <v>1947</v>
      </c>
    </row>
    <row r="10257" spans="1:3" x14ac:dyDescent="0.25">
      <c r="A10257" s="8" t="str">
        <f>"IPC - IPC Printed Circuits Expo, APEX and the Designers Summit 2008"</f>
        <v>IPC - IPC Printed Circuits Expo, APEX and the Designers Summit 2008</v>
      </c>
      <c r="B10257" s="8" t="str">
        <f>"9781605602905"</f>
        <v>9781605602905</v>
      </c>
      <c r="C10257" s="8" t="s">
        <v>1947</v>
      </c>
    </row>
    <row r="10258" spans="1:3" x14ac:dyDescent="0.25">
      <c r="A10258" s="8" t="str">
        <f>"IPC - Printed Circuits Expo, Apex, and the Designers Summit 2006: Perfectly Cutting Edge"</f>
        <v>IPC - Printed Circuits Expo, Apex, and the Designers Summit 2006: Perfectly Cutting Edge</v>
      </c>
      <c r="B10258" s="8" t="str">
        <f>"9781604236026"</f>
        <v>9781604236026</v>
      </c>
      <c r="C10258" s="8" t="s">
        <v>1947</v>
      </c>
    </row>
    <row r="10259" spans="1:3" x14ac:dyDescent="0.25">
      <c r="A10259" s="8" t="str">
        <f>"IPC APEX Expo 2009"</f>
        <v>IPC APEX Expo 2009</v>
      </c>
      <c r="B10259" s="8" t="str">
        <f>"9781615670826"</f>
        <v>9781615670826</v>
      </c>
      <c r="C10259" s="8" t="s">
        <v>1947</v>
      </c>
    </row>
    <row r="10260" spans="1:3" x14ac:dyDescent="0.25">
      <c r="A10260" s="8" t="str">
        <f>"IPC APEX EXPO 2012"</f>
        <v>IPC APEX EXPO 2012</v>
      </c>
      <c r="B10260" s="8" t="str">
        <f>"9781622760008"</f>
        <v>9781622760008</v>
      </c>
      <c r="C10260" s="8" t="s">
        <v>1947</v>
      </c>
    </row>
    <row r="10261" spans="1:3" x14ac:dyDescent="0.25">
      <c r="A10261" s="8" t="str">
        <f>"IPC APEX EXPO 2014"</f>
        <v>IPC APEX EXPO 2014</v>
      </c>
      <c r="B10261" s="8" t="str">
        <f>"-"</f>
        <v>-</v>
      </c>
      <c r="C10261" s="8" t="s">
        <v>1947</v>
      </c>
    </row>
    <row r="10262" spans="1:3" x14ac:dyDescent="0.25">
      <c r="A10262" s="8" t="str">
        <f>"IPC APEX EXPO Conference and Exhibition 2013, APEX EXPO 2013"</f>
        <v>IPC APEX EXPO Conference and Exhibition 2013, APEX EXPO 2013</v>
      </c>
      <c r="B10262" s="8" t="str">
        <f>"9781627485456"</f>
        <v>9781627485456</v>
      </c>
      <c r="C10262" s="8" t="s">
        <v>1947</v>
      </c>
    </row>
    <row r="10263" spans="1:3" x14ac:dyDescent="0.25">
      <c r="A10263" s="8" t="str">
        <f>"IPC APEX EXPO Technical Conference 2010"</f>
        <v>IPC APEX EXPO Technical Conference 2010</v>
      </c>
      <c r="B10263" s="8" t="str">
        <f>"9781617383847"</f>
        <v>9781617383847</v>
      </c>
      <c r="C10263" s="8" t="s">
        <v>1947</v>
      </c>
    </row>
    <row r="10264" spans="1:3" x14ac:dyDescent="0.25">
      <c r="A10264" s="8" t="str">
        <f>"IPC APEX EXPO Technical Conference 2011"</f>
        <v>IPC APEX EXPO Technical Conference 2011</v>
      </c>
      <c r="B10264" s="8" t="str">
        <f>"9781617828454"</f>
        <v>9781617828454</v>
      </c>
      <c r="C10264" s="8" t="s">
        <v>1947</v>
      </c>
    </row>
    <row r="10265" spans="1:3" x14ac:dyDescent="0.25">
      <c r="A10265" s="8" t="str">
        <f>"IPD 2006: Proceedings of the 6th Workshop on Integrated Product Development"</f>
        <v>IPD 2006: Proceedings of the 6th Workshop on Integrated Product Development</v>
      </c>
      <c r="B10265" s="8" t="str">
        <f>"-"</f>
        <v>-</v>
      </c>
      <c r="C10265" s="8" t="s">
        <v>1231</v>
      </c>
    </row>
    <row r="10266" spans="1:3" x14ac:dyDescent="0.25">
      <c r="A10266" s="8" t="str">
        <f>"IPD 2008: Proceedings of the 7th Workshop on Integrated Product Development"</f>
        <v>IPD 2008: Proceedings of the 7th Workshop on Integrated Product Development</v>
      </c>
      <c r="B10266" s="8" t="str">
        <f>"-"</f>
        <v>-</v>
      </c>
      <c r="C10266" s="8" t="s">
        <v>1231</v>
      </c>
    </row>
    <row r="10267" spans="1:3" x14ac:dyDescent="0.25">
      <c r="A10267" s="8" t="str">
        <f>"IPD 2010: Proceedings of the 8th Workshop on Integrated Product Development"</f>
        <v>IPD 2010: Proceedings of the 8th Workshop on Integrated Product Development</v>
      </c>
      <c r="B10267" s="8" t="str">
        <f>"-"</f>
        <v>-</v>
      </c>
      <c r="C10267" s="8" t="s">
        <v>1231</v>
      </c>
    </row>
    <row r="10268" spans="1:3" x14ac:dyDescent="0.25">
      <c r="A10268" s="8" t="str">
        <f>"IPDPS 2009 - Proceedings of the 2009 IEEE International Parallel and Distributed Processing Symposium"</f>
        <v>IPDPS 2009 - Proceedings of the 2009 IEEE International Parallel and Distributed Processing Symposium</v>
      </c>
      <c r="B10268" s="8" t="str">
        <f>"9781424437504"</f>
        <v>9781424437504</v>
      </c>
      <c r="C10268" s="8" t="s">
        <v>9</v>
      </c>
    </row>
    <row r="10269" spans="1:3" x14ac:dyDescent="0.25">
      <c r="A10269" s="8" t="str">
        <f>"IPDPS Miami 2008 - Proceedings of the 22nd IEEE International Parallel and Distributed Processing Symposium, Program and CD-ROM"</f>
        <v>IPDPS Miami 2008 - Proceedings of the 22nd IEEE International Parallel and Distributed Processing Symposium, Program and CD-ROM</v>
      </c>
      <c r="B10269" s="8" t="str">
        <f>"9781424416943"</f>
        <v>9781424416943</v>
      </c>
      <c r="C10269" s="8" t="s">
        <v>9</v>
      </c>
    </row>
    <row r="10270" spans="1:3" x14ac:dyDescent="0.25">
      <c r="A10270" s="8" t="str">
        <f>"IPDS 2006: Integrated Powertrain and Driveline Systems 2006"</f>
        <v>IPDS 2006: Integrated Powertrain and Driveline Systems 2006</v>
      </c>
      <c r="B10270" s="8" t="str">
        <f>"-"</f>
        <v>-</v>
      </c>
      <c r="C10270" s="8" t="s">
        <v>1596</v>
      </c>
    </row>
    <row r="10271" spans="1:3" x14ac:dyDescent="0.25">
      <c r="A10271" s="8" t="str">
        <f>"IPEC 2003 - 6th International Power Engineering Conference"</f>
        <v>IPEC 2003 - 6th International Power Engineering Conference</v>
      </c>
      <c r="B10271" s="8" t="str">
        <f>"9789810487058"</f>
        <v>9789810487058</v>
      </c>
      <c r="C10271" s="8" t="s">
        <v>1216</v>
      </c>
    </row>
    <row r="10272" spans="1:3" x14ac:dyDescent="0.25">
      <c r="A10272" s="8" t="str">
        <f>"IPIN 2014 - 2014 International Conference on Indoor Positioning and Indoor Navigation"</f>
        <v>IPIN 2014 - 2014 International Conference on Indoor Positioning and Indoor Navigation</v>
      </c>
      <c r="B10272" s="8" t="str">
        <f>"9781467380546"</f>
        <v>9781467380546</v>
      </c>
      <c r="C10272" s="8" t="s">
        <v>105</v>
      </c>
    </row>
    <row r="10273" spans="1:3" x14ac:dyDescent="0.25">
      <c r="A10273" s="8" t="str">
        <f>"IPSN 2006: Fifth International Conference on Information Processing in Sensor Networks 2006"</f>
        <v>IPSN 2006: Fifth International Conference on Information Processing in Sensor Networks 2006</v>
      </c>
      <c r="B10273" s="8" t="str">
        <f>"-"</f>
        <v>-</v>
      </c>
      <c r="C10273" s="8" t="s">
        <v>9</v>
      </c>
    </row>
    <row r="10274" spans="1:3" x14ac:dyDescent="0.25">
      <c r="A10274" s="8" t="str">
        <f>"IPSN 2007: Proceedings of the Sixth International Symposium on Information Processing in Sensor Networks"</f>
        <v>IPSN 2007: Proceedings of the Sixth International Symposium on Information Processing in Sensor Networks</v>
      </c>
      <c r="B10274" s="8" t="str">
        <f>"9781595936387"</f>
        <v>9781595936387</v>
      </c>
      <c r="C10274" s="8" t="s">
        <v>21</v>
      </c>
    </row>
    <row r="10275" spans="1:3" x14ac:dyDescent="0.25">
      <c r="A10275" s="8" t="str">
        <f>"IPSN 2013 - Proceedings of the 12th International Conference on Information Processing in Sensor Networks, Part of CPSWeek 2013"</f>
        <v>IPSN 2013 - Proceedings of the 12th International Conference on Information Processing in Sensor Networks, Part of CPSWeek 2013</v>
      </c>
      <c r="B10275" s="8" t="str">
        <f>"9781450319591"</f>
        <v>9781450319591</v>
      </c>
      <c r="C10275" s="8" t="s">
        <v>21</v>
      </c>
    </row>
    <row r="10276" spans="1:3" x14ac:dyDescent="0.25">
      <c r="A10276" s="8" t="str">
        <f>"IPSN'12 - Proceedings of the 11th International Conference on Information Processing in Sensor Networks"</f>
        <v>IPSN'12 - Proceedings of the 11th International Conference on Information Processing in Sensor Networks</v>
      </c>
      <c r="B10276" s="8" t="str">
        <f>"9781450312271"</f>
        <v>9781450312271</v>
      </c>
      <c r="C10276" s="8" t="s">
        <v>21</v>
      </c>
    </row>
    <row r="10277" spans="1:3" x14ac:dyDescent="0.25">
      <c r="A10277" s="8" t="str">
        <f>"IPT/EDT 2008 - Immersive Projection Technologies/Emerging Display Technologies Workshop"</f>
        <v>IPT/EDT 2008 - Immersive Projection Technologies/Emerging Display Technologies Workshop</v>
      </c>
      <c r="B10277" s="8" t="str">
        <f>"9781605582115"</f>
        <v>9781605582115</v>
      </c>
      <c r="C10277" s="8" t="s">
        <v>21</v>
      </c>
    </row>
    <row r="10278" spans="1:3" x14ac:dyDescent="0.25">
      <c r="A10278" s="8" t="str">
        <f>"IPTComm 2009: Services and Security for Next Generation Networks - Proceedings of the 3rd International Conference on Principles, Systems and Applications of IP Telecommunications"</f>
        <v>IPTComm 2009: Services and Security for Next Generation Networks - Proceedings of the 3rd International Conference on Principles, Systems and Applications of IP Telecommunications</v>
      </c>
      <c r="B10278" s="8" t="str">
        <f>"9781605587677"</f>
        <v>9781605587677</v>
      </c>
      <c r="C10278" s="8" t="s">
        <v>21</v>
      </c>
    </row>
    <row r="10279" spans="1:3" x14ac:dyDescent="0.25">
      <c r="A10279" s="8" t="str">
        <f>"IPTComm 2013 - Proceedings of the 6th Conference on Principles, Systems and Applications of IP Telecommunications"</f>
        <v>IPTComm 2013 - Proceedings of the 6th Conference on Principles, Systems and Applications of IP Telecommunications</v>
      </c>
      <c r="B10279" s="8" t="str">
        <f>"9781450326728"</f>
        <v>9781450326728</v>
      </c>
      <c r="C10279" s="8" t="s">
        <v>21</v>
      </c>
    </row>
    <row r="10280" spans="1:3" x14ac:dyDescent="0.25">
      <c r="A10280" s="8" t="str">
        <f>"IPT-EGVE 2007 - 13th Eurographics Symposium on Virtual Environments, 10th Immersive Projection Technology Workshop"</f>
        <v>IPT-EGVE 2007 - 13th Eurographics Symposium on Virtual Environments, 10th Immersive Projection Technology Workshop</v>
      </c>
      <c r="B10280" s="8" t="str">
        <f>"9783905674026"</f>
        <v>9783905674026</v>
      </c>
      <c r="C10280" s="8" t="s">
        <v>23</v>
      </c>
    </row>
    <row r="10281" spans="1:3" x14ac:dyDescent="0.25">
      <c r="A10281" s="8" t="str">
        <f>"IRMMW-THz 2006 - 31st International Conference on Infrared and Millimeter Waves and 14th International Conference on Terahertz Electronics"</f>
        <v>IRMMW-THz 2006 - 31st International Conference on Infrared and Millimeter Waves and 14th International Conference on Terahertz Electronics</v>
      </c>
      <c r="B10281" s="8" t="str">
        <f>"9781424404001"</f>
        <v>9781424404001</v>
      </c>
      <c r="C10281" s="8" t="s">
        <v>9</v>
      </c>
    </row>
    <row r="10282" spans="1:3" x14ac:dyDescent="0.25">
      <c r="A10282" s="8" t="str">
        <f>"IRMMW-THz 2010 - 35th International Conference on Infrared, Millimeter, and Terahertz Waves, Conference Guide"</f>
        <v>IRMMW-THz 2010 - 35th International Conference on Infrared, Millimeter, and Terahertz Waves, Conference Guide</v>
      </c>
      <c r="B10282" s="8" t="str">
        <f>"9781424466573"</f>
        <v>9781424466573</v>
      </c>
      <c r="C10282" s="8" t="s">
        <v>9</v>
      </c>
    </row>
    <row r="10283" spans="1:3" x14ac:dyDescent="0.25">
      <c r="A10283" s="8" t="str">
        <f>"IRMMW-THz 2011 - 36th International Conference on Infrared, Millimeter, and Terahertz Waves"</f>
        <v>IRMMW-THz 2011 - 36th International Conference on Infrared, Millimeter, and Terahertz Waves</v>
      </c>
      <c r="B10283" s="8" t="str">
        <f>"9781457705090"</f>
        <v>9781457705090</v>
      </c>
      <c r="C10283" s="8" t="s">
        <v>9</v>
      </c>
    </row>
    <row r="10284" spans="1:3" x14ac:dyDescent="0.25">
      <c r="A10284" s="8" t="str">
        <f>"IRMMW-THz2007 - Conference Digest of the Joint 32nd International Conference on Infrared and Millimetre Waves, and 15th International Conference on Terahertz Electronics"</f>
        <v>IRMMW-THz2007 - Conference Digest of the Joint 32nd International Conference on Infrared and Millimetre Waves, and 15th International Conference on Terahertz Electronics</v>
      </c>
      <c r="B10284" s="8" t="str">
        <f>"9781424414383"</f>
        <v>9781424414383</v>
      </c>
      <c r="C10284" s="8" t="s">
        <v>9</v>
      </c>
    </row>
    <row r="10285" spans="1:3" x14ac:dyDescent="0.25">
      <c r="A10285" s="8" t="str">
        <f>"IRON ORE 2011, Proceedings"</f>
        <v>IRON ORE 2011, Proceedings</v>
      </c>
      <c r="B10285" s="8" t="str">
        <f>"9781921522437"</f>
        <v>9781921522437</v>
      </c>
      <c r="C10285" s="8" t="s">
        <v>167</v>
      </c>
    </row>
    <row r="10286" spans="1:3" x14ac:dyDescent="0.25">
      <c r="A10286" s="8" t="str">
        <f>"IS and T's International Conference on Digital Production Printing and Industrial Applications"</f>
        <v>IS and T's International Conference on Digital Production Printing and Industrial Applications</v>
      </c>
      <c r="B10286" s="8" t="str">
        <f>"9780892082339"</f>
        <v>9780892082339</v>
      </c>
      <c r="C10286" s="8" t="s">
        <v>415</v>
      </c>
    </row>
    <row r="10287" spans="1:3" x14ac:dyDescent="0.25">
      <c r="A10287" s="8" t="str">
        <f>"IS and T's International Conference on Digital Production Printing and Industrial Applications"</f>
        <v>IS and T's International Conference on Digital Production Printing and Industrial Applications</v>
      </c>
      <c r="B10287" s="8" t="str">
        <f>"9780892082469"</f>
        <v>9780892082469</v>
      </c>
      <c r="C10287" s="8" t="s">
        <v>415</v>
      </c>
    </row>
    <row r="10288" spans="1:3" x14ac:dyDescent="0.25">
      <c r="A10288" s="8" t="str">
        <f>"IS'2012 - 2012 6th IEEE International Conference Intelligent Systems, Proceedings"</f>
        <v>IS'2012 - 2012 6th IEEE International Conference Intelligent Systems, Proceedings</v>
      </c>
      <c r="B10288" s="8" t="str">
        <f>"9781467327824"</f>
        <v>9781467327824</v>
      </c>
      <c r="C10288" s="8" t="s">
        <v>9</v>
      </c>
    </row>
    <row r="10289" spans="1:3" x14ac:dyDescent="0.25">
      <c r="A10289" s="8" t="str">
        <f>"ISA - The Instrumentation, Systems, and Automation Society - 17th Annual Joint ISA POWID/EPRI Controls and Instrumentation Conference and 50th Annual ISA POWID Symposium 2007"</f>
        <v>ISA - The Instrumentation, Systems, and Automation Society - 17th Annual Joint ISA POWID/EPRI Controls and Instrumentation Conference and 50th Annual ISA POWID Symposium 2007</v>
      </c>
      <c r="B10289" s="8" t="str">
        <f>"9781604233292"</f>
        <v>9781604233292</v>
      </c>
      <c r="C10289" s="8" t="s">
        <v>1907</v>
      </c>
    </row>
    <row r="10290" spans="1:3" x14ac:dyDescent="0.25">
      <c r="A10290" s="8" t="str">
        <f>"ISA 2010 - Proceedings of the 2nd ACM SIGSPATIAL International Workshop on Indoor Spatial Awareness"</f>
        <v>ISA 2010 - Proceedings of the 2nd ACM SIGSPATIAL International Workshop on Indoor Spatial Awareness</v>
      </c>
      <c r="B10290" s="8" t="str">
        <f>"9781450304337"</f>
        <v>9781450304337</v>
      </c>
      <c r="C10290" s="8" t="s">
        <v>21</v>
      </c>
    </row>
    <row r="10291" spans="1:3" x14ac:dyDescent="0.25">
      <c r="A10291" s="8" t="str">
        <f>"ISA Automation Week 2010: Technology and Solutions Event"</f>
        <v>ISA Automation Week 2010: Technology and Solutions Event</v>
      </c>
      <c r="B10291" s="8" t="str">
        <f>"9781617827037"</f>
        <v>9781617827037</v>
      </c>
      <c r="C10291" s="8" t="s">
        <v>1525</v>
      </c>
    </row>
    <row r="10292" spans="1:3" x14ac:dyDescent="0.25">
      <c r="A10292" s="8" t="str">
        <f>"ISA EXPO 2006"</f>
        <v>ISA EXPO 2006</v>
      </c>
      <c r="B10292" s="8" t="str">
        <f>"-"</f>
        <v>-</v>
      </c>
      <c r="C10292" s="8" t="s">
        <v>188</v>
      </c>
    </row>
    <row r="10293" spans="1:3" x14ac:dyDescent="0.25">
      <c r="A10293" s="8" t="str">
        <f>"ISA Expo 2007"</f>
        <v>ISA Expo 2007</v>
      </c>
      <c r="B10293" s="8" t="str">
        <f>"9781605607696"</f>
        <v>9781605607696</v>
      </c>
      <c r="C10293" s="8" t="s">
        <v>1525</v>
      </c>
    </row>
    <row r="10294" spans="1:3" x14ac:dyDescent="0.25">
      <c r="A10294" s="8" t="str">
        <f>"ISA Expo 2008"</f>
        <v>ISA Expo 2008</v>
      </c>
      <c r="B10294" s="8" t="str">
        <f>"9781605607832"</f>
        <v>9781605607832</v>
      </c>
      <c r="C10294" s="8" t="s">
        <v>1525</v>
      </c>
    </row>
    <row r="10295" spans="1:3" x14ac:dyDescent="0.25">
      <c r="A10295" s="8" t="str">
        <f>"ISA Expo 2009"</f>
        <v>ISA Expo 2009</v>
      </c>
      <c r="B10295" s="8" t="str">
        <f>"9781615676521"</f>
        <v>9781615676521</v>
      </c>
      <c r="C10295" s="8" t="s">
        <v>1525</v>
      </c>
    </row>
    <row r="10296" spans="1:3" x14ac:dyDescent="0.25">
      <c r="A10296" s="8" t="str">
        <f>"ISA Food and Pharmaceutical Industries Division Symposium 2015, FPID 2015 - Pharmaceutical Automation Technology Update: Control, Optimization, Measurement and Serialization"</f>
        <v>ISA Food and Pharmaceutical Industries Division Symposium 2015, FPID 2015 - Pharmaceutical Automation Technology Update: Control, Optimization, Measurement and Serialization</v>
      </c>
      <c r="B10296" s="8" t="str">
        <f>"9781510800373"</f>
        <v>9781510800373</v>
      </c>
      <c r="C10296" s="8" t="s">
        <v>1546</v>
      </c>
    </row>
    <row r="10297" spans="1:3" x14ac:dyDescent="0.25">
      <c r="A10297" s="8" t="str">
        <f>"ISA Instrumentation, Systems, and Automation Conference Proceedings"</f>
        <v>ISA Instrumentation, Systems, and Automation Conference Proceedings</v>
      </c>
      <c r="B10297" s="8" t="str">
        <f>"9781556177965"</f>
        <v>9781556177965</v>
      </c>
      <c r="C10297" s="8" t="s">
        <v>1907</v>
      </c>
    </row>
    <row r="10298" spans="1:3" x14ac:dyDescent="0.25">
      <c r="A10298" s="8" t="str">
        <f>"ISA Monterrey 2002 (english)"</f>
        <v>ISA Monterrey 2002 (english)</v>
      </c>
      <c r="B10298" s="8" t="str">
        <f>"9781556177712"</f>
        <v>9781556177712</v>
      </c>
      <c r="C10298" s="8" t="s">
        <v>1907</v>
      </c>
    </row>
    <row r="10299" spans="1:3" x14ac:dyDescent="0.25">
      <c r="A10299" s="8" t="str">
        <f>"ISA Process Control and Safety Symposium 2014, PCS 2014"</f>
        <v>ISA Process Control and Safety Symposium 2014, PCS 2014</v>
      </c>
      <c r="B10299" s="8" t="str">
        <f>"9781510801202"</f>
        <v>9781510801202</v>
      </c>
      <c r="C10299" s="8" t="s">
        <v>1546</v>
      </c>
    </row>
    <row r="10300" spans="1:3" x14ac:dyDescent="0.25">
      <c r="A10300" s="8" t="str">
        <f>"ISAHUC' 06 - Proceedings of 2006 International Symposium on Ad Hoc and Ubiquitous Computing"</f>
        <v>ISAHUC' 06 - Proceedings of 2006 International Symposium on Ad Hoc and Ubiquitous Computing</v>
      </c>
      <c r="B10300" s="8" t="str">
        <f>"9781424407316"</f>
        <v>9781424407316</v>
      </c>
      <c r="C10300" s="8" t="s">
        <v>9</v>
      </c>
    </row>
    <row r="10301" spans="1:3" x14ac:dyDescent="0.25">
      <c r="A10301" s="8" t="str">
        <f>"ISAM 2007 - IEEE International Symposium on Assembly and Manufacturing"</f>
        <v>ISAM 2007 - IEEE International Symposium on Assembly and Manufacturing</v>
      </c>
      <c r="B10301" s="8" t="str">
        <f>"9781424405633"</f>
        <v>9781424405633</v>
      </c>
      <c r="C10301" s="8" t="s">
        <v>9</v>
      </c>
    </row>
    <row r="10302" spans="1:3" x14ac:dyDescent="0.25">
      <c r="A10302" s="8" t="str">
        <f>"ISAP 2013 - Proceedings of the 2013 International Symposium on Antennas and Propagation"</f>
        <v>ISAP 2013 - Proceedings of the 2013 International Symposium on Antennas and Propagation</v>
      </c>
      <c r="B10302" s="8" t="str">
        <f>"9787564142797"</f>
        <v>9787564142797</v>
      </c>
      <c r="C10302" s="8" t="s">
        <v>9</v>
      </c>
    </row>
    <row r="10303" spans="1:3" x14ac:dyDescent="0.25">
      <c r="A10303" s="8" t="str">
        <f>"ISAP 2014 - 2014 International Symposium on Antennas and Propagation, Conference Proceedings"</f>
        <v>ISAP 2014 - 2014 International Symposium on Antennas and Propagation, Conference Proceedings</v>
      </c>
      <c r="B10303" s="8" t="str">
        <f>"9789869147408"</f>
        <v>9789869147408</v>
      </c>
      <c r="C10303" s="8" t="s">
        <v>105</v>
      </c>
    </row>
    <row r="10304" spans="1:3" x14ac:dyDescent="0.25">
      <c r="A10304" s="8" t="str">
        <f>"ISAPE 2003 - 2003 6th International Symposium on Antennas, Propagation and EM Theory, Proceedings"</f>
        <v>ISAPE 2003 - 2003 6th International Symposium on Antennas, Propagation and EM Theory, Proceedings</v>
      </c>
      <c r="B10304" s="8" t="str">
        <f>"9780780378315"</f>
        <v>9780780378315</v>
      </c>
      <c r="C10304" s="8" t="s">
        <v>105</v>
      </c>
    </row>
    <row r="10305" spans="1:3" x14ac:dyDescent="0.25">
      <c r="A10305" s="8" t="str">
        <f>"ISAPE 2006 - 2006 7th International Symposium on Antennas, Propagation and EM Theory, Proceedings"</f>
        <v>ISAPE 2006 - 2006 7th International Symposium on Antennas, Propagation and EM Theory, Proceedings</v>
      </c>
      <c r="B10305" s="8" t="str">
        <f>"9781424401628"</f>
        <v>9781424401628</v>
      </c>
      <c r="C10305" s="8" t="s">
        <v>9</v>
      </c>
    </row>
    <row r="10306" spans="1:3" x14ac:dyDescent="0.25">
      <c r="A10306" s="8" t="str">
        <f>"ISAPE 2008 - The 8th International Symposium on Antennas, Propagation and EM Theory Proceedings"</f>
        <v>ISAPE 2008 - The 8th International Symposium on Antennas, Propagation and EM Theory Proceedings</v>
      </c>
      <c r="B10306" s="8" t="str">
        <f>"9781424421923"</f>
        <v>9781424421923</v>
      </c>
      <c r="C10306" s="8" t="s">
        <v>9</v>
      </c>
    </row>
    <row r="10307" spans="1:3" x14ac:dyDescent="0.25">
      <c r="A10307" s="8" t="str">
        <f>"ISARC 2008 - Proceedings from the 25th International Symposium on Automation and Robotics in Construction"</f>
        <v>ISARC 2008 - Proceedings from the 25th International Symposium on Automation and Robotics in Construction</v>
      </c>
      <c r="B10307" s="8" t="str">
        <f>"9789955283294"</f>
        <v>9789955283294</v>
      </c>
      <c r="C10307" s="8" t="s">
        <v>1201</v>
      </c>
    </row>
    <row r="10308" spans="1:3" x14ac:dyDescent="0.25">
      <c r="A10308" s="8" t="str">
        <f>"ISARC 2013 - 30th International Symposium on Automation and Robotics in Construction and Mining, Held in Conjunction with the 23rd World Mining Congress"</f>
        <v>ISARC 2013 - 30th International Symposium on Automation and Robotics in Construction and Mining, Held in Conjunction with the 23rd World Mining Congress</v>
      </c>
      <c r="B10308" s="8" t="str">
        <f>"-"</f>
        <v>-</v>
      </c>
      <c r="C10308" s="8" t="s">
        <v>405</v>
      </c>
    </row>
    <row r="10309" spans="1:3" x14ac:dyDescent="0.25">
      <c r="A10309" s="8" t="str">
        <f>"ISARCS 2013 - Proceedings of the 4th ACM Sigsoft International Symposium on Architecting Critical Systems"</f>
        <v>ISARCS 2013 - Proceedings of the 4th ACM Sigsoft International Symposium on Architecting Critical Systems</v>
      </c>
      <c r="B10309" s="8" t="str">
        <f>"9781450321235"</f>
        <v>9781450321235</v>
      </c>
      <c r="C10309" s="8" t="s">
        <v>21</v>
      </c>
    </row>
    <row r="10310" spans="1:3" x14ac:dyDescent="0.25">
      <c r="A10310" s="8" t="str">
        <f>"ISARCS'12 - Proceedings of the 3rd International ACM SIGSOFT Symposium on Architecting Critical Systems"</f>
        <v>ISARCS'12 - Proceedings of the 3rd International ACM SIGSOFT Symposium on Architecting Critical Systems</v>
      </c>
      <c r="B10310" s="8" t="str">
        <f>"9781450313476"</f>
        <v>9781450313476</v>
      </c>
      <c r="C10310" s="8" t="s">
        <v>21</v>
      </c>
    </row>
    <row r="10311" spans="1:3" x14ac:dyDescent="0.25">
      <c r="A10311" s="8" t="str">
        <f>"ISB 2010 Proceedings - International Symposium on Biocomputing"</f>
        <v>ISB 2010 Proceedings - International Symposium on Biocomputing</v>
      </c>
      <c r="B10311" s="8" t="str">
        <f>"9781605587226"</f>
        <v>9781605587226</v>
      </c>
      <c r="C10311" s="8" t="s">
        <v>21</v>
      </c>
    </row>
    <row r="10312" spans="1:3" x14ac:dyDescent="0.25">
      <c r="A10312" s="8" t="str">
        <f>"ISBEIA 2011 - 2011 IEEE Symposium on Business, Engineering and Industrial Applications"</f>
        <v>ISBEIA 2011 - 2011 IEEE Symposium on Business, Engineering and Industrial Applications</v>
      </c>
      <c r="B10312" s="8" t="str">
        <f>"9781457715495"</f>
        <v>9781457715495</v>
      </c>
      <c r="C10312" s="8" t="s">
        <v>9</v>
      </c>
    </row>
    <row r="10313" spans="1:3" x14ac:dyDescent="0.25">
      <c r="A10313" s="8" t="str">
        <f>"ISBEIA 2012 - IEEE Symposium on Business, Engineering and Industrial Applications"</f>
        <v>ISBEIA 2012 - IEEE Symposium on Business, Engineering and Industrial Applications</v>
      </c>
      <c r="B10313" s="8" t="str">
        <f>"9781457716348"</f>
        <v>9781457716348</v>
      </c>
      <c r="C10313" s="8" t="s">
        <v>9</v>
      </c>
    </row>
    <row r="10314" spans="1:3" x14ac:dyDescent="0.25">
      <c r="A10314" s="8" t="str">
        <f>"ISCAIE 2012 - 2012 IEEE Symposium on Computer Applications and Industrial Electronics"</f>
        <v>ISCAIE 2012 - 2012 IEEE Symposium on Computer Applications and Industrial Electronics</v>
      </c>
      <c r="B10314" s="8" t="str">
        <f>"9781467330329"</f>
        <v>9781467330329</v>
      </c>
      <c r="C10314" s="8" t="s">
        <v>9</v>
      </c>
    </row>
    <row r="10315" spans="1:3" x14ac:dyDescent="0.25">
      <c r="A10315" s="8" t="str">
        <f>"ISCAIE 2014 - 2014 IEEE Symposium on Computer Applications and Industrial Electronics"</f>
        <v>ISCAIE 2014 - 2014 IEEE Symposium on Computer Applications and Industrial Electronics</v>
      </c>
      <c r="B10315" s="8" t="str">
        <f>"9781479943517"</f>
        <v>9781479943517</v>
      </c>
      <c r="C10315" s="8" t="s">
        <v>105</v>
      </c>
    </row>
    <row r="10316" spans="1:3" x14ac:dyDescent="0.25">
      <c r="A10316" s="8" t="str">
        <f>"ISCAS 2001 - 2001 IEEE International Symposium on Circuits and Systems, Conference Proceedings"</f>
        <v>ISCAS 2001 - 2001 IEEE International Symposium on Circuits and Systems, Conference Proceedings</v>
      </c>
      <c r="B10316" s="8" t="str">
        <f>"9780780366855"</f>
        <v>9780780366855</v>
      </c>
      <c r="C10316" s="8" t="s">
        <v>9</v>
      </c>
    </row>
    <row r="10317" spans="1:3" x14ac:dyDescent="0.25">
      <c r="A10317" s="8" t="str">
        <f>"ISCAS 2010 - 2010 IEEE International Symposium on Circuits and Systems: Nano-Bio Circuit Fabrics and Systems"</f>
        <v>ISCAS 2010 - 2010 IEEE International Symposium on Circuits and Systems: Nano-Bio Circuit Fabrics and Systems</v>
      </c>
      <c r="B10317" s="8" t="str">
        <f>"9781424453085"</f>
        <v>9781424453085</v>
      </c>
      <c r="C10317" s="8" t="s">
        <v>9</v>
      </c>
    </row>
    <row r="10318" spans="1:3" x14ac:dyDescent="0.25">
      <c r="A10318" s="8" t="str">
        <f>"ISCAS 2012 - 2012 IEEE International Symposium on Circuits and Systems"</f>
        <v>ISCAS 2012 - 2012 IEEE International Symposium on Circuits and Systems</v>
      </c>
      <c r="B10318" s="8" t="str">
        <f>"-"</f>
        <v>-</v>
      </c>
      <c r="C10318" s="8" t="s">
        <v>9</v>
      </c>
    </row>
    <row r="10319" spans="1:3" x14ac:dyDescent="0.25">
      <c r="A10319" s="8" t="str">
        <f>"ISCI 2011 - 2011 IEEE Symposium on Computers and Informatics"</f>
        <v>ISCI 2011 - 2011 IEEE Symposium on Computers and Informatics</v>
      </c>
      <c r="B10319" s="8" t="str">
        <f>"9781612846903"</f>
        <v>9781612846903</v>
      </c>
      <c r="C10319" s="8" t="s">
        <v>9</v>
      </c>
    </row>
    <row r="10320" spans="1:3" x14ac:dyDescent="0.25">
      <c r="A10320" s="8" t="str">
        <f>"ISCID 2009 - 2009 International Symposium on Computational Intelligence and Design"</f>
        <v>ISCID 2009 - 2009 International Symposium on Computational Intelligence and Design</v>
      </c>
      <c r="B10320" s="8" t="str">
        <f>"9780769538655"</f>
        <v>9780769538655</v>
      </c>
      <c r="C10320" s="8" t="s">
        <v>9</v>
      </c>
    </row>
    <row r="10321" spans="1:3" x14ac:dyDescent="0.25">
      <c r="A10321" s="8" t="str">
        <f>"ISCIII '09 - 4th International Symposium on Computational Intelligence and Intelligent Informatics, Proceedings"</f>
        <v>ISCIII '09 - 4th International Symposium on Computational Intelligence and Intelligent Informatics, Proceedings</v>
      </c>
      <c r="B10321" s="8" t="str">
        <f>"9781424453818"</f>
        <v>9781424453818</v>
      </c>
      <c r="C10321" s="8" t="s">
        <v>9</v>
      </c>
    </row>
    <row r="10322" spans="1:3" x14ac:dyDescent="0.25">
      <c r="A10322" s="8" t="str">
        <f>"ISCIII 2011 - 5th International Symposium on Computational Intelligence and Intelligent Informatics"</f>
        <v>ISCIII 2011 - 5th International Symposium on Computational Intelligence and Intelligent Informatics</v>
      </c>
      <c r="B10322" s="8" t="str">
        <f>"9781457718601"</f>
        <v>9781457718601</v>
      </c>
      <c r="C10322" s="8" t="s">
        <v>9</v>
      </c>
    </row>
    <row r="10323" spans="1:3" x14ac:dyDescent="0.25">
      <c r="A10323" s="8" t="str">
        <f>"ISCIII'07: 3rd International Symposium on Computational Intelligence and Intelligent Informatics; Proceedings"</f>
        <v>ISCIII'07: 3rd International Symposium on Computational Intelligence and Intelligent Informatics; Proceedings</v>
      </c>
      <c r="B10323" s="8" t="str">
        <f>"9781424411580"</f>
        <v>9781424411580</v>
      </c>
      <c r="C10323" s="8" t="s">
        <v>9</v>
      </c>
    </row>
    <row r="10324" spans="1:3" x14ac:dyDescent="0.25">
      <c r="A10324" s="8" t="str">
        <f>"ISCIT 2005 - International Symposium on Communications and Information Technologies 2005, Proceedings"</f>
        <v>ISCIT 2005 - International Symposium on Communications and Information Technologies 2005, Proceedings</v>
      </c>
      <c r="B10324" s="8" t="str">
        <f>"9780780395381"</f>
        <v>9780780395381</v>
      </c>
      <c r="C10324" s="8" t="s">
        <v>9</v>
      </c>
    </row>
    <row r="10325" spans="1:3" x14ac:dyDescent="0.25">
      <c r="A10325" s="8" t="str">
        <f>"ISCIT 2007 - 2007 International Symposium on Communications and Information Technologies Proceedings"</f>
        <v>ISCIT 2007 - 2007 International Symposium on Communications and Information Technologies Proceedings</v>
      </c>
      <c r="B10325" s="8" t="str">
        <f>"9781424409778"</f>
        <v>9781424409778</v>
      </c>
      <c r="C10325" s="8" t="s">
        <v>9</v>
      </c>
    </row>
    <row r="10326" spans="1:3" x14ac:dyDescent="0.25">
      <c r="A10326" s="8" t="str">
        <f>"ISCIT 2010 - 2010 10th International Symposium on Communications and Information Technologies"</f>
        <v>ISCIT 2010 - 2010 10th International Symposium on Communications and Information Technologies</v>
      </c>
      <c r="B10326" s="8" t="str">
        <f>"9781424470105"</f>
        <v>9781424470105</v>
      </c>
      <c r="C10326" s="8" t="s">
        <v>9</v>
      </c>
    </row>
    <row r="10327" spans="1:3" x14ac:dyDescent="0.25">
      <c r="A10327" s="8" t="str">
        <f>"ISCORD 2013: Planning for Sustainable Cold Regions - Proceedings of the 10th International Symposium on Cold Regions Development"</f>
        <v>ISCORD 2013: Planning for Sustainable Cold Regions - Proceedings of the 10th International Symposium on Cold Regions Development</v>
      </c>
      <c r="B10327" s="8" t="str">
        <f>"9780784477892"</f>
        <v>9780784477892</v>
      </c>
      <c r="C10327" s="8" t="s">
        <v>111</v>
      </c>
    </row>
    <row r="10328" spans="1:3" x14ac:dyDescent="0.25">
      <c r="A10328" s="8" t="str">
        <f>"ISCRAM 2015 Conference Proceedings - 12th International Conference on Information Systems for Crisis Response and Management"</f>
        <v>ISCRAM 2015 Conference Proceedings - 12th International Conference on Information Systems for Crisis Response and Management</v>
      </c>
      <c r="B10328" s="8" t="str">
        <f>"9788271177881"</f>
        <v>9788271177881</v>
      </c>
      <c r="C10328" s="8" t="s">
        <v>1948</v>
      </c>
    </row>
    <row r="10329" spans="1:3" x14ac:dyDescent="0.25">
      <c r="A10329" s="8" t="str">
        <f>"ISDA 2009 - 9th International Conference on Intelligent Systems Design and Applications"</f>
        <v>ISDA 2009 - 9th International Conference on Intelligent Systems Design and Applications</v>
      </c>
      <c r="B10329" s="8" t="str">
        <f>"9780769538723"</f>
        <v>9780769538723</v>
      </c>
      <c r="C10329" s="8" t="s">
        <v>9</v>
      </c>
    </row>
    <row r="10330" spans="1:3" x14ac:dyDescent="0.25">
      <c r="A10330" s="8" t="str">
        <f>"ISEC 2011 - 6th International Structural Engineering and Construction Conference: Modern Methods and Advances in Structural Engineering and Construction"</f>
        <v>ISEC 2011 - 6th International Structural Engineering and Construction Conference: Modern Methods and Advances in Structural Engineering and Construction</v>
      </c>
      <c r="B10330" s="8" t="str">
        <f>"9789810879204"</f>
        <v>9789810879204</v>
      </c>
      <c r="C10330" s="8" t="s">
        <v>1554</v>
      </c>
    </row>
    <row r="10331" spans="1:3" x14ac:dyDescent="0.25">
      <c r="A10331" s="8" t="str">
        <f>"ISEC 2013 - 3rd IEEE Integrated STEM Education Conference"</f>
        <v>ISEC 2013 - 3rd IEEE Integrated STEM Education Conference</v>
      </c>
      <c r="B10331" s="8" t="str">
        <f>"9781467356244"</f>
        <v>9781467356244</v>
      </c>
      <c r="C10331" s="8" t="s">
        <v>9</v>
      </c>
    </row>
    <row r="10332" spans="1:3" x14ac:dyDescent="0.25">
      <c r="A10332" s="8" t="str">
        <f>"ISEC 2013 - 7th International Structural Engineering and Construction Conference: New Developments in Structural Engineering and Construction"</f>
        <v>ISEC 2013 - 7th International Structural Engineering and Construction Conference: New Developments in Structural Engineering and Construction</v>
      </c>
      <c r="B10332" s="8" t="str">
        <f>"9789810753559"</f>
        <v>9789810753559</v>
      </c>
      <c r="C10332" s="8" t="s">
        <v>1554</v>
      </c>
    </row>
    <row r="10333" spans="1:3" x14ac:dyDescent="0.25">
      <c r="A10333" s="8" t="str">
        <f>"ISEC 2014 - 4th IEEE Integrated STEM Education Conference"</f>
        <v>ISEC 2014 - 4th IEEE Integrated STEM Education Conference</v>
      </c>
      <c r="B10333" s="8" t="str">
        <f>"9781479932290"</f>
        <v>9781479932290</v>
      </c>
      <c r="C10333" s="8" t="s">
        <v>105</v>
      </c>
    </row>
    <row r="10334" spans="1:3" x14ac:dyDescent="0.25">
      <c r="A10334" s="8" t="str">
        <f>"ISEC 2015 - 5th IEEE Integrated STEM Education Conference"</f>
        <v>ISEC 2015 - 5th IEEE Integrated STEM Education Conference</v>
      </c>
      <c r="B10334" s="8" t="str">
        <f>"9781479918294"</f>
        <v>9781479918294</v>
      </c>
      <c r="C10334" s="8" t="s">
        <v>105</v>
      </c>
    </row>
    <row r="10335" spans="1:3" x14ac:dyDescent="0.25">
      <c r="A10335" s="8" t="str">
        <f>"ISEC'10 - Proceedings of the 2010 India Software Engineering Conference"</f>
        <v>ISEC'10 - Proceedings of the 2010 India Software Engineering Conference</v>
      </c>
      <c r="B10335" s="8" t="str">
        <f>"9781605589220"</f>
        <v>9781605589220</v>
      </c>
      <c r="C10335" s="8" t="s">
        <v>21</v>
      </c>
    </row>
    <row r="10336" spans="1:3" x14ac:dyDescent="0.25">
      <c r="A10336" s="8" t="str">
        <f>"ISES Solar World Congress 2007, ISES 2007"</f>
        <v>ISES Solar World Congress 2007, ISES 2007</v>
      </c>
      <c r="B10336" s="8" t="str">
        <f>"9781622765447"</f>
        <v>9781622765447</v>
      </c>
      <c r="C10336" s="8" t="s">
        <v>1455</v>
      </c>
    </row>
    <row r="10337" spans="1:3" x14ac:dyDescent="0.25">
      <c r="A10337" s="8" t="str">
        <f>"ISESE'06 - Proceedings of the 5th ACM-IEEE International Symposium on Empirical Software Engineering"</f>
        <v>ISESE'06 - Proceedings of the 5th ACM-IEEE International Symposium on Empirical Software Engineering</v>
      </c>
      <c r="B10337" s="8" t="str">
        <f>"-"</f>
        <v>-</v>
      </c>
      <c r="C10337" s="8" t="s">
        <v>21</v>
      </c>
    </row>
    <row r="10338" spans="1:3" x14ac:dyDescent="0.25">
      <c r="A10338" s="8" t="str">
        <f>"ISI 2007: 2007 IEEE Intelligence and Security Informatics"</f>
        <v>ISI 2007: 2007 IEEE Intelligence and Security Informatics</v>
      </c>
      <c r="B10338" s="8" t="str">
        <f>"9781424413300"</f>
        <v>9781424413300</v>
      </c>
      <c r="C10338" s="8" t="s">
        <v>9</v>
      </c>
    </row>
    <row r="10339" spans="1:3" x14ac:dyDescent="0.25">
      <c r="A10339" s="8" t="str">
        <f>"ISI 2010 - 2010 IEEE International Conference on Intelligence and Security Informatics: Public Safety and Security"</f>
        <v>ISI 2010 - 2010 IEEE International Conference on Intelligence and Security Informatics: Public Safety and Security</v>
      </c>
      <c r="B10339" s="8" t="str">
        <f>"9781424464609"</f>
        <v>9781424464609</v>
      </c>
      <c r="C10339" s="8" t="s">
        <v>9</v>
      </c>
    </row>
    <row r="10340" spans="1:3" x14ac:dyDescent="0.25">
      <c r="A10340" s="8" t="str">
        <f>"ISI 2012 - 2012 IEEE International Conference on Intelligence and Security Informatics: Cyberspace, Border, and Immigration Securities"</f>
        <v>ISI 2012 - 2012 IEEE International Conference on Intelligence and Security Informatics: Cyberspace, Border, and Immigration Securities</v>
      </c>
      <c r="B10340" s="8" t="str">
        <f>"9781467321037"</f>
        <v>9781467321037</v>
      </c>
      <c r="C10340" s="8" t="s">
        <v>9</v>
      </c>
    </row>
    <row r="10341" spans="1:3" x14ac:dyDescent="0.25">
      <c r="A10341" s="8" t="str">
        <f>"ISIC-2009 - 12th International Symposium on Integrated Circuits, Proceedings"</f>
        <v>ISIC-2009 - 12th International Symposium on Integrated Circuits, Proceedings</v>
      </c>
      <c r="B10341" s="8" t="str">
        <f>"9789810824686"</f>
        <v>9789810824686</v>
      </c>
      <c r="C10341" s="8" t="s">
        <v>9</v>
      </c>
    </row>
    <row r="10342" spans="1:3" x14ac:dyDescent="0.25">
      <c r="A10342" s="8" t="str">
        <f>"ISIEA 2010 - 2010 IEEE Symposium on Industrial Electronics and Applications"</f>
        <v>ISIEA 2010 - 2010 IEEE Symposium on Industrial Electronics and Applications</v>
      </c>
      <c r="B10342" s="8" t="str">
        <f>"9781424476473"</f>
        <v>9781424476473</v>
      </c>
      <c r="C10342" s="8" t="s">
        <v>9</v>
      </c>
    </row>
    <row r="10343" spans="1:3" x14ac:dyDescent="0.25">
      <c r="A10343" s="8" t="str">
        <f>"ISIEA 2012 - 2012 IEEE Symposium on Industrial Electronics and Applications"</f>
        <v>ISIEA 2012 - 2012 IEEE Symposium on Industrial Electronics and Applications</v>
      </c>
      <c r="B10343" s="8" t="str">
        <f>"9781467330046"</f>
        <v>9781467330046</v>
      </c>
      <c r="C10343" s="8" t="s">
        <v>9</v>
      </c>
    </row>
    <row r="10344" spans="1:3" x14ac:dyDescent="0.25">
      <c r="A10344" s="8" t="str">
        <f>"ISIEA 2013 - 2013 IEEE Symposium on Industrial Electronics and Applications"</f>
        <v>ISIEA 2013 - 2013 IEEE Symposium on Industrial Electronics and Applications</v>
      </c>
      <c r="B10344" s="8" t="str">
        <f>"9781479911257"</f>
        <v>9781479911257</v>
      </c>
      <c r="C10344" s="8" t="s">
        <v>9</v>
      </c>
    </row>
    <row r="10345" spans="1:3" x14ac:dyDescent="0.25">
      <c r="A10345" s="8" t="str">
        <f>"ISIPTA 2007 - Proceedings of the 5th International Symposium on Imprecise Probability: Theories and Applications"</f>
        <v>ISIPTA 2007 - Proceedings of the 5th International Symposium on Imprecise Probability: Theories and Applications</v>
      </c>
      <c r="B10345" s="8" t="str">
        <f>"9788086742205"</f>
        <v>9788086742205</v>
      </c>
      <c r="C10345" s="8" t="s">
        <v>1949</v>
      </c>
    </row>
    <row r="10346" spans="1:3" x14ac:dyDescent="0.25">
      <c r="A10346" s="8" t="str">
        <f>"ISIPTA 2009 - Proceedings of the 6th International Symposium on Imprecise Probability: Theories and Applications"</f>
        <v>ISIPTA 2009 - Proceedings of the 6th International Symposium on Imprecise Probability: Theories and Applications</v>
      </c>
      <c r="B10346" s="8" t="str">
        <f>"-"</f>
        <v>-</v>
      </c>
      <c r="C10346" s="8" t="s">
        <v>1949</v>
      </c>
    </row>
    <row r="10347" spans="1:3" x14ac:dyDescent="0.25">
      <c r="A10347" s="8" t="str">
        <f>"ISIPTA 2011 - Proceedings of the 7th International Symposium on Imprecise Probability: Theories and Applications"</f>
        <v>ISIPTA 2011 - Proceedings of the 7th International Symposium on Imprecise Probability: Theories and Applications</v>
      </c>
      <c r="B10347" s="8" t="str">
        <f>"9783902652409"</f>
        <v>9783902652409</v>
      </c>
      <c r="C10347" s="8" t="s">
        <v>1949</v>
      </c>
    </row>
    <row r="10348" spans="1:3" x14ac:dyDescent="0.25">
      <c r="A10348" s="8" t="str">
        <f>"ISITA/ISSSTA 2010 - 2010 International Symposium on Information Theory and Its Applications"</f>
        <v>ISITA/ISSSTA 2010 - 2010 International Symposium on Information Theory and Its Applications</v>
      </c>
      <c r="B10348" s="8" t="str">
        <f>"9781424460175"</f>
        <v>9781424460175</v>
      </c>
      <c r="C10348" s="8" t="s">
        <v>9</v>
      </c>
    </row>
    <row r="10349" spans="1:3" x14ac:dyDescent="0.25">
      <c r="A10349" s="8" t="str">
        <f>"ISM 2006 - 8th IEEE International Symposium on Multimedia"</f>
        <v>ISM 2006 - 8th IEEE International Symposium on Multimedia</v>
      </c>
      <c r="B10349" s="8" t="str">
        <f>"9780769527468"</f>
        <v>9780769527468</v>
      </c>
      <c r="C10349" s="8" t="s">
        <v>9</v>
      </c>
    </row>
    <row r="10350" spans="1:3" x14ac:dyDescent="0.25">
      <c r="A10350" s="8" t="str">
        <f>"ISM 2009 - 11th IEEE International Symposium on Multimedia"</f>
        <v>ISM 2009 - 11th IEEE International Symposium on Multimedia</v>
      </c>
      <c r="B10350" s="8" t="str">
        <f>"9780769538907"</f>
        <v>9780769538907</v>
      </c>
      <c r="C10350" s="8" t="s">
        <v>9</v>
      </c>
    </row>
    <row r="10351" spans="1:3" x14ac:dyDescent="0.25">
      <c r="A10351" s="8" t="str">
        <f>"ISMA'10 - 7th International Symposium on Mechatronics and its Applications"</f>
        <v>ISMA'10 - 7th International Symposium on Mechatronics and its Applications</v>
      </c>
      <c r="B10351" s="8" t="str">
        <f>"9789948427186"</f>
        <v>9789948427186</v>
      </c>
      <c r="C10351" s="8" t="s">
        <v>9</v>
      </c>
    </row>
    <row r="10352" spans="1:3" x14ac:dyDescent="0.25">
      <c r="A10352" s="8" t="str">
        <f>"ISMAR 2004: Proceedings of the Third IEEE and ACM International Symposium on Mixed and Augmented Reality"</f>
        <v>ISMAR 2004: Proceedings of the Third IEEE and ACM International Symposium on Mixed and Augmented Reality</v>
      </c>
      <c r="B10352" s="8" t="str">
        <f>"9780769521916"</f>
        <v>9780769521916</v>
      </c>
      <c r="C10352" s="8" t="s">
        <v>9</v>
      </c>
    </row>
    <row r="10353" spans="1:3" x14ac:dyDescent="0.25">
      <c r="A10353" s="8" t="str">
        <f>"ISMAR 2012 - 11th IEEE International Symposium on Mixed and Augmented Reality 2012, Science and Technology Papers"</f>
        <v>ISMAR 2012 - 11th IEEE International Symposium on Mixed and Augmented Reality 2012, Science and Technology Papers</v>
      </c>
      <c r="B10353" s="8" t="str">
        <f>"9781467346603"</f>
        <v>9781467346603</v>
      </c>
      <c r="C10353" s="8" t="s">
        <v>9</v>
      </c>
    </row>
    <row r="10354" spans="1:3" x14ac:dyDescent="0.25">
      <c r="A10354" s="8" t="str">
        <f>"ISMAR 2014 - IEEE International Symposium on Mixed and Augmented Reality - Media, Arts, Social Science, Humanities and Design 2014, Proceedings"</f>
        <v>ISMAR 2014 - IEEE International Symposium on Mixed and Augmented Reality - Media, Arts, Social Science, Humanities and Design 2014, Proceedings</v>
      </c>
      <c r="B10354" s="8" t="str">
        <f>"9781479968879"</f>
        <v>9781479968879</v>
      </c>
      <c r="C10354" s="8" t="s">
        <v>105</v>
      </c>
    </row>
    <row r="10355" spans="1:3" x14ac:dyDescent="0.25">
      <c r="A10355" s="8" t="str">
        <f>"ISMB 2005 Proceedings - 13th International Conference on Intelligent Systems for Molecular Biology"</f>
        <v>ISMB 2005 Proceedings - 13th International Conference on Intelligent Systems for Molecular Biology</v>
      </c>
      <c r="B10355" s="8" t="str">
        <f>"-"</f>
        <v>-</v>
      </c>
      <c r="C10355" s="8" t="s">
        <v>126</v>
      </c>
    </row>
    <row r="10356" spans="1:3" x14ac:dyDescent="0.25">
      <c r="A10356" s="8" t="str">
        <f>"ISMIR 2005 - 6th International Conference on Music Information Retrieval"</f>
        <v>ISMIR 2005 - 6th International Conference on Music Information Retrieval</v>
      </c>
      <c r="B10356" s="8" t="str">
        <f>"9780955117909"</f>
        <v>9780955117909</v>
      </c>
      <c r="C10356" s="8" t="s">
        <v>1950</v>
      </c>
    </row>
    <row r="10357" spans="1:3" x14ac:dyDescent="0.25">
      <c r="A10357" s="8" t="str">
        <f>"ISMIR 2006 - 7th International Conference on Music Information Retrieval"</f>
        <v>ISMIR 2006 - 7th International Conference on Music Information Retrieval</v>
      </c>
      <c r="B10357" s="8" t="str">
        <f>"9781550583496"</f>
        <v>9781550583496</v>
      </c>
      <c r="C10357" s="8" t="s">
        <v>1951</v>
      </c>
    </row>
    <row r="10358" spans="1:3" x14ac:dyDescent="0.25">
      <c r="A10358" s="8" t="str">
        <f>"ISMIR 2008 - 9th International Conference on Music Information Retrieval"</f>
        <v>ISMIR 2008 - 9th International Conference on Music Information Retrieval</v>
      </c>
      <c r="B10358" s="8" t="str">
        <f>"9780615248493"</f>
        <v>9780615248493</v>
      </c>
      <c r="C10358" s="8" t="s">
        <v>1952</v>
      </c>
    </row>
    <row r="10359" spans="1:3" x14ac:dyDescent="0.25">
      <c r="A10359" s="8" t="str">
        <f>"ISMS 2010 - UKSim/AMSS 1st International Conference on Intelligent Systems, Modelling and Simulation"</f>
        <v>ISMS 2010 - UKSim/AMSS 1st International Conference on Intelligent Systems, Modelling and Simulation</v>
      </c>
      <c r="B10359" s="8" t="str">
        <f>"9780769539737"</f>
        <v>9780769539737</v>
      </c>
      <c r="C10359" s="8" t="s">
        <v>9</v>
      </c>
    </row>
    <row r="10360" spans="1:3" x14ac:dyDescent="0.25">
      <c r="A10360" s="8" t="str">
        <f>"ISNCC 2008: 9th Conference-Seminar, Proceedings of the International School on Nonsinusoidal Currents and Compensation"</f>
        <v>ISNCC 2008: 9th Conference-Seminar, Proceedings of the International School on Nonsinusoidal Currents and Compensation</v>
      </c>
      <c r="B10360" s="8" t="str">
        <f>"9781424421305"</f>
        <v>9781424421305</v>
      </c>
      <c r="C10360" s="8" t="s">
        <v>9</v>
      </c>
    </row>
    <row r="10361" spans="1:3" x14ac:dyDescent="0.25">
      <c r="A10361" s="8" t="str">
        <f>"ISNE 2013 - IEEE International Symposium on Next-Generation Electronics 2013"</f>
        <v>ISNE 2013 - IEEE International Symposium on Next-Generation Electronics 2013</v>
      </c>
      <c r="B10361" s="8" t="str">
        <f>"-"</f>
        <v>-</v>
      </c>
      <c r="C10361" s="8" t="s">
        <v>9</v>
      </c>
    </row>
    <row r="10362" spans="1:3" x14ac:dyDescent="0.25">
      <c r="A10362" s="8" t="str">
        <f>"ISOB 2011 - Proceedings of the 1st International Symposium ISOB 2011 - Proceedings of the 1st International Symposium on Bioengineering"</f>
        <v>ISOB 2011 - Proceedings of the 1st International Symposium ISOB 2011 - Proceedings of the 1st International Symposium on Bioengineering</v>
      </c>
      <c r="B10362" s="8" t="str">
        <f>"9789810876159"</f>
        <v>9789810876159</v>
      </c>
      <c r="C10362" s="8" t="s">
        <v>1554</v>
      </c>
    </row>
    <row r="10363" spans="1:3" x14ac:dyDescent="0.25">
      <c r="A10363" s="8" t="str">
        <f>"ISOCC 2012 - 2012 International SoC Design Conference"</f>
        <v>ISOCC 2012 - 2012 International SoC Design Conference</v>
      </c>
      <c r="B10363" s="8" t="str">
        <f>"9781467329880"</f>
        <v>9781467329880</v>
      </c>
      <c r="C10363" s="8" t="s">
        <v>9</v>
      </c>
    </row>
    <row r="10364" spans="1:3" x14ac:dyDescent="0.25">
      <c r="A10364" s="8" t="str">
        <f>"ISOCC 2014 - International SoC Design Conference"</f>
        <v>ISOCC 2014 - International SoC Design Conference</v>
      </c>
      <c r="B10364" s="8" t="str">
        <f>"9781479951260"</f>
        <v>9781479951260</v>
      </c>
      <c r="C10364" s="8" t="s">
        <v>105</v>
      </c>
    </row>
    <row r="10365" spans="1:3" x14ac:dyDescent="0.25">
      <c r="A10365" s="8" t="str">
        <f>"ISORC 2010 - 2010 13th IEEE International Symposium on Object/Component/Service-Oriented Real-Time Distributed Computing"</f>
        <v>ISORC 2010 - 2010 13th IEEE International Symposium on Object/Component/Service-Oriented Real-Time Distributed Computing</v>
      </c>
      <c r="B10365" s="8" t="str">
        <f>"9780769540375"</f>
        <v>9780769540375</v>
      </c>
      <c r="C10365" s="8" t="s">
        <v>9</v>
      </c>
    </row>
    <row r="10366" spans="1:3" x14ac:dyDescent="0.25">
      <c r="A10366" s="8" t="str">
        <f>"ISORC Workshops 2010 - 2010 13th IEEE International Symposium on Object/Component/Service-Oriented Real-Time Distributed Computing Workshops"</f>
        <v>ISORC Workshops 2010 - 2010 13th IEEE International Symposium on Object/Component/Service-Oriented Real-Time Distributed Computing Workshops</v>
      </c>
      <c r="B10366" s="8" t="str">
        <f>"9780769540382"</f>
        <v>9780769540382</v>
      </c>
      <c r="C10366" s="8" t="s">
        <v>9</v>
      </c>
    </row>
    <row r="10367" spans="1:3" x14ac:dyDescent="0.25">
      <c r="A10367" s="8" t="str">
        <f>"ISOT 2009 - International Symposium on Optomechatronic Technologies"</f>
        <v>ISOT 2009 - International Symposium on Optomechatronic Technologies</v>
      </c>
      <c r="B10367" s="8" t="str">
        <f>"9781424442102"</f>
        <v>9781424442102</v>
      </c>
      <c r="C10367" s="8" t="s">
        <v>9</v>
      </c>
    </row>
    <row r="10368" spans="1:3" x14ac:dyDescent="0.25">
      <c r="A10368" s="8" t="str">
        <f>"ISPA 2007 - Proceedings of the 5th International Symposium on Image and Signal Processing and Analysis"</f>
        <v>ISPA 2007 - Proceedings of the 5th International Symposium on Image and Signal Processing and Analysis</v>
      </c>
      <c r="B10368" s="8" t="str">
        <f>"9789531841160"</f>
        <v>9789531841160</v>
      </c>
      <c r="C10368" s="8" t="s">
        <v>9</v>
      </c>
    </row>
    <row r="10369" spans="1:3" x14ac:dyDescent="0.25">
      <c r="A10369" s="8" t="str">
        <f>"ISPA 2009 - Proceedings of the 6th International Symposium on Image and Signal Processing and Analysis"</f>
        <v>ISPA 2009 - Proceedings of the 6th International Symposium on Image and Signal Processing and Analysis</v>
      </c>
      <c r="B10369" s="8" t="str">
        <f>"9789531841351"</f>
        <v>9789531841351</v>
      </c>
      <c r="C10369" s="8" t="s">
        <v>9</v>
      </c>
    </row>
    <row r="10370" spans="1:3" x14ac:dyDescent="0.25">
      <c r="A10370" s="8" t="str">
        <f>"ISPA 2011 - 7th International Symposium on Image and Signal Processing and Analysis"</f>
        <v>ISPA 2011 - 7th International Symposium on Image and Signal Processing and Analysis</v>
      </c>
      <c r="B10370" s="8" t="str">
        <f>"9789531841597"</f>
        <v>9789531841597</v>
      </c>
      <c r="C10370" s="8" t="s">
        <v>9</v>
      </c>
    </row>
    <row r="10371" spans="1:3" x14ac:dyDescent="0.25">
      <c r="A10371" s="8" t="str">
        <f>"ISPACS 2009 - 2009 International Symposium on Intelligent Signal Processing and Communication Systems, Proceedings"</f>
        <v>ISPACS 2009 - 2009 International Symposium on Intelligent Signal Processing and Communication Systems, Proceedings</v>
      </c>
      <c r="B10371" s="8" t="str">
        <f>"9781424450169"</f>
        <v>9781424450169</v>
      </c>
      <c r="C10371" s="8" t="s">
        <v>9</v>
      </c>
    </row>
    <row r="10372" spans="1:3" x14ac:dyDescent="0.25">
      <c r="A10372" s="8" t="str">
        <f>"ISPACS 2010 - 2010 International Symposium on Intelligent Signal Processing and Communication Systems, Proceedings"</f>
        <v>ISPACS 2010 - 2010 International Symposium on Intelligent Signal Processing and Communication Systems, Proceedings</v>
      </c>
      <c r="B10372" s="8" t="str">
        <f>"9781424473717"</f>
        <v>9781424473717</v>
      </c>
      <c r="C10372" s="8" t="s">
        <v>9</v>
      </c>
    </row>
    <row r="10373" spans="1:3" x14ac:dyDescent="0.25">
      <c r="A10373" s="8" t="str">
        <f>"ISPACS 2012 - IEEE International Symposium on Intelligent Signal Processing and Communications Systems"</f>
        <v>ISPACS 2012 - IEEE International Symposium on Intelligent Signal Processing and Communications Systems</v>
      </c>
      <c r="B10373" s="8" t="str">
        <f>"9781467350815"</f>
        <v>9781467350815</v>
      </c>
      <c r="C10373" s="8" t="s">
        <v>9</v>
      </c>
    </row>
    <row r="10374" spans="1:3" x14ac:dyDescent="0.25">
      <c r="A10374" s="8" t="str">
        <f>"ISPACS 2013 - 2013 International Symposium on Intelligent Signal Processing and Communication Systems"</f>
        <v>ISPACS 2013 - 2013 International Symposium on Intelligent Signal Processing and Communication Systems</v>
      </c>
      <c r="B10374" s="8" t="str">
        <f>"9781467363617"</f>
        <v>9781467363617</v>
      </c>
      <c r="C10374" s="8" t="s">
        <v>9</v>
      </c>
    </row>
    <row r="10375" spans="1:3" x14ac:dyDescent="0.25">
      <c r="A10375" s="8" t="str">
        <f>"I-SPAN 2009 - The 10th International Symposium on Pervasive Systems, Algorithms, and Networks"</f>
        <v>I-SPAN 2009 - The 10th International Symposium on Pervasive Systems, Algorithms, and Networks</v>
      </c>
      <c r="B10375" s="8" t="str">
        <f>"9780769539089"</f>
        <v>9780769539089</v>
      </c>
      <c r="C10375" s="8" t="s">
        <v>9</v>
      </c>
    </row>
    <row r="10376" spans="1:3" x14ac:dyDescent="0.25">
      <c r="A10376" s="8" t="str">
        <f>"ISPASS 2005 - IEEE International Symposium on Performance Analysis of Systems and Software"</f>
        <v>ISPASS 2005 - IEEE International Symposium on Performance Analysis of Systems and Software</v>
      </c>
      <c r="B10376" s="8" t="str">
        <f>"-"</f>
        <v>-</v>
      </c>
      <c r="C10376" s="8" t="s">
        <v>9</v>
      </c>
    </row>
    <row r="10377" spans="1:3" x14ac:dyDescent="0.25">
      <c r="A10377" s="8" t="str">
        <f>"ISPASS 2006: IEEE International Symposium on Performance Analysis of Systems and Software, 2006"</f>
        <v>ISPASS 2006: IEEE International Symposium on Performance Analysis of Systems and Software, 2006</v>
      </c>
      <c r="B10377" s="8" t="str">
        <f>"-"</f>
        <v>-</v>
      </c>
      <c r="C10377" s="8" t="s">
        <v>9</v>
      </c>
    </row>
    <row r="10378" spans="1:3" x14ac:dyDescent="0.25">
      <c r="A10378" s="8" t="str">
        <f>"ISPASS 2007: IEEE International Symposium on Performance Analysis of Systems and Software"</f>
        <v>ISPASS 2007: IEEE International Symposium on Performance Analysis of Systems and Software</v>
      </c>
      <c r="B10378" s="8" t="str">
        <f>"9781424410811"</f>
        <v>9781424410811</v>
      </c>
      <c r="C10378" s="8" t="s">
        <v>9</v>
      </c>
    </row>
    <row r="10379" spans="1:3" x14ac:dyDescent="0.25">
      <c r="A10379" s="8" t="str">
        <f>"ISPASS 2008 - IEEE International Symposium on Performance Analysis of Systems and Software"</f>
        <v>ISPASS 2008 - IEEE International Symposium on Performance Analysis of Systems and Software</v>
      </c>
      <c r="B10379" s="8" t="str">
        <f>"9781424422326"</f>
        <v>9781424422326</v>
      </c>
      <c r="C10379" s="8" t="s">
        <v>9</v>
      </c>
    </row>
    <row r="10380" spans="1:3" x14ac:dyDescent="0.25">
      <c r="A10380" s="8" t="str">
        <f>"ISPASS 2009 - International Symposium on Performance Analysis of Systems and Software"</f>
        <v>ISPASS 2009 - International Symposium on Performance Analysis of Systems and Software</v>
      </c>
      <c r="B10380" s="8" t="str">
        <f>"9781424441846"</f>
        <v>9781424441846</v>
      </c>
      <c r="C10380" s="8" t="s">
        <v>9</v>
      </c>
    </row>
    <row r="10381" spans="1:3" x14ac:dyDescent="0.25">
      <c r="A10381" s="8" t="str">
        <f>"ISPASS 2010 - IEEE International Symposium on Performance Analysis of Systems and Software"</f>
        <v>ISPASS 2010 - IEEE International Symposium on Performance Analysis of Systems and Software</v>
      </c>
      <c r="B10381" s="8" t="str">
        <f>"9781424460229"</f>
        <v>9781424460229</v>
      </c>
      <c r="C10381" s="8" t="s">
        <v>9</v>
      </c>
    </row>
    <row r="10382" spans="1:3" x14ac:dyDescent="0.25">
      <c r="A10382" s="8" t="str">
        <f>"ISPASS 2011 - IEEE International Symposium on Performance Analysis of Systems and Software"</f>
        <v>ISPASS 2011 - IEEE International Symposium on Performance Analysis of Systems and Software</v>
      </c>
      <c r="B10382" s="8" t="str">
        <f>"9781612843681"</f>
        <v>9781612843681</v>
      </c>
      <c r="C10382" s="8" t="s">
        <v>9</v>
      </c>
    </row>
    <row r="10383" spans="1:3" x14ac:dyDescent="0.25">
      <c r="A10383" s="8" t="str">
        <f>"ISPASS 2012 - IEEE International Symposium on Performance Analysis of Systems and Software"</f>
        <v>ISPASS 2012 - IEEE International Symposium on Performance Analysis of Systems and Software</v>
      </c>
      <c r="B10383" s="8" t="str">
        <f>"9781467311441"</f>
        <v>9781467311441</v>
      </c>
      <c r="C10383" s="8" t="s">
        <v>9</v>
      </c>
    </row>
    <row r="10384" spans="1:3" x14ac:dyDescent="0.25">
      <c r="A10384" s="8" t="str">
        <f>"ISPASS 2013 - IEEE International Symposium on Performance Analysis of Systems and Software"</f>
        <v>ISPASS 2013 - IEEE International Symposium on Performance Analysis of Systems and Software</v>
      </c>
      <c r="B10384" s="8" t="str">
        <f>"9781467357777"</f>
        <v>9781467357777</v>
      </c>
      <c r="C10384" s="8" t="s">
        <v>9</v>
      </c>
    </row>
    <row r="10385" spans="1:3" x14ac:dyDescent="0.25">
      <c r="A10385" s="8" t="str">
        <f>"ISPASS 2015 - IEEE International Symposium on Performance Analysis of Systems and Software"</f>
        <v>ISPASS 2015 - IEEE International Symposium on Performance Analysis of Systems and Software</v>
      </c>
      <c r="B10385" s="8" t="str">
        <f>"9781479919567"</f>
        <v>9781479919567</v>
      </c>
      <c r="C10385" s="8" t="s">
        <v>105</v>
      </c>
    </row>
    <row r="10386" spans="1:3" x14ac:dyDescent="0.25">
      <c r="A10386" s="8" t="str">
        <f>"ISPCE 2011 - 2011 IEEE Symposium on Product Compliance Engineering, Proceedings"</f>
        <v>ISPCE 2011 - 2011 IEEE Symposium on Product Compliance Engineering, Proceedings</v>
      </c>
      <c r="B10386" s="8" t="str">
        <f>"9781612846859"</f>
        <v>9781612846859</v>
      </c>
      <c r="C10386" s="8" t="s">
        <v>9</v>
      </c>
    </row>
    <row r="10387" spans="1:3" x14ac:dyDescent="0.25">
      <c r="A10387" s="8" t="str">
        <f>"ISPCE 2015 - IEEE Symposium on Product Compliance Engineering, Proceedings"</f>
        <v>ISPCE 2015 - IEEE Symposium on Product Compliance Engineering, Proceedings</v>
      </c>
      <c r="B10387" s="8" t="str">
        <f>"9781479959297"</f>
        <v>9781479959297</v>
      </c>
      <c r="C10387" s="8" t="s">
        <v>105</v>
      </c>
    </row>
    <row r="10388" spans="1:3" x14ac:dyDescent="0.25">
      <c r="A10388" s="8" t="str">
        <f>"ISPCS 2010 - 2010 International IEEE Symposium on Precision Clock Synchronization for Measurement, Control and Communication, Proceedings"</f>
        <v>ISPCS 2010 - 2010 International IEEE Symposium on Precision Clock Synchronization for Measurement, Control and Communication, Proceedings</v>
      </c>
      <c r="B10388" s="8" t="str">
        <f>"9781424459797"</f>
        <v>9781424459797</v>
      </c>
      <c r="C10388" s="8" t="s">
        <v>9</v>
      </c>
    </row>
    <row r="10389" spans="1:3" x14ac:dyDescent="0.25">
      <c r="A10389" s="8" t="str">
        <f>"ISPCS 2012 - 2012 International IEEE Symposium on Precision Clock Synchronization for Measurement, Control, and Communication, Proceedings"</f>
        <v>ISPCS 2012 - 2012 International IEEE Symposium on Precision Clock Synchronization for Measurement, Control, and Communication, Proceedings</v>
      </c>
      <c r="B10389" s="8" t="str">
        <f>"9781457717154"</f>
        <v>9781457717154</v>
      </c>
      <c r="C10389" s="8" t="s">
        <v>9</v>
      </c>
    </row>
    <row r="10390" spans="1:3" x14ac:dyDescent="0.25">
      <c r="A10390" s="8" t="str">
        <f>"ISPCS 2014 - Proceedings: 2014 International IEEE Symposium on Precision Clock Synchronization for Measurement, Control and Communication"</f>
        <v>ISPCS 2014 - Proceedings: 2014 International IEEE Symposium on Precision Clock Synchronization for Measurement, Control and Communication</v>
      </c>
      <c r="B10390" s="8" t="str">
        <f>"9781479926985"</f>
        <v>9781479926985</v>
      </c>
      <c r="C10390" s="8" t="s">
        <v>105</v>
      </c>
    </row>
    <row r="10391" spans="1:3" x14ac:dyDescent="0.25">
      <c r="A10391" s="8" t="str">
        <f>"ISPDC 2005: 4th International Symposium on Parallel and Distributed Computing"</f>
        <v>ISPDC 2005: 4th International Symposium on Parallel and Distributed Computing</v>
      </c>
      <c r="B10391" s="8" t="str">
        <f>"-"</f>
        <v>-</v>
      </c>
      <c r="C10391" s="8" t="s">
        <v>9</v>
      </c>
    </row>
    <row r="10392" spans="1:3" x14ac:dyDescent="0.25">
      <c r="A10392" s="8" t="str">
        <f>"ISPLC 2013 - 2013 IEEE 17th International Symposium on Power Line Communications and Its Applications, Proceedings"</f>
        <v>ISPLC 2013 - 2013 IEEE 17th International Symposium on Power Line Communications and Its Applications, Proceedings</v>
      </c>
      <c r="B10392" s="8" t="str">
        <f>"9781467360166"</f>
        <v>9781467360166</v>
      </c>
      <c r="C10392" s="8" t="s">
        <v>9</v>
      </c>
    </row>
    <row r="10393" spans="1:3" x14ac:dyDescent="0.25">
      <c r="A10393" s="8" t="str">
        <f>"ISSCAA2010 - 3rd International Symposium on Systems and Control in Aeronautics and Astronautics"</f>
        <v>ISSCAA2010 - 3rd International Symposium on Systems and Control in Aeronautics and Astronautics</v>
      </c>
      <c r="B10393" s="8" t="str">
        <f>"9781424460441"</f>
        <v>9781424460441</v>
      </c>
      <c r="C10393" s="8" t="s">
        <v>9</v>
      </c>
    </row>
    <row r="10394" spans="1:3" x14ac:dyDescent="0.25">
      <c r="A10394" s="8" t="str">
        <f>"ISSCS 2005: International Symposium on Signals, Circuits and Systems - Proceedings"</f>
        <v>ISSCS 2005: International Symposium on Signals, Circuits and Systems - Proceedings</v>
      </c>
      <c r="B10394" s="8" t="str">
        <f>"9780780390294"</f>
        <v>9780780390294</v>
      </c>
      <c r="C10394" s="8" t="s">
        <v>9</v>
      </c>
    </row>
    <row r="10395" spans="1:3" x14ac:dyDescent="0.25">
      <c r="A10395" s="8" t="str">
        <f>"ISSCS 2007 - International Symposium on Signals, Circuits and Systems, Proceedings"</f>
        <v>ISSCS 2007 - International Symposium on Signals, Circuits and Systems, Proceedings</v>
      </c>
      <c r="B10395" s="8" t="str">
        <f>"9781424409686"</f>
        <v>9781424409686</v>
      </c>
      <c r="C10395" s="8" t="s">
        <v>9</v>
      </c>
    </row>
    <row r="10396" spans="1:3" x14ac:dyDescent="0.25">
      <c r="A10396" s="8" t="str">
        <f>"ISSCS 2011 - International Symposium on Signals, Circuits and Systems, Proceedings"</f>
        <v>ISSCS 2011 - International Symposium on Signals, Circuits and Systems, Proceedings</v>
      </c>
      <c r="B10396" s="8" t="str">
        <f>"9781457702013"</f>
        <v>9781457702013</v>
      </c>
      <c r="C10396" s="8" t="s">
        <v>9</v>
      </c>
    </row>
    <row r="10397" spans="1:3" x14ac:dyDescent="0.25">
      <c r="A10397" s="8" t="str">
        <f>"ISSCS 2013 - International Symposium on Signals, Circuits and Systems"</f>
        <v>ISSCS 2013 - International Symposium on Signals, Circuits and Systems</v>
      </c>
      <c r="B10397" s="8" t="str">
        <f>"9781467361415"</f>
        <v>9781467361415</v>
      </c>
      <c r="C10397" s="8" t="s">
        <v>9</v>
      </c>
    </row>
    <row r="10398" spans="1:3" x14ac:dyDescent="0.25">
      <c r="A10398" s="8" t="str">
        <f>"ISSE 2006 - 29th International Spring Seminar on Electronics Technology: Nano Technologies for Electronics Packaging, Conference Proceedings"</f>
        <v>ISSE 2006 - 29th International Spring Seminar on Electronics Technology: Nano Technologies for Electronics Packaging, Conference Proceedings</v>
      </c>
      <c r="B10398" s="8" t="str">
        <f>"9781424405510"</f>
        <v>9781424405510</v>
      </c>
      <c r="C10398" s="8" t="s">
        <v>9</v>
      </c>
    </row>
    <row r="10399" spans="1:3" x14ac:dyDescent="0.25">
      <c r="A10399" s="8" t="str">
        <f>"ISSE 2006 - Securing Electronic Business Processes: Highlights of the Information Security Solutions Europe 2006 Conference"</f>
        <v>ISSE 2006 - Securing Electronic Business Processes: Highlights of the Information Security Solutions Europe 2006 Conference</v>
      </c>
      <c r="B10399" s="8" t="str">
        <f>"9783834802132"</f>
        <v>9783834802132</v>
      </c>
      <c r="C10399" s="8" t="s">
        <v>1953</v>
      </c>
    </row>
    <row r="10400" spans="1:3" x14ac:dyDescent="0.25">
      <c r="A10400" s="8" t="str">
        <f>"ISSE 2007 - 30th International Spring Seminar on Electronics Technology 2007; Conference Proceedings: Emerging Technologies for Electronics Packaging"</f>
        <v>ISSE 2007 - 30th International Spring Seminar on Electronics Technology 2007; Conference Proceedings: Emerging Technologies for Electronics Packaging</v>
      </c>
      <c r="B10400" s="8" t="str">
        <f>"9781424412181"</f>
        <v>9781424412181</v>
      </c>
      <c r="C10400" s="8" t="s">
        <v>105</v>
      </c>
    </row>
    <row r="10401" spans="1:3" x14ac:dyDescent="0.25">
      <c r="A10401" s="8" t="str">
        <f>"ISSE 2008 - Securing Electronic Business Processes: Highlights of the Information Security Solutions Europe 2008 Conference"</f>
        <v>ISSE 2008 - Securing Electronic Business Processes: Highlights of the Information Security Solutions Europe 2008 Conference</v>
      </c>
      <c r="B10401" s="8" t="str">
        <f>"9783834806604"</f>
        <v>9783834806604</v>
      </c>
      <c r="C10401" s="8" t="s">
        <v>1810</v>
      </c>
    </row>
    <row r="10402" spans="1:3" x14ac:dyDescent="0.25">
      <c r="A10402" s="8" t="str">
        <f>"ISSE 2009: 32nd International Spring Seminar on Electronics Technology: Hetero System Integration, the path to New Solutions in the Modern Electronics - Conference Proceedings"</f>
        <v>ISSE 2009: 32nd International Spring Seminar on Electronics Technology: Hetero System Integration, the path to New Solutions in the Modern Electronics - Conference Proceedings</v>
      </c>
      <c r="B10402" s="8" t="str">
        <f>"9781424442607"</f>
        <v>9781424442607</v>
      </c>
      <c r="C10402" s="8" t="s">
        <v>9</v>
      </c>
    </row>
    <row r="10403" spans="1:3" x14ac:dyDescent="0.25">
      <c r="A10403" s="8" t="str">
        <f>"ISSE 2010 - 33rd International Spring Seminar on Electronics Technology: Polymer Electronics and Nanotechnologies: Towards System Integration - Conference Proceedings"</f>
        <v>ISSE 2010 - 33rd International Spring Seminar on Electronics Technology: Polymer Electronics and Nanotechnologies: Towards System Integration - Conference Proceedings</v>
      </c>
      <c r="B10403" s="8" t="str">
        <f>"9781424478507"</f>
        <v>9781424478507</v>
      </c>
      <c r="C10403" s="8" t="s">
        <v>9</v>
      </c>
    </row>
    <row r="10404" spans="1:3" x14ac:dyDescent="0.25">
      <c r="A10404" s="8" t="str">
        <f>"ISSE 2010 - Securing Electronic Business Processes: Highlights of the Information Security Solutions Europe 2010 Conference"</f>
        <v>ISSE 2010 - Securing Electronic Business Processes: Highlights of the Information Security Solutions Europe 2010 Conference</v>
      </c>
      <c r="B10404" s="8" t="str">
        <f>"9783834814388"</f>
        <v>9783834814388</v>
      </c>
      <c r="C10404" s="8" t="s">
        <v>1810</v>
      </c>
    </row>
    <row r="10405" spans="1:3" x14ac:dyDescent="0.25">
      <c r="A10405" s="8" t="str">
        <f>"ISSE 2012 Securing Electronic Business Processes: Highlights of the Information Security Solutions Europe 2012 Conference"</f>
        <v>ISSE 2012 Securing Electronic Business Processes: Highlights of the Information Security Solutions Europe 2012 Conference</v>
      </c>
      <c r="B10405" s="8" t="str">
        <f>"9783658003326"</f>
        <v>9783658003326</v>
      </c>
      <c r="C10405" s="8" t="s">
        <v>1954</v>
      </c>
    </row>
    <row r="10406" spans="1:3" x14ac:dyDescent="0.25">
      <c r="A10406" s="8" t="str">
        <f>"ISSE/SECURE 2007 - Securing Electronic Business Processes: Highlights of the Information Security Solutions Europe/SECURE 2007 Conference"</f>
        <v>ISSE/SECURE 2007 - Securing Electronic Business Processes: Highlights of the Information Security Solutions Europe/SECURE 2007 Conference</v>
      </c>
      <c r="B10406" s="8" t="str">
        <f>"9783834803467"</f>
        <v>9783834803467</v>
      </c>
      <c r="C10406" s="8" t="s">
        <v>1953</v>
      </c>
    </row>
    <row r="10407" spans="1:3" x14ac:dyDescent="0.25">
      <c r="A10407" s="8" t="str">
        <f>"ISSNIP 2008 - Proceedings of the 2008 International Conference on Intelligent Sensors, Sensor Networks and Information Processing"</f>
        <v>ISSNIP 2008 - Proceedings of the 2008 International Conference on Intelligent Sensors, Sensor Networks and Information Processing</v>
      </c>
      <c r="B10407" s="8" t="str">
        <f>"9781424429578"</f>
        <v>9781424429578</v>
      </c>
      <c r="C10407" s="8" t="s">
        <v>9</v>
      </c>
    </row>
    <row r="10408" spans="1:3" x14ac:dyDescent="0.25">
      <c r="A10408" s="8" t="str">
        <f>"ISSNIP 2009 - Proceedings of 2009 5th International Conference on Intelligent Sensors, Sensor Networks and Information Processing"</f>
        <v>ISSNIP 2009 - Proceedings of 2009 5th International Conference on Intelligent Sensors, Sensor Networks and Information Processing</v>
      </c>
      <c r="B10408" s="8" t="str">
        <f>"9781424435180"</f>
        <v>9781424435180</v>
      </c>
      <c r="C10408" s="8" t="s">
        <v>9</v>
      </c>
    </row>
    <row r="10409" spans="1:3" x14ac:dyDescent="0.25">
      <c r="A10409" s="8" t="str">
        <f>"ISSPIT 2007 - 2007 IEEE International Symposium on Signal Processing and Information Technology"</f>
        <v>ISSPIT 2007 - 2007 IEEE International Symposium on Signal Processing and Information Technology</v>
      </c>
      <c r="B10409" s="8" t="str">
        <f>"9781424418350"</f>
        <v>9781424418350</v>
      </c>
      <c r="C10409" s="8" t="s">
        <v>9</v>
      </c>
    </row>
    <row r="10410" spans="1:3" x14ac:dyDescent="0.25">
      <c r="A10410" s="8" t="str">
        <f>"ISSTA 2004 - Proceedings of the ACM SIGSOFT International Symposium on Software Testing and Analysis"</f>
        <v>ISSTA 2004 - Proceedings of the ACM SIGSOFT International Symposium on Software Testing and Analysis</v>
      </c>
      <c r="B10410" s="8" t="str">
        <f>"9781581138207"</f>
        <v>9781581138207</v>
      </c>
      <c r="C10410" s="8" t="s">
        <v>21</v>
      </c>
    </row>
    <row r="10411" spans="1:3" x14ac:dyDescent="0.25">
      <c r="A10411" s="8" t="str">
        <f>"ISSTA'08: Proceedings of the 2008 International Symposium on Software Testing and Analysis 2008"</f>
        <v>ISSTA'08: Proceedings of the 2008 International Symposium on Software Testing and Analysis 2008</v>
      </c>
      <c r="B10411" s="8" t="str">
        <f>"9781605580500"</f>
        <v>9781605580500</v>
      </c>
      <c r="C10411" s="8" t="s">
        <v>21</v>
      </c>
    </row>
    <row r="10412" spans="1:3" x14ac:dyDescent="0.25">
      <c r="A10412" s="8" t="str">
        <f>"ISSTA'10 - Proceedings of the 2010 International Symposium on Software Testing and Analysis"</f>
        <v>ISSTA'10 - Proceedings of the 2010 International Symposium on Software Testing and Analysis</v>
      </c>
      <c r="B10412" s="8" t="str">
        <f>"9781605588230"</f>
        <v>9781605588230</v>
      </c>
      <c r="C10412" s="8" t="s">
        <v>21</v>
      </c>
    </row>
    <row r="10413" spans="1:3" x14ac:dyDescent="0.25">
      <c r="A10413" s="8" t="str">
        <f>"ISSTT 2014 - 25th International Sympsoium on Space Terahertz Technology, Proceedings"</f>
        <v>ISSTT 2014 - 25th International Sympsoium on Space Terahertz Technology, Proceedings</v>
      </c>
      <c r="B10413" s="8" t="str">
        <f>"-"</f>
        <v>-</v>
      </c>
      <c r="C10413" s="8" t="s">
        <v>1303</v>
      </c>
    </row>
    <row r="10414" spans="1:3" x14ac:dyDescent="0.25">
      <c r="A10414" s="8" t="str">
        <f>"ISSW 09 - International Snow Science Workshop, Proceedings"</f>
        <v>ISSW 09 - International Snow Science Workshop, Proceedings</v>
      </c>
      <c r="B10414" s="8" t="str">
        <f>"-"</f>
        <v>-</v>
      </c>
      <c r="C10414" s="8" t="s">
        <v>1955</v>
      </c>
    </row>
    <row r="10415" spans="1:3" x14ac:dyDescent="0.25">
      <c r="A10415" s="8" t="str">
        <f>"IST 2005 - Proceedings of the 2005 IEEE International Workshop on Imaging Systems and Techniques"</f>
        <v>IST 2005 - Proceedings of the 2005 IEEE International Workshop on Imaging Systems and Techniques</v>
      </c>
      <c r="B10415" s="8" t="str">
        <f>"-"</f>
        <v>-</v>
      </c>
      <c r="C10415" s="8" t="s">
        <v>9</v>
      </c>
    </row>
    <row r="10416" spans="1:3" x14ac:dyDescent="0.25">
      <c r="A10416" s="8" t="str">
        <f>"IST 2006 - Proceedings of the 2006 IEEE International Workshop on Imagining Systems and Techniques"</f>
        <v>IST 2006 - Proceedings of the 2006 IEEE International Workshop on Imagining Systems and Techniques</v>
      </c>
      <c r="B10416" s="8" t="str">
        <f>"-"</f>
        <v>-</v>
      </c>
      <c r="C10416" s="8" t="s">
        <v>9</v>
      </c>
    </row>
    <row r="10417" spans="1:3" x14ac:dyDescent="0.25">
      <c r="A10417" s="8" t="str">
        <f>"IST 2008 - IEEE Workshop on Imaging Systems and Techniques Proceedings"</f>
        <v>IST 2008 - IEEE Workshop on Imaging Systems and Techniques Proceedings</v>
      </c>
      <c r="B10417" s="8" t="str">
        <f>"9781424424979"</f>
        <v>9781424424979</v>
      </c>
      <c r="C10417" s="8" t="s">
        <v>9</v>
      </c>
    </row>
    <row r="10418" spans="1:3" x14ac:dyDescent="0.25">
      <c r="A10418" s="8" t="str">
        <f>"IST 2012 - 2012 IEEE International Conference on Imaging Systems and Techniques, Proceedings"</f>
        <v>IST 2012 - 2012 IEEE International Conference on Imaging Systems and Techniques, Proceedings</v>
      </c>
      <c r="B10418" s="8" t="str">
        <f>"9781457717741"</f>
        <v>9781457717741</v>
      </c>
      <c r="C10418" s="8" t="s">
        <v>9</v>
      </c>
    </row>
    <row r="10419" spans="1:3" x14ac:dyDescent="0.25">
      <c r="A10419" s="8" t="str">
        <f>"IST 2013 - 2013 IEEE International Conference on Imaging Systems and Techniques, Proceedings"</f>
        <v>IST 2013 - 2013 IEEE International Conference on Imaging Systems and Techniques, Proceedings</v>
      </c>
      <c r="B10419" s="8" t="str">
        <f>"9781467357906"</f>
        <v>9781467357906</v>
      </c>
      <c r="C10419" s="8" t="s">
        <v>9</v>
      </c>
    </row>
    <row r="10420" spans="1:3" x14ac:dyDescent="0.25">
      <c r="A10420" s="8" t="str">
        <f>"IST 2014 - 2014 IEEE International Conference on Imaging Systems and Techniques, Proceedings"</f>
        <v>IST 2014 - 2014 IEEE International Conference on Imaging Systems and Techniques, Proceedings</v>
      </c>
      <c r="B10420" s="8" t="str">
        <f>"9781479967483"</f>
        <v>9781479967483</v>
      </c>
      <c r="C10420" s="8" t="s">
        <v>105</v>
      </c>
    </row>
    <row r="10421" spans="1:3" x14ac:dyDescent="0.25">
      <c r="A10421" s="8" t="str">
        <f>"ISTMET 2014 - 1st International Symposium on Technology Management and Emerging Technologies, Proceedings"</f>
        <v>ISTMET 2014 - 1st International Symposium on Technology Management and Emerging Technologies, Proceedings</v>
      </c>
      <c r="B10421" s="8" t="str">
        <f>"9781479937042"</f>
        <v>9781479937042</v>
      </c>
      <c r="C10421" s="8" t="s">
        <v>105</v>
      </c>
    </row>
    <row r="10422" spans="1:3" x14ac:dyDescent="0.25">
      <c r="A10422" s="8" t="str">
        <f>"ISVD 2010 - 7th International Symposium on Voronoi Diagrams in Science and Engineering"</f>
        <v>ISVD 2010 - 7th International Symposium on Voronoi Diagrams in Science and Engineering</v>
      </c>
      <c r="B10422" s="8" t="str">
        <f>"9780769541129"</f>
        <v>9780769541129</v>
      </c>
      <c r="C10422" s="8" t="s">
        <v>9</v>
      </c>
    </row>
    <row r="10423" spans="1:3" x14ac:dyDescent="0.25">
      <c r="A10423" s="8" t="str">
        <f>"ISVD 2013 - 10th International Symposium on Voronoi Diagrams in Science and Engineering"</f>
        <v>ISVD 2013 - 10th International Symposium on Voronoi Diagrams in Science and Engineering</v>
      </c>
      <c r="B10423" s="8" t="str">
        <f>"9780769550374"</f>
        <v>9780769550374</v>
      </c>
      <c r="C10423" s="8" t="s">
        <v>9</v>
      </c>
    </row>
    <row r="10424" spans="1:3" x14ac:dyDescent="0.25">
      <c r="A10424" s="8" t="str">
        <f>"ISVRI 2011 - IEEE International Symposium on Virtual Reality Innovations 2011, Proceedings"</f>
        <v>ISVRI 2011 - IEEE International Symposium on Virtual Reality Innovations 2011, Proceedings</v>
      </c>
      <c r="B10424" s="8" t="str">
        <f>"9781457700538"</f>
        <v>9781457700538</v>
      </c>
      <c r="C10424" s="8" t="s">
        <v>9</v>
      </c>
    </row>
    <row r="10425" spans="1:3" x14ac:dyDescent="0.25">
      <c r="A10425" s="8" t="str">
        <f>"ISWC 2013 - Proceedings of the 2013 ACM International Symposium on Wearable Computers"</f>
        <v>ISWC 2013 - Proceedings of the 2013 ACM International Symposium on Wearable Computers</v>
      </c>
      <c r="B10425" s="8" t="str">
        <f>"9781450321273"</f>
        <v>9781450321273</v>
      </c>
      <c r="C10425" s="8" t="s">
        <v>21</v>
      </c>
    </row>
    <row r="10426" spans="1:3" x14ac:dyDescent="0.25">
      <c r="A10426" s="8" t="str">
        <f>"ISWCS'08 - Proceedings of the 2008 IEEE International Symposium on Wireless Communication Systems"</f>
        <v>ISWCS'08 - Proceedings of the 2008 IEEE International Symposium on Wireless Communication Systems</v>
      </c>
      <c r="B10426" s="8" t="str">
        <f>"9781424424894"</f>
        <v>9781424424894</v>
      </c>
      <c r="C10426" s="8" t="s">
        <v>9</v>
      </c>
    </row>
    <row r="10427" spans="1:3" x14ac:dyDescent="0.25">
      <c r="A10427" s="8" t="str">
        <f>"ISWPC 2010 - IEEE 5th International Symposium on Wireless Pervasive Computing 2010"</f>
        <v>ISWPC 2010 - IEEE 5th International Symposium on Wireless Pervasive Computing 2010</v>
      </c>
      <c r="B10427" s="8" t="str">
        <f>"9781424468584"</f>
        <v>9781424468584</v>
      </c>
      <c r="C10427" s="8" t="s">
        <v>9</v>
      </c>
    </row>
    <row r="10428" spans="1:3" x14ac:dyDescent="0.25">
      <c r="A10428" s="8" t="str">
        <f>"ISWREP 2011 - Proceedings of 2011 International Symposium on Water Resource and Environmental Protection"</f>
        <v>ISWREP 2011 - Proceedings of 2011 International Symposium on Water Resource and Environmental Protection</v>
      </c>
      <c r="B10428" s="8" t="str">
        <f>"9781612843377"</f>
        <v>9781612843377</v>
      </c>
      <c r="C10428" s="8" t="s">
        <v>9</v>
      </c>
    </row>
    <row r="10429" spans="1:3" x14ac:dyDescent="0.25">
      <c r="A10429" s="8" t="str">
        <f>"ISWTA 2011 - 2011 IEEE Symposium on Wireless Technology and Applications"</f>
        <v>ISWTA 2011 - 2011 IEEE Symposium on Wireless Technology and Applications</v>
      </c>
      <c r="B10429" s="8" t="str">
        <f>"9781457714979"</f>
        <v>9781457714979</v>
      </c>
      <c r="C10429" s="8" t="s">
        <v>9</v>
      </c>
    </row>
    <row r="10430" spans="1:3" x14ac:dyDescent="0.25">
      <c r="A10430" s="8" t="str">
        <f>"IT Professional Conference: Challenges in Information Systems Governance, IT Pro 2014"</f>
        <v>IT Professional Conference: Challenges in Information Systems Governance, IT Pro 2014</v>
      </c>
      <c r="B10430" s="8" t="str">
        <f>"9781479941414"</f>
        <v>9781479941414</v>
      </c>
      <c r="C10430" s="8" t="s">
        <v>105</v>
      </c>
    </row>
    <row r="10431" spans="1:3" x14ac:dyDescent="0.25">
      <c r="A10431" s="8" t="str">
        <f>"ITAT 2005 - Workshop on Theory and Practice of Information Technologies - Applications and Theory, Proceedings"</f>
        <v>ITAT 2005 - Workshop on Theory and Practice of Information Technologies - Applications and Theory, Proceedings</v>
      </c>
      <c r="B10431" s="8" t="str">
        <f>"9788070976098"</f>
        <v>9788070976098</v>
      </c>
      <c r="C10431" s="8" t="s">
        <v>1956</v>
      </c>
    </row>
    <row r="10432" spans="1:3" x14ac:dyDescent="0.25">
      <c r="A10432" s="8" t="str">
        <f>"ITAT 2006 - Workshop on Theory and Practice of Information Technologies - Applications and Theory, Proceedings"</f>
        <v>ITAT 2006 - Workshop on Theory and Practice of Information Technologies - Applications and Theory, Proceedings</v>
      </c>
      <c r="B10432" s="8" t="str">
        <f>"-"</f>
        <v>-</v>
      </c>
      <c r="C10432" s="8" t="s">
        <v>1956</v>
      </c>
    </row>
    <row r="10433" spans="1:3" x14ac:dyDescent="0.25">
      <c r="A10433" s="8" t="str">
        <f>"ITC 2010 - 2010 International Conference on Recent Trends in Information, Telecommunication, and Computing"</f>
        <v>ITC 2010 - 2010 International Conference on Recent Trends in Information, Telecommunication, and Computing</v>
      </c>
      <c r="B10433" s="8" t="str">
        <f>"9780769539751"</f>
        <v>9780769539751</v>
      </c>
      <c r="C10433" s="8" t="s">
        <v>9</v>
      </c>
    </row>
    <row r="10434" spans="1:3" x14ac:dyDescent="0.25">
      <c r="A10434" s="8" t="str">
        <f>"ITC and DC: Book of Proceedings of the 4th International Textile, Clothing and Design Conference - Magic World of Textiles"</f>
        <v>ITC and DC: Book of Proceedings of the 4th International Textile, Clothing and Design Conference - Magic World of Textiles</v>
      </c>
      <c r="B10434" s="8" t="str">
        <f>"9789537105266"</f>
        <v>9789537105266</v>
      </c>
      <c r="C10434" s="8" t="s">
        <v>311</v>
      </c>
    </row>
    <row r="10435" spans="1:3" x14ac:dyDescent="0.25">
      <c r="A10435" s="8" t="str">
        <f>"ITCS 2012 - Innovations in Theoretical Computer Science Conference"</f>
        <v>ITCS 2012 - Innovations in Theoretical Computer Science Conference</v>
      </c>
      <c r="B10435" s="8" t="str">
        <f>"9781450311151"</f>
        <v>9781450311151</v>
      </c>
      <c r="C10435" s="8" t="s">
        <v>21</v>
      </c>
    </row>
    <row r="10436" spans="1:3" x14ac:dyDescent="0.25">
      <c r="A10436" s="8" t="str">
        <f>"ITCS 2013 - Proceedings of the 2013 ACM Conference on Innovations in Theoretical Computer Science"</f>
        <v>ITCS 2013 - Proceedings of the 2013 ACM Conference on Innovations in Theoretical Computer Science</v>
      </c>
      <c r="B10436" s="8" t="str">
        <f>"9781450318594"</f>
        <v>9781450318594</v>
      </c>
      <c r="C10436" s="8" t="s">
        <v>21</v>
      </c>
    </row>
    <row r="10437" spans="1:3" x14ac:dyDescent="0.25">
      <c r="A10437" s="8" t="str">
        <f>"ITCS 2014 - Proceedings of the 2014 Conference on Innovations in Theoretical Computer Science"</f>
        <v>ITCS 2014 - Proceedings of the 2014 Conference on Innovations in Theoretical Computer Science</v>
      </c>
      <c r="B10437" s="8" t="str">
        <f>"9781450322430"</f>
        <v>9781450322430</v>
      </c>
      <c r="C10437" s="8" t="s">
        <v>21</v>
      </c>
    </row>
    <row r="10438" spans="1:3" x14ac:dyDescent="0.25">
      <c r="A10438" s="8" t="str">
        <f>"ITCS 2015 - Proceedings of the 6th Innovations in Theoretical Computer Science"</f>
        <v>ITCS 2015 - Proceedings of the 6th Innovations in Theoretical Computer Science</v>
      </c>
      <c r="B10438" s="8" t="str">
        <f>"9781450333337"</f>
        <v>9781450333337</v>
      </c>
      <c r="C10438" s="8" t="s">
        <v>1235</v>
      </c>
    </row>
    <row r="10439" spans="1:3" x14ac:dyDescent="0.25">
      <c r="A10439" s="8" t="str">
        <f>"ITEE 2005 - 2nd International ICSC Symposium on Information Technologies in Environmental Engineering, Proceedings"</f>
        <v>ITEE 2005 - 2nd International ICSC Symposium on Information Technologies in Environmental Engineering, Proceedings</v>
      </c>
      <c r="B10439" s="8" t="str">
        <f>"9783832243623"</f>
        <v>9783832243623</v>
      </c>
      <c r="C10439" s="8" t="s">
        <v>1957</v>
      </c>
    </row>
    <row r="10440" spans="1:3" x14ac:dyDescent="0.25">
      <c r="A10440" s="8" t="str">
        <f>"ITHET 2005: 6th International Conference on Information Technology Based Higher Education and Training, 2005"</f>
        <v>ITHET 2005: 6th International Conference on Information Technology Based Higher Education and Training, 2005</v>
      </c>
      <c r="B10440" s="8" t="str">
        <f>"-"</f>
        <v>-</v>
      </c>
      <c r="C10440" s="8" t="s">
        <v>9</v>
      </c>
    </row>
    <row r="10441" spans="1:3" x14ac:dyDescent="0.25">
      <c r="A10441" s="8" t="str">
        <f>"ITHET 2014 - 13th International Conference on Information Technology Based Higher Education and Training"</f>
        <v>ITHET 2014 - 13th International Conference on Information Technology Based Higher Education and Training</v>
      </c>
      <c r="B10441" s="8" t="str">
        <f>"9781467367301"</f>
        <v>9781467367301</v>
      </c>
      <c r="C10441" s="8" t="s">
        <v>105</v>
      </c>
    </row>
    <row r="10442" spans="1:3" x14ac:dyDescent="0.25">
      <c r="A10442" s="8" t="str">
        <f>"ITI 3rd International Conference on Information and Communications Technology, ICICT 2005 - Enabling Technologies for the New Knowledge Society"</f>
        <v>ITI 3rd International Conference on Information and Communications Technology, ICICT 2005 - Enabling Technologies for the New Knowledge Society</v>
      </c>
      <c r="B10442" s="8" t="str">
        <f>"-"</f>
        <v>-</v>
      </c>
      <c r="C10442" s="8" t="s">
        <v>9</v>
      </c>
    </row>
    <row r="10443" spans="1:3" x14ac:dyDescent="0.25">
      <c r="A10443" s="8" t="str">
        <f>"ITiCSE 2002 - Proceedings of the 7th Annual SIGCSE Conference on Innovation and Technology in Computer Science Education"</f>
        <v>ITiCSE 2002 - Proceedings of the 7th Annual SIGCSE Conference on Innovation and Technology in Computer Science Education</v>
      </c>
      <c r="B10443" s="8" t="str">
        <f>"9781581134995"</f>
        <v>9781581134995</v>
      </c>
      <c r="C10443" s="8" t="s">
        <v>21</v>
      </c>
    </row>
    <row r="10444" spans="1:3" x14ac:dyDescent="0.25">
      <c r="A10444" s="8" t="str">
        <f>"ITiCSE 2003 - Proceedings of the 8th Annual SIGCSE Conference on Innovation and Technology in Computer Science Education"</f>
        <v>ITiCSE 2003 - Proceedings of the 8th Annual SIGCSE Conference on Innovation and Technology in Computer Science Education</v>
      </c>
      <c r="B10444" s="8" t="str">
        <f>"9781581136722"</f>
        <v>9781581136722</v>
      </c>
      <c r="C10444" s="8" t="s">
        <v>21</v>
      </c>
    </row>
    <row r="10445" spans="1:3" x14ac:dyDescent="0.25">
      <c r="A10445" s="8" t="str">
        <f>"ITiCSE 2007: 12th Annual Conference on Innovation and Technology in Computer Science Education - Inclusive Education in Computer Science"</f>
        <v>ITiCSE 2007: 12th Annual Conference on Innovation and Technology in Computer Science Education - Inclusive Education in Computer Science</v>
      </c>
      <c r="B10445" s="8" t="str">
        <f>"9781595936103"</f>
        <v>9781595936103</v>
      </c>
      <c r="C10445" s="8" t="s">
        <v>21</v>
      </c>
    </row>
    <row r="10446" spans="1:3" x14ac:dyDescent="0.25">
      <c r="A10446" s="8" t="str">
        <f>"ITiCSE06 - Proceedings of the 11th Annual SIGCSE Conference on Innovation and Technology in Computer Science Education"</f>
        <v>ITiCSE06 - Proceedings of the 11th Annual SIGCSE Conference on Innovation and Technology in Computer Science Education</v>
      </c>
      <c r="B10446" s="8" t="str">
        <f>"-"</f>
        <v>-</v>
      </c>
      <c r="C10446" s="8" t="s">
        <v>21</v>
      </c>
    </row>
    <row r="10447" spans="1:3" x14ac:dyDescent="0.25">
      <c r="A10447" s="8" t="str">
        <f>"ITiCSE'10 - Proceedings of the 2010 ACM SIGCSE Annual Conference on Innovation and Technology in Computer Science Education"</f>
        <v>ITiCSE'10 - Proceedings of the 2010 ACM SIGCSE Annual Conference on Innovation and Technology in Computer Science Education</v>
      </c>
      <c r="B10447" s="8" t="str">
        <f>"9781605588209"</f>
        <v>9781605588209</v>
      </c>
      <c r="C10447" s="8" t="s">
        <v>21</v>
      </c>
    </row>
    <row r="10448" spans="1:3" x14ac:dyDescent="0.25">
      <c r="A10448" s="8" t="str">
        <f>"ITiCSE'11 - Proceedings of the 16th Annual Conference on Innovation and Technology in Computer Science"</f>
        <v>ITiCSE'11 - Proceedings of the 16th Annual Conference on Innovation and Technology in Computer Science</v>
      </c>
      <c r="B10448" s="8" t="str">
        <f>"9781450308878"</f>
        <v>9781450308878</v>
      </c>
      <c r="C10448" s="8" t="s">
        <v>21</v>
      </c>
    </row>
    <row r="10449" spans="1:3" x14ac:dyDescent="0.25">
      <c r="A10449" s="8" t="str">
        <f>"ITiCSE-WGR 2013 - Proceedings of the ACM Conference on Innovation and Technology in Computer Science Education"</f>
        <v>ITiCSE-WGR 2013 - Proceedings of the ACM Conference on Innovation and Technology in Computer Science Education</v>
      </c>
      <c r="B10449" s="8" t="str">
        <f>"9781450326650"</f>
        <v>9781450326650</v>
      </c>
      <c r="C10449" s="8" t="s">
        <v>21</v>
      </c>
    </row>
    <row r="10450" spans="1:3" x14ac:dyDescent="0.25">
      <c r="A10450" s="8" t="str">
        <f>"ITiCSE-WGR 2014 - Working Group Reports of the 2014 Innovation and Technology in Computer Science Education Conference"</f>
        <v>ITiCSE-WGR 2014 - Working Group Reports of the 2014 Innovation and Technology in Computer Science Education Conference</v>
      </c>
      <c r="B10450" s="8" t="str">
        <f>"9781450334068"</f>
        <v>9781450334068</v>
      </c>
      <c r="C10450" s="8" t="s">
        <v>1235</v>
      </c>
    </row>
    <row r="10451" spans="1:3" x14ac:dyDescent="0.25">
      <c r="A10451" s="8" t="str">
        <f>"ITME 2011 - Proceedings: 2011 IEEE International Symposium on IT in Medicine and Education"</f>
        <v>ITME 2011 - Proceedings: 2011 IEEE International Symposium on IT in Medicine and Education</v>
      </c>
      <c r="B10451" s="8" t="str">
        <f>"9781612847023"</f>
        <v>9781612847023</v>
      </c>
      <c r="C10451" s="8" t="s">
        <v>9</v>
      </c>
    </row>
    <row r="10452" spans="1:3" x14ac:dyDescent="0.25">
      <c r="A10452" s="8" t="str">
        <f>"ITME2009 - Proceedings 2009 IEEE International Symposium on IT in Medicine and Education"</f>
        <v>ITME2009 - Proceedings 2009 IEEE International Symposium on IT in Medicine and Education</v>
      </c>
      <c r="B10452" s="8" t="str">
        <f>"9781424439294"</f>
        <v>9781424439294</v>
      </c>
      <c r="C10452" s="8" t="s">
        <v>9</v>
      </c>
    </row>
    <row r="10453" spans="1:3" x14ac:dyDescent="0.25">
      <c r="A10453" s="8" t="str">
        <f>"ITNG 2009 - 6th International Conference on Information Technology: New Generations"</f>
        <v>ITNG 2009 - 6th International Conference on Information Technology: New Generations</v>
      </c>
      <c r="B10453" s="8" t="str">
        <f>"9780769535968"</f>
        <v>9780769535968</v>
      </c>
      <c r="C10453" s="8" t="s">
        <v>9</v>
      </c>
    </row>
    <row r="10454" spans="1:3" x14ac:dyDescent="0.25">
      <c r="A10454" s="8" t="str">
        <f>"ITNG2010 - 7th International Conference on Information Technology: New Generations"</f>
        <v>ITNG2010 - 7th International Conference on Information Technology: New Generations</v>
      </c>
      <c r="B10454" s="8" t="str">
        <f>"9780769539843"</f>
        <v>9780769539843</v>
      </c>
      <c r="C10454" s="8" t="s">
        <v>9</v>
      </c>
    </row>
    <row r="10455" spans="1:3" x14ac:dyDescent="0.25">
      <c r="A10455" s="8" t="str">
        <f>"ITRE 2004 - 2nd International Conference on Information Technology: Research and Education - Proceedings"</f>
        <v>ITRE 2004 - 2nd International Conference on Information Technology: Research and Education - Proceedings</v>
      </c>
      <c r="B10455" s="8" t="str">
        <f>"9780780386259"</f>
        <v>9780780386259</v>
      </c>
      <c r="C10455" s="8" t="s">
        <v>9</v>
      </c>
    </row>
    <row r="10456" spans="1:3" x14ac:dyDescent="0.25">
      <c r="A10456" s="8" t="str">
        <f>"ITRE 2005 - 3rd International Conference on Information Technology: Research and Education - Proceedings"</f>
        <v>ITRE 2005 - 3rd International Conference on Information Technology: Research and Education - Proceedings</v>
      </c>
      <c r="B10456" s="8" t="str">
        <f>"-"</f>
        <v>-</v>
      </c>
      <c r="C10456" s="8" t="s">
        <v>9</v>
      </c>
    </row>
    <row r="10457" spans="1:3" x14ac:dyDescent="0.25">
      <c r="A10457" s="8" t="str">
        <f>"ITRE 2006 - 4th International Conference on Information Technology: Research and Education, Proceedings"</f>
        <v>ITRE 2006 - 4th International Conference on Information Technology: Research and Education, Proceedings</v>
      </c>
      <c r="B10457" s="8" t="str">
        <f>"9781424408597"</f>
        <v>9781424408597</v>
      </c>
      <c r="C10457" s="8" t="s">
        <v>9</v>
      </c>
    </row>
    <row r="10458" spans="1:3" x14ac:dyDescent="0.25">
      <c r="A10458" s="8" t="str">
        <f>"ITS 2009 - The ACM International Conference on Interactive Tabletops and Surfaces, Proceedings"</f>
        <v>ITS 2009 - The ACM International Conference on Interactive Tabletops and Surfaces, Proceedings</v>
      </c>
      <c r="B10458" s="8" t="str">
        <f>"9781605587332"</f>
        <v>9781605587332</v>
      </c>
      <c r="C10458" s="8" t="s">
        <v>21</v>
      </c>
    </row>
    <row r="10459" spans="1:3" x14ac:dyDescent="0.25">
      <c r="A10459" s="8" t="str">
        <f>"ITS 2012 - Proceedings of the ACM Conference on Interactive Tabletops and Surfaces"</f>
        <v>ITS 2012 - Proceedings of the ACM Conference on Interactive Tabletops and Surfaces</v>
      </c>
      <c r="B10459" s="8" t="str">
        <f>"9781450312097"</f>
        <v>9781450312097</v>
      </c>
      <c r="C10459" s="8" t="s">
        <v>21</v>
      </c>
    </row>
    <row r="10460" spans="1:3" x14ac:dyDescent="0.25">
      <c r="A10460" s="8" t="str">
        <f>"ITS 2013 - Proceedings of the 2013 ACM International Conference on Interactive Tabletops and Surfaces"</f>
        <v>ITS 2013 - Proceedings of the 2013 ACM International Conference on Interactive Tabletops and Surfaces</v>
      </c>
      <c r="B10460" s="8" t="str">
        <f>"9781450322713"</f>
        <v>9781450322713</v>
      </c>
      <c r="C10460" s="8" t="s">
        <v>21</v>
      </c>
    </row>
    <row r="10461" spans="1:3" x14ac:dyDescent="0.25">
      <c r="A10461" s="8" t="str">
        <f>"ITS 2014 - Proceedings of the 2014 ACM International Conference on Interactive Tabletops and Surfaces"</f>
        <v>ITS 2014 - Proceedings of the 2014 ACM International Conference on Interactive Tabletops and Surfaces</v>
      </c>
      <c r="B10461" s="8" t="str">
        <f>"9781450325875"</f>
        <v>9781450325875</v>
      </c>
      <c r="C10461" s="8" t="s">
        <v>1235</v>
      </c>
    </row>
    <row r="10462" spans="1:3" x14ac:dyDescent="0.25">
      <c r="A10462" s="8" t="str">
        <f>"ITST 2006 - 2006 6th International Conference on ITS Telecommunications, Proceedings"</f>
        <v>ITST 2006 - 2006 6th International Conference on ITS Telecommunications, Proceedings</v>
      </c>
      <c r="B10462" s="8" t="str">
        <f>"9780780395862"</f>
        <v>9780780395862</v>
      </c>
      <c r="C10462" s="8" t="s">
        <v>105</v>
      </c>
    </row>
    <row r="10463" spans="1:3" x14ac:dyDescent="0.25">
      <c r="A10463" s="8" t="str">
        <f>"ITST 2007 - 7th International Conference on Intelligent Transport Systems Telecommunications, Proceedings"</f>
        <v>ITST 2007 - 7th International Conference on Intelligent Transport Systems Telecommunications, Proceedings</v>
      </c>
      <c r="B10463" s="8" t="str">
        <f>"9781424411788"</f>
        <v>9781424411788</v>
      </c>
      <c r="C10463" s="8" t="s">
        <v>9</v>
      </c>
    </row>
    <row r="10464" spans="1:3" x14ac:dyDescent="0.25">
      <c r="A10464" s="8" t="str">
        <f>"ITTC 2008 - 25th International Towing Tank Conference, Proceedings"</f>
        <v>ITTC 2008 - 25th International Towing Tank Conference, Proceedings</v>
      </c>
      <c r="B10464" s="8" t="str">
        <f>"-"</f>
        <v>-</v>
      </c>
      <c r="C10464" s="8" t="s">
        <v>1958</v>
      </c>
    </row>
    <row r="10465" spans="1:3" x14ac:dyDescent="0.25">
      <c r="A10465" s="8" t="str">
        <f>"IVAPP 2015 - 6th International Conference on Information Visualization Theory and Applications; VISIGRAPP, Proceedings"</f>
        <v>IVAPP 2015 - 6th International Conference on Information Visualization Theory and Applications; VISIGRAPP, Proceedings</v>
      </c>
      <c r="B10465" s="8" t="str">
        <f>"9789897580888"</f>
        <v>9789897580888</v>
      </c>
      <c r="C10465" s="8" t="s">
        <v>1197</v>
      </c>
    </row>
    <row r="10466" spans="1:3" x14ac:dyDescent="0.25">
      <c r="A10466" s="8" t="str">
        <f>"IVESC2004 - 5th International Vacuum Electron Sources Conference Proceedings"</f>
        <v>IVESC2004 - 5th International Vacuum Electron Sources Conference Proceedings</v>
      </c>
      <c r="B10466" s="8" t="str">
        <f>"9780780384378"</f>
        <v>9780780384378</v>
      </c>
      <c r="C10466" s="8" t="s">
        <v>105</v>
      </c>
    </row>
    <row r="10467" spans="1:3" x14ac:dyDescent="0.25">
      <c r="A10467" s="8" t="str">
        <f>"IVNC and IFES 2006 - Technical Digest - l9th International Vacuum Nanoelectronics Conference and 50th International Field Emission Symposium"</f>
        <v>IVNC and IFES 2006 - Technical Digest - l9th International Vacuum Nanoelectronics Conference and 50th International Field Emission Symposium</v>
      </c>
      <c r="B10467" s="8" t="str">
        <f>"9781424404018"</f>
        <v>9781424404018</v>
      </c>
      <c r="C10467" s="8" t="s">
        <v>9</v>
      </c>
    </row>
    <row r="10468" spans="1:3" x14ac:dyDescent="0.25">
      <c r="A10468" s="8" t="str">
        <f>"IWACIII 2009 - International Workshop on Advanced Computational Intelligence and Intelligent Informatics"</f>
        <v>IWACIII 2009 - International Workshop on Advanced Computational Intelligence and Intelligent Informatics</v>
      </c>
      <c r="B10468" s="8" t="str">
        <f>"-"</f>
        <v>-</v>
      </c>
      <c r="C10468" s="8" t="s">
        <v>565</v>
      </c>
    </row>
    <row r="10469" spans="1:3" x14ac:dyDescent="0.25">
      <c r="A10469" s="8" t="str">
        <f>"IWACIII 2011 - International Workshop on Advanced Computational Intelligence and Intelligent Informatics, Proceedings"</f>
        <v>IWACIII 2011 - International Workshop on Advanced Computational Intelligence and Intelligent Informatics, Proceedings</v>
      </c>
      <c r="B10469" s="8" t="str">
        <f>"-"</f>
        <v>-</v>
      </c>
      <c r="C10469" s="8" t="s">
        <v>1959</v>
      </c>
    </row>
    <row r="10470" spans="1:3" x14ac:dyDescent="0.25">
      <c r="A10470" s="8" t="str">
        <f>"IWACIII 2013 - 3rd International Workshop on Advanced Computational Intelligence and Intelligent Informatics"</f>
        <v>IWACIII 2013 - 3rd International Workshop on Advanced Computational Intelligence and Intelligent Informatics</v>
      </c>
      <c r="B10470" s="8" t="str">
        <f>"-"</f>
        <v>-</v>
      </c>
      <c r="C10470" s="8" t="s">
        <v>1959</v>
      </c>
    </row>
    <row r="10471" spans="1:3" x14ac:dyDescent="0.25">
      <c r="A10471" s="8" t="str">
        <f>"IWAGPR 2013 - Proceedings of the 2013 7th International Workshop on Advanced Ground Penetrating Radar"</f>
        <v>IWAGPR 2013 - Proceedings of the 2013 7th International Workshop on Advanced Ground Penetrating Radar</v>
      </c>
      <c r="B10471" s="8" t="str">
        <f>"9781479909377"</f>
        <v>9781479909377</v>
      </c>
      <c r="C10471" s="8" t="s">
        <v>9</v>
      </c>
    </row>
    <row r="10472" spans="1:3" x14ac:dyDescent="0.25">
      <c r="A10472" s="8" t="str">
        <f>"IWCIT 2015 - Iran Workshop on Communication and Information Theory"</f>
        <v>IWCIT 2015 - Iran Workshop on Communication and Information Theory</v>
      </c>
      <c r="B10472" s="8" t="str">
        <f>"9781479982356"</f>
        <v>9781479982356</v>
      </c>
      <c r="C10472" s="8" t="s">
        <v>105</v>
      </c>
    </row>
    <row r="10473" spans="1:3" x14ac:dyDescent="0.25">
      <c r="A10473" s="8" t="str">
        <f>"IWCMC 2006 - Proceedings of the 2006 International Wireless Communications and Mobile Computing Conference"</f>
        <v>IWCMC 2006 - Proceedings of the 2006 International Wireless Communications and Mobile Computing Conference</v>
      </c>
      <c r="B10473" s="8" t="str">
        <f>"-"</f>
        <v>-</v>
      </c>
      <c r="C10473" s="8" t="s">
        <v>21</v>
      </c>
    </row>
    <row r="10474" spans="1:3" x14ac:dyDescent="0.25">
      <c r="A10474" s="8" t="str">
        <f>"IWCMC 2006 - Proceedings of the 2006 International Wireless Communications and Mobile Computing Conference"</f>
        <v>IWCMC 2006 - Proceedings of the 2006 International Wireless Communications and Mobile Computing Conference</v>
      </c>
      <c r="B10474" s="8" t="str">
        <f>"9781595933065"</f>
        <v>9781595933065</v>
      </c>
      <c r="C10474" s="8" t="s">
        <v>21</v>
      </c>
    </row>
    <row r="10475" spans="1:3" x14ac:dyDescent="0.25">
      <c r="A10475" s="8" t="str">
        <f>"IWCMC 2007: Proceedings of the 2007 International Wireless Communications and Mobile Computing Conference"</f>
        <v>IWCMC 2007: Proceedings of the 2007 International Wireless Communications and Mobile Computing Conference</v>
      </c>
      <c r="B10475" s="8" t="str">
        <f>"9781595936950"</f>
        <v>9781595936950</v>
      </c>
      <c r="C10475" s="8" t="s">
        <v>21</v>
      </c>
    </row>
    <row r="10476" spans="1:3" x14ac:dyDescent="0.25">
      <c r="A10476" s="8" t="str">
        <f>"IWCMC 2008 - International Wireless Communications and Mobile Computing Conference"</f>
        <v>IWCMC 2008 - International Wireless Communications and Mobile Computing Conference</v>
      </c>
      <c r="B10476" s="8" t="str">
        <f>"9781424422029"</f>
        <v>9781424422029</v>
      </c>
      <c r="C10476" s="8" t="s">
        <v>9</v>
      </c>
    </row>
    <row r="10477" spans="1:3" x14ac:dyDescent="0.25">
      <c r="A10477" s="8" t="str">
        <f>"IWCMC 2010 - Proceedings of the 6th International Wireless Communications and Mobile Computing Conference"</f>
        <v>IWCMC 2010 - Proceedings of the 6th International Wireless Communications and Mobile Computing Conference</v>
      </c>
      <c r="B10477" s="8" t="str">
        <f>"9781450300629"</f>
        <v>9781450300629</v>
      </c>
      <c r="C10477" s="8" t="s">
        <v>21</v>
      </c>
    </row>
    <row r="10478" spans="1:3" x14ac:dyDescent="0.25">
      <c r="A10478" s="8" t="str">
        <f>"IWCMC 2011 - 7th International Wireless Communications and Mobile Computing Conference"</f>
        <v>IWCMC 2011 - 7th International Wireless Communications and Mobile Computing Conference</v>
      </c>
      <c r="B10478" s="8" t="str">
        <f>"9781424495399"</f>
        <v>9781424495399</v>
      </c>
      <c r="C10478" s="8" t="s">
        <v>9</v>
      </c>
    </row>
    <row r="10479" spans="1:3" x14ac:dyDescent="0.25">
      <c r="A10479" s="8" t="str">
        <f>"IWCMC 2012 - 8th International Wireless Communications and Mobile Computing Conference"</f>
        <v>IWCMC 2012 - 8th International Wireless Communications and Mobile Computing Conference</v>
      </c>
      <c r="B10479" s="8" t="str">
        <f>"9781457713781"</f>
        <v>9781457713781</v>
      </c>
      <c r="C10479" s="8" t="s">
        <v>9</v>
      </c>
    </row>
    <row r="10480" spans="1:3" x14ac:dyDescent="0.25">
      <c r="A10480" s="8" t="str">
        <f>"IWCMC 2014 - 10th International Wireless Communications and Mobile Computing Conference"</f>
        <v>IWCMC 2014 - 10th International Wireless Communications and Mobile Computing Conference</v>
      </c>
      <c r="B10480" s="8" t="str">
        <f>"9781479909599"</f>
        <v>9781479909599</v>
      </c>
      <c r="C10480" s="8" t="s">
        <v>105</v>
      </c>
    </row>
    <row r="10481" spans="1:3" x14ac:dyDescent="0.25">
      <c r="A10481" s="8" t="str">
        <f>"IWCMC 2015 - 11th International Wireless Communications and Mobile Computing Conference"</f>
        <v>IWCMC 2015 - 11th International Wireless Communications and Mobile Computing Conference</v>
      </c>
      <c r="B10481" s="8" t="str">
        <f>"9781479953448"</f>
        <v>9781479953448</v>
      </c>
      <c r="C10481" s="8" t="s">
        <v>105</v>
      </c>
    </row>
    <row r="10482" spans="1:3" x14ac:dyDescent="0.25">
      <c r="A10482" s="8" t="str">
        <f>"IWCSC 2010 - Interdisciplinary Workshop on Communication for Sustainable Communities"</f>
        <v>IWCSC 2010 - Interdisciplinary Workshop on Communication for Sustainable Communities</v>
      </c>
      <c r="B10482" s="8" t="str">
        <f>"9781450304719"</f>
        <v>9781450304719</v>
      </c>
      <c r="C10482" s="8" t="s">
        <v>21</v>
      </c>
    </row>
    <row r="10483" spans="1:3" x14ac:dyDescent="0.25">
      <c r="A10483" s="8" t="str">
        <f>"IWCTS 2012 - 5th ACM SIGSPATIAL International Workshop on Computational Transportation Science"</f>
        <v>IWCTS 2012 - 5th ACM SIGSPATIAL International Workshop on Computational Transportation Science</v>
      </c>
      <c r="B10483" s="8" t="str">
        <f>"9781450316934"</f>
        <v>9781450316934</v>
      </c>
      <c r="C10483" s="8" t="s">
        <v>21</v>
      </c>
    </row>
    <row r="10484" spans="1:3" x14ac:dyDescent="0.25">
      <c r="A10484" s="8" t="str">
        <f>"IWCTS 2013 - 6th ACM SIGSPATIAL International Workshop on Computational Transportation Science"</f>
        <v>IWCTS 2013 - 6th ACM SIGSPATIAL International Workshop on Computational Transportation Science</v>
      </c>
      <c r="B10484" s="8" t="str">
        <f>"9781450325271"</f>
        <v>9781450325271</v>
      </c>
      <c r="C10484" s="8" t="s">
        <v>21</v>
      </c>
    </row>
    <row r="10485" spans="1:3" x14ac:dyDescent="0.25">
      <c r="A10485" s="8" t="str">
        <f>"IWCTS 2014 - Proceedings of the 7th ACM SIGSPATIAL International Workshop on Computational Transportation Science"</f>
        <v>IWCTS 2014 - Proceedings of the 7th ACM SIGSPATIAL International Workshop on Computational Transportation Science</v>
      </c>
      <c r="B10485" s="8" t="str">
        <f>"9781450331388"</f>
        <v>9781450331388</v>
      </c>
      <c r="C10485" s="8" t="s">
        <v>1235</v>
      </c>
    </row>
    <row r="10486" spans="1:3" x14ac:dyDescent="0.25">
      <c r="A10486" s="8" t="str">
        <f>"iWEM2011 - IEEE International Workshop on Electromagnetics: Applications and Student Innovation Competition"</f>
        <v>iWEM2011 - IEEE International Workshop on Electromagnetics: Applications and Student Innovation Competition</v>
      </c>
      <c r="B10486" s="8" t="str">
        <f>"9781612844626"</f>
        <v>9781612844626</v>
      </c>
      <c r="C10486" s="8" t="s">
        <v>9</v>
      </c>
    </row>
    <row r="10487" spans="1:3" x14ac:dyDescent="0.25">
      <c r="A10487" s="8" t="str">
        <f>"IWIPP 2000 - International Workshop on Integrated Power Packaging"</f>
        <v>IWIPP 2000 - International Workshop on Integrated Power Packaging</v>
      </c>
      <c r="B10487" s="8" t="str">
        <f>"9780780364370"</f>
        <v>9780780364370</v>
      </c>
      <c r="C10487" s="8" t="s">
        <v>105</v>
      </c>
    </row>
    <row r="10488" spans="1:3" x14ac:dyDescent="0.25">
      <c r="A10488" s="8" t="str">
        <f>"IWJT-2008 - Extended Abstracts 2008 International Workshop on Junction Technology"</f>
        <v>IWJT-2008 - Extended Abstracts 2008 International Workshop on Junction Technology</v>
      </c>
      <c r="B10488" s="8" t="str">
        <f>"9781424417384"</f>
        <v>9781424417384</v>
      </c>
      <c r="C10488" s="8" t="s">
        <v>9</v>
      </c>
    </row>
    <row r="10489" spans="1:3" x14ac:dyDescent="0.25">
      <c r="A10489" s="8" t="str">
        <f>"IWJT-2010: Extended Abstracts - 2010 International Workshop on Junction Technology"</f>
        <v>IWJT-2010: Extended Abstracts - 2010 International Workshop on Junction Technology</v>
      </c>
      <c r="B10489" s="8" t="str">
        <f>"9781424458691"</f>
        <v>9781424458691</v>
      </c>
      <c r="C10489" s="8" t="s">
        <v>9</v>
      </c>
    </row>
    <row r="10490" spans="1:3" x14ac:dyDescent="0.25">
      <c r="A10490" s="8" t="str">
        <f>"IWMST 2008: The International Workshop on Modern Science and Technology 2008"</f>
        <v>IWMST 2008: The International Workshop on Modern Science and Technology 2008</v>
      </c>
      <c r="B10490" s="8" t="str">
        <f>"-"</f>
        <v>-</v>
      </c>
      <c r="C10490" s="8" t="s">
        <v>1960</v>
      </c>
    </row>
    <row r="10491" spans="1:3" x14ac:dyDescent="0.25">
      <c r="A10491" s="8" t="str">
        <f>"IWOBI 2015 - 2015 International Work Conference on Bio-Inspired Intelligence: Intelligent Systems for Biodiversity Conservation, Proceedings"</f>
        <v>IWOBI 2015 - 2015 International Work Conference on Bio-Inspired Intelligence: Intelligent Systems for Biodiversity Conservation, Proceedings</v>
      </c>
      <c r="B10491" s="8" t="str">
        <f>"9781479961740"</f>
        <v>9781479961740</v>
      </c>
      <c r="C10491" s="8" t="s">
        <v>105</v>
      </c>
    </row>
    <row r="10492" spans="1:3" x14ac:dyDescent="0.25">
      <c r="A10492" s="8" t="str">
        <f>"IWOCE'09 - Proceedings of the 1st International Workshop on Open Component Ecosystems"</f>
        <v>IWOCE'09 - Proceedings of the 1st International Workshop on Open Component Ecosystems</v>
      </c>
      <c r="B10492" s="8" t="str">
        <f>"9781605586779"</f>
        <v>9781605586779</v>
      </c>
      <c r="C10492" s="8" t="s">
        <v>21</v>
      </c>
    </row>
    <row r="10493" spans="1:3" x14ac:dyDescent="0.25">
      <c r="A10493" s="8" t="str">
        <f>"IWPSE-EVOL'11 - Proceedings of the 12th International Workshop on Principles on Software Evolution"</f>
        <v>IWPSE-EVOL'11 - Proceedings of the 12th International Workshop on Principles on Software Evolution</v>
      </c>
      <c r="B10493" s="8" t="str">
        <f>"9781450308489"</f>
        <v>9781450308489</v>
      </c>
      <c r="C10493" s="8" t="s">
        <v>21</v>
      </c>
    </row>
    <row r="10494" spans="1:3" x14ac:dyDescent="0.25">
      <c r="A10494" s="8" t="str">
        <f>"IWSDA 07 - 3rd International Workshop on Signal Design and Its Applications in Communications"</f>
        <v>IWSDA 07 - 3rd International Workshop on Signal Design and Its Applications in Communications</v>
      </c>
      <c r="B10494" s="8" t="str">
        <f>"9781424410736"</f>
        <v>9781424410736</v>
      </c>
      <c r="C10494" s="8" t="s">
        <v>9</v>
      </c>
    </row>
    <row r="10495" spans="1:3" x14ac:dyDescent="0.25">
      <c r="A10495" s="8" t="str">
        <f>"IW-SOSWE'07: 2nd International Workshop on Service Oriented Software Engineering - In conjunction with the 6th ESEC/FSE Joint Meeting"</f>
        <v>IW-SOSWE'07: 2nd International Workshop on Service Oriented Software Engineering - In conjunction with the 6th ESEC/FSE Joint Meeting</v>
      </c>
      <c r="B10495" s="8" t="str">
        <f>"9781595937230"</f>
        <v>9781595937230</v>
      </c>
      <c r="C10495" s="8" t="s">
        <v>21</v>
      </c>
    </row>
    <row r="10496" spans="1:3" x14ac:dyDescent="0.25">
      <c r="A10496" s="8" t="str">
        <f>"IWSPA 2015 - Proceedings of the 2015 ACM International Workshop on Security and Privacy Analytics, Co-located with CODASPY 2015"</f>
        <v>IWSPA 2015 - Proceedings of the 2015 ACM International Workshop on Security and Privacy Analytics, Co-located with CODASPY 2015</v>
      </c>
      <c r="B10496" s="8" t="str">
        <f>"9781450333412"</f>
        <v>9781450333412</v>
      </c>
      <c r="C10496" s="8" t="s">
        <v>1235</v>
      </c>
    </row>
    <row r="10497" spans="1:3" x14ac:dyDescent="0.25">
      <c r="A10497" s="8" t="str">
        <f>"IWSSC'09 - 2009 International Workshop on Satellite and Space Communications - Conference Proceedings"</f>
        <v>IWSSC'09 - 2009 International Workshop on Satellite and Space Communications - Conference Proceedings</v>
      </c>
      <c r="B10497" s="8" t="str">
        <f>"9781424443840"</f>
        <v>9781424443840</v>
      </c>
      <c r="C10497" s="8" t="s">
        <v>9</v>
      </c>
    </row>
    <row r="10498" spans="1:3" x14ac:dyDescent="0.25">
      <c r="A10498" s="8" t="str">
        <f>"IWSSIP 2005 - Proceedings of 12th International Workshop on Systems, Signals and Image Processing"</f>
        <v>IWSSIP 2005 - Proceedings of 12th International Workshop on Systems, Signals and Image Processing</v>
      </c>
      <c r="B10498" s="8" t="str">
        <f>"9780907776208"</f>
        <v>9780907776208</v>
      </c>
      <c r="C10498" s="8" t="s">
        <v>396</v>
      </c>
    </row>
    <row r="10499" spans="1:3" x14ac:dyDescent="0.25">
      <c r="A10499" s="8" t="str">
        <f>"IX Jornadas Iberoamericanas de Ingenieria de Software e Ingenieria del Conocimiento 2012, JIISIC 2012"</f>
        <v>IX Jornadas Iberoamericanas de Ingenieria de Software e Ingenieria del Conocimiento 2012, JIISIC 2012</v>
      </c>
      <c r="B10499" s="8" t="str">
        <f>"9781627481540"</f>
        <v>9781627481540</v>
      </c>
      <c r="C10499" s="8" t="s">
        <v>1961</v>
      </c>
    </row>
    <row r="10500" spans="1:3" x14ac:dyDescent="0.25">
      <c r="A10500" s="8" t="str">
        <f>"IYCE 2013 - 4th International Youth Conference on Energy"</f>
        <v>IYCE 2013 - 4th International Youth Conference on Energy</v>
      </c>
      <c r="B10500" s="8" t="str">
        <f>"9781467355568"</f>
        <v>9781467355568</v>
      </c>
      <c r="C10500" s="8" t="s">
        <v>9</v>
      </c>
    </row>
    <row r="10501" spans="1:3" x14ac:dyDescent="0.25">
      <c r="A10501" s="8" t="str">
        <f>"JAC 2008 - Journees Automates Cellulaires, Proceedings"</f>
        <v>JAC 2008 - Journees Automates Cellulaires, Proceedings</v>
      </c>
      <c r="B10501" s="8" t="str">
        <f>"9785940573777"</f>
        <v>9785940573777</v>
      </c>
      <c r="C10501" s="8" t="s">
        <v>1962</v>
      </c>
    </row>
    <row r="10502" spans="1:3" x14ac:dyDescent="0.25">
      <c r="A10502" s="8" t="str">
        <f>"JCSSE 2012 - 9th International Joint Conference on Computer Science and Software Engineering"</f>
        <v>JCSSE 2012 - 9th International Joint Conference on Computer Science and Software Engineering</v>
      </c>
      <c r="B10502" s="8" t="str">
        <f>"9781467319218"</f>
        <v>9781467319218</v>
      </c>
      <c r="C10502" s="8" t="s">
        <v>9</v>
      </c>
    </row>
    <row r="10503" spans="1:3" x14ac:dyDescent="0.25">
      <c r="A10503" s="8" t="str">
        <f>"JEEP 2009 - 35th Conference on Phase Equilibria"</f>
        <v>JEEP 2009 - 35th Conference on Phase Equilibria</v>
      </c>
      <c r="B10503" s="8" t="str">
        <f t="shared" ref="B10503:B10509" si="23">"-"</f>
        <v>-</v>
      </c>
      <c r="C10503" s="8" t="s">
        <v>161</v>
      </c>
    </row>
    <row r="10504" spans="1:3" x14ac:dyDescent="0.25">
      <c r="A10504" s="8" t="str">
        <f>"JEEP 2011 - 37th Conference on Phase Equilibria"</f>
        <v>JEEP 2011 - 37th Conference on Phase Equilibria</v>
      </c>
      <c r="B10504" s="8" t="str">
        <f t="shared" si="23"/>
        <v>-</v>
      </c>
      <c r="C10504" s="8" t="s">
        <v>161</v>
      </c>
    </row>
    <row r="10505" spans="1:3" x14ac:dyDescent="0.25">
      <c r="A10505" s="8" t="str">
        <f>"JFPC 2005: Premieres Journees Francophones de Programmation par Contraintes a l'initiative de l'Association Francaise de Programmation par Contraintes"</f>
        <v>JFPC 2005: Premieres Journees Francophones de Programmation par Contraintes a l'initiative de l'Association Francaise de Programmation par Contraintes</v>
      </c>
      <c r="B10505" s="8" t="str">
        <f t="shared" si="23"/>
        <v>-</v>
      </c>
      <c r="C10505" s="8" t="s">
        <v>1627</v>
      </c>
    </row>
    <row r="10506" spans="1:3" x14ac:dyDescent="0.25">
      <c r="A10506" s="8" t="str">
        <f>"JFPC 2007 - Troisiemes Journees Francophones de Programmation par Contraintes, organisees conjointement avec la conference CSCLP 2007"</f>
        <v>JFPC 2007 - Troisiemes Journees Francophones de Programmation par Contraintes, organisees conjointement avec la conference CSCLP 2007</v>
      </c>
      <c r="B10506" s="8" t="str">
        <f t="shared" si="23"/>
        <v>-</v>
      </c>
      <c r="C10506" s="8" t="s">
        <v>394</v>
      </c>
    </row>
    <row r="10507" spans="1:3" x14ac:dyDescent="0.25">
      <c r="A10507" s="8" t="str">
        <f>"JFPC 2008 - Actes des quatriemes Journees Francophones de Programmation par Contraintes"</f>
        <v>JFPC 2008 - Actes des quatriemes Journees Francophones de Programmation par Contraintes</v>
      </c>
      <c r="B10507" s="8" t="str">
        <f t="shared" si="23"/>
        <v>-</v>
      </c>
      <c r="C10507" s="8" t="s">
        <v>1627</v>
      </c>
    </row>
    <row r="10508" spans="1:3" x14ac:dyDescent="0.25">
      <c r="A10508" s="8" t="str">
        <f>"JFPC 2009 - Actes des Cinquiemes Journees Francophones de Programmation par Contraintes"</f>
        <v>JFPC 2009 - Actes des Cinquiemes Journees Francophones de Programmation par Contraintes</v>
      </c>
      <c r="B10508" s="8" t="str">
        <f t="shared" si="23"/>
        <v>-</v>
      </c>
      <c r="C10508" s="8" t="s">
        <v>1627</v>
      </c>
    </row>
    <row r="10509" spans="1:3" x14ac:dyDescent="0.25">
      <c r="A10509" s="8" t="str">
        <f>"JFPC 2013 - Neuviemes Journees Francophones de Programmation par Contraintes"</f>
        <v>JFPC 2013 - Neuviemes Journees Francophones de Programmation par Contraintes</v>
      </c>
      <c r="B10509" s="8" t="str">
        <f t="shared" si="23"/>
        <v>-</v>
      </c>
      <c r="C10509" s="8" t="s">
        <v>1963</v>
      </c>
    </row>
    <row r="10510" spans="1:3" x14ac:dyDescent="0.25">
      <c r="A10510" s="8" t="str">
        <f>"JICTEE 2014 - 4th Joint International Conference on Information and Communication Technology, Electronic and Electrical Engineering"</f>
        <v>JICTEE 2014 - 4th Joint International Conference on Information and Communication Technology, Electronic and Electrical Engineering</v>
      </c>
      <c r="B10510" s="8" t="str">
        <f>"9781479938551"</f>
        <v>9781479938551</v>
      </c>
      <c r="C10510" s="8" t="s">
        <v>9</v>
      </c>
    </row>
    <row r="10511" spans="1:3" x14ac:dyDescent="0.25">
      <c r="A10511" s="8" t="str">
        <f>"JISBD 2013 - XVIII Jornadas de Ingenieria del Software y Bases de Datos"</f>
        <v>JISBD 2013 - XVIII Jornadas de Ingenieria del Software y Bases de Datos</v>
      </c>
      <c r="B10511" s="8" t="str">
        <f>"9788469583104"</f>
        <v>9788469583104</v>
      </c>
      <c r="C10511" s="8" t="s">
        <v>1624</v>
      </c>
    </row>
    <row r="10512" spans="1:3" x14ac:dyDescent="0.25">
      <c r="A10512" s="8" t="str">
        <f>"John A. Roebling: A Bicentennial Celebration of His Birth 1806-2006"</f>
        <v>John A. Roebling: A Bicentennial Celebration of His Birth 1806-2006</v>
      </c>
      <c r="B10512" s="8" t="str">
        <f>"9780784408995"</f>
        <v>9780784408995</v>
      </c>
      <c r="C10512" s="8" t="s">
        <v>111</v>
      </c>
    </row>
    <row r="10513" spans="1:3" x14ac:dyDescent="0.25">
      <c r="A10513" s="8" t="str">
        <f>"John Stringer Symposium on High Temperature Corrosion"</f>
        <v>John Stringer Symposium on High Temperature Corrosion</v>
      </c>
      <c r="B10513" s="8" t="str">
        <f>"9780871707574"</f>
        <v>9780871707574</v>
      </c>
      <c r="C10513" s="8" t="s">
        <v>65</v>
      </c>
    </row>
    <row r="10514" spans="1:3" x14ac:dyDescent="0.25">
      <c r="A10514" s="8" t="str">
        <f>"Joining Languages, Cultures and Visions - CAADFutures 2009, Proceedings of the 13th International CAAD Futures Conference"</f>
        <v>Joining Languages, Cultures and Visions - CAADFutures 2009, Proceedings of the 13th International CAAD Futures Conference</v>
      </c>
      <c r="B10514" s="8" t="str">
        <f>"9782760621770"</f>
        <v>9782760621770</v>
      </c>
      <c r="C10514" s="8" t="s">
        <v>1964</v>
      </c>
    </row>
    <row r="10515" spans="1:3" x14ac:dyDescent="0.25">
      <c r="A10515" s="8" t="str">
        <f>"Joint 41st International Symposium on Robotics and 6th German Conference on Robotics 2010, ISR/ROBOTIK 2010"</f>
        <v>Joint 41st International Symposium on Robotics and 6th German Conference on Robotics 2010, ISR/ROBOTIK 2010</v>
      </c>
      <c r="B10515" s="8" t="str">
        <f>"9781617387197"</f>
        <v>9781617387197</v>
      </c>
      <c r="C10515" s="8" t="s">
        <v>1965</v>
      </c>
    </row>
    <row r="10516" spans="1:3" x14ac:dyDescent="0.25">
      <c r="A10516" s="8" t="str">
        <f>"Joint Conference and Exhibition on Customer Service and Information Management and Technology 2009"</f>
        <v>Joint Conference and Exhibition on Customer Service and Information Management and Technology 2009</v>
      </c>
      <c r="B10516" s="8" t="str">
        <f>"9781615671472"</f>
        <v>9781615671472</v>
      </c>
      <c r="C10516" s="8" t="s">
        <v>651</v>
      </c>
    </row>
    <row r="10517" spans="1:3" x14ac:dyDescent="0.25">
      <c r="A10517" s="8" t="str">
        <f>"Joint Conference and Exhibition on Customer Service and Information Management and Technology 2010, CS/IMTech 2010"</f>
        <v>Joint Conference and Exhibition on Customer Service and Information Management and Technology 2010, CS/IMTech 2010</v>
      </c>
      <c r="B10517" s="8" t="str">
        <f>"9781617386398"</f>
        <v>9781617386398</v>
      </c>
      <c r="C10517" s="8" t="s">
        <v>651</v>
      </c>
    </row>
    <row r="10518" spans="1:3" x14ac:dyDescent="0.25">
      <c r="A10518" s="8" t="str">
        <f>"Joint Conference and Exhibition on Customer Service and Information Management and Technology 2011, CS/IMTech 2011"</f>
        <v>Joint Conference and Exhibition on Customer Service and Information Management and Technology 2011, CS/IMTech 2011</v>
      </c>
      <c r="B10518" s="8" t="str">
        <f>"9781618390264"</f>
        <v>9781618390264</v>
      </c>
      <c r="C10518" s="8" t="s">
        <v>651</v>
      </c>
    </row>
    <row r="10519" spans="1:3" x14ac:dyDescent="0.25">
      <c r="A10519" s="8" t="str">
        <f>"Joint Conference of the 2009 Symposium on Piezoelectricity, Acoustic Waves, and Device Applications, SPAWDA 2009 and 2009 China Symposium on Frequency Control Technology"</f>
        <v>Joint Conference of the 2009 Symposium on Piezoelectricity, Acoustic Waves, and Device Applications, SPAWDA 2009 and 2009 China Symposium on Frequency Control Technology</v>
      </c>
      <c r="B10519" s="8" t="str">
        <f>"9781424449507"</f>
        <v>9781424449507</v>
      </c>
      <c r="C10519" s="8" t="s">
        <v>9</v>
      </c>
    </row>
    <row r="10520" spans="1:3" x14ac:dyDescent="0.25">
      <c r="A10520" s="8" t="str">
        <f>"Joint COnference on Languages, Compilers and Tools for Embedded Systems and Software and Compilers for Embedded Systems"</f>
        <v>Joint COnference on Languages, Compilers and Tools for Embedded Systems and Software and Compilers for Embedded Systems</v>
      </c>
      <c r="B10520" s="8" t="str">
        <f>"9781581135275"</f>
        <v>9781581135275</v>
      </c>
      <c r="C10520" s="8" t="s">
        <v>21</v>
      </c>
    </row>
    <row r="10521" spans="1:3" x14ac:dyDescent="0.25">
      <c r="A10521" s="8" t="str">
        <f>"Joint Conference on Water Resource Engineering and Water Resources Planning and Management 2000: Building Partnerships"</f>
        <v>Joint Conference on Water Resource Engineering and Water Resources Planning and Management 2000: Building Partnerships</v>
      </c>
      <c r="B10521" s="8" t="str">
        <f>"9780784405178"</f>
        <v>9780784405178</v>
      </c>
      <c r="C10521" s="8" t="s">
        <v>111</v>
      </c>
    </row>
    <row r="10522" spans="1:3" x14ac:dyDescent="0.25">
      <c r="A10522" s="8" t="str">
        <f>"Joint Conference: International Thermal Treatment Technologies (IT3) and Hazardous Waste Combustors (HWC)"</f>
        <v>Joint Conference: International Thermal Treatment Technologies (IT3) and Hazardous Waste Combustors (HWC)</v>
      </c>
      <c r="B10522" s="8" t="str">
        <f>"9781615671830"</f>
        <v>9781615671830</v>
      </c>
      <c r="C10522" s="8" t="s">
        <v>10</v>
      </c>
    </row>
    <row r="10523" spans="1:3" x14ac:dyDescent="0.25">
      <c r="A10523" s="8" t="str">
        <f>"Joint Conference: MFPT 2015 and ISA's 61st International Instrumentation Symposium - Technology Evolution: Sensors to Systems for Failure Prevention"</f>
        <v>Joint Conference: MFPT 2015 and ISA's 61st International Instrumentation Symposium - Technology Evolution: Sensors to Systems for Failure Prevention</v>
      </c>
      <c r="B10523" s="8" t="str">
        <f>"-"</f>
        <v>-</v>
      </c>
      <c r="C10523" s="8" t="s">
        <v>1966</v>
      </c>
    </row>
    <row r="10524" spans="1:3" x14ac:dyDescent="0.25">
      <c r="A10524" s="8" t="str">
        <f>"Joint CSCE/ASCE Enviromental Engineering Conference"</f>
        <v>Joint CSCE/ASCE Enviromental Engineering Conference</v>
      </c>
      <c r="B10524" s="8" t="str">
        <f>"9780889555334"</f>
        <v>9780889555334</v>
      </c>
      <c r="C10524" s="8" t="s">
        <v>999</v>
      </c>
    </row>
    <row r="10525" spans="1:3" x14ac:dyDescent="0.25">
      <c r="A10525" s="8" t="str">
        <f>"Joint IMEKO TC11-TC19-TC20 Int. Symp. Metrological Infrastructure, Environmental and Energy Measurement and Int. Symp. of Energy Agencies of Mediterranean Countries, IMEKO-MI 2011"</f>
        <v>Joint IMEKO TC11-TC19-TC20 Int. Symp. Metrological Infrastructure, Environmental and Energy Measurement and Int. Symp. of Energy Agencies of Mediterranean Countries, IMEKO-MI 2011</v>
      </c>
      <c r="B10525" s="8" t="str">
        <f>"9781618391186"</f>
        <v>9781618391186</v>
      </c>
      <c r="C10525" s="8" t="s">
        <v>1198</v>
      </c>
    </row>
    <row r="10526" spans="1:3" x14ac:dyDescent="0.25">
      <c r="A10526" s="8" t="str">
        <f>"Joint INDA-TAPPI Conference - INTC 2005: International Nonwovens Technical Conference"</f>
        <v>Joint INDA-TAPPI Conference - INTC 2005: International Nonwovens Technical Conference</v>
      </c>
      <c r="B10526" s="8" t="str">
        <f>"9781595101136"</f>
        <v>9781595101136</v>
      </c>
      <c r="C10526" s="8" t="s">
        <v>695</v>
      </c>
    </row>
    <row r="10527" spans="1:3" x14ac:dyDescent="0.25">
      <c r="A10527" s="8" t="str">
        <f>"Joint International IGIP-SEFI Annual Conference 2010"</f>
        <v>Joint International IGIP-SEFI Annual Conference 2010</v>
      </c>
      <c r="B10527" s="8" t="str">
        <f>"-"</f>
        <v>-</v>
      </c>
      <c r="C10527" s="8" t="s">
        <v>1518</v>
      </c>
    </row>
    <row r="10528" spans="1:3" x14ac:dyDescent="0.25">
      <c r="A10528" s="8" t="str">
        <f>"Joint International Symposium on Temperature, Humidity, Moisture and Thermal Measurements in Industry and Science 2010, TEMPMEKO and ISHM 2010 - Abstracts"</f>
        <v>Joint International Symposium on Temperature, Humidity, Moisture and Thermal Measurements in Industry and Science 2010, TEMPMEKO and ISHM 2010 - Abstracts</v>
      </c>
      <c r="B10528" s="8" t="str">
        <f>"9781617389474"</f>
        <v>9781617389474</v>
      </c>
      <c r="C10528" s="8" t="s">
        <v>1198</v>
      </c>
    </row>
    <row r="10529" spans="1:3" x14ac:dyDescent="0.25">
      <c r="A10529" s="8" t="str">
        <f>"Joint International Topical Meeting on Mathematics and Computations and Supercomputing in Nuclear Applications, M and C + SNA 2007"</f>
        <v>Joint International Topical Meeting on Mathematics and Computations and Supercomputing in Nuclear Applications, M and C + SNA 2007</v>
      </c>
      <c r="B10529" s="8" t="str">
        <f>"9780894480591"</f>
        <v>9780894480591</v>
      </c>
      <c r="C10529" s="8" t="s">
        <v>453</v>
      </c>
    </row>
    <row r="10530" spans="1:3" x14ac:dyDescent="0.25">
      <c r="A10530" s="8" t="str">
        <f>"Joint ISPRS Workshop on 3D City Modelling and Applications and the 6th 3D GeoInfo, 3DCMA 2011"</f>
        <v>Joint ISPRS Workshop on 3D City Modelling and Applications and the 6th 3D GeoInfo, 3DCMA 2011</v>
      </c>
      <c r="B10530" s="8" t="str">
        <f>"-"</f>
        <v>-</v>
      </c>
      <c r="C10530" s="8" t="s">
        <v>1967</v>
      </c>
    </row>
    <row r="10531" spans="1:3" x14ac:dyDescent="0.25">
      <c r="A10531" s="8" t="str">
        <f>"Joint Meeting of the Sixth Symposium on FIre and Forest Meteorology and the 19th Interior West Fire Council Meeting"</f>
        <v>Joint Meeting of the Sixth Symposium on FIre and Forest Meteorology and the 19th Interior West Fire Council Meeting</v>
      </c>
      <c r="B10531" s="8" t="str">
        <f>"-"</f>
        <v>-</v>
      </c>
      <c r="C10531" s="8" t="s">
        <v>225</v>
      </c>
    </row>
    <row r="10532" spans="1:3" x14ac:dyDescent="0.25">
      <c r="A10532" s="8" t="str">
        <f>"Joint Mining Reclamation Conf. 2010 - 27th Meeting of the ASMR, 12th Pennsylvania Abandoned Mine Reclamation Conf. and 4th Appalachian Regional Reforestation Initiative Mined Land Reforestation Conf."</f>
        <v>Joint Mining Reclamation Conf. 2010 - 27th Meeting of the ASMR, 12th Pennsylvania Abandoned Mine Reclamation Conf. and 4th Appalachian Regional Reforestation Initiative Mined Land Reforestation Conf.</v>
      </c>
      <c r="B10532" s="8" t="str">
        <f>"9781617820526"</f>
        <v>9781617820526</v>
      </c>
      <c r="C10532" s="8" t="s">
        <v>1413</v>
      </c>
    </row>
    <row r="10533" spans="1:3" x14ac:dyDescent="0.25">
      <c r="A10533" s="8" t="str">
        <f>"Joint NAPMRC 2003 - Digest of Technical Papers [Perpendicular Magnetic Recording Conference]"</f>
        <v>Joint NAPMRC 2003 - Digest of Technical Papers [Perpendicular Magnetic Recording Conference]</v>
      </c>
      <c r="B10533" s="8" t="str">
        <f>"9780780377462"</f>
        <v>9780780377462</v>
      </c>
      <c r="C10533" s="8" t="s">
        <v>105</v>
      </c>
    </row>
    <row r="10534" spans="1:3" x14ac:dyDescent="0.25">
      <c r="A10534" s="8" t="str">
        <f>"Joint Ninth WebKDD and First SNA-KDD 2007 Workshop on Web Mining and Social Network Analysis"</f>
        <v>Joint Ninth WebKDD and First SNA-KDD 2007 Workshop on Web Mining and Social Network Analysis</v>
      </c>
      <c r="B10534" s="8" t="str">
        <f>"9781595938480"</f>
        <v>9781595938480</v>
      </c>
      <c r="C10534" s="8" t="s">
        <v>21</v>
      </c>
    </row>
    <row r="10535" spans="1:3" x14ac:dyDescent="0.25">
      <c r="A10535" s="8" t="str">
        <f>"Joint Proceedings of the 4th International Workshop on Technologies for Context-Aware Business Process Management, TCoB 2009. AT4WS 2009. AER 2009. MDMD 2009. In Conjunction with ICEIS 2009."</f>
        <v>Joint Proceedings of the 4th International Workshop on Technologies for Context-Aware Business Process Management, TCoB 2009. AT4WS 2009. AER 2009. MDMD 2009. In Conjunction with ICEIS 2009.</v>
      </c>
      <c r="B10535" s="8" t="str">
        <f>"9789898111937"</f>
        <v>9789898111937</v>
      </c>
      <c r="C10535" s="8" t="s">
        <v>1553</v>
      </c>
    </row>
    <row r="10536" spans="1:3" x14ac:dyDescent="0.25">
      <c r="A10536" s="8" t="str">
        <f>"Joint Proceedings of the Work-in-Progress Poster and Invited Young Researcher Symposium at the 18th International Conference on Computers in Education, ICCE 2010"</f>
        <v>Joint Proceedings of the Work-in-Progress Poster and Invited Young Researcher Symposium at the 18th International Conference on Computers in Education, ICCE 2010</v>
      </c>
      <c r="B10536" s="8" t="str">
        <f>"9789834251260"</f>
        <v>9789834251260</v>
      </c>
      <c r="C10536" s="8" t="s">
        <v>1788</v>
      </c>
    </row>
    <row r="10537" spans="1:3" x14ac:dyDescent="0.25">
      <c r="A10537" s="8" t="str">
        <f>"Joint Urban Remote Sensing Event 2013, JURSE 2013"</f>
        <v>Joint Urban Remote Sensing Event 2013, JURSE 2013</v>
      </c>
      <c r="B10537" s="8" t="str">
        <f>"9781479902132"</f>
        <v>9781479902132</v>
      </c>
      <c r="C10537" s="8" t="s">
        <v>9</v>
      </c>
    </row>
    <row r="10538" spans="1:3" x14ac:dyDescent="0.25">
      <c r="A10538" s="8" t="str">
        <f>"Joint Ventures in Construction 2: Contract, Governance, Performance and Risk"</f>
        <v>Joint Ventures in Construction 2: Contract, Governance, Performance and Risk</v>
      </c>
      <c r="B10538" s="8" t="str">
        <f>"9780727757838"</f>
        <v>9780727757838</v>
      </c>
      <c r="C10538" s="8" t="s">
        <v>74</v>
      </c>
    </row>
    <row r="10539" spans="1:3" x14ac:dyDescent="0.25">
      <c r="A10539" s="8" t="str">
        <f>"Joint Virtual Reality Conf. of EGVE 2010 - The 16th Eurographics Symposium on Virtual Environments, EuroVR 2010 - The 7th EuroVR (INTUITION) Conf., VEC 2010 - The Annual Virtual Efficiency Congress"</f>
        <v>Joint Virtual Reality Conf. of EGVE 2010 - The 16th Eurographics Symposium on Virtual Environments, EuroVR 2010 - The 7th EuroVR (INTUITION) Conf., VEC 2010 - The Annual Virtual Efficiency Congress</v>
      </c>
      <c r="B10539" s="8" t="str">
        <f>"9783905674309"</f>
        <v>9783905674309</v>
      </c>
      <c r="C10539" s="8" t="s">
        <v>23</v>
      </c>
    </row>
    <row r="10540" spans="1:3" x14ac:dyDescent="0.25">
      <c r="A10540" s="8" t="str">
        <f>"Joint Virtual Reality Conference of EGVE 2011 - The 17th Eurographics Symposium on Virtual Environments, EuroVR 2011 - The 8th EuroVR (INTUITION) Conference"</f>
        <v>Joint Virtual Reality Conference of EGVE 2011 - The 17th Eurographics Symposium on Virtual Environments, EuroVR 2011 - The 8th EuroVR (INTUITION) Conference</v>
      </c>
      <c r="B10540" s="8" t="str">
        <f>"9783905674330"</f>
        <v>9783905674330</v>
      </c>
      <c r="C10540" s="8" t="s">
        <v>23</v>
      </c>
    </row>
    <row r="10541" spans="1:3" x14ac:dyDescent="0.25">
      <c r="A10541" s="8" t="str">
        <f>"Joint Workshop on Implementation of Constraint Logic Programming Systems and Logic-based Methods in Programming Environments, CICLOPS-WLPE 2010"</f>
        <v>Joint Workshop on Implementation of Constraint Logic Programming Systems and Logic-based Methods in Programming Environments, CICLOPS-WLPE 2010</v>
      </c>
      <c r="B10541" s="8" t="str">
        <f>"-"</f>
        <v>-</v>
      </c>
      <c r="C10541" s="8" t="s">
        <v>1314</v>
      </c>
    </row>
    <row r="10542" spans="1:3" x14ac:dyDescent="0.25">
      <c r="A10542" s="8" t="str">
        <f>"Journees Francophones des Langages Applicatifs, JFLA 2005"</f>
        <v>Journees Francophones des Langages Applicatifs, JFLA 2005</v>
      </c>
      <c r="B10542" s="8" t="str">
        <f>"-"</f>
        <v>-</v>
      </c>
      <c r="C10542" s="8" t="s">
        <v>1968</v>
      </c>
    </row>
    <row r="10543" spans="1:3" x14ac:dyDescent="0.25">
      <c r="A10543" s="8" t="str">
        <f>"Journees Francophones des Langages Applicatifs, JFLA 2006"</f>
        <v>Journees Francophones des Langages Applicatifs, JFLA 2006</v>
      </c>
      <c r="B10543" s="8" t="str">
        <f>"-"</f>
        <v>-</v>
      </c>
      <c r="C10543" s="8" t="s">
        <v>1436</v>
      </c>
    </row>
    <row r="10544" spans="1:3" x14ac:dyDescent="0.25">
      <c r="A10544" s="8" t="str">
        <f>"Journees Francophones des Langages Applicatifs, JFLA 2007"</f>
        <v>Journees Francophones des Langages Applicatifs, JFLA 2007</v>
      </c>
      <c r="B10544" s="8" t="str">
        <f>"-"</f>
        <v>-</v>
      </c>
      <c r="C10544" s="8" t="s">
        <v>1969</v>
      </c>
    </row>
    <row r="10545" spans="1:3" x14ac:dyDescent="0.25">
      <c r="A10545" s="8" t="str">
        <f>"Journees Francophones des Langages Applicatifs, JFLA 2008"</f>
        <v>Journees Francophones des Langages Applicatifs, JFLA 2008</v>
      </c>
      <c r="B10545" s="8" t="str">
        <f>"-"</f>
        <v>-</v>
      </c>
      <c r="C10545" s="8" t="s">
        <v>1436</v>
      </c>
    </row>
    <row r="10546" spans="1:3" x14ac:dyDescent="0.25">
      <c r="A10546" s="8" t="str">
        <f>"JSAP-OSA Joint Symposia, JSAP 2014"</f>
        <v>JSAP-OSA Joint Symposia, JSAP 2014</v>
      </c>
      <c r="B10546" s="8" t="str">
        <f>"9784863484436"</f>
        <v>9784863484436</v>
      </c>
      <c r="C10546" s="8" t="s">
        <v>86</v>
      </c>
    </row>
    <row r="10547" spans="1:3" x14ac:dyDescent="0.25">
      <c r="A10547" s="8" t="str">
        <f>"Jubilee 15th Saint Petersburg International Conference on Integrated Navigation Systems, ICINS 2008 - Proceedings"</f>
        <v>Jubilee 15th Saint Petersburg International Conference on Integrated Navigation Systems, ICINS 2008 - Proceedings</v>
      </c>
      <c r="B10547" s="8" t="str">
        <f>"9785900780801"</f>
        <v>9785900780801</v>
      </c>
      <c r="C10547" s="8" t="s">
        <v>1248</v>
      </c>
    </row>
    <row r="10548" spans="1:3" x14ac:dyDescent="0.25">
      <c r="A10548" s="8" t="str">
        <f>"KCAP 2011 - Proceedings of the 2011 Knowledge Capture Conference"</f>
        <v>KCAP 2011 - Proceedings of the 2011 Knowledge Capture Conference</v>
      </c>
      <c r="B10548" s="8" t="str">
        <f>"9781450303965"</f>
        <v>9781450303965</v>
      </c>
      <c r="C10548" s="8" t="s">
        <v>21</v>
      </c>
    </row>
    <row r="10549" spans="1:3" x14ac:dyDescent="0.25">
      <c r="A10549" s="8" t="str">
        <f>"K-CAP'07: Proceedings of the Fourth International Conference on Knowledge Capture"</f>
        <v>K-CAP'07: Proceedings of the Fourth International Conference on Knowledge Capture</v>
      </c>
      <c r="B10549" s="8" t="str">
        <f>"9781595936431"</f>
        <v>9781595936431</v>
      </c>
      <c r="C10549" s="8" t="s">
        <v>21</v>
      </c>
    </row>
    <row r="10550" spans="1:3" x14ac:dyDescent="0.25">
      <c r="A10550" s="8" t="str">
        <f>"K-CAP'09 - Proceedings of the 5th International Conference on Knowledge Capture"</f>
        <v>K-CAP'09 - Proceedings of the 5th International Conference on Knowledge Capture</v>
      </c>
      <c r="B10550" s="8" t="str">
        <f>"9781605586588"</f>
        <v>9781605586588</v>
      </c>
      <c r="C10550" s="8" t="s">
        <v>21</v>
      </c>
    </row>
    <row r="10551" spans="1:3" x14ac:dyDescent="0.25">
      <c r="A10551" s="8" t="str">
        <f>"KDD-2004 - Proceedings of the Tenth ACM SIGKDD International Conference on Knowledge Discovery and Data Mining"</f>
        <v>KDD-2004 - Proceedings of the Tenth ACM SIGKDD International Conference on Knowledge Discovery and Data Mining</v>
      </c>
      <c r="B10551" s="8" t="str">
        <f>"9781581138887"</f>
        <v>9781581138887</v>
      </c>
      <c r="C10551" s="8" t="s">
        <v>21</v>
      </c>
    </row>
    <row r="10552" spans="1:3" x14ac:dyDescent="0.25">
      <c r="A10552" s="8" t="str">
        <f>"KDIR 2009 - 1st International Conference on Knowledge Discovery and Information Retrieval, Proceedings"</f>
        <v>KDIR 2009 - 1st International Conference on Knowledge Discovery and Information Retrieval, Proceedings</v>
      </c>
      <c r="B10552" s="8" t="str">
        <f>"9789896740115"</f>
        <v>9789896740115</v>
      </c>
      <c r="C10552" s="8" t="s">
        <v>1553</v>
      </c>
    </row>
    <row r="10553" spans="1:3" x14ac:dyDescent="0.25">
      <c r="A10553" s="8" t="str">
        <f>"KDIR 2010 - Proceedings of the International Conference on Knowledge Discovery and Information Retrieval"</f>
        <v>KDIR 2010 - Proceedings of the International Conference on Knowledge Discovery and Information Retrieval</v>
      </c>
      <c r="B10553" s="8" t="str">
        <f>"9789898425287"</f>
        <v>9789898425287</v>
      </c>
      <c r="C10553" s="8" t="s">
        <v>1553</v>
      </c>
    </row>
    <row r="10554" spans="1:3" x14ac:dyDescent="0.25">
      <c r="A10554" s="8" t="str">
        <f>"KDIR 2011 - Proceedings of the International Conference on Knowledge Discovery and Information Retrieval"</f>
        <v>KDIR 2011 - Proceedings of the International Conference on Knowledge Discovery and Information Retrieval</v>
      </c>
      <c r="B10554" s="8" t="str">
        <f>"9789898425799"</f>
        <v>9789898425799</v>
      </c>
      <c r="C10554" s="8" t="s">
        <v>1553</v>
      </c>
    </row>
    <row r="10555" spans="1:3" x14ac:dyDescent="0.25">
      <c r="A10555" s="8" t="str">
        <f>"KDIR 2012 - Proceedings of the International Conference on Knowledge Discovery and Information Retrieval"</f>
        <v>KDIR 2012 - Proceedings of the International Conference on Knowledge Discovery and Information Retrieval</v>
      </c>
      <c r="B10555" s="8" t="str">
        <f>"9789898565297"</f>
        <v>9789898565297</v>
      </c>
      <c r="C10555" s="8" t="s">
        <v>1197</v>
      </c>
    </row>
    <row r="10556" spans="1:3" x14ac:dyDescent="0.25">
      <c r="A10556" s="8" t="str">
        <f>"KDIR 2014 - Proceedings of the International Conference on Knowledge Discovery and Information Retrieval"</f>
        <v>KDIR 2014 - Proceedings of the International Conference on Knowledge Discovery and Information Retrieval</v>
      </c>
      <c r="B10556" s="8" t="str">
        <f>"9789897580482"</f>
        <v>9789897580482</v>
      </c>
      <c r="C10556" s="8" t="s">
        <v>1680</v>
      </c>
    </row>
    <row r="10557" spans="1:3" x14ac:dyDescent="0.25">
      <c r="A10557" s="8" t="str">
        <f>"KEOD 2009 - 1st International Conference on Knowledge Engineering and Ontology Development, Proceedings"</f>
        <v>KEOD 2009 - 1st International Conference on Knowledge Engineering and Ontology Development, Proceedings</v>
      </c>
      <c r="B10557" s="8" t="str">
        <f>"9789896740122"</f>
        <v>9789896740122</v>
      </c>
      <c r="C10557" s="8" t="s">
        <v>1553</v>
      </c>
    </row>
    <row r="10558" spans="1:3" x14ac:dyDescent="0.25">
      <c r="A10558" s="8" t="str">
        <f>"KEOD 2010 - Proceedings of the International Conference on Knowledge Engineering and Ontology Development"</f>
        <v>KEOD 2010 - Proceedings of the International Conference on Knowledge Engineering and Ontology Development</v>
      </c>
      <c r="B10558" s="8" t="str">
        <f>"9789898425294"</f>
        <v>9789898425294</v>
      </c>
      <c r="C10558" s="8" t="s">
        <v>1553</v>
      </c>
    </row>
    <row r="10559" spans="1:3" x14ac:dyDescent="0.25">
      <c r="A10559" s="8" t="str">
        <f>"KEOD 2011 - Proceedings of the International Conference on Knowledge Engineering and Ontology Development"</f>
        <v>KEOD 2011 - Proceedings of the International Conference on Knowledge Engineering and Ontology Development</v>
      </c>
      <c r="B10559" s="8" t="str">
        <f>"9789898425805"</f>
        <v>9789898425805</v>
      </c>
      <c r="C10559" s="8" t="s">
        <v>1553</v>
      </c>
    </row>
    <row r="10560" spans="1:3" x14ac:dyDescent="0.25">
      <c r="A10560" s="8" t="str">
        <f>"KEOD 2012 - Proceedings of the International Conference on Knowledge Engineering and Ontology Development"</f>
        <v>KEOD 2012 - Proceedings of the International Conference on Knowledge Engineering and Ontology Development</v>
      </c>
      <c r="B10560" s="8" t="str">
        <f>"9789898565303"</f>
        <v>9789898565303</v>
      </c>
      <c r="C10560" s="8" t="s">
        <v>1197</v>
      </c>
    </row>
    <row r="10561" spans="1:3" x14ac:dyDescent="0.25">
      <c r="A10561" s="8" t="str">
        <f>"KEOD 2014 - Proceedings of the International Conference on Knowledge Engineering and Ontology Development"</f>
        <v>KEOD 2014 - Proceedings of the International Conference on Knowledge Engineering and Ontology Development</v>
      </c>
      <c r="B10561" s="8" t="str">
        <f>"9789897580499"</f>
        <v>9789897580499</v>
      </c>
      <c r="C10561" s="8" t="s">
        <v>1680</v>
      </c>
    </row>
    <row r="10562" spans="1:3" x14ac:dyDescent="0.25">
      <c r="A10562" s="8" t="str">
        <f>"KESE 2009 - 2009 Pacific-Asia Conference on Knowledge Engineering and Software Engineering"</f>
        <v>KESE 2009 - 2009 Pacific-Asia Conference on Knowledge Engineering and Software Engineering</v>
      </c>
      <c r="B10562" s="8" t="str">
        <f>"9780769539164"</f>
        <v>9780769539164</v>
      </c>
      <c r="C10562" s="8" t="s">
        <v>9</v>
      </c>
    </row>
    <row r="10563" spans="1:3" x14ac:dyDescent="0.25">
      <c r="A10563" s="8" t="str">
        <f>"KEYS 2009 - Proceedings of the 1st International Workshop on Keyword Search on Structured Data"</f>
        <v>KEYS 2009 - Proceedings of the 1st International Workshop on Keyword Search on Structured Data</v>
      </c>
      <c r="B10563" s="8" t="str">
        <f>"9781605585703"</f>
        <v>9781605585703</v>
      </c>
      <c r="C10563" s="8" t="s">
        <v>21</v>
      </c>
    </row>
    <row r="10564" spans="1:3" x14ac:dyDescent="0.25">
      <c r="A10564" s="8" t="str">
        <f>"KEYS 2012 - Proceedings of the 3rd International Workshop on Keyword Search on Structured Data"</f>
        <v>KEYS 2012 - Proceedings of the 3rd International Workshop on Keyword Search on Structured Data</v>
      </c>
      <c r="B10564" s="8" t="str">
        <f>"9781450311984"</f>
        <v>9781450311984</v>
      </c>
      <c r="C10564" s="8" t="s">
        <v>21</v>
      </c>
    </row>
    <row r="10565" spans="1:3" x14ac:dyDescent="0.25">
      <c r="A10565" s="8" t="str">
        <f>"KI 2008 - 31st Annual German Conference on Artificial Intelligence, Proceedings of the 22nd Workshop on Planen, Scheduling und Konfigurieren, Entwerfen, PuK 2008"</f>
        <v>KI 2008 - 31st Annual German Conference on Artificial Intelligence, Proceedings of the 22nd Workshop on Planen, Scheduling und Konfigurieren, Entwerfen, PuK 2008</v>
      </c>
      <c r="B10565" s="8" t="str">
        <f>"-"</f>
        <v>-</v>
      </c>
      <c r="C10565" s="8" t="s">
        <v>42</v>
      </c>
    </row>
    <row r="10566" spans="1:3" x14ac:dyDescent="0.25">
      <c r="A10566" s="8" t="str">
        <f>"King Fahd University of Petroleum and Minerals, Research Institute - 24th Annual Saudi-Japan Symposium on Catalysts in Petroleum Refining and Petrochemicals 2014"</f>
        <v>King Fahd University of Petroleum and Minerals, Research Institute - 24th Annual Saudi-Japan Symposium on Catalysts in Petroleum Refining and Petrochemicals 2014</v>
      </c>
      <c r="B10566" s="8" t="str">
        <f>"9781634399487"</f>
        <v>9781634399487</v>
      </c>
      <c r="C10566" s="8" t="s">
        <v>1970</v>
      </c>
    </row>
    <row r="10567" spans="1:3" x14ac:dyDescent="0.25">
      <c r="A10567" s="8" t="str">
        <f>"KMIS 2009 - 1st International Conference on Knowledge Management and Information Sharing, Proceedings"</f>
        <v>KMIS 2009 - 1st International Conference on Knowledge Management and Information Sharing, Proceedings</v>
      </c>
      <c r="B10567" s="8" t="str">
        <f>"9789896740139"</f>
        <v>9789896740139</v>
      </c>
      <c r="C10567" s="8" t="s">
        <v>1553</v>
      </c>
    </row>
    <row r="10568" spans="1:3" x14ac:dyDescent="0.25">
      <c r="A10568" s="8" t="str">
        <f>"KMIS 2010 - Proceedings of the International Conference on Knowledge Management and Information Sharing"</f>
        <v>KMIS 2010 - Proceedings of the International Conference on Knowledge Management and Information Sharing</v>
      </c>
      <c r="B10568" s="8" t="str">
        <f>"9789898425300"</f>
        <v>9789898425300</v>
      </c>
      <c r="C10568" s="8" t="s">
        <v>1553</v>
      </c>
    </row>
    <row r="10569" spans="1:3" x14ac:dyDescent="0.25">
      <c r="A10569" s="8" t="str">
        <f>"KMIS 2011 - Proceedings of the International Conference on Knowledge Management and Information Sharing"</f>
        <v>KMIS 2011 - Proceedings of the International Conference on Knowledge Management and Information Sharing</v>
      </c>
      <c r="B10569" s="8" t="str">
        <f>"9789898425812"</f>
        <v>9789898425812</v>
      </c>
      <c r="C10569" s="8" t="s">
        <v>1553</v>
      </c>
    </row>
    <row r="10570" spans="1:3" x14ac:dyDescent="0.25">
      <c r="A10570" s="8" t="str">
        <f>"KMIS 2012 - Proceedings of the International Conference on Knowledge Management and Information Sharing"</f>
        <v>KMIS 2012 - Proceedings of the International Conference on Knowledge Management and Information Sharing</v>
      </c>
      <c r="B10570" s="8" t="str">
        <f>"9789898565310"</f>
        <v>9789898565310</v>
      </c>
      <c r="C10570" s="8" t="s">
        <v>1197</v>
      </c>
    </row>
    <row r="10571" spans="1:3" x14ac:dyDescent="0.25">
      <c r="A10571" s="8" t="str">
        <f>"KMIS 2014 - Proceedings of the International Conference on Knowledge Management and Information Sharing"</f>
        <v>KMIS 2014 - Proceedings of the International Conference on Knowledge Management and Information Sharing</v>
      </c>
      <c r="B10571" s="8" t="str">
        <f>"9789897580505"</f>
        <v>9789897580505</v>
      </c>
      <c r="C10571" s="8" t="s">
        <v>1680</v>
      </c>
    </row>
    <row r="10572" spans="1:3" x14ac:dyDescent="0.25">
      <c r="A10572" s="8" t="str">
        <f>"Koli Calling 2008 - 8th International Conference on Computing Education Research"</f>
        <v>Koli Calling 2008 - 8th International Conference on Computing Education Research</v>
      </c>
      <c r="B10572" s="8" t="str">
        <f>"9781605583853"</f>
        <v>9781605583853</v>
      </c>
      <c r="C10572" s="8" t="s">
        <v>21</v>
      </c>
    </row>
    <row r="10573" spans="1:3" x14ac:dyDescent="0.25">
      <c r="A10573" s="8" t="str">
        <f>"Korea Research Institute of Standards and Science (KRISS) - Asia-Pacific Symposium on Measurement of Mass, Force and Torque, APMF 2005"</f>
        <v>Korea Research Institute of Standards and Science (KRISS) - Asia-Pacific Symposium on Measurement of Mass, Force and Torque, APMF 2005</v>
      </c>
      <c r="B10573" s="8" t="str">
        <f>"9781604238136"</f>
        <v>9781604238136</v>
      </c>
      <c r="C10573" s="8" t="s">
        <v>1971</v>
      </c>
    </row>
    <row r="10574" spans="1:3" x14ac:dyDescent="0.25">
      <c r="A10574" s="8" t="str">
        <f>"KpbiMuKo 2008 CriMiCo - 18th International Crimean Conference Microwave and Telecommunication Technology, Conference Proceedings"</f>
        <v>KpbiMuKo 2008 CriMiCo - 18th International Crimean Conference Microwave and Telecommunication Technology, Conference Proceedings</v>
      </c>
      <c r="B10574" s="8" t="str">
        <f>"9789663351698"</f>
        <v>9789663351698</v>
      </c>
      <c r="C10574" s="8" t="s">
        <v>9</v>
      </c>
    </row>
    <row r="10575" spans="1:3" x14ac:dyDescent="0.25">
      <c r="A10575" s="8" t="str">
        <f>"KpbiMuKo 2009 CriMiCo - 2009 19th International Crimean Conference Microwave and Telecommunication Technology, Conference Proceedings"</f>
        <v>KpbiMuKo 2009 CriMiCo - 2009 19th International Crimean Conference Microwave and Telecommunication Technology, Conference Proceedings</v>
      </c>
      <c r="B10575" s="8" t="str">
        <f>"9789663352497"</f>
        <v>9789663352497</v>
      </c>
      <c r="C10575" s="8" t="s">
        <v>21</v>
      </c>
    </row>
    <row r="10576" spans="1:3" x14ac:dyDescent="0.25">
      <c r="A10576" s="8" t="str">
        <f>"KpbiMuKo 2010 CriMiCo - 2010 20th International Crimean Conference Microwave and Telecommunication Technology, Conference Proceedings"</f>
        <v>KpbiMuKo 2010 CriMiCo - 2010 20th International Crimean Conference Microwave and Telecommunication Technology, Conference Proceedings</v>
      </c>
      <c r="B10576" s="8" t="str">
        <f>"9789663353340"</f>
        <v>9789663353340</v>
      </c>
      <c r="C10576" s="8" t="s">
        <v>9</v>
      </c>
    </row>
    <row r="10577" spans="1:3" x14ac:dyDescent="0.25">
      <c r="A10577" s="8" t="str">
        <f>"KRAS'05 - Proceedings of the 2005 ACM Workshop on Research in Knowledge Representation for Autonomous Systems"</f>
        <v>KRAS'05 - Proceedings of the 2005 ACM Workshop on Research in Knowledge Representation for Autonomous Systems</v>
      </c>
      <c r="B10577" s="8" t="str">
        <f>"-"</f>
        <v>-</v>
      </c>
      <c r="C10577" s="8" t="s">
        <v>21</v>
      </c>
    </row>
    <row r="10578" spans="1:3" x14ac:dyDescent="0.25">
      <c r="A10578" s="8" t="str">
        <f>"KSE 2009 - The 1st International Conference on Knowledge and Systems Engineering"</f>
        <v>KSE 2009 - The 1st International Conference on Knowledge and Systems Engineering</v>
      </c>
      <c r="B10578" s="8" t="str">
        <f>"9780769538464"</f>
        <v>9780769538464</v>
      </c>
      <c r="C10578" s="8" t="s">
        <v>9</v>
      </c>
    </row>
    <row r="10579" spans="1:3" x14ac:dyDescent="0.25">
      <c r="A10579" s="8" t="str">
        <f>"L@S 2014 - Proceedings of the 1st ACM Conference on Learning at Scale"</f>
        <v>L@S 2014 - Proceedings of the 1st ACM Conference on Learning at Scale</v>
      </c>
      <c r="B10579" s="8" t="str">
        <f>"9781450326698"</f>
        <v>9781450326698</v>
      </c>
      <c r="C10579" s="8" t="s">
        <v>21</v>
      </c>
    </row>
    <row r="10580" spans="1:3" x14ac:dyDescent="0.25">
      <c r="A10580" s="8" t="str">
        <f>"L@S 2015 - 2nd ACM Conference on Learning at Scale"</f>
        <v>L@S 2015 - 2nd ACM Conference on Learning at Scale</v>
      </c>
      <c r="B10580" s="8" t="str">
        <f>"9781450334112"</f>
        <v>9781450334112</v>
      </c>
      <c r="C10580" s="8" t="s">
        <v>1235</v>
      </c>
    </row>
    <row r="10581" spans="1:3" x14ac:dyDescent="0.25">
      <c r="A10581" s="8" t="str">
        <f>"Labor Relations / Human Resources Conference 2009"</f>
        <v>Labor Relations / Human Resources Conference 2009</v>
      </c>
      <c r="B10581" s="8" t="str">
        <f>"9781615673759"</f>
        <v>9781615673759</v>
      </c>
      <c r="C10581" s="8" t="s">
        <v>1972</v>
      </c>
    </row>
    <row r="10582" spans="1:3" x14ac:dyDescent="0.25">
      <c r="A10582" s="8" t="str">
        <f>"Labyrinth and Piano Key Weirs - Proceedings of the International Conference on Labyrinth and Piano Key Weirs, PKW 2011"</f>
        <v>Labyrinth and Piano Key Weirs - Proceedings of the International Conference on Labyrinth and Piano Key Weirs, PKW 2011</v>
      </c>
      <c r="B10582" s="8" t="str">
        <f>"9780415682824"</f>
        <v>9780415682824</v>
      </c>
      <c r="C10582" s="8" t="s">
        <v>1637</v>
      </c>
    </row>
    <row r="10583" spans="1:3" x14ac:dyDescent="0.25">
      <c r="A10583" s="8" t="str">
        <f>"Labyrinth and Piano Key Weirs II, PKW 2013 - Proceedings of the 2nd International Workshop on Labyrinth and Piano Key Weirs 2013"</f>
        <v>Labyrinth and Piano Key Weirs II, PKW 2013 - Proceedings of the 2nd International Workshop on Labyrinth and Piano Key Weirs 2013</v>
      </c>
      <c r="B10583" s="8" t="str">
        <f>"9781138000858"</f>
        <v>9781138000858</v>
      </c>
      <c r="C10583" s="8" t="s">
        <v>1619</v>
      </c>
    </row>
    <row r="10584" spans="1:3" x14ac:dyDescent="0.25">
      <c r="A10584" s="8" t="str">
        <f>"LANC 2011 - Proceedings of the 6th Latin America Networking Conference"</f>
        <v>LANC 2011 - Proceedings of the 6th Latin America Networking Conference</v>
      </c>
      <c r="B10584" s="8" t="str">
        <f>"9781450308861"</f>
        <v>9781450308861</v>
      </c>
      <c r="C10584" s="8" t="s">
        <v>21</v>
      </c>
    </row>
    <row r="10585" spans="1:3" x14ac:dyDescent="0.25">
      <c r="A10585" s="8" t="str">
        <f>"Landslide Science and Practice: Complex Environment"</f>
        <v>Landslide Science and Practice: Complex Environment</v>
      </c>
      <c r="B10585" s="8" t="str">
        <f>"9783642314261"</f>
        <v>9783642314261</v>
      </c>
      <c r="C10585" s="8" t="s">
        <v>582</v>
      </c>
    </row>
    <row r="10586" spans="1:3" x14ac:dyDescent="0.25">
      <c r="A10586" s="8" t="str">
        <f>"Landslide Science and Practice: Early Warning, Instrumentation and Monitoring"</f>
        <v>Landslide Science and Practice: Early Warning, Instrumentation and Monitoring</v>
      </c>
      <c r="B10586" s="8" t="str">
        <f>"9783642314445"</f>
        <v>9783642314445</v>
      </c>
      <c r="C10586" s="8" t="s">
        <v>582</v>
      </c>
    </row>
    <row r="10587" spans="1:3" x14ac:dyDescent="0.25">
      <c r="A10587" s="8" t="str">
        <f>"Landslide Science and Practice: Global Environmental Change"</f>
        <v>Landslide Science and Practice: Global Environmental Change</v>
      </c>
      <c r="B10587" s="8" t="str">
        <f>"9783642313363"</f>
        <v>9783642313363</v>
      </c>
      <c r="C10587" s="8" t="s">
        <v>582</v>
      </c>
    </row>
    <row r="10588" spans="1:3" x14ac:dyDescent="0.25">
      <c r="A10588" s="8" t="str">
        <f>"Landslide Science and Practice: Landslide Inventory and Susceptibility and Hazard Zoning"</f>
        <v>Landslide Science and Practice: Landslide Inventory and Susceptibility and Hazard Zoning</v>
      </c>
      <c r="B10588" s="8" t="str">
        <f>"9783642313240"</f>
        <v>9783642313240</v>
      </c>
      <c r="C10588" s="8" t="s">
        <v>582</v>
      </c>
    </row>
    <row r="10589" spans="1:3" x14ac:dyDescent="0.25">
      <c r="A10589" s="8" t="str">
        <f>"Landslide Science and Practice: Risk Assessment, Management and Mitigation"</f>
        <v>Landslide Science and Practice: Risk Assessment, Management and Mitigation</v>
      </c>
      <c r="B10589" s="8" t="str">
        <f>"9783642313189"</f>
        <v>9783642313189</v>
      </c>
      <c r="C10589" s="8" t="s">
        <v>582</v>
      </c>
    </row>
    <row r="10590" spans="1:3" x14ac:dyDescent="0.25">
      <c r="A10590" s="8" t="str">
        <f>"Landslide Science and Practice: Social and Economic Impact and Policies"</f>
        <v>Landslide Science and Practice: Social and Economic Impact and Policies</v>
      </c>
      <c r="B10590" s="8" t="str">
        <f>"9783642313127"</f>
        <v>9783642313127</v>
      </c>
      <c r="C10590" s="8" t="s">
        <v>582</v>
      </c>
    </row>
    <row r="10591" spans="1:3" x14ac:dyDescent="0.25">
      <c r="A10591" s="8" t="str">
        <f>"Landslide Science and Practice: Spatial Analysis and Modelling"</f>
        <v>Landslide Science and Practice: Spatial Analysis and Modelling</v>
      </c>
      <c r="B10591" s="8" t="str">
        <f>"9783642313097"</f>
        <v>9783642313097</v>
      </c>
      <c r="C10591" s="8" t="s">
        <v>582</v>
      </c>
    </row>
    <row r="10592" spans="1:3" x14ac:dyDescent="0.25">
      <c r="A10592" s="8" t="str">
        <f>"Landslides - Disaster Risk Reduction"</f>
        <v>Landslides - Disaster Risk Reduction</v>
      </c>
      <c r="B10592" s="8" t="str">
        <f>"9783540699668"</f>
        <v>9783540699668</v>
      </c>
      <c r="C10592" s="8" t="s">
        <v>834</v>
      </c>
    </row>
    <row r="10593" spans="1:3" x14ac:dyDescent="0.25">
      <c r="A10593" s="8" t="str">
        <f>"Landslides and Climate Change: Challenges and Solutions - Proceedings of the International Conference on Landslides and Climate Change"</f>
        <v>Landslides and Climate Change: Challenges and Solutions - Proceedings of the International Conference on Landslides and Climate Change</v>
      </c>
      <c r="B10593" s="8" t="str">
        <f>"9780415443180"</f>
        <v>9780415443180</v>
      </c>
      <c r="C10593" s="8" t="s">
        <v>1619</v>
      </c>
    </row>
    <row r="10594" spans="1:3" x14ac:dyDescent="0.25">
      <c r="A10594" s="8" t="str">
        <f>"LANMAN 2007 - Proceedings of the 2007 15th IEEE Workshop on Local and Metropolitan Area Networks"</f>
        <v>LANMAN 2007 - Proceedings of the 2007 15th IEEE Workshop on Local and Metropolitan Area Networks</v>
      </c>
      <c r="B10594" s="8" t="str">
        <f>"9781424411009"</f>
        <v>9781424411009</v>
      </c>
      <c r="C10594" s="8" t="s">
        <v>9</v>
      </c>
    </row>
    <row r="10595" spans="1:3" x14ac:dyDescent="0.25">
      <c r="A10595" s="8" t="str">
        <f>"LANMAN 2010 - The 17th IEEE International Workshop on Local and Metropolitan Area Networks"</f>
        <v>LANMAN 2010 - The 17th IEEE International Workshop on Local and Metropolitan Area Networks</v>
      </c>
      <c r="B10595" s="8" t="str">
        <f>"9781424460670"</f>
        <v>9781424460670</v>
      </c>
      <c r="C10595" s="8" t="s">
        <v>9</v>
      </c>
    </row>
    <row r="10596" spans="1:3" x14ac:dyDescent="0.25">
      <c r="A10596" s="8" t="str">
        <f>"LANOMS 1999 - 1st Latin American Network Operations and Management Symposium, Proceedings"</f>
        <v>LANOMS 1999 - 1st Latin American Network Operations and Management Symposium, Proceedings</v>
      </c>
      <c r="B10596" s="8" t="str">
        <f>"-"</f>
        <v>-</v>
      </c>
      <c r="C10596" s="8" t="s">
        <v>1973</v>
      </c>
    </row>
    <row r="10597" spans="1:3" x14ac:dyDescent="0.25">
      <c r="A10597" s="8" t="str">
        <f>"LANOMS 2001 - 2nd Latin American Network Operations and Management Symposium, Proceedings"</f>
        <v>LANOMS 2001 - 2nd Latin American Network Operations and Management Symposium, Proceedings</v>
      </c>
      <c r="B10597" s="8" t="str">
        <f>"-"</f>
        <v>-</v>
      </c>
      <c r="C10597" s="8" t="s">
        <v>1973</v>
      </c>
    </row>
    <row r="10598" spans="1:3" x14ac:dyDescent="0.25">
      <c r="A10598" s="8" t="str">
        <f>"LANOMS 2003 - 3rd Latin American Network Operations and Management Symposium, Proceedings"</f>
        <v>LANOMS 2003 - 3rd Latin American Network Operations and Management Symposium, Proceedings</v>
      </c>
      <c r="B10598" s="8" t="str">
        <f>"9788590210429"</f>
        <v>9788590210429</v>
      </c>
      <c r="C10598" s="8" t="s">
        <v>1973</v>
      </c>
    </row>
    <row r="10599" spans="1:3" x14ac:dyDescent="0.25">
      <c r="A10599" s="8" t="str">
        <f>"LANOMS 2005 - 4th Latin American Network Operations and Management Symposium, Proceedings"</f>
        <v>LANOMS 2005 - 4th Latin American Network Operations and Management Symposium, Proceedings</v>
      </c>
      <c r="B10599" s="8" t="str">
        <f>"9788576690382"</f>
        <v>9788576690382</v>
      </c>
      <c r="C10599" s="8" t="s">
        <v>1973</v>
      </c>
    </row>
    <row r="10600" spans="1:3" x14ac:dyDescent="0.25">
      <c r="A10600" s="8" t="str">
        <f>"LAPC 2011 - 2011 Loughborough Antennas and Propagation Conference"</f>
        <v>LAPC 2011 - 2011 Loughborough Antennas and Propagation Conference</v>
      </c>
      <c r="B10600" s="8" t="str">
        <f>"9781457710155"</f>
        <v>9781457710155</v>
      </c>
      <c r="C10600" s="8" t="s">
        <v>9</v>
      </c>
    </row>
    <row r="10601" spans="1:3" x14ac:dyDescent="0.25">
      <c r="A10601" s="8" t="str">
        <f>"LAPC 2012 - 2012 Loughborough Antennas and Propagation Conference"</f>
        <v>LAPC 2012 - 2012 Loughborough Antennas and Propagation Conference</v>
      </c>
      <c r="B10601" s="8" t="str">
        <f>"9781467322195"</f>
        <v>9781467322195</v>
      </c>
      <c r="C10601" s="8" t="s">
        <v>9</v>
      </c>
    </row>
    <row r="10602" spans="1:3" x14ac:dyDescent="0.25">
      <c r="A10602" s="8" t="str">
        <f>"Large Structures and Infrastructures for Environmentally Constrained and Urbanised Areas"</f>
        <v>Large Structures and Infrastructures for Environmentally Constrained and Urbanised Areas</v>
      </c>
      <c r="B10602" s="8" t="str">
        <f>"9783857481222"</f>
        <v>9783857481222</v>
      </c>
      <c r="C10602" s="8" t="s">
        <v>1686</v>
      </c>
    </row>
    <row r="10603" spans="1:3" x14ac:dyDescent="0.25">
      <c r="A10603" s="8" t="str">
        <f>"LARGE'11 - Proceedings of the 2nd International Workshop on Research in the Large"</f>
        <v>LARGE'11 - Proceedings of the 2nd International Workshop on Research in the Large</v>
      </c>
      <c r="B10603" s="8" t="str">
        <f>"9781450309240"</f>
        <v>9781450309240</v>
      </c>
      <c r="C10603" s="8" t="s">
        <v>21</v>
      </c>
    </row>
    <row r="10604" spans="1:3" x14ac:dyDescent="0.25">
      <c r="A10604" s="8" t="str">
        <f>"Laser and Tera-Hertz Science and Technology, LTST 2012"</f>
        <v>Laser and Tera-Hertz Science and Technology, LTST 2012</v>
      </c>
      <c r="B10604" s="8" t="str">
        <f>"-"</f>
        <v>-</v>
      </c>
      <c r="C10604" s="8" t="s">
        <v>86</v>
      </c>
    </row>
    <row r="10605" spans="1:3" x14ac:dyDescent="0.25">
      <c r="A10605" s="8" t="str">
        <f>"Laser Applications to Chemical, Security and Environmental Analysis, LACSEA 2012"</f>
        <v>Laser Applications to Chemical, Security and Environmental Analysis, LACSEA 2012</v>
      </c>
      <c r="B10605" s="8" t="str">
        <f>"9781557529336"</f>
        <v>9781557529336</v>
      </c>
      <c r="C10605" s="8" t="s">
        <v>86</v>
      </c>
    </row>
    <row r="10606" spans="1:3" x14ac:dyDescent="0.25">
      <c r="A10606" s="8" t="str">
        <f>"Laser Ignition Conference, LIC 2015"</f>
        <v>Laser Ignition Conference, LIC 2015</v>
      </c>
      <c r="B10606" s="8" t="str">
        <f>"9781557529855"</f>
        <v>9781557529855</v>
      </c>
      <c r="C10606" s="8" t="s">
        <v>86</v>
      </c>
    </row>
    <row r="10607" spans="1:3" x14ac:dyDescent="0.25">
      <c r="A10607" s="8" t="str">
        <f>"Laser Metrology and Machine Performance IX - 9th International Conference and Exhibition on Laser Metrology, Machine Tool, CMM and Robotic Performance, LAMDAMAP 2009"</f>
        <v>Laser Metrology and Machine Performance IX - 9th International Conference and Exhibition on Laser Metrology, Machine Tool, CMM and Robotic Performance, LAMDAMAP 2009</v>
      </c>
      <c r="B10607" s="8" t="str">
        <f>"9780955308277"</f>
        <v>9780955308277</v>
      </c>
      <c r="C10607" s="8" t="s">
        <v>1748</v>
      </c>
    </row>
    <row r="10608" spans="1:3" x14ac:dyDescent="0.25">
      <c r="A10608" s="8" t="str">
        <f>"Laser Metrology and Machine Performance V"</f>
        <v>Laser Metrology and Machine Performance V</v>
      </c>
      <c r="B10608" s="8" t="str">
        <f>"9781853128905"</f>
        <v>9781853128905</v>
      </c>
      <c r="C10608" s="8" t="s">
        <v>80</v>
      </c>
    </row>
    <row r="10609" spans="1:3" x14ac:dyDescent="0.25">
      <c r="A10609" s="8" t="str">
        <f>"Laser Metrology and Machine Performance VI"</f>
        <v>Laser Metrology and Machine Performance VI</v>
      </c>
      <c r="B10609" s="8" t="str">
        <f>"9781853129902"</f>
        <v>9781853129902</v>
      </c>
      <c r="C10609" s="8" t="s">
        <v>80</v>
      </c>
    </row>
    <row r="10610" spans="1:3" x14ac:dyDescent="0.25">
      <c r="A10610" s="8" t="str">
        <f>"Laser Metrology and Machine Performance VII - 7th International Conference and Exhibition on Laser Metrology, Machine Tool, CMM and Robotic Performance, LAMDAMAP 2005"</f>
        <v>Laser Metrology and Machine Performance VII - 7th International Conference and Exhibition on Laser Metrology, Machine Tool, CMM and Robotic Performance, LAMDAMAP 2005</v>
      </c>
      <c r="B10610" s="8" t="str">
        <f>"-"</f>
        <v>-</v>
      </c>
      <c r="C10610" s="8" t="s">
        <v>1748</v>
      </c>
    </row>
    <row r="10611" spans="1:3" x14ac:dyDescent="0.25">
      <c r="A10611" s="8" t="str">
        <f>"Laser Metrology and Machine Performance VIII - 8th International Conference and Exhibition on Laser Metrology, Machine Tool, CMM and Robotic Performance, LAMDAMAP 2007"</f>
        <v>Laser Metrology and Machine Performance VIII - 8th International Conference and Exhibition on Laser Metrology, Machine Tool, CMM and Robotic Performance, LAMDAMAP 2007</v>
      </c>
      <c r="B10611" s="8" t="str">
        <f>"9780955308239"</f>
        <v>9780955308239</v>
      </c>
      <c r="C10611" s="8" t="s">
        <v>1748</v>
      </c>
    </row>
    <row r="10612" spans="1:3" x14ac:dyDescent="0.25">
      <c r="A10612" s="8" t="str">
        <f>"Laser Metrology and Machine Performance X - 10th International Conference and Exhibition on Laser Metrology, Machine Tool, CMM and Robotic Performance, LAMDAMAP 2013"</f>
        <v>Laser Metrology and Machine Performance X - 10th International Conference and Exhibition on Laser Metrology, Machine Tool, CMM and Robotic Performance, LAMDAMAP 2013</v>
      </c>
      <c r="B10612" s="8" t="str">
        <f>"9780956679017"</f>
        <v>9780956679017</v>
      </c>
      <c r="C10612" s="8" t="s">
        <v>1748</v>
      </c>
    </row>
    <row r="10613" spans="1:3" x14ac:dyDescent="0.25">
      <c r="A10613" s="8" t="str">
        <f>"Laser Science, LS 2012"</f>
        <v>Laser Science, LS 2012</v>
      </c>
      <c r="B10613" s="8" t="str">
        <f>"9781557529565"</f>
        <v>9781557529565</v>
      </c>
      <c r="C10613" s="8" t="s">
        <v>86</v>
      </c>
    </row>
    <row r="10614" spans="1:3" x14ac:dyDescent="0.25">
      <c r="A10614" s="8" t="str">
        <f>"Lasers and Electro-Optics/Quantum Electronics and Laser Science Conference: 2010 Laser Science to Photonic Applications, CLEO/QELS 2010"</f>
        <v>Lasers and Electro-Optics/Quantum Electronics and Laser Science Conference: 2010 Laser Science to Photonic Applications, CLEO/QELS 2010</v>
      </c>
      <c r="B10614" s="8" t="str">
        <f>"9781557528902"</f>
        <v>9781557528902</v>
      </c>
      <c r="C10614" s="8" t="s">
        <v>21</v>
      </c>
    </row>
    <row r="10615" spans="1:3" x14ac:dyDescent="0.25">
      <c r="A10615" s="8" t="str">
        <f>"Lasers in the Conservation of Artworks - Proceedings of the International Conference LACONA 7"</f>
        <v>Lasers in the Conservation of Artworks - Proceedings of the International Conference LACONA 7</v>
      </c>
      <c r="B10615" s="8" t="str">
        <f>"9780415475969"</f>
        <v>9780415475969</v>
      </c>
      <c r="C10615" s="8" t="s">
        <v>1637</v>
      </c>
    </row>
    <row r="10616" spans="1:3" x14ac:dyDescent="0.25">
      <c r="A10616" s="8" t="str">
        <f>"Lasers in the Conservation of Artworks VIII - Proceedings of the International Conference on Lasers in the Conservation of Artworks VIII, LACONA VIII"</f>
        <v>Lasers in the Conservation of Artworks VIII - Proceedings of the International Conference on Lasers in the Conservation of Artworks VIII, LACONA VIII</v>
      </c>
      <c r="B10616" s="8" t="str">
        <f>"9780415580731"</f>
        <v>9780415580731</v>
      </c>
      <c r="C10616" s="8" t="s">
        <v>1637</v>
      </c>
    </row>
    <row r="10617" spans="1:3" x14ac:dyDescent="0.25">
      <c r="A10617" s="8" t="str">
        <f>"LATE @ AOSD 2008: Proceedings of the 4th Linking Aspect Technology and Evolution Workshop - Held at the 7th International Conference on Aspect-Oriented Software Development"</f>
        <v>LATE @ AOSD 2008: Proceedings of the 4th Linking Aspect Technology and Evolution Workshop - Held at the 7th International Conference on Aspect-Oriented Software Development</v>
      </c>
      <c r="B10617" s="8" t="str">
        <f>"9781605581477"</f>
        <v>9781605581477</v>
      </c>
      <c r="C10617" s="8" t="s">
        <v>21</v>
      </c>
    </row>
    <row r="10618" spans="1:3" x14ac:dyDescent="0.25">
      <c r="A10618" s="8" t="str">
        <f>"Latin America Optics and Photonics Conference, LAOP 2014"</f>
        <v>Latin America Optics and Photonics Conference, LAOP 2014</v>
      </c>
      <c r="B10618" s="8" t="str">
        <f>"9781557528254"</f>
        <v>9781557528254</v>
      </c>
      <c r="C10618" s="8" t="s">
        <v>86</v>
      </c>
    </row>
    <row r="10619" spans="1:3" x14ac:dyDescent="0.25">
      <c r="A10619" s="8" t="str">
        <f>"LATW 2011 - 12th IEEE Latin-American Test Workshop"</f>
        <v>LATW 2011 - 12th IEEE Latin-American Test Workshop</v>
      </c>
      <c r="B10619" s="8" t="str">
        <f>"9781457714900"</f>
        <v>9781457714900</v>
      </c>
      <c r="C10619" s="8" t="s">
        <v>9</v>
      </c>
    </row>
    <row r="10620" spans="1:3" x14ac:dyDescent="0.25">
      <c r="A10620" s="8" t="str">
        <f>"LATW 2012 - 13th IEEE Latin American Test Workshop"</f>
        <v>LATW 2012 - 13th IEEE Latin American Test Workshop</v>
      </c>
      <c r="B10620" s="8" t="str">
        <f>"9781467323567"</f>
        <v>9781467323567</v>
      </c>
      <c r="C10620" s="8" t="s">
        <v>9</v>
      </c>
    </row>
    <row r="10621" spans="1:3" x14ac:dyDescent="0.25">
      <c r="A10621" s="8" t="str">
        <f>"LATW 2013 - 14th IEEE Latin-American Test Workshop"</f>
        <v>LATW 2013 - 14th IEEE Latin-American Test Workshop</v>
      </c>
      <c r="B10621" s="8" t="str">
        <f>"9781479905973"</f>
        <v>9781479905973</v>
      </c>
      <c r="C10621" s="8" t="s">
        <v>9</v>
      </c>
    </row>
    <row r="10622" spans="1:3" x14ac:dyDescent="0.25">
      <c r="A10622" s="8" t="str">
        <f>"LATW2010 - 11th Latin-American Test Workshop"</f>
        <v>LATW2010 - 11th Latin-American Test Workshop</v>
      </c>
      <c r="B10622" s="8" t="str">
        <f>"9781424477852"</f>
        <v>9781424477852</v>
      </c>
      <c r="C10622" s="8" t="s">
        <v>9</v>
      </c>
    </row>
    <row r="10623" spans="1:3" x14ac:dyDescent="0.25">
      <c r="A10623" s="8" t="str">
        <f>"LAW 2012 - 6th Linguistic Annotation Workshop, In Conjunction with ACL 2012 - Proceedings"</f>
        <v>LAW 2012 - 6th Linguistic Annotation Workshop, In Conjunction with ACL 2012 - Proceedings</v>
      </c>
      <c r="B10623" s="8" t="str">
        <f>"9781937284329"</f>
        <v>9781937284329</v>
      </c>
      <c r="C10623" s="8" t="s">
        <v>554</v>
      </c>
    </row>
    <row r="10624" spans="1:3" x14ac:dyDescent="0.25">
      <c r="A10624" s="8" t="str">
        <f>"LCSD 2007 - Proceedings of the 2007 ACM SIGPLAN Symposium on Library-Centric Software Design"</f>
        <v>LCSD 2007 - Proceedings of the 2007 ACM SIGPLAN Symposium on Library-Centric Software Design</v>
      </c>
      <c r="B10624" s="8" t="str">
        <f>"9781605580869"</f>
        <v>9781605580869</v>
      </c>
      <c r="C10624" s="8" t="s">
        <v>21</v>
      </c>
    </row>
    <row r="10625" spans="1:3" x14ac:dyDescent="0.25">
      <c r="A10625" s="8" t="str">
        <f>"LCWS 2005 - 2005 International Linear Collider Workshop"</f>
        <v>LCWS 2005 - 2005 International Linear Collider Workshop</v>
      </c>
      <c r="B10625" s="8" t="str">
        <f>"-"</f>
        <v>-</v>
      </c>
      <c r="C10625" s="8" t="s">
        <v>1471</v>
      </c>
    </row>
    <row r="10626" spans="1:3" x14ac:dyDescent="0.25">
      <c r="A10626" s="8" t="str">
        <f>"Le Document a l'ere de la Differenciation Numerique - 14e Colloque International sur le Document Electronique, CIDE.14"</f>
        <v>Le Document a l'ere de la Differenciation Numerique - 14e Colloque International sur le Document Electronique, CIDE.14</v>
      </c>
      <c r="B10626" s="8" t="str">
        <f>"9791090094079"</f>
        <v>9791090094079</v>
      </c>
      <c r="C10626" s="8" t="s">
        <v>1790</v>
      </c>
    </row>
    <row r="10627" spans="1:3" x14ac:dyDescent="0.25">
      <c r="A10627" s="8" t="str">
        <f>"Le Document Electronique - Actes du Neuvieme Colloque International sur le Document Electronique, CIDE.9"</f>
        <v>Le Document Electronique - Actes du Neuvieme Colloque International sur le Document Electronique, CIDE.9</v>
      </c>
      <c r="B10627" s="8" t="str">
        <f>"9782909285368"</f>
        <v>9782909285368</v>
      </c>
      <c r="C10627" s="8" t="s">
        <v>1790</v>
      </c>
    </row>
    <row r="10628" spans="1:3" x14ac:dyDescent="0.25">
      <c r="A10628" s="8" t="str">
        <f>"Lean Construction: A New Paradigm for Managing Capital Projects - 15th IGLC Conference"</f>
        <v>Lean Construction: A New Paradigm for Managing Capital Projects - 15th IGLC Conference</v>
      </c>
      <c r="B10628" s="8" t="str">
        <f>"-"</f>
        <v>-</v>
      </c>
      <c r="C10628" s="8" t="s">
        <v>1259</v>
      </c>
    </row>
    <row r="10629" spans="1:3" x14ac:dyDescent="0.25">
      <c r="A10629" s="8" t="str">
        <f>"Learning by Effective Utilization of Technologies: Facilitating Intercultural Understanding, Proceeding of the 14th International Conference on Computers in Education, ICCE 2006"</f>
        <v>Learning by Effective Utilization of Technologies: Facilitating Intercultural Understanding, Proceeding of the 14th International Conference on Computers in Education, ICCE 2006</v>
      </c>
      <c r="B10629" s="8" t="str">
        <f>"9781586036874"</f>
        <v>9781586036874</v>
      </c>
      <c r="C10629" s="8" t="s">
        <v>1278</v>
      </c>
    </row>
    <row r="10630" spans="1:3" x14ac:dyDescent="0.25">
      <c r="A10630" s="8" t="str">
        <f>"Learning in the Disciplines: ICLS 2010 Conference Proceedings - 9th International Conference of the Learning Sciences"</f>
        <v>Learning in the Disciplines: ICLS 2010 Conference Proceedings - 9th International Conference of the Learning Sciences</v>
      </c>
      <c r="B10630" s="8" t="str">
        <f t="shared" ref="B10630:B10635" si="24">"-"</f>
        <v>-</v>
      </c>
      <c r="C10630" s="8" t="s">
        <v>298</v>
      </c>
    </row>
    <row r="10631" spans="1:3" x14ac:dyDescent="0.25">
      <c r="A10631" s="8" t="str">
        <f>"Learning Language in Logic - Challenge Task: Extracting Relations from Bio-Medical Texts, LLL 2005 - ICML 2005 Workshop"</f>
        <v>Learning Language in Logic - Challenge Task: Extracting Relations from Bio-Medical Texts, LLL 2005 - ICML 2005 Workshop</v>
      </c>
      <c r="B10631" s="8" t="str">
        <f t="shared" si="24"/>
        <v>-</v>
      </c>
      <c r="C10631" s="8" t="s">
        <v>1974</v>
      </c>
    </row>
    <row r="10632" spans="1:3" x14ac:dyDescent="0.25">
      <c r="A10632" s="8" t="str">
        <f>"Lecture Notes and Essays in Astrophysics II"</f>
        <v>Lecture Notes and Essays in Astrophysics II</v>
      </c>
      <c r="B10632" s="8" t="str">
        <f t="shared" si="24"/>
        <v>-</v>
      </c>
      <c r="C10632" s="8" t="s">
        <v>1471</v>
      </c>
    </row>
    <row r="10633" spans="1:3" x14ac:dyDescent="0.25">
      <c r="A10633" s="8" t="str">
        <f>"Lecture Notes and Essays in Astrophysics III"</f>
        <v>Lecture Notes and Essays in Astrophysics III</v>
      </c>
      <c r="B10633" s="8" t="str">
        <f t="shared" si="24"/>
        <v>-</v>
      </c>
      <c r="C10633" s="8" t="s">
        <v>1471</v>
      </c>
    </row>
    <row r="10634" spans="1:3" x14ac:dyDescent="0.25">
      <c r="A10634" s="8" t="str">
        <f>"Lecture Notes for the 2012 RAL School for Experimental High Energy Physics Students"</f>
        <v>Lecture Notes for the 2012 RAL School for Experimental High Energy Physics Students</v>
      </c>
      <c r="B10634" s="8" t="str">
        <f t="shared" si="24"/>
        <v>-</v>
      </c>
      <c r="C10634" s="8" t="s">
        <v>1975</v>
      </c>
    </row>
    <row r="10635" spans="1:3" x14ac:dyDescent="0.25">
      <c r="A10635" s="8" t="str">
        <f>"Lecture Notes for the 2013 HEP School for Experimental High Energy Physics Students"</f>
        <v>Lecture Notes for the 2013 HEP School for Experimental High Energy Physics Students</v>
      </c>
      <c r="B10635" s="8" t="str">
        <f t="shared" si="24"/>
        <v>-</v>
      </c>
      <c r="C10635" s="8" t="s">
        <v>1975</v>
      </c>
    </row>
    <row r="10636" spans="1:3" x14ac:dyDescent="0.25">
      <c r="A10636" s="8" t="str">
        <f>"Lecture Notes on Impedance Spectroscopy: Measurement, Modeling and Applications"</f>
        <v>Lecture Notes on Impedance Spectroscopy: Measurement, Modeling and Applications</v>
      </c>
      <c r="B10636" s="8" t="str">
        <f>"9780415684057"</f>
        <v>9780415684057</v>
      </c>
      <c r="C10636" s="8" t="s">
        <v>1635</v>
      </c>
    </row>
    <row r="10637" spans="1:3" x14ac:dyDescent="0.25">
      <c r="A10637" s="8" t="str">
        <f>"Lecture Notes on Impedance Spectroscopy: Measurement, Modeling and Applications"</f>
        <v>Lecture Notes on Impedance Spectroscopy: Measurement, Modeling and Applications</v>
      </c>
      <c r="B10637" s="8" t="str">
        <f>"9780415644303"</f>
        <v>9780415644303</v>
      </c>
      <c r="C10637" s="8" t="s">
        <v>1619</v>
      </c>
    </row>
    <row r="10638" spans="1:3" x14ac:dyDescent="0.25">
      <c r="A10638" s="8" t="str">
        <f>"Lecture Notes on Impedance Spectroscopy: Measurement, Modeling and Applications"</f>
        <v>Lecture Notes on Impedance Spectroscopy: Measurement, Modeling and Applications</v>
      </c>
      <c r="B10638" s="8" t="str">
        <f>"-"</f>
        <v>-</v>
      </c>
      <c r="C10638" s="8" t="s">
        <v>1619</v>
      </c>
    </row>
    <row r="10639" spans="1:3" x14ac:dyDescent="0.25">
      <c r="A10639" s="8" t="str">
        <f>"Lecture Notes on Numerical Methods for Hyperbolic Equations: Short Course Book"</f>
        <v>Lecture Notes on Numerical Methods for Hyperbolic Equations: Short Course Book</v>
      </c>
      <c r="B10639" s="8" t="str">
        <f>"9780415683883"</f>
        <v>9780415683883</v>
      </c>
      <c r="C10639" s="8" t="s">
        <v>1635</v>
      </c>
    </row>
    <row r="10640" spans="1:3" x14ac:dyDescent="0.25">
      <c r="A10640" s="8" t="str">
        <f>"Legislation, Technology and Practice of Mine Land Reclamation - Proceedings of the Beijing International Symposium Land Reclamation and Ecological Restoration, LRER 2014"</f>
        <v>Legislation, Technology and Practice of Mine Land Reclamation - Proceedings of the Beijing International Symposium Land Reclamation and Ecological Restoration, LRER 2014</v>
      </c>
      <c r="B10640" s="8" t="str">
        <f>"9781138027244"</f>
        <v>9781138027244</v>
      </c>
      <c r="C10640" s="8" t="s">
        <v>1635</v>
      </c>
    </row>
    <row r="10641" spans="1:3" x14ac:dyDescent="0.25">
      <c r="A10641" s="8" t="str">
        <f>"LEM 2005 - 3rd International Conference on Leading Edge Manufacturing in 21st Century"</f>
        <v>LEM 2005 - 3rd International Conference on Leading Edge Manufacturing in 21st Century</v>
      </c>
      <c r="B10641" s="8" t="str">
        <f>"-"</f>
        <v>-</v>
      </c>
      <c r="C10641" s="8" t="s">
        <v>653</v>
      </c>
    </row>
    <row r="10642" spans="1:3" x14ac:dyDescent="0.25">
      <c r="A10642" s="8" t="str">
        <f>"LEM 2007 - 4th International Conference on Leading Edge Manufacturing in 21st Century, Proceedings"</f>
        <v>LEM 2007 - 4th International Conference on Leading Edge Manufacturing in 21st Century, Proceedings</v>
      </c>
      <c r="B10642" s="8" t="str">
        <f>"-"</f>
        <v>-</v>
      </c>
      <c r="C10642" s="8" t="s">
        <v>653</v>
      </c>
    </row>
    <row r="10643" spans="1:3" x14ac:dyDescent="0.25">
      <c r="A10643" s="8" t="str">
        <f>"Lernen, Wissensentdeckung und Adaptivitat, LWA 2005"</f>
        <v>Lernen, Wissensentdeckung und Adaptivitat, LWA 2005</v>
      </c>
      <c r="B10643" s="8" t="str">
        <f>"-"</f>
        <v>-</v>
      </c>
      <c r="C10643" s="8" t="s">
        <v>1976</v>
      </c>
    </row>
    <row r="10644" spans="1:3" x14ac:dyDescent="0.25">
      <c r="A10644" s="8" t="str">
        <f>"Lernen, Wissensentdeckung und Adaptivitat, LWA 2006"</f>
        <v>Lernen, Wissensentdeckung und Adaptivitat, LWA 2006</v>
      </c>
      <c r="B10644" s="8" t="str">
        <f>"-"</f>
        <v>-</v>
      </c>
      <c r="C10644" s="8" t="s">
        <v>1976</v>
      </c>
    </row>
    <row r="10645" spans="1:3" x14ac:dyDescent="0.25">
      <c r="A10645" s="8" t="str">
        <f>"LESCOPE 2001 - 2001 Large Engineering Systems Conference on Power Engineering: Powering Beyond 2001, Conference Proceedings"</f>
        <v>LESCOPE 2001 - 2001 Large Engineering Systems Conference on Power Engineering: Powering Beyond 2001, Conference Proceedings</v>
      </c>
      <c r="B10645" s="8" t="str">
        <f>"9780780371071"</f>
        <v>9780780371071</v>
      </c>
      <c r="C10645" s="8" t="s">
        <v>105</v>
      </c>
    </row>
    <row r="10646" spans="1:3" x14ac:dyDescent="0.25">
      <c r="A10646" s="8" t="str">
        <f>"LESCOPE 2002 - 2002 Large Engineering Systems Conference on Power Engineering: Energy for the Future, Conference Proceedings"</f>
        <v>LESCOPE 2002 - 2002 Large Engineering Systems Conference on Power Engineering: Energy for the Future, Conference Proceedings</v>
      </c>
      <c r="B10646" s="8" t="str">
        <f>"9780780375208"</f>
        <v>9780780375208</v>
      </c>
      <c r="C10646" s="8" t="s">
        <v>105</v>
      </c>
    </row>
    <row r="10647" spans="1:3" x14ac:dyDescent="0.25">
      <c r="A10647" s="8" t="str">
        <f>"LESCOPE'06: 2006 Large Engineering Systems Conference on Power Engineering - Conference Proceedings"</f>
        <v>LESCOPE'06: 2006 Large Engineering Systems Conference on Power Engineering - Conference Proceedings</v>
      </c>
      <c r="B10647" s="8" t="str">
        <f>"-"</f>
        <v>-</v>
      </c>
      <c r="C10647" s="8" t="s">
        <v>9</v>
      </c>
    </row>
    <row r="10648" spans="1:3" x14ac:dyDescent="0.25">
      <c r="A10648" s="8" t="str">
        <f>"LESCOPE'07 - 2007 Large Engineering Systems Conference on Power Engineering"</f>
        <v>LESCOPE'07 - 2007 Large Engineering Systems Conference on Power Engineering</v>
      </c>
      <c r="B10648" s="8" t="str">
        <f>"9781424415830"</f>
        <v>9781424415830</v>
      </c>
      <c r="C10648" s="8" t="s">
        <v>9</v>
      </c>
    </row>
    <row r="10649" spans="1:3" x14ac:dyDescent="0.25">
      <c r="A10649" s="8" t="str">
        <f>"Lester Eastman Conference 2014 - High Performance Devices, LEC 2014"</f>
        <v>Lester Eastman Conference 2014 - High Performance Devices, LEC 2014</v>
      </c>
      <c r="B10649" s="8" t="str">
        <f>"9781479964413"</f>
        <v>9781479964413</v>
      </c>
      <c r="C10649" s="8" t="s">
        <v>105</v>
      </c>
    </row>
    <row r="10650" spans="1:3" x14ac:dyDescent="0.25">
      <c r="A10650" s="8" t="str">
        <f>"Leveraging Technology for a Sustainable World - Proceedings of the 19th CIRP Conference on Life Cycle Engineering"</f>
        <v>Leveraging Technology for a Sustainable World - Proceedings of the 19th CIRP Conference on Life Cycle Engineering</v>
      </c>
      <c r="B10650" s="8" t="str">
        <f>"9783642290688"</f>
        <v>9783642290688</v>
      </c>
      <c r="C10650" s="8" t="s">
        <v>582</v>
      </c>
    </row>
    <row r="10651" spans="1:3" x14ac:dyDescent="0.25">
      <c r="A10651" s="8" t="str">
        <f>"LFMTP'12 - Proceedings of the ACM SIGPLAN Workshop on Logical Frameworks and Meta Languages, Theory and Practice"</f>
        <v>LFMTP'12 - Proceedings of the ACM SIGPLAN Workshop on Logical Frameworks and Meta Languages, Theory and Practice</v>
      </c>
      <c r="B10651" s="8" t="str">
        <f>"9781450315784"</f>
        <v>9781450315784</v>
      </c>
      <c r="C10651" s="8" t="s">
        <v>21</v>
      </c>
    </row>
    <row r="10652" spans="1:3" x14ac:dyDescent="0.25">
      <c r="A10652" s="8" t="str">
        <f>"LHC Project Workshop: 14th Chamonix Workshop - Proceedings"</f>
        <v>LHC Project Workshop: 14th Chamonix Workshop - Proceedings</v>
      </c>
      <c r="B10652" s="8" t="str">
        <f>"-"</f>
        <v>-</v>
      </c>
      <c r="C10652" s="8" t="s">
        <v>259</v>
      </c>
    </row>
    <row r="10653" spans="1:3" x14ac:dyDescent="0.25">
      <c r="A10653" s="8" t="str">
        <f>"Liaison Functions 2013 - Core Programming Area at the 2013 AIChE Annual Meeting: Global Challenges for Engineering a Sustainable Future"</f>
        <v>Liaison Functions 2013 - Core Programming Area at the 2013 AIChE Annual Meeting: Global Challenges for Engineering a Sustainable Future</v>
      </c>
      <c r="B10653" s="8" t="str">
        <f>"9781634390446"</f>
        <v>9781634390446</v>
      </c>
      <c r="C10653" s="8" t="s">
        <v>1219</v>
      </c>
    </row>
    <row r="10654" spans="1:3" x14ac:dyDescent="0.25">
      <c r="A10654" s="8" t="str">
        <f>"Liaison Functions 2014 - Core Programming Area at the 2014 AIChE Spring Meeting and 10th Global Congress on Process Safety"</f>
        <v>Liaison Functions 2014 - Core Programming Area at the 2014 AIChE Spring Meeting and 10th Global Congress on Process Safety</v>
      </c>
      <c r="B10654" s="8" t="str">
        <f>"9781634390743"</f>
        <v>9781634390743</v>
      </c>
      <c r="C10654" s="8" t="s">
        <v>1219</v>
      </c>
    </row>
    <row r="10655" spans="1:3" x14ac:dyDescent="0.25">
      <c r="A10655" s="8" t="str">
        <f>"Liaison Functions Conference, Presentations at the 2008 AIChE Spring National Meeting"</f>
        <v>Liaison Functions Conference, Presentations at the 2008 AIChE Spring National Meeting</v>
      </c>
      <c r="B10655" s="8" t="str">
        <f>"9781605602226"</f>
        <v>9781605602226</v>
      </c>
      <c r="C10655" s="8" t="s">
        <v>1219</v>
      </c>
    </row>
    <row r="10656" spans="1:3" x14ac:dyDescent="0.25">
      <c r="A10656" s="8" t="str">
        <f>"Life In:formation: On Responsive Information and Variations in Architecture - Proceedings of the 30th Annual Conference of the Association for Computer Aided Design in Architecture, ACADIA 2010"</f>
        <v>Life In:formation: On Responsive Information and Variations in Architecture - Proceedings of the 30th Annual Conference of the Association for Computer Aided Design in Architecture, ACADIA 2010</v>
      </c>
      <c r="B10656" s="8" t="str">
        <f>"9781450734714"</f>
        <v>9781450734714</v>
      </c>
      <c r="C10656" s="8" t="s">
        <v>1621</v>
      </c>
    </row>
    <row r="10657" spans="1:3" x14ac:dyDescent="0.25">
      <c r="A10657" s="8" t="str">
        <f>"Life-Cycle and Sustainability of Civil Infrastructure Systems - Proceedings of the 3rd International Symposium on Life-Cycle Civil Engineering, IALCCE 2012"</f>
        <v>Life-Cycle and Sustainability of Civil Infrastructure Systems - Proceedings of the 3rd International Symposium on Life-Cycle Civil Engineering, IALCCE 2012</v>
      </c>
      <c r="B10657" s="8" t="str">
        <f>"9780415621267"</f>
        <v>9780415621267</v>
      </c>
      <c r="C10657" s="8" t="s">
        <v>1619</v>
      </c>
    </row>
    <row r="10658" spans="1:3" x14ac:dyDescent="0.25">
      <c r="A10658" s="8" t="str">
        <f>"Life-Cycle Civil Engineering - Proceedings of the 1st International Symposium on Life-Cycle Civil Engineering, IALCCE '08"</f>
        <v>Life-Cycle Civil Engineering - Proceedings of the 1st International Symposium on Life-Cycle Civil Engineering, IALCCE '08</v>
      </c>
      <c r="B10658" s="8" t="str">
        <f>"9780415468572"</f>
        <v>9780415468572</v>
      </c>
      <c r="C10658" s="8" t="s">
        <v>1637</v>
      </c>
    </row>
    <row r="10659" spans="1:3" x14ac:dyDescent="0.25">
      <c r="A10659" s="8" t="str">
        <f>"Life-Cycle Cost and Performance of Civil Infrastructure Systems - Proceedings of the 5th International Workshop on Life-Cycle Cost Analysis and Design of Civil Infrastructure Systems"</f>
        <v>Life-Cycle Cost and Performance of Civil Infrastructure Systems - Proceedings of the 5th International Workshop on Life-Cycle Cost Analysis and Design of Civil Infrastructure Systems</v>
      </c>
      <c r="B10659" s="8" t="str">
        <f>"9780415413565"</f>
        <v>9780415413565</v>
      </c>
      <c r="C10659" s="8" t="s">
        <v>1619</v>
      </c>
    </row>
    <row r="10660" spans="1:3" x14ac:dyDescent="0.25">
      <c r="A10660" s="8" t="str">
        <f>"Life-Cycle of Structural Systems: Design, Assessment, Maintenance and Management - Proceedings of the 4th International Symposium on Life-Cycle Civil Engineering, IALCCE 2014"</f>
        <v>Life-Cycle of Structural Systems: Design, Assessment, Maintenance and Management - Proceedings of the 4th International Symposium on Life-Cycle Civil Engineering, IALCCE 2014</v>
      </c>
      <c r="B10660" s="8" t="str">
        <f>"9781138001206"</f>
        <v>9781138001206</v>
      </c>
      <c r="C10660" s="8" t="s">
        <v>1635</v>
      </c>
    </row>
    <row r="10661" spans="1:3" x14ac:dyDescent="0.25">
      <c r="A10661" s="8" t="str">
        <f>"Life-Cycle Performance of Deteriorating Structures"</f>
        <v>Life-Cycle Performance of Deteriorating Structures</v>
      </c>
      <c r="B10661" s="8" t="str">
        <f>"9780784407073"</f>
        <v>9780784407073</v>
      </c>
      <c r="C10661" s="8" t="s">
        <v>111</v>
      </c>
    </row>
    <row r="10662" spans="1:3" x14ac:dyDescent="0.25">
      <c r="A10662" s="8" t="str">
        <f>"Limit States of Materials and Structures: Direct Methods"</f>
        <v>Limit States of Materials and Structures: Direct Methods</v>
      </c>
      <c r="B10662" s="8" t="str">
        <f>"9781402096334"</f>
        <v>9781402096334</v>
      </c>
      <c r="C10662" s="8" t="s">
        <v>162</v>
      </c>
    </row>
    <row r="10663" spans="1:3" x14ac:dyDescent="0.25">
      <c r="A10663" s="8" t="str">
        <f>"LINDI 2007 - International Symposium on Logistics and Industrial Informatics 2007, Proceedings"</f>
        <v>LINDI 2007 - International Symposium on Logistics and Industrial Informatics 2007, Proceedings</v>
      </c>
      <c r="B10663" s="8" t="str">
        <f>"9781424414413"</f>
        <v>9781424414413</v>
      </c>
      <c r="C10663" s="8" t="s">
        <v>9</v>
      </c>
    </row>
    <row r="10664" spans="1:3" x14ac:dyDescent="0.25">
      <c r="A10664" s="8" t="str">
        <f>"LINDI 2011 - 3rd IEEE International Symposium on Logistics and Industrial Informatics, Proceedings"</f>
        <v>LINDI 2011 - 3rd IEEE International Symposium on Logistics and Industrial Informatics, Proceedings</v>
      </c>
      <c r="B10664" s="8" t="str">
        <f>"9781457718410"</f>
        <v>9781457718410</v>
      </c>
      <c r="C10664" s="8" t="s">
        <v>9</v>
      </c>
    </row>
    <row r="10665" spans="1:3" x14ac:dyDescent="0.25">
      <c r="A10665" s="8" t="str">
        <f>"LINDI 2012 - 4th IEEE International Symposium on Logistics and Industrial Informatics, Proceedings"</f>
        <v>LINDI 2012 - 4th IEEE International Symposium on Logistics and Industrial Informatics, Proceedings</v>
      </c>
      <c r="B10665" s="8" t="str">
        <f>"9781467345194"</f>
        <v>9781467345194</v>
      </c>
      <c r="C10665" s="8" t="s">
        <v>9</v>
      </c>
    </row>
    <row r="10666" spans="1:3" x14ac:dyDescent="0.25">
      <c r="A10666" s="8" t="str">
        <f>"Linked Topic Maps - 5th International Conference on Topic Maps Research and Applications, TMRA 2009"</f>
        <v>Linked Topic Maps - 5th International Conference on Topic Maps Research and Applications, TMRA 2009</v>
      </c>
      <c r="B10666" s="8" t="str">
        <f>"9783941608061"</f>
        <v>9783941608061</v>
      </c>
      <c r="C10666" s="8" t="s">
        <v>1909</v>
      </c>
    </row>
    <row r="10667" spans="1:3" x14ac:dyDescent="0.25">
      <c r="A10667" s="8" t="str">
        <f>"Linking Stormwater BMP Designs and Performance to Receiving Water Impact Mitigation"</f>
        <v>Linking Stormwater BMP Designs and Performance to Receiving Water Impact Mitigation</v>
      </c>
      <c r="B10667" s="8" t="str">
        <f>"9780784406021"</f>
        <v>9780784406021</v>
      </c>
      <c r="C10667" s="8" t="s">
        <v>111</v>
      </c>
    </row>
    <row r="10668" spans="1:3" x14ac:dyDescent="0.25">
      <c r="A10668" s="8" t="str">
        <f>"LISS 2011 - Proceedings of the 1st International Conference on Logistics, Informatics and Service Science"</f>
        <v>LISS 2011 - Proceedings of the 1st International Conference on Logistics, Informatics and Service Science</v>
      </c>
      <c r="B10668" s="8" t="str">
        <f>"-"</f>
        <v>-</v>
      </c>
      <c r="C10668" s="8" t="s">
        <v>1197</v>
      </c>
    </row>
    <row r="10669" spans="1:3" x14ac:dyDescent="0.25">
      <c r="A10669" s="8" t="str">
        <f>"LISS 2012 - Proceedings of 2nd International Conference on Logistics, Informatics and Service Science"</f>
        <v>LISS 2012 - Proceedings of 2nd International Conference on Logistics, Informatics and Service Science</v>
      </c>
      <c r="B10669" s="8" t="str">
        <f>"9783642320538"</f>
        <v>9783642320538</v>
      </c>
      <c r="C10669" s="8" t="s">
        <v>162</v>
      </c>
    </row>
    <row r="10670" spans="1:3" x14ac:dyDescent="0.25">
      <c r="A10670" s="8" t="str">
        <f>"Livestock Environment VII - Proceedings of the Seventh International Symposium"</f>
        <v>Livestock Environment VII - Proceedings of the Seventh International Symposium</v>
      </c>
      <c r="B10670" s="8" t="str">
        <f>"9781892769480"</f>
        <v>9781892769480</v>
      </c>
      <c r="C10670" s="8" t="s">
        <v>140</v>
      </c>
    </row>
    <row r="10671" spans="1:3" x14ac:dyDescent="0.25">
      <c r="A10671" s="8" t="str">
        <f>"Livestock Environment VIII - Proceedings of the 8th International Symposium"</f>
        <v>Livestock Environment VIII - Proceedings of the 8th International Symposium</v>
      </c>
      <c r="B10671" s="8" t="str">
        <f>"9781892769688"</f>
        <v>9781892769688</v>
      </c>
      <c r="C10671" s="8" t="s">
        <v>140</v>
      </c>
    </row>
    <row r="10672" spans="1:3" x14ac:dyDescent="0.25">
      <c r="A10672" s="8" t="str">
        <f>"LMPC 2005 - Proceedings of the 2005 International Symposium on Liquid Metal Processing and Casting"</f>
        <v>LMPC 2005 - Proceedings of the 2005 International Symposium on Liquid Metal Processing and Casting</v>
      </c>
      <c r="B10672" s="8" t="str">
        <f>"-"</f>
        <v>-</v>
      </c>
      <c r="C10672" s="8" t="s">
        <v>65</v>
      </c>
    </row>
    <row r="10673" spans="1:3" x14ac:dyDescent="0.25">
      <c r="A10673" s="8" t="str">
        <f>"Local and Global in Knowledge Management - Why Culture Matters, Proceedings of the 8th Australian Conference of Knowledge Management and Intelligent Decision Support"</f>
        <v>Local and Global in Knowledge Management - Why Culture Matters, Proceedings of the 8th Australian Conference of Knowledge Management and Intelligent Decision Support</v>
      </c>
      <c r="B10673" s="8" t="str">
        <f>"9781740971256"</f>
        <v>9781740971256</v>
      </c>
      <c r="C10673" s="8" t="s">
        <v>1919</v>
      </c>
    </row>
    <row r="10674" spans="1:3" x14ac:dyDescent="0.25">
      <c r="A10674" s="8" t="str">
        <f>"Local to Global Data Interoperability - Challenges and Technologies, 2005"</f>
        <v>Local to Global Data Interoperability - Challenges and Technologies, 2005</v>
      </c>
      <c r="B10674" s="8" t="str">
        <f>"-"</f>
        <v>-</v>
      </c>
      <c r="C10674" s="8" t="s">
        <v>9</v>
      </c>
    </row>
    <row r="10675" spans="1:3" x14ac:dyDescent="0.25">
      <c r="A10675" s="8" t="str">
        <f>"LocalPeMA'12 - Proceedings of the 2012 RecSys Workshop on Personalizing the Local Mobile Experience"</f>
        <v>LocalPeMA'12 - Proceedings of the 2012 RecSys Workshop on Personalizing the Local Mobile Experience</v>
      </c>
      <c r="B10675" s="8" t="str">
        <f>"9781450316392"</f>
        <v>9781450316392</v>
      </c>
      <c r="C10675" s="8" t="s">
        <v>21</v>
      </c>
    </row>
    <row r="10676" spans="1:3" x14ac:dyDescent="0.25">
      <c r="A10676" s="8" t="str">
        <f>"Long Span Bridges and Roofs - Development, Design and Implementation"</f>
        <v>Long Span Bridges and Roofs - Development, Design and Implementation</v>
      </c>
      <c r="B10676" s="8" t="str">
        <f>"9783857481284"</f>
        <v>9783857481284</v>
      </c>
      <c r="C10676" s="8" t="s">
        <v>1686</v>
      </c>
    </row>
    <row r="10677" spans="1:3" x14ac:dyDescent="0.25">
      <c r="A10677" s="8" t="str">
        <f>"Long-Term and Dynamical Aspects of Information Security: Emerging Trends in Information and Communication Security"</f>
        <v>Long-Term and Dynamical Aspects of Information Security: Emerging Trends in Information and Communication Security</v>
      </c>
      <c r="B10677" s="8" t="str">
        <f>"9781600219122"</f>
        <v>9781600219122</v>
      </c>
      <c r="C10677" s="8" t="s">
        <v>1977</v>
      </c>
    </row>
    <row r="10678" spans="1:3" x14ac:dyDescent="0.25">
      <c r="A10678" s="8" t="str">
        <f>"Long-term Benefits and Performance of Dams - Proceedings of the 13th Conference of the British Dam Society and the ICOLD European Club Meeting"</f>
        <v>Long-term Benefits and Performance of Dams - Proceedings of the 13th Conference of the British Dam Society and the ICOLD European Club Meeting</v>
      </c>
      <c r="B10678" s="8" t="str">
        <f>"9780727732682"</f>
        <v>9780727732682</v>
      </c>
      <c r="C10678" s="8" t="s">
        <v>74</v>
      </c>
    </row>
    <row r="10679" spans="1:3" x14ac:dyDescent="0.25">
      <c r="A10679" s="8" t="str">
        <f>"Loughborough Antennas and Propagation Conference, LAPC 2009 - Conference Proceedings"</f>
        <v>Loughborough Antennas and Propagation Conference, LAPC 2009 - Conference Proceedings</v>
      </c>
      <c r="B10679" s="8" t="str">
        <f>"9781424427208"</f>
        <v>9781424427208</v>
      </c>
      <c r="C10679" s="8" t="s">
        <v>9</v>
      </c>
    </row>
    <row r="10680" spans="1:3" x14ac:dyDescent="0.25">
      <c r="A10680" s="8" t="str">
        <f>"Low Impact Development 2010: Redefining Water in the City - Proceedings of the 2010 International Low Impact Development Conference"</f>
        <v>Low Impact Development 2010: Redefining Water in the City - Proceedings of the 2010 International Low Impact Development Conference</v>
      </c>
      <c r="B10680" s="8" t="str">
        <f>"9780784410998"</f>
        <v>9780784410998</v>
      </c>
      <c r="C10680" s="8" t="s">
        <v>111</v>
      </c>
    </row>
    <row r="10681" spans="1:3" x14ac:dyDescent="0.25">
      <c r="A10681" s="8" t="str">
        <f>"Low Impact Development for Urban Ecosystem and Habitat Protection"</f>
        <v>Low Impact Development for Urban Ecosystem and Habitat Protection</v>
      </c>
      <c r="B10681" s="8" t="str">
        <f>"9780784410097"</f>
        <v>9780784410097</v>
      </c>
      <c r="C10681" s="8" t="s">
        <v>111</v>
      </c>
    </row>
    <row r="10682" spans="1:3" x14ac:dyDescent="0.25">
      <c r="A10682" s="8" t="str">
        <f>"Low Impact Development: New and Continuing Applications - Proceedings of the 2nd National Low Impact Development Conference 2007"</f>
        <v>Low Impact Development: New and Continuing Applications - Proceedings of the 2nd National Low Impact Development Conference 2007</v>
      </c>
      <c r="B10682" s="8" t="str">
        <f>"9780784410073"</f>
        <v>9780784410073</v>
      </c>
      <c r="C10682" s="8" t="s">
        <v>111</v>
      </c>
    </row>
    <row r="10683" spans="1:3" x14ac:dyDescent="0.25">
      <c r="A10683" s="8" t="str">
        <f>"LSAME 2008 - Leuven Symposium on Applied Mechanics in Engineering, Conference Proceedings"</f>
        <v>LSAME 2008 - Leuven Symposium on Applied Mechanics in Engineering, Conference Proceedings</v>
      </c>
      <c r="B10683" s="8" t="str">
        <f>"-"</f>
        <v>-</v>
      </c>
      <c r="C10683" s="8" t="s">
        <v>1978</v>
      </c>
    </row>
    <row r="10684" spans="1:3" x14ac:dyDescent="0.25">
      <c r="A10684" s="8" t="str">
        <f>"LSAP'11 - Proceedings of the 3rd International Workshop on Large-Scale System and Application Performance"</f>
        <v>LSAP'11 - Proceedings of the 3rd International Workshop on Large-Scale System and Application Performance</v>
      </c>
      <c r="B10684" s="8" t="str">
        <f>"9781450307031"</f>
        <v>9781450307031</v>
      </c>
      <c r="C10684" s="8" t="s">
        <v>21</v>
      </c>
    </row>
    <row r="10685" spans="1:3" x14ac:dyDescent="0.25">
      <c r="A10685" s="8" t="str">
        <f>"LT 2014 - Proceedings of the 2014 ACM International Workshop on Large Scale Testing, Co-located with ICPE 2014"</f>
        <v>LT 2014 - Proceedings of the 2014 ACM International Workshop on Large Scale Testing, Co-located with ICPE 2014</v>
      </c>
      <c r="B10685" s="8" t="str">
        <f>"9781450327626"</f>
        <v>9781450327626</v>
      </c>
      <c r="C10685" s="8" t="s">
        <v>21</v>
      </c>
    </row>
    <row r="10686" spans="1:3" x14ac:dyDescent="0.25">
      <c r="A10686" s="8" t="str">
        <f>"LT 2015 - Proceedings of the 4th ACM/SPEC International Workshop on Large-Scale Testing, in Conjunction with ICPE 2015"</f>
        <v>LT 2015 - Proceedings of the 4th ACM/SPEC International Workshop on Large-Scale Testing, in Conjunction with ICPE 2015</v>
      </c>
      <c r="B10686" s="8" t="str">
        <f>"9781450333375"</f>
        <v>9781450333375</v>
      </c>
      <c r="C10686" s="8" t="s">
        <v>1235</v>
      </c>
    </row>
    <row r="10687" spans="1:3" x14ac:dyDescent="0.25">
      <c r="A10687" s="8" t="str">
        <f>"LWA 2007 - Lernen - Wissen - Adaptivitat - Learning, Knowledge, and Adaptivity, Workshop Proceedings"</f>
        <v>LWA 2007 - Lernen - Wissen - Adaptivitat - Learning, Knowledge, and Adaptivity, Workshop Proceedings</v>
      </c>
      <c r="B10687" s="8" t="str">
        <f>"9783860109076"</f>
        <v>9783860109076</v>
      </c>
      <c r="C10687" s="8" t="s">
        <v>1979</v>
      </c>
    </row>
    <row r="10688" spans="1:3" x14ac:dyDescent="0.25">
      <c r="A10688" s="8" t="str">
        <f>"LWA 2008 - Workshop-Woche: Lernen, Wissen and Adaptivitat"</f>
        <v>LWA 2008 - Workshop-Woche: Lernen, Wissen and Adaptivitat</v>
      </c>
      <c r="B10688" s="8" t="str">
        <f>"-"</f>
        <v>-</v>
      </c>
      <c r="C10688" s="8" t="s">
        <v>1980</v>
      </c>
    </row>
    <row r="10689" spans="1:3" x14ac:dyDescent="0.25">
      <c r="A10689" s="8" t="str">
        <f>"LWA 2009 - Workshop-Woche: Lernen-Wissen-Adaptivitat - Learning, Knowledge, and Adaptivity"</f>
        <v>LWA 2009 - Workshop-Woche: Lernen-Wissen-Adaptivitat - Learning, Knowledge, and Adaptivity</v>
      </c>
      <c r="B10689" s="8" t="str">
        <f>"-"</f>
        <v>-</v>
      </c>
      <c r="C10689" s="8" t="s">
        <v>1981</v>
      </c>
    </row>
    <row r="10690" spans="1:3" x14ac:dyDescent="0.25">
      <c r="A10690" s="8" t="str">
        <f>"LWA 2010 - Lernen, Wissen und Adaptivitat - Learning, Knowledge, and Adaptivity, Workshop Proceedings"</f>
        <v>LWA 2010 - Lernen, Wissen und Adaptivitat - Learning, Knowledge, and Adaptivity, Workshop Proceedings</v>
      </c>
      <c r="B10690" s="8" t="str">
        <f>"-"</f>
        <v>-</v>
      </c>
      <c r="C10690" s="8" t="s">
        <v>1982</v>
      </c>
    </row>
    <row r="10691" spans="1:3" x14ac:dyDescent="0.25">
      <c r="A10691" s="8" t="s">
        <v>1983</v>
      </c>
      <c r="B10691" s="8" t="str">
        <f>"-"</f>
        <v>-</v>
      </c>
      <c r="C10691" s="8" t="s">
        <v>1984</v>
      </c>
    </row>
    <row r="10692" spans="1:3" x14ac:dyDescent="0.25">
      <c r="A10692" s="8" t="str">
        <f>"LWR Fuel Performance Meeting/Top Fuel/WRFPM 2010"</f>
        <v>LWR Fuel Performance Meeting/Top Fuel/WRFPM 2010</v>
      </c>
      <c r="B10692" s="8" t="str">
        <f>"9781617828485"</f>
        <v>9781617828485</v>
      </c>
      <c r="C10692" s="8" t="s">
        <v>453</v>
      </c>
    </row>
    <row r="10693" spans="1:3" x14ac:dyDescent="0.25">
      <c r="A10693" s="8" t="str">
        <f>"M and N 2011 - IEEE International Workshop on Measurements and Networking, Proceedings"</f>
        <v>M and N 2011 - IEEE International Workshop on Measurements and Networking, Proceedings</v>
      </c>
      <c r="B10693" s="8" t="str">
        <f>"9781457704567"</f>
        <v>9781457704567</v>
      </c>
      <c r="C10693" s="8" t="s">
        <v>9</v>
      </c>
    </row>
    <row r="10694" spans="1:3" x14ac:dyDescent="0.25">
      <c r="A10694" s="8" t="str">
        <f>"Machine Consciousness 2011: Self, Integration and Explanation - Proceedings of a Symposium at the AISB'11 Convention"</f>
        <v>Machine Consciousness 2011: Self, Integration and Explanation - Proceedings of a Symposium at the AISB'11 Convention</v>
      </c>
      <c r="B10694" s="8" t="str">
        <f>"9781908187062"</f>
        <v>9781908187062</v>
      </c>
      <c r="C10694" s="8" t="s">
        <v>1656</v>
      </c>
    </row>
    <row r="10695" spans="1:3" x14ac:dyDescent="0.25">
      <c r="A10695" s="8" t="str">
        <f>"Machine Learning for Signal Processing 17 - Proceedings of the 2007 IEEE Signal Processing Society Workshop, MLSP"</f>
        <v>Machine Learning for Signal Processing 17 - Proceedings of the 2007 IEEE Signal Processing Society Workshop, MLSP</v>
      </c>
      <c r="B10695" s="8" t="str">
        <f>"9781424415663"</f>
        <v>9781424415663</v>
      </c>
      <c r="C10695" s="8" t="s">
        <v>9</v>
      </c>
    </row>
    <row r="10696" spans="1:3" x14ac:dyDescent="0.25">
      <c r="A10696" s="8" t="str">
        <f>"Machine Learning for Signal Processing XIV - Proceedings of the 2004 IEEE Signal Processing Society Workshop"</f>
        <v>Machine Learning for Signal Processing XIV - Proceedings of the 2004 IEEE Signal Processing Society Workshop</v>
      </c>
      <c r="B10696" s="8" t="str">
        <f>"9780780386082"</f>
        <v>9780780386082</v>
      </c>
      <c r="C10696" s="8" t="s">
        <v>105</v>
      </c>
    </row>
    <row r="10697" spans="1:3" x14ac:dyDescent="0.25">
      <c r="A10697" s="8" t="str">
        <f>"Machine Learning for Signal Processing XIX - Proceedings of the 2009 IEEE Signal Processing Society Workshop, MLSP 2009"</f>
        <v>Machine Learning for Signal Processing XIX - Proceedings of the 2009 IEEE Signal Processing Society Workshop, MLSP 2009</v>
      </c>
      <c r="B10697" s="8" t="str">
        <f>"9781424449484"</f>
        <v>9781424449484</v>
      </c>
      <c r="C10697" s="8" t="s">
        <v>9</v>
      </c>
    </row>
    <row r="10698" spans="1:3" x14ac:dyDescent="0.25">
      <c r="A10698" s="8" t="str">
        <f>"Machine Learning in Water Systems - AISB Convention 2013"</f>
        <v>Machine Learning in Water Systems - AISB Convention 2013</v>
      </c>
      <c r="B10698" s="8" t="str">
        <f>"9781908187338"</f>
        <v>9781908187338</v>
      </c>
      <c r="C10698" s="8" t="s">
        <v>1465</v>
      </c>
    </row>
    <row r="10699" spans="1:3" x14ac:dyDescent="0.25">
      <c r="A10699" s="8" t="str">
        <f>"MAED 2012 - Proceedings of the 2012 ACM Workshop on Multimedia Analysis for Ecological Data, Co-located with ACM Multimedia 2012"</f>
        <v>MAED 2012 - Proceedings of the 2012 ACM Workshop on Multimedia Analysis for Ecological Data, Co-located with ACM Multimedia 2012</v>
      </c>
      <c r="B10699" s="8" t="str">
        <f>"9781450315883"</f>
        <v>9781450315883</v>
      </c>
      <c r="C10699" s="8" t="s">
        <v>21</v>
      </c>
    </row>
    <row r="10700" spans="1:3" x14ac:dyDescent="0.25">
      <c r="A10700" s="8" t="str">
        <f>"MAED 2013 - Proceedings of the 2nd ACM International Workshop on Multimedia Analysis for Ecological Data"</f>
        <v>MAED 2013 - Proceedings of the 2nd ACM International Workshop on Multimedia Analysis for Ecological Data</v>
      </c>
      <c r="B10700" s="8" t="str">
        <f>"9781450324014"</f>
        <v>9781450324014</v>
      </c>
      <c r="C10700" s="8" t="s">
        <v>21</v>
      </c>
    </row>
    <row r="10701" spans="1:3" x14ac:dyDescent="0.25">
      <c r="A10701" s="8" t="str">
        <f>"MAED 2014 - Proceedings of the 3rd ACM International Regular and Data Challenge Workshop on Multimedia Analysis for Ecological Data"</f>
        <v>MAED 2014 - Proceedings of the 3rd ACM International Regular and Data Challenge Workshop on Multimedia Analysis for Ecological Data</v>
      </c>
      <c r="B10701" s="8" t="str">
        <f>"9781450331234"</f>
        <v>9781450331234</v>
      </c>
      <c r="C10701" s="8" t="s">
        <v>1235</v>
      </c>
    </row>
    <row r="10702" spans="1:3" x14ac:dyDescent="0.25">
      <c r="A10702" s="8" t="str">
        <f>"Magnesium Technology 2004"</f>
        <v>Magnesium Technology 2004</v>
      </c>
      <c r="B10702" s="8" t="str">
        <f>"9780873395687"</f>
        <v>9780873395687</v>
      </c>
      <c r="C10702" s="8" t="s">
        <v>648</v>
      </c>
    </row>
    <row r="10703" spans="1:3" x14ac:dyDescent="0.25">
      <c r="A10703" s="8" t="str">
        <f>"MAICS 2008 - Proceedings of the 19th Midwest Artificial Intelligence and Cognitive Science Conference"</f>
        <v>MAICS 2008 - Proceedings of the 19th Midwest Artificial Intelligence and Cognitive Science Conference</v>
      </c>
      <c r="B10703" s="8" t="str">
        <f>"-"</f>
        <v>-</v>
      </c>
      <c r="C10703" s="8" t="s">
        <v>1985</v>
      </c>
    </row>
    <row r="10704" spans="1:3" x14ac:dyDescent="0.25">
      <c r="A10704" s="8" t="str">
        <f>"Maintaining the Safety of Our Dams and Reservoirs - Proceedings of the 18th Biennial Conference of the British Dam Society"</f>
        <v>Maintaining the Safety of Our Dams and Reservoirs - Proceedings of the 18th Biennial Conference of the British Dam Society</v>
      </c>
      <c r="B10704" s="8" t="str">
        <f>"9780727760340"</f>
        <v>9780727760340</v>
      </c>
      <c r="C10704" s="8" t="s">
        <v>1986</v>
      </c>
    </row>
    <row r="10705" spans="1:3" x14ac:dyDescent="0.25">
      <c r="A10705" s="8" t="str">
        <f>"Maintenance and Rehabilitation of Pavements and Technological Control - Proceedings of the 5th International Conference, MAIREPAV 2007"</f>
        <v>Maintenance and Rehabilitation of Pavements and Technological Control - Proceedings of the 5th International Conference, MAIREPAV 2007</v>
      </c>
      <c r="B10705" s="8" t="str">
        <f>"-"</f>
        <v>-</v>
      </c>
      <c r="C10705" s="8" t="s">
        <v>1536</v>
      </c>
    </row>
    <row r="10706" spans="1:3" x14ac:dyDescent="0.25">
      <c r="A10706" s="8" t="str">
        <f>"Making Grids Work - Proceedings of the CoreGRID Workshop on Programming Models Grid and P2P System Architecture Grid Systems, Tools and Environments"</f>
        <v>Making Grids Work - Proceedings of the CoreGRID Workshop on Programming Models Grid and P2P System Architecture Grid Systems, Tools and Environments</v>
      </c>
      <c r="B10706" s="8" t="str">
        <f>"9780387784472"</f>
        <v>9780387784472</v>
      </c>
      <c r="C10706" s="8" t="s">
        <v>834</v>
      </c>
    </row>
    <row r="10707" spans="1:3" x14ac:dyDescent="0.25">
      <c r="A10707" s="8" t="str">
        <f>"Making Systems Safer - Proceedings of the 18th Safety-Critical Systems Symposium, SSS 2010"</f>
        <v>Making Systems Safer - Proceedings of the 18th Safety-Critical Systems Symposium, SSS 2010</v>
      </c>
      <c r="B10707" s="8" t="str">
        <f>"9781849960854"</f>
        <v>9781849960854</v>
      </c>
      <c r="C10707" s="8" t="s">
        <v>62</v>
      </c>
    </row>
    <row r="10708" spans="1:3" x14ac:dyDescent="0.25">
      <c r="A10708" s="8" t="str">
        <f>"MAMNA 2012 Spring Symposium - Microsystems for Measurement and Instrumentation"</f>
        <v>MAMNA 2012 Spring Symposium - Microsystems for Measurement and Instrumentation</v>
      </c>
      <c r="B10708" s="8" t="str">
        <f>"9781467317818"</f>
        <v>9781467317818</v>
      </c>
      <c r="C10708" s="8" t="s">
        <v>9</v>
      </c>
    </row>
    <row r="10709" spans="1:3" x14ac:dyDescent="0.25">
      <c r="A10709" s="8" t="str">
        <f>"MAMNA 2013 Spring Symposium - Microsystems Technology: Fulfilling the Promise"</f>
        <v>MAMNA 2013 Spring Symposium - Microsystems Technology: Fulfilling the Promise</v>
      </c>
      <c r="B10709" s="8" t="str">
        <f>"9781479902217"</f>
        <v>9781479902217</v>
      </c>
      <c r="C10709" s="8" t="s">
        <v>9</v>
      </c>
    </row>
    <row r="10710" spans="1:3" x14ac:dyDescent="0.25">
      <c r="A10710" s="8" t="str">
        <f>"Management and Technology in Knowledge, Service, Tourism and Hospitality - Proc. of the Annual Int. Conf. on Management and Technology in Knowledge, Service, Tourism and Hospitality 2013, SERVE 2013"</f>
        <v>Management and Technology in Knowledge, Service, Tourism and Hospitality - Proc. of the Annual Int. Conf. on Management and Technology in Knowledge, Service, Tourism and Hospitality 2013, SERVE 2013</v>
      </c>
      <c r="B10710" s="8" t="str">
        <f>"9781138001336"</f>
        <v>9781138001336</v>
      </c>
      <c r="C10710" s="8" t="s">
        <v>1619</v>
      </c>
    </row>
    <row r="10711" spans="1:3" x14ac:dyDescent="0.25">
      <c r="A10711" s="8" t="str">
        <f>"Management Challenges in a Global World a Special Collection 2007 - The 6th Wuhan International Conference on E-Business"</f>
        <v>Management Challenges in a Global World a Special Collection 2007 - The 6th Wuhan International Conference on E-Business</v>
      </c>
      <c r="B10711" s="8" t="str">
        <f>"9780980051018"</f>
        <v>9780980051018</v>
      </c>
      <c r="C10711" s="8" t="s">
        <v>1987</v>
      </c>
    </row>
    <row r="10712" spans="1:3" x14ac:dyDescent="0.25">
      <c r="A10712" s="8" t="str">
        <f>"Management Challenges in a Global World a Special Collection 2007 - The 6th Wuhan International Conference on E-Business"</f>
        <v>Management Challenges in a Global World a Special Collection 2007 - The 6th Wuhan International Conference on E-Business</v>
      </c>
      <c r="B10712" s="8" t="str">
        <f>"9780980051018"</f>
        <v>9780980051018</v>
      </c>
    </row>
    <row r="10713" spans="1:3" x14ac:dyDescent="0.25">
      <c r="A10713" s="8" t="str">
        <f>"Management Division 2013 - Core Programming Area at the 2013 AIChE Annual Meeting: Global Challenges for Engineering a Sustainable Future"</f>
        <v>Management Division 2013 - Core Programming Area at the 2013 AIChE Annual Meeting: Global Challenges for Engineering a Sustainable Future</v>
      </c>
      <c r="B10713" s="8" t="str">
        <f>"9781634390453"</f>
        <v>9781634390453</v>
      </c>
      <c r="C10713" s="8" t="s">
        <v>1219</v>
      </c>
    </row>
    <row r="10714" spans="1:3" x14ac:dyDescent="0.25">
      <c r="A10714" s="8" t="str">
        <f>"Management Division 2014 - Core Programming Area at the 2014 AIChE Spring Meeting and 10th Global Congress on Process Safety"</f>
        <v>Management Division 2014 - Core Programming Area at the 2014 AIChE Spring Meeting and 10th Global Congress on Process Safety</v>
      </c>
      <c r="B10714" s="8" t="str">
        <f>"9781634390750"</f>
        <v>9781634390750</v>
      </c>
      <c r="C10714" s="8" t="s">
        <v>1219</v>
      </c>
    </row>
    <row r="10715" spans="1:3" x14ac:dyDescent="0.25">
      <c r="A10715" s="8" t="str">
        <f>"Management Division Conference, Presentations at the 2008 AIChE Spring National Meeting"</f>
        <v>Management Division Conference, Presentations at the 2008 AIChE Spring National Meeting</v>
      </c>
      <c r="B10715" s="8" t="str">
        <f>"9781605602189"</f>
        <v>9781605602189</v>
      </c>
      <c r="C10715" s="8" t="s">
        <v>1219</v>
      </c>
    </row>
    <row r="10716" spans="1:3" x14ac:dyDescent="0.25">
      <c r="A10716" s="8" t="str">
        <f>"Management Information Systems"</f>
        <v>Management Information Systems</v>
      </c>
      <c r="B10716" s="8" t="str">
        <f>"9781853128301"</f>
        <v>9781853128301</v>
      </c>
      <c r="C10716" s="8" t="s">
        <v>80</v>
      </c>
    </row>
    <row r="10717" spans="1:3" x14ac:dyDescent="0.25">
      <c r="A10717" s="8" t="str">
        <f>"Management of Indoor Air Quality"</f>
        <v>Management of Indoor Air Quality</v>
      </c>
      <c r="B10717" s="8" t="str">
        <f>"9780415672665"</f>
        <v>9780415672665</v>
      </c>
      <c r="C10717" s="8" t="s">
        <v>1635</v>
      </c>
    </row>
    <row r="10718" spans="1:3" x14ac:dyDescent="0.25">
      <c r="A10718" s="8" t="str">
        <f>"Managing and Leading: 52 Lessons Learned for Engineers"</f>
        <v>Managing and Leading: 52 Lessons Learned for Engineers</v>
      </c>
      <c r="B10718" s="8" t="str">
        <f>"9780784406755"</f>
        <v>9780784406755</v>
      </c>
      <c r="C10718" s="8" t="s">
        <v>111</v>
      </c>
    </row>
    <row r="10719" spans="1:3" x14ac:dyDescent="0.25">
      <c r="A10719" s="8" t="str">
        <f>"Managing Complexity by Modelling Dependencies - Proceedings of the 12th International DSM Conference"</f>
        <v>Managing Complexity by Modelling Dependencies - Proceedings of the 12th International DSM Conference</v>
      </c>
      <c r="B10719" s="8" t="str">
        <f>"9783446424739"</f>
        <v>9783446424739</v>
      </c>
      <c r="C10719" s="8" t="s">
        <v>490</v>
      </c>
    </row>
    <row r="10720" spans="1:3" x14ac:dyDescent="0.25">
      <c r="A10720" s="8" t="str">
        <f>"Managing Dams: Challenges in a Time of Change - Proceedings of the 16th Conference of the British Dam Society"</f>
        <v>Managing Dams: Challenges in a Time of Change - Proceedings of the 16th Conference of the British Dam Society</v>
      </c>
      <c r="B10720" s="8" t="str">
        <f>"9780727740991"</f>
        <v>9780727740991</v>
      </c>
      <c r="C10720" s="8" t="s">
        <v>1730</v>
      </c>
    </row>
    <row r="10721" spans="1:3" x14ac:dyDescent="0.25">
      <c r="A10721" s="8" t="str">
        <f>"Managing Hazardous Waste in the 21st Century - Planning for the Changing Context"</f>
        <v>Managing Hazardous Waste in the 21st Century - Planning for the Changing Context</v>
      </c>
      <c r="B10721" s="8" t="str">
        <f>"-"</f>
        <v>-</v>
      </c>
      <c r="C10721" s="8" t="s">
        <v>10</v>
      </c>
    </row>
    <row r="10722" spans="1:3" x14ac:dyDescent="0.25">
      <c r="A10722" s="8" t="str">
        <f>"Managing Large-Scale Systems via the Analysis of System Logs and the Application of Machine Learning Techniques, SLAML'11"</f>
        <v>Managing Large-Scale Systems via the Analysis of System Logs and the Application of Machine Learning Techniques, SLAML'11</v>
      </c>
      <c r="B10722" s="8" t="str">
        <f>"9781450309783"</f>
        <v>9781450309783</v>
      </c>
      <c r="C10722" s="8" t="s">
        <v>21</v>
      </c>
    </row>
    <row r="10723" spans="1:3" x14ac:dyDescent="0.25">
      <c r="A10723" s="8" t="str">
        <f>"Managing Next Generation Convergence Networks and Services - 2004 IEEE/IFIP Network Operations and Management Symposium; Application Sessions, NOMS 2004"</f>
        <v>Managing Next Generation Convergence Networks and Services - 2004 IEEE/IFIP Network Operations and Management Symposium; Application Sessions, NOMS 2004</v>
      </c>
      <c r="B10723" s="8" t="str">
        <f>"9780780382305"</f>
        <v>9780780382305</v>
      </c>
      <c r="C10723" s="8" t="s">
        <v>105</v>
      </c>
    </row>
    <row r="10724" spans="1:3" x14ac:dyDescent="0.25">
      <c r="A10724" s="8" t="str">
        <f>"Managing Weather and Climate Risks in Agriculture"</f>
        <v>Managing Weather and Climate Risks in Agriculture</v>
      </c>
      <c r="B10724" s="8" t="str">
        <f>"9783540727446"</f>
        <v>9783540727446</v>
      </c>
      <c r="C10724" s="8" t="s">
        <v>834</v>
      </c>
    </row>
    <row r="10725" spans="1:3" x14ac:dyDescent="0.25">
      <c r="A10725" s="8" t="str">
        <f>"Manufacturing Engineering and Intelligent Materials - Proceedings of the International Conference on Manufacturing Engineering and Intelligent Materials, ICMEIM 2015"</f>
        <v>Manufacturing Engineering and Intelligent Materials - Proceedings of the International Conference on Manufacturing Engineering and Intelligent Materials, ICMEIM 2015</v>
      </c>
      <c r="B10725" s="8" t="str">
        <f>"9781138028326"</f>
        <v>9781138028326</v>
      </c>
      <c r="C10725" s="8" t="s">
        <v>1635</v>
      </c>
    </row>
    <row r="10726" spans="1:3" x14ac:dyDescent="0.25">
      <c r="A10726" s="8" t="str">
        <f>"Manufacturing for the 21st Century 2014 - Topical Conference at the 2014 AIChE Spring Meeting and 10th Global Congress on Process Safety"</f>
        <v>Manufacturing for the 21st Century 2014 - Topical Conference at the 2014 AIChE Spring Meeting and 10th Global Congress on Process Safety</v>
      </c>
      <c r="B10726" s="8" t="str">
        <f>"9781634390606"</f>
        <v>9781634390606</v>
      </c>
      <c r="C10726" s="8" t="s">
        <v>1219</v>
      </c>
    </row>
    <row r="10727" spans="1:3" x14ac:dyDescent="0.25">
      <c r="A10727" s="8" t="str">
        <f>"MAPE2005: IEEE 2005 International Symposium on Microwave, Antenna, Propagation and EMC Technologies for Wireless Communications, Proceedings"</f>
        <v>MAPE2005: IEEE 2005 International Symposium on Microwave, Antenna, Propagation and EMC Technologies for Wireless Communications, Proceedings</v>
      </c>
      <c r="B10727" s="8" t="str">
        <f>"9780780391284"</f>
        <v>9780780391284</v>
      </c>
      <c r="C10727" s="8" t="s">
        <v>9</v>
      </c>
    </row>
    <row r="10728" spans="1:3" x14ac:dyDescent="0.25">
      <c r="A10728" s="8" t="str">
        <f>"MapInteract 2013 - Proceedings of the 1st ACM SIGSPATIAL International Workshop on MapInteraction"</f>
        <v>MapInteract 2013 - Proceedings of the 1st ACM SIGSPATIAL International Workshop on MapInteraction</v>
      </c>
      <c r="B10728" s="8" t="str">
        <f>"9781450325363"</f>
        <v>9781450325363</v>
      </c>
      <c r="C10728" s="8" t="s">
        <v>21</v>
      </c>
    </row>
    <row r="10729" spans="1:3" x14ac:dyDescent="0.25">
      <c r="A10729" s="8" t="str">
        <f>"MapInteract 2014 - Proceedings of the 2nd ACM SIGSPATIAL International Workshop on MapInteraction"</f>
        <v>MapInteract 2014 - Proceedings of the 2nd ACM SIGSPATIAL International Workshop on MapInteraction</v>
      </c>
      <c r="B10729" s="8" t="str">
        <f>"9781450331418"</f>
        <v>9781450331418</v>
      </c>
      <c r="C10729" s="8" t="s">
        <v>1235</v>
      </c>
    </row>
    <row r="10730" spans="1:3" x14ac:dyDescent="0.25">
      <c r="A10730" s="8" t="str">
        <f>"MapReduce '12 - 3rd International Workshop on MapReduce and Its Applications"</f>
        <v>MapReduce '12 - 3rd International Workshop on MapReduce and Its Applications</v>
      </c>
      <c r="B10730" s="8" t="str">
        <f>"9781450313438"</f>
        <v>9781450313438</v>
      </c>
      <c r="C10730" s="8" t="s">
        <v>21</v>
      </c>
    </row>
    <row r="10731" spans="1:3" x14ac:dyDescent="0.25">
      <c r="A10731" s="8" t="str">
        <f>"MapReduce'11 - Proceedings of the 2nd International Workshop on MapReduce and Its Applications"</f>
        <v>MapReduce'11 - Proceedings of the 2nd International Workshop on MapReduce and Its Applications</v>
      </c>
      <c r="B10731" s="8" t="str">
        <f>"9781450307000"</f>
        <v>9781450307000</v>
      </c>
      <c r="C10731" s="8" t="s">
        <v>21</v>
      </c>
    </row>
    <row r="10732" spans="1:3" x14ac:dyDescent="0.25">
      <c r="A10732" s="8" t="str">
        <f>"MAPTRAITS 2014 - Proceedings of the 1st ACM Audio/Video Mapping Personality Traits Challenge and Workshop, Co-located with ICMI 2014"</f>
        <v>MAPTRAITS 2014 - Proceedings of the 1st ACM Audio/Video Mapping Personality Traits Challenge and Workshop, Co-located with ICMI 2014</v>
      </c>
      <c r="B10732" s="8" t="str">
        <f>"9781450304801"</f>
        <v>9781450304801</v>
      </c>
      <c r="C10732" s="8" t="s">
        <v>1235</v>
      </c>
    </row>
    <row r="10733" spans="1:3" x14ac:dyDescent="0.25">
      <c r="A10733" s="8" t="str">
        <f>"MAREC 2002, International Conference on Marine Renewable Energy - Conference Proceedings"</f>
        <v>MAREC 2002, International Conference on Marine Renewable Energy - Conference Proceedings</v>
      </c>
      <c r="B10733" s="8" t="str">
        <f>"9781902536491"</f>
        <v>9781902536491</v>
      </c>
      <c r="C10733" s="8" t="s">
        <v>301</v>
      </c>
    </row>
    <row r="10734" spans="1:3" x14ac:dyDescent="0.25">
      <c r="A10734" s="8" t="str">
        <f>"MARINE 2011 - Computational Methods in Marine Engineering IV"</f>
        <v>MARINE 2011 - Computational Methods in Marine Engineering IV</v>
      </c>
      <c r="B10734" s="8" t="str">
        <f>"9788489925793"</f>
        <v>9788489925793</v>
      </c>
      <c r="C10734" s="8" t="s">
        <v>1238</v>
      </c>
    </row>
    <row r="10735" spans="1:3" x14ac:dyDescent="0.25">
      <c r="A10735" s="8" t="str">
        <f>"MARINE 2015 - Computational Methods in Marine Engineering VI"</f>
        <v>MARINE 2015 - Computational Methods in Marine Engineering VI</v>
      </c>
      <c r="B10735" s="8" t="str">
        <f>"9788494392863"</f>
        <v>9788494392863</v>
      </c>
      <c r="C10735" s="8" t="s">
        <v>1238</v>
      </c>
    </row>
    <row r="10736" spans="1:3" x14ac:dyDescent="0.25">
      <c r="A10736" s="8" t="str">
        <f>"Marine and Maritime"</f>
        <v>Marine and Maritime</v>
      </c>
      <c r="B10736" s="8" t="str">
        <f>"9781853128677"</f>
        <v>9781853128677</v>
      </c>
      <c r="C10736" s="8" t="s">
        <v>80</v>
      </c>
    </row>
    <row r="10737" spans="1:3" x14ac:dyDescent="0.25">
      <c r="A10737" s="8" t="str">
        <f>"Marine and Maritime"</f>
        <v>Marine and Maritime</v>
      </c>
      <c r="B10737" s="8" t="str">
        <f>"9781853129735"</f>
        <v>9781853129735</v>
      </c>
      <c r="C10737" s="8" t="s">
        <v>80</v>
      </c>
    </row>
    <row r="10738" spans="1:3" x14ac:dyDescent="0.25">
      <c r="A10738" s="8" t="str">
        <f>"Marine Navigation and Safety of Sea Transportation"</f>
        <v>Marine Navigation and Safety of Sea Transportation</v>
      </c>
      <c r="B10738" s="8" t="str">
        <f>"9780415804790"</f>
        <v>9780415804790</v>
      </c>
      <c r="C10738" s="8" t="s">
        <v>1637</v>
      </c>
    </row>
    <row r="10739" spans="1:3" x14ac:dyDescent="0.25">
      <c r="A10739" s="8" t="str">
        <f>"Marine Navigation and Safety of Sea Transportation: Advances in Marine Navigation"</f>
        <v>Marine Navigation and Safety of Sea Transportation: Advances in Marine Navigation</v>
      </c>
      <c r="B10739" s="8" t="str">
        <f>"9781138001060"</f>
        <v>9781138001060</v>
      </c>
      <c r="C10739" s="8" t="s">
        <v>1635</v>
      </c>
    </row>
    <row r="10740" spans="1:3" x14ac:dyDescent="0.25">
      <c r="A10740" s="8" t="str">
        <f>"Marine Navigation and Safety of Sea Transportation: Maritime Transport and Shipping"</f>
        <v>Marine Navigation and Safety of Sea Transportation: Maritime Transport and Shipping</v>
      </c>
      <c r="B10740" s="8" t="str">
        <f>"9781138001053"</f>
        <v>9781138001053</v>
      </c>
      <c r="C10740" s="8" t="s">
        <v>1635</v>
      </c>
    </row>
    <row r="10741" spans="1:3" x14ac:dyDescent="0.25">
      <c r="A10741" s="8" t="str">
        <f>"Marine Navigation and Safety of Sea Transportation: Navigational Problems"</f>
        <v>Marine Navigation and Safety of Sea Transportation: Navigational Problems</v>
      </c>
      <c r="B10741" s="8" t="str">
        <f>"9781138001077"</f>
        <v>9781138001077</v>
      </c>
      <c r="C10741" s="8" t="s">
        <v>1635</v>
      </c>
    </row>
    <row r="10742" spans="1:3" x14ac:dyDescent="0.25">
      <c r="A10742" s="8" t="str">
        <f>"Marine Navigation and Safety of Sea Transportation: STCW, Maritime Education and Training (MET), Human Resources and Crew Manning, Maritime Policy, Logistics and Economic Matters"</f>
        <v>Marine Navigation and Safety of Sea Transportation: STCW, Maritime Education and Training (MET), Human Resources and Crew Manning, Maritime Policy, Logistics and Economic Matters</v>
      </c>
      <c r="B10742" s="8" t="str">
        <f>"9781138001046"</f>
        <v>9781138001046</v>
      </c>
      <c r="C10742" s="8" t="s">
        <v>1635</v>
      </c>
    </row>
    <row r="10743" spans="1:3" x14ac:dyDescent="0.25">
      <c r="A10743" s="8" t="str">
        <f>"Marine Seismic Workshop 2009: Focus on Middle East and North Africa"</f>
        <v>Marine Seismic Workshop 2009: Focus on Middle East and North Africa</v>
      </c>
      <c r="B10743" s="8" t="str">
        <f>"-"</f>
        <v>-</v>
      </c>
      <c r="C10743" s="8" t="s">
        <v>1251</v>
      </c>
    </row>
    <row r="10744" spans="1:3" x14ac:dyDescent="0.25">
      <c r="A10744" s="8" t="str">
        <f>"Marine Technology and Engineering"</f>
        <v>Marine Technology and Engineering</v>
      </c>
      <c r="B10744" s="8" t="str">
        <f>"-"</f>
        <v>-</v>
      </c>
      <c r="C10744" s="8" t="s">
        <v>1619</v>
      </c>
    </row>
    <row r="10745" spans="1:3" x14ac:dyDescent="0.25">
      <c r="A10745" s="8" t="str">
        <f>"Marine Technology Society - Conference on Underwater Intervention 2008, UI 2008"</f>
        <v>Marine Technology Society - Conference on Underwater Intervention 2008, UI 2008</v>
      </c>
      <c r="B10745" s="8" t="str">
        <f>"9781605601434"</f>
        <v>9781605601434</v>
      </c>
      <c r="C10745" s="8" t="s">
        <v>1988</v>
      </c>
    </row>
    <row r="10746" spans="1:3" x14ac:dyDescent="0.25">
      <c r="A10746" s="8" t="str">
        <f>"Marine Technology Society - Conference on Underwater Intervention, UI 2005"</f>
        <v>Marine Technology Society - Conference on Underwater Intervention, UI 2005</v>
      </c>
      <c r="B10746" s="8" t="str">
        <f>"9781605601298"</f>
        <v>9781605601298</v>
      </c>
      <c r="C10746" s="8" t="s">
        <v>1988</v>
      </c>
    </row>
    <row r="10747" spans="1:3" x14ac:dyDescent="0.25">
      <c r="A10747" s="8" t="str">
        <f>"Marine Technology Society - Conference on Underwater Intervention, UI 2007"</f>
        <v>Marine Technology Society - Conference on Underwater Intervention, UI 2007</v>
      </c>
      <c r="B10747" s="8" t="str">
        <f>"9781605600413"</f>
        <v>9781605600413</v>
      </c>
      <c r="C10747" s="8" t="s">
        <v>1988</v>
      </c>
    </row>
    <row r="10748" spans="1:3" x14ac:dyDescent="0.25">
      <c r="A10748" s="8" t="str">
        <f>"Maritime Industry, Ocean Engineering and Coastal Resources - Proceedings of the 12th International Congress of the International Maritime Association of the Mediterranean, IMAM 2007"</f>
        <v>Maritime Industry, Ocean Engineering and Coastal Resources - Proceedings of the 12th International Congress of the International Maritime Association of the Mediterranean, IMAM 2007</v>
      </c>
      <c r="B10748" s="8" t="str">
        <f>"-"</f>
        <v>-</v>
      </c>
      <c r="C10748" s="8" t="s">
        <v>1619</v>
      </c>
    </row>
    <row r="10749" spans="1:3" x14ac:dyDescent="0.25">
      <c r="A10749" s="8" t="str">
        <f>"Maritime Security and MET"</f>
        <v>Maritime Security and MET</v>
      </c>
      <c r="B10749" s="8" t="str">
        <f>"9781845640583"</f>
        <v>9781845640583</v>
      </c>
      <c r="C10749" s="8" t="s">
        <v>80</v>
      </c>
    </row>
    <row r="10750" spans="1:3" x14ac:dyDescent="0.25">
      <c r="A10750" s="8" t="str">
        <f>"Maritime Technology and Engineering - Proceedings of MARTECH 2014: 2nd International Conference on Maritime Technology and Engineering"</f>
        <v>Maritime Technology and Engineering - Proceedings of MARTECH 2014: 2nd International Conference on Maritime Technology and Engineering</v>
      </c>
      <c r="B10750" s="8" t="str">
        <f>"9781138027275"</f>
        <v>9781138027275</v>
      </c>
      <c r="C10750" s="8" t="s">
        <v>1635</v>
      </c>
    </row>
    <row r="10751" spans="1:3" x14ac:dyDescent="0.25">
      <c r="A10751" s="8" t="str">
        <f>"Maritime-Port Technology and Development - Proceedings of the International Conference on Maritime and Port Technology and Development, MTEC 2014"</f>
        <v>Maritime-Port Technology and Development - Proceedings of the International Conference on Maritime and Port Technology and Development, MTEC 2014</v>
      </c>
      <c r="B10751" s="8" t="str">
        <f>"9781138027268"</f>
        <v>9781138027268</v>
      </c>
      <c r="C10751" s="8" t="s">
        <v>1635</v>
      </c>
    </row>
    <row r="10752" spans="1:3" x14ac:dyDescent="0.25">
      <c r="A10752" s="8" t="str">
        <f>"Market Pulp Conference 14 - PPI's 14th Market Pulp Conference Preprints: What Value Market Pulp"</f>
        <v>Market Pulp Conference 14 - PPI's 14th Market Pulp Conference Preprints: What Value Market Pulp</v>
      </c>
      <c r="B10752" s="8" t="str">
        <f>"-"</f>
        <v>-</v>
      </c>
      <c r="C10752" s="8" t="s">
        <v>1989</v>
      </c>
    </row>
    <row r="10753" spans="1:3" x14ac:dyDescent="0.25">
      <c r="A10753" s="8" t="str">
        <f>"MASS 2012 - 9th IEEE International Conference on Mobile Ad-Hoc and Sensor Systems"</f>
        <v>MASS 2012 - 9th IEEE International Conference on Mobile Ad-Hoc and Sensor Systems</v>
      </c>
      <c r="B10753" s="8" t="str">
        <f>"9781467324335"</f>
        <v>9781467324335</v>
      </c>
      <c r="C10753" s="8" t="s">
        <v>9</v>
      </c>
    </row>
    <row r="10754" spans="1:3" x14ac:dyDescent="0.25">
      <c r="A10754" s="8" t="str">
        <f>"Mass and Motion in General Relativity"</f>
        <v>Mass and Motion in General Relativity</v>
      </c>
      <c r="B10754" s="8" t="str">
        <f>"9789048130146"</f>
        <v>9789048130146</v>
      </c>
      <c r="C10754" s="8" t="s">
        <v>162</v>
      </c>
    </row>
    <row r="10755" spans="1:3" x14ac:dyDescent="0.25">
      <c r="A10755" s="8" t="str">
        <f>"Materials and Technologies - 4th International Conference on Materials and Manufacturing Technologies, MATEHN'06"</f>
        <v>Materials and Technologies - 4th International Conference on Materials and Manufacturing Technologies, MATEHN'06</v>
      </c>
      <c r="B10755" s="8" t="str">
        <f>"9780878494606"</f>
        <v>9780878494606</v>
      </c>
      <c r="C10755" s="8" t="s">
        <v>1266</v>
      </c>
    </row>
    <row r="10756" spans="1:3" x14ac:dyDescent="0.25">
      <c r="A10756" s="8" t="str">
        <f>"Materials Damage Prognosis - Proceedings of a Symposium of the Materials Science and Technology 2004 Conference"</f>
        <v>Materials Damage Prognosis - Proceedings of a Symposium of the Materials Science and Technology 2004 Conference</v>
      </c>
      <c r="B10756" s="8" t="str">
        <f>"9780873395977"</f>
        <v>9780873395977</v>
      </c>
      <c r="C10756" s="8" t="s">
        <v>648</v>
      </c>
    </row>
    <row r="10757" spans="1:3" x14ac:dyDescent="0.25">
      <c r="A10757" s="8" t="str">
        <f>"Materials Design Approaches and Experiences"</f>
        <v>Materials Design Approaches and Experiences</v>
      </c>
      <c r="B10757" s="8" t="str">
        <f>"9780873395038"</f>
        <v>9780873395038</v>
      </c>
      <c r="C10757" s="8" t="s">
        <v>648</v>
      </c>
    </row>
    <row r="10758" spans="1:3" x14ac:dyDescent="0.25">
      <c r="A10758" s="8" t="str">
        <f>"Materials Engineering and Sciences Division 2013 - Core Programming Area at the 2013 AIChE Annual Meeting: Global Challenges for Engineering a Sustainable Future"</f>
        <v>Materials Engineering and Sciences Division 2013 - Core Programming Area at the 2013 AIChE Annual Meeting: Global Challenges for Engineering a Sustainable Future</v>
      </c>
      <c r="B10758" s="8" t="str">
        <f>"9781634390460"</f>
        <v>9781634390460</v>
      </c>
      <c r="C10758" s="8" t="s">
        <v>1219</v>
      </c>
    </row>
    <row r="10759" spans="1:3" x14ac:dyDescent="0.25">
      <c r="A10759" s="8" t="str">
        <f>"Materials Science and Technology 2003 Meeting"</f>
        <v>Materials Science and Technology 2003 Meeting</v>
      </c>
      <c r="B10759" s="8" t="str">
        <f>"9780873395571"</f>
        <v>9780873395571</v>
      </c>
      <c r="C10759" s="8" t="s">
        <v>648</v>
      </c>
    </row>
    <row r="10760" spans="1:3" x14ac:dyDescent="0.25">
      <c r="A10760" s="8" t="str">
        <f>"Materials Science and Technology 2003 Meeting"</f>
        <v>Materials Science and Technology 2003 Meeting</v>
      </c>
      <c r="B10760" s="8" t="str">
        <f>"9780873395595"</f>
        <v>9780873395595</v>
      </c>
      <c r="C10760" s="8" t="s">
        <v>648</v>
      </c>
    </row>
    <row r="10761" spans="1:3" x14ac:dyDescent="0.25">
      <c r="A10761" s="8" t="str">
        <f>"Materials Science and Technology 2003 Meeting"</f>
        <v>Materials Science and Technology 2003 Meeting</v>
      </c>
      <c r="B10761" s="8" t="str">
        <f>"9780873395632"</f>
        <v>9780873395632</v>
      </c>
      <c r="C10761" s="8" t="s">
        <v>648</v>
      </c>
    </row>
    <row r="10762" spans="1:3" x14ac:dyDescent="0.25">
      <c r="A10762" s="8" t="str">
        <f>"Materials Science and Technology 2003 Meeting"</f>
        <v>Materials Science and Technology 2003 Meeting</v>
      </c>
      <c r="B10762" s="8" t="str">
        <f>"9780873395618"</f>
        <v>9780873395618</v>
      </c>
      <c r="C10762" s="8" t="s">
        <v>648</v>
      </c>
    </row>
    <row r="10763" spans="1:3" x14ac:dyDescent="0.25">
      <c r="A10763" s="8" t="str">
        <f>"Materials Science and Technology Conference and Exhibition 2009, MS and T'09"</f>
        <v>Materials Science and Technology Conference and Exhibition 2009, MS and T'09</v>
      </c>
      <c r="B10763" s="8" t="str">
        <f>"9781615676361"</f>
        <v>9781615676361</v>
      </c>
      <c r="C10763" s="8" t="s">
        <v>113</v>
      </c>
    </row>
    <row r="10764" spans="1:3" x14ac:dyDescent="0.25">
      <c r="A10764" s="8" t="str">
        <f>"Materials Science and Technology Conference and Exhibition 2010, MS and T'10"</f>
        <v>Materials Science and Technology Conference and Exhibition 2010, MS and T'10</v>
      </c>
      <c r="B10764" s="8" t="str">
        <f>"9781617820328"</f>
        <v>9781617820328</v>
      </c>
      <c r="C10764" s="8" t="s">
        <v>113</v>
      </c>
    </row>
    <row r="10765" spans="1:3" x14ac:dyDescent="0.25">
      <c r="A10765" s="8" t="str">
        <f>"Materials Science and Technology Conference and Exhibition 2011, MS and T'11"</f>
        <v>Materials Science and Technology Conference and Exhibition 2011, MS and T'11</v>
      </c>
      <c r="B10765" s="8" t="str">
        <f>"9781618392619"</f>
        <v>9781618392619</v>
      </c>
      <c r="C10765" s="8" t="s">
        <v>113</v>
      </c>
    </row>
    <row r="10766" spans="1:3" x14ac:dyDescent="0.25">
      <c r="A10766" s="8" t="str">
        <f>"Materials Science and Technology Conference and Exhibition 2012, MS and T 2012"</f>
        <v>Materials Science and Technology Conference and Exhibition 2012, MS and T 2012</v>
      </c>
      <c r="B10766" s="8" t="str">
        <f>"9781622766536"</f>
        <v>9781622766536</v>
      </c>
      <c r="C10766" s="8" t="s">
        <v>113</v>
      </c>
    </row>
    <row r="10767" spans="1:3" x14ac:dyDescent="0.25">
      <c r="A10767" s="8" t="str">
        <f>"Materials Science and Technology Conference and Exhibition 2013, MS and T 2013"</f>
        <v>Materials Science and Technology Conference and Exhibition 2013, MS and T 2013</v>
      </c>
      <c r="B10767" s="8" t="str">
        <f>"9781629933092"</f>
        <v>9781629933092</v>
      </c>
      <c r="C10767" s="8" t="s">
        <v>113</v>
      </c>
    </row>
    <row r="10768" spans="1:3" x14ac:dyDescent="0.25">
      <c r="A10768" s="8" t="str">
        <f>"Materials Science and Technology Conference and Exhibition 2014, MS and T 2014"</f>
        <v>Materials Science and Technology Conference and Exhibition 2014, MS and T 2014</v>
      </c>
      <c r="B10768" s="8" t="str">
        <f>"-"</f>
        <v>-</v>
      </c>
      <c r="C10768" s="8" t="s">
        <v>113</v>
      </c>
    </row>
    <row r="10769" spans="1:3" x14ac:dyDescent="0.25">
      <c r="A10769" s="8" t="s">
        <v>1990</v>
      </c>
      <c r="B10769" s="8" t="str">
        <f>"9781605601335"</f>
        <v>9781605601335</v>
      </c>
      <c r="C10769" s="8" t="s">
        <v>394</v>
      </c>
    </row>
    <row r="10770" spans="1:3" x14ac:dyDescent="0.25">
      <c r="A10770" s="8" t="str">
        <f>"Materials Science and Technology Conference and Exhibition, MS and T'08"</f>
        <v>Materials Science and Technology Conference and Exhibition, MS and T'08</v>
      </c>
      <c r="B10770" s="8" t="str">
        <f>"9781605606217"</f>
        <v>9781605606217</v>
      </c>
      <c r="C10770" s="8" t="s">
        <v>1991</v>
      </c>
    </row>
    <row r="10771" spans="1:3" x14ac:dyDescent="0.25">
      <c r="A10771" s="8" t="s">
        <v>1992</v>
      </c>
      <c r="B10771" s="8" t="str">
        <f>"9781605601335"</f>
        <v>9781605601335</v>
      </c>
    </row>
    <row r="10772" spans="1:3" x14ac:dyDescent="0.25">
      <c r="A10772" s="8" t="str">
        <f>"Materials, Experimentation, Maintenance and Rehabilitation - Proceedings of the 10th East Asia-Pacific Conference on Structural Engineering and Construction, EASEC 2010"</f>
        <v>Materials, Experimentation, Maintenance and Rehabilitation - Proceedings of the 10th East Asia-Pacific Conference on Structural Engineering and Construction, EASEC 2010</v>
      </c>
      <c r="B10772" s="8" t="str">
        <f>"9789748257181"</f>
        <v>9789748257181</v>
      </c>
      <c r="C10772" s="8" t="s">
        <v>1670</v>
      </c>
    </row>
    <row r="10773" spans="1:3" x14ac:dyDescent="0.25">
      <c r="A10773" s="8" t="str">
        <f>"Mathematical and Statistical Methods for Actuarial Sciences and Finance"</f>
        <v>Mathematical and Statistical Methods for Actuarial Sciences and Finance</v>
      </c>
      <c r="B10773" s="8" t="str">
        <f>"-"</f>
        <v>-</v>
      </c>
      <c r="C10773" s="8" t="s">
        <v>162</v>
      </c>
    </row>
    <row r="10774" spans="1:3" x14ac:dyDescent="0.25">
      <c r="A10774" s="8" t="str">
        <f>"Mathematical and Statistical Methods in Insurance and Finance"</f>
        <v>Mathematical and Statistical Methods in Insurance and Finance</v>
      </c>
      <c r="B10774" s="8" t="str">
        <f>"9788847007031"</f>
        <v>9788847007031</v>
      </c>
      <c r="C10774" s="8" t="s">
        <v>162</v>
      </c>
    </row>
    <row r="10775" spans="1:3" x14ac:dyDescent="0.25">
      <c r="A10775" s="8" t="str">
        <f>"Mathematical Physics - Proceedings of the 12th Regional Conference"</f>
        <v>Mathematical Physics - Proceedings of the 12th Regional Conference</v>
      </c>
      <c r="B10775" s="8" t="str">
        <f>"9789812705914"</f>
        <v>9789812705914</v>
      </c>
      <c r="C10775" s="8" t="s">
        <v>157</v>
      </c>
    </row>
    <row r="10776" spans="1:3" x14ac:dyDescent="0.25">
      <c r="A10776" s="8" t="str">
        <f>"Mathematics and Computation, a Contemporary View: The Abel Symposium 2006 - Proceedings of the 3rd Abel Symposium"</f>
        <v>Mathematics and Computation, a Contemporary View: The Abel Symposium 2006 - Proceedings of the 3rd Abel Symposium</v>
      </c>
      <c r="B10776" s="8" t="str">
        <f>"9783540688488"</f>
        <v>9783540688488</v>
      </c>
      <c r="C10776" s="8" t="s">
        <v>42</v>
      </c>
    </row>
    <row r="10777" spans="1:3" x14ac:dyDescent="0.25">
      <c r="A10777" s="8" t="str">
        <f>"Mathematics and Computations, Supercomputing in Nuclear Applications and Monte Carlo International Conference, M and C+SNA+MC 2015"</f>
        <v>Mathematics and Computations, Supercomputing in Nuclear Applications and Monte Carlo International Conference, M and C+SNA+MC 2015</v>
      </c>
      <c r="B10777" s="8" t="str">
        <f>"-"</f>
        <v>-</v>
      </c>
      <c r="C10777" s="8" t="s">
        <v>453</v>
      </c>
    </row>
    <row r="10778" spans="1:3" x14ac:dyDescent="0.25">
      <c r="A10778" s="8" t="str">
        <f>"Mathematics and Computers in Modern Science - Acoustics and Music, Biology and Chemistry, Business and Economics"</f>
        <v>Mathematics and Computers in Modern Science - Acoustics and Music, Biology and Chemistry, Business and Economics</v>
      </c>
      <c r="B10778" s="8" t="str">
        <f>"9789608052239"</f>
        <v>9789608052239</v>
      </c>
      <c r="C10778" s="8" t="s">
        <v>553</v>
      </c>
    </row>
    <row r="10779" spans="1:3" x14ac:dyDescent="0.25">
      <c r="A10779" s="8" t="str">
        <f>"Maximizing the Benefits from Water and Environmental Sanitation: Proceedings of the 31st WEDC Conference"</f>
        <v>Maximizing the Benefits from Water and Environmental Sanitation: Proceedings of the 31st WEDC Conference</v>
      </c>
      <c r="B10779" s="8" t="str">
        <f>"9781843801047"</f>
        <v>9781843801047</v>
      </c>
      <c r="C10779" s="8" t="s">
        <v>1486</v>
      </c>
    </row>
    <row r="10780" spans="1:3" x14ac:dyDescent="0.25">
      <c r="A10780" s="8" t="str">
        <f>"MBDS'12 - Proceedings of the 2012 Workshop on Management of Big Data Systems, Co-located with ICAC'12"</f>
        <v>MBDS'12 - Proceedings of the 2012 Workshop on Management of Big Data Systems, Co-located with ICAC'12</v>
      </c>
      <c r="B10780" s="8" t="str">
        <f>"9781450317528"</f>
        <v>9781450317528</v>
      </c>
      <c r="C10780" s="8" t="s">
        <v>21</v>
      </c>
    </row>
    <row r="10781" spans="1:3" x14ac:dyDescent="0.25">
      <c r="A10781" s="8" t="str">
        <f>"MBE 2002 - 2002 12th International Conference on Molecular Beam Epitaxy"</f>
        <v>MBE 2002 - 2002 12th International Conference on Molecular Beam Epitaxy</v>
      </c>
      <c r="B10781" s="8" t="str">
        <f>"9780780375819"</f>
        <v>9780780375819</v>
      </c>
      <c r="C10781" s="8" t="s">
        <v>105</v>
      </c>
    </row>
    <row r="10782" spans="1:3" x14ac:dyDescent="0.25">
      <c r="A10782" s="8" t="str">
        <f>"MCC 2013 - Proceedings of the 2nd, 2013 ACM SIGCOMM Workshop on Mobile Cloud Computing"</f>
        <v>MCC 2013 - Proceedings of the 2nd, 2013 ACM SIGCOMM Workshop on Mobile Cloud Computing</v>
      </c>
      <c r="B10782" s="8" t="str">
        <f>"9781450321808"</f>
        <v>9781450321808</v>
      </c>
      <c r="C10782" s="8" t="s">
        <v>21</v>
      </c>
    </row>
    <row r="10783" spans="1:3" x14ac:dyDescent="0.25">
      <c r="A10783" s="8" t="str">
        <f>"MCC'12 - Proceedings of the 1st ACM Mobile Cloud Computing Workshop"</f>
        <v>MCC'12 - Proceedings of the 1st ACM Mobile Cloud Computing Workshop</v>
      </c>
      <c r="B10783" s="8" t="str">
        <f>"-"</f>
        <v>-</v>
      </c>
      <c r="C10783" s="8" t="s">
        <v>21</v>
      </c>
    </row>
    <row r="10784" spans="1:3" x14ac:dyDescent="0.25">
      <c r="A10784" s="8" t="str">
        <f>"MCCSIS'08 - IADIS Multi Conference on Computer Science and Information Systems; Proceedings e-Commerce 2008"</f>
        <v>MCCSIS'08 - IADIS Multi Conference on Computer Science and Information Systems; Proceedings e-Commerce 2008</v>
      </c>
      <c r="B10784" s="8" t="str">
        <f>"9789728924669"</f>
        <v>9789728924669</v>
      </c>
      <c r="C10784" s="8" t="s">
        <v>1228</v>
      </c>
    </row>
    <row r="10785" spans="1:3" x14ac:dyDescent="0.25">
      <c r="A10785" s="8" t="str">
        <f>"MCCSIS'08 - IADIS Multi Conference on Computer Science and Information Systems; Proceedings of Computer Graphics and Visualization 2008 and Gaming 2008: Design for Engaging Experience Soc. Interaction"</f>
        <v>MCCSIS'08 - IADIS Multi Conference on Computer Science and Information Systems; Proceedings of Computer Graphics and Visualization 2008 and Gaming 2008: Design for Engaging Experience Soc. Interaction</v>
      </c>
      <c r="B10785" s="8" t="str">
        <f>"9789728924638"</f>
        <v>9789728924638</v>
      </c>
      <c r="C10785" s="8" t="s">
        <v>1228</v>
      </c>
    </row>
    <row r="10786" spans="1:3" x14ac:dyDescent="0.25">
      <c r="A10786" s="8" t="str">
        <f>"MCCSIS'08 - IADIS Multi Conference on Computer Science and Information Systems; Proceedings of e-Learning 2008"</f>
        <v>MCCSIS'08 - IADIS Multi Conference on Computer Science and Information Systems; Proceedings of e-Learning 2008</v>
      </c>
      <c r="B10786" s="8" t="str">
        <f>"9789728924584"</f>
        <v>9789728924584</v>
      </c>
      <c r="C10786" s="8" t="s">
        <v>1228</v>
      </c>
    </row>
    <row r="10787" spans="1:3" x14ac:dyDescent="0.25">
      <c r="A10787" s="8" t="str">
        <f>"MCCSIS'08 - IADIS Multi Conference on Computer Science and Information Systems; Proceedings of ICT, Society and Human Beings 2008"</f>
        <v>MCCSIS'08 - IADIS Multi Conference on Computer Science and Information Systems; Proceedings of ICT, Society and Human Beings 2008</v>
      </c>
      <c r="B10787" s="8" t="str">
        <f>"9789728924614"</f>
        <v>9789728924614</v>
      </c>
      <c r="C10787" s="8" t="s">
        <v>1228</v>
      </c>
    </row>
    <row r="10788" spans="1:3" x14ac:dyDescent="0.25">
      <c r="A10788" s="8" t="str">
        <f>"MCCSIS'08 - IADIS Multi Conference on Computer Science and Information Systems; Proceedings of Informatics 2008 and Data Mining 2008"</f>
        <v>MCCSIS'08 - IADIS Multi Conference on Computer Science and Information Systems; Proceedings of Informatics 2008 and Data Mining 2008</v>
      </c>
      <c r="B10788" s="8" t="str">
        <f>"9789728924638"</f>
        <v>9789728924638</v>
      </c>
      <c r="C10788" s="8" t="s">
        <v>1228</v>
      </c>
    </row>
    <row r="10789" spans="1:3" x14ac:dyDescent="0.25">
      <c r="A10789" s="8" t="str">
        <f>"MCCSIS'08 - IADIS Multi Conference on Computer Science and Information Systems; Proceedings of Intelligent Systems and Agents 2008"</f>
        <v>MCCSIS'08 - IADIS Multi Conference on Computer Science and Information Systems; Proceedings of Intelligent Systems and Agents 2008</v>
      </c>
      <c r="B10789" s="8" t="str">
        <f>"9789728924607"</f>
        <v>9789728924607</v>
      </c>
      <c r="C10789" s="8" t="s">
        <v>1228</v>
      </c>
    </row>
    <row r="10790" spans="1:3" x14ac:dyDescent="0.25">
      <c r="A10790" s="8" t="str">
        <f>"MCCSIS'08 - IADIS Multi Conference on Computer Science and Information Systems; Proceedings of Interfaces and Human Computer Interaction 2008"</f>
        <v>MCCSIS'08 - IADIS Multi Conference on Computer Science and Information Systems; Proceedings of Interfaces and Human Computer Interaction 2008</v>
      </c>
      <c r="B10790" s="8" t="str">
        <f>"9789728924591"</f>
        <v>9789728924591</v>
      </c>
      <c r="C10790" s="8" t="s">
        <v>1228</v>
      </c>
    </row>
    <row r="10791" spans="1:3" x14ac:dyDescent="0.25">
      <c r="A10791" s="8" t="str">
        <f>"MCCSIS'08 - IADIS Multi Conference on Computer Science and Information Systems; Proceedings of Wireless Applications and Computing 2008 and Telecommunications, Networks and Systems 2008"</f>
        <v>MCCSIS'08 - IADIS Multi Conference on Computer Science and Information Systems; Proceedings of Wireless Applications and Computing 2008 and Telecommunications, Networks and Systems 2008</v>
      </c>
      <c r="B10791" s="8" t="str">
        <f>"9789728924621"</f>
        <v>9789728924621</v>
      </c>
      <c r="C10791" s="8" t="s">
        <v>1228</v>
      </c>
    </row>
    <row r="10792" spans="1:3" x14ac:dyDescent="0.25">
      <c r="A10792" s="8" t="str">
        <f>"MCIT'2010: International Conference on Multimedia Computing and Information Technology"</f>
        <v>MCIT'2010: International Conference on Multimedia Computing and Information Technology</v>
      </c>
      <c r="B10792" s="8" t="str">
        <f>"9781424470037"</f>
        <v>9781424470037</v>
      </c>
      <c r="C10792" s="8" t="s">
        <v>9</v>
      </c>
    </row>
    <row r="10793" spans="1:3" x14ac:dyDescent="0.25">
      <c r="A10793" s="8" t="str">
        <f>"MCMC'10 - Proceedings of the 2010 ACM Workshop on Mobile Cloud Media Computing, Co-located with ACM Multimedia 2010"</f>
        <v>MCMC'10 - Proceedings of the 2010 ACM Workshop on Mobile Cloud Media Computing, Co-located with ACM Multimedia 2010</v>
      </c>
      <c r="B10793" s="8" t="str">
        <f>"9781450301688"</f>
        <v>9781450301688</v>
      </c>
      <c r="C10793" s="8" t="s">
        <v>21</v>
      </c>
    </row>
    <row r="10794" spans="1:3" x14ac:dyDescent="0.25">
      <c r="A10794" s="8" t="str">
        <f>"MCS 2013 - Proceedings of the 4th ACM Workshop on Mobile Cloud Computing and Services"</f>
        <v>MCS 2013 - Proceedings of the 4th ACM Workshop on Mobile Cloud Computing and Services</v>
      </c>
      <c r="B10794" s="8" t="str">
        <f>"9781450320726"</f>
        <v>9781450320726</v>
      </c>
      <c r="C10794" s="8" t="s">
        <v>21</v>
      </c>
    </row>
    <row r="10795" spans="1:3" x14ac:dyDescent="0.25">
      <c r="A10795" s="8" t="str">
        <f>"MCS'12 - Proceedings of the 3rd ACM Workshop on Mobile Cloud Computing and Services"</f>
        <v>MCS'12 - Proceedings of the 3rd ACM Workshop on Mobile Cloud Computing and Services</v>
      </c>
      <c r="B10795" s="8" t="str">
        <f>"9781450313193"</f>
        <v>9781450313193</v>
      </c>
      <c r="C10795" s="8" t="s">
        <v>21</v>
      </c>
    </row>
    <row r="10796" spans="1:3" x14ac:dyDescent="0.25">
      <c r="A10796" s="8" t="str">
        <f>"MCSS'12 - Proceedings of the 1st ACM Workshop on Mobile Systems for Computational Social Science"</f>
        <v>MCSS'12 - Proceedings of the 1st ACM Workshop on Mobile Systems for Computational Social Science</v>
      </c>
      <c r="B10796" s="8" t="str">
        <f>"9781450313247"</f>
        <v>9781450313247</v>
      </c>
      <c r="C10796" s="8" t="s">
        <v>21</v>
      </c>
    </row>
    <row r="10797" spans="1:3" x14ac:dyDescent="0.25">
      <c r="A10797" s="8" t="str">
        <f>"MDS '07: Proceedings of the 4th Middleware Doctoral Symposium"</f>
        <v>MDS '07: Proceedings of the 4th Middleware Doctoral Symposium</v>
      </c>
      <c r="B10797" s="8" t="str">
        <f>"9781595939333"</f>
        <v>9781595939333</v>
      </c>
      <c r="C10797" s="8" t="s">
        <v>21</v>
      </c>
    </row>
    <row r="10798" spans="1:3" x14ac:dyDescent="0.25">
      <c r="A10798" s="8" t="str">
        <f>"Measurement and Analysis of Blast Fragmentation: Workshop Hosted by FRAGBLAST 10 - The 10th International Symposium on Rock Fragmentation by Blasting"</f>
        <v>Measurement and Analysis of Blast Fragmentation: Workshop Hosted by FRAGBLAST 10 - The 10th International Symposium on Rock Fragmentation by Blasting</v>
      </c>
      <c r="B10798" s="8" t="str">
        <f>"9780415621403"</f>
        <v>9780415621403</v>
      </c>
      <c r="C10798" s="8" t="s">
        <v>1635</v>
      </c>
    </row>
    <row r="10799" spans="1:3" x14ac:dyDescent="0.25">
      <c r="A10799" s="8" t="str">
        <f>"Measurement of Speech, Audio and Video Quality in Networks, MESAQIN 2010 - Conference and On-Line Workshop, Proceedings"</f>
        <v>Measurement of Speech, Audio and Video Quality in Networks, MESAQIN 2010 - Conference and On-Line Workshop, Proceedings</v>
      </c>
      <c r="B10799" s="8" t="str">
        <f>"9788001045695"</f>
        <v>9788001045695</v>
      </c>
      <c r="C10799" s="8" t="s">
        <v>282</v>
      </c>
    </row>
    <row r="10800" spans="1:3" x14ac:dyDescent="0.25">
      <c r="A10800" s="8" t="str">
        <f>"Measuring and Modeling of Multi-Scale Interactions in the Marine Environment - IEEE/OES Baltic International Symposium 2014, BALTIC 2014"</f>
        <v>Measuring and Modeling of Multi-Scale Interactions in the Marine Environment - IEEE/OES Baltic International Symposium 2014, BALTIC 2014</v>
      </c>
      <c r="B10800" s="8" t="str">
        <f>"9781479957088"</f>
        <v>9781479957088</v>
      </c>
      <c r="C10800" s="8" t="s">
        <v>105</v>
      </c>
    </row>
    <row r="10801" spans="1:3" x14ac:dyDescent="0.25">
      <c r="A10801" s="8" t="str">
        <f>"MECAP'10, 1st Middle East Conference on Antennas and Propagation"</f>
        <v>MECAP'10, 1st Middle East Conference on Antennas and Propagation</v>
      </c>
      <c r="B10801" s="8" t="str">
        <f>"9781612849034"</f>
        <v>9781612849034</v>
      </c>
      <c r="C10801" s="8" t="s">
        <v>9</v>
      </c>
    </row>
    <row r="10802" spans="1:3" x14ac:dyDescent="0.25">
      <c r="A10802" s="8" t="str">
        <f>"Mechanical Behavior of Salt VII - Proceedings of the 7th Conference on the Mechanical Behavior of Salt"</f>
        <v>Mechanical Behavior of Salt VII - Proceedings of the 7th Conference on the Mechanical Behavior of Salt</v>
      </c>
      <c r="B10802" s="8" t="str">
        <f>"9780415621229"</f>
        <v>9780415621229</v>
      </c>
      <c r="C10802" s="8" t="s">
        <v>1637</v>
      </c>
    </row>
    <row r="10803" spans="1:3" x14ac:dyDescent="0.25">
      <c r="A10803" s="8" t="str">
        <f>"Mechanical Behavior of Salt VIII - Proceedings of the Conference on Mechanical Behavior of Salt, SALTMECH VIII"</f>
        <v>Mechanical Behavior of Salt VIII - Proceedings of the Conference on Mechanical Behavior of Salt, SALTMECH VIII</v>
      </c>
      <c r="B10803" s="8" t="str">
        <f>"9781138028401"</f>
        <v>9781138028401</v>
      </c>
      <c r="C10803" s="8" t="s">
        <v>1635</v>
      </c>
    </row>
    <row r="10804" spans="1:3" x14ac:dyDescent="0.25">
      <c r="A10804" s="8" t="str">
        <f>"Mechanics and Material Engineering for Science and Experiments"</f>
        <v>Mechanics and Material Engineering for Science and Experiments</v>
      </c>
      <c r="B10804" s="8" t="str">
        <f>"9781880132791"</f>
        <v>9781880132791</v>
      </c>
      <c r="C10804" s="8" t="s">
        <v>37</v>
      </c>
    </row>
    <row r="10805" spans="1:3" x14ac:dyDescent="0.25">
      <c r="A10805" s="8" t="str">
        <f>"Mechanics and Physics of Creep, Shrinkage, and Durability of Conrete: A Tribute to Zdenek P. Bazant - Proceedings of the 9th Int. Conf. on Creep, Shrinkage, and Durability Mechanics, CONCREEP 2013"</f>
        <v>Mechanics and Physics of Creep, Shrinkage, and Durability of Conrete: A Tribute to Zdenek P. Bazant - Proceedings of the 9th Int. Conf. on Creep, Shrinkage, and Durability Mechanics, CONCREEP 2013</v>
      </c>
      <c r="B10805" s="8" t="str">
        <f>"9780784413111"</f>
        <v>9780784413111</v>
      </c>
      <c r="C10805" s="8" t="s">
        <v>111</v>
      </c>
    </row>
    <row r="10806" spans="1:3" x14ac:dyDescent="0.25">
      <c r="A10806" s="8" t="str">
        <f>"Mechanics Down Under - Proceedings of the 22nd International Congress of Theoretical and Applied Mechanics, ICTAM 2008"</f>
        <v>Mechanics Down Under - Proceedings of the 22nd International Congress of Theoretical and Applied Mechanics, ICTAM 2008</v>
      </c>
      <c r="B10806" s="8" t="str">
        <f>"9789400759671"</f>
        <v>9789400759671</v>
      </c>
      <c r="C10806" s="8" t="s">
        <v>162</v>
      </c>
    </row>
    <row r="10807" spans="1:3" x14ac:dyDescent="0.25">
      <c r="A10807" s="8" t="str">
        <f>"Mechanics of Electromagnetic Material Systems and Structures"</f>
        <v>Mechanics of Electromagnetic Material Systems and Structures</v>
      </c>
      <c r="B10807" s="8" t="str">
        <f>"9781853129209"</f>
        <v>9781853129209</v>
      </c>
      <c r="C10807" s="8" t="s">
        <v>80</v>
      </c>
    </row>
    <row r="10808" spans="1:3" x14ac:dyDescent="0.25">
      <c r="A10808" s="8" t="str">
        <f>"Mechanics of Natural Solids"</f>
        <v>Mechanics of Natural Solids</v>
      </c>
      <c r="B10808" s="8" t="str">
        <f>"9783642035777"</f>
        <v>9783642035777</v>
      </c>
      <c r="C10808" s="8" t="s">
        <v>834</v>
      </c>
    </row>
    <row r="10809" spans="1:3" x14ac:dyDescent="0.25">
      <c r="A10809" s="8" t="str">
        <f>"Mechatronics Engineering and Electrical Engineering - Proceedings of the 2014 International Conference on Mechatronics Engineering and Electrical Engineering, CMEEE  2014"</f>
        <v>Mechatronics Engineering and Electrical Engineering - Proceedings of the 2014 International Conference on Mechatronics Engineering and Electrical Engineering, CMEEE  2014</v>
      </c>
      <c r="B10809" s="8" t="str">
        <f>"9781138027190"</f>
        <v>9781138027190</v>
      </c>
      <c r="C10809" s="8" t="s">
        <v>1635</v>
      </c>
    </row>
    <row r="10810" spans="1:3" x14ac:dyDescent="0.25">
      <c r="A10810" s="8" t="str">
        <f>"Mechatronics: Recent Technological and Scientific Advances"</f>
        <v>Mechatronics: Recent Technological and Scientific Advances</v>
      </c>
      <c r="B10810" s="8" t="str">
        <f>"9783642232435"</f>
        <v>9783642232435</v>
      </c>
      <c r="C10810" s="8" t="s">
        <v>42</v>
      </c>
    </row>
    <row r="10811" spans="1:3" x14ac:dyDescent="0.25">
      <c r="A10811" s="8" t="str">
        <f>"MedCOMM'12 - Proceedings of the ACM International Workshop on Medical Communication Systems"</f>
        <v>MedCOMM'12 - Proceedings of the ACM International Workshop on Medical Communication Systems</v>
      </c>
      <c r="B10811" s="8" t="str">
        <f>"-"</f>
        <v>-</v>
      </c>
      <c r="C10811" s="8" t="s">
        <v>21</v>
      </c>
    </row>
    <row r="10812" spans="1:3" x14ac:dyDescent="0.25">
      <c r="A10812" s="8" t="str">
        <f>"MEDES 2014 - 6th International Conference on Management of Emergent Digital EcoSystems, Proceedings"</f>
        <v>MEDES 2014 - 6th International Conference on Management of Emergent Digital EcoSystems, Proceedings</v>
      </c>
      <c r="B10812" s="8" t="str">
        <f>"9781450327671"</f>
        <v>9781450327671</v>
      </c>
      <c r="C10812" s="8" t="s">
        <v>1235</v>
      </c>
    </row>
    <row r="10813" spans="1:3" x14ac:dyDescent="0.25">
      <c r="A10813" s="8" t="s">
        <v>1993</v>
      </c>
      <c r="B10813" s="8" t="str">
        <f>"9789081348904"</f>
        <v>9789081348904</v>
      </c>
      <c r="C10813" s="8" t="s">
        <v>1994</v>
      </c>
    </row>
    <row r="10814" spans="1:3" x14ac:dyDescent="0.25">
      <c r="A10814" s="8" t="str">
        <f>"Medical Device Materials - Proceedings of the Materials and Processes for Medical Devices Conference 2003"</f>
        <v>Medical Device Materials - Proceedings of the Materials and Processes for Medical Devices Conference 2003</v>
      </c>
      <c r="B10814" s="8" t="str">
        <f>"9780871707987"</f>
        <v>9780871707987</v>
      </c>
      <c r="C10814" s="8" t="s">
        <v>65</v>
      </c>
    </row>
    <row r="10815" spans="1:3" x14ac:dyDescent="0.25">
      <c r="A10815" s="8" t="str">
        <f>"Medical Device Materials II - Proceedings of the Materials and Processes for Medical Devices Conference 2004"</f>
        <v>Medical Device Materials II - Proceedings of the Materials and Processes for Medical Devices Conference 2004</v>
      </c>
      <c r="B10815" s="8" t="str">
        <f>"9780871708243"</f>
        <v>9780871708243</v>
      </c>
      <c r="C10815" s="8" t="s">
        <v>65</v>
      </c>
    </row>
    <row r="10816" spans="1:3" x14ac:dyDescent="0.25">
      <c r="A10816" s="8" t="str">
        <f>"Medical Device Materials III - Proceedings of the Materials and Processes for Medical Devices Conference 2005"</f>
        <v>Medical Device Materials III - Proceedings of the Materials and Processes for Medical Devices Conference 2005</v>
      </c>
      <c r="B10816" s="8" t="str">
        <f>"-"</f>
        <v>-</v>
      </c>
      <c r="C10816" s="8" t="s">
        <v>65</v>
      </c>
    </row>
    <row r="10817" spans="1:3" x14ac:dyDescent="0.25">
      <c r="A10817" s="8" t="str">
        <f>"Medical Device Materials IV: Proceedings of the Materials and Processes for Medical Devices Conference 2007"</f>
        <v>Medical Device Materials IV: Proceedings of the Materials and Processes for Medical Devices Conference 2007</v>
      </c>
      <c r="B10817" s="8" t="str">
        <f>"9780871708618"</f>
        <v>9780871708618</v>
      </c>
      <c r="C10817" s="8" t="s">
        <v>65</v>
      </c>
    </row>
    <row r="10818" spans="1:3" x14ac:dyDescent="0.25">
      <c r="A10818" s="8" t="str">
        <f>"Medical Device Materials V - Proceedings of the Materials and Processes for Medical Devices Conference"</f>
        <v>Medical Device Materials V - Proceedings of the Materials and Processes for Medical Devices Conference</v>
      </c>
      <c r="B10818" s="8" t="str">
        <f>"9781615030392"</f>
        <v>9781615030392</v>
      </c>
      <c r="C10818" s="8" t="s">
        <v>65</v>
      </c>
    </row>
    <row r="10819" spans="1:3" x14ac:dyDescent="0.25">
      <c r="A10819" s="8" t="str">
        <f>"Medicine Sciences and Bioengineering - Proceedings of the 2014 International Conference on Medicine Sciences and Bioengineering, ICMSB 2014"</f>
        <v>Medicine Sciences and Bioengineering - Proceedings of the 2014 International Conference on Medicine Sciences and Bioengineering, ICMSB 2014</v>
      </c>
      <c r="B10819" s="8" t="str">
        <f>"9781138026841"</f>
        <v>9781138026841</v>
      </c>
      <c r="C10819" s="8" t="s">
        <v>1635</v>
      </c>
    </row>
    <row r="10820" spans="1:3" x14ac:dyDescent="0.25">
      <c r="A10820" s="8" t="str">
        <f>"MeMeA 2007 2nd - IEEE International Workshop on Medical Measurement and Applications"</f>
        <v>MeMeA 2007 2nd - IEEE International Workshop on Medical Measurement and Applications</v>
      </c>
      <c r="B10820" s="8" t="str">
        <f>"9781424410804"</f>
        <v>9781424410804</v>
      </c>
      <c r="C10820" s="8" t="s">
        <v>9</v>
      </c>
    </row>
    <row r="10821" spans="1:3" x14ac:dyDescent="0.25">
      <c r="A10821" s="8" t="str">
        <f>"MeMeA 2008 - IEEE International Workshop on Medical Measurements and Applications Proceedings"</f>
        <v>MeMeA 2008 - IEEE International Workshop on Medical Measurements and Applications Proceedings</v>
      </c>
      <c r="B10821" s="8" t="str">
        <f>"9781424419388"</f>
        <v>9781424419388</v>
      </c>
      <c r="C10821" s="8" t="s">
        <v>9</v>
      </c>
    </row>
    <row r="10822" spans="1:3" x14ac:dyDescent="0.25">
      <c r="A10822" s="8" t="str">
        <f>"MeMeA 2011 - 2011 IEEE International Symposium on Medical Measurements and Applications, Proceedings"</f>
        <v>MeMeA 2011 - 2011 IEEE International Symposium on Medical Measurements and Applications, Proceedings</v>
      </c>
      <c r="B10822" s="8" t="str">
        <f>"9781424493388"</f>
        <v>9781424493388</v>
      </c>
      <c r="C10822" s="8" t="s">
        <v>9</v>
      </c>
    </row>
    <row r="10823" spans="1:3" x14ac:dyDescent="0.25">
      <c r="A10823" s="8" t="str">
        <f>"MeMeA 2012 - 2012 IEEE Symposium on Medical Measurements and Applications, Proceedings"</f>
        <v>MeMeA 2012 - 2012 IEEE Symposium on Medical Measurements and Applications, Proceedings</v>
      </c>
      <c r="B10823" s="8" t="str">
        <f>"9781467308816"</f>
        <v>9781467308816</v>
      </c>
      <c r="C10823" s="8" t="s">
        <v>9</v>
      </c>
    </row>
    <row r="10824" spans="1:3" x14ac:dyDescent="0.25">
      <c r="A10824" s="8" t="str">
        <f>"MeMeA 2013 - IEEE International Symposium on Medical Measurements and Applications, Proceedings"</f>
        <v>MeMeA 2013 - IEEE International Symposium on Medical Measurements and Applications, Proceedings</v>
      </c>
      <c r="B10824" s="8" t="str">
        <f>"9781467351966"</f>
        <v>9781467351966</v>
      </c>
      <c r="C10824" s="8" t="s">
        <v>9</v>
      </c>
    </row>
    <row r="10825" spans="1:3" x14ac:dyDescent="0.25">
      <c r="A10825" s="8" t="str">
        <f>"Memorias de la 11th Conferencia Iberoamericana de Software Engineering - CIbSE 2008"</f>
        <v>Memorias de la 11th Conferencia Iberoamericana de Software Engineering - CIbSE 2008</v>
      </c>
      <c r="B10825" s="8" t="str">
        <f>"-"</f>
        <v>-</v>
      </c>
      <c r="C10825" s="8" t="s">
        <v>1267</v>
      </c>
    </row>
    <row r="10826" spans="1:3" x14ac:dyDescent="0.25">
      <c r="A10826" s="8" t="str">
        <f>"Memorias de la 8th Conferencia Iberoamericana de Software Engineering - CIbSE 2005"</f>
        <v>Memorias de la 8th Conferencia Iberoamericana de Software Engineering - CIbSE 2005</v>
      </c>
      <c r="B10826" s="8" t="str">
        <f>"9789567051076"</f>
        <v>9789567051076</v>
      </c>
      <c r="C10826" s="8" t="s">
        <v>1267</v>
      </c>
    </row>
    <row r="10827" spans="1:3" x14ac:dyDescent="0.25">
      <c r="A10827" s="8" t="str">
        <f>"MEMORIAS: 10th Workshop Iberoamericano de Ingenieria de Requisitos y Ambientes de Software - IDEAS 2007"</f>
        <v>MEMORIAS: 10th Workshop Iberoamericano de Ingenieria de Requisitos y Ambientes de Software - IDEAS 2007</v>
      </c>
      <c r="B10827" s="8" t="str">
        <f>"9789803253233"</f>
        <v>9789803253233</v>
      </c>
      <c r="C10827" s="8" t="s">
        <v>1995</v>
      </c>
    </row>
    <row r="10828" spans="1:3" x14ac:dyDescent="0.25">
      <c r="A10828" s="8" t="str">
        <f>"MENDEL 2008 - 14th International Conference on Soft Computing: Evolutionary Computation, Genetic Programming, Fuzzy Logic, Rough Sets, Neural Networks, Fractals, Bayesian Methods"</f>
        <v>MENDEL 2008 - 14th International Conference on Soft Computing: Evolutionary Computation, Genetic Programming, Fuzzy Logic, Rough Sets, Neural Networks, Fractals, Bayesian Methods</v>
      </c>
      <c r="B10828" s="8" t="str">
        <f>"9788021436756"</f>
        <v>9788021436756</v>
      </c>
      <c r="C10828" s="8" t="s">
        <v>1290</v>
      </c>
    </row>
    <row r="10829" spans="1:3" x14ac:dyDescent="0.25">
      <c r="A10829" s="8" t="str">
        <f>"MERCon 2015 - Moratuwa Engineering Research Conference"</f>
        <v>MERCon 2015 - Moratuwa Engineering Research Conference</v>
      </c>
      <c r="B10829" s="8" t="str">
        <f>"9781479917402"</f>
        <v>9781479917402</v>
      </c>
      <c r="C10829" s="8" t="s">
        <v>105</v>
      </c>
    </row>
    <row r="10830" spans="1:3" x14ac:dyDescent="0.25">
      <c r="A10830" s="8" t="str">
        <f>"MERLIN'05 - Proceedings of the Third ACM SIGPLAN Workshop in Mechanized Reasoning about Languages with varIable biNding"</f>
        <v>MERLIN'05 - Proceedings of the Third ACM SIGPLAN Workshop in Mechanized Reasoning about Languages with varIable biNding</v>
      </c>
      <c r="B10830" s="8" t="str">
        <f>"9781595930729"</f>
        <v>9781595930729</v>
      </c>
      <c r="C10830" s="8" t="s">
        <v>21</v>
      </c>
    </row>
    <row r="10831" spans="1:3" x14ac:dyDescent="0.25">
      <c r="A10831" s="8" t="str">
        <f>"MESA 2014 - 10th IEEE/ASME International Conference on Mechatronic and Embedded Systems and Applications, Conference Proceedings"</f>
        <v>MESA 2014 - 10th IEEE/ASME International Conference on Mechatronic and Embedded Systems and Applications, Conference Proceedings</v>
      </c>
      <c r="B10831" s="8" t="str">
        <f>"9781479922802"</f>
        <v>9781479922802</v>
      </c>
      <c r="C10831" s="8" t="s">
        <v>105</v>
      </c>
    </row>
    <row r="10832" spans="1:3" x14ac:dyDescent="0.25">
      <c r="A10832" s="8" t="str">
        <f>"MESH 2011 - 4th International Conference on Advances in Mesh Networks"</f>
        <v>MESH 2011 - 4th International Conference on Advances in Mesh Networks</v>
      </c>
      <c r="B10832" s="8" t="str">
        <f>"9781612081472"</f>
        <v>9781612081472</v>
      </c>
      <c r="C10832" s="8" t="s">
        <v>373</v>
      </c>
    </row>
    <row r="10833" spans="1:3" x14ac:dyDescent="0.25">
      <c r="A10833" s="8" t="str">
        <f>"MESH 2012 - 5th International Conference on Advances in Mesh Networks"</f>
        <v>MESH 2012 - 5th International Conference on Advances in Mesh Networks</v>
      </c>
      <c r="B10833" s="8" t="str">
        <f>"9781612082103"</f>
        <v>9781612082103</v>
      </c>
      <c r="C10833" s="8" t="s">
        <v>373</v>
      </c>
    </row>
    <row r="10834" spans="1:3" x14ac:dyDescent="0.25">
      <c r="A10834" s="8" t="str">
        <f>"MESM 2005 - 7th Middle Eastern Simulation Multiconference"</f>
        <v>MESM 2005 - 7th Middle Eastern Simulation Multiconference</v>
      </c>
      <c r="B10834" s="8" t="str">
        <f>"9789077381212"</f>
        <v>9789077381212</v>
      </c>
      <c r="C10834" s="8" t="s">
        <v>1206</v>
      </c>
    </row>
    <row r="10835" spans="1:3" x14ac:dyDescent="0.25">
      <c r="A10835" s="8" t="str">
        <f>"MESM 2006 - 8th Middle Eastern Simulation Multiconference"</f>
        <v>MESM 2006 - 8th Middle Eastern Simulation Multiconference</v>
      </c>
      <c r="B10835" s="8" t="str">
        <f>"9789077381281"</f>
        <v>9789077381281</v>
      </c>
      <c r="C10835" s="8" t="s">
        <v>1206</v>
      </c>
    </row>
    <row r="10836" spans="1:3" x14ac:dyDescent="0.25">
      <c r="A10836" s="8" t="str">
        <f>"MESM 2008 - 9th Middle Eastern Simulation Multiconference"</f>
        <v>MESM 2008 - 9th Middle Eastern Simulation Multiconference</v>
      </c>
      <c r="B10836" s="8" t="str">
        <f>"9789077381434"</f>
        <v>9789077381434</v>
      </c>
      <c r="C10836" s="8" t="s">
        <v>1206</v>
      </c>
    </row>
    <row r="10837" spans="1:3" x14ac:dyDescent="0.25">
      <c r="A10837" s="8" t="str">
        <f>"MESM 2009 - 10th Middle Eastern Simulation Multiconference"</f>
        <v>MESM 2009 - 10th Middle Eastern Simulation Multiconference</v>
      </c>
      <c r="B10837" s="8" t="str">
        <f>"9789077381519"</f>
        <v>9789077381519</v>
      </c>
      <c r="C10837" s="8" t="s">
        <v>1206</v>
      </c>
    </row>
    <row r="10838" spans="1:3" x14ac:dyDescent="0.25">
      <c r="A10838" s="8" t="str">
        <f>"Mesoscopic Physics in Complex Media"</f>
        <v>Mesoscopic Physics in Complex Media</v>
      </c>
      <c r="B10838" s="8" t="str">
        <f>"-"</f>
        <v>-</v>
      </c>
      <c r="C10838" s="8" t="s">
        <v>161</v>
      </c>
    </row>
    <row r="10839" spans="1:3" x14ac:dyDescent="0.25">
      <c r="A10839" s="8" t="str">
        <f>"META08 - Proceedings of the 2008 International Workshop on Metamaterials"</f>
        <v>META08 - Proceedings of the 2008 International Workshop on Metamaterials</v>
      </c>
      <c r="B10839" s="8" t="str">
        <f>"9781424426089"</f>
        <v>9781424426089</v>
      </c>
      <c r="C10839" s="8" t="s">
        <v>9</v>
      </c>
    </row>
    <row r="10840" spans="1:3" x14ac:dyDescent="0.25">
      <c r="A10840" s="8" t="str">
        <f>"METAL 2009 - 18th International Conference on Metallurgy and Materials, Conference Proceedings"</f>
        <v>METAL 2009 - 18th International Conference on Metallurgy and Materials, Conference Proceedings</v>
      </c>
      <c r="B10840" s="8" t="str">
        <f>"9788087294109"</f>
        <v>9788087294109</v>
      </c>
      <c r="C10840" s="8" t="s">
        <v>1754</v>
      </c>
    </row>
    <row r="10841" spans="1:3" x14ac:dyDescent="0.25">
      <c r="A10841" s="8" t="str">
        <f>"METAL 2010 - 19th International Conference on Metallurgy and Materials, Conference Proceedings"</f>
        <v>METAL 2010 - 19th International Conference on Metallurgy and Materials, Conference Proceedings</v>
      </c>
      <c r="B10841" s="8" t="str">
        <f>"9788087294178"</f>
        <v>9788087294178</v>
      </c>
      <c r="C10841" s="8" t="s">
        <v>1754</v>
      </c>
    </row>
    <row r="10842" spans="1:3" x14ac:dyDescent="0.25">
      <c r="A10842" s="8" t="str">
        <f>"METAL 2011 - Conference Proceedings, 20th Anniversary International Conference on Metallurgy and Materials"</f>
        <v>METAL 2011 - Conference Proceedings, 20th Anniversary International Conference on Metallurgy and Materials</v>
      </c>
      <c r="B10842" s="8" t="str">
        <f>"9788087294246"</f>
        <v>9788087294246</v>
      </c>
      <c r="C10842" s="8" t="s">
        <v>1754</v>
      </c>
    </row>
    <row r="10843" spans="1:3" x14ac:dyDescent="0.25">
      <c r="A10843" s="8" t="str">
        <f>"METAL 2012 - Conference Proceedings, 21st International Conference on Metallurgy and Materials"</f>
        <v>METAL 2012 - Conference Proceedings, 21st International Conference on Metallurgy and Materials</v>
      </c>
      <c r="B10843" s="8" t="str">
        <f>"9788087294314"</f>
        <v>9788087294314</v>
      </c>
      <c r="C10843" s="8" t="s">
        <v>1754</v>
      </c>
    </row>
    <row r="10844" spans="1:3" x14ac:dyDescent="0.25">
      <c r="A10844" s="8" t="str">
        <f>"METAL 2013 - 22nd International Conference on Metallurgy and Materials, Conference Proceedings"</f>
        <v>METAL 2013 - 22nd International Conference on Metallurgy and Materials, Conference Proceedings</v>
      </c>
      <c r="B10844" s="8" t="str">
        <f>"9788087294413"</f>
        <v>9788087294413</v>
      </c>
      <c r="C10844" s="8" t="s">
        <v>1754</v>
      </c>
    </row>
    <row r="10845" spans="1:3" x14ac:dyDescent="0.25">
      <c r="A10845" s="8" t="str">
        <f>"METAL 2014 - 23rd International Conference on Metallurgy and Materials, Conference Proceedings"</f>
        <v>METAL 2014 - 23rd International Conference on Metallurgy and Materials, Conference Proceedings</v>
      </c>
      <c r="B10845" s="8" t="str">
        <f>"9788087294543"</f>
        <v>9788087294543</v>
      </c>
      <c r="C10845" s="8" t="s">
        <v>1754</v>
      </c>
    </row>
    <row r="10846" spans="1:3" x14ac:dyDescent="0.25">
      <c r="A10846" s="8" t="str">
        <f>"Metallurgical Modeling for Aluminum Alloys - Proceedings from Materials Solutions Conference 2003: 1st International Symposium on Metallurgical Modeling for Aluminum Alloys"</f>
        <v>Metallurgical Modeling for Aluminum Alloys - Proceedings from Materials Solutions Conference 2003: 1st International Symposium on Metallurgical Modeling for Aluminum Alloys</v>
      </c>
      <c r="B10846" s="8" t="str">
        <f>"9780871707871"</f>
        <v>9780871707871</v>
      </c>
      <c r="C10846" s="8" t="s">
        <v>65</v>
      </c>
    </row>
    <row r="10847" spans="1:3" x14ac:dyDescent="0.25">
      <c r="A10847" s="8" t="str">
        <f>"MetFoam 2007 - Proceedings of the 5th International Conference on Porous Metals and Metallic Foams"</f>
        <v>MetFoam 2007 - Proceedings of the 5th International Conference on Porous Metals and Metallic Foams</v>
      </c>
      <c r="B10847" s="8" t="str">
        <f>"9781932078282"</f>
        <v>9781932078282</v>
      </c>
      <c r="C10847" s="8" t="s">
        <v>757</v>
      </c>
    </row>
    <row r="10848" spans="1:3" x14ac:dyDescent="0.25">
      <c r="A10848" s="8" t="str">
        <f>"Methodological and Technological Issues in Technology Transfer"</f>
        <v>Methodological and Technological Issues in Technology Transfer</v>
      </c>
      <c r="B10848" s="8" t="str">
        <f>"9780521804943"</f>
        <v>9780521804943</v>
      </c>
      <c r="C10848" s="8" t="s">
        <v>152</v>
      </c>
    </row>
    <row r="10849" spans="1:3" x14ac:dyDescent="0.25">
      <c r="A10849" s="8" t="str">
        <f>"METPLANT 2011 - Metallurgical Plant Design and Operating Strategies"</f>
        <v>METPLANT 2011 - Metallurgical Plant Design and Operating Strategies</v>
      </c>
      <c r="B10849" s="8" t="str">
        <f>"9781921522444"</f>
        <v>9781921522444</v>
      </c>
      <c r="C10849" s="8" t="s">
        <v>167</v>
      </c>
    </row>
    <row r="10850" spans="1:3" x14ac:dyDescent="0.25">
      <c r="A10850" s="8" t="str">
        <f>"Metrics: The Key to Success - Proceedings of the 60th Meeting of the Society for Machinery Failure Prevention Technology"</f>
        <v>Metrics: The Key to Success - Proceedings of the 60th Meeting of the Society for Machinery Failure Prevention Technology</v>
      </c>
      <c r="B10850" s="8" t="str">
        <f>"-"</f>
        <v>-</v>
      </c>
      <c r="C10850" s="8" t="s">
        <v>1826</v>
      </c>
    </row>
    <row r="10851" spans="1:3" x14ac:dyDescent="0.25">
      <c r="A10851" s="8" t="str">
        <f>"MetriSec'12 - Proceedings of the 4th International Workshop on Security Measurements and Metrics"</f>
        <v>MetriSec'12 - Proceedings of the 4th International Workshop on Security Measurements and Metrics</v>
      </c>
      <c r="B10851" s="8" t="str">
        <f>"9781450315081"</f>
        <v>9781450315081</v>
      </c>
      <c r="C10851" s="8" t="s">
        <v>21</v>
      </c>
    </row>
    <row r="10852" spans="1:3" x14ac:dyDescent="0.25">
      <c r="A10852" s="8" t="str">
        <f>"MFPT 2014 Conference: Technology Solutions for Affordable Sustainment"</f>
        <v>MFPT 2014 Conference: Technology Solutions for Affordable Sustainment</v>
      </c>
      <c r="B10852" s="8" t="str">
        <f>"-"</f>
        <v>-</v>
      </c>
      <c r="C10852" s="8" t="s">
        <v>1966</v>
      </c>
    </row>
    <row r="10853" spans="1:3" x14ac:dyDescent="0.25">
      <c r="A10853" s="8" t="str">
        <f>"mHealthSys 2012 - Proceedings of the 2nd ACM Workshop on Mobile Systems, Applications, and Services for HealthCare, Co-held with ACM SenSys 2012"</f>
        <v>mHealthSys 2012 - Proceedings of the 2nd ACM Workshop on Mobile Systems, Applications, and Services for HealthCare, Co-held with ACM SenSys 2012</v>
      </c>
      <c r="B10853" s="8" t="str">
        <f>"9781450317641"</f>
        <v>9781450317641</v>
      </c>
      <c r="C10853" s="8" t="s">
        <v>21</v>
      </c>
    </row>
    <row r="10854" spans="1:3" x14ac:dyDescent="0.25">
      <c r="A10854" s="8" t="str">
        <f>"MHS 2002 - Proceedings of 2002 International Symposium on Micromechatronics and Human Science"</f>
        <v>MHS 2002 - Proceedings of 2002 International Symposium on Micromechatronics and Human Science</v>
      </c>
      <c r="B10854" s="8" t="str">
        <f>"9780780376113"</f>
        <v>9780780376113</v>
      </c>
      <c r="C10854" s="8" t="s">
        <v>105</v>
      </c>
    </row>
    <row r="10855" spans="1:3" x14ac:dyDescent="0.25">
      <c r="A10855" s="8" t="str">
        <f>"MICRO 2013 - Proceedings of the 46th Annual IEEE/ACM International Symposium on Microarchitecture"</f>
        <v>MICRO 2013 - Proceedings of the 46th Annual IEEE/ACM International Symposium on Microarchitecture</v>
      </c>
      <c r="B10855" s="8" t="str">
        <f>"9781450326384"</f>
        <v>9781450326384</v>
      </c>
      <c r="C10855" s="8" t="s">
        <v>21</v>
      </c>
    </row>
    <row r="10856" spans="1:3" x14ac:dyDescent="0.25">
      <c r="A10856" s="8" t="str">
        <f>"Microalloyed Steels 2002"</f>
        <v>Microalloyed Steels 2002</v>
      </c>
      <c r="B10856" s="8" t="str">
        <f>"9780871707734"</f>
        <v>9780871707734</v>
      </c>
      <c r="C10856" s="8" t="s">
        <v>65</v>
      </c>
    </row>
    <row r="10857" spans="1:3" x14ac:dyDescent="0.25">
      <c r="A10857" s="8" t="str">
        <f>"Microstructural Science"</f>
        <v>Microstructural Science</v>
      </c>
      <c r="B10857" s="8" t="str">
        <f>"9780871706362"</f>
        <v>9780871706362</v>
      </c>
      <c r="C10857" s="8" t="s">
        <v>65</v>
      </c>
    </row>
    <row r="10858" spans="1:3" x14ac:dyDescent="0.25">
      <c r="A10858" s="8" t="str">
        <f>"Microstructure Modeling and Prediction During Thermomechanical Processing"</f>
        <v>Microstructure Modeling and Prediction During Thermomechanical Processing</v>
      </c>
      <c r="B10858" s="8" t="str">
        <f>"9780873395052"</f>
        <v>9780873395052</v>
      </c>
      <c r="C10858" s="8" t="s">
        <v>648</v>
      </c>
    </row>
    <row r="10859" spans="1:3" x14ac:dyDescent="0.25">
      <c r="A10859" s="8" t="str">
        <f>"Middleware Conference - Proceedings of the 2007 Workshop on Middleware for Next-generation Converged Networks and Applications 2007, MNCNA'07"</f>
        <v>Middleware Conference - Proceedings of the 2007 Workshop on Middleware for Next-generation Converged Networks and Applications 2007, MNCNA'07</v>
      </c>
      <c r="B10859" s="8" t="str">
        <f>"9781595939326"</f>
        <v>9781595939326</v>
      </c>
      <c r="C10859" s="8" t="s">
        <v>21</v>
      </c>
    </row>
    <row r="10860" spans="1:3" x14ac:dyDescent="0.25">
      <c r="A10860" s="8" t="str">
        <f>"Middleware'10 Posters and Demos Track, Middleware Posters'10"</f>
        <v>Middleware'10 Posters and Demos Track, Middleware Posters'10</v>
      </c>
      <c r="B10860" s="8" t="str">
        <f>"9781450306010"</f>
        <v>9781450306010</v>
      </c>
      <c r="C10860" s="8" t="s">
        <v>21</v>
      </c>
    </row>
    <row r="10861" spans="1:3" x14ac:dyDescent="0.25">
      <c r="A10861" s="8" t="str">
        <f>"MidSens 2012 - Proc. of the 7th International Workshop on Middleware Tools, Services and Run-Time Support for Sensor Networks, Co-located with the 13th ACM/IFIP/USENIX International Middleware Conf."</f>
        <v>MidSens 2012 - Proc. of the 7th International Workshop on Middleware Tools, Services and Run-Time Support for Sensor Networks, Co-located with the 13th ACM/IFIP/USENIX International Middleware Conf.</v>
      </c>
      <c r="B10861" s="8" t="str">
        <f>"9781450316101"</f>
        <v>9781450316101</v>
      </c>
      <c r="C10861" s="8" t="s">
        <v>21</v>
      </c>
    </row>
    <row r="10862" spans="1:3" x14ac:dyDescent="0.25">
      <c r="A10862" s="8" t="str">
        <f>"MidSens'09 - International Workshop on Middleware Tools, Services and Run-Time Support for Sensor Networks, Co-located with the 10th ACM/IFIP/USENIX International Middleware Conference"</f>
        <v>MidSens'09 - International Workshop on Middleware Tools, Services and Run-Time Support for Sensor Networks, Co-located with the 10th ACM/IFIP/USENIX International Middleware Conference</v>
      </c>
      <c r="B10862" s="8" t="str">
        <f>"9781605588513"</f>
        <v>9781605588513</v>
      </c>
      <c r="C10862" s="8" t="s">
        <v>21</v>
      </c>
    </row>
    <row r="10863" spans="1:3" x14ac:dyDescent="0.25">
      <c r="A10863" s="8" t="str">
        <f>"MiFor'10 - Proceedings of the 2010 ACM Workshop on Multimedia in Forensics, Security and Intelligence, Co-located with ACM Multimedia 2010"</f>
        <v>MiFor'10 - Proceedings of the 2010 ACM Workshop on Multimedia in Forensics, Security and Intelligence, Co-located with ACM Multimedia 2010</v>
      </c>
      <c r="B10863" s="8" t="str">
        <f>"9781450301572"</f>
        <v>9781450301572</v>
      </c>
      <c r="C10863" s="8" t="s">
        <v>21</v>
      </c>
    </row>
    <row r="10864" spans="1:3" x14ac:dyDescent="0.25">
      <c r="A10864" s="8" t="str">
        <f>"MIIRH 2013 - Proceedings of the 1st ACM International Workshop on Multimedia Indexing and Information Retrieval for Heathcare, Co-located with ACM Multimedia 2013"</f>
        <v>MIIRH 2013 - Proceedings of the 1st ACM International Workshop on Multimedia Indexing and Information Retrieval for Heathcare, Co-located with ACM Multimedia 2013</v>
      </c>
      <c r="B10864" s="8" t="str">
        <f>"9781450323987"</f>
        <v>9781450323987</v>
      </c>
      <c r="C10864" s="8" t="s">
        <v>21</v>
      </c>
    </row>
    <row r="10865" spans="1:3" x14ac:dyDescent="0.25">
      <c r="A10865" s="8" t="str">
        <f>"MIIT 2010 - Proceedings of the 1st International Workshop on Model Inference In Testing, Held in Conjunction with ACM SIGSOFT International Symposium on Software Testing and Analysis, ISSTA 2010"</f>
        <v>MIIT 2010 - Proceedings of the 1st International Workshop on Model Inference In Testing, Held in Conjunction with ACM SIGSOFT International Symposium on Software Testing and Analysis, ISSTA 2010</v>
      </c>
      <c r="B10865" s="8" t="str">
        <f>"9781450301473"</f>
        <v>9781450301473</v>
      </c>
      <c r="C10865" s="8" t="s">
        <v>21</v>
      </c>
    </row>
    <row r="10866" spans="1:3" x14ac:dyDescent="0.25">
      <c r="A10866" s="8" t="str">
        <f>"MindTrek - 12th International MindTrek Conference: Entertainment and Media in the Ubiquitous Era"</f>
        <v>MindTrek - 12th International MindTrek Conference: Entertainment and Media in the Ubiquitous Era</v>
      </c>
      <c r="B10866" s="8" t="str">
        <f>"9781605581972"</f>
        <v>9781605581972</v>
      </c>
      <c r="C10866" s="8" t="s">
        <v>21</v>
      </c>
    </row>
    <row r="10867" spans="1:3" x14ac:dyDescent="0.25">
      <c r="A10867" s="8" t="str">
        <f>"MindTrek 2009 - 13th International Academic MindTrek Conference: Everyday Life in the Ubiquitous Era"</f>
        <v>MindTrek 2009 - 13th International Academic MindTrek Conference: Everyday Life in the Ubiquitous Era</v>
      </c>
      <c r="B10867" s="8" t="str">
        <f>"9781605586335"</f>
        <v>9781605586335</v>
      </c>
      <c r="C10867" s="8" t="s">
        <v>21</v>
      </c>
    </row>
    <row r="10868" spans="1:3" x14ac:dyDescent="0.25">
      <c r="A10868" s="8" t="str">
        <f>"MineNet'07: Proceedings of the Third Annual ACM Workshop on Mining Network Data"</f>
        <v>MineNet'07: Proceedings of the Third Annual ACM Workshop on Mining Network Data</v>
      </c>
      <c r="B10868" s="8" t="str">
        <f>"9781595937926"</f>
        <v>9781595937926</v>
      </c>
      <c r="C10868" s="8" t="s">
        <v>21</v>
      </c>
    </row>
    <row r="10869" spans="1:3" x14ac:dyDescent="0.25">
      <c r="A10869" s="8" t="str">
        <f>"Mining Science and Technology '99"</f>
        <v>Mining Science and Technology '99</v>
      </c>
      <c r="B10869" s="8" t="str">
        <f>"9789058090676"</f>
        <v>9789058090676</v>
      </c>
      <c r="C10869" s="8" t="s">
        <v>60</v>
      </c>
    </row>
    <row r="10870" spans="1:3" x14ac:dyDescent="0.25">
      <c r="A10870" s="8" t="str">
        <f>"Mining the Digital Information Networks - Proceedings of the 17th International Conference on Electronic Publishing, ELPUB 2013"</f>
        <v>Mining the Digital Information Networks - Proceedings of the 17th International Conference on Electronic Publishing, ELPUB 2013</v>
      </c>
      <c r="B10870" s="8" t="str">
        <f>"9781614992691"</f>
        <v>9781614992691</v>
      </c>
      <c r="C10870" s="8" t="s">
        <v>103</v>
      </c>
    </row>
    <row r="10871" spans="1:3" x14ac:dyDescent="0.25">
      <c r="A10871" s="8" t="str">
        <f>"MIPRO 2005 - 28th International Convention Proceedings: Business Intelligence Systems, Digital Economy - 2nd e-business ALADIN, Information Systems Security"</f>
        <v>MIPRO 2005 - 28th International Convention Proceedings: Business Intelligence Systems, Digital Economy - 2nd e-business ALADIN, Information Systems Security</v>
      </c>
      <c r="B10871" s="8" t="str">
        <f>"9789532330137"</f>
        <v>9789532330137</v>
      </c>
      <c r="C10871" s="8" t="s">
        <v>1996</v>
      </c>
    </row>
    <row r="10872" spans="1:3" x14ac:dyDescent="0.25">
      <c r="A10872" s="8" t="str">
        <f>"MIPRO 2005 - 28th International Convention Proceedings: Computers in Education"</f>
        <v>MIPRO 2005 - 28th International Convention Proceedings: Computers in Education</v>
      </c>
      <c r="B10872" s="8" t="str">
        <f>"9789532330090"</f>
        <v>9789532330090</v>
      </c>
      <c r="C10872" s="8" t="s">
        <v>1996</v>
      </c>
    </row>
    <row r="10873" spans="1:3" x14ac:dyDescent="0.25">
      <c r="A10873" s="8" t="str">
        <f>"MIPRO 2005 - 28th International Convention Proceedings: Computers in Technical Systems and Intelligent Systems"</f>
        <v>MIPRO 2005 - 28th International Convention Proceedings: Computers in Technical Systems and Intelligent Systems</v>
      </c>
      <c r="B10873" s="8" t="str">
        <f>"9789532330120"</f>
        <v>9789532330120</v>
      </c>
      <c r="C10873" s="8" t="s">
        <v>1996</v>
      </c>
    </row>
    <row r="10874" spans="1:3" x14ac:dyDescent="0.25">
      <c r="A10874" s="8" t="str">
        <f>"MIPRO 2005 - 28th International Convention Proceedings: Microelectronics, Electronics and Electronic Technologies MEET, Hypermedia and Grid Systems HGS"</f>
        <v>MIPRO 2005 - 28th International Convention Proceedings: Microelectronics, Electronics and Electronic Technologies MEET, Hypermedia and Grid Systems HGS</v>
      </c>
      <c r="B10874" s="8" t="str">
        <f>"9789532330113"</f>
        <v>9789532330113</v>
      </c>
      <c r="C10874" s="8" t="s">
        <v>1996</v>
      </c>
    </row>
    <row r="10875" spans="1:3" x14ac:dyDescent="0.25">
      <c r="A10875" s="8" t="str">
        <f>"MIPRO 2005 - 28th International Convention Proceedings: Telecommunications and Information"</f>
        <v>MIPRO 2005 - 28th International Convention Proceedings: Telecommunications and Information</v>
      </c>
      <c r="B10875" s="8" t="str">
        <f>"9789532330106"</f>
        <v>9789532330106</v>
      </c>
      <c r="C10875" s="8" t="s">
        <v>1996</v>
      </c>
    </row>
    <row r="10876" spans="1:3" x14ac:dyDescent="0.25">
      <c r="A10876" s="8" t="str">
        <f>"MIPRO 2006 - 29th International Convention Proceedings: Computers in Education"</f>
        <v>MIPRO 2006 - 29th International Convention Proceedings: Computers in Education</v>
      </c>
      <c r="B10876" s="8" t="str">
        <f>"9789532330212"</f>
        <v>9789532330212</v>
      </c>
      <c r="C10876" s="8" t="s">
        <v>1996</v>
      </c>
    </row>
    <row r="10877" spans="1:3" x14ac:dyDescent="0.25">
      <c r="A10877" s="8" t="str">
        <f>"MIPRO 2006 - 29th International Convention Proceedings: Computers in Technical Systems and Intelligent Systems"</f>
        <v>MIPRO 2006 - 29th International Convention Proceedings: Computers in Technical Systems and Intelligent Systems</v>
      </c>
      <c r="B10877" s="8" t="str">
        <f>"9789532330205"</f>
        <v>9789532330205</v>
      </c>
      <c r="C10877" s="8" t="s">
        <v>1996</v>
      </c>
    </row>
    <row r="10878" spans="1:3" x14ac:dyDescent="0.25">
      <c r="A10878" s="8" t="str">
        <f>"MIPRO 2006 - 29th International Convention Proceedings: Digital Economy - 3rd ALADIN, Information Systems Security and Business Intelligence Systems"</f>
        <v>MIPRO 2006 - 29th International Convention Proceedings: Digital Economy - 3rd ALADIN, Information Systems Security and Business Intelligence Systems</v>
      </c>
      <c r="B10878" s="8" t="str">
        <f>"9789532330229"</f>
        <v>9789532330229</v>
      </c>
      <c r="C10878" s="8" t="s">
        <v>1996</v>
      </c>
    </row>
    <row r="10879" spans="1:3" x14ac:dyDescent="0.25">
      <c r="A10879" s="8" t="str">
        <f>"MIPRO 2006 - 29th International Convention Proceedings: Microelectronics, Electronics and Electronic Technologies, MEET, Hypermedia and Grid Systems HGS"</f>
        <v>MIPRO 2006 - 29th International Convention Proceedings: Microelectronics, Electronics and Electronic Technologies, MEET, Hypermedia and Grid Systems HGS</v>
      </c>
      <c r="B10879" s="8" t="str">
        <f>"9789532330182"</f>
        <v>9789532330182</v>
      </c>
      <c r="C10879" s="8" t="s">
        <v>1996</v>
      </c>
    </row>
    <row r="10880" spans="1:3" x14ac:dyDescent="0.25">
      <c r="A10880" s="8" t="str">
        <f>"MIPRO 2006 - 29th International Convention Proceedings: Telecommunications and Information"</f>
        <v>MIPRO 2006 - 29th International Convention Proceedings: Telecommunications and Information</v>
      </c>
      <c r="B10880" s="8" t="str">
        <f>"9789532330199"</f>
        <v>9789532330199</v>
      </c>
      <c r="C10880" s="8" t="s">
        <v>1996</v>
      </c>
    </row>
    <row r="10881" spans="1:3" x14ac:dyDescent="0.25">
      <c r="A10881" s="8" t="str">
        <f>"MIPRO 2007 - 30th Jubilee International Convention Proceedings: Computers in Education"</f>
        <v>MIPRO 2007 - 30th Jubilee International Convention Proceedings: Computers in Education</v>
      </c>
      <c r="B10881" s="8" t="str">
        <f>"9789532330298"</f>
        <v>9789532330298</v>
      </c>
      <c r="C10881" s="8" t="s">
        <v>1996</v>
      </c>
    </row>
    <row r="10882" spans="1:3" x14ac:dyDescent="0.25">
      <c r="A10882" s="8" t="str">
        <f>"MIPRO 2007 - 30th Jubilee International Convention Proceedings: Computers in Technical Systems and Intelligent Systems"</f>
        <v>MIPRO 2007 - 30th Jubilee International Convention Proceedings: Computers in Technical Systems and Intelligent Systems</v>
      </c>
      <c r="B10882" s="8" t="str">
        <f>"9789532330304"</f>
        <v>9789532330304</v>
      </c>
      <c r="C10882" s="8" t="s">
        <v>1996</v>
      </c>
    </row>
    <row r="10883" spans="1:3" x14ac:dyDescent="0.25">
      <c r="A10883" s="8" t="str">
        <f>"MIPRO 2007 - 30th Jubilee International Convention Proceedings: Digital Economy - 4th ALADIN, Information Systems Security and Business Intelligence Systems"</f>
        <v>MIPRO 2007 - 30th Jubilee International Convention Proceedings: Digital Economy - 4th ALADIN, Information Systems Security and Business Intelligence Systems</v>
      </c>
      <c r="B10883" s="8" t="str">
        <f>"9789532330311"</f>
        <v>9789532330311</v>
      </c>
      <c r="C10883" s="8" t="s">
        <v>1996</v>
      </c>
    </row>
    <row r="10884" spans="1:3" x14ac:dyDescent="0.25">
      <c r="A10884" s="8" t="str">
        <f>"MIPRO 2007 - 30th Jubilee International Convention Proceedings: Microelectronics, Electronics and Electronic Technologies, Hypermedia and Grid Systems, MEE /HGS"</f>
        <v>MIPRO 2007 - 30th Jubilee International Convention Proceedings: Microelectronics, Electronics and Electronic Technologies, Hypermedia and Grid Systems, MEE /HGS</v>
      </c>
      <c r="B10884" s="8" t="str">
        <f>"9789532330328"</f>
        <v>9789532330328</v>
      </c>
      <c r="C10884" s="8" t="s">
        <v>1996</v>
      </c>
    </row>
    <row r="10885" spans="1:3" x14ac:dyDescent="0.25">
      <c r="A10885" s="8" t="str">
        <f>"MIPRO 2007 - 30th Jubilee International Convention Proceedings: Telecommunications and Information"</f>
        <v>MIPRO 2007 - 30th Jubilee International Convention Proceedings: Telecommunications and Information</v>
      </c>
      <c r="B10885" s="8" t="str">
        <f>"9789532330281"</f>
        <v>9789532330281</v>
      </c>
      <c r="C10885" s="8" t="s">
        <v>1996</v>
      </c>
    </row>
    <row r="10886" spans="1:3" x14ac:dyDescent="0.25">
      <c r="A10886" s="8" t="str">
        <f>"MIPRO 2008 - 31st International Convention Proceedings: Computers in Education"</f>
        <v>MIPRO 2008 - 31st International Convention Proceedings: Computers in Education</v>
      </c>
      <c r="B10886" s="8" t="str">
        <f>"9789532330397"</f>
        <v>9789532330397</v>
      </c>
      <c r="C10886" s="8" t="s">
        <v>1996</v>
      </c>
    </row>
    <row r="10887" spans="1:3" x14ac:dyDescent="0.25">
      <c r="A10887" s="8" t="str">
        <f>"MIPRO 2008 - 31st International Convention Proceedings: Computers in Technical Systems and Intelligent Systems"</f>
        <v>MIPRO 2008 - 31st International Convention Proceedings: Computers in Technical Systems and Intelligent Systems</v>
      </c>
      <c r="B10887" s="8" t="str">
        <f>"9789532330380"</f>
        <v>9789532330380</v>
      </c>
      <c r="C10887" s="8" t="s">
        <v>1996</v>
      </c>
    </row>
    <row r="10888" spans="1:3" x14ac:dyDescent="0.25">
      <c r="A10888" s="8" t="str">
        <f>"MIPRO 2008 - 31st International Convention Proceedings: Digital Economy - 5th ALADIN, Information Systems Security, Business Intelligence Systems, Local Government and Student Papers"</f>
        <v>MIPRO 2008 - 31st International Convention Proceedings: Digital Economy - 5th ALADIN, Information Systems Security, Business Intelligence Systems, Local Government and Student Papers</v>
      </c>
      <c r="B10888" s="8" t="str">
        <f>"9789532330403"</f>
        <v>9789532330403</v>
      </c>
      <c r="C10888" s="8" t="s">
        <v>1996</v>
      </c>
    </row>
    <row r="10889" spans="1:3" x14ac:dyDescent="0.25">
      <c r="A10889" s="8" t="str">
        <f>"MIPRO 2008 - 31st International Convention Proceedings: Microelectronics, Electronics and Electronic Technology, MEET and Grid and Visualizations Systems, GVS"</f>
        <v>MIPRO 2008 - 31st International Convention Proceedings: Microelectronics, Electronics and Electronic Technology, MEET and Grid and Visualizations Systems, GVS</v>
      </c>
      <c r="B10889" s="8" t="str">
        <f>"9789532330366"</f>
        <v>9789532330366</v>
      </c>
      <c r="C10889" s="8" t="s">
        <v>1996</v>
      </c>
    </row>
    <row r="10890" spans="1:3" x14ac:dyDescent="0.25">
      <c r="A10890" s="8" t="str">
        <f>"MIPRO 2008 - 31st International Convention Proceedings: Telecommunications and Information"</f>
        <v>MIPRO 2008 - 31st International Convention Proceedings: Telecommunications and Information</v>
      </c>
      <c r="B10890" s="8" t="str">
        <f>"9789532330373"</f>
        <v>9789532330373</v>
      </c>
      <c r="C10890" s="8" t="s">
        <v>1996</v>
      </c>
    </row>
    <row r="10891" spans="1:3" x14ac:dyDescent="0.25">
      <c r="A10891" s="8" t="str">
        <f>"MIPRO 2009 - 32nd International Convention Proceedings: Computers in Education"</f>
        <v>MIPRO 2009 - 32nd International Convention Proceedings: Computers in Education</v>
      </c>
      <c r="B10891" s="8" t="str">
        <f>"9789532330427"</f>
        <v>9789532330427</v>
      </c>
      <c r="C10891" s="8" t="s">
        <v>1996</v>
      </c>
    </row>
    <row r="10892" spans="1:3" x14ac:dyDescent="0.25">
      <c r="A10892" s="8" t="str">
        <f>"MIPRO 2009 - 32nd International Convention Proceedings: Computers in Technical Systems and Intelligent Systems"</f>
        <v>MIPRO 2009 - 32nd International Convention Proceedings: Computers in Technical Systems and Intelligent Systems</v>
      </c>
      <c r="B10892" s="8" t="str">
        <f>"9789532330458"</f>
        <v>9789532330458</v>
      </c>
      <c r="C10892" s="8" t="s">
        <v>1996</v>
      </c>
    </row>
    <row r="10893" spans="1:3" x14ac:dyDescent="0.25">
      <c r="A10893" s="8" t="str">
        <f>"MIPRO 2009 - 32nd International Convention Proceedings: Digital Economy - 6th ALADIN, Information Systems Security, Business Intelligence Systems, Local Government and Student Papers"</f>
        <v>MIPRO 2009 - 32nd International Convention Proceedings: Digital Economy - 6th ALADIN, Information Systems Security, Business Intelligence Systems, Local Government and Student Papers</v>
      </c>
      <c r="B10893" s="8" t="str">
        <f>"9789532330465"</f>
        <v>9789532330465</v>
      </c>
      <c r="C10893" s="8" t="s">
        <v>1996</v>
      </c>
    </row>
    <row r="10894" spans="1:3" x14ac:dyDescent="0.25">
      <c r="A10894" s="8" t="str">
        <f>"MIPRO 2009 - 32nd International Convention Proceedings: Microelectronics, Electronics and Electronic Technology, MEET and Grid and Visualizations Systems, GVS"</f>
        <v>MIPRO 2009 - 32nd International Convention Proceedings: Microelectronics, Electronics and Electronic Technology, MEET and Grid and Visualizations Systems, GVS</v>
      </c>
      <c r="B10894" s="8" t="str">
        <f>"9789532330441"</f>
        <v>9789532330441</v>
      </c>
      <c r="C10894" s="8" t="s">
        <v>1996</v>
      </c>
    </row>
    <row r="10895" spans="1:3" x14ac:dyDescent="0.25">
      <c r="A10895" s="8" t="str">
        <f>"MIPRO 2009 - 32nd International Convention Proceedings: Telecommunications and Information"</f>
        <v>MIPRO 2009 - 32nd International Convention Proceedings: Telecommunications and Information</v>
      </c>
      <c r="B10895" s="8" t="str">
        <f>"9789532330434"</f>
        <v>9789532330434</v>
      </c>
      <c r="C10895" s="8" t="s">
        <v>1996</v>
      </c>
    </row>
    <row r="10896" spans="1:3" x14ac:dyDescent="0.25">
      <c r="A10896" s="8" t="str">
        <f>"MIPRO 2010 - 33rd International Convention on Information and Communication Technology, Electronics and Microelectronics, Proceedings"</f>
        <v>MIPRO 2010 - 33rd International Convention on Information and Communication Technology, Electronics and Microelectronics, Proceedings</v>
      </c>
      <c r="B10896" s="8" t="str">
        <f>"9789532330502"</f>
        <v>9789532330502</v>
      </c>
      <c r="C10896" s="8" t="s">
        <v>9</v>
      </c>
    </row>
    <row r="10897" spans="1:3" x14ac:dyDescent="0.25">
      <c r="A10897" s="8" t="str">
        <f>"MIPRO 2011 - 34th International Convention on Information and Communication Technology, Electronics and Microelectronics - Proceedings"</f>
        <v>MIPRO 2011 - 34th International Convention on Information and Communication Technology, Electronics and Microelectronics - Proceedings</v>
      </c>
      <c r="B10897" s="8" t="str">
        <f>"9789532330670"</f>
        <v>9789532330670</v>
      </c>
      <c r="C10897" s="8" t="s">
        <v>9</v>
      </c>
    </row>
    <row r="10898" spans="1:3" x14ac:dyDescent="0.25">
      <c r="A10898" s="8" t="str">
        <f>"MIPRO 2012 - 35th International Convention on Information and Communication Technology, Electronics and Microelectronics - Proceedings"</f>
        <v>MIPRO 2012 - 35th International Convention on Information and Communication Technology, Electronics and Microelectronics - Proceedings</v>
      </c>
      <c r="B10898" s="8" t="str">
        <f>"9789532330724"</f>
        <v>9789532330724</v>
      </c>
      <c r="C10898" s="8" t="s">
        <v>9</v>
      </c>
    </row>
    <row r="10899" spans="1:3" x14ac:dyDescent="0.25">
      <c r="A10899" s="8" t="str">
        <f>"MIR 2005 - Proceedings of the 7th ACM SIGMM International Workshop on Multimedia Information Retrieval, Co-located with ACM Multimedia 2005"</f>
        <v>MIR 2005 - Proceedings of the 7th ACM SIGMM International Workshop on Multimedia Information Retrieval, Co-located with ACM Multimedia 2005</v>
      </c>
      <c r="B10899" s="8" t="str">
        <f>"9781595932440"</f>
        <v>9781595932440</v>
      </c>
      <c r="C10899" s="8" t="s">
        <v>1235</v>
      </c>
    </row>
    <row r="10900" spans="1:3" x14ac:dyDescent="0.25">
      <c r="A10900" s="8" t="str">
        <f>"MIR 2010 - Proceedings of the 2010 ACM SIGMM International Conference on Multimedia Information Retrieval"</f>
        <v>MIR 2010 - Proceedings of the 2010 ACM SIGMM International Conference on Multimedia Information Retrieval</v>
      </c>
      <c r="B10900" s="8" t="str">
        <f>"9781605588155"</f>
        <v>9781605588155</v>
      </c>
      <c r="C10900" s="8" t="s">
        <v>21</v>
      </c>
    </row>
    <row r="10901" spans="1:3" x14ac:dyDescent="0.25">
      <c r="A10901" s="8" t="str">
        <f>"MIR'04 - Proceedings of the 6th ACM SIGMM International Workshop on Multimedia Information Retrieval"</f>
        <v>MIR'04 - Proceedings of the 6th ACM SIGMM International Workshop on Multimedia Information Retrieval</v>
      </c>
      <c r="B10901" s="8" t="str">
        <f>"9781581139402"</f>
        <v>9781581139402</v>
      </c>
      <c r="C10901" s="8" t="s">
        <v>21</v>
      </c>
    </row>
    <row r="10902" spans="1:3" x14ac:dyDescent="0.25">
      <c r="A10902" s="8" t="str">
        <f>"MIRUM 2012 - Proceedings of the 2nd International ACM Workshop on Music Information Retrieval with User-Centered and Multimodal Strategies, Co-located with ACM Multimedia 2012"</f>
        <v>MIRUM 2012 - Proceedings of the 2nd International ACM Workshop on Music Information Retrieval with User-Centered and Multimodal Strategies, Co-located with ACM Multimedia 2012</v>
      </c>
      <c r="B10902" s="8" t="str">
        <f>"9781450315913"</f>
        <v>9781450315913</v>
      </c>
      <c r="C10902" s="8" t="s">
        <v>21</v>
      </c>
    </row>
    <row r="10903" spans="1:3" x14ac:dyDescent="0.25">
      <c r="A10903" s="8" t="str">
        <f>"MISS'12 - Proceedings of the 2012 Workshop on Modularity in Systems Software"</f>
        <v>MISS'12 - Proceedings of the 2012 Workshop on Modularity in Systems Software</v>
      </c>
      <c r="B10903" s="8" t="str">
        <f>"9781450312172"</f>
        <v>9781450312172</v>
      </c>
      <c r="C10903" s="8" t="s">
        <v>21</v>
      </c>
    </row>
    <row r="10904" spans="1:3" x14ac:dyDescent="0.25">
      <c r="A10904" s="8" t="str">
        <f>"MKWI 2010 - Multikonferenz Wirtschaftsinformatik 2010"</f>
        <v>MKWI 2010 - Multikonferenz Wirtschaftsinformatik 2010</v>
      </c>
      <c r="B10904" s="8" t="str">
        <f>"9783941875319"</f>
        <v>9783941875319</v>
      </c>
      <c r="C10904" s="8" t="s">
        <v>1997</v>
      </c>
    </row>
    <row r="10905" spans="1:3" x14ac:dyDescent="0.25">
      <c r="A10905" s="8" t="str">
        <f>"MKWI 2014 - Multikonferenz Wirtschaftsinformatik"</f>
        <v>MKWI 2014 - Multikonferenz Wirtschaftsinformatik</v>
      </c>
      <c r="B10905" s="8" t="str">
        <f>"9783000453113"</f>
        <v>9783000453113</v>
      </c>
      <c r="C10905" s="8" t="s">
        <v>1698</v>
      </c>
    </row>
    <row r="10906" spans="1:3" x14ac:dyDescent="0.25">
      <c r="A10906" s="8" t="str">
        <f>"ML'07: Proceedings of the 2007 Workshop on ML"</f>
        <v>ML'07: Proceedings of the 2007 Workshop on ML</v>
      </c>
      <c r="B10906" s="8" t="str">
        <f>"9781595936769"</f>
        <v>9781595936769</v>
      </c>
      <c r="C10906" s="8" t="s">
        <v>21</v>
      </c>
    </row>
    <row r="10907" spans="1:3" x14ac:dyDescent="0.25">
      <c r="A10907" s="8" t="str">
        <f>"ML'08 - Proceedings of the 2008 ACM SIGPLAN Workshop on ML"</f>
        <v>ML'08 - Proceedings of the 2008 ACM SIGPLAN Workshop on ML</v>
      </c>
      <c r="B10907" s="8" t="str">
        <f>"9781605580623"</f>
        <v>9781605580623</v>
      </c>
      <c r="C10907" s="8" t="s">
        <v>21</v>
      </c>
    </row>
    <row r="10908" spans="1:3" x14ac:dyDescent="0.25">
      <c r="A10908" s="8" t="str">
        <f>"ML'09 - Proceedings of the 2009 ACM SIGPLAN Workshop on ML"</f>
        <v>ML'09 - Proceedings of the 2009 ACM SIGPLAN Workshop on ML</v>
      </c>
      <c r="B10908" s="8" t="str">
        <f>"9781605585093"</f>
        <v>9781605585093</v>
      </c>
      <c r="C10908" s="8" t="s">
        <v>21</v>
      </c>
    </row>
    <row r="10909" spans="1:3" x14ac:dyDescent="0.25">
      <c r="A10909" s="8" t="str">
        <f>"MLA 2014 - Proceedings of the 2014 ACM Multimodal Learning Analytics Workshop and Grand Challenge, Co-located with ICMI 2014"</f>
        <v>MLA 2014 - Proceedings of the 2014 ACM Multimodal Learning Analytics Workshop and Grand Challenge, Co-located with ICMI 2014</v>
      </c>
      <c r="B10909" s="8" t="str">
        <f>"9781450304887"</f>
        <v>9781450304887</v>
      </c>
      <c r="C10909" s="8" t="s">
        <v>1235</v>
      </c>
    </row>
    <row r="10910" spans="1:3" x14ac:dyDescent="0.25">
      <c r="A10910" s="8" t="str">
        <f>"MLBS'11 - Proceedings of the 1st International Workshop on Mobile Location-Based Service"</f>
        <v>MLBS'11 - Proceedings of the 1st International Workshop on Mobile Location-Based Service</v>
      </c>
      <c r="B10910" s="8" t="str">
        <f>"9781450309288"</f>
        <v>9781450309288</v>
      </c>
      <c r="C10910" s="8" t="s">
        <v>21</v>
      </c>
    </row>
    <row r="10911" spans="1:3" x14ac:dyDescent="0.25">
      <c r="A10911" s="8" t="str">
        <f>"MM 2008 - Proceedings of the 2008 ACM International Conference on Multimedia, with Co-located Symposium and Workshops: MS 2008"</f>
        <v>MM 2008 - Proceedings of the 2008 ACM International Conference on Multimedia, with Co-located Symposium and Workshops: MS 2008</v>
      </c>
      <c r="B10911" s="8" t="str">
        <f>"9781605583167"</f>
        <v>9781605583167</v>
      </c>
      <c r="C10911" s="8" t="s">
        <v>1235</v>
      </c>
    </row>
    <row r="10912" spans="1:3" x14ac:dyDescent="0.25">
      <c r="A10912" s="8" t="str">
        <f>"MM 2012 - Proceedings of the 20th ACM International Conference on Multimedia"</f>
        <v>MM 2012 - Proceedings of the 20th ACM International Conference on Multimedia</v>
      </c>
      <c r="B10912" s="8" t="str">
        <f>"9781450310895"</f>
        <v>9781450310895</v>
      </c>
      <c r="C10912" s="8" t="s">
        <v>21</v>
      </c>
    </row>
    <row r="10913" spans="1:3" x14ac:dyDescent="0.25">
      <c r="A10913" s="8" t="str">
        <f>"MM 2013 - Proceedings of the 2013 ACM Multimedia Conference"</f>
        <v>MM 2013 - Proceedings of the 2013 ACM Multimedia Conference</v>
      </c>
      <c r="B10913" s="8" t="str">
        <f>"9781450324045"</f>
        <v>9781450324045</v>
      </c>
      <c r="C10913" s="8" t="s">
        <v>21</v>
      </c>
    </row>
    <row r="10914" spans="1:3" x14ac:dyDescent="0.25">
      <c r="A10914" s="8" t="str">
        <f>"MM 2014 - Proceedings of the 2014 ACM Conference on Multimedia"</f>
        <v>MM 2014 - Proceedings of the 2014 ACM Conference on Multimedia</v>
      </c>
      <c r="B10914" s="8" t="str">
        <f>"9781450330633"</f>
        <v>9781450330633</v>
      </c>
      <c r="C10914" s="8" t="s">
        <v>1235</v>
      </c>
    </row>
    <row r="10915" spans="1:3" x14ac:dyDescent="0.25">
      <c r="A10915" s="8" t="str">
        <f>"MM and Sec'04 - Proceedings of the Multimedia and Security Workshop 2004"</f>
        <v>MM and Sec'04 - Proceedings of the Multimedia and Security Workshop 2004</v>
      </c>
      <c r="B10915" s="8" t="str">
        <f>"9781581138542"</f>
        <v>9781581138542</v>
      </c>
      <c r="C10915" s="8" t="s">
        <v>21</v>
      </c>
    </row>
    <row r="10916" spans="1:3" x14ac:dyDescent="0.25">
      <c r="A10916" s="8" t="str">
        <f>"MM and Sec'07 - Proceedings of the Multimedia and Security Workshop 2007"</f>
        <v>MM and Sec'07 - Proceedings of the Multimedia and Security Workshop 2007</v>
      </c>
      <c r="B10916" s="8" t="str">
        <f>"9781595938572"</f>
        <v>9781595938572</v>
      </c>
      <c r="C10916" s="8" t="s">
        <v>21</v>
      </c>
    </row>
    <row r="10917" spans="1:3" x14ac:dyDescent="0.25">
      <c r="A10917" s="8" t="str">
        <f>"MM and Sec'08: Proceedings of the 10th ACM Workshop on Multimedia and Security"</f>
        <v>MM and Sec'08: Proceedings of the 10th ACM Workshop on Multimedia and Security</v>
      </c>
      <c r="B10917" s="8" t="str">
        <f>"9781605580586"</f>
        <v>9781605580586</v>
      </c>
      <c r="C10917" s="8" t="s">
        <v>21</v>
      </c>
    </row>
    <row r="10918" spans="1:3" x14ac:dyDescent="0.25">
      <c r="A10918" s="8" t="str">
        <f>"MM and Sec'10 - Proceedings of the 2010 ACM SIGMM Multimedia and Security Workshop"</f>
        <v>MM and Sec'10 - Proceedings of the 2010 ACM SIGMM Multimedia and Security Workshop</v>
      </c>
      <c r="B10918" s="8" t="str">
        <f>"9781450302869"</f>
        <v>9781450302869</v>
      </c>
      <c r="C10918" s="8" t="s">
        <v>21</v>
      </c>
    </row>
    <row r="10919" spans="1:3" x14ac:dyDescent="0.25">
      <c r="A10919" s="8" t="str">
        <f>"MM and Sec'11 - Proceedings of the 2011 ACM SIGMM Multimedia and Security Workshop"</f>
        <v>MM and Sec'11 - Proceedings of the 2011 ACM SIGMM Multimedia and Security Workshop</v>
      </c>
      <c r="B10919" s="8" t="str">
        <f>"9781450308069"</f>
        <v>9781450308069</v>
      </c>
      <c r="C10919" s="8" t="s">
        <v>21</v>
      </c>
    </row>
    <row r="10920" spans="1:3" x14ac:dyDescent="0.25">
      <c r="A10920" s="8" t="str">
        <f>"MM and Sec'12 - Proceedings of the 14th ACM Multimedia and Security Workshop"</f>
        <v>MM and Sec'12 - Proceedings of the 14th ACM Multimedia and Security Workshop</v>
      </c>
      <c r="B10920" s="8" t="str">
        <f>"9781450314183"</f>
        <v>9781450314183</v>
      </c>
      <c r="C10920" s="8" t="s">
        <v>21</v>
      </c>
    </row>
    <row r="10921" spans="1:3" x14ac:dyDescent="0.25">
      <c r="A10921" s="8" t="str">
        <f>"MM'08 - Proceedings of the 2008 ACM International Conference on Multimedia, with co-located Symposium and Workshops"</f>
        <v>MM'08 - Proceedings of the 2008 ACM International Conference on Multimedia, with co-located Symposium and Workshops</v>
      </c>
      <c r="B10921" s="8" t="str">
        <f>"-"</f>
        <v>-</v>
      </c>
      <c r="C10921" s="8" t="s">
        <v>21</v>
      </c>
    </row>
    <row r="10922" spans="1:3" x14ac:dyDescent="0.25">
      <c r="A10922" s="8" t="str">
        <f>"MM'09 - Proceedings of the 2009 ACM Multimedia Conference, with Co-located Workshops and Symposiums"</f>
        <v>MM'09 - Proceedings of the 2009 ACM Multimedia Conference, with Co-located Workshops and Symposiums</v>
      </c>
      <c r="B10922" s="8" t="str">
        <f>"9781605586083"</f>
        <v>9781605586083</v>
      </c>
      <c r="C10922" s="8" t="s">
        <v>21</v>
      </c>
    </row>
    <row r="10923" spans="1:3" x14ac:dyDescent="0.25">
      <c r="A10923" s="8" t="str">
        <f>"MM'10 - Proceedings of the ACM Multimedia 2010 International Conference"</f>
        <v>MM'10 - Proceedings of the ACM Multimedia 2010 International Conference</v>
      </c>
      <c r="B10923" s="8" t="str">
        <f>"9781605589336"</f>
        <v>9781605589336</v>
      </c>
      <c r="C10923" s="8" t="s">
        <v>21</v>
      </c>
    </row>
    <row r="10924" spans="1:3" x14ac:dyDescent="0.25">
      <c r="A10924" s="8" t="str">
        <f>"MM'11 - Proceedings of the 2011 ACM Multimedia Conference and Co-Located Workshops"</f>
        <v>MM'11 - Proceedings of the 2011 ACM Multimedia Conference and Co-Located Workshops</v>
      </c>
      <c r="B10924" s="8" t="str">
        <f>"9781450306164"</f>
        <v>9781450306164</v>
      </c>
      <c r="C10924" s="8" t="s">
        <v>21</v>
      </c>
    </row>
    <row r="10925" spans="1:3" x14ac:dyDescent="0.25">
      <c r="A10925" s="8" t="str">
        <f>"MM'11 - Proceedings of the 2011 ACM Multimedia Conference and Co-Located Workshops - 2011 ACM International Workshop on Medical Multimedia Analysis and Retrieval, MMAR'11"</f>
        <v>MM'11 - Proceedings of the 2011 ACM Multimedia Conference and Co-Located Workshops - 2011 ACM International Workshop on Medical Multimedia Analysis and Retrieval, MMAR'11</v>
      </c>
      <c r="B10925" s="8" t="str">
        <f>"9781450309912"</f>
        <v>9781450309912</v>
      </c>
      <c r="C10925" s="8" t="s">
        <v>21</v>
      </c>
    </row>
    <row r="10926" spans="1:3" x14ac:dyDescent="0.25">
      <c r="A10926" s="8" t="str">
        <f>"MM'11 - Proceedings of the 2011 ACM Multimedia Conference and Co-Located Workshops - ACM International Workshop on Multimedia Technologies for Distance Learning, MTDL'11"</f>
        <v>MM'11 - Proceedings of the 2011 ACM Multimedia Conference and Co-Located Workshops - ACM International Workshop on Multimedia Technologies for Distance Learning, MTDL'11</v>
      </c>
      <c r="B10926" s="8" t="str">
        <f>"9781450309943"</f>
        <v>9781450309943</v>
      </c>
      <c r="C10926" s="8" t="s">
        <v>21</v>
      </c>
    </row>
    <row r="10927" spans="1:3" x14ac:dyDescent="0.25">
      <c r="A10927" s="8" t="str">
        <f>"MM'11 - Proceedings of the 2011 ACM Multimedia Conference and Co-Located Workshops - ACM Workshop on Social Behavioural Networked Media Access 2011, SBNMA'11"</f>
        <v>MM'11 - Proceedings of the 2011 ACM Multimedia Conference and Co-Located Workshops - ACM Workshop on Social Behavioural Networked Media Access 2011, SBNMA'11</v>
      </c>
      <c r="B10927" s="8" t="str">
        <f>"9781450309905"</f>
        <v>9781450309905</v>
      </c>
      <c r="C10927" s="8" t="s">
        <v>21</v>
      </c>
    </row>
    <row r="10928" spans="1:3" x14ac:dyDescent="0.25">
      <c r="A10928" s="8" t="str">
        <f>"MM'11 - Proceedings of the 2011 ACM Multimedia Conference and Co-Located Workshops - AIEMPro 2011 Workshop, AIEMPro'11"</f>
        <v>MM'11 - Proceedings of the 2011 ACM Multimedia Conference and Co-Located Workshops - AIEMPro 2011 Workshop, AIEMPro'11</v>
      </c>
      <c r="B10928" s="8" t="str">
        <f>"9781450309882"</f>
        <v>9781450309882</v>
      </c>
      <c r="C10928" s="8" t="s">
        <v>21</v>
      </c>
    </row>
    <row r="10929" spans="1:3" x14ac:dyDescent="0.25">
      <c r="A10929" s="8" t="str">
        <f>"MM'11 - Proceedings of the 2011 ACM Multimedia Conference and Co-Located Workshops - IMMPD 2011 Workshop, IMMPD'11"</f>
        <v>MM'11 - Proceedings of the 2011 ACM Multimedia Conference and Co-Located Workshops - IMMPD 2011 Workshop, IMMPD'11</v>
      </c>
      <c r="B10929" s="8" t="str">
        <f>"9781450309950"</f>
        <v>9781450309950</v>
      </c>
      <c r="C10929" s="8" t="s">
        <v>21</v>
      </c>
    </row>
    <row r="10930" spans="1:3" x14ac:dyDescent="0.25">
      <c r="A10930" s="8" t="str">
        <f>"MM'11 - Proceedings of the 2011 ACM Multimedia Conference and Co-Located Workshops - JHGBU 2011 Workshop, J-HGBU'11"</f>
        <v>MM'11 - Proceedings of the 2011 ACM Multimedia Conference and Co-Located Workshops - JHGBU 2011 Workshop, J-HGBU'11</v>
      </c>
      <c r="B10930" s="8" t="str">
        <f>"9781450309981"</f>
        <v>9781450309981</v>
      </c>
      <c r="C10930" s="8" t="s">
        <v>21</v>
      </c>
    </row>
    <row r="10931" spans="1:3" x14ac:dyDescent="0.25">
      <c r="A10931" s="8" t="str">
        <f>"MM'11 - Proceedings of the 2011 ACM Multimedia Conference and Co-Located Workshops - JMRE 2011 Workshop, J-MRE'11"</f>
        <v>MM'11 - Proceedings of the 2011 ACM Multimedia Conference and Co-Located Workshops - JMRE 2011 Workshop, J-MRE'11</v>
      </c>
      <c r="B10931" s="8" t="str">
        <f>"9781450309967"</f>
        <v>9781450309967</v>
      </c>
      <c r="C10931" s="8" t="s">
        <v>21</v>
      </c>
    </row>
    <row r="10932" spans="1:3" x14ac:dyDescent="0.25">
      <c r="A10932" s="8" t="str">
        <f>"MM'11 - Proceedings of the 2011 ACM Multimedia Conference and Co-Located Workshops - MIRUM 2011 Workshop, MIRUM'11"</f>
        <v>MM'11 - Proceedings of the 2011 ACM Multimedia Conference and Co-Located Workshops - MIRUM 2011 Workshop, MIRUM'11</v>
      </c>
      <c r="B10932" s="8" t="str">
        <f>"9781450309868"</f>
        <v>9781450309868</v>
      </c>
      <c r="C10932" s="8" t="s">
        <v>21</v>
      </c>
    </row>
    <row r="10933" spans="1:3" x14ac:dyDescent="0.25">
      <c r="A10933" s="8" t="str">
        <f>"MM'11 - Proceedings of the 2011 ACM Multimedia Conference and Co-Located Workshops - Multimedia in Forensics and Intelligence Workshop, MiFor'11"</f>
        <v>MM'11 - Proceedings of the 2011 ACM Multimedia Conference and Co-Located Workshops - Multimedia in Forensics and Intelligence Workshop, MiFor'11</v>
      </c>
      <c r="B10933" s="8" t="str">
        <f>"9781450309875"</f>
        <v>9781450309875</v>
      </c>
      <c r="C10933" s="8" t="s">
        <v>21</v>
      </c>
    </row>
    <row r="10934" spans="1:3" x14ac:dyDescent="0.25">
      <c r="A10934" s="8" t="str">
        <f>"MM'11 - Proceedings of the 2011 ACM Multimedia Conference and Co-Located Workshops - Ubi-MUI 2011 Workshop, Ubi-MUI'11"</f>
        <v>MM'11 - Proceedings of the 2011 ACM Multimedia Conference and Co-Located Workshops - Ubi-MUI 2011 Workshop, Ubi-MUI'11</v>
      </c>
      <c r="B10934" s="8" t="str">
        <f>"9781450309936"</f>
        <v>9781450309936</v>
      </c>
      <c r="C10934" s="8" t="s">
        <v>21</v>
      </c>
    </row>
    <row r="10935" spans="1:3" x14ac:dyDescent="0.25">
      <c r="A10935" s="8" t="str">
        <f>"MM'11 - Proceedings of the 2011 ACM Multimedia Conference and Co-Located Workshops - WSM'11: 3rd ACM Social Media Workshop"</f>
        <v>MM'11 - Proceedings of the 2011 ACM Multimedia Conference and Co-Located Workshops - WSM'11: 3rd ACM Social Media Workshop</v>
      </c>
      <c r="B10935" s="8" t="str">
        <f>"9781450309899"</f>
        <v>9781450309899</v>
      </c>
      <c r="C10935" s="8" t="s">
        <v>21</v>
      </c>
    </row>
    <row r="10936" spans="1:3" x14ac:dyDescent="0.25">
      <c r="A10936" s="8" t="str">
        <f>"MMA 2014 - Proceedings of the 1st Workshop on Mobile Medical Applications"</f>
        <v>MMA 2014 - Proceedings of the 1st Workshop on Mobile Medical Applications</v>
      </c>
      <c r="B10936" s="8" t="str">
        <f>"9781450331906"</f>
        <v>9781450331906</v>
      </c>
      <c r="C10936" s="8" t="s">
        <v>1235</v>
      </c>
    </row>
    <row r="10937" spans="1:3" x14ac:dyDescent="0.25">
      <c r="A10937" s="8" t="str">
        <f>"MMandSec'09 - Proceedings of the 11th ACM Multimedia Security Workshop"</f>
        <v>MMandSec'09 - Proceedings of the 11th ACM Multimedia Security Workshop</v>
      </c>
      <c r="B10937" s="8" t="str">
        <f>"9781605584928"</f>
        <v>9781605584928</v>
      </c>
      <c r="C10937" s="8" t="s">
        <v>21</v>
      </c>
    </row>
    <row r="10938" spans="1:3" x14ac:dyDescent="0.25">
      <c r="A10938" s="8" t="str">
        <f>"MMDB 2003: Proceedings of the First ACM International Workshop on Multimedia Databases"</f>
        <v>MMDB 2003: Proceedings of the First ACM International Workshop on Multimedia Databases</v>
      </c>
      <c r="B10938" s="8" t="str">
        <f>"9781581137262"</f>
        <v>9781581137262</v>
      </c>
      <c r="C10938" s="8" t="s">
        <v>21</v>
      </c>
    </row>
    <row r="10939" spans="1:3" x14ac:dyDescent="0.25">
      <c r="A10939" s="8" t="str">
        <f>"MMDB 2004: Proceedings of the Second ACM International Workshop on Multimedia Databases"</f>
        <v>MMDB 2004: Proceedings of the Second ACM International Workshop on Multimedia Databases</v>
      </c>
      <c r="B10939" s="8" t="str">
        <f>"9781581139754"</f>
        <v>9781581139754</v>
      </c>
      <c r="C10939" s="8" t="s">
        <v>21</v>
      </c>
    </row>
    <row r="10940" spans="1:3" x14ac:dyDescent="0.25">
      <c r="A10940" s="8" t="str">
        <f>"MML'10 - Proceedings of the 3rd ACM International Workshop on Machine Learning and Music, Co-located with ACM Multimedia 2010"</f>
        <v>MML'10 - Proceedings of the 3rd ACM International Workshop on Machine Learning and Music, Co-located with ACM Multimedia 2010</v>
      </c>
      <c r="B10940" s="8" t="str">
        <f>"9781450301619"</f>
        <v>9781450301619</v>
      </c>
      <c r="C10940" s="8" t="s">
        <v>21</v>
      </c>
    </row>
    <row r="10941" spans="1:3" x14ac:dyDescent="0.25">
      <c r="A10941" s="8" t="str">
        <f>"MMM2006: 12th International Multi-Media Modelling Conference - Proceedings"</f>
        <v>MMM2006: 12th International Multi-Media Modelling Conference - Proceedings</v>
      </c>
      <c r="B10941" s="8" t="str">
        <f>"-"</f>
        <v>-</v>
      </c>
      <c r="C10941" s="8" t="s">
        <v>9</v>
      </c>
    </row>
    <row r="10942" spans="1:3" x14ac:dyDescent="0.25">
      <c r="A10942" s="8" t="str">
        <f>"MMRWHRI 2014 - Proceedings of the 2014 ACM Workshop on Multimodal, Multi-Party, Real-World Human-Robot Interaction, Co-located with ICMI 2014"</f>
        <v>MMRWHRI 2014 - Proceedings of the 2014 ACM Workshop on Multimodal, Multi-Party, Real-World Human-Robot Interaction, Co-located with ICMI 2014</v>
      </c>
      <c r="B10942" s="8" t="str">
        <f>"9781450305518"</f>
        <v>9781450305518</v>
      </c>
      <c r="C10942" s="8" t="s">
        <v>1235</v>
      </c>
    </row>
    <row r="10943" spans="1:3" x14ac:dyDescent="0.25">
      <c r="A10943" s="8" t="str">
        <f>"MMSP 2011 - IEEE International Workshop on Multimedia Signal Processing"</f>
        <v>MMSP 2011 - IEEE International Workshop on Multimedia Signal Processing</v>
      </c>
      <c r="B10943" s="8" t="str">
        <f>"9781457714337"</f>
        <v>9781457714337</v>
      </c>
      <c r="C10943" s="8" t="s">
        <v>9</v>
      </c>
    </row>
    <row r="10944" spans="1:3" x14ac:dyDescent="0.25">
      <c r="A10944" s="8" t="str">
        <f>"MMSys'10 - Proceedings of the 2010 ACM SIGMM Conference on Multimedia Systems"</f>
        <v>MMSys'10 - Proceedings of the 2010 ACM SIGMM Conference on Multimedia Systems</v>
      </c>
      <c r="B10944" s="8" t="str">
        <f>"9781605589145"</f>
        <v>9781605589145</v>
      </c>
      <c r="C10944" s="8" t="s">
        <v>21</v>
      </c>
    </row>
    <row r="10945" spans="1:3" x14ac:dyDescent="0.25">
      <c r="A10945" s="8" t="str">
        <f>"MMSys'11 - Proceedings of the 2011 ACM Multimedia Systems Conference"</f>
        <v>MMSys'11 - Proceedings of the 2011 ACM Multimedia Systems Conference</v>
      </c>
      <c r="B10945" s="8" t="str">
        <f>"9781450305181"</f>
        <v>9781450305181</v>
      </c>
      <c r="C10945" s="8" t="s">
        <v>21</v>
      </c>
    </row>
    <row r="10946" spans="1:3" x14ac:dyDescent="0.25">
      <c r="A10946" s="8" t="str">
        <f>"MMSys'12 - Proceedings of the 3rd Multimedia Systems Conference"</f>
        <v>MMSys'12 - Proceedings of the 3rd Multimedia Systems Conference</v>
      </c>
      <c r="B10946" s="8" t="str">
        <f>"9781450311311"</f>
        <v>9781450311311</v>
      </c>
      <c r="C10946" s="8" t="s">
        <v>21</v>
      </c>
    </row>
    <row r="10947" spans="1:3" x14ac:dyDescent="0.25">
      <c r="A10947" s="8" t="str">
        <f>"MMWaTT 2009 - 1st Conference on Millimeter-Wave and Terahertz Technologies"</f>
        <v>MMWaTT 2009 - 1st Conference on Millimeter-Wave and Terahertz Technologies</v>
      </c>
      <c r="B10947" s="8" t="str">
        <f>"9781424468089"</f>
        <v>9781424468089</v>
      </c>
      <c r="C10947" s="8" t="s">
        <v>9</v>
      </c>
    </row>
    <row r="10948" spans="1:3" x14ac:dyDescent="0.25">
      <c r="A10948" s="8" t="str">
        <f>"MMWCST 2013 - Proceedings of 2013 International Workshop on Microwave and Millimeter Wave Circuits and System Technology"</f>
        <v>MMWCST 2013 - Proceedings of 2013 International Workshop on Microwave and Millimeter Wave Circuits and System Technology</v>
      </c>
      <c r="B10948" s="8" t="str">
        <f>"9781467355049"</f>
        <v>9781467355049</v>
      </c>
      <c r="C10948" s="8" t="s">
        <v>9</v>
      </c>
    </row>
    <row r="10949" spans="1:3" x14ac:dyDescent="0.25">
      <c r="A10949" s="8" t="str">
        <f>"MobiArch 2006 - Proceedings of First ACM/IEEE International Workshop on Mobility in the Evolving Internet Architecture, in conjunction with IEEE GLOBECOM 2006"</f>
        <v>MobiArch 2006 - Proceedings of First ACM/IEEE International Workshop on Mobility in the Evolving Internet Architecture, in conjunction with IEEE GLOBECOM 2006</v>
      </c>
      <c r="B10949" s="8" t="str">
        <f>"9781595935663"</f>
        <v>9781595935663</v>
      </c>
      <c r="C10949" s="8" t="s">
        <v>21</v>
      </c>
    </row>
    <row r="10950" spans="1:3" x14ac:dyDescent="0.25">
      <c r="A10950" s="8" t="str">
        <f>"MobiArch 2014 - Proceedings of the 9th ACM MobiCom Workshop on Mobility in the Evolving Internet Architecture"</f>
        <v>MobiArch 2014 - Proceedings of the 9th ACM MobiCom Workshop on Mobility in the Evolving Internet Architecture</v>
      </c>
      <c r="B10950" s="8" t="str">
        <f>"9781450330749"</f>
        <v>9781450330749</v>
      </c>
      <c r="C10950" s="8" t="s">
        <v>1235</v>
      </c>
    </row>
    <row r="10951" spans="1:3" x14ac:dyDescent="0.25">
      <c r="A10951" s="8" t="str">
        <f>"MobiArch'08 - Proceedings of the 3rd International Workshop on Mobility in the Evolving Internet Architecture"</f>
        <v>MobiArch'08 - Proceedings of the 3rd International Workshop on Mobility in the Evolving Internet Architecture</v>
      </c>
      <c r="B10951" s="8" t="str">
        <f>"9781605581781"</f>
        <v>9781605581781</v>
      </c>
      <c r="C10951" s="8" t="s">
        <v>21</v>
      </c>
    </row>
    <row r="10952" spans="1:3" x14ac:dyDescent="0.25">
      <c r="A10952" s="8" t="str">
        <f>"MobiArch'08: Mobility in the Evolving Internet Architecture - Proceedings of the 3rd International Workshop on Mobility in the Evolving Internet Architecture 2008"</f>
        <v>MobiArch'08: Mobility in the Evolving Internet Architecture - Proceedings of the 3rd International Workshop on Mobility in the Evolving Internet Architecture 2008</v>
      </c>
      <c r="B10952" s="8" t="str">
        <f>"9781605581781"</f>
        <v>9781605581781</v>
      </c>
      <c r="C10952" s="8" t="s">
        <v>21</v>
      </c>
    </row>
    <row r="10953" spans="1:3" x14ac:dyDescent="0.25">
      <c r="A10953" s="8" t="str">
        <f>"MobiCom'07 Co-Located Workshops - Proceedings of the 2nd ACM Workshop on Challenged Networks, CHANTS'07"</f>
        <v>MobiCom'07 Co-Located Workshops - Proceedings of the 2nd ACM Workshop on Challenged Networks, CHANTS'07</v>
      </c>
      <c r="B10953" s="8" t="str">
        <f>"9781595937377"</f>
        <v>9781595937377</v>
      </c>
      <c r="C10953" s="8" t="s">
        <v>21</v>
      </c>
    </row>
    <row r="10954" spans="1:3" x14ac:dyDescent="0.25">
      <c r="A10954" s="8" t="str">
        <f>"MobiDE 2005: Proceedings of the 4th ACM International Workshop on Data Engineering for Wireless and Mobile Access"</f>
        <v>MobiDE 2005: Proceedings of the 4th ACM International Workshop on Data Engineering for Wireless and Mobile Access</v>
      </c>
      <c r="B10954" s="8" t="str">
        <f>"9781595930880"</f>
        <v>9781595930880</v>
      </c>
      <c r="C10954" s="8" t="s">
        <v>21</v>
      </c>
    </row>
    <row r="10955" spans="1:3" x14ac:dyDescent="0.25">
      <c r="A10955" s="8" t="str">
        <f>"MobiDE 2006: Proceedings of the 5th ACM International Workshop on Data Engineering for Wireless and Mobile Access"</f>
        <v>MobiDE 2006: Proceedings of the 5th ACM International Workshop on Data Engineering for Wireless and Mobile Access</v>
      </c>
      <c r="B10955" s="8" t="str">
        <f>"-"</f>
        <v>-</v>
      </c>
      <c r="C10955" s="8" t="s">
        <v>21</v>
      </c>
    </row>
    <row r="10956" spans="1:3" x14ac:dyDescent="0.25">
      <c r="A10956" s="8" t="str">
        <f>"MobiDE 2008 - Proceedings of the 7th ACM International Workshop on Data Engineering for Wireless and Mobile Access"</f>
        <v>MobiDE 2008 - Proceedings of the 7th ACM International Workshop on Data Engineering for Wireless and Mobile Access</v>
      </c>
      <c r="B10956" s="8" t="str">
        <f>"9781605582214"</f>
        <v>9781605582214</v>
      </c>
      <c r="C10956" s="8" t="s">
        <v>21</v>
      </c>
    </row>
    <row r="10957" spans="1:3" x14ac:dyDescent="0.25">
      <c r="A10957" s="8" t="str">
        <f>"MobiDE 2009 - Proceedings of the 8th ACM International Workshop on Data Engineering for Wireless and Mobile Access in Conjunction with ACM SIGMOD / PODS 2009"</f>
        <v>MobiDE 2009 - Proceedings of the 8th ACM International Workshop on Data Engineering for Wireless and Mobile Access in Conjunction with ACM SIGMOD / PODS 2009</v>
      </c>
      <c r="B10957" s="8" t="str">
        <f>"9781605587127"</f>
        <v>9781605587127</v>
      </c>
      <c r="C10957" s="8" t="s">
        <v>21</v>
      </c>
    </row>
    <row r="10958" spans="1:3" x14ac:dyDescent="0.25">
      <c r="A10958" s="8" t="str">
        <f>"MobiDE 2010 - Proceedings of the 9th ACM International Workshop on Data Engineering for Wireless and Mobile Access, in Conjunction with ACM SIGMOD / PODS 2010"</f>
        <v>MobiDE 2010 - Proceedings of the 9th ACM International Workshop on Data Engineering for Wireless and Mobile Access, in Conjunction with ACM SIGMOD / PODS 2010</v>
      </c>
      <c r="B10958" s="8" t="str">
        <f>"9781450301510"</f>
        <v>9781450301510</v>
      </c>
      <c r="C10958" s="8" t="s">
        <v>21</v>
      </c>
    </row>
    <row r="10959" spans="1:3" x14ac:dyDescent="0.25">
      <c r="A10959" s="8" t="str">
        <f>"MobiDE 2012 - Proceedings of the 11th ACM International Workshop on Data Engineering for Wireless and Mobile Access - In Conjunction with ACM SIGMOD / PODS 2012"</f>
        <v>MobiDE 2012 - Proceedings of the 11th ACM International Workshop on Data Engineering for Wireless and Mobile Access - In Conjunction with ACM SIGMOD / PODS 2012</v>
      </c>
      <c r="B10959" s="8" t="str">
        <f>"9781450314428"</f>
        <v>9781450314428</v>
      </c>
      <c r="C10959" s="8" t="s">
        <v>21</v>
      </c>
    </row>
    <row r="10960" spans="1:3" x14ac:dyDescent="0.25">
      <c r="A10960" s="8" t="str">
        <f>"MobiEval'07: Proceedings of the 1st International Workshop on System Evaluation for Mobile Platforms"</f>
        <v>MobiEval'07: Proceedings of the 1st International Workshop on System Evaluation for Mobile Platforms</v>
      </c>
      <c r="B10960" s="8" t="str">
        <f>"9781595937629"</f>
        <v>9781595937629</v>
      </c>
      <c r="C10960" s="8" t="s">
        <v>21</v>
      </c>
    </row>
    <row r="10961" spans="1:3" x14ac:dyDescent="0.25">
      <c r="A10961" s="8" t="str">
        <f>"MobiGames'12 - Proceedings of the ACM International Workshop on Mobile Gaming"</f>
        <v>MobiGames'12 - Proceedings of the ACM International Workshop on Mobile Gaming</v>
      </c>
      <c r="B10961" s="8" t="str">
        <f>"9781450314879"</f>
        <v>9781450314879</v>
      </c>
      <c r="C10961" s="8" t="s">
        <v>21</v>
      </c>
    </row>
    <row r="10962" spans="1:3" x14ac:dyDescent="0.25">
      <c r="A10962" s="8" t="str">
        <f>"Mobile and Wireless Networks Security - Proceedings of the MWNS 2008 Workshop"</f>
        <v>Mobile and Wireless Networks Security - Proceedings of the MWNS 2008 Workshop</v>
      </c>
      <c r="B10962" s="8" t="str">
        <f>"9789812833259"</f>
        <v>9789812833259</v>
      </c>
      <c r="C10962" s="8" t="s">
        <v>157</v>
      </c>
    </row>
    <row r="10963" spans="1:3" x14ac:dyDescent="0.25">
      <c r="A10963" s="8" t="str">
        <f>"Mobile Computing and Wireless Communications International Conference, MCWC 2006"</f>
        <v>Mobile Computing and Wireless Communications International Conference, MCWC 2006</v>
      </c>
      <c r="B10963" s="8" t="str">
        <f>"9789957486006"</f>
        <v>9789957486006</v>
      </c>
      <c r="C10963" s="8" t="s">
        <v>9</v>
      </c>
    </row>
    <row r="10964" spans="1:3" x14ac:dyDescent="0.25">
      <c r="A10964" s="8" t="str">
        <f>"Mobile Content Quality of Experience, MobConQoE '07"</f>
        <v>Mobile Content Quality of Experience, MobConQoE '07</v>
      </c>
      <c r="B10964" s="8" t="str">
        <f>"9781595937605"</f>
        <v>9781595937605</v>
      </c>
      <c r="C10964" s="8" t="s">
        <v>21</v>
      </c>
    </row>
    <row r="10965" spans="1:3" x14ac:dyDescent="0.25">
      <c r="A10965" s="8" t="s">
        <v>1998</v>
      </c>
      <c r="B10965" s="8" t="str">
        <f>"-"</f>
        <v>-</v>
      </c>
      <c r="C10965" s="8" t="s">
        <v>833</v>
      </c>
    </row>
    <row r="10966" spans="1:3" x14ac:dyDescent="0.25">
      <c r="A10966" s="8" t="str">
        <f>"Mobile HCI 2011 - 13th International Conference on Human-Computer Interaction with Mobile Devices and Services"</f>
        <v>Mobile HCI 2011 - 13th International Conference on Human-Computer Interaction with Mobile Devices and Services</v>
      </c>
      <c r="B10966" s="8" t="str">
        <f>"9781450305419"</f>
        <v>9781450305419</v>
      </c>
      <c r="C10966" s="8" t="s">
        <v>21</v>
      </c>
    </row>
    <row r="10967" spans="1:3" x14ac:dyDescent="0.25">
      <c r="A10967" s="8" t="str">
        <f>"Mobile Robotics: Solutions and Challenges - Proceedings of the 12th International Conference on Climbing and Walking Robots and the Support Technologies for Mobile Machines, CLAWAR 2009"</f>
        <v>Mobile Robotics: Solutions and Challenges - Proceedings of the 12th International Conference on Climbing and Walking Robots and the Support Technologies for Mobile Machines, CLAWAR 2009</v>
      </c>
      <c r="B10967" s="8" t="str">
        <f>"9789814291262"</f>
        <v>9789814291262</v>
      </c>
      <c r="C10967" s="8" t="s">
        <v>157</v>
      </c>
    </row>
    <row r="10968" spans="1:3" x14ac:dyDescent="0.25">
      <c r="A10968" s="8" t="str">
        <f>"MobileDeLi 2013 - Proceedings of the 2013 ACM Workshop on Mobile Development Lifecycle"</f>
        <v>MobileDeLi 2013 - Proceedings of the 2013 ACM Workshop on Mobile Development Lifecycle</v>
      </c>
      <c r="B10968" s="8" t="str">
        <f>"9781450326032"</f>
        <v>9781450326032</v>
      </c>
      <c r="C10968" s="8" t="s">
        <v>21</v>
      </c>
    </row>
    <row r="10969" spans="1:3" x14ac:dyDescent="0.25">
      <c r="A10969" s="8" t="str">
        <f>"MobileDeLi 2014 - Proceedings of the 2nd International Workshop on Mobile Development Lifecycle, Part of SPLASH 2014"</f>
        <v>MobileDeLi 2014 - Proceedings of the 2nd International Workshop on Mobile Development Lifecycle, Part of SPLASH 2014</v>
      </c>
      <c r="B10969" s="8" t="str">
        <f>"9781450321907"</f>
        <v>9781450321907</v>
      </c>
      <c r="C10969" s="8" t="s">
        <v>1235</v>
      </c>
    </row>
    <row r="10970" spans="1:3" x14ac:dyDescent="0.25">
      <c r="A10970" s="8" t="str">
        <f>"MobileHCI 2008 - Proceedings of the 10th International Conference on Human-Computer Interaction with Mobile Devices and Services"</f>
        <v>MobileHCI 2008 - Proceedings of the 10th International Conference on Human-Computer Interaction with Mobile Devices and Services</v>
      </c>
      <c r="B10970" s="8" t="str">
        <f>"9781595939524"</f>
        <v>9781595939524</v>
      </c>
      <c r="C10970" s="8" t="s">
        <v>21</v>
      </c>
    </row>
    <row r="10971" spans="1:3" x14ac:dyDescent="0.25">
      <c r="A10971" s="8" t="str">
        <f>"MobileHCI 2013 - Proceedings of the 15th International Conference on Human-Computer Interaction with Mobile Devices and Services"</f>
        <v>MobileHCI 2013 - Proceedings of the 15th International Conference on Human-Computer Interaction with Mobile Devices and Services</v>
      </c>
      <c r="B10971" s="8" t="str">
        <f>"9781450322737"</f>
        <v>9781450322737</v>
      </c>
      <c r="C10971" s="8" t="s">
        <v>21</v>
      </c>
    </row>
    <row r="10972" spans="1:3" x14ac:dyDescent="0.25">
      <c r="A10972" s="8" t="str">
        <f>"MobileHCI 2014 - Proceedings of the 16th ACM International Conference on Human-Computer Interaction with Mobile Devices and Services"</f>
        <v>MobileHCI 2014 - Proceedings of the 16th ACM International Conference on Human-Computer Interaction with Mobile Devices and Services</v>
      </c>
      <c r="B10972" s="8" t="str">
        <f>"9781450327718"</f>
        <v>9781450327718</v>
      </c>
      <c r="C10972" s="8" t="s">
        <v>1235</v>
      </c>
    </row>
    <row r="10973" spans="1:3" x14ac:dyDescent="0.25">
      <c r="A10973" s="8" t="str">
        <f>"MobileHCI09 - The 11th International Conference on Human-Computer Interaction with Mobile Devices and Services"</f>
        <v>MobileHCI09 - The 11th International Conference on Human-Computer Interaction with Mobile Devices and Services</v>
      </c>
      <c r="B10973" s="8" t="str">
        <f>"9781605582818"</f>
        <v>9781605582818</v>
      </c>
      <c r="C10973" s="8" t="s">
        <v>21</v>
      </c>
    </row>
    <row r="10974" spans="1:3" x14ac:dyDescent="0.25">
      <c r="A10974" s="8" t="str">
        <f>"MobileHCI'12 - Companion Proceedings of the 14th International Conference on Human Computer Interaction with Mobile Devices and Services"</f>
        <v>MobileHCI'12 - Companion Proceedings of the 14th International Conference on Human Computer Interaction with Mobile Devices and Services</v>
      </c>
      <c r="B10974" s="8" t="str">
        <f>"9781450311052"</f>
        <v>9781450311052</v>
      </c>
      <c r="C10974" s="8" t="s">
        <v>21</v>
      </c>
    </row>
    <row r="10975" spans="1:3" x14ac:dyDescent="0.25">
      <c r="A10975" s="8" t="str">
        <f>"MobileHCI'12 - Proceedings of the 14th International Conference on Human Computer Interaction with Mobile Devices and Services"</f>
        <v>MobileHCI'12 - Proceedings of the 14th International Conference on Human Computer Interaction with Mobile Devices and Services</v>
      </c>
      <c r="B10975" s="8" t="str">
        <f>"9781450311052"</f>
        <v>9781450311052</v>
      </c>
      <c r="C10975" s="8" t="s">
        <v>21</v>
      </c>
    </row>
    <row r="10976" spans="1:3" x14ac:dyDescent="0.25">
      <c r="A10976" s="8" t="str">
        <f>"Mobiles Computing in der Medizin - Proceedings zum 5. Workshop der GMDS-Projektgruppe Mobiles Computing in der Medizin, MoCoMed 2005"</f>
        <v>Mobiles Computing in der Medizin - Proceedings zum 5. Workshop der GMDS-Projektgruppe Mobiles Computing in der Medizin, MoCoMed 2005</v>
      </c>
      <c r="B10976" s="8" t="str">
        <f>"-"</f>
        <v>-</v>
      </c>
      <c r="C10976" s="8" t="s">
        <v>1696</v>
      </c>
    </row>
    <row r="10977" spans="1:3" x14ac:dyDescent="0.25">
      <c r="A10977" s="8" t="str">
        <f>"Mobiles Computing in der Medizin - Proceedings zum 6. Workshop der GMDS-Arbeitsgruppe Mobiles Computing in der Medizin, MoCoMed 2006"</f>
        <v>Mobiles Computing in der Medizin - Proceedings zum 6. Workshop der GMDS-Arbeitsgruppe Mobiles Computing in der Medizin, MoCoMed 2006</v>
      </c>
      <c r="B10977" s="8" t="str">
        <f>"9783832251666"</f>
        <v>9783832251666</v>
      </c>
      <c r="C10977" s="8" t="s">
        <v>1696</v>
      </c>
    </row>
    <row r="10978" spans="1:3" x14ac:dyDescent="0.25">
      <c r="A10978" s="8" t="str">
        <f>"Mobiles Computing in der Medizin - Proceedings zum 7. Workshop der GMDS-Arbeitsgruppe Mobiles Computing in der Medizin, MoCoMed 2007"</f>
        <v>Mobiles Computing in der Medizin - Proceedings zum 7. Workshop der GMDS-Arbeitsgruppe Mobiles Computing in der Medizin, MoCoMed 2007</v>
      </c>
      <c r="B10978" s="8" t="str">
        <f>"9783832261696"</f>
        <v>9783832261696</v>
      </c>
      <c r="C10978" s="8" t="s">
        <v>1696</v>
      </c>
    </row>
    <row r="10979" spans="1:3" x14ac:dyDescent="0.25">
      <c r="A10979" s="8" t="str">
        <f>"Mobiles Computing in der Medizin - Proceedings zum 9. Workshop der GI- und GMDS-Arbeitsgruppe Mobile Informationstechnologie in der Medizin, MoCoMed 2009"</f>
        <v>Mobiles Computing in der Medizin - Proceedings zum 9. Workshop der GI- und GMDS-Arbeitsgruppe Mobile Informationstechnologie in der Medizin, MoCoMed 2009</v>
      </c>
      <c r="B10979" s="8" t="str">
        <f>"9783832287061"</f>
        <v>9783832287061</v>
      </c>
      <c r="C10979" s="8" t="s">
        <v>1696</v>
      </c>
    </row>
    <row r="10980" spans="1:3" x14ac:dyDescent="0.25">
      <c r="A10980" s="8" t="str">
        <f>"Mobility Conference 2007 - The 4th Int. Conf. Mobile Technology, Applications and Systems, Mobility 2007, Incorporating the 1st Int. Symp. Computer Human Interaction in Mobile Technology, IS-CHI 2007"</f>
        <v>Mobility Conference 2007 - The 4th Int. Conf. Mobile Technology, Applications and Systems, Mobility 2007, Incorporating the 1st Int. Symp. Computer Human Interaction in Mobile Technology, IS-CHI 2007</v>
      </c>
      <c r="B10980" s="8" t="str">
        <f>"9781595938190"</f>
        <v>9781595938190</v>
      </c>
      <c r="C10980" s="8" t="s">
        <v>21</v>
      </c>
    </row>
    <row r="10981" spans="1:3" x14ac:dyDescent="0.25">
      <c r="A10981" s="8" t="str">
        <f>"MobiOpp'07: Proceedings of the First International MobiSys Workshop on Mobile Opportunistic Networking"</f>
        <v>MobiOpp'07: Proceedings of the First International MobiSys Workshop on Mobile Opportunistic Networking</v>
      </c>
      <c r="B10981" s="8" t="str">
        <f>"9781595936882"</f>
        <v>9781595936882</v>
      </c>
      <c r="C10981" s="8" t="s">
        <v>21</v>
      </c>
    </row>
    <row r="10982" spans="1:3" x14ac:dyDescent="0.25">
      <c r="A10982" s="8" t="str">
        <f>"MobiOpp'12 - Proceedings of the 3rd ACM International Workshop on Mobile Opportunistic Networks"</f>
        <v>MobiOpp'12 - Proceedings of the 3rd ACM International Workshop on Mobile Opportunistic Networks</v>
      </c>
      <c r="B10982" s="8" t="str">
        <f>"9781450312080"</f>
        <v>9781450312080</v>
      </c>
      <c r="C10982" s="8" t="s">
        <v>21</v>
      </c>
    </row>
    <row r="10983" spans="1:3" x14ac:dyDescent="0.25">
      <c r="A10983" s="8" t="str">
        <f>"MobiQuitous 2005: Second Annual International Conference on Mobile and Ubiquitous Systems -Networking and Services"</f>
        <v>MobiQuitous 2005: Second Annual International Conference on Mobile and Ubiquitous Systems -Networking and Services</v>
      </c>
      <c r="B10983" s="8" t="str">
        <f>"-"</f>
        <v>-</v>
      </c>
      <c r="C10983" s="8" t="s">
        <v>9</v>
      </c>
    </row>
    <row r="10984" spans="1:3" x14ac:dyDescent="0.25">
      <c r="A10984" s="8" t="str">
        <f>"MobiQuitous 2008 - 5th International ICST Conference on Mobile and Ubiquitous Systems: Computing, Networking and Services"</f>
        <v>MobiQuitous 2008 - 5th International ICST Conference on Mobile and Ubiquitous Systems: Computing, Networking and Services</v>
      </c>
      <c r="B10984" s="8" t="str">
        <f>"9789639799219"</f>
        <v>9789639799219</v>
      </c>
      <c r="C10984" s="8" t="s">
        <v>1504</v>
      </c>
    </row>
    <row r="10985" spans="1:3" x14ac:dyDescent="0.25">
      <c r="A10985" s="8" t="str">
        <f>"MobiQuitous 2014 - 11th International Conference on Mobile and Ubiquitous Systems: Computing, Networking and Services"</f>
        <v>MobiQuitous 2014 - 11th International Conference on Mobile and Ubiquitous Systems: Computing, Networking and Services</v>
      </c>
      <c r="B10985" s="8" t="str">
        <f>"9781631900396"</f>
        <v>9781631900396</v>
      </c>
      <c r="C10985" s="8" t="s">
        <v>1504</v>
      </c>
    </row>
    <row r="10986" spans="1:3" x14ac:dyDescent="0.25">
      <c r="A10986" s="8" t="str">
        <f>"MobiShare 2006 - Proceedings of the 1st International Workshop on Decentralized Resource Sharing in Mobile Computing and Networking"</f>
        <v>MobiShare 2006 - Proceedings of the 1st International Workshop on Decentralized Resource Sharing in Mobile Computing and Networking</v>
      </c>
      <c r="B10986" s="8" t="str">
        <f>"-"</f>
        <v>-</v>
      </c>
      <c r="C10986" s="8" t="s">
        <v>21</v>
      </c>
    </row>
    <row r="10987" spans="1:3" x14ac:dyDescent="0.25">
      <c r="A10987" s="8" t="str">
        <f>"MobiSys 2004 - Second International Conference on Mobile Systems, Applications and Services"</f>
        <v>MobiSys 2004 - Second International Conference on Mobile Systems, Applications and Services</v>
      </c>
      <c r="B10987" s="8" t="str">
        <f>"9781581137934"</f>
        <v>9781581137934</v>
      </c>
      <c r="C10987" s="8" t="s">
        <v>21</v>
      </c>
    </row>
    <row r="10988" spans="1:3" x14ac:dyDescent="0.25">
      <c r="A10988" s="8" t="str">
        <f>"MobiSys 2006 - Fourth International Conference on Mobile Systems, Applications and Services"</f>
        <v>MobiSys 2006 - Fourth International Conference on Mobile Systems, Applications and Services</v>
      </c>
      <c r="B10988" s="8" t="str">
        <f>"-"</f>
        <v>-</v>
      </c>
      <c r="C10988" s="8" t="s">
        <v>21</v>
      </c>
    </row>
    <row r="10989" spans="1:3" x14ac:dyDescent="0.25">
      <c r="A10989" s="8" t="str">
        <f>"MobiSys 2013 - Proceedings of the 11th Annual International Conference on Mobile Systems, Applications, and Services"</f>
        <v>MobiSys 2013 - Proceedings of the 11th Annual International Conference on Mobile Systems, Applications, and Services</v>
      </c>
      <c r="B10989" s="8" t="str">
        <f>"9781450316729"</f>
        <v>9781450316729</v>
      </c>
      <c r="C10989" s="8" t="s">
        <v>21</v>
      </c>
    </row>
    <row r="10990" spans="1:3" x14ac:dyDescent="0.25">
      <c r="A10990" s="8" t="str">
        <f>"MobiSys'07: Proceedings of the 5th International Conference on Mobile Systems, Applications and Services"</f>
        <v>MobiSys'07: Proceedings of the 5th International Conference on Mobile Systems, Applications and Services</v>
      </c>
      <c r="B10990" s="8" t="str">
        <f>"9781595936141"</f>
        <v>9781595936141</v>
      </c>
      <c r="C10990" s="8" t="s">
        <v>21</v>
      </c>
    </row>
    <row r="10991" spans="1:3" x14ac:dyDescent="0.25">
      <c r="A10991" s="8" t="str">
        <f>"MobiSys'08 - Proceedings of the 6th International Conference on Mobile Systems, Applications, and Services"</f>
        <v>MobiSys'08 - Proceedings of the 6th International Conference on Mobile Systems, Applications, and Services</v>
      </c>
      <c r="B10991" s="8" t="str">
        <f>"9781605581392"</f>
        <v>9781605581392</v>
      </c>
      <c r="C10991" s="8" t="s">
        <v>21</v>
      </c>
    </row>
    <row r="10992" spans="1:3" x14ac:dyDescent="0.25">
      <c r="A10992" s="8" t="str">
        <f>"MobiSys'09 - Proceedings of the 7th ACM International Conference on Mobile Systems, Applications, and Services"</f>
        <v>MobiSys'09 - Proceedings of the 7th ACM International Conference on Mobile Systems, Applications, and Services</v>
      </c>
      <c r="B10992" s="8" t="str">
        <f>"9781605585666"</f>
        <v>9781605585666</v>
      </c>
      <c r="C10992" s="8" t="s">
        <v>21</v>
      </c>
    </row>
    <row r="10993" spans="1:3" x14ac:dyDescent="0.25">
      <c r="A10993" s="8" t="str">
        <f>"MobiSys'10 - Proceedings of the 8th International Conference on Mobile Systems, Applications, and Services"</f>
        <v>MobiSys'10 - Proceedings of the 8th International Conference on Mobile Systems, Applications, and Services</v>
      </c>
      <c r="B10993" s="8" t="str">
        <f>"9781605589855"</f>
        <v>9781605589855</v>
      </c>
      <c r="C10993" s="8" t="s">
        <v>21</v>
      </c>
    </row>
    <row r="10994" spans="1:3" x14ac:dyDescent="0.25">
      <c r="A10994" s="8" t="str">
        <f>"MobiSys'11 - Compilation Proceedings of the 9th Int. Conf. on Mobile Systems, Applications, and Services and Co-located Workshops - 2011 Workshop on Mobile Cloud Computing and Services, MCS'11"</f>
        <v>MobiSys'11 - Compilation Proceedings of the 9th Int. Conf. on Mobile Systems, Applications, and Services and Co-located Workshops - 2011 Workshop on Mobile Cloud Computing and Services, MCS'11</v>
      </c>
      <c r="B10994" s="8" t="str">
        <f>"9781450307383"</f>
        <v>9781450307383</v>
      </c>
      <c r="C10994" s="8" t="s">
        <v>21</v>
      </c>
    </row>
    <row r="10995" spans="1:3" x14ac:dyDescent="0.25">
      <c r="A10995" s="8" t="str">
        <f>"MobiSys'11 - Compilation Proceedings of the 9th International Conference on Mobile Systems, Applications and Services and Co-located Workshops"</f>
        <v>MobiSys'11 - Compilation Proceedings of the 9th International Conference on Mobile Systems, Applications and Services and Co-located Workshops</v>
      </c>
      <c r="B10995" s="8" t="str">
        <f>"9781450306430"</f>
        <v>9781450306430</v>
      </c>
      <c r="C10995" s="8" t="s">
        <v>21</v>
      </c>
    </row>
    <row r="10996" spans="1:3" x14ac:dyDescent="0.25">
      <c r="A10996" s="8" t="str">
        <f>"MobiSys'11 - Compilation Proceedings of the 9th International Conference on Mobile Systems, Applications, and Services and Co-located Workshops - HotPlanet'11"</f>
        <v>MobiSys'11 - Compilation Proceedings of the 9th International Conference on Mobile Systems, Applications, and Services and Co-located Workshops - HotPlanet'11</v>
      </c>
      <c r="B10996" s="8" t="str">
        <f>"9781450307420"</f>
        <v>9781450307420</v>
      </c>
      <c r="C10996" s="8" t="s">
        <v>21</v>
      </c>
    </row>
    <row r="10997" spans="1:3" x14ac:dyDescent="0.25">
      <c r="A10997" s="8" t="str">
        <f>"MobiSys'11 - Compilation Proceedings of the 9th International Conference on Mobile Systems, Applications, and Services and Co-located Workshops - MobiArch 2011 Workshop, MobiArch'11"</f>
        <v>MobiSys'11 - Compilation Proceedings of the 9th International Conference on Mobile Systems, Applications, and Services and Co-located Workshops - MobiArch 2011 Workshop, MobiArch'11</v>
      </c>
      <c r="B10997" s="8" t="str">
        <f>"9781450307406"</f>
        <v>9781450307406</v>
      </c>
      <c r="C10997" s="8" t="s">
        <v>21</v>
      </c>
    </row>
    <row r="10998" spans="1:3" x14ac:dyDescent="0.25">
      <c r="A10998" s="8" t="str">
        <f>"MobiSys'11 - Compilation Proceedings of the 9th International Conference on Mobile Systems, Applications, and Services and Co-located Workshops - NSDR 2011 Workshop, NSDR'11"</f>
        <v>MobiSys'11 - Compilation Proceedings of the 9th International Conference on Mobile Systems, Applications, and Services and Co-located Workshops - NSDR 2011 Workshop, NSDR'11</v>
      </c>
      <c r="B10998" s="8" t="str">
        <f>"9781450307390"</f>
        <v>9781450307390</v>
      </c>
      <c r="C10998" s="8" t="s">
        <v>21</v>
      </c>
    </row>
    <row r="10999" spans="1:3" x14ac:dyDescent="0.25">
      <c r="A10999" s="8" t="str">
        <f>"MobiSys'12 - Proceedings of the 10th International Conference on Mobile Systems, Applications, and Services"</f>
        <v>MobiSys'12 - Proceedings of the 10th International Conference on Mobile Systems, Applications, and Services</v>
      </c>
      <c r="B10999" s="8" t="str">
        <f>"9781450313018"</f>
        <v>9781450313018</v>
      </c>
      <c r="C10999" s="8" t="s">
        <v>21</v>
      </c>
    </row>
    <row r="11000" spans="1:3" x14ac:dyDescent="0.25">
      <c r="A11000" s="8" t="str">
        <f>"MobiWAC 2006 - Proceedings of the 2006 ACM International Workshop on Mobility Management and Wireless Access"</f>
        <v>MobiWAC 2006 - Proceedings of the 2006 ACM International Workshop on Mobility Management and Wireless Access</v>
      </c>
      <c r="B11000" s="8" t="str">
        <f>"-"</f>
        <v>-</v>
      </c>
      <c r="C11000" s="8" t="s">
        <v>21</v>
      </c>
    </row>
    <row r="11001" spans="1:3" x14ac:dyDescent="0.25">
      <c r="A11001" s="8" t="str">
        <f>"MobiWac 2008 - Proceedings of the 6th ACM International Symposium on Mobility Management and Wireless Access"</f>
        <v>MobiWac 2008 - Proceedings of the 6th ACM International Symposium on Mobility Management and Wireless Access</v>
      </c>
      <c r="B11001" s="8" t="str">
        <f>"9781605580555"</f>
        <v>9781605580555</v>
      </c>
      <c r="C11001" s="8" t="s">
        <v>21</v>
      </c>
    </row>
    <row r="11002" spans="1:3" x14ac:dyDescent="0.25">
      <c r="A11002" s="8" t="str">
        <f>"MobiWac 2013 - Proceedings of the 11th ACM International Symposium on Mobility Management and Wireless Access, Co-located with ACM MSWiM 2013"</f>
        <v>MobiWac 2013 - Proceedings of the 11th ACM International Symposium on Mobility Management and Wireless Access, Co-located with ACM MSWiM 2013</v>
      </c>
      <c r="B11002" s="8" t="str">
        <f>"9781450323550"</f>
        <v>9781450323550</v>
      </c>
      <c r="C11002" s="8" t="s">
        <v>21</v>
      </c>
    </row>
    <row r="11003" spans="1:3" x14ac:dyDescent="0.25">
      <c r="A11003" s="8" t="str">
        <f>"MobiWac 2014 - Proceedings of the 12th ACM International Symposium on Mobility Management and Wireless Access"</f>
        <v>MobiWac 2014 - Proceedings of the 12th ACM International Symposium on Mobility Management and Wireless Access</v>
      </c>
      <c r="B11003" s="8" t="str">
        <f>"9781450330268"</f>
        <v>9781450330268</v>
      </c>
      <c r="C11003" s="8" t="s">
        <v>1235</v>
      </c>
    </row>
    <row r="11004" spans="1:3" x14ac:dyDescent="0.25">
      <c r="A11004" s="8" t="str">
        <f>"MobiWac'04 - Proceedings of the Second International Workshop on Mobility Management and Wireless Access Protocols"</f>
        <v>MobiWac'04 - Proceedings of the Second International Workshop on Mobility Management and Wireless Access Protocols</v>
      </c>
      <c r="B11004" s="8" t="str">
        <f>"9781581139204"</f>
        <v>9781581139204</v>
      </c>
      <c r="C11004" s="8" t="s">
        <v>21</v>
      </c>
    </row>
    <row r="11005" spans="1:3" x14ac:dyDescent="0.25">
      <c r="A11005" s="8" t="str">
        <f>"MobiWac'07 - Proceedings of the 5th ACM International Workshop on Mobility Management and Wireless Access"</f>
        <v>MobiWac'07 - Proceedings of the 5th ACM International Workshop on Mobility Management and Wireless Access</v>
      </c>
      <c r="B11005" s="8" t="str">
        <f>"9781595938091"</f>
        <v>9781595938091</v>
      </c>
      <c r="C11005" s="8" t="s">
        <v>21</v>
      </c>
    </row>
    <row r="11006" spans="1:3" x14ac:dyDescent="0.25">
      <c r="A11006" s="8" t="str">
        <f>"MobiWac'09 - Proceedings of the 7th ACM International Symposium on Mobility Management and Wireless Access"</f>
        <v>MobiWac'09 - Proceedings of the 7th ACM International Symposium on Mobility Management and Wireless Access</v>
      </c>
      <c r="B11006" s="8" t="str">
        <f>"9781605586175"</f>
        <v>9781605586175</v>
      </c>
      <c r="C11006" s="8" t="s">
        <v>21</v>
      </c>
    </row>
    <row r="11007" spans="1:3" x14ac:dyDescent="0.25">
      <c r="A11007" s="8" t="str">
        <f>"MobiWac'10 - Proceedings of the 8th ACM International Symposium on Mobility Management and Wireless Access, Co-located with MSWiM'10"</f>
        <v>MobiWac'10 - Proceedings of the 8th ACM International Symposium on Mobility Management and Wireless Access, Co-located with MSWiM'10</v>
      </c>
      <c r="B11007" s="8" t="str">
        <f>"9781450302777"</f>
        <v>9781450302777</v>
      </c>
      <c r="C11007" s="8" t="s">
        <v>21</v>
      </c>
    </row>
    <row r="11008" spans="1:3" x14ac:dyDescent="0.25">
      <c r="A11008" s="8" t="str">
        <f>"MobiWac'11 - Proceedings of the 9th ACM International Symposium on Mobility Management and Wireless Access, Co-located with MSWiM'11"</f>
        <v>MobiWac'11 - Proceedings of the 9th ACM International Symposium on Mobility Management and Wireless Access, Co-located with MSWiM'11</v>
      </c>
      <c r="B11008" s="8" t="str">
        <f>"9781450309011"</f>
        <v>9781450309011</v>
      </c>
      <c r="C11008" s="8" t="s">
        <v>21</v>
      </c>
    </row>
    <row r="11009" spans="1:3" x14ac:dyDescent="0.25">
      <c r="A11009" s="8" t="str">
        <f>"MobiWac'12 - Proceedings of the 10th ACM International Symposium on Mobility Management and Wireless Access"</f>
        <v>MobiWac'12 - Proceedings of the 10th ACM International Symposium on Mobility Management and Wireless Access</v>
      </c>
      <c r="B11009" s="8" t="str">
        <f>"9781450316231"</f>
        <v>9781450316231</v>
      </c>
      <c r="C11009" s="8" t="s">
        <v>21</v>
      </c>
    </row>
    <row r="11010" spans="1:3" x14ac:dyDescent="0.25">
      <c r="A11010" s="8" t="str">
        <f>"Modeling and Computation in Engineering II - Proceedings of the 2nd SREE Conference on Modeling and Computation in Engineering, CMCE 2013"</f>
        <v>Modeling and Computation in Engineering II - Proceedings of the 2nd SREE Conference on Modeling and Computation in Engineering, CMCE 2013</v>
      </c>
      <c r="B11010" s="8" t="str">
        <f>"9781138000582"</f>
        <v>9781138000582</v>
      </c>
      <c r="C11010" s="8" t="s">
        <v>1619</v>
      </c>
    </row>
    <row r="11011" spans="1:3" x14ac:dyDescent="0.25">
      <c r="A11011" s="8" t="str">
        <f>"Modeling and Simulation Technologies Conference"</f>
        <v>Modeling and Simulation Technologies Conference</v>
      </c>
      <c r="B11011" s="8" t="str">
        <f>"-"</f>
        <v>-</v>
      </c>
      <c r="C11011" s="8" t="s">
        <v>104</v>
      </c>
    </row>
    <row r="11012" spans="1:3" x14ac:dyDescent="0.25">
      <c r="A11012" s="8" t="str">
        <f>"Modeling and Simulation Tools for Emerging Telecommunication Networks: Needs, Trends, Challenges and Solutions"</f>
        <v>Modeling and Simulation Tools for Emerging Telecommunication Networks: Needs, Trends, Challenges and Solutions</v>
      </c>
      <c r="B11012" s="8" t="str">
        <f>"9780387329215"</f>
        <v>9780387329215</v>
      </c>
      <c r="C11012" s="8" t="s">
        <v>834</v>
      </c>
    </row>
    <row r="11013" spans="1:3" x14ac:dyDescent="0.25">
      <c r="A11013" s="8" t="str">
        <f>"Modeling of Casting, Welding and Advanced Solidification Processes"</f>
        <v>Modeling of Casting, Welding and Advanced Solidification Processes</v>
      </c>
      <c r="B11013" s="8" t="str">
        <f>"9780873395557"</f>
        <v>9780873395557</v>
      </c>
      <c r="C11013" s="8" t="s">
        <v>648</v>
      </c>
    </row>
    <row r="11014" spans="1:3" x14ac:dyDescent="0.25">
      <c r="A11014" s="8" t="str">
        <f>"Modeling of Casting, Welding and Advanced Solidification Processes - XI"</f>
        <v>Modeling of Casting, Welding and Advanced Solidification Processes - XI</v>
      </c>
      <c r="B11014" s="8" t="str">
        <f>"9780873396295"</f>
        <v>9780873396295</v>
      </c>
      <c r="C11014" s="8" t="s">
        <v>648</v>
      </c>
    </row>
    <row r="11015" spans="1:3" x14ac:dyDescent="0.25">
      <c r="A11015" s="8" t="str">
        <f>"Modeling Wizards: 2nd International Master Class on Model-Driven Engineering, MW 2012 - Satellite Event of MODELS 2012"</f>
        <v>Modeling Wizards: 2nd International Master Class on Model-Driven Engineering, MW 2012 - Satellite Event of MODELS 2012</v>
      </c>
      <c r="B11015" s="8" t="str">
        <f>"9781450318532"</f>
        <v>9781450318532</v>
      </c>
      <c r="C11015" s="8" t="s">
        <v>21</v>
      </c>
    </row>
    <row r="11016" spans="1:3" x14ac:dyDescent="0.25">
      <c r="A11016" s="8" t="str">
        <f>"Modeling, Simulation and Control of Nonlinear Engineering Dynamical Systems: State-of-the-Art, Perspectives and Applications"</f>
        <v>Modeling, Simulation and Control of Nonlinear Engineering Dynamical Systems: State-of-the-Art, Perspectives and Applications</v>
      </c>
      <c r="B11016" s="8" t="str">
        <f>"9781402087776"</f>
        <v>9781402087776</v>
      </c>
      <c r="C11016" s="8" t="s">
        <v>162</v>
      </c>
    </row>
    <row r="11017" spans="1:3" x14ac:dyDescent="0.25">
      <c r="A11017" s="8" t="str">
        <f>"Modellierung 2006"</f>
        <v>Modellierung 2006</v>
      </c>
      <c r="B11017" s="8" t="str">
        <f>"9783885791751"</f>
        <v>9783885791751</v>
      </c>
      <c r="C11017" s="8" t="s">
        <v>833</v>
      </c>
    </row>
    <row r="11018" spans="1:3" x14ac:dyDescent="0.25">
      <c r="A11018" s="8" t="str">
        <f>"Modellierung 2008"</f>
        <v>Modellierung 2008</v>
      </c>
      <c r="B11018" s="8" t="str">
        <f>"9783885792215"</f>
        <v>9783885792215</v>
      </c>
      <c r="C11018" s="8" t="s">
        <v>833</v>
      </c>
    </row>
    <row r="11019" spans="1:3" x14ac:dyDescent="0.25">
      <c r="A11019" s="8" t="str">
        <f>"Modellierung 2010"</f>
        <v>Modellierung 2010</v>
      </c>
      <c r="B11019" s="8" t="str">
        <f>"-"</f>
        <v>-</v>
      </c>
      <c r="C11019" s="8" t="s">
        <v>833</v>
      </c>
    </row>
    <row r="11020" spans="1:3" x14ac:dyDescent="0.25">
      <c r="A11020" s="8" t="str">
        <f>"Modelling and Computation in Engineering - Proceedings of the International Conference on Modelling and Computation in Engineering, CMCE 2010"</f>
        <v>Modelling and Computation in Engineering - Proceedings of the International Conference on Modelling and Computation in Engineering, CMCE 2010</v>
      </c>
      <c r="B11020" s="8" t="str">
        <f>"9780415615167"</f>
        <v>9780415615167</v>
      </c>
      <c r="C11020" s="8" t="s">
        <v>1637</v>
      </c>
    </row>
    <row r="11021" spans="1:3" x14ac:dyDescent="0.25">
      <c r="A11021" s="8" t="str">
        <f>"Modelling and Simulation 2013 - European Simulation and Modelling Conference, ESM 2013"</f>
        <v>Modelling and Simulation 2013 - European Simulation and Modelling Conference, ESM 2013</v>
      </c>
      <c r="B11021" s="8" t="str">
        <f>"9789077381793"</f>
        <v>9789077381793</v>
      </c>
      <c r="C11021" s="8" t="s">
        <v>1206</v>
      </c>
    </row>
    <row r="11022" spans="1:3" x14ac:dyDescent="0.25">
      <c r="A11022" s="8" t="str">
        <f>"Modelling and Simulation 2014 - European Simulation and Modelling Conference, ESM 2014"</f>
        <v>Modelling and Simulation 2014 - European Simulation and Modelling Conference, ESM 2014</v>
      </c>
      <c r="B11022" s="8" t="str">
        <f>"9789077381861"</f>
        <v>9789077381861</v>
      </c>
      <c r="C11022" s="8" t="s">
        <v>1206</v>
      </c>
    </row>
    <row r="11023" spans="1:3" x14ac:dyDescent="0.25">
      <c r="A11023" s="8" t="str">
        <f>"Modelling and Simulation of Turbulent Heat Transfer"</f>
        <v>Modelling and Simulation of Turbulent Heat Transfer</v>
      </c>
      <c r="B11023" s="8" t="str">
        <f>"9781853129568"</f>
        <v>9781853129568</v>
      </c>
      <c r="C11023" s="8" t="s">
        <v>1641</v>
      </c>
    </row>
    <row r="11024" spans="1:3" x14ac:dyDescent="0.25">
      <c r="A11024" s="8" t="str">
        <f>"Modelling for Environment's Sake: Proceedings of the 5th Biennial Conference of the International Environmental Modelling and Software Society, iEMSs 2010"</f>
        <v>Modelling for Environment's Sake: Proceedings of the 5th Biennial Conference of the International Environmental Modelling and Software Society, iEMSs 2010</v>
      </c>
      <c r="B11024" s="8" t="str">
        <f>"9788890357411"</f>
        <v>9788890357411</v>
      </c>
      <c r="C11024" s="8" t="s">
        <v>1896</v>
      </c>
    </row>
    <row r="11025" spans="1:3" x14ac:dyDescent="0.25">
      <c r="A11025" s="8" t="str">
        <f>"Modelling, Simulation, Verification and Validation of Enterprise Information Systems (MSVVEIS)- Proc. 6th Int. Workshop on MSVVEIS 2008; In Conjunction with ICEIS 2008"</f>
        <v>Modelling, Simulation, Verification and Validation of Enterprise Information Systems (MSVVEIS)- Proc. 6th Int. Workshop on MSVVEIS 2008; In Conjunction with ICEIS 2008</v>
      </c>
      <c r="B11025" s="8" t="str">
        <f>"9789898111432"</f>
        <v>9789898111432</v>
      </c>
      <c r="C11025" s="8" t="s">
        <v>1553</v>
      </c>
    </row>
    <row r="11026" spans="1:3" x14ac:dyDescent="0.25">
      <c r="A11026" s="8" t="str">
        <f>"MODELS 2012 Innsbruck - Proceedings of the 5th International Workshop on Model Based Architecting and Construction of Embedded Systems, ACES-MB 2012"</f>
        <v>MODELS 2012 Innsbruck - Proceedings of the 5th International Workshop on Model Based Architecting and Construction of Embedded Systems, ACES-MB 2012</v>
      </c>
      <c r="B11026" s="8" t="str">
        <f>"9781450318006"</f>
        <v>9781450318006</v>
      </c>
      <c r="C11026" s="8" t="s">
        <v>21</v>
      </c>
    </row>
    <row r="11027" spans="1:3" x14ac:dyDescent="0.25">
      <c r="A11027" s="8" t="str">
        <f>"Models and Analysis of Vocal Emissions for Biomedical Applications - 6th International Workshop, MAVEBA 2009"</f>
        <v>Models and Analysis of Vocal Emissions for Biomedical Applications - 6th International Workshop, MAVEBA 2009</v>
      </c>
      <c r="B11027" s="8" t="str">
        <f>"9788864530963"</f>
        <v>9788864530963</v>
      </c>
      <c r="C11027" s="8" t="s">
        <v>1552</v>
      </c>
    </row>
    <row r="11028" spans="1:3" x14ac:dyDescent="0.25">
      <c r="A11028" s="8" t="str">
        <f>"Models and Analysis of Vocal Emissions for Biomedical Applications - 7th International Workshop, MAVEBA 2011"</f>
        <v>Models and Analysis of Vocal Emissions for Biomedical Applications - 7th International Workshop, MAVEBA 2011</v>
      </c>
      <c r="B11028" s="8" t="str">
        <f>"9788866550099"</f>
        <v>9788866550099</v>
      </c>
      <c r="C11028" s="8" t="s">
        <v>1552</v>
      </c>
    </row>
    <row r="11029" spans="1:3" x14ac:dyDescent="0.25">
      <c r="A11029" s="8" t="str">
        <f>"Models for Computer Aided Tolerancing in Design and Manufacturing - Selected Conference Papers from the 9th CIRP International Seminar on Computer-Aided Tolerancing, CAT 2005"</f>
        <v>Models for Computer Aided Tolerancing in Design and Manufacturing - Selected Conference Papers from the 9th CIRP International Seminar on Computer-Aided Tolerancing, CAT 2005</v>
      </c>
      <c r="B11029" s="8" t="str">
        <f>"9781402054372"</f>
        <v>9781402054372</v>
      </c>
      <c r="C11029" s="8" t="s">
        <v>162</v>
      </c>
    </row>
    <row r="11030" spans="1:3" x14ac:dyDescent="0.25">
      <c r="A11030" s="8" t="str">
        <f>"Models, Mysteries and Magic of Molecules"</f>
        <v>Models, Mysteries and Magic of Molecules</v>
      </c>
      <c r="B11030" s="8" t="str">
        <f>"9781402059407"</f>
        <v>9781402059407</v>
      </c>
      <c r="C11030" s="8" t="s">
        <v>162</v>
      </c>
    </row>
    <row r="11031" spans="1:3" x14ac:dyDescent="0.25">
      <c r="A11031" s="8" t="str">
        <f>"MODELSWARD 2013 - Proceedings of the 1st International Conference on Model-Driven Engineering and Software Development"</f>
        <v>MODELSWARD 2013 - Proceedings of the 1st International Conference on Model-Driven Engineering and Software Development</v>
      </c>
      <c r="B11031" s="8" t="str">
        <f>"9789898565426"</f>
        <v>9789898565426</v>
      </c>
      <c r="C11031" s="8" t="s">
        <v>1680</v>
      </c>
    </row>
    <row r="11032" spans="1:3" x14ac:dyDescent="0.25">
      <c r="A11032" s="8" t="str">
        <f>"MODELSWARD 2015 - 3rd International Conference on Model-Driven Engineering and Software Development, Proceedings"</f>
        <v>MODELSWARD 2015 - 3rd International Conference on Model-Driven Engineering and Software Development, Proceedings</v>
      </c>
      <c r="B11032" s="8" t="str">
        <f>"9789897580833"</f>
        <v>9789897580833</v>
      </c>
      <c r="C11032" s="8" t="s">
        <v>1197</v>
      </c>
    </row>
    <row r="11033" spans="1:3" x14ac:dyDescent="0.25">
      <c r="A11033" s="8" t="str">
        <f>"Modern Problems of Radio Engineering, Telecommunications and Computer Science - Proceedings of the 10th International Conference, TCSET'2010"</f>
        <v>Modern Problems of Radio Engineering, Telecommunications and Computer Science - Proceedings of the 10th International Conference, TCSET'2010</v>
      </c>
      <c r="B11033" s="8" t="str">
        <f>"9789665538752"</f>
        <v>9789665538752</v>
      </c>
      <c r="C11033" s="8" t="s">
        <v>9</v>
      </c>
    </row>
    <row r="11034" spans="1:3" x14ac:dyDescent="0.25">
      <c r="A11034" s="8" t="str">
        <f>"Modern Problems of Radio Engineering, Telecommunications and Computer Science - Proceedings of the 11th International Conference, TCSET'2012"</f>
        <v>Modern Problems of Radio Engineering, Telecommunications and Computer Science - Proceedings of the 11th International Conference, TCSET'2012</v>
      </c>
      <c r="B11034" s="8" t="str">
        <f>"9786176072089"</f>
        <v>9786176072089</v>
      </c>
      <c r="C11034" s="8" t="s">
        <v>9</v>
      </c>
    </row>
    <row r="11035" spans="1:3" x14ac:dyDescent="0.25">
      <c r="A11035" s="8" t="str">
        <f>"Modern Problems of Radio Engineering, Telecommunications and Computer Science Proceedings of International Conference, TCSET 2006"</f>
        <v>Modern Problems of Radio Engineering, Telecommunications and Computer Science Proceedings of International Conference, TCSET 2006</v>
      </c>
      <c r="B11035" s="8" t="str">
        <f>"9789665535072"</f>
        <v>9789665535072</v>
      </c>
      <c r="C11035" s="8" t="s">
        <v>9</v>
      </c>
    </row>
    <row r="11036" spans="1:3" x14ac:dyDescent="0.25">
      <c r="A11036" s="8" t="str">
        <f>"Modern Problems of Radio Engineering, Telecommunications and Computer Science. Proceedings of the International Conference TCSET'2004"</f>
        <v>Modern Problems of Radio Engineering, Telecommunications and Computer Science. Proceedings of the International Conference TCSET'2004</v>
      </c>
      <c r="B11036" s="8" t="str">
        <f>"9789665533801"</f>
        <v>9789665533801</v>
      </c>
      <c r="C11036" s="8" t="s">
        <v>1222</v>
      </c>
    </row>
    <row r="11037" spans="1:3" x14ac:dyDescent="0.25">
      <c r="A11037" s="8" t="str">
        <f>"Modern Techniques in Bridge Engineering"</f>
        <v>Modern Techniques in Bridge Engineering</v>
      </c>
      <c r="B11037" s="8" t="str">
        <f>"9780415684156"</f>
        <v>9780415684156</v>
      </c>
      <c r="C11037" s="8" t="s">
        <v>1619</v>
      </c>
    </row>
    <row r="11038" spans="1:3" x14ac:dyDescent="0.25">
      <c r="A11038" s="8" t="str">
        <f>"Modern Trends in Manufacturing, Second International CAMT Conference (Centre for Advanced Manufacturing Technologies)"</f>
        <v>Modern Trends in Manufacturing, Second International CAMT Conference (Centre for Advanced Manufacturing Technologies)</v>
      </c>
      <c r="B11038" s="8" t="str">
        <f>"9788370856908"</f>
        <v>9788370856908</v>
      </c>
      <c r="C11038" s="8" t="s">
        <v>946</v>
      </c>
    </row>
    <row r="11039" spans="1:3" x14ac:dyDescent="0.25">
      <c r="A11039" s="8" t="str">
        <f>"MODSIM 2011 - 19th International Congress on Modelling and Simulation - Sustaining Our Future: Understanding and Living with Uncertainty"</f>
        <v>MODSIM 2011 - 19th International Congress on Modelling and Simulation - Sustaining Our Future: Understanding and Living with Uncertainty</v>
      </c>
      <c r="B11039" s="8" t="str">
        <f>"9780987214317"</f>
        <v>9780987214317</v>
      </c>
      <c r="C11039" s="8" t="s">
        <v>1999</v>
      </c>
    </row>
    <row r="11040" spans="1:3" x14ac:dyDescent="0.25">
      <c r="A11040" s="8" t="str">
        <f>"MODSIM05 - International Congress on Modelling and Simulation: Advances and Applications for Management and Decision Making, Proceedings"</f>
        <v>MODSIM05 - International Congress on Modelling and Simulation: Advances and Applications for Management and Decision Making, Proceedings</v>
      </c>
      <c r="B11040" s="8" t="str">
        <f>"9780975840009"</f>
        <v>9780975840009</v>
      </c>
      <c r="C11040" s="8" t="s">
        <v>305</v>
      </c>
    </row>
    <row r="11041" spans="1:3" x14ac:dyDescent="0.25">
      <c r="A11041" s="8" t="str">
        <f>"MODSIM07 - Land, Water and Environmental Management: Integrated Systems for Sustainability, Proceedings"</f>
        <v>MODSIM07 - Land, Water and Environmental Management: Integrated Systems for Sustainability, Proceedings</v>
      </c>
      <c r="B11041" s="8" t="str">
        <f>"9780975840047"</f>
        <v>9780975840047</v>
      </c>
      <c r="C11041" s="8" t="s">
        <v>305</v>
      </c>
    </row>
    <row r="11042" spans="1:3" x14ac:dyDescent="0.25">
      <c r="A11042" s="8" t="str">
        <f>"MODULARITY 2014 - Proceedings of the 13th International Conference on Modularity (Formerly AOSD)"</f>
        <v>MODULARITY 2014 - Proceedings of the 13th International Conference on Modularity (Formerly AOSD)</v>
      </c>
      <c r="B11042" s="8" t="str">
        <f>"9781450327725"</f>
        <v>9781450327725</v>
      </c>
      <c r="C11042" s="8" t="s">
        <v>21</v>
      </c>
    </row>
    <row r="11043" spans="1:3" x14ac:dyDescent="0.25">
      <c r="A11043" s="8" t="str">
        <f>"MoMM2008 - The 6th International Conference on Advances in Mobile Computing and Multimedia"</f>
        <v>MoMM2008 - The 6th International Conference on Advances in Mobile Computing and Multimedia</v>
      </c>
      <c r="B11043" s="8" t="str">
        <f>"9781605582696"</f>
        <v>9781605582696</v>
      </c>
      <c r="C11043" s="8" t="s">
        <v>21</v>
      </c>
    </row>
    <row r="11044" spans="1:3" x14ac:dyDescent="0.25">
      <c r="A11044" s="8" t="str">
        <f>"MoMM2009 - The 7th International Conference on Advances in Mobile Computing and Multimedia"</f>
        <v>MoMM2009 - The 7th International Conference on Advances in Mobile Computing and Multimedia</v>
      </c>
      <c r="B11044" s="8" t="str">
        <f>"9781605586595"</f>
        <v>9781605586595</v>
      </c>
      <c r="C11044" s="8" t="s">
        <v>21</v>
      </c>
    </row>
    <row r="11045" spans="1:3" x14ac:dyDescent="0.25">
      <c r="A11045" s="8" t="str">
        <f>"MoMM2010 - 8th International Conference on Advances in Mobile Computing and Multimedia"</f>
        <v>MoMM2010 - 8th International Conference on Advances in Mobile Computing and Multimedia</v>
      </c>
      <c r="B11045" s="8" t="str">
        <f>"9781450304405"</f>
        <v>9781450304405</v>
      </c>
      <c r="C11045" s="8" t="s">
        <v>21</v>
      </c>
    </row>
    <row r="11046" spans="1:3" x14ac:dyDescent="0.25">
      <c r="A11046" s="8" t="str">
        <f>"Monte Carlo 2005 Topical Meeting"</f>
        <v>Monte Carlo 2005 Topical Meeting</v>
      </c>
      <c r="B11046" s="8" t="str">
        <f>"-"</f>
        <v>-</v>
      </c>
      <c r="C11046" s="8" t="s">
        <v>453</v>
      </c>
    </row>
    <row r="11047" spans="1:3" x14ac:dyDescent="0.25">
      <c r="A11047" s="8" t="str">
        <f>"Monte Carlo and Quasi-Monte Carlo Methods 2006"</f>
        <v>Monte Carlo and Quasi-Monte Carlo Methods 2006</v>
      </c>
      <c r="B11047" s="8" t="str">
        <f>"9783540744955"</f>
        <v>9783540744955</v>
      </c>
      <c r="C11047" s="8" t="s">
        <v>42</v>
      </c>
    </row>
    <row r="11048" spans="1:3" x14ac:dyDescent="0.25">
      <c r="A11048" s="8" t="str">
        <f>"Motion and Vibration Control - Selected Papers from MOVIC 2008"</f>
        <v>Motion and Vibration Control - Selected Papers from MOVIC 2008</v>
      </c>
      <c r="B11048" s="8" t="str">
        <f>"9781402094378"</f>
        <v>9781402094378</v>
      </c>
      <c r="C11048" s="8" t="s">
        <v>162</v>
      </c>
    </row>
    <row r="11049" spans="1:3" x14ac:dyDescent="0.25">
      <c r="A11049" s="8" t="str">
        <f>"Motor Sport Noise 2010 - Proceedings of the Institute of Acoustics"</f>
        <v>Motor Sport Noise 2010 - Proceedings of the Institute of Acoustics</v>
      </c>
      <c r="B11049" s="8" t="str">
        <f>"9781617384189"</f>
        <v>9781617384189</v>
      </c>
      <c r="C11049" s="8" t="s">
        <v>27</v>
      </c>
    </row>
    <row r="11050" spans="1:3" x14ac:dyDescent="0.25">
      <c r="A11050" s="8" t="str">
        <f>"Motorsports Engineering Conference and Exhibition"</f>
        <v>Motorsports Engineering Conference and Exhibition</v>
      </c>
      <c r="B11050" s="8" t="str">
        <f>"-"</f>
        <v>-</v>
      </c>
      <c r="C11050" s="8" t="s">
        <v>1040</v>
      </c>
    </row>
    <row r="11051" spans="1:3" x14ac:dyDescent="0.25">
      <c r="A11051" s="8" t="str">
        <f>"Motorsports Engineering Conference and Exhibition"</f>
        <v>Motorsports Engineering Conference and Exhibition</v>
      </c>
      <c r="B11051" s="8" t="str">
        <f>"-"</f>
        <v>-</v>
      </c>
      <c r="C11051" s="8" t="s">
        <v>1040</v>
      </c>
    </row>
    <row r="11052" spans="1:3" x14ac:dyDescent="0.25">
      <c r="A11052" s="8" t="str">
        <f>"MOVIC 2010 - 10th International Conference on Motion and Vibration Control, Proceedings"</f>
        <v>MOVIC 2010 - 10th International Conference on Motion and Vibration Control, Proceedings</v>
      </c>
      <c r="B11052" s="8" t="str">
        <f>"-"</f>
        <v>-</v>
      </c>
      <c r="C11052" s="8" t="s">
        <v>653</v>
      </c>
    </row>
    <row r="11053" spans="1:3" x14ac:dyDescent="0.25">
      <c r="A11053" s="8" t="str">
        <f>"MOVIC 2014 - 12th International Conference on Motion and Vibration Control"</f>
        <v>MOVIC 2014 - 12th International Conference on Motion and Vibration Control</v>
      </c>
      <c r="B11053" s="8" t="str">
        <f>"-"</f>
        <v>-</v>
      </c>
      <c r="C11053" s="8" t="s">
        <v>653</v>
      </c>
    </row>
    <row r="11054" spans="1:3" x14ac:dyDescent="0.25">
      <c r="A11054" s="8" t="str">
        <f>"MoVid 2013 - Proceedings of the 5th Workshop on Mobile Video"</f>
        <v>MoVid 2013 - Proceedings of the 5th Workshop on Mobile Video</v>
      </c>
      <c r="B11054" s="8" t="str">
        <f>"9781450318938"</f>
        <v>9781450318938</v>
      </c>
      <c r="C11054" s="8" t="s">
        <v>21</v>
      </c>
    </row>
    <row r="11055" spans="1:3" x14ac:dyDescent="0.25">
      <c r="A11055" s="8" t="str">
        <f>"MoViD'10 - Proceedings of the 2010 ACM Workshop on Mobile Video Delivery, Co-located with ACM Multimedia 2010"</f>
        <v>MoViD'10 - Proceedings of the 2010 ACM Workshop on Mobile Video Delivery, Co-located with ACM Multimedia 2010</v>
      </c>
      <c r="B11055" s="8" t="str">
        <f>"9781450301657"</f>
        <v>9781450301657</v>
      </c>
      <c r="C11055" s="8" t="s">
        <v>21</v>
      </c>
    </row>
    <row r="11056" spans="1:3" x14ac:dyDescent="0.25">
      <c r="A11056" s="8" t="str">
        <f>"MoVid'12 - Proceedings of the 4th Workshop on Mobile Video"</f>
        <v>MoVid'12 - Proceedings of the 4th Workshop on Mobile Video</v>
      </c>
      <c r="B11056" s="8" t="str">
        <f>"9781450311663"</f>
        <v>9781450311663</v>
      </c>
      <c r="C11056" s="8" t="s">
        <v>21</v>
      </c>
    </row>
    <row r="11057" spans="1:3" x14ac:dyDescent="0.25">
      <c r="A11057" s="8" t="str">
        <f>"Moving Integrated Product Development to Service Clouds in the Global Economy - Proceedings of the 21st ISPE Inc. International Conference on Concurrent Engineering, CE 2014"</f>
        <v>Moving Integrated Product Development to Service Clouds in the Global Economy - Proceedings of the 21st ISPE Inc. International Conference on Concurrent Engineering, CE 2014</v>
      </c>
      <c r="B11057" s="8" t="str">
        <f>"9781614994398"</f>
        <v>9781614994398</v>
      </c>
      <c r="C11057" s="8" t="s">
        <v>91</v>
      </c>
    </row>
    <row r="11058" spans="1:3" x14ac:dyDescent="0.25">
      <c r="A11058" s="8" t="str">
        <f>"MPMD 7th Global Innovations Proceedings: Trends in Materials R and D for Sensor Manufacturing Technologies"</f>
        <v>MPMD 7th Global Innovations Proceedings: Trends in Materials R and D for Sensor Manufacturing Technologies</v>
      </c>
      <c r="B11058" s="8" t="str">
        <f>"9780873396226"</f>
        <v>9780873396226</v>
      </c>
      <c r="C11058" s="8" t="s">
        <v>1844</v>
      </c>
    </row>
    <row r="11059" spans="1:3" x14ac:dyDescent="0.25">
      <c r="A11059" s="8" t="str">
        <f>"MPMD Fifth Global Innovations Proceedings, Surfaces and Interfaces in Nanostructured Materials and Trends in LIGA, Miniaturization, and Nanoscale Materials"</f>
        <v>MPMD Fifth Global Innovations Proceedings, Surfaces and Interfaces in Nanostructured Materials and Trends in LIGA, Miniaturization, and Nanoscale Materials</v>
      </c>
      <c r="B11059" s="8" t="str">
        <f>"9780873395663"</f>
        <v>9780873395663</v>
      </c>
      <c r="C11059" s="8" t="s">
        <v>648</v>
      </c>
    </row>
    <row r="11060" spans="1:3" x14ac:dyDescent="0.25">
      <c r="A11060" s="8" t="str">
        <f>"MPMD Sixth Global Innovations Proceedings - Trends in Materials and Manufacturing Technologies for Transportation Industries and Powder Metall. Research and Development in the Transportation Industry"</f>
        <v>MPMD Sixth Global Innovations Proceedings - Trends in Materials and Manufacturing Technologies for Transportation Industries and Powder Metall. Research and Development in the Transportation Industry</v>
      </c>
      <c r="B11060" s="8" t="str">
        <f>"9780873395915"</f>
        <v>9780873395915</v>
      </c>
      <c r="C11060" s="8" t="s">
        <v>648</v>
      </c>
    </row>
    <row r="11061" spans="1:3" x14ac:dyDescent="0.25">
      <c r="A11061" s="8" t="str">
        <f>"MPVA'10 - Proceedings of the 2010 ACM Workshop on Multimodal Pervasive Video Analysis, Co-located with ACM Multimedia 2010"</f>
        <v>MPVA'10 - Proceedings of the 2010 ACM Workshop on Multimodal Pervasive Video Analysis, Co-located with ACM Multimedia 2010</v>
      </c>
      <c r="B11061" s="8" t="str">
        <f>"9781450301671"</f>
        <v>9781450301671</v>
      </c>
      <c r="C11061" s="8" t="s">
        <v>21</v>
      </c>
    </row>
    <row r="11062" spans="1:3" x14ac:dyDescent="0.25">
      <c r="A11062" s="8" t="str">
        <f>"MS'2004 - International Conference on Modelling and Simulation"</f>
        <v>MS'2004 - International Conference on Modelling and Simulation</v>
      </c>
      <c r="B11062" s="8" t="str">
        <f>"9789856107330"</f>
        <v>9789856107330</v>
      </c>
      <c r="C11062" s="8" t="s">
        <v>2000</v>
      </c>
    </row>
    <row r="11063" spans="1:3" x14ac:dyDescent="0.25">
      <c r="A11063" s="8" t="str">
        <f>"MSM'12 - Proceedings of 3rd International Workshop on Modeling Social Media"</f>
        <v>MSM'12 - Proceedings of 3rd International Workshop on Modeling Social Media</v>
      </c>
      <c r="B11063" s="8" t="str">
        <f>"9781450314022"</f>
        <v>9781450314022</v>
      </c>
      <c r="C11063" s="8" t="s">
        <v>21</v>
      </c>
    </row>
    <row r="11064" spans="1:3" x14ac:dyDescent="0.25">
      <c r="A11064" s="8" t="str">
        <f>"MSMW'07 Symposium Proceedings - The 6th International Kharkov Symposium on Physics and Engineering of Microwaves, Millimeter and Submillimeter Waves and Workshop on Terahertz Technologies"</f>
        <v>MSMW'07 Symposium Proceedings - The 6th International Kharkov Symposium on Physics and Engineering of Microwaves, Millimeter and Submillimeter Waves and Workshop on Terahertz Technologies</v>
      </c>
      <c r="B11064" s="8" t="str">
        <f>"9781424412372"</f>
        <v>9781424412372</v>
      </c>
      <c r="C11064" s="8" t="s">
        <v>9</v>
      </c>
    </row>
    <row r="11065" spans="1:3" x14ac:dyDescent="0.25">
      <c r="A11065" s="8" t="str">
        <f>"MSN 2009 - 5th International Conference on Mobile Ad-hoc and Sensor Networks"</f>
        <v>MSN 2009 - 5th International Conference on Mobile Ad-hoc and Sensor Networks</v>
      </c>
      <c r="B11065" s="8" t="str">
        <f>"-"</f>
        <v>-</v>
      </c>
      <c r="C11065" s="8" t="s">
        <v>9</v>
      </c>
    </row>
    <row r="11066" spans="1:3" x14ac:dyDescent="0.25">
      <c r="A11066" s="8" t="str">
        <f>"MSSC 2014 - Digests of Magnetics Symposium 2014: Celebrating 50 Years of IEEE Magnetics Society"</f>
        <v>MSSC 2014 - Digests of Magnetics Symposium 2014: Celebrating 50 Years of IEEE Magnetics Society</v>
      </c>
      <c r="B11066" s="8" t="str">
        <f>"9781479973828"</f>
        <v>9781479973828</v>
      </c>
      <c r="C11066" s="8" t="s">
        <v>105</v>
      </c>
    </row>
    <row r="11067" spans="1:3" x14ac:dyDescent="0.25">
      <c r="A11067" s="8" t="str">
        <f>"MSWiM 2013 - Proceedings of the 16th ACM International Conference on Modeling, Analysis and Simulation of Wireless and Mobile Systems"</f>
        <v>MSWiM 2013 - Proceedings of the 16th ACM International Conference on Modeling, Analysis and Simulation of Wireless and Mobile Systems</v>
      </c>
      <c r="B11067" s="8" t="str">
        <f>"9781450323536"</f>
        <v>9781450323536</v>
      </c>
      <c r="C11067" s="8" t="s">
        <v>21</v>
      </c>
    </row>
    <row r="11068" spans="1:3" x14ac:dyDescent="0.25">
      <c r="A11068" s="8" t="str">
        <f>"MSWiM 2014 - Proceedings of the 17th ACM International Conference on Modeling, Analysis and Simulation of Wireless and Mobile Systems"</f>
        <v>MSWiM 2014 - Proceedings of the 17th ACM International Conference on Modeling, Analysis and Simulation of Wireless and Mobile Systems</v>
      </c>
      <c r="B11068" s="8" t="str">
        <f>"9781450330305"</f>
        <v>9781450330305</v>
      </c>
      <c r="C11068" s="8" t="s">
        <v>1235</v>
      </c>
    </row>
    <row r="11069" spans="1:3" x14ac:dyDescent="0.25">
      <c r="A11069" s="8" t="str">
        <f>"MSWiM 2015 - Proceedings of the 18th ACM International Conference on Modeling, Analysis and Simulation of Wireless and Mobile Systems"</f>
        <v>MSWiM 2015 - Proceedings of the 18th ACM International Conference on Modeling, Analysis and Simulation of Wireless and Mobile Systems</v>
      </c>
      <c r="B11069" s="8" t="str">
        <f>"9781450337625"</f>
        <v>9781450337625</v>
      </c>
      <c r="C11069" s="8" t="s">
        <v>1235</v>
      </c>
    </row>
    <row r="11070" spans="1:3" x14ac:dyDescent="0.25">
      <c r="A11070" s="8" t="str">
        <f>"MSWiM'07: Proceedings of the Tenth ACM Symposium on Modeling, Analysis, and Simulation of Wireless and Mobile Systems"</f>
        <v>MSWiM'07: Proceedings of the Tenth ACM Symposium on Modeling, Analysis, and Simulation of Wireless and Mobile Systems</v>
      </c>
      <c r="B11070" s="8" t="str">
        <f>"9781595938510"</f>
        <v>9781595938510</v>
      </c>
      <c r="C11070" s="8" t="s">
        <v>21</v>
      </c>
    </row>
    <row r="11071" spans="1:3" x14ac:dyDescent="0.25">
      <c r="A11071" s="8" t="str">
        <f>"MSWiM'08: Proceedings of the 11th ACM International Conference on Modeling, Analysis, and Simulation of Wireless and Mobile Systems"</f>
        <v>MSWiM'08: Proceedings of the 11th ACM International Conference on Modeling, Analysis, and Simulation of Wireless and Mobile Systems</v>
      </c>
      <c r="B11071" s="8" t="str">
        <f>"9781605582351"</f>
        <v>9781605582351</v>
      </c>
      <c r="C11071" s="8" t="s">
        <v>21</v>
      </c>
    </row>
    <row r="11072" spans="1:3" x14ac:dyDescent="0.25">
      <c r="A11072" s="8" t="str">
        <f>"MSWiM'09 - Proceedings of the 12th ACM International Conference on Modeling, Analysis, and Simulation of Wireless and Mobile Systems"</f>
        <v>MSWiM'09 - Proceedings of the 12th ACM International Conference on Modeling, Analysis, and Simulation of Wireless and Mobile Systems</v>
      </c>
      <c r="B11072" s="8" t="str">
        <f>"9781605586168"</f>
        <v>9781605586168</v>
      </c>
      <c r="C11072" s="8" t="s">
        <v>21</v>
      </c>
    </row>
    <row r="11073" spans="1:3" x14ac:dyDescent="0.25">
      <c r="A11073" s="8" t="str">
        <f>"MSWiM'10 - Proceedings of the 13th ACM International Conference on Modeling, Analysis, and Simulation of Wireless and Mobile Systems"</f>
        <v>MSWiM'10 - Proceedings of the 13th ACM International Conference on Modeling, Analysis, and Simulation of Wireless and Mobile Systems</v>
      </c>
      <c r="B11073" s="8" t="str">
        <f>"9781450302746"</f>
        <v>9781450302746</v>
      </c>
      <c r="C11073" s="8" t="s">
        <v>21</v>
      </c>
    </row>
    <row r="11074" spans="1:3" x14ac:dyDescent="0.25">
      <c r="A11074" s="8" t="str">
        <f>"MSWiM'11 - Proceedings of the 14th ACM International Conference on Modeling, Analysis, and Simulation of Wireless and Mobile Systems"</f>
        <v>MSWiM'11 - Proceedings of the 14th ACM International Conference on Modeling, Analysis, and Simulation of Wireless and Mobile Systems</v>
      </c>
      <c r="B11074" s="8" t="str">
        <f>"9781450308984"</f>
        <v>9781450308984</v>
      </c>
      <c r="C11074" s="8" t="s">
        <v>21</v>
      </c>
    </row>
    <row r="11075" spans="1:3" x14ac:dyDescent="0.25">
      <c r="A11075" s="8" t="str">
        <f>"MSWiM'12 - Proceedings of the 15th ACM International Conference on Modeling, Analysis and Simulation of Wireless and Mobile Systems"</f>
        <v>MSWiM'12 - Proceedings of the 15th ACM International Conference on Modeling, Analysis and Simulation of Wireless and Mobile Systems</v>
      </c>
      <c r="B11075" s="8" t="str">
        <f>"9781450316286"</f>
        <v>9781450316286</v>
      </c>
      <c r="C11075" s="8" t="s">
        <v>21</v>
      </c>
    </row>
    <row r="11076" spans="1:3" x14ac:dyDescent="0.25">
      <c r="A11076" s="8" t="str">
        <f>"MTAGS'11 - Proceedings of the 2011 ACM International Workshop on Many Task Computing on Grids and Supercomputers, Co-located with SC'11"</f>
        <v>MTAGS'11 - Proceedings of the 2011 ACM International Workshop on Many Task Computing on Grids and Supercomputers, Co-located with SC'11</v>
      </c>
      <c r="B11076" s="8" t="str">
        <f>"9781450311458"</f>
        <v>9781450311458</v>
      </c>
      <c r="C11076" s="8" t="s">
        <v>21</v>
      </c>
    </row>
    <row r="11077" spans="1:3" x14ac:dyDescent="0.25">
      <c r="A11077" s="8" t="str">
        <f>"MTDL'10 - Proceedings of the 2010 ACM Workshop on Multimedia Technologies for Distance Leaning, Co-located with ACM Multimedia 2010"</f>
        <v>MTDL'10 - Proceedings of the 2010 ACM Workshop on Multimedia Technologies for Distance Leaning, Co-located with ACM Multimedia 2010</v>
      </c>
      <c r="B11077" s="8" t="str">
        <f>"9781450301589"</f>
        <v>9781450301589</v>
      </c>
      <c r="C11077" s="8" t="s">
        <v>21</v>
      </c>
    </row>
    <row r="11078" spans="1:3" x14ac:dyDescent="0.25">
      <c r="A11078" s="8" t="str">
        <f>"MTS/IEEE Biloxi - Marine Technology for Our Future: Global and Local Challenges, OCEANS 2009"</f>
        <v>MTS/IEEE Biloxi - Marine Technology for Our Future: Global and Local Challenges, OCEANS 2009</v>
      </c>
      <c r="B11078" s="8" t="str">
        <f>"9781424449606"</f>
        <v>9781424449606</v>
      </c>
      <c r="C11078" s="8" t="s">
        <v>9</v>
      </c>
    </row>
    <row r="11079" spans="1:3" x14ac:dyDescent="0.25">
      <c r="A11079" s="8" t="str">
        <f>"MTS/IEEE Seattle, OCEANS 2010"</f>
        <v>MTS/IEEE Seattle, OCEANS 2010</v>
      </c>
      <c r="B11079" s="8" t="str">
        <f>"9781424443321"</f>
        <v>9781424443321</v>
      </c>
      <c r="C11079" s="8" t="s">
        <v>9</v>
      </c>
    </row>
    <row r="11080" spans="1:3" x14ac:dyDescent="0.25">
      <c r="A11080" s="8" t="str">
        <f>"Multi-Body Dynamics: Monitoring and Simulation Techniques-III"</f>
        <v>Multi-Body Dynamics: Monitoring and Simulation Techniques-III</v>
      </c>
      <c r="B11080" s="8" t="str">
        <f>"9781860584633"</f>
        <v>9781860584633</v>
      </c>
      <c r="C11080" s="8" t="s">
        <v>1645</v>
      </c>
    </row>
    <row r="11081" spans="1:3" x14ac:dyDescent="0.25">
      <c r="A11081" s="8" t="str">
        <f>"Multi-Carrier Spread-Spectrum - Proceedings from the 5th International Workshop"</f>
        <v>Multi-Carrier Spread-Spectrum - Proceedings from the 5th International Workshop</v>
      </c>
      <c r="B11081" s="8" t="str">
        <f>"9781402044359"</f>
        <v>9781402044359</v>
      </c>
      <c r="C11081" s="8" t="s">
        <v>162</v>
      </c>
    </row>
    <row r="11082" spans="1:3" x14ac:dyDescent="0.25">
      <c r="A11082" s="8" t="str">
        <f>"MultiCloud 2013 - Proceedings of the International Workshop on Multi-Cloud Applications and Federated Clouds"</f>
        <v>MultiCloud 2013 - Proceedings of the International Workshop on Multi-Cloud Applications and Federated Clouds</v>
      </c>
      <c r="B11082" s="8" t="str">
        <f>"9781450320504"</f>
        <v>9781450320504</v>
      </c>
      <c r="C11082" s="8" t="s">
        <v>21</v>
      </c>
    </row>
    <row r="11083" spans="1:3" x14ac:dyDescent="0.25">
      <c r="A11083" s="8" t="str">
        <f>"MultiClust 2013 - 4th Workshop on Multiple Clusterings, Multi-View Data, and Multi-Source Knowledge-Driven Clustering, in Conj. with the 19th ACM SIGKDD Int. Conf. on KDD 2013"</f>
        <v>MultiClust 2013 - 4th Workshop on Multiple Clusterings, Multi-View Data, and Multi-Source Knowledge-Driven Clustering, in Conj. with the 19th ACM SIGKDD Int. Conf. on KDD 2013</v>
      </c>
      <c r="B11083" s="8" t="str">
        <f>"9781450323345"</f>
        <v>9781450323345</v>
      </c>
      <c r="C11083" s="8" t="s">
        <v>21</v>
      </c>
    </row>
    <row r="11084" spans="1:3" x14ac:dyDescent="0.25">
      <c r="A11084" s="8" t="str">
        <f>"Multiconference on Electronics and Photonics, MEP 2006"</f>
        <v>Multiconference on Electronics and Photonics, MEP 2006</v>
      </c>
      <c r="B11084" s="8" t="str">
        <f>"9781424406289"</f>
        <v>9781424406289</v>
      </c>
      <c r="C11084" s="8" t="s">
        <v>9</v>
      </c>
    </row>
    <row r="11085" spans="1:3" x14ac:dyDescent="0.25">
      <c r="A11085" s="8" t="str">
        <f>"Multikonferenz Wirtschaftsinformatik 2012 - Tagungsband der MKWI 2012"</f>
        <v>Multikonferenz Wirtschaftsinformatik 2012 - Tagungsband der MKWI 2012</v>
      </c>
      <c r="B11085" s="8" t="str">
        <f>"9783942183635"</f>
        <v>9783942183635</v>
      </c>
      <c r="C11085" s="8" t="s">
        <v>1531</v>
      </c>
    </row>
    <row r="11086" spans="1:3" x14ac:dyDescent="0.25">
      <c r="A11086" s="8" t="str">
        <f>"Multimedia Technology IV - Proceedings of the 4th International Conference on Multimedia Technology"</f>
        <v>Multimedia Technology IV - Proceedings of the 4th International Conference on Multimedia Technology</v>
      </c>
      <c r="B11086" s="8" t="str">
        <f>"9781138027947"</f>
        <v>9781138027947</v>
      </c>
      <c r="C11086" s="8" t="s">
        <v>1635</v>
      </c>
    </row>
    <row r="11087" spans="1:3" x14ac:dyDescent="0.25">
      <c r="A11087" s="8" t="str">
        <f>"Multimedia, Communication and Computing Application - Proceedings of the International Conference on Multimedia, Communication and Computing Application, MCCA 2014"</f>
        <v>Multimedia, Communication and Computing Application - Proceedings of the International Conference on Multimedia, Communication and Computing Application, MCCA 2014</v>
      </c>
      <c r="B11087" s="8" t="str">
        <f>"9781138027756"</f>
        <v>9781138027756</v>
      </c>
      <c r="C11087" s="8" t="s">
        <v>1635</v>
      </c>
    </row>
    <row r="11088" spans="1:3" x14ac:dyDescent="0.25">
      <c r="A11088" s="8" t="str">
        <f>"Multimedia, Image Processing and Soft Computing: Trends, Principles and Applications - Proceedings of the 5th Biannual World Automation Congress, WAC 2002, ISSCI 2002 and IFMIP 2002"</f>
        <v>Multimedia, Image Processing and Soft Computing: Trends, Principles and Applications - Proceedings of the 5th Biannual World Automation Congress, WAC 2002, ISSCI 2002 and IFMIP 2002</v>
      </c>
      <c r="B11088" s="8" t="str">
        <f>"9781889335186"</f>
        <v>9781889335186</v>
      </c>
      <c r="C11088" s="8" t="s">
        <v>9</v>
      </c>
    </row>
    <row r="11089" spans="1:3" x14ac:dyDescent="0.25">
      <c r="A11089" s="8" t="str">
        <f>"Multiphase Phenomena and CFD Modeling and Simulationin Materials Processes"</f>
        <v>Multiphase Phenomena and CFD Modeling and Simulationin Materials Processes</v>
      </c>
      <c r="B11089" s="8" t="str">
        <f>"9780873395700"</f>
        <v>9780873395700</v>
      </c>
      <c r="C11089" s="8" t="s">
        <v>648</v>
      </c>
    </row>
    <row r="11090" spans="1:3" x14ac:dyDescent="0.25">
      <c r="A11090" s="8" t="str">
        <f>"Multiphase Pumping and Technologies Conference and Exhibition 2007"</f>
        <v>Multiphase Pumping and Technologies Conference and Exhibition 2007</v>
      </c>
      <c r="B11090" s="8" t="str">
        <f>"-"</f>
        <v>-</v>
      </c>
      <c r="C11090" s="8" t="s">
        <v>2001</v>
      </c>
    </row>
    <row r="11091" spans="1:3" x14ac:dyDescent="0.25">
      <c r="A11091" s="8" t="str">
        <f>"Multiscaling in Applied Science and Emerging Technology, Fundamentals and Applications in Mesomechanics: Proceedings of the Sixth International Conference for Mesomechanics"</f>
        <v>Multiscaling in Applied Science and Emerging Technology, Fundamentals and Applications in Mesomechanics: Proceedings of the Sixth International Conference for Mesomechanics</v>
      </c>
      <c r="B11091" s="8" t="str">
        <f>"9789608810402"</f>
        <v>9789608810402</v>
      </c>
      <c r="C11091" s="8" t="s">
        <v>1814</v>
      </c>
    </row>
    <row r="11092" spans="1:3" x14ac:dyDescent="0.25">
      <c r="A11092" s="8" t="str">
        <f>"Multi-Span Large Bridges - Proceedings of the International Conference on Multi-Span Large Bridges, 2015"</f>
        <v>Multi-Span Large Bridges - Proceedings of the International Conference on Multi-Span Large Bridges, 2015</v>
      </c>
      <c r="B11092" s="8" t="str">
        <f>"9781138027572"</f>
        <v>9781138027572</v>
      </c>
      <c r="C11092" s="8" t="s">
        <v>1635</v>
      </c>
    </row>
    <row r="11093" spans="1:3" x14ac:dyDescent="0.25">
      <c r="A11093" s="8" t="str">
        <f>"MUM 2004 - Proceedings of the 3rd International Conference on Mobile and Ubiquitous Multimedia"</f>
        <v>MUM 2004 - Proceedings of the 3rd International Conference on Mobile and Ubiquitous Multimedia</v>
      </c>
      <c r="B11093" s="8" t="str">
        <f>"9781581139815"</f>
        <v>9781581139815</v>
      </c>
      <c r="C11093" s="8" t="s">
        <v>21</v>
      </c>
    </row>
    <row r="11094" spans="1:3" x14ac:dyDescent="0.25">
      <c r="A11094" s="8" t="str">
        <f>"MUM 2009 - Proceedings of the 8th International Conference on Mobile and Ubiquitous Multimedia"</f>
        <v>MUM 2009 - Proceedings of the 8th International Conference on Mobile and Ubiquitous Multimedia</v>
      </c>
      <c r="B11094" s="8" t="str">
        <f>"9781605588469"</f>
        <v>9781605588469</v>
      </c>
      <c r="C11094" s="8" t="s">
        <v>21</v>
      </c>
    </row>
    <row r="11095" spans="1:3" x14ac:dyDescent="0.25">
      <c r="A11095" s="8" t="str">
        <f>"MUM'08 - Proceedings of the 7th International Conference on Mobile and Ubiquitous Multimedia"</f>
        <v>MUM'08 - Proceedings of the 7th International Conference on Mobile and Ubiquitous Multimedia</v>
      </c>
      <c r="B11095" s="8" t="str">
        <f>"9781605581927"</f>
        <v>9781605581927</v>
      </c>
      <c r="C11095" s="8" t="s">
        <v>21</v>
      </c>
    </row>
    <row r="11096" spans="1:3" x14ac:dyDescent="0.25">
      <c r="A11096" s="8" t="str">
        <f>"Music and Unconventional Computing - AISB Convention 2013"</f>
        <v>Music and Unconventional Computing - AISB Convention 2013</v>
      </c>
      <c r="B11096" s="8" t="str">
        <f>"9781908187345"</f>
        <v>9781908187345</v>
      </c>
      <c r="C11096" s="8" t="s">
        <v>1465</v>
      </c>
    </row>
    <row r="11097" spans="1:3" x14ac:dyDescent="0.25">
      <c r="A11097" s="8" t="str">
        <f>"MWP 2003 - Proceedings, International Topical Meeting on Microwave Photonics"</f>
        <v>MWP 2003 - Proceedings, International Topical Meeting on Microwave Photonics</v>
      </c>
      <c r="B11097" s="8" t="str">
        <f>"9780780386914"</f>
        <v>9780780386914</v>
      </c>
      <c r="C11097" s="8" t="s">
        <v>105</v>
      </c>
    </row>
    <row r="11098" spans="1:3" x14ac:dyDescent="0.25">
      <c r="A11098" s="8" t="str">
        <f>"MWP 2007 - 2007 IEEE International Topical Meeting on Microwave Photonics"</f>
        <v>MWP 2007 - 2007 IEEE International Topical Meeting on Microwave Photonics</v>
      </c>
      <c r="B11098" s="8" t="str">
        <f>"9781424411689"</f>
        <v>9781424411689</v>
      </c>
      <c r="C11098" s="8" t="s">
        <v>9</v>
      </c>
    </row>
    <row r="11099" spans="1:3" x14ac:dyDescent="0.25">
      <c r="A11099" s="8" t="str">
        <f>"MWP09 - 2009 International Topical Meeting on Microwave Photonics"</f>
        <v>MWP09 - 2009 International Topical Meeting on Microwave Photonics</v>
      </c>
      <c r="B11099" s="8" t="str">
        <f>"9788483634240"</f>
        <v>9788483634240</v>
      </c>
      <c r="C11099" s="8" t="s">
        <v>9</v>
      </c>
    </row>
    <row r="11100" spans="1:3" x14ac:dyDescent="0.25">
      <c r="A11100" s="8" t="str">
        <f>"NAACL HLT 2007 - Human Language Technologies 2007: The Conference of the North American Chapter of the Association for Computational Linguistics, Proceedings of the Main Conference"</f>
        <v>NAACL HLT 2007 - Human Language Technologies 2007: The Conference of the North American Chapter of the Association for Computational Linguistics, Proceedings of the Main Conference</v>
      </c>
      <c r="B11100" s="8" t="str">
        <f>"-"</f>
        <v>-</v>
      </c>
      <c r="C11100" s="8" t="s">
        <v>554</v>
      </c>
    </row>
    <row r="11101" spans="1:3" x14ac:dyDescent="0.25">
      <c r="A11101" s="8" t="str">
        <f>"NAACL HLT 2009 - Human Language Technologies: The 2009 Annual Conference of the North American Chapter of the Association for Computational Linguistics, Proceedings of the Conference"</f>
        <v>NAACL HLT 2009 - Human Language Technologies: The 2009 Annual Conference of the North American Chapter of the Association for Computational Linguistics, Proceedings of the Conference</v>
      </c>
      <c r="B11101" s="8" t="str">
        <f>"9781932432411"</f>
        <v>9781932432411</v>
      </c>
      <c r="C11101" s="8" t="s">
        <v>554</v>
      </c>
    </row>
    <row r="11102" spans="1:3" x14ac:dyDescent="0.25">
      <c r="A11102" s="8" t="str">
        <f>"NAACL HLT 2010 - Human Language Technologies: The 2010 Annual Conference of the North American Chapter of the Association for Computational Linguistics, Proceedings of the Main Conference"</f>
        <v>NAACL HLT 2010 - Human Language Technologies: The 2010 Annual Conference of the North American Chapter of the Association for Computational Linguistics, Proceedings of the Main Conference</v>
      </c>
      <c r="B11102" s="8" t="str">
        <f>"9781932432657"</f>
        <v>9781932432657</v>
      </c>
      <c r="C11102" s="8" t="s">
        <v>554</v>
      </c>
    </row>
    <row r="11103" spans="1:3" x14ac:dyDescent="0.25">
      <c r="A11103" s="8" t="str">
        <f>"NAACL HLT 2012 - 2012 Conference of the North American Chapter of the Association for Computational Linguistics: Human Language Technologies, Proceedings of the Conference"</f>
        <v>NAACL HLT 2012 - 2012 Conference of the North American Chapter of the Association for Computational Linguistics: Human Language Technologies, Proceedings of the Conference</v>
      </c>
      <c r="B11103" s="8" t="str">
        <f>"9781937284206"</f>
        <v>9781937284206</v>
      </c>
      <c r="C11103" s="8" t="s">
        <v>554</v>
      </c>
    </row>
    <row r="11104" spans="1:3" x14ac:dyDescent="0.25">
      <c r="A11104" s="8" t="str">
        <f>"NAACL HLT 2013 - 2013 Conference of the North American Chapter of the Association for Computational Linguistics: Human Language Technologies, Proceedings of the Main Conference"</f>
        <v>NAACL HLT 2013 - 2013 Conference of the North American Chapter of the Association for Computational Linguistics: Human Language Technologies, Proceedings of the Main Conference</v>
      </c>
      <c r="B11104" s="8" t="str">
        <f>"9781937284473"</f>
        <v>9781937284473</v>
      </c>
      <c r="C11104" s="8" t="s">
        <v>554</v>
      </c>
    </row>
    <row r="11105" spans="1:3" x14ac:dyDescent="0.25">
      <c r="A11105" s="8" t="str">
        <f>"NANOCON 2009 - 1st International Conference, Conference Proceedings"</f>
        <v>NANOCON 2009 - 1st International Conference, Conference Proceedings</v>
      </c>
      <c r="B11105" s="8" t="str">
        <f>"9788087294130"</f>
        <v>9788087294130</v>
      </c>
      <c r="C11105" s="8" t="s">
        <v>1754</v>
      </c>
    </row>
    <row r="11106" spans="1:3" x14ac:dyDescent="0.25">
      <c r="A11106" s="8" t="str">
        <f>"NANOCON 2010 - 2nd International Conference, Conference Proceedings"</f>
        <v>NANOCON 2010 - 2nd International Conference, Conference Proceedings</v>
      </c>
      <c r="B11106" s="8" t="str">
        <f>"9788087294192"</f>
        <v>9788087294192</v>
      </c>
      <c r="C11106" s="8" t="s">
        <v>1754</v>
      </c>
    </row>
    <row r="11107" spans="1:3" x14ac:dyDescent="0.25">
      <c r="A11107" s="8" t="str">
        <f>"NANOCON 2011 - Conference Proceedings, 3rd International Conference"</f>
        <v>NANOCON 2011 - Conference Proceedings, 3rd International Conference</v>
      </c>
      <c r="B11107" s="8" t="str">
        <f>"9788087294277"</f>
        <v>9788087294277</v>
      </c>
      <c r="C11107" s="8" t="s">
        <v>1754</v>
      </c>
    </row>
    <row r="11108" spans="1:3" x14ac:dyDescent="0.25">
      <c r="A11108" s="8" t="str">
        <f>"NANOCON 2012 - Conference Proceedings, 4th International Conference"</f>
        <v>NANOCON 2012 - Conference Proceedings, 4th International Conference</v>
      </c>
      <c r="B11108" s="8" t="str">
        <f>"9788087294352"</f>
        <v>9788087294352</v>
      </c>
      <c r="C11108" s="8" t="s">
        <v>1754</v>
      </c>
    </row>
    <row r="11109" spans="1:3" x14ac:dyDescent="0.25">
      <c r="A11109" s="8" t="str">
        <f>"NANOCON 2013 - Conference Proceedings, 5th International Conference"</f>
        <v>NANOCON 2013 - Conference Proceedings, 5th International Conference</v>
      </c>
      <c r="B11109" s="8" t="str">
        <f>"9788087294475"</f>
        <v>9788087294475</v>
      </c>
      <c r="C11109" s="8" t="s">
        <v>1754</v>
      </c>
    </row>
    <row r="11110" spans="1:3" x14ac:dyDescent="0.25">
      <c r="A11110" s="8" t="str">
        <f>"Nanomaterials for Energy Applications 2013 - Topical Conference at the 2013 AIChE Annual Meeting: Global Challenges for Engineering a Sustainable Future"</f>
        <v>Nanomaterials for Energy Applications 2013 - Topical Conference at the 2013 AIChE Annual Meeting: Global Challenges for Engineering a Sustainable Future</v>
      </c>
      <c r="B11110" s="8" t="str">
        <f>"9781634390255"</f>
        <v>9781634390255</v>
      </c>
      <c r="C11110" s="8" t="s">
        <v>1219</v>
      </c>
    </row>
    <row r="11111" spans="1:3" x14ac:dyDescent="0.25">
      <c r="A11111" s="8" t="str">
        <f>"Nanoparticles in Medicine and Environment: Inhalation and Health Effects"</f>
        <v>Nanoparticles in Medicine and Environment: Inhalation and Health Effects</v>
      </c>
      <c r="B11111" s="8" t="str">
        <f>"9789048126316"</f>
        <v>9789048126316</v>
      </c>
      <c r="C11111" s="8" t="s">
        <v>162</v>
      </c>
    </row>
    <row r="11112" spans="1:3" x14ac:dyDescent="0.25">
      <c r="A11112" s="8" t="str">
        <f>"Nanophotonics, Nanoelectronics and Nanosensor, N3 2013"</f>
        <v>Nanophotonics, Nanoelectronics and Nanosensor, N3 2013</v>
      </c>
      <c r="B11112" s="8" t="str">
        <f>"9781557529763"</f>
        <v>9781557529763</v>
      </c>
      <c r="C11112" s="8" t="s">
        <v>86</v>
      </c>
    </row>
    <row r="11113" spans="1:3" x14ac:dyDescent="0.25">
      <c r="A11113" s="8" t="str">
        <f>"Nanoscale Science and Engineering Forum 2013 - Core Programming Area at the 2013 AIChE Annual Meeting: Global Challenges for Engineering a Sustainable Future"</f>
        <v>Nanoscale Science and Engineering Forum 2013 - Core Programming Area at the 2013 AIChE Annual Meeting: Global Challenges for Engineering a Sustainable Future</v>
      </c>
      <c r="B11113" s="8" t="str">
        <f>"9781634390477"</f>
        <v>9781634390477</v>
      </c>
      <c r="C11113" s="8" t="s">
        <v>1219</v>
      </c>
    </row>
    <row r="11114" spans="1:3" x14ac:dyDescent="0.25">
      <c r="A11114" s="8" t="str">
        <f>"Nanoscale Science and Engineering Forum Conference, Presentations at the 2008 AIChE Spring National Meeting"</f>
        <v>Nanoscale Science and Engineering Forum Conference, Presentations at the 2008 AIChE Spring National Meeting</v>
      </c>
      <c r="B11114" s="8" t="str">
        <f>"9781605602257"</f>
        <v>9781605602257</v>
      </c>
      <c r="C11114" s="8" t="s">
        <v>1219</v>
      </c>
    </row>
    <row r="11115" spans="1:3" x14ac:dyDescent="0.25">
      <c r="A11115" s="8" t="str">
        <f>"NanoSingapore 2006: IEEE Conference on Emerging Technologies - Nanoelectronics - Proceedings"</f>
        <v>NanoSingapore 2006: IEEE Conference on Emerging Technologies - Nanoelectronics - Proceedings</v>
      </c>
      <c r="B11115" s="8" t="str">
        <f>"-"</f>
        <v>-</v>
      </c>
      <c r="C11115" s="8" t="s">
        <v>9</v>
      </c>
    </row>
    <row r="11116" spans="1:3" x14ac:dyDescent="0.25">
      <c r="A11116" s="8" t="s">
        <v>2002</v>
      </c>
      <c r="B11116" s="8" t="str">
        <f>"9781624101267"</f>
        <v>9781624101267</v>
      </c>
      <c r="C11116" s="8" t="s">
        <v>104</v>
      </c>
    </row>
    <row r="11117" spans="1:3" x14ac:dyDescent="0.25">
      <c r="A11117" s="8" t="str">
        <f>"Nanotechnology 2009: Biofuels, Renewable Energy, Coatings, Fluidics and Compact Modeling - Technical Proceedings of the 2009 NSTI Nanotechnology Conference and Expo, NSTI-Nanotech 2009"</f>
        <v>Nanotechnology 2009: Biofuels, Renewable Energy, Coatings, Fluidics and Compact Modeling - Technical Proceedings of the 2009 NSTI Nanotechnology Conference and Expo, NSTI-Nanotech 2009</v>
      </c>
      <c r="B11117" s="8" t="str">
        <f>"9781439817841"</f>
        <v>9781439817841</v>
      </c>
      <c r="C11117" s="8" t="s">
        <v>1334</v>
      </c>
    </row>
    <row r="11118" spans="1:3" x14ac:dyDescent="0.25">
      <c r="A11118" s="8" t="str">
        <f>"Nanotechnology 2009: Fabrication, Particles, Characterization, MEMS, Electronics and Photonics - Technical Proceedings of the 2009 NSTI Nanotechnology Conference and Expo, NSTI-Nanotech 2009"</f>
        <v>Nanotechnology 2009: Fabrication, Particles, Characterization, MEMS, Electronics and Photonics - Technical Proceedings of the 2009 NSTI Nanotechnology Conference and Expo, NSTI-Nanotech 2009</v>
      </c>
      <c r="B11118" s="8" t="str">
        <f>"9781439817827"</f>
        <v>9781439817827</v>
      </c>
      <c r="C11118" s="8" t="s">
        <v>60</v>
      </c>
    </row>
    <row r="11119" spans="1:3" x14ac:dyDescent="0.25">
      <c r="A11119" s="8" t="str">
        <f>"Nanotechnology 2010: Advanced Materials, CNTs, Particles, Films and Composites - Technical Proceedings of the 2010 NSTI Nanotechnology Conference and Expo, NSTI-Nanotech 2010"</f>
        <v>Nanotechnology 2010: Advanced Materials, CNTs, Particles, Films and Composites - Technical Proceedings of the 2010 NSTI Nanotechnology Conference and Expo, NSTI-Nanotech 2010</v>
      </c>
      <c r="B11119" s="8" t="str">
        <f>"9781439834015"</f>
        <v>9781439834015</v>
      </c>
      <c r="C11119" s="8" t="s">
        <v>1334</v>
      </c>
    </row>
    <row r="11120" spans="1:3" x14ac:dyDescent="0.25">
      <c r="A11120" s="8" t="str">
        <f>"Nanotechnology 2010: Bio Sensors, Instruments, Medical, Environment and Energy - Technical Proceedings of the 2010 NSTI Nanotechnology Conference and Expo, NSTI-Nanotech 2010"</f>
        <v>Nanotechnology 2010: Bio Sensors, Instruments, Medical, Environment and Energy - Technical Proceedings of the 2010 NSTI Nanotechnology Conference and Expo, NSTI-Nanotech 2010</v>
      </c>
      <c r="B11120" s="8" t="str">
        <f>"9781439834152"</f>
        <v>9781439834152</v>
      </c>
      <c r="C11120" s="8" t="s">
        <v>1334</v>
      </c>
    </row>
    <row r="11121" spans="1:3" x14ac:dyDescent="0.25">
      <c r="A11121" s="8" t="str">
        <f>"Nanotechnology 2010: Electronics, Devices, Fabrication, MEMS, Fluidics and Computational - Technical Proceedings of the 2010 NSTI Nanotechnology Conference and Expo, NSTI-Nanotech 2010"</f>
        <v>Nanotechnology 2010: Electronics, Devices, Fabrication, MEMS, Fluidics and Computational - Technical Proceedings of the 2010 NSTI Nanotechnology Conference and Expo, NSTI-Nanotech 2010</v>
      </c>
      <c r="B11121" s="8" t="str">
        <f>"9781439834022"</f>
        <v>9781439834022</v>
      </c>
      <c r="C11121" s="8" t="s">
        <v>1334</v>
      </c>
    </row>
    <row r="11122" spans="1:3" x14ac:dyDescent="0.25">
      <c r="A11122" s="8" t="str">
        <f>"NAPS 2011 - 43rd North American Power Symposium"</f>
        <v>NAPS 2011 - 43rd North American Power Symposium</v>
      </c>
      <c r="B11122" s="8" t="str">
        <f>"9781457704192"</f>
        <v>9781457704192</v>
      </c>
      <c r="C11122" s="8" t="s">
        <v>9</v>
      </c>
    </row>
    <row r="11123" spans="1:3" x14ac:dyDescent="0.25">
      <c r="A11123" s="8" t="str">
        <f>"NASTEC 2009 - 2nd International North American Simulation Technology Conference"</f>
        <v>NASTEC 2009 - 2nd International North American Simulation Technology Conference</v>
      </c>
      <c r="B11123" s="8" t="str">
        <f>"9789077381502"</f>
        <v>9789077381502</v>
      </c>
      <c r="C11123" s="8" t="s">
        <v>1206</v>
      </c>
    </row>
    <row r="11124" spans="1:3" x14ac:dyDescent="0.25">
      <c r="A11124" s="8" t="str">
        <f>"NASTT/ISTT International No-Dig Conference and Show 2009, including the Annual Technical Conference of North American Society for Trenchless Technology, No-Dig 2009"</f>
        <v>NASTT/ISTT International No-Dig Conference and Show 2009, including the Annual Technical Conference of North American Society for Trenchless Technology, No-Dig 2009</v>
      </c>
      <c r="B11124" s="8" t="str">
        <f>"9781615673919"</f>
        <v>9781615673919</v>
      </c>
      <c r="C11124" s="8" t="s">
        <v>1381</v>
      </c>
    </row>
    <row r="11125" spans="1:3" x14ac:dyDescent="0.25">
      <c r="A11125" s="8" t="str">
        <f>"National Aerospace Laboratory NLR - 32nd European Rotorcraft Forum, ERF 2006"</f>
        <v>National Aerospace Laboratory NLR - 32nd European Rotorcraft Forum, ERF 2006</v>
      </c>
      <c r="B11125" s="8" t="str">
        <f>"-"</f>
        <v>-</v>
      </c>
      <c r="C11125" s="8" t="s">
        <v>1468</v>
      </c>
    </row>
    <row r="11126" spans="1:3" x14ac:dyDescent="0.25">
      <c r="A11126" s="8" t="str">
        <f>"National Association for Surface Finishing Annual Conference and Trade Show 2010, SUR/FIN 2010"</f>
        <v>National Association for Surface Finishing Annual Conference and Trade Show 2010, SUR/FIN 2010</v>
      </c>
      <c r="B11126" s="8" t="str">
        <f>"9781617820144"</f>
        <v>9781617820144</v>
      </c>
      <c r="C11126" s="8" t="s">
        <v>1667</v>
      </c>
    </row>
    <row r="11127" spans="1:3" x14ac:dyDescent="0.25">
      <c r="A11127" s="8" t="str">
        <f>"National Association for Surface Finishing Annual Conference and Trade Show 2012, SUR/FIN 2012"</f>
        <v>National Association for Surface Finishing Annual Conference and Trade Show 2012, SUR/FIN 2012</v>
      </c>
      <c r="B11127" s="8" t="str">
        <f>"9781622762309"</f>
        <v>9781622762309</v>
      </c>
      <c r="C11127" s="8" t="s">
        <v>1667</v>
      </c>
    </row>
    <row r="11128" spans="1:3" x14ac:dyDescent="0.25">
      <c r="A11128" s="8" t="str">
        <f>"National Association for Surface Finishing Annual Conference and Trade Show, SUR/FIN 2013"</f>
        <v>National Association for Surface Finishing Annual Conference and Trade Show, SUR/FIN 2013</v>
      </c>
      <c r="B11128" s="8" t="str">
        <f>"9781627489065"</f>
        <v>9781627489065</v>
      </c>
      <c r="C11128" s="8" t="s">
        <v>1667</v>
      </c>
    </row>
    <row r="11129" spans="1:3" x14ac:dyDescent="0.25">
      <c r="A11129" s="8" t="str">
        <f>"National Association for Surface Finishing Annual Conference and Trade Show, SUR/FIN 2014"</f>
        <v>National Association for Surface Finishing Annual Conference and Trade Show, SUR/FIN 2014</v>
      </c>
      <c r="B11129" s="8" t="str">
        <f>"9781634391368"</f>
        <v>9781634391368</v>
      </c>
      <c r="C11129" s="8" t="s">
        <v>1667</v>
      </c>
    </row>
    <row r="11130" spans="1:3" x14ac:dyDescent="0.25">
      <c r="A11130" s="8" t="str">
        <f>"National Association for Surface Finishing Annual International Technical Conference, SUR/FIN 2008"</f>
        <v>National Association for Surface Finishing Annual International Technical Conference, SUR/FIN 2008</v>
      </c>
      <c r="B11130" s="8" t="str">
        <f>"9781605605449"</f>
        <v>9781605605449</v>
      </c>
      <c r="C11130" s="8" t="s">
        <v>1667</v>
      </c>
    </row>
    <row r="11131" spans="1:3" x14ac:dyDescent="0.25">
      <c r="A11131" s="8" t="str">
        <f>"National Association for Surface Finishing Annual Technical Conference 2005, SUR/FIN 2005"</f>
        <v>National Association for Surface Finishing Annual Technical Conference 2005, SUR/FIN 2005</v>
      </c>
      <c r="B11131" s="8" t="str">
        <f>"9781627481878"</f>
        <v>9781627481878</v>
      </c>
      <c r="C11131" s="8" t="s">
        <v>1667</v>
      </c>
    </row>
    <row r="11132" spans="1:3" x14ac:dyDescent="0.25">
      <c r="A11132" s="8" t="str">
        <f>"National Association for Surface Finishing Annual Technical Conference 2006, SUR/FIN 2006"</f>
        <v>National Association for Surface Finishing Annual Technical Conference 2006, SUR/FIN 2006</v>
      </c>
      <c r="B11132" s="8" t="str">
        <f>"9781627481885"</f>
        <v>9781627481885</v>
      </c>
      <c r="C11132" s="8" t="s">
        <v>1667</v>
      </c>
    </row>
    <row r="11133" spans="1:3" x14ac:dyDescent="0.25">
      <c r="A11133" s="8" t="str">
        <f>"National Association for Surface Finishing Annual Technical Conference 2009, SUR/FIN 2009"</f>
        <v>National Association for Surface Finishing Annual Technical Conference 2009, SUR/FIN 2009</v>
      </c>
      <c r="B11133" s="8" t="str">
        <f>"9781615674053"</f>
        <v>9781615674053</v>
      </c>
      <c r="C11133" s="8" t="s">
        <v>1667</v>
      </c>
    </row>
    <row r="11134" spans="1:3" x14ac:dyDescent="0.25">
      <c r="A11134" s="8" t="str">
        <f>"National Fiber Optic Engineers Conference, NFOEC 2012"</f>
        <v>National Fiber Optic Engineers Conference, NFOEC 2012</v>
      </c>
      <c r="B11134" s="8" t="str">
        <f>"9781557529350"</f>
        <v>9781557529350</v>
      </c>
      <c r="C11134" s="8" t="s">
        <v>86</v>
      </c>
    </row>
    <row r="11135" spans="1:3" x14ac:dyDescent="0.25">
      <c r="A11135" s="8" t="str">
        <f>"National Fiber Optic Engineers Conference, NFOEC 2013"</f>
        <v>National Fiber Optic Engineers Conference, NFOEC 2013</v>
      </c>
      <c r="B11135" s="8" t="str">
        <f>"9781557529626"</f>
        <v>9781557529626</v>
      </c>
      <c r="C11135" s="8" t="s">
        <v>86</v>
      </c>
    </row>
    <row r="11136" spans="1:3" x14ac:dyDescent="0.25">
      <c r="A11136" s="8" t="str">
        <f>"National Occupational and Process Safety Conference 2012"</f>
        <v>National Occupational and Process Safety Conference 2012</v>
      </c>
      <c r="B11136" s="8" t="str">
        <f>"9781622765799"</f>
        <v>9781622765799</v>
      </c>
      <c r="C11136" s="8" t="s">
        <v>1664</v>
      </c>
    </row>
    <row r="11137" spans="1:3" x14ac:dyDescent="0.25">
      <c r="A11137" s="8" t="str">
        <f>"National Occupational and Process Safety Conference 2013"</f>
        <v>National Occupational and Process Safety Conference 2013</v>
      </c>
      <c r="B11137" s="8" t="str">
        <f>"9781627489560"</f>
        <v>9781627489560</v>
      </c>
      <c r="C11137" s="8" t="s">
        <v>1664</v>
      </c>
    </row>
    <row r="11138" spans="1:3" x14ac:dyDescent="0.25">
      <c r="A11138" s="8" t="str">
        <f>"National Power and Energy Conference, PECon 2004 - Proceedings"</f>
        <v>National Power and Energy Conference, PECon 2004 - Proceedings</v>
      </c>
      <c r="B11138" s="8" t="str">
        <f>"9780780387249"</f>
        <v>9780780387249</v>
      </c>
      <c r="C11138" s="8" t="s">
        <v>9</v>
      </c>
    </row>
    <row r="11139" spans="1:3" x14ac:dyDescent="0.25">
      <c r="A11139" s="8" t="str">
        <f>"National Power Engineering Conference, PECon 2003 - Proceedings"</f>
        <v>National Power Engineering Conference, PECon 2003 - Proceedings</v>
      </c>
      <c r="B11139" s="8" t="str">
        <f>"9780780382084"</f>
        <v>9780780382084</v>
      </c>
      <c r="C11139" s="8" t="s">
        <v>105</v>
      </c>
    </row>
    <row r="11140" spans="1:3" x14ac:dyDescent="0.25">
      <c r="A11140" s="8" t="str">
        <f>"National Software Engineering Conference, NSEC 2014"</f>
        <v>National Software Engineering Conference, NSEC 2014</v>
      </c>
      <c r="B11140" s="8" t="str">
        <f>"9781479961627"</f>
        <v>9781479961627</v>
      </c>
      <c r="C11140" s="8" t="s">
        <v>105</v>
      </c>
    </row>
    <row r="11141" spans="1:3" x14ac:dyDescent="0.25">
      <c r="A11141" s="8" t="s">
        <v>2003</v>
      </c>
      <c r="B11141" s="8" t="str">
        <f>"9780415367004"</f>
        <v>9780415367004</v>
      </c>
      <c r="C11141" s="8" t="s">
        <v>1558</v>
      </c>
    </row>
    <row r="11142" spans="1:3" x14ac:dyDescent="0.25">
      <c r="A11142" s="8" t="str">
        <f>"Natural Language Processing and Cognitive Science - Proceedings of the 5th International Workshop on Natural Language Processing and Cognitive Science, NLPCS 2008; In Conjunction with ICEIS 2008"</f>
        <v>Natural Language Processing and Cognitive Science - Proceedings of the 5th International Workshop on Natural Language Processing and Cognitive Science, NLPCS 2008; In Conjunction with ICEIS 2008</v>
      </c>
      <c r="B11142" s="8" t="str">
        <f>"9789898111456"</f>
        <v>9789898111456</v>
      </c>
      <c r="C11142" s="8" t="s">
        <v>1553</v>
      </c>
    </row>
    <row r="11143" spans="1:3" x14ac:dyDescent="0.25">
      <c r="A11143" s="8" t="str">
        <f>"Natural Language Processing and Cognitive Science - Proceedings of the 6th International Workshop on Natural Language Processing and Cognitive Science - NLPCS 2009 In Conjunction with ICEIS 2009"</f>
        <v>Natural Language Processing and Cognitive Science - Proceedings of the 6th International Workshop on Natural Language Processing and Cognitive Science - NLPCS 2009 In Conjunction with ICEIS 2009</v>
      </c>
      <c r="B11143" s="8" t="str">
        <f>"9789898111920"</f>
        <v>9789898111920</v>
      </c>
      <c r="C11143" s="8" t="s">
        <v>1680</v>
      </c>
    </row>
    <row r="11144" spans="1:3" x14ac:dyDescent="0.25">
      <c r="A11144" s="8" t="str">
        <f>"Naturally and Hydraulically Induced Fractured Reservoirs: From nanoDarcies to Darcies"</f>
        <v>Naturally and Hydraulically Induced Fractured Reservoirs: From nanoDarcies to Darcies</v>
      </c>
      <c r="B11144" s="8" t="str">
        <f>"-"</f>
        <v>-</v>
      </c>
      <c r="C11144" s="8" t="s">
        <v>1251</v>
      </c>
    </row>
    <row r="11145" spans="1:3" x14ac:dyDescent="0.25">
      <c r="A11145" s="8" t="str">
        <f>"Nature-Inspired Mobile Robotics: Proceedings of the 16th International Conference on Climbing and Walking Robots and the Support Technologies for Mobile Machines, CLAWAR 2013"</f>
        <v>Nature-Inspired Mobile Robotics: Proceedings of the 16th International Conference on Climbing and Walking Robots and the Support Technologies for Mobile Machines, CLAWAR 2013</v>
      </c>
      <c r="B11145" s="8" t="str">
        <f>"9789814525527"</f>
        <v>9789814525527</v>
      </c>
      <c r="C11145" s="8" t="s">
        <v>157</v>
      </c>
    </row>
    <row r="11146" spans="1:3" x14ac:dyDescent="0.25">
      <c r="A11146" s="8" t="str">
        <f>"NBiS 2009 - 12th International Conference on Network-Based Information Systems"</f>
        <v>NBiS 2009 - 12th International Conference on Network-Based Information Systems</v>
      </c>
      <c r="B11146" s="8" t="str">
        <f>"9780769537672"</f>
        <v>9780769537672</v>
      </c>
      <c r="C11146" s="8" t="s">
        <v>9</v>
      </c>
    </row>
    <row r="11147" spans="1:3" x14ac:dyDescent="0.25">
      <c r="A11147" s="8" t="str">
        <f>"NCEE 2014 - 10th U.S. National Conference on Earthquake Engineering: Frontiers of Earthquake Engineering"</f>
        <v>NCEE 2014 - 10th U.S. National Conference on Earthquake Engineering: Frontiers of Earthquake Engineering</v>
      </c>
      <c r="B11147" s="8" t="str">
        <f>"-"</f>
        <v>-</v>
      </c>
      <c r="C11147" s="8" t="s">
        <v>347</v>
      </c>
    </row>
    <row r="11148" spans="1:3" x14ac:dyDescent="0.25">
      <c r="A11148" s="8" t="str">
        <f>"NCM 2009 - 5th International Joint Conference on INC, IMS, and IDC"</f>
        <v>NCM 2009 - 5th International Joint Conference on INC, IMS, and IDC</v>
      </c>
      <c r="B11148" s="8" t="str">
        <f>"9780769537696"</f>
        <v>9780769537696</v>
      </c>
      <c r="C11148" s="8" t="s">
        <v>9</v>
      </c>
    </row>
    <row r="11149" spans="1:3" x14ac:dyDescent="0.25">
      <c r="A11149" s="8" t="str">
        <f>"NCTA 2011 - Proceedings of the International Conference on Neural Computation Theory and Applications"</f>
        <v>NCTA 2011 - Proceedings of the International Conference on Neural Computation Theory and Applications</v>
      </c>
      <c r="B11149" s="8" t="str">
        <f>"9789898425843"</f>
        <v>9789898425843</v>
      </c>
      <c r="C11149" s="8" t="s">
        <v>1197</v>
      </c>
    </row>
    <row r="11150" spans="1:3" x14ac:dyDescent="0.25">
      <c r="A11150" s="8" t="str">
        <f>"NCTA 2014 - Proceedings of the International Conference on Neural Computation Theory and Applications"</f>
        <v>NCTA 2014 - Proceedings of the International Conference on Neural Computation Theory and Applications</v>
      </c>
      <c r="B11150" s="8" t="str">
        <f>"9789897580543"</f>
        <v>9789897580543</v>
      </c>
      <c r="C11150" s="8" t="s">
        <v>1680</v>
      </c>
    </row>
    <row r="11151" spans="1:3" x14ac:dyDescent="0.25">
      <c r="A11151" s="8" t="str">
        <f>"NDM'11 - Proceedings of the 2011 International Workshop on Network-Aware Data Management, Co-located with SC'11"</f>
        <v>NDM'11 - Proceedings of the 2011 International Workshop on Network-Aware Data Management, Co-located with SC'11</v>
      </c>
      <c r="B11151" s="8" t="str">
        <f>"9781450311328"</f>
        <v>9781450311328</v>
      </c>
      <c r="C11151" s="8" t="s">
        <v>21</v>
      </c>
    </row>
    <row r="11152" spans="1:3" x14ac:dyDescent="0.25">
      <c r="A11152" s="8" t="str">
        <f>"NDT 2014 - 53rd Annual Conference of the British Institute of Non-Destructive Testing"</f>
        <v>NDT 2014 - 53rd Annual Conference of the British Institute of Non-Destructive Testing</v>
      </c>
      <c r="B11152" s="8" t="str">
        <f>"-"</f>
        <v>-</v>
      </c>
      <c r="C11152" s="8" t="s">
        <v>543</v>
      </c>
    </row>
    <row r="11153" spans="1:3" x14ac:dyDescent="0.25">
      <c r="A11153" s="8" t="str">
        <f>"Near Surface 2005"</f>
        <v>Near Surface 2005</v>
      </c>
      <c r="B11153" s="8" t="str">
        <f>"-"</f>
        <v>-</v>
      </c>
      <c r="C11153" s="8" t="s">
        <v>1251</v>
      </c>
    </row>
    <row r="11154" spans="1:3" x14ac:dyDescent="0.25">
      <c r="A11154" s="8" t="str">
        <f>"Near Surface 2006 - 12th European Meeting of Environmental and Engineering Geophysics"</f>
        <v>Near Surface 2006 - 12th European Meeting of Environmental and Engineering Geophysics</v>
      </c>
      <c r="B11154" s="8" t="str">
        <f>"9789073781627"</f>
        <v>9789073781627</v>
      </c>
      <c r="C11154" s="8" t="s">
        <v>1251</v>
      </c>
    </row>
    <row r="11155" spans="1:3" x14ac:dyDescent="0.25">
      <c r="A11155" s="8" t="str">
        <f>"Near Surface 2007 - 13th European Meeting of Environmental and Engineering Geophysics"</f>
        <v>Near Surface 2007 - 13th European Meeting of Environmental and Engineering Geophysics</v>
      </c>
      <c r="B11155" s="8" t="str">
        <f>"9789073781818"</f>
        <v>9789073781818</v>
      </c>
      <c r="C11155" s="8" t="s">
        <v>1251</v>
      </c>
    </row>
    <row r="11156" spans="1:3" x14ac:dyDescent="0.25">
      <c r="A11156" s="8" t="str">
        <f>"Near Surface 2008 - 14th European Meeting of Environmental and Engineering Geophysics"</f>
        <v>Near Surface 2008 - 14th European Meeting of Environmental and Engineering Geophysics</v>
      </c>
      <c r="B11156" s="8" t="str">
        <f>"-"</f>
        <v>-</v>
      </c>
      <c r="C11156" s="8" t="s">
        <v>1251</v>
      </c>
    </row>
    <row r="11157" spans="1:3" x14ac:dyDescent="0.25">
      <c r="A11157" s="8" t="str">
        <f>"Near Surface 2009 - 15th European Meeting of Environmental and Engineering Geophysics"</f>
        <v>Near Surface 2009 - 15th European Meeting of Environmental and Engineering Geophysics</v>
      </c>
      <c r="B11157" s="8" t="str">
        <f>"9789073781726"</f>
        <v>9789073781726</v>
      </c>
      <c r="C11157" s="8" t="s">
        <v>1251</v>
      </c>
    </row>
    <row r="11158" spans="1:3" x14ac:dyDescent="0.25">
      <c r="A11158" s="8" t="str">
        <f>"Near Surface 2010 - 16th European Meeting of Environmental and Engineering Geophysics"</f>
        <v>Near Surface 2010 - 16th European Meeting of Environmental and Engineering Geophysics</v>
      </c>
      <c r="B11158" s="8" t="str">
        <f>"-"</f>
        <v>-</v>
      </c>
      <c r="C11158" s="8" t="s">
        <v>1251</v>
      </c>
    </row>
    <row r="11159" spans="1:3" x14ac:dyDescent="0.25">
      <c r="A11159" s="8" t="str">
        <f>"Near Surface 2011 - 17th European Meeting of Environmental and Engineering Geophysics"</f>
        <v>Near Surface 2011 - 17th European Meeting of Environmental and Engineering Geophysics</v>
      </c>
      <c r="B11159" s="8" t="str">
        <f>"-"</f>
        <v>-</v>
      </c>
      <c r="C11159" s="8" t="s">
        <v>1251</v>
      </c>
    </row>
    <row r="11160" spans="1:3" x14ac:dyDescent="0.25">
      <c r="A11160" s="8" t="str">
        <f>"Near Surface Geoscience 2012"</f>
        <v>Near Surface Geoscience 2012</v>
      </c>
      <c r="B11160" s="8" t="str">
        <f>"-"</f>
        <v>-</v>
      </c>
      <c r="C11160" s="8" t="s">
        <v>1251</v>
      </c>
    </row>
    <row r="11161" spans="1:3" x14ac:dyDescent="0.25">
      <c r="A11161" s="8" t="str">
        <f>"Near Surface Geoscience 2013"</f>
        <v>Near Surface Geoscience 2013</v>
      </c>
      <c r="B11161" s="8" t="str">
        <f>"-"</f>
        <v>-</v>
      </c>
      <c r="C11161" s="8" t="s">
        <v>1251</v>
      </c>
    </row>
    <row r="11162" spans="1:3" x14ac:dyDescent="0.25">
      <c r="A11162" s="8" t="str">
        <f>"Near Surface Geoscience 2014 - 20th European Meeting of Environmental and Engineering Geophysics"</f>
        <v>Near Surface Geoscience 2014 - 20th European Meeting of Environmental and Engineering Geophysics</v>
      </c>
      <c r="B11162" s="8" t="str">
        <f>"9789462820272"</f>
        <v>9789462820272</v>
      </c>
      <c r="C11162" s="8" t="s">
        <v>1251</v>
      </c>
    </row>
    <row r="11163" spans="1:3" x14ac:dyDescent="0.25">
      <c r="A11163" s="8" t="str">
        <f>"NEMARA'12 - Proceedings of the 2012 Workshop on Next Generation Modularity Approaches for Requirements and Architecture"</f>
        <v>NEMARA'12 - Proceedings of the 2012 Workshop on Next Generation Modularity Approaches for Requirements and Architecture</v>
      </c>
      <c r="B11163" s="8" t="str">
        <f>"9781450311274"</f>
        <v>9781450311274</v>
      </c>
      <c r="C11163" s="8" t="s">
        <v>21</v>
      </c>
    </row>
    <row r="11164" spans="1:3" x14ac:dyDescent="0.25">
      <c r="A11164" s="8" t="str">
        <f>"NEMS 2011 - 6th IEEE International Conference on Nano/Micro Engineered and Molecular Systems"</f>
        <v>NEMS 2011 - 6th IEEE International Conference on Nano/Micro Engineered and Molecular Systems</v>
      </c>
      <c r="B11164" s="8" t="str">
        <f>"9781612847757"</f>
        <v>9781612847757</v>
      </c>
      <c r="C11164" s="8" t="s">
        <v>9</v>
      </c>
    </row>
    <row r="11165" spans="1:3" x14ac:dyDescent="0.25">
      <c r="A11165" s="8" t="str">
        <f>"NetApps 2008 - International Conference on Network Applications, Protocols and Services 2008"</f>
        <v>NetApps 2008 - International Conference on Network Applications, Protocols and Services 2008</v>
      </c>
      <c r="B11165" s="8" t="str">
        <f>"9789832078333"</f>
        <v>9789832078333</v>
      </c>
      <c r="C11165" s="8" t="s">
        <v>2004</v>
      </c>
    </row>
    <row r="11166" spans="1:3" x14ac:dyDescent="0.25">
      <c r="A11166" s="8" t="str">
        <f>"NetEcon '10 - 2010 Workshop on the Economics of Networks, Systems, and Computation"</f>
        <v>NetEcon '10 - 2010 Workshop on the Economics of Networks, Systems, and Computation</v>
      </c>
      <c r="B11166" s="8" t="str">
        <f>"-"</f>
        <v>-</v>
      </c>
      <c r="C11166" s="8" t="s">
        <v>21</v>
      </c>
    </row>
    <row r="11167" spans="1:3" x14ac:dyDescent="0.25">
      <c r="A11167" s="8" t="str">
        <f>"NetEcon'08: Applications, Technologies, Architectures, and Protocols for Computer Communication - Proceedings of the 3rd International Workshop on Economics of Networked Systems 2008"</f>
        <v>NetEcon'08: Applications, Technologies, Architectures, and Protocols for Computer Communication - Proceedings of the 3rd International Workshop on Economics of Networked Systems 2008</v>
      </c>
      <c r="B11167" s="8" t="str">
        <f>"9781605581798"</f>
        <v>9781605581798</v>
      </c>
      <c r="C11167" s="8" t="s">
        <v>21</v>
      </c>
    </row>
    <row r="11168" spans="1:3" x14ac:dyDescent="0.25">
      <c r="A11168" s="8" t="str">
        <f>"NetGCoop 2012 - 6th International Conference on Network Games, Control and Optimization"</f>
        <v>NetGCoop 2012 - 6th International Conference on Network Games, Control and Optimization</v>
      </c>
      <c r="B11168" s="8" t="str">
        <f>"9782357680357"</f>
        <v>9782357680357</v>
      </c>
      <c r="C11168" s="8" t="s">
        <v>9</v>
      </c>
    </row>
    <row r="11169" spans="1:3" x14ac:dyDescent="0.25">
      <c r="A11169" s="8" t="str">
        <f>"Networked Embedded and Control System Technologies: European and Russian R and D Cooperation - Proceedings of the 1st International Workshop - NESTER 2009 In Conjunction with ICINCO 2009"</f>
        <v>Networked Embedded and Control System Technologies: European and Russian R and D Cooperation - Proceedings of the 1st International Workshop - NESTER 2009 In Conjunction with ICINCO 2009</v>
      </c>
      <c r="B11169" s="8" t="str">
        <f>"9789896740047"</f>
        <v>9789896740047</v>
      </c>
      <c r="C11169" s="8" t="s">
        <v>1680</v>
      </c>
    </row>
    <row r="11170" spans="1:3" x14ac:dyDescent="0.25">
      <c r="A11170" s="8" t="str">
        <f>"Networks 2004 - 11th International Telecommunications Network Strategy and Planning Symposium"</f>
        <v>Networks 2004 - 11th International Telecommunications Network Strategy and Planning Symposium</v>
      </c>
      <c r="B11170" s="8" t="str">
        <f>"9783800728404"</f>
        <v>9783800728404</v>
      </c>
      <c r="C11170" s="8" t="s">
        <v>992</v>
      </c>
    </row>
    <row r="11171" spans="1:3" x14ac:dyDescent="0.25">
      <c r="A11171" s="8" t="str">
        <f>"Networks 2006: 12th International Telecommunications Network Strategy and Planning Symposium"</f>
        <v>Networks 2006: 12th International Telecommunications Network Strategy and Planning Symposium</v>
      </c>
      <c r="B11171" s="8" t="str">
        <f>"9783800729999"</f>
        <v>9783800729999</v>
      </c>
      <c r="C11171" s="8" t="s">
        <v>105</v>
      </c>
    </row>
    <row r="11172" spans="1:3" x14ac:dyDescent="0.25">
      <c r="A11172" s="8" t="str">
        <f>"NETWORKS 2008 - 13th International Telecommunications Network Strategy and Planning Symposium"</f>
        <v>NETWORKS 2008 - 13th International Telecommunications Network Strategy and Planning Symposium</v>
      </c>
      <c r="B11172" s="8" t="str">
        <f>"9789638111685"</f>
        <v>9789638111685</v>
      </c>
      <c r="C11172" s="8" t="s">
        <v>9</v>
      </c>
    </row>
    <row r="11173" spans="1:3" x14ac:dyDescent="0.25">
      <c r="A11173" s="8" t="str">
        <f>"NEUROTECHNIX 2013 - Proceedings of the International Congress on Neurotechnology, Electronics and Informatics"</f>
        <v>NEUROTECHNIX 2013 - Proceedings of the International Congress on Neurotechnology, Electronics and Informatics</v>
      </c>
      <c r="B11173" s="8" t="str">
        <f>"9789898565808"</f>
        <v>9789898565808</v>
      </c>
      <c r="C11173" s="8" t="s">
        <v>1197</v>
      </c>
    </row>
    <row r="11174" spans="1:3" x14ac:dyDescent="0.25">
      <c r="A11174" s="8" t="str">
        <f>"NEUROTECHNIX 2014 - Proceedings of the 2nd International Congress on Neurotechnology, Electronics and Informatics"</f>
        <v>NEUROTECHNIX 2014 - Proceedings of the 2nd International Congress on Neurotechnology, Electronics and Informatics</v>
      </c>
      <c r="B11174" s="8" t="str">
        <f>"9789897580567"</f>
        <v>9789897580567</v>
      </c>
      <c r="C11174" s="8" t="s">
        <v>1680</v>
      </c>
    </row>
    <row r="11175" spans="1:3" x14ac:dyDescent="0.25">
      <c r="A11175" s="8" t="str">
        <f>"NEUTRINO 2006 - Proceedings of the 22nd International Conference on Neutrino Physics and Astrophysics"</f>
        <v>NEUTRINO 2006 - Proceedings of the 22nd International Conference on Neutrino Physics and Astrophysics</v>
      </c>
      <c r="B11175" s="8" t="str">
        <f>"-"</f>
        <v>-</v>
      </c>
      <c r="C11175" s="8" t="s">
        <v>2005</v>
      </c>
    </row>
    <row r="11176" spans="1:3" x14ac:dyDescent="0.25">
      <c r="A11176" s="8" t="str">
        <f>"New Developments on Metallurgy and Applications of High Strength Steels, Buenos Aires 2008 - Proc. Int. Conf. New Developments on Metallurgy and Applications of High Strength Steels"</f>
        <v>New Developments on Metallurgy and Applications of High Strength Steels, Buenos Aires 2008 - Proc. Int. Conf. New Developments on Metallurgy and Applications of High Strength Steels</v>
      </c>
      <c r="B11176" s="8" t="str">
        <f>"-"</f>
        <v>-</v>
      </c>
    </row>
    <row r="11177" spans="1:3" x14ac:dyDescent="0.25">
      <c r="A11177" s="8" t="str">
        <f>"New Dimensions in Fuzzy Logic and Related Technologies - Proceedings of the 5th EUSFLAT 2005 Conference"</f>
        <v>New Dimensions in Fuzzy Logic and Related Technologies - Proceedings of the 5th EUSFLAT 2005 Conference</v>
      </c>
      <c r="B11177" s="8" t="str">
        <f>"9788073683863"</f>
        <v>9788073683863</v>
      </c>
      <c r="C11177" s="8" t="s">
        <v>2006</v>
      </c>
    </row>
    <row r="11178" spans="1:3" x14ac:dyDescent="0.25">
      <c r="A11178" s="8" t="str">
        <f>"New Ergonomics Perspective - Selected Papers of the 10th Pan-Pacific Conference on Ergonomics"</f>
        <v>New Ergonomics Perspective - Selected Papers of the 10th Pan-Pacific Conference on Ergonomics</v>
      </c>
      <c r="B11178" s="8" t="str">
        <f>"9781138027510"</f>
        <v>9781138027510</v>
      </c>
      <c r="C11178" s="8" t="s">
        <v>1635</v>
      </c>
    </row>
    <row r="11179" spans="1:3" x14ac:dyDescent="0.25">
      <c r="A11179" s="8" t="str">
        <f>"New Frontiers - Proceedings of the 15th International Conference on Computer-Aided Architectural Design in Asia, CAADRIA 2010"</f>
        <v>New Frontiers - Proceedings of the 15th International Conference on Computer-Aided Architectural Design in Asia, CAADRIA 2010</v>
      </c>
      <c r="B11179" s="8" t="str">
        <f>"9789881902610"</f>
        <v>9789881902610</v>
      </c>
      <c r="C11179" s="8" t="s">
        <v>1729</v>
      </c>
    </row>
    <row r="11180" spans="1:3" x14ac:dyDescent="0.25">
      <c r="A11180" s="8" t="str">
        <f>"New Frontiers in Colloid Science: A Celebration of the Career of Brian Vincent"</f>
        <v>New Frontiers in Colloid Science: A Celebration of the Career of Brian Vincent</v>
      </c>
      <c r="B11180" s="8" t="str">
        <f>"9780854041138"</f>
        <v>9780854041138</v>
      </c>
      <c r="C11180" s="8" t="s">
        <v>121</v>
      </c>
    </row>
    <row r="11181" spans="1:3" x14ac:dyDescent="0.25">
      <c r="A11181" s="8" t="str">
        <f>"New Frontiers in Road and Airport Engineering - Selected Papers from the 2015 International Symposium on Frontiers of Road and Airport Engineering, IFRAE 2015"</f>
        <v>New Frontiers in Road and Airport Engineering - Selected Papers from the 2015 International Symposium on Frontiers of Road and Airport Engineering, IFRAE 2015</v>
      </c>
      <c r="B11181" s="8" t="str">
        <f>"9780784414255"</f>
        <v>9780784414255</v>
      </c>
      <c r="C11181" s="8" t="s">
        <v>111</v>
      </c>
    </row>
    <row r="11182" spans="1:3" x14ac:dyDescent="0.25">
      <c r="A11182" s="8" t="str">
        <f>"New Horizons and Better Practices"</f>
        <v>New Horizons and Better Practices</v>
      </c>
      <c r="B11182" s="8" t="str">
        <f>"9780784409466"</f>
        <v>9780784409466</v>
      </c>
      <c r="C11182" s="8" t="s">
        <v>111</v>
      </c>
    </row>
    <row r="11183" spans="1:3" x14ac:dyDescent="0.25">
      <c r="A11183" s="8" t="str">
        <f>"New Pipeline Technologies, Security, and Safety"</f>
        <v>New Pipeline Technologies, Security, and Safety</v>
      </c>
      <c r="B11183" s="8" t="str">
        <f>"9780784406908"</f>
        <v>9780784406908</v>
      </c>
      <c r="C11183" s="8" t="s">
        <v>111</v>
      </c>
    </row>
    <row r="11184" spans="1:3" x14ac:dyDescent="0.25">
      <c r="A11184" s="8" t="str">
        <f>"New Pipeline Technologies, Security, and Safety"</f>
        <v>New Pipeline Technologies, Security, and Safety</v>
      </c>
      <c r="B11184" s="8" t="str">
        <f>"9780784406908"</f>
        <v>9780784406908</v>
      </c>
      <c r="C11184" s="8" t="s">
        <v>111</v>
      </c>
    </row>
    <row r="11185" spans="1:3" x14ac:dyDescent="0.25">
      <c r="A11185" s="8" t="str">
        <f>"New Techniques and Technologies in Mining - Proceedings of the School of Underground Mining"</f>
        <v>New Techniques and Technologies in Mining - Proceedings of the School of Underground Mining</v>
      </c>
      <c r="B11185" s="8" t="str">
        <f>"9780415598644"</f>
        <v>9780415598644</v>
      </c>
      <c r="C11185" s="8" t="s">
        <v>1637</v>
      </c>
    </row>
    <row r="11186" spans="1:3" x14ac:dyDescent="0.25">
      <c r="A11186" s="8" t="str">
        <f>"New Technological Solutions in Underground Mining International Mining Forum 2006"</f>
        <v>New Technological Solutions in Underground Mining International Mining Forum 2006</v>
      </c>
      <c r="B11186" s="8" t="str">
        <f>"9780415401173"</f>
        <v>9780415401173</v>
      </c>
      <c r="C11186" s="8" t="s">
        <v>1520</v>
      </c>
    </row>
    <row r="11187" spans="1:3" x14ac:dyDescent="0.25">
      <c r="A11187" s="8" t="str">
        <f>"New Technologies, Mobility and Security"</f>
        <v>New Technologies, Mobility and Security</v>
      </c>
      <c r="B11187" s="8" t="str">
        <f>"9781402062698"</f>
        <v>9781402062698</v>
      </c>
      <c r="C11187" s="8" t="s">
        <v>162</v>
      </c>
    </row>
    <row r="11188" spans="1:3" x14ac:dyDescent="0.25">
      <c r="A11188" s="8" t="str">
        <f>"New Trends for Environmental Monitoring Using Passive Systems, PASSIVE 2008"</f>
        <v>New Trends for Environmental Monitoring Using Passive Systems, PASSIVE 2008</v>
      </c>
      <c r="B11188" s="8" t="str">
        <f>"9781424428168"</f>
        <v>9781424428168</v>
      </c>
      <c r="C11188" s="8" t="s">
        <v>9</v>
      </c>
    </row>
    <row r="11189" spans="1:3" x14ac:dyDescent="0.25">
      <c r="A11189" s="8" t="str">
        <f>"New Trends in Audio and Video - Signal Processing: Algorithms, Architectures, Arrangements, and Applications, NTAV / SPA 2008 - Conference Proceedings"</f>
        <v>New Trends in Audio and Video - Signal Processing: Algorithms, Architectures, Arrangements, and Applications, NTAV / SPA 2008 - Conference Proceedings</v>
      </c>
      <c r="B11189" s="8" t="str">
        <f>"9781457716607"</f>
        <v>9781457716607</v>
      </c>
      <c r="C11189" s="8" t="s">
        <v>9</v>
      </c>
    </row>
    <row r="11190" spans="1:3" x14ac:dyDescent="0.25">
      <c r="A11190" s="8" t="str">
        <f>"New Trends in ICT and Accessibility - Proceedings of the 1st International Conference in Information and Communication Technology and Accessibility, ICTA 2007"</f>
        <v>New Trends in ICT and Accessibility - Proceedings of the 1st International Conference in Information and Communication Technology and Accessibility, ICTA 2007</v>
      </c>
      <c r="B11190" s="8" t="str">
        <f>"9789973879141"</f>
        <v>9789973879141</v>
      </c>
      <c r="C11190" s="8" t="s">
        <v>2007</v>
      </c>
    </row>
    <row r="11191" spans="1:3" x14ac:dyDescent="0.25">
      <c r="A11191" s="8" t="str">
        <f>"New Zealand Computer Science Research Student Conference, NZCSRSC 2008 - Proceedings"</f>
        <v>New Zealand Computer Science Research Student Conference, NZCSRSC 2008 - Proceedings</v>
      </c>
      <c r="B11191" s="8" t="str">
        <f>"-"</f>
        <v>-</v>
      </c>
      <c r="C11191" s="8" t="s">
        <v>2008</v>
      </c>
    </row>
    <row r="11192" spans="1:3" x14ac:dyDescent="0.25">
      <c r="A11192" s="8" t="str">
        <f>"Next Generation Aspect Oriented Middleware Workshop, NAOMI 2008 - AOSD Conference 2008 Brussels, 7th International Conference on Aspect-Oriented Software Development"</f>
        <v>Next Generation Aspect Oriented Middleware Workshop, NAOMI 2008 - AOSD Conference 2008 Brussels, 7th International Conference on Aspect-Oriented Software Development</v>
      </c>
      <c r="B11192" s="8" t="str">
        <f>"9781605581484"</f>
        <v>9781605581484</v>
      </c>
      <c r="C11192" s="8" t="s">
        <v>21</v>
      </c>
    </row>
    <row r="11193" spans="1:3" x14ac:dyDescent="0.25">
      <c r="A11193" s="8" t="str">
        <f>"Next Generation Concurrent Engineering: Smart and Concurrent Integration of Product Data, Services, and Control Strategies, CE 2005"</f>
        <v>Next Generation Concurrent Engineering: Smart and Concurrent Integration of Product Data, Services, and Control Strategies, CE 2005</v>
      </c>
      <c r="B11193" s="8" t="str">
        <f>"-"</f>
        <v>-</v>
      </c>
      <c r="C11193" s="8" t="s">
        <v>2009</v>
      </c>
    </row>
    <row r="11194" spans="1:3" x14ac:dyDescent="0.25">
      <c r="A11194" s="8" t="str">
        <f>"NGCWP 2007 - Proceedings of 2007 Non-Grid-Connected Wind Power Systems - Wind Power Shanghai 2007 - Symposium on Non-Grid-Connected Wind Power"</f>
        <v>NGCWP 2007 - Proceedings of 2007 Non-Grid-Connected Wind Power Systems - Wind Power Shanghai 2007 - Symposium on Non-Grid-Connected Wind Power</v>
      </c>
      <c r="B11194" s="8" t="str">
        <f>"9780979847110"</f>
        <v>9780979847110</v>
      </c>
      <c r="C11194" s="8" t="s">
        <v>1266</v>
      </c>
    </row>
    <row r="11195" spans="1:3" x14ac:dyDescent="0.25">
      <c r="A11195" s="8" t="str">
        <f>"NGI 2005 - Next Generation Internet Networks: Traffic Engineering"</f>
        <v>NGI 2005 - Next Generation Internet Networks: Traffic Engineering</v>
      </c>
      <c r="B11195" s="8" t="str">
        <f>"-"</f>
        <v>-</v>
      </c>
      <c r="C11195" s="8" t="s">
        <v>9</v>
      </c>
    </row>
    <row r="11196" spans="1:3" x14ac:dyDescent="0.25">
      <c r="A11196" s="8" t="str">
        <f>"NGI 2007: 2007 Next Generation Internet Networks - 3rd EuroNGI Conference on Next Generation Internet Networks: Design and Engineering for Heterogeneity"</f>
        <v>NGI 2007: 2007 Next Generation Internet Networks - 3rd EuroNGI Conference on Next Generation Internet Networks: Design and Engineering for Heterogeneity</v>
      </c>
      <c r="B11196" s="8" t="str">
        <f>"9781424408573"</f>
        <v>9781424408573</v>
      </c>
      <c r="C11196" s="8" t="s">
        <v>9</v>
      </c>
    </row>
    <row r="11197" spans="1:3" x14ac:dyDescent="0.25">
      <c r="A11197" s="8" t="str">
        <f>"NGMAST 2007 - The 2007 International Conference on Next Generation Mobile Applications, Services and Technologies, Proceedings"</f>
        <v>NGMAST 2007 - The 2007 International Conference on Next Generation Mobile Applications, Services and Technologies, Proceedings</v>
      </c>
      <c r="B11197" s="8" t="str">
        <f>"9780769528786"</f>
        <v>9780769528786</v>
      </c>
      <c r="C11197" s="8" t="s">
        <v>9</v>
      </c>
    </row>
    <row r="11198" spans="1:3" x14ac:dyDescent="0.25">
      <c r="A11198" s="8" t="str">
        <f>"NGMAST 2009 - 3rd International Conference on Next Generation Mobile Applications, Services and Technologies"</f>
        <v>NGMAST 2009 - 3rd International Conference on Next Generation Mobile Applications, Services and Technologies</v>
      </c>
      <c r="B11198" s="8" t="str">
        <f>"9780769537863"</f>
        <v>9780769537863</v>
      </c>
      <c r="C11198" s="8" t="s">
        <v>9</v>
      </c>
    </row>
    <row r="11199" spans="1:3" x14ac:dyDescent="0.25">
      <c r="A11199" s="8" t="str">
        <f>"NHT'12 - Proceedings of 2nd Workshop on Narrative and Hypertext"</f>
        <v>NHT'12 - Proceedings of 2nd Workshop on Narrative and Hypertext</v>
      </c>
      <c r="B11199" s="8" t="str">
        <f>"9781450314084"</f>
        <v>9781450314084</v>
      </c>
      <c r="C11199" s="8" t="s">
        <v>21</v>
      </c>
    </row>
    <row r="11200" spans="1:3" x14ac:dyDescent="0.25">
      <c r="A11200" s="8" t="str">
        <f>"Niobium, Science and Technology"</f>
        <v>Niobium, Science and Technology</v>
      </c>
      <c r="B11200" s="8" t="str">
        <f>"9780971206809"</f>
        <v>9780971206809</v>
      </c>
      <c r="C11200" s="8" t="s">
        <v>648</v>
      </c>
    </row>
    <row r="11201" spans="1:3" x14ac:dyDescent="0.25">
      <c r="A11201" s="8" t="str">
        <f>"NISS2010 - 4th International Conference on New Trends in Information Science and Service Science"</f>
        <v>NISS2010 - 4th International Conference on New Trends in Information Science and Service Science</v>
      </c>
      <c r="B11201" s="8" t="str">
        <f>"9788988678183"</f>
        <v>9788988678183</v>
      </c>
      <c r="C11201" s="8" t="s">
        <v>9</v>
      </c>
    </row>
    <row r="11202" spans="1:3" x14ac:dyDescent="0.25">
      <c r="A11202" s="8" t="str">
        <f>"NLP-KE 2003 - 2003 International Conference on Natural Language Processing and Knowledge Engineering, Proceedings"</f>
        <v>NLP-KE 2003 - 2003 International Conference on Natural Language Processing and Knowledge Engineering, Proceedings</v>
      </c>
      <c r="B11202" s="8" t="str">
        <f>"9780780379022"</f>
        <v>9780780379022</v>
      </c>
      <c r="C11202" s="8" t="s">
        <v>105</v>
      </c>
    </row>
    <row r="11203" spans="1:3" x14ac:dyDescent="0.25">
      <c r="A11203" s="8" t="str">
        <f>"NLP-KE 2011 - Proceedings of the 7th International Conference on Natural Language Processing and Knowledge Engineering"</f>
        <v>NLP-KE 2011 - Proceedings of the 7th International Conference on Natural Language Processing and Knowledge Engineering</v>
      </c>
      <c r="B11203" s="8" t="str">
        <f>"9781612847283"</f>
        <v>9781612847283</v>
      </c>
      <c r="C11203" s="8" t="s">
        <v>9</v>
      </c>
    </row>
    <row r="11204" spans="1:3" x14ac:dyDescent="0.25">
      <c r="A11204" s="8" t="str">
        <f>"NOCS 2010 - The 4th ACM/IEEE International Symposium on Networks-on-Chip"</f>
        <v>NOCS 2010 - The 4th ACM/IEEE International Symposium on Networks-on-Chip</v>
      </c>
      <c r="B11204" s="8" t="str">
        <f>"9780769540535"</f>
        <v>9780769540535</v>
      </c>
      <c r="C11204" s="8" t="s">
        <v>9</v>
      </c>
    </row>
    <row r="11205" spans="1:3" x14ac:dyDescent="0.25">
      <c r="A11205" s="8" t="str">
        <f>"NOCS 2011: The 5th ACM/IEEE International Symposium on Networks-on-Chip"</f>
        <v>NOCS 2011: The 5th ACM/IEEE International Symposium on Networks-on-Chip</v>
      </c>
      <c r="B11205" s="8" t="str">
        <f>"9781450307208"</f>
        <v>9781450307208</v>
      </c>
      <c r="C11205" s="8" t="s">
        <v>21</v>
      </c>
    </row>
    <row r="11206" spans="1:3" x14ac:dyDescent="0.25">
      <c r="A11206" s="8" t="str">
        <f>"NoMe - TDC 2013 - 2013 IEEE Nordic Mediterranean Workshop on Time to Digital Converters, Proceedings"</f>
        <v>NoMe - TDC 2013 - 2013 IEEE Nordic Mediterranean Workshop on Time to Digital Converters, Proceedings</v>
      </c>
      <c r="B11206" s="8" t="str">
        <f>"9781479911844"</f>
        <v>9781479911844</v>
      </c>
      <c r="C11206" s="8" t="s">
        <v>9</v>
      </c>
    </row>
    <row r="11207" spans="1:3" x14ac:dyDescent="0.25">
      <c r="A11207" s="8" t="str">
        <f>"NoME-IoT'11 - Proceedings of the 2011 International Workshop on Networking and Object Memories for the Internet of Things"</f>
        <v>NoME-IoT'11 - Proceedings of the 2011 International Workshop on Networking and Object Memories for the Internet of Things</v>
      </c>
      <c r="B11207" s="8" t="str">
        <f>"9781450309295"</f>
        <v>9781450309295</v>
      </c>
      <c r="C11207" s="8" t="s">
        <v>21</v>
      </c>
    </row>
    <row r="11208" spans="1:3" x14ac:dyDescent="0.25">
      <c r="A11208" s="8" t="str">
        <f>"NOMS 2008 - IEEE/IFIP Network Operations and Management Symposium: Pervasive Management for Ubiquitous Networks and Services"</f>
        <v>NOMS 2008 - IEEE/IFIP Network Operations and Management Symposium: Pervasive Management for Ubiquitous Networks and Services</v>
      </c>
      <c r="B11208" s="8" t="str">
        <f>"9781424420667"</f>
        <v>9781424420667</v>
      </c>
      <c r="C11208" s="8" t="s">
        <v>9</v>
      </c>
    </row>
    <row r="11209" spans="1:3" x14ac:dyDescent="0.25">
      <c r="A11209" s="8" t="str">
        <f>"Non-Conference Specific Technical Papers - 2008, WONLY 2008"</f>
        <v>Non-Conference Specific Technical Papers - 2008, WONLY 2008</v>
      </c>
      <c r="B11209" s="8" t="str">
        <f>"-"</f>
        <v>-</v>
      </c>
      <c r="C11209" s="8" t="s">
        <v>1040</v>
      </c>
    </row>
    <row r="11210" spans="1:3" x14ac:dyDescent="0.25">
      <c r="A11210" s="8" t="str">
        <f>"Non-Conference Specific Technical Papers - 2009, WONLY 2009"</f>
        <v>Non-Conference Specific Technical Papers - 2009, WONLY 2009</v>
      </c>
      <c r="B11210" s="8" t="str">
        <f>"-"</f>
        <v>-</v>
      </c>
      <c r="C11210" s="8" t="s">
        <v>1040</v>
      </c>
    </row>
    <row r="11211" spans="1:3" x14ac:dyDescent="0.25">
      <c r="A11211" s="8" t="str">
        <f>"Nonequilibrium Phenomena: Plasma, Combustion, Atmosphere"</f>
        <v>Nonequilibrium Phenomena: Plasma, Combustion, Atmosphere</v>
      </c>
      <c r="B11211" s="8" t="str">
        <f>"9785945880672"</f>
        <v>9785945880672</v>
      </c>
      <c r="C11211" s="8" t="s">
        <v>2010</v>
      </c>
    </row>
    <row r="11212" spans="1:3" x14ac:dyDescent="0.25">
      <c r="A11212" s="8" t="str">
        <f>"Non-Ferrous Bangkok 2007- Latest Developments in Non-Ferrous Wire and Tube Technology, Joint IWMA and ITA Seminar at Wire/Tube Southeast Asia 2007"</f>
        <v>Non-Ferrous Bangkok 2007- Latest Developments in Non-Ferrous Wire and Tube Technology, Joint IWMA and ITA Seminar at Wire/Tube Southeast Asia 2007</v>
      </c>
      <c r="B11212" s="8" t="str">
        <f>"9781604238655"</f>
        <v>9781604238655</v>
      </c>
      <c r="C11212" s="8" t="s">
        <v>2011</v>
      </c>
    </row>
    <row r="11213" spans="1:3" x14ac:dyDescent="0.25">
      <c r="A11213" s="8" t="str">
        <f>"Nonlinear Guided Waves and Their Applications, NLGW 2005"</f>
        <v>Nonlinear Guided Waves and Their Applications, NLGW 2005</v>
      </c>
      <c r="B11213" s="8" t="str">
        <f>"-"</f>
        <v>-</v>
      </c>
      <c r="C11213" s="8" t="s">
        <v>86</v>
      </c>
    </row>
    <row r="11214" spans="1:3" x14ac:dyDescent="0.25">
      <c r="A11214" s="8" t="str">
        <f>"Nonlinear Optics, NLO 2015"</f>
        <v>Nonlinear Optics, NLO 2015</v>
      </c>
      <c r="B11214" s="8" t="str">
        <f>"9781557520012"</f>
        <v>9781557520012</v>
      </c>
      <c r="C11214" s="8" t="s">
        <v>1638</v>
      </c>
    </row>
    <row r="11215" spans="1:3" x14ac:dyDescent="0.25">
      <c r="A11215" s="8" t="str">
        <f>"Nonlinear Partial Differential Equations: The Abel Symposium 2010"</f>
        <v>Nonlinear Partial Differential Equations: The Abel Symposium 2010</v>
      </c>
      <c r="B11215" s="8" t="str">
        <f>"9783642253607"</f>
        <v>9783642253607</v>
      </c>
      <c r="C11215" s="8" t="s">
        <v>42</v>
      </c>
    </row>
    <row r="11216" spans="1:3" x14ac:dyDescent="0.25">
      <c r="A11216" s="8" t="str">
        <f>"Nonlinear Photonics, NP 2014"</f>
        <v>Nonlinear Photonics, NP 2014</v>
      </c>
      <c r="B11216" s="8" t="str">
        <f>"9781557528209"</f>
        <v>9781557528209</v>
      </c>
      <c r="C11216" s="8" t="s">
        <v>86</v>
      </c>
    </row>
    <row r="11217" spans="1:3" x14ac:dyDescent="0.25">
      <c r="A11217" s="8" t="str">
        <f>"Non-Seismic Methods Workshop 2008"</f>
        <v>Non-Seismic Methods Workshop 2008</v>
      </c>
      <c r="B11217" s="8" t="str">
        <f>"-"</f>
        <v>-</v>
      </c>
      <c r="C11217" s="8" t="s">
        <v>1251</v>
      </c>
    </row>
    <row r="11218" spans="1:3" x14ac:dyDescent="0.25">
      <c r="A11218" s="8" t="str">
        <f>"Norchip - 26th Norchip Conference, Formal Proceedings"</f>
        <v>Norchip - 26th Norchip Conference, Formal Proceedings</v>
      </c>
      <c r="B11218" s="8" t="str">
        <f>"9781424424931"</f>
        <v>9781424424931</v>
      </c>
      <c r="C11218" s="8" t="s">
        <v>9</v>
      </c>
    </row>
    <row r="11219" spans="1:3" x14ac:dyDescent="0.25">
      <c r="A11219" s="8" t="str">
        <f>"NORCHIP 2012"</f>
        <v>NORCHIP 2012</v>
      </c>
      <c r="B11219" s="8" t="str">
        <f>"9781467322218"</f>
        <v>9781467322218</v>
      </c>
      <c r="C11219" s="8" t="s">
        <v>9</v>
      </c>
    </row>
    <row r="11220" spans="1:3" x14ac:dyDescent="0.25">
      <c r="A11220" s="8" t="str">
        <f>"NORCHIP 2013"</f>
        <v>NORCHIP 2013</v>
      </c>
      <c r="B11220" s="8" t="str">
        <f>"9781479916474"</f>
        <v>9781479916474</v>
      </c>
      <c r="C11220" s="8" t="s">
        <v>9</v>
      </c>
    </row>
    <row r="11221" spans="1:3" x14ac:dyDescent="0.25">
      <c r="A11221" s="8" t="str">
        <f>"NORCHIP 2014 - 32nd NORCHIP Conference: The Nordic Microelectronics Event"</f>
        <v>NORCHIP 2014 - 32nd NORCHIP Conference: The Nordic Microelectronics Event</v>
      </c>
      <c r="B11221" s="8" t="str">
        <f>"9781479954421"</f>
        <v>9781479954421</v>
      </c>
      <c r="C11221" s="8" t="s">
        <v>105</v>
      </c>
    </row>
    <row r="11222" spans="1:3" x14ac:dyDescent="0.25">
      <c r="A11222" s="8" t="str">
        <f>"NordiCHI 2010: Extending Boundaries - Proceedings of the 6th Nordic Conference on Human-Computer Interaction"</f>
        <v>NordiCHI 2010: Extending Boundaries - Proceedings of the 6th Nordic Conference on Human-Computer Interaction</v>
      </c>
      <c r="B11222" s="8" t="str">
        <f>"9781605589343"</f>
        <v>9781605589343</v>
      </c>
      <c r="C11222" s="8" t="s">
        <v>21</v>
      </c>
    </row>
    <row r="11223" spans="1:3" x14ac:dyDescent="0.25">
      <c r="A11223" s="8" t="str">
        <f>"NordiCHI 2012: Making Sense Through Design - Proceedings of the 7th Nordic Conference on Human-Computer Interaction"</f>
        <v>NordiCHI 2012: Making Sense Through Design - Proceedings of the 7th Nordic Conference on Human-Computer Interaction</v>
      </c>
      <c r="B11223" s="8" t="str">
        <f>"9781450314824"</f>
        <v>9781450314824</v>
      </c>
      <c r="C11223" s="8" t="s">
        <v>21</v>
      </c>
    </row>
    <row r="11224" spans="1:3" x14ac:dyDescent="0.25">
      <c r="A11224" s="8" t="str">
        <f>"North Africa Technical Conference and Exhibition 2010, NATC 2010 - Energy Management in a Challenging Economy"</f>
        <v>North Africa Technical Conference and Exhibition 2010, NATC 2010 - Energy Management in a Challenging Economy</v>
      </c>
      <c r="B11224" s="8" t="str">
        <f>"9781617381072"</f>
        <v>9781617381072</v>
      </c>
      <c r="C11224" s="8" t="s">
        <v>671</v>
      </c>
    </row>
    <row r="11225" spans="1:3" x14ac:dyDescent="0.25">
      <c r="A11225" s="8" t="str">
        <f>"North American Membrane Society Annual Meeting, NAMS 2008"</f>
        <v>North American Membrane Society Annual Meeting, NAMS 2008</v>
      </c>
      <c r="B11225" s="8" t="str">
        <f>"9781605604961"</f>
        <v>9781605604961</v>
      </c>
      <c r="C11225" s="8" t="s">
        <v>1294</v>
      </c>
    </row>
    <row r="11226" spans="1:3" x14ac:dyDescent="0.25">
      <c r="A11226" s="8" t="str">
        <f>"North American Mixing Forum 2013 - Core Programming Area at the 2013 AIChE Annual Meeting: Global Challenges for Engineering a Sustainable Future"</f>
        <v>North American Mixing Forum 2013 - Core Programming Area at the 2013 AIChE Annual Meeting: Global Challenges for Engineering a Sustainable Future</v>
      </c>
      <c r="B11226" s="8" t="str">
        <f>"9781634390484"</f>
        <v>9781634390484</v>
      </c>
      <c r="C11226" s="8" t="s">
        <v>1219</v>
      </c>
    </row>
    <row r="11227" spans="1:3" x14ac:dyDescent="0.25">
      <c r="A11227" s="8" t="str">
        <f>"North American Power Symposium 2010, NAPS 2010"</f>
        <v>North American Power Symposium 2010, NAPS 2010</v>
      </c>
      <c r="B11227" s="8" t="str">
        <f>"9781424480463"</f>
        <v>9781424480463</v>
      </c>
      <c r="C11227" s="8" t="s">
        <v>9</v>
      </c>
    </row>
    <row r="11228" spans="1:3" x14ac:dyDescent="0.25">
      <c r="A11228" s="8" t="str">
        <f>"North American Tunneling 2008 Proceedings"</f>
        <v>North American Tunneling 2008 Proceedings</v>
      </c>
      <c r="B11228" s="8" t="str">
        <f>"9780873352635"</f>
        <v>9780873352635</v>
      </c>
      <c r="C11228" s="8" t="s">
        <v>877</v>
      </c>
    </row>
    <row r="11229" spans="1:3" x14ac:dyDescent="0.25">
      <c r="A11229" s="8" t="str">
        <f>"North American Tunneling 2010 Proceedings, NAT 2010"</f>
        <v>North American Tunneling 2010 Proceedings, NAT 2010</v>
      </c>
      <c r="B11229" s="8" t="str">
        <f>"9780873353311"</f>
        <v>9780873353311</v>
      </c>
      <c r="C11229" s="8" t="s">
        <v>877</v>
      </c>
    </row>
    <row r="11230" spans="1:3" x14ac:dyDescent="0.25">
      <c r="A11230" s="8" t="str">
        <f>"NOTERE'10 - 10th Annual International Conference on New Technologies of Distributed Systems"</f>
        <v>NOTERE'10 - 10th Annual International Conference on New Technologies of Distributed Systems</v>
      </c>
      <c r="B11230" s="8" t="str">
        <f>"9781424470686"</f>
        <v>9781424470686</v>
      </c>
      <c r="C11230" s="8" t="s">
        <v>9</v>
      </c>
    </row>
    <row r="11231" spans="1:3" x14ac:dyDescent="0.25">
      <c r="A11231" s="8" t="str">
        <f>"Novel Algorithms and Techniques in Telecommunications and Networking"</f>
        <v>Novel Algorithms and Techniques in Telecommunications and Networking</v>
      </c>
      <c r="B11231" s="8" t="str">
        <f>"9789048136612"</f>
        <v>9789048136612</v>
      </c>
      <c r="C11231" s="8" t="s">
        <v>162</v>
      </c>
    </row>
    <row r="11232" spans="1:3" x14ac:dyDescent="0.25">
      <c r="A11232" s="8" t="str">
        <f>"Novel Algorithms and Techniques in Telecommunications, Automation and Industrial Electronics"</f>
        <v>Novel Algorithms and Techniques in Telecommunications, Automation and Industrial Electronics</v>
      </c>
      <c r="B11232" s="8" t="str">
        <f>"9781402087363"</f>
        <v>9781402087363</v>
      </c>
      <c r="C11232" s="8" t="s">
        <v>1639</v>
      </c>
    </row>
    <row r="11233" spans="1:3" x14ac:dyDescent="0.25">
      <c r="A11233" s="8" t="str">
        <f>"Novel Optical Materials and Applications, NOMA 2015"</f>
        <v>Novel Optical Materials and Applications, NOMA 2015</v>
      </c>
      <c r="B11233" s="8" t="str">
        <f>"9781557520005"</f>
        <v>9781557520005</v>
      </c>
      <c r="C11233" s="8" t="s">
        <v>1638</v>
      </c>
    </row>
    <row r="11234" spans="1:3" x14ac:dyDescent="0.25">
      <c r="A11234" s="8" t="str">
        <f>"Novel Optical Technologies: Proceedings of the 3rd DGG Symposium, Held at the 79th Annual Meeting of the Deutsche Glastechnische Gesellschaft (DGG)"</f>
        <v>Novel Optical Technologies: Proceedings of the 3rd DGG Symposium, Held at the 79th Annual Meeting of the Deutsche Glastechnische Gesellschaft (DGG)</v>
      </c>
      <c r="B11234" s="8" t="str">
        <f>"9783921089422"</f>
        <v>9783921089422</v>
      </c>
      <c r="C11234" s="8" t="s">
        <v>2012</v>
      </c>
    </row>
    <row r="11235" spans="1:3" x14ac:dyDescent="0.25">
      <c r="A11235" s="8" t="str">
        <f>"Novel Techniques in Microscopy, NTM 2013"</f>
        <v>Novel Techniques in Microscopy, NTM 2013</v>
      </c>
      <c r="B11235" s="8" t="str">
        <f>"9781557529664"</f>
        <v>9781557529664</v>
      </c>
      <c r="C11235" s="8" t="s">
        <v>86</v>
      </c>
    </row>
    <row r="11236" spans="1:3" x14ac:dyDescent="0.25">
      <c r="A11236" s="8" t="str">
        <f>"Novel Techniques in Microscopy, NTM 2015"</f>
        <v>Novel Techniques in Microscopy, NTM 2015</v>
      </c>
      <c r="B11236" s="8" t="str">
        <f>"9781557529541"</f>
        <v>9781557529541</v>
      </c>
      <c r="C11236" s="8" t="s">
        <v>86</v>
      </c>
    </row>
    <row r="11237" spans="1:3" x14ac:dyDescent="0.25">
      <c r="A11237" s="8" t="str">
        <f>"NPC 2009 - 6th International Conference on Network and Parallel Computing"</f>
        <v>NPC 2009 - 6th International Conference on Network and Parallel Computing</v>
      </c>
      <c r="B11237" s="8" t="str">
        <f>"9780769538372"</f>
        <v>9780769538372</v>
      </c>
      <c r="C11237" s="8" t="s">
        <v>9</v>
      </c>
    </row>
    <row r="11238" spans="1:3" x14ac:dyDescent="0.25">
      <c r="A11238" s="8" t="str">
        <f>"NRBC'04 - Proceedings of the ACM Workshop on Next-Generation Residential Broadband Challenges"</f>
        <v>NRBC'04 - Proceedings of the ACM Workshop on Next-Generation Residential Broadband Challenges</v>
      </c>
      <c r="B11238" s="8" t="str">
        <f>"9781581139358"</f>
        <v>9781581139358</v>
      </c>
      <c r="C11238" s="8" t="s">
        <v>21</v>
      </c>
    </row>
    <row r="11239" spans="1:3" x14ac:dyDescent="0.25">
      <c r="A11239" s="8" t="str">
        <f>"NSH 2007 - 9th International Conference on Numerical Ship Hydrodynamics"</f>
        <v>NSH 2007 - 9th International Conference on Numerical Ship Hydrodynamics</v>
      </c>
      <c r="B11239" s="8" t="str">
        <f>"-"</f>
        <v>-</v>
      </c>
      <c r="C11239" s="8" t="s">
        <v>2013</v>
      </c>
    </row>
    <row r="11240" spans="1:3" x14ac:dyDescent="0.25">
      <c r="A11240" s="8" t="str">
        <f>"NSS 2009 - Network and System Security"</f>
        <v>NSS 2009 - Network and System Security</v>
      </c>
      <c r="B11240" s="8" t="str">
        <f>"9780769538389"</f>
        <v>9780769538389</v>
      </c>
      <c r="C11240" s="8" t="s">
        <v>9</v>
      </c>
    </row>
    <row r="11241" spans="1:3" x14ac:dyDescent="0.25">
      <c r="A11241" s="8" t="str">
        <f>"NSSPW - Nonlinear Statistical Signal Processing Workshop 2006"</f>
        <v>NSSPW - Nonlinear Statistical Signal Processing Workshop 2006</v>
      </c>
      <c r="B11241" s="8" t="str">
        <f>"9781424405817"</f>
        <v>9781424405817</v>
      </c>
      <c r="C11241" s="8" t="s">
        <v>9</v>
      </c>
    </row>
    <row r="11242" spans="1:3" x14ac:dyDescent="0.25">
      <c r="A11242" s="8" t="str">
        <f>"NSWCTC 2010 - The 2nd International Conference on Networks Security, Wireless Communications and Trusted Computing"</f>
        <v>NSWCTC 2010 - The 2nd International Conference on Networks Security, Wireless Communications and Trusted Computing</v>
      </c>
      <c r="B11242" s="8" t="str">
        <f>"9780769540115"</f>
        <v>9780769540115</v>
      </c>
      <c r="C11242" s="8" t="s">
        <v>9</v>
      </c>
    </row>
    <row r="11243" spans="1:3" x14ac:dyDescent="0.25">
      <c r="A11243" s="8" t="str">
        <f>"Nuclear and Emerging Technologies for Space 2011, NETS-2011"</f>
        <v>Nuclear and Emerging Technologies for Space 2011, NETS-2011</v>
      </c>
      <c r="B11243" s="8" t="str">
        <f>"9781617828461"</f>
        <v>9781617828461</v>
      </c>
      <c r="C11243" s="8" t="s">
        <v>453</v>
      </c>
    </row>
    <row r="11244" spans="1:3" x14ac:dyDescent="0.25">
      <c r="A11244" s="8" t="str">
        <f>"Nuclear and Emerging Technologies for Space, NETS 2013"</f>
        <v>Nuclear and Emerging Technologies for Space, NETS 2013</v>
      </c>
      <c r="B11244" s="8" t="str">
        <f>"9781627485586"</f>
        <v>9781627485586</v>
      </c>
      <c r="C11244" s="8" t="s">
        <v>453</v>
      </c>
    </row>
    <row r="11245" spans="1:3" x14ac:dyDescent="0.25">
      <c r="A11245" s="8" t="str">
        <f>"Nuclear Engineering Division 2013 - Core Programming Area at the 2013 AIChE Annual Meeting: Global Challenges for Engineering a Sustainable Future"</f>
        <v>Nuclear Engineering Division 2013 - Core Programming Area at the 2013 AIChE Annual Meeting: Global Challenges for Engineering a Sustainable Future</v>
      </c>
      <c r="B11245" s="8" t="str">
        <f>"9781634390491"</f>
        <v>9781634390491</v>
      </c>
      <c r="C11245" s="8" t="s">
        <v>1219</v>
      </c>
    </row>
    <row r="11246" spans="1:3" x14ac:dyDescent="0.25">
      <c r="A11246" s="8" t="str">
        <f>"Numerical Methods for Hyperbolic Equations: Theory and Appl., An Int. Conf. to Honour Professor E.F. Toro - Proc. of the Int. Conf. on Numerical Methods for Hyperbolic Equations: Theory and Appl."</f>
        <v>Numerical Methods for Hyperbolic Equations: Theory and Appl., An Int. Conf. to Honour Professor E.F. Toro - Proc. of the Int. Conf. on Numerical Methods for Hyperbolic Equations: Theory and Appl.</v>
      </c>
      <c r="B11246" s="8" t="str">
        <f>"9780415621502"</f>
        <v>9780415621502</v>
      </c>
      <c r="C11246" s="8" t="s">
        <v>1619</v>
      </c>
    </row>
    <row r="11247" spans="1:3" x14ac:dyDescent="0.25">
      <c r="A11247" s="8" t="str">
        <f>"Numerical Methods in Geotechnical Engineering - Proceedings of the 7th European Conference on Numerical Methods in Geotechnical Engineering"</f>
        <v>Numerical Methods in Geotechnical Engineering - Proceedings of the 7th European Conference on Numerical Methods in Geotechnical Engineering</v>
      </c>
      <c r="B11247" s="8" t="str">
        <f>"9780415592390"</f>
        <v>9780415592390</v>
      </c>
      <c r="C11247" s="8" t="s">
        <v>1619</v>
      </c>
    </row>
    <row r="11248" spans="1:3" x14ac:dyDescent="0.25">
      <c r="A11248" s="8" t="str">
        <f>"Numerical Models in Fluid-Structure Interaction"</f>
        <v>Numerical Models in Fluid-Structure Interaction</v>
      </c>
      <c r="B11248" s="8" t="str">
        <f>"9781853128370"</f>
        <v>9781853128370</v>
      </c>
      <c r="C11248" s="8" t="s">
        <v>1641</v>
      </c>
    </row>
    <row r="11249" spans="1:3" x14ac:dyDescent="0.25">
      <c r="A11249" s="8" t="str">
        <f>"NUSOD '05 - Proceedings of the 5th International Conference on Numerical Simulation of Optoelectronic Devices"</f>
        <v>NUSOD '05 - Proceedings of the 5th International Conference on Numerical Simulation of Optoelectronic Devices</v>
      </c>
      <c r="B11249" s="8" t="str">
        <f>"-"</f>
        <v>-</v>
      </c>
      <c r="C11249" s="8" t="s">
        <v>9</v>
      </c>
    </row>
    <row r="11250" spans="1:3" x14ac:dyDescent="0.25">
      <c r="A11250" s="8" t="str">
        <f>"Nutrition, Functional and Sensory Properties of Foods"</f>
        <v>Nutrition, Functional and Sensory Properties of Foods</v>
      </c>
      <c r="B11250" s="8" t="str">
        <f>"9781849736442"</f>
        <v>9781849736442</v>
      </c>
      <c r="C11250" s="8" t="s">
        <v>121</v>
      </c>
    </row>
    <row r="11251" spans="1:3" x14ac:dyDescent="0.25">
      <c r="A11251" s="8" t="str">
        <f>"Nyquist AD Converters, Sensor Interfaces, and Robustness - Advances in Analog Circuit Design, AACD 2012"</f>
        <v>Nyquist AD Converters, Sensor Interfaces, and Robustness - Advances in Analog Circuit Design, AACD 2012</v>
      </c>
      <c r="B11251" s="8" t="str">
        <f>"9781461445869"</f>
        <v>9781461445869</v>
      </c>
      <c r="C11251" s="8" t="s">
        <v>31</v>
      </c>
    </row>
    <row r="11252" spans="1:3" x14ac:dyDescent="0.25">
      <c r="A11252" s="8" t="str">
        <f>"OCCBIO'09: 2009 Ohio Collaborative Conference on Bioinformatics"</f>
        <v>OCCBIO'09: 2009 Ohio Collaborative Conference on Bioinformatics</v>
      </c>
      <c r="B11252" s="8" t="str">
        <f>"9780769536859"</f>
        <v>9780769536859</v>
      </c>
      <c r="C11252" s="8" t="s">
        <v>9</v>
      </c>
    </row>
    <row r="11253" spans="1:3" x14ac:dyDescent="0.25">
      <c r="A11253" s="8" t="str">
        <f>"Occupational Safety and Hygiene - Proceedings of the International Symposium on Occupational Safety and Hygiene, SHO 2013"</f>
        <v>Occupational Safety and Hygiene - Proceedings of the International Symposium on Occupational Safety and Hygiene, SHO 2013</v>
      </c>
      <c r="B11253" s="8" t="str">
        <f>"9781138000476"</f>
        <v>9781138000476</v>
      </c>
      <c r="C11253" s="8" t="s">
        <v>1635</v>
      </c>
    </row>
    <row r="11254" spans="1:3" x14ac:dyDescent="0.25">
      <c r="A11254" s="8" t="str">
        <f>"Occupational Safety and Hygiene II - Selected Extended and Revised Contributions from the International Symposium Occupational Safety and Hygiene, SHO 2014"</f>
        <v>Occupational Safety and Hygiene II - Selected Extended and Revised Contributions from the International Symposium Occupational Safety and Hygiene, SHO 2014</v>
      </c>
      <c r="B11254" s="8" t="str">
        <f>"9781138001442"</f>
        <v>9781138001442</v>
      </c>
      <c r="C11254" s="8" t="s">
        <v>1619</v>
      </c>
    </row>
    <row r="11255" spans="1:3" x14ac:dyDescent="0.25">
      <c r="A11255" s="8" t="str">
        <f>"Occupational Safety and Hygiene III - Selected Extended and Revised Contributions from the International Symposium on Safety and Hygiene"</f>
        <v>Occupational Safety and Hygiene III - Selected Extended and Revised Contributions from the International Symposium on Safety and Hygiene</v>
      </c>
      <c r="B11255" s="8" t="str">
        <f>"9781138027657"</f>
        <v>9781138027657</v>
      </c>
      <c r="C11255" s="8" t="s">
        <v>1635</v>
      </c>
    </row>
    <row r="11256" spans="1:3" x14ac:dyDescent="0.25">
      <c r="A11256" s="8" t="str">
        <f>"Ocean '04 - MTS/IEEE Techno-Ocean '04: Bridges across the Oceans - Conference Proceedings"</f>
        <v>Ocean '04 - MTS/IEEE Techno-Ocean '04: Bridges across the Oceans - Conference Proceedings</v>
      </c>
      <c r="B11256" s="8" t="str">
        <f>"9780780386693"</f>
        <v>9780780386693</v>
      </c>
      <c r="C11256" s="8" t="s">
        <v>848</v>
      </c>
    </row>
    <row r="11257" spans="1:3" x14ac:dyDescent="0.25">
      <c r="A11257" s="8" t="str">
        <f>"Ocean: Past, Present and Future - 2012 IEEE/OES Baltic International Symposium, BALTIC 2012"</f>
        <v>Ocean: Past, Present and Future - 2012 IEEE/OES Baltic International Symposium, BALTIC 2012</v>
      </c>
      <c r="B11257" s="8" t="str">
        <f>"9781467314138"</f>
        <v>9781467314138</v>
      </c>
      <c r="C11257" s="8" t="s">
        <v>9</v>
      </c>
    </row>
    <row r="11258" spans="1:3" x14ac:dyDescent="0.25">
      <c r="A11258" s="8" t="str">
        <f>"OCEANS '09 IEEE Bremen: Balancing Technology with Future Needs"</f>
        <v>OCEANS '09 IEEE Bremen: Balancing Technology with Future Needs</v>
      </c>
      <c r="B11258" s="8" t="str">
        <f>"-"</f>
        <v>-</v>
      </c>
      <c r="C11258" s="8" t="s">
        <v>9</v>
      </c>
    </row>
    <row r="11259" spans="1:3" x14ac:dyDescent="0.25">
      <c r="A11259" s="8" t="str">
        <f>"Oceans 2003: Celebrating the Past... Teaming Toward the Future"</f>
        <v>Oceans 2003: Celebrating the Past... Teaming Toward the Future</v>
      </c>
      <c r="B11259" s="8" t="str">
        <f>"-"</f>
        <v>-</v>
      </c>
      <c r="C11259" s="8" t="s">
        <v>105</v>
      </c>
    </row>
    <row r="11260" spans="1:3" x14ac:dyDescent="0.25">
      <c r="A11260" s="8" t="str">
        <f>"Oceans 2005 - Europe"</f>
        <v>Oceans 2005 - Europe</v>
      </c>
      <c r="B11260" s="8" t="str">
        <f>"-"</f>
        <v>-</v>
      </c>
      <c r="C11260" s="8" t="s">
        <v>9</v>
      </c>
    </row>
    <row r="11261" spans="1:3" x14ac:dyDescent="0.25">
      <c r="A11261" s="8" t="str">
        <f>"OCEANS 2006"</f>
        <v>OCEANS 2006</v>
      </c>
      <c r="B11261" s="8" t="str">
        <f>"9781424401154"</f>
        <v>9781424401154</v>
      </c>
      <c r="C11261" s="8" t="s">
        <v>9</v>
      </c>
    </row>
    <row r="11262" spans="1:3" x14ac:dyDescent="0.25">
      <c r="A11262" s="8" t="str">
        <f>"OCEANS 2006 - Asia Pacific"</f>
        <v>OCEANS 2006 - Asia Pacific</v>
      </c>
      <c r="B11262" s="8" t="str">
        <f>"9781424401383"</f>
        <v>9781424401383</v>
      </c>
      <c r="C11262" s="8" t="s">
        <v>9</v>
      </c>
    </row>
    <row r="11263" spans="1:3" x14ac:dyDescent="0.25">
      <c r="A11263" s="8" t="str">
        <f>"OCEANS 2007 - Europe"</f>
        <v>OCEANS 2007 - Europe</v>
      </c>
      <c r="B11263" s="8" t="str">
        <f>"9781424406357"</f>
        <v>9781424406357</v>
      </c>
      <c r="C11263" s="8" t="s">
        <v>9</v>
      </c>
    </row>
    <row r="11264" spans="1:3" x14ac:dyDescent="0.25">
      <c r="A11264" s="8" t="str">
        <f>"OCEANS 2008"</f>
        <v>OCEANS 2008</v>
      </c>
      <c r="B11264" s="8" t="str">
        <f>"9781424426201"</f>
        <v>9781424426201</v>
      </c>
      <c r="C11264" s="8" t="s">
        <v>9</v>
      </c>
    </row>
    <row r="11265" spans="1:3" x14ac:dyDescent="0.25">
      <c r="A11265" s="8" t="str">
        <f>"OCEANS 2011 IEEE - Spain"</f>
        <v>OCEANS 2011 IEEE - Spain</v>
      </c>
      <c r="B11265" s="8" t="str">
        <f>"9781457700866"</f>
        <v>9781457700866</v>
      </c>
      <c r="C11265" s="8" t="s">
        <v>9</v>
      </c>
    </row>
    <row r="11266" spans="1:3" x14ac:dyDescent="0.25">
      <c r="A11266" s="8" t="str">
        <f>"OCEANS 2012 MTS/IEEE: Harnessing the Power of the Ocean"</f>
        <v>OCEANS 2012 MTS/IEEE: Harnessing the Power of the Ocean</v>
      </c>
      <c r="B11266" s="8" t="str">
        <f>"9781467308298"</f>
        <v>9781467308298</v>
      </c>
      <c r="C11266" s="8" t="s">
        <v>9</v>
      </c>
    </row>
    <row r="11267" spans="1:3" x14ac:dyDescent="0.25">
      <c r="A11267" s="8" t="str">
        <f>"OCEANS 2013 MTS/IEEE - San Diego: An Ocean in Common"</f>
        <v>OCEANS 2013 MTS/IEEE - San Diego: An Ocean in Common</v>
      </c>
      <c r="B11267" s="8" t="str">
        <f>"9780933957404"</f>
        <v>9780933957404</v>
      </c>
      <c r="C11267" s="8" t="s">
        <v>9</v>
      </c>
    </row>
    <row r="11268" spans="1:3" x14ac:dyDescent="0.25">
      <c r="A11268" s="8" t="str">
        <f>"OCEANS 2013 MTS/IEEE Bergen: The Challenges of the Northern Dimension"</f>
        <v>OCEANS 2013 MTS/IEEE Bergen: The Challenges of the Northern Dimension</v>
      </c>
      <c r="B11268" s="8" t="str">
        <f>"9781479900015"</f>
        <v>9781479900015</v>
      </c>
      <c r="C11268" s="8" t="s">
        <v>9</v>
      </c>
    </row>
    <row r="11269" spans="1:3" x14ac:dyDescent="0.25">
      <c r="A11269" s="8" t="str">
        <f>"OCEANS 2014 - TAIPEI"</f>
        <v>OCEANS 2014 - TAIPEI</v>
      </c>
      <c r="B11269" s="8" t="str">
        <f>"9781479936465"</f>
        <v>9781479936465</v>
      </c>
      <c r="C11269" s="8" t="s">
        <v>105</v>
      </c>
    </row>
    <row r="11270" spans="1:3" x14ac:dyDescent="0.25">
      <c r="A11270" s="8" t="str">
        <f>"OCEANS'08 MTS/IEEE Kobe-Techno-Ocean'08 - Voyage toward the Future, OTO'08"</f>
        <v>OCEANS'08 MTS/IEEE Kobe-Techno-Ocean'08 - Voyage toward the Future, OTO'08</v>
      </c>
      <c r="B11270" s="8" t="str">
        <f>"9781424421268"</f>
        <v>9781424421268</v>
      </c>
      <c r="C11270" s="8" t="s">
        <v>9</v>
      </c>
    </row>
    <row r="11271" spans="1:3" x14ac:dyDescent="0.25">
      <c r="A11271" s="8" t="str">
        <f>"OCEANS'10 IEEE Sydney, OCEANSSYD 2010"</f>
        <v>OCEANS'10 IEEE Sydney, OCEANSSYD 2010</v>
      </c>
      <c r="B11271" s="8" t="str">
        <f>"9781424452217"</f>
        <v>9781424452217</v>
      </c>
      <c r="C11271" s="8" t="s">
        <v>9</v>
      </c>
    </row>
    <row r="11272" spans="1:3" x14ac:dyDescent="0.25">
      <c r="A11272" s="8" t="str">
        <f>"OCEANS'11 - MTS/IEEE Kona, Program Book"</f>
        <v>OCEANS'11 - MTS/IEEE Kona, Program Book</v>
      </c>
      <c r="B11272" s="8" t="str">
        <f>"9781457714276"</f>
        <v>9781457714276</v>
      </c>
      <c r="C11272" s="8" t="s">
        <v>9</v>
      </c>
    </row>
    <row r="11273" spans="1:3" x14ac:dyDescent="0.25">
      <c r="A11273" s="8" t="str">
        <f>"ODRL 2005 - 2nd International Open Digital Rights Language Workshop 2005"</f>
        <v>ODRL 2005 - 2nd International Open Digital Rights Language Workshop 2005</v>
      </c>
      <c r="B11273" s="8" t="str">
        <f>"9781740645010"</f>
        <v>9781740645010</v>
      </c>
      <c r="C11273" s="8" t="s">
        <v>146</v>
      </c>
    </row>
    <row r="11274" spans="1:3" x14ac:dyDescent="0.25">
      <c r="A11274" s="8" t="str">
        <f>"OFC/NFOEC 2007 - Optical Fiber Communication and the National Fiber Optic Engineers Conference 2007"</f>
        <v>OFC/NFOEC 2007 - Optical Fiber Communication and the National Fiber Optic Engineers Conference 2007</v>
      </c>
      <c r="B11274" s="8" t="str">
        <f>"9781557528315"</f>
        <v>9781557528315</v>
      </c>
      <c r="C11274" s="8" t="s">
        <v>9</v>
      </c>
    </row>
    <row r="11275" spans="1:3" x14ac:dyDescent="0.25">
      <c r="A11275" s="8" t="str">
        <f>"OFC/NFOEC 2008 - 2008 Conference on Optical Fiber Communication/National Fiber Optic Engineers Conference"</f>
        <v>OFC/NFOEC 2008 - 2008 Conference on Optical Fiber Communication/National Fiber Optic Engineers Conference</v>
      </c>
      <c r="B11275" s="8" t="str">
        <f>"9781557528551"</f>
        <v>9781557528551</v>
      </c>
      <c r="C11275" s="8" t="s">
        <v>9</v>
      </c>
    </row>
    <row r="11276" spans="1:3" x14ac:dyDescent="0.25">
      <c r="A11276" s="8" t="str">
        <f>"On Diagnosing Faults in Digital Circuits"</f>
        <v>On Diagnosing Faults in Digital Circuits</v>
      </c>
      <c r="B11276" s="8" t="str">
        <f>"9789038619903"</f>
        <v>9789038619903</v>
      </c>
      <c r="C11276" s="8" t="s">
        <v>1203</v>
      </c>
    </row>
    <row r="11277" spans="1:3" x14ac:dyDescent="0.25">
      <c r="A11277" s="8" t="str">
        <f>"ONDM 2008 - 12th Conference on Optical Network Design and Modelling"</f>
        <v>ONDM 2008 - 12th Conference on Optical Network Design and Modelling</v>
      </c>
      <c r="B11277" s="8" t="str">
        <f>"9783901882272"</f>
        <v>9783901882272</v>
      </c>
      <c r="C11277" s="8" t="s">
        <v>9</v>
      </c>
    </row>
    <row r="11278" spans="1:3" x14ac:dyDescent="0.25">
      <c r="A11278" s="8" t="str">
        <f>"ONDM 2011 - 15th Conference on Optical Network Design and Modeling"</f>
        <v>ONDM 2011 - 15th Conference on Optical Network Design and Modeling</v>
      </c>
      <c r="B11278" s="8" t="str">
        <f>"9783901882425"</f>
        <v>9783901882425</v>
      </c>
      <c r="C11278" s="8" t="s">
        <v>9</v>
      </c>
    </row>
    <row r="11279" spans="1:3" x14ac:dyDescent="0.25">
      <c r="A11279" s="8" t="str">
        <f>"Online Communities: Technologies and Analyses for Networks in Industry, Research and Education - 17. Workshop GeNeMe 2014, Gemeinschaften in Neuen Medien: Virtual Enterprises, Research Communities and Social Media Networks"</f>
        <v>Online Communities: Technologies and Analyses for Networks in Industry, Research and Education - 17. Workshop GeNeMe 2014, Gemeinschaften in Neuen Medien: Virtual Enterprises, Research Communities and Social Media Networks</v>
      </c>
      <c r="B11279" s="8" t="str">
        <f>"9783944331782"</f>
        <v>9783944331782</v>
      </c>
      <c r="C11279" s="8" t="s">
        <v>1856</v>
      </c>
    </row>
    <row r="11280" spans="1:3" x14ac:dyDescent="0.25">
      <c r="A11280" s="8" t="str">
        <f>"Ontology for e-Technologies - Proceedings of the 1st International Workshop on Ontology for e-Technologies - OET 2009 In Conjunction with ICEIS 2009"</f>
        <v>Ontology for e-Technologies - Proceedings of the 1st International Workshop on Ontology for e-Technologies - OET 2009 In Conjunction with ICEIS 2009</v>
      </c>
      <c r="B11280" s="8" t="str">
        <f>"9789898111968"</f>
        <v>9789898111968</v>
      </c>
      <c r="C11280" s="8" t="s">
        <v>1680</v>
      </c>
    </row>
    <row r="11281" spans="1:3" x14ac:dyDescent="0.25">
      <c r="A11281" s="8" t="str">
        <f>"Onward! 2014 - Proceedings of the 2014 ACM International Symposium on New Ideas, New Paradigms, and Reflections on Programming and Software, Part of SPLASH 2014"</f>
        <v>Onward! 2014 - Proceedings of the 2014 ACM International Symposium on New Ideas, New Paradigms, and Reflections on Programming and Software, Part of SPLASH 2014</v>
      </c>
      <c r="B11281" s="8" t="str">
        <f>"9781450332101"</f>
        <v>9781450332101</v>
      </c>
      <c r="C11281" s="8" t="s">
        <v>1235</v>
      </c>
    </row>
    <row r="11282" spans="1:3" x14ac:dyDescent="0.25">
      <c r="A11282" s="8" t="str">
        <f>"ONWARD!'11 - Proceedings of the 10th ACM Symposium on New Ideas, New Paradigms, and Reflections on Programming and Software"</f>
        <v>ONWARD!'11 - Proceedings of the 10th ACM Symposium on New Ideas, New Paradigms, and Reflections on Programming and Software</v>
      </c>
      <c r="B11282" s="8" t="str">
        <f>"9781450309417"</f>
        <v>9781450309417</v>
      </c>
      <c r="C11282" s="8" t="s">
        <v>21</v>
      </c>
    </row>
    <row r="11283" spans="1:3" x14ac:dyDescent="0.25">
      <c r="A11283" s="8" t="str">
        <f>"OPEE 2010 - 2010 International Conference on Optics, Photonics and Energy Engineering"</f>
        <v>OPEE 2010 - 2010 International Conference on Optics, Photonics and Energy Engineering</v>
      </c>
      <c r="B11283" s="8" t="str">
        <f>"9781424452354"</f>
        <v>9781424452354</v>
      </c>
      <c r="C11283" s="8" t="s">
        <v>9</v>
      </c>
    </row>
    <row r="11284" spans="1:3" x14ac:dyDescent="0.25">
      <c r="A11284" s="8" t="str">
        <f>"Open Scholarship: Authority, Community, and Sustainability in the Age of Web 2.0 - Proceedings of the 12th International Conference on Electronic Publishing, ELPUB 2008"</f>
        <v>Open Scholarship: Authority, Community, and Sustainability in the Age of Web 2.0 - Proceedings of the 12th International Conference on Electronic Publishing, ELPUB 2008</v>
      </c>
      <c r="B11284" s="8" t="str">
        <f>"9780772763150"</f>
        <v>9780772763150</v>
      </c>
      <c r="C11284" s="8" t="s">
        <v>1783</v>
      </c>
    </row>
    <row r="11285" spans="1:3" x14ac:dyDescent="0.25">
      <c r="A11285" s="8" t="str">
        <f>"Open Systems - Proceedings of the 18th International Conference on Computer-Aided Architectural Design Research in Asia, CAADRIA 2013"</f>
        <v>Open Systems - Proceedings of the 18th International Conference on Computer-Aided Architectural Design Research in Asia, CAADRIA 2013</v>
      </c>
      <c r="B11285" s="8" t="str">
        <f>"9789881902641"</f>
        <v>9789881902641</v>
      </c>
      <c r="C11285" s="8" t="s">
        <v>1703</v>
      </c>
    </row>
    <row r="11286" spans="1:3" x14ac:dyDescent="0.25">
      <c r="A11286" s="8" t="str">
        <f>"Openness in Digital Publishing: Awareness, Discovery and Access - Proceedings of the 11th International Conference on Electronic Publishing, ELPUB 2007"</f>
        <v>Openness in Digital Publishing: Awareness, Discovery and Access - Proceedings of the 11th International Conference on Electronic Publishing, ELPUB 2007</v>
      </c>
      <c r="B11286" s="8" t="str">
        <f>"9783854372929"</f>
        <v>9783854372929</v>
      </c>
      <c r="C11286" s="8" t="s">
        <v>1783</v>
      </c>
    </row>
    <row r="11287" spans="1:3" x14ac:dyDescent="0.25">
      <c r="A11287" s="8" t="str">
        <f>"Operating Reservoirs in Changing Conditions - Proceedings of the Operations Management 2006 Conference"</f>
        <v>Operating Reservoirs in Changing Conditions - Proceedings of the Operations Management 2006 Conference</v>
      </c>
      <c r="B11287" s="8" t="str">
        <f>"-"</f>
        <v>-</v>
      </c>
      <c r="C11287" s="8" t="s">
        <v>111</v>
      </c>
    </row>
    <row r="11288" spans="1:3" x14ac:dyDescent="0.25">
      <c r="A11288" s="8" t="str">
        <f>"Operating Ships within Emission Control Areas, ECA's - SNAME Symposium"</f>
        <v>Operating Ships within Emission Control Areas, ECA's - SNAME Symposium</v>
      </c>
      <c r="B11288" s="8" t="str">
        <f>"-"</f>
        <v>-</v>
      </c>
      <c r="C11288" s="8" t="s">
        <v>762</v>
      </c>
    </row>
    <row r="11289" spans="1:3" x14ac:dyDescent="0.25">
      <c r="A11289" s="8" t="str">
        <f>"Operational Excellence Conference and Expo 2008"</f>
        <v>Operational Excellence Conference and Expo 2008</v>
      </c>
      <c r="B11289" s="8" t="str">
        <f>"-"</f>
        <v>-</v>
      </c>
      <c r="C11289" s="8" t="s">
        <v>530</v>
      </c>
    </row>
    <row r="11290" spans="1:3" x14ac:dyDescent="0.25">
      <c r="A11290" s="8" t="str">
        <f>"Operational Excellence Conference and Expo 2009"</f>
        <v>Operational Excellence Conference and Expo 2009</v>
      </c>
      <c r="B11290" s="8" t="str">
        <f>"-"</f>
        <v>-</v>
      </c>
      <c r="C11290" s="8" t="s">
        <v>530</v>
      </c>
    </row>
    <row r="11291" spans="1:3" x14ac:dyDescent="0.25">
      <c r="A11291" s="8" t="str">
        <f>"OPT 2007 - International Workshop Optoelectronic Physics and Technology"</f>
        <v>OPT 2007 - International Workshop Optoelectronic Physics and Technology</v>
      </c>
      <c r="B11291" s="8" t="str">
        <f>"9781424413225"</f>
        <v>9781424413225</v>
      </c>
      <c r="C11291" s="8" t="s">
        <v>9</v>
      </c>
    </row>
    <row r="11292" spans="1:3" x14ac:dyDescent="0.25">
      <c r="A11292" s="8" t="str">
        <f>"OPT-i 2014 - 1st International Conference on Engineering and Applied Sciences Optimization, Proceedings"</f>
        <v>OPT-i 2014 - 1st International Conference on Engineering and Applied Sciences Optimization, Proceedings</v>
      </c>
      <c r="B11292" s="8" t="str">
        <f>"9789609999465"</f>
        <v>9789609999465</v>
      </c>
      <c r="C11292" s="8" t="s">
        <v>1223</v>
      </c>
    </row>
    <row r="11293" spans="1:3" x14ac:dyDescent="0.25">
      <c r="A11293" s="8" t="str">
        <f>"Optical Fiber Communication Conference, OFC 2013"</f>
        <v>Optical Fiber Communication Conference, OFC 2013</v>
      </c>
      <c r="B11293" s="8" t="str">
        <f>"9781557529626"</f>
        <v>9781557529626</v>
      </c>
      <c r="C11293" s="8" t="s">
        <v>86</v>
      </c>
    </row>
    <row r="11294" spans="1:3" x14ac:dyDescent="0.25">
      <c r="A11294" s="8" t="str">
        <f>"Optical Fiber Communication Conference, OFC 2014"</f>
        <v>Optical Fiber Communication Conference, OFC 2014</v>
      </c>
      <c r="B11294" s="8" t="str">
        <f>"9781557529930"</f>
        <v>9781557529930</v>
      </c>
      <c r="C11294" s="8" t="s">
        <v>86</v>
      </c>
    </row>
    <row r="11295" spans="1:3" x14ac:dyDescent="0.25">
      <c r="A11295" s="8" t="str">
        <f>"Optical Fiber Communication Conference, OFC 2015"</f>
        <v>Optical Fiber Communication Conference, OFC 2015</v>
      </c>
      <c r="B11295" s="8" t="str">
        <f>"9781557529374"</f>
        <v>9781557529374</v>
      </c>
      <c r="C11295" s="8" t="s">
        <v>86</v>
      </c>
    </row>
    <row r="11296" spans="1:3" x14ac:dyDescent="0.25">
      <c r="A11296" s="8" t="str">
        <f>"Optical Instrumentation for Energy and Environmental Applications, E2 2012"</f>
        <v>Optical Instrumentation for Energy and Environmental Applications, E2 2012</v>
      </c>
      <c r="B11296" s="8" t="str">
        <f>"9781557529527"</f>
        <v>9781557529527</v>
      </c>
      <c r="C11296" s="8" t="s">
        <v>86</v>
      </c>
    </row>
    <row r="11297" spans="1:3" x14ac:dyDescent="0.25">
      <c r="A11297" s="8" t="str">
        <f>"Optical Instrumentation for Energy and Environmental Applications, E2 2014"</f>
        <v>Optical Instrumentation for Energy and Environmental Applications, E2 2014</v>
      </c>
      <c r="B11297" s="8" t="str">
        <f>"9781557527561"</f>
        <v>9781557527561</v>
      </c>
      <c r="C11297" s="8" t="s">
        <v>86</v>
      </c>
    </row>
    <row r="11298" spans="1:3" x14ac:dyDescent="0.25">
      <c r="A11298" s="8" t="str">
        <f>"Optical Molecular Probes, Imaging and Drug Delivery, OMP 2013"</f>
        <v>Optical Molecular Probes, Imaging and Drug Delivery, OMP 2013</v>
      </c>
      <c r="B11298" s="8" t="str">
        <f>"9781557529664"</f>
        <v>9781557529664</v>
      </c>
      <c r="C11298" s="8" t="s">
        <v>86</v>
      </c>
    </row>
    <row r="11299" spans="1:3" x14ac:dyDescent="0.25">
      <c r="A11299" s="8" t="str">
        <f>"Optical Molecular Probes, Imaging and Drug Delivery, OMP 2015"</f>
        <v>Optical Molecular Probes, Imaging and Drug Delivery, OMP 2015</v>
      </c>
      <c r="B11299" s="8" t="str">
        <f>"9781557529541"</f>
        <v>9781557529541</v>
      </c>
      <c r="C11299" s="8" t="s">
        <v>86</v>
      </c>
    </row>
    <row r="11300" spans="1:3" x14ac:dyDescent="0.25">
      <c r="A11300" s="8" t="str">
        <f>"Optical Nanostructures for Photovoltaics, PV 2010"</f>
        <v>Optical Nanostructures for Photovoltaics, PV 2010</v>
      </c>
      <c r="B11300" s="8" t="str">
        <f>"9781557528964"</f>
        <v>9781557528964</v>
      </c>
      <c r="C11300" s="8" t="s">
        <v>1638</v>
      </c>
    </row>
    <row r="11301" spans="1:3" x14ac:dyDescent="0.25">
      <c r="A11301" s="8" t="str">
        <f>"Optical Sensors, 2014"</f>
        <v>Optical Sensors, 2014</v>
      </c>
      <c r="B11301" s="8" t="str">
        <f>"9781557528209"</f>
        <v>9781557528209</v>
      </c>
      <c r="C11301" s="8" t="s">
        <v>1638</v>
      </c>
    </row>
    <row r="11302" spans="1:3" x14ac:dyDescent="0.25">
      <c r="A11302" s="8" t="str">
        <f>"Optical Sensors, Sensors 2015"</f>
        <v>Optical Sensors, Sensors 2015</v>
      </c>
      <c r="B11302" s="8" t="str">
        <f>"9781557520005"</f>
        <v>9781557520005</v>
      </c>
      <c r="C11302" s="8" t="s">
        <v>1638</v>
      </c>
    </row>
    <row r="11303" spans="1:3" x14ac:dyDescent="0.25">
      <c r="A11303" s="8" t="str">
        <f>"Optical Trapping Applications, OTA 2013"</f>
        <v>Optical Trapping Applications, OTA 2013</v>
      </c>
      <c r="B11303" s="8" t="str">
        <f>"9781557529664"</f>
        <v>9781557529664</v>
      </c>
      <c r="C11303" s="8" t="s">
        <v>86</v>
      </c>
    </row>
    <row r="11304" spans="1:3" x14ac:dyDescent="0.25">
      <c r="A11304" s="8" t="str">
        <f>"Optical Trapping Applications, OTA 2015"</f>
        <v>Optical Trapping Applications, OTA 2015</v>
      </c>
      <c r="B11304" s="8" t="str">
        <f>"9781557529541"</f>
        <v>9781557529541</v>
      </c>
      <c r="C11304" s="8" t="s">
        <v>86</v>
      </c>
    </row>
    <row r="11305" spans="1:3" x14ac:dyDescent="0.25">
      <c r="A11305" s="8" t="str">
        <f>"OPTICS 2014 - Proceedings of the 5th International Conference on Optical Communication Systems, Part of ICETE 2014 - 11th International Joint Conference on e-Business and Telecommunications"</f>
        <v>OPTICS 2014 - Proceedings of the 5th International Conference on Optical Communication Systems, Part of ICETE 2014 - 11th International Joint Conference on e-Business and Telecommunications</v>
      </c>
      <c r="B11305" s="8" t="str">
        <f>"9789897580444"</f>
        <v>9789897580444</v>
      </c>
      <c r="C11305" s="8" t="s">
        <v>1197</v>
      </c>
    </row>
    <row r="11306" spans="1:3" x14ac:dyDescent="0.25">
      <c r="A11306" s="8" t="str">
        <f>"Optics and the Brain, BRAIN 2015"</f>
        <v>Optics and the Brain, BRAIN 2015</v>
      </c>
      <c r="B11306" s="8" t="str">
        <f>"9781557529541"</f>
        <v>9781557529541</v>
      </c>
      <c r="C11306" s="8" t="s">
        <v>86</v>
      </c>
    </row>
    <row r="11307" spans="1:3" x14ac:dyDescent="0.25">
      <c r="A11307" s="8" t="str">
        <f>"Optics for Solar Energy, OSE 2014"</f>
        <v>Optics for Solar Energy, OSE 2014</v>
      </c>
      <c r="B11307" s="8" t="str">
        <f>"9781557527561"</f>
        <v>9781557527561</v>
      </c>
      <c r="C11307" s="8" t="s">
        <v>86</v>
      </c>
    </row>
    <row r="11308" spans="1:3" x14ac:dyDescent="0.25">
      <c r="A11308" s="8" t="str">
        <f>"Optics InfoBase Conference Papers"</f>
        <v>Optics InfoBase Conference Papers</v>
      </c>
      <c r="B11308" s="8" t="str">
        <f>"-"</f>
        <v>-</v>
      </c>
      <c r="C11308" s="8" t="s">
        <v>86</v>
      </c>
    </row>
    <row r="11309" spans="1:3" x14ac:dyDescent="0.25">
      <c r="A11309" s="8" t="str">
        <f>"Optics InfoBase Conference Papers"</f>
        <v>Optics InfoBase Conference Papers</v>
      </c>
      <c r="B11309" s="8" t="str">
        <f>"9781557528209"</f>
        <v>9781557528209</v>
      </c>
      <c r="C11309" s="8" t="s">
        <v>86</v>
      </c>
    </row>
    <row r="11310" spans="1:3" x14ac:dyDescent="0.25">
      <c r="A11310" s="8" t="str">
        <f>"Optoelectronic Devices and Integration, OEDI 2014"</f>
        <v>Optoelectronic Devices and Integration, OEDI 2014</v>
      </c>
      <c r="B11310" s="8" t="str">
        <f>"-"</f>
        <v>-</v>
      </c>
      <c r="C11310" s="8" t="s">
        <v>86</v>
      </c>
    </row>
    <row r="11311" spans="1:3" x14ac:dyDescent="0.25">
      <c r="A11311" s="8" t="str">
        <f>"Optoelectronic Devices and Integration, OEDI 2015"</f>
        <v>Optoelectronic Devices and Integration, OEDI 2015</v>
      </c>
      <c r="B11311" s="8" t="str">
        <f>"9781943580019"</f>
        <v>9781943580019</v>
      </c>
      <c r="C11311" s="8" t="s">
        <v>1638</v>
      </c>
    </row>
    <row r="11312" spans="1:3" x14ac:dyDescent="0.25">
      <c r="A11312" s="8" t="str">
        <f>"OR52 Keynotes and Extended Abstracts - 52nd Conference of the Operational Research Society 2010"</f>
        <v>OR52 Keynotes and Extended Abstracts - 52nd Conference of the Operational Research Society 2010</v>
      </c>
      <c r="B11312" s="8" t="str">
        <f>"-"</f>
        <v>-</v>
      </c>
      <c r="C11312" s="8" t="s">
        <v>1528</v>
      </c>
    </row>
    <row r="11313" spans="1:3" x14ac:dyDescent="0.25">
      <c r="A11313" s="8" t="str">
        <f>"OR53 Keynotes and Short Papers - 53rd Conference of the Operational Research Society 2011"</f>
        <v>OR53 Keynotes and Short Papers - 53rd Conference of the Operational Research Society 2011</v>
      </c>
      <c r="B11313" s="8" t="str">
        <f>"9780903440493"</f>
        <v>9780903440493</v>
      </c>
      <c r="C11313" s="8" t="s">
        <v>1528</v>
      </c>
    </row>
    <row r="11314" spans="1:3" x14ac:dyDescent="0.25">
      <c r="A11314" s="8" t="str">
        <f>"OR54 Keynote Papers - 54th Conference of the Operational Research Society 2012"</f>
        <v>OR54 Keynote Papers - 54th Conference of the Operational Research Society 2012</v>
      </c>
      <c r="B11314" s="8" t="str">
        <f>"9780903440516"</f>
        <v>9780903440516</v>
      </c>
      <c r="C11314" s="8" t="s">
        <v>1528</v>
      </c>
    </row>
    <row r="11315" spans="1:3" x14ac:dyDescent="0.25">
      <c r="A11315" s="8" t="str">
        <f>"OR55 Keynotes and Extended Abstracts - 55th Conference of the Operational Research Society 2013"</f>
        <v>OR55 Keynotes and Extended Abstracts - 55th Conference of the Operational Research Society 2013</v>
      </c>
      <c r="B11315" s="8" t="str">
        <f>"9780903440554"</f>
        <v>9780903440554</v>
      </c>
      <c r="C11315" s="8" t="s">
        <v>1528</v>
      </c>
    </row>
    <row r="11316" spans="1:3" x14ac:dyDescent="0.25">
      <c r="A11316" s="8" t="str">
        <f>"OR56 Annual Conference - Keynote Papers"</f>
        <v>OR56 Annual Conference - Keynote Papers</v>
      </c>
      <c r="B11316" s="8" t="str">
        <f>"-"</f>
        <v>-</v>
      </c>
      <c r="C11316" s="8" t="s">
        <v>1377</v>
      </c>
    </row>
    <row r="11317" spans="1:3" x14ac:dyDescent="0.25">
      <c r="A11317" s="8" t="str">
        <f>"Orient Academic Forum Special - Proceedings of 2007 International Conference on Agriculture Engineering"</f>
        <v>Orient Academic Forum Special - Proceedings of 2007 International Conference on Agriculture Engineering</v>
      </c>
      <c r="B11317" s="8" t="str">
        <f>"9780646481340"</f>
        <v>9780646481340</v>
      </c>
      <c r="C11317" s="8" t="s">
        <v>2014</v>
      </c>
    </row>
    <row r="11318" spans="1:3" x14ac:dyDescent="0.25">
      <c r="A11318" s="8" t="str">
        <f>"Orient Academic Forum Special - Proceedings of 2007 International Conference on Agriculture Engineering"</f>
        <v>Orient Academic Forum Special - Proceedings of 2007 International Conference on Agriculture Engineering</v>
      </c>
      <c r="B11318" s="8" t="str">
        <f>"9780646481340"</f>
        <v>9780646481340</v>
      </c>
    </row>
    <row r="11319" spans="1:3" x14ac:dyDescent="0.25">
      <c r="A11319" s="8" t="str">
        <f>"Oriental COCOSDA 2014 - 17th Conference of the Oriental Chapter of the International Coordinating Committee on Speech Databases and Speech I/O Systems and Assessment / CASLRE (Conference on Asian Spoken Language Research and Evaluation)"</f>
        <v>Oriental COCOSDA 2014 - 17th Conference of the Oriental Chapter of the International Coordinating Committee on Speech Databases and Speech I/O Systems and Assessment / CASLRE (Conference on Asian Spoken Language Research and Evaluation)</v>
      </c>
      <c r="B11319" s="8" t="str">
        <f>"9781479970940"</f>
        <v>9781479970940</v>
      </c>
      <c r="C11319" s="8" t="s">
        <v>105</v>
      </c>
    </row>
    <row r="11320" spans="1:3" x14ac:dyDescent="0.25">
      <c r="A11320" s="8" t="str">
        <f>"ORMaCloud 2013 - Proceedings of the 2013 ACM Workshop on Optimization Techniques for Resources Management in Clouds"</f>
        <v>ORMaCloud 2013 - Proceedings of the 2013 ACM Workshop on Optimization Techniques for Resources Management in Clouds</v>
      </c>
      <c r="B11320" s="8" t="str">
        <f>"9781450319829"</f>
        <v>9781450319829</v>
      </c>
      <c r="C11320" s="8" t="s">
        <v>21</v>
      </c>
    </row>
    <row r="11321" spans="1:3" x14ac:dyDescent="0.25">
      <c r="A11321" s="8" t="str">
        <f>"OSS 2005 - Proceedings of the 1st International Conference on Open Source Systems"</f>
        <v>OSS 2005 - Proceedings of the 1st International Conference on Open Source Systems</v>
      </c>
      <c r="B11321" s="8" t="str">
        <f>"-"</f>
        <v>-</v>
      </c>
      <c r="C11321" s="8" t="s">
        <v>2015</v>
      </c>
    </row>
    <row r="11322" spans="1:3" x14ac:dyDescent="0.25">
      <c r="A11322" s="8" t="str">
        <f>"OSSC-2009 - Proceedings of 2009 IEEE International Workshop on Open-source Software for Scientific Computation"</f>
        <v>OSSC-2009 - Proceedings of 2009 IEEE International Workshop on Open-source Software for Scientific Computation</v>
      </c>
      <c r="B11322" s="8" t="str">
        <f>"9781424448524"</f>
        <v>9781424448524</v>
      </c>
      <c r="C11322" s="8" t="s">
        <v>9</v>
      </c>
    </row>
    <row r="11323" spans="1:3" x14ac:dyDescent="0.25">
      <c r="A11323" s="8" t="str">
        <f>"P2PIR 2006: International Workshop on Information Retrieval in Peer-to-Peer Networks"</f>
        <v>P2PIR 2006: International Workshop on Information Retrieval in Peer-to-Peer Networks</v>
      </c>
      <c r="B11323" s="8" t="str">
        <f>"9781595935274"</f>
        <v>9781595935274</v>
      </c>
      <c r="C11323" s="8" t="s">
        <v>21</v>
      </c>
    </row>
    <row r="11324" spans="1:3" x14ac:dyDescent="0.25">
      <c r="A11324" s="8" t="str">
        <f>"P2PIR'05 - Proceedings of the 2005 ACM Workshop on Information Retrieval in Peer-to-Peer Networks"</f>
        <v>P2PIR'05 - Proceedings of the 2005 ACM Workshop on Information Retrieval in Peer-to-Peer Networks</v>
      </c>
      <c r="B11324" s="8" t="str">
        <f>"-"</f>
        <v>-</v>
      </c>
      <c r="C11324" s="8" t="s">
        <v>21</v>
      </c>
    </row>
    <row r="11325" spans="1:3" x14ac:dyDescent="0.25">
      <c r="A11325" s="8" t="str">
        <f>"PABS 2015 - Proceedings of the 1st ACM/SPEC International Workshop on Performance Analysis of Big Data Systems"</f>
        <v>PABS 2015 - Proceedings of the 1st ACM/SPEC International Workshop on Performance Analysis of Big Data Systems</v>
      </c>
      <c r="B11325" s="8" t="str">
        <f>"9781450333382"</f>
        <v>9781450333382</v>
      </c>
      <c r="C11325" s="8" t="s">
        <v>1235</v>
      </c>
    </row>
    <row r="11326" spans="1:3" x14ac:dyDescent="0.25">
      <c r="A11326" s="8" t="str">
        <f>"PACIFIC 2011 - International Conference on: Pantograph-Catenary Interaction Framework for Intelligent Control, Conference Proceedings"</f>
        <v>PACIFIC 2011 - International Conference on: Pantograph-Catenary Interaction Framework for Intelligent Control, Conference Proceedings</v>
      </c>
      <c r="B11326" s="8" t="str">
        <f>"-"</f>
        <v>-</v>
      </c>
      <c r="C11326" s="8" t="s">
        <v>2016</v>
      </c>
    </row>
    <row r="11327" spans="1:3" x14ac:dyDescent="0.25">
      <c r="A11327" s="8" t="str">
        <f>"Pacific Symposium on Biocomputing 2007, PSB 2007"</f>
        <v>Pacific Symposium on Biocomputing 2007, PSB 2007</v>
      </c>
      <c r="B11327" s="8" t="str">
        <f>"9789812704177"</f>
        <v>9789812704177</v>
      </c>
      <c r="C11327" s="8" t="s">
        <v>157</v>
      </c>
    </row>
    <row r="11328" spans="1:3" x14ac:dyDescent="0.25">
      <c r="A11328" s="8" t="str">
        <f>"Pacific Symposium on Biocomputing 2008, PSB 2008"</f>
        <v>Pacific Symposium on Biocomputing 2008, PSB 2008</v>
      </c>
      <c r="B11328" s="8" t="str">
        <f>"9789812776082"</f>
        <v>9789812776082</v>
      </c>
      <c r="C11328" s="8" t="s">
        <v>157</v>
      </c>
    </row>
    <row r="11329" spans="1:3" x14ac:dyDescent="0.25">
      <c r="A11329" s="8" t="str">
        <f>"Pacific Symposium on Biocomputing 2009, PSB 2009"</f>
        <v>Pacific Symposium on Biocomputing 2009, PSB 2009</v>
      </c>
      <c r="B11329" s="8" t="str">
        <f>"9789812836922"</f>
        <v>9789812836922</v>
      </c>
      <c r="C11329" s="8" t="s">
        <v>157</v>
      </c>
    </row>
    <row r="11330" spans="1:3" x14ac:dyDescent="0.25">
      <c r="A11330" s="8" t="str">
        <f>"Pacific Symposium on Biocomputing 2010, PSB 2010"</f>
        <v>Pacific Symposium on Biocomputing 2010, PSB 2010</v>
      </c>
      <c r="B11330" s="8" t="str">
        <f>"9789814295291"</f>
        <v>9789814295291</v>
      </c>
      <c r="C11330" s="8" t="s">
        <v>157</v>
      </c>
    </row>
    <row r="11331" spans="1:3" x14ac:dyDescent="0.25">
      <c r="A11331" s="8" t="str">
        <f>"Pacific Symposium on Biocomputing 2011, PSB 2011"</f>
        <v>Pacific Symposium on Biocomputing 2011, PSB 2011</v>
      </c>
      <c r="B11331" s="8" t="str">
        <f>"9789814335058"</f>
        <v>9789814335058</v>
      </c>
      <c r="C11331" s="8" t="s">
        <v>157</v>
      </c>
    </row>
    <row r="11332" spans="1:3" x14ac:dyDescent="0.25">
      <c r="A11332" s="8" t="str">
        <f>"PACIIA 2009 - 2009 2nd Asia-Pacific Conference on Computational Intelligence and Industrial Applications"</f>
        <v>PACIIA 2009 - 2009 2nd Asia-Pacific Conference on Computational Intelligence and Industrial Applications</v>
      </c>
      <c r="B11332" s="8" t="str">
        <f>"9781424446070"</f>
        <v>9781424446070</v>
      </c>
      <c r="C11332" s="8" t="s">
        <v>9</v>
      </c>
    </row>
    <row r="11333" spans="1:3" x14ac:dyDescent="0.25">
      <c r="A11333" s="8" t="str">
        <f>"PACIS 2006 - 10th Pacific Asia Conference on Information Systems: ICT and Innovation Economy"</f>
        <v>PACIS 2006 - 10th Pacific Asia Conference on Information Systems: ICT and Innovation Economy</v>
      </c>
      <c r="B11333" s="8" t="str">
        <f t="shared" ref="B11333:B11338" si="25">"-"</f>
        <v>-</v>
      </c>
      <c r="C11333" s="8" t="s">
        <v>1612</v>
      </c>
    </row>
    <row r="11334" spans="1:3" x14ac:dyDescent="0.25">
      <c r="A11334" s="8" t="str">
        <f>"PACIS 2007 - 11th Pacific Asia Conference on Information Systems: Managing Diversity in Digital Enterprises"</f>
        <v>PACIS 2007 - 11th Pacific Asia Conference on Information Systems: Managing Diversity in Digital Enterprises</v>
      </c>
      <c r="B11334" s="8" t="str">
        <f t="shared" si="25"/>
        <v>-</v>
      </c>
      <c r="C11334" s="8" t="s">
        <v>1612</v>
      </c>
    </row>
    <row r="11335" spans="1:3" x14ac:dyDescent="0.25">
      <c r="A11335" s="8" t="str">
        <f>"PACIS 2008 - 12th Pacific Asia Conference on Information Systems: Leveraging ICT for Resilient Organizations and Sustainable Growth in the Asia Pacific Region"</f>
        <v>PACIS 2008 - 12th Pacific Asia Conference on Information Systems: Leveraging ICT for Resilient Organizations and Sustainable Growth in the Asia Pacific Region</v>
      </c>
      <c r="B11335" s="8" t="str">
        <f t="shared" si="25"/>
        <v>-</v>
      </c>
      <c r="C11335" s="8" t="s">
        <v>1612</v>
      </c>
    </row>
    <row r="11336" spans="1:3" x14ac:dyDescent="0.25">
      <c r="A11336" s="8" t="str">
        <f>"PACIS 2009 - 13th Pacific Asia Conference on Information Systems: IT Services in a Global Environment"</f>
        <v>PACIS 2009 - 13th Pacific Asia Conference on Information Systems: IT Services in a Global Environment</v>
      </c>
      <c r="B11336" s="8" t="str">
        <f t="shared" si="25"/>
        <v>-</v>
      </c>
      <c r="C11336" s="8" t="s">
        <v>1612</v>
      </c>
    </row>
    <row r="11337" spans="1:3" x14ac:dyDescent="0.25">
      <c r="A11337" s="8" t="str">
        <f>"PACIS 2010 - 14th Pacific Asia Conference on Information Systems"</f>
        <v>PACIS 2010 - 14th Pacific Asia Conference on Information Systems</v>
      </c>
      <c r="B11337" s="8" t="str">
        <f t="shared" si="25"/>
        <v>-</v>
      </c>
      <c r="C11337" s="8" t="s">
        <v>1612</v>
      </c>
    </row>
    <row r="11338" spans="1:3" x14ac:dyDescent="0.25">
      <c r="A11338" s="8" t="str">
        <f>"PACIS 2011 - 15th Pacific Asia Conference on Information Systems: Quality Research in Pacific"</f>
        <v>PACIS 2011 - 15th Pacific Asia Conference on Information Systems: Quality Research in Pacific</v>
      </c>
      <c r="B11338" s="8" t="str">
        <f t="shared" si="25"/>
        <v>-</v>
      </c>
      <c r="C11338" s="8" t="s">
        <v>1612</v>
      </c>
    </row>
    <row r="11339" spans="1:3" x14ac:dyDescent="0.25">
      <c r="A11339" s="8" t="str">
        <f>"PACKET VIDEO 2007 - 16th International Packet Video Workshop"</f>
        <v>PACKET VIDEO 2007 - 16th International Packet Video Workshop</v>
      </c>
      <c r="B11339" s="8" t="str">
        <f>"9781424409815"</f>
        <v>9781424409815</v>
      </c>
      <c r="C11339" s="8" t="s">
        <v>9</v>
      </c>
    </row>
    <row r="11340" spans="1:3" x14ac:dyDescent="0.25">
      <c r="A11340" s="8" t="str">
        <f>"PACLIC 19 - Proceedings of the 19th Pacific Asia Conference on Language, Information and Computation"</f>
        <v>PACLIC 19 - Proceedings of the 19th Pacific Asia Conference on Language, Information and Computation</v>
      </c>
      <c r="B11340" s="8" t="str">
        <f>"-"</f>
        <v>-</v>
      </c>
      <c r="C11340" s="8" t="s">
        <v>2017</v>
      </c>
    </row>
    <row r="11341" spans="1:3" x14ac:dyDescent="0.25">
      <c r="A11341" s="8" t="str">
        <f>"PACLIC 20 - Proceedings of the 20th Pacific Asia Conference on Language, Information and Computation"</f>
        <v>PACLIC 20 - Proceedings of the 20th Pacific Asia Conference on Language, Information and Computation</v>
      </c>
      <c r="B11341" s="8" t="str">
        <f>"-"</f>
        <v>-</v>
      </c>
      <c r="C11341" s="8" t="s">
        <v>2017</v>
      </c>
    </row>
    <row r="11342" spans="1:3" x14ac:dyDescent="0.25">
      <c r="A11342" s="8" t="str">
        <f>"PACLIC 21 - The 21st Pacific Asia Conference on Language, Information and Computation, Proceedings"</f>
        <v>PACLIC 21 - The 21st Pacific Asia Conference on Language, Information and Computation, Proceedings</v>
      </c>
      <c r="B11342" s="8" t="str">
        <f>"-"</f>
        <v>-</v>
      </c>
      <c r="C11342" s="8" t="s">
        <v>2017</v>
      </c>
    </row>
    <row r="11343" spans="1:3" x14ac:dyDescent="0.25">
      <c r="A11343" s="8" t="str">
        <f>"PACLIC 23 - Proceedings of the 23rd Pacific Asia Conference on Language, Information and Computation"</f>
        <v>PACLIC 23 - Proceedings of the 23rd Pacific Asia Conference on Language, Information and Computation</v>
      </c>
      <c r="B11343" s="8" t="str">
        <f>"9789624423198"</f>
        <v>9789624423198</v>
      </c>
      <c r="C11343" s="8" t="s">
        <v>2018</v>
      </c>
    </row>
    <row r="11344" spans="1:3" x14ac:dyDescent="0.25">
      <c r="A11344" s="8" t="str">
        <f>"PACLIC 24 - Proceedings of the 24th Pacific Asia Conference on Language, Information and Computation"</f>
        <v>PACLIC 24 - Proceedings of the 24th Pacific Asia Conference on Language, Information and Computation</v>
      </c>
      <c r="B11344" s="8" t="str">
        <f>"9784905166009"</f>
        <v>9784905166009</v>
      </c>
      <c r="C11344" s="8" t="s">
        <v>2019</v>
      </c>
    </row>
    <row r="11345" spans="1:3" x14ac:dyDescent="0.25">
      <c r="A11345" s="8" t="str">
        <f>"PACLIC 25 - Proceedings of the 25th Pacific Asia Conference on Language, Information and Computation"</f>
        <v>PACLIC 25 - Proceedings of the 25th Pacific Asia Conference on Language, Information and Computation</v>
      </c>
      <c r="B11345" s="8" t="str">
        <f>"9784905166023"</f>
        <v>9784905166023</v>
      </c>
      <c r="C11345" s="8" t="s">
        <v>2019</v>
      </c>
    </row>
    <row r="11346" spans="1:3" x14ac:dyDescent="0.25">
      <c r="A11346" s="8" t="str">
        <f>"PADTAD 2010 - International Workshop on Parallel and Distributed Systems: Testing, Analysis, and Debugging"</f>
        <v>PADTAD 2010 - International Workshop on Parallel and Distributed Systems: Testing, Analysis, and Debugging</v>
      </c>
      <c r="B11346" s="8" t="str">
        <f>"9781450301367"</f>
        <v>9781450301367</v>
      </c>
      <c r="C11346" s="8" t="s">
        <v>21</v>
      </c>
    </row>
    <row r="11347" spans="1:3" x14ac:dyDescent="0.25">
      <c r="A11347" s="8" t="str">
        <f>"Pan American Health Care Exchanges, PAHCE 2010"</f>
        <v>Pan American Health Care Exchanges, PAHCE 2010</v>
      </c>
      <c r="B11347" s="8" t="str">
        <f>"9781424462926"</f>
        <v>9781424462926</v>
      </c>
      <c r="C11347" s="8" t="s">
        <v>9</v>
      </c>
    </row>
    <row r="11348" spans="1:3" x14ac:dyDescent="0.25">
      <c r="A11348" s="8" t="str">
        <f>"Pan American Health Care Exchanges, PAHCE 2011 - Conference, Workshops, and Exhibits. Cooperation / Linkages: An Independent Forum for Patient Care and Technology Support"</f>
        <v>Pan American Health Care Exchanges, PAHCE 2011 - Conference, Workshops, and Exhibits. Cooperation / Linkages: An Independent Forum for Patient Care and Technology Support</v>
      </c>
      <c r="B11348" s="8" t="str">
        <f>"9781612849164"</f>
        <v>9781612849164</v>
      </c>
      <c r="C11348" s="8" t="s">
        <v>9</v>
      </c>
    </row>
    <row r="11349" spans="1:3" x14ac:dyDescent="0.25">
      <c r="A11349" s="8" t="str">
        <f>"PANACM 2015 - 1st Pan-American Congress on Computational Mechanics, in conjunction with the 11th Argentine Congress on Computational Mechanics, MECOM 2015"</f>
        <v>PANACM 2015 - 1st Pan-American Congress on Computational Mechanics, in conjunction with the 11th Argentine Congress on Computational Mechanics, MECOM 2015</v>
      </c>
      <c r="B11349" s="8" t="str">
        <f>"9788494392825"</f>
        <v>9788494392825</v>
      </c>
      <c r="C11349" s="8" t="s">
        <v>1238</v>
      </c>
    </row>
    <row r="11350" spans="1:3" x14ac:dyDescent="0.25">
      <c r="A11350" s="8" t="str">
        <f>"Paper Conference and Trade Show 2010, PaperCon 2010"</f>
        <v>Paper Conference and Trade Show 2010, PaperCon 2010</v>
      </c>
      <c r="B11350" s="8" t="str">
        <f>"9781617387890"</f>
        <v>9781617387890</v>
      </c>
      <c r="C11350" s="8" t="s">
        <v>2020</v>
      </c>
    </row>
    <row r="11351" spans="1:3" x14ac:dyDescent="0.25">
      <c r="A11351" s="8" t="str">
        <f>"Paper Conference and Trade Show 2011, PaperCon 2011"</f>
        <v>Paper Conference and Trade Show 2011, PaperCon 2011</v>
      </c>
      <c r="B11351" s="8" t="str">
        <f>"9781618394439"</f>
        <v>9781618394439</v>
      </c>
      <c r="C11351" s="8" t="s">
        <v>1099</v>
      </c>
    </row>
    <row r="11352" spans="1:3" x14ac:dyDescent="0.25">
      <c r="A11352" s="8" t="str">
        <f>"Paper Conference and Trade Show 2012, PaperCon 2012: Growing the Future - Co-located with Control Systems 2012"</f>
        <v>Paper Conference and Trade Show 2012, PaperCon 2012: Growing the Future - Co-located with Control Systems 2012</v>
      </c>
      <c r="B11352" s="8" t="str">
        <f>"9781622768431"</f>
        <v>9781622768431</v>
      </c>
      <c r="C11352" s="8" t="s">
        <v>1099</v>
      </c>
    </row>
    <row r="11353" spans="1:3" x14ac:dyDescent="0.25">
      <c r="A11353" s="8" t="str">
        <f>"Paper Conference and Trade Show, PaperCon 2013"</f>
        <v>Paper Conference and Trade Show, PaperCon 2013</v>
      </c>
      <c r="B11353" s="8" t="str">
        <f>"9781627489669"</f>
        <v>9781627489669</v>
      </c>
      <c r="C11353" s="8" t="s">
        <v>1099</v>
      </c>
    </row>
    <row r="11354" spans="1:3" x14ac:dyDescent="0.25">
      <c r="A11354" s="8" t="str">
        <f>"Paper Conference and Trade Show, PaperCon 2014"</f>
        <v>Paper Conference and Trade Show, PaperCon 2014</v>
      </c>
      <c r="B11354" s="8" t="str">
        <f>"-"</f>
        <v>-</v>
      </c>
      <c r="C11354" s="8" t="s">
        <v>1099</v>
      </c>
    </row>
    <row r="11355" spans="1:3" x14ac:dyDescent="0.25">
      <c r="A11355" s="8" t="str">
        <f>"Papers Presented at the 1st International Conference on Industrial Processes for Nano and Micro Products"</f>
        <v>Papers Presented at the 1st International Conference on Industrial Processes for Nano and Micro Products</v>
      </c>
      <c r="B11355" s="8" t="str">
        <f>"9781855980822"</f>
        <v>9781855980822</v>
      </c>
      <c r="C11355" s="8" t="s">
        <v>1246</v>
      </c>
    </row>
    <row r="11356" spans="1:3" x14ac:dyDescent="0.25">
      <c r="A11356" s="8" t="str">
        <f>"PARELEC 2006 - Proceedings: International Symposium on Parallel Computing in Electrical Engineering"</f>
        <v>PARELEC 2006 - Proceedings: International Symposium on Parallel Computing in Electrical Engineering</v>
      </c>
      <c r="B11356" s="8" t="str">
        <f>"9780769525549"</f>
        <v>9780769525549</v>
      </c>
      <c r="C11356" s="8" t="s">
        <v>9</v>
      </c>
    </row>
    <row r="11357" spans="1:3" x14ac:dyDescent="0.25">
      <c r="A11357" s="8" t="str">
        <f>"Partial Saturation in Compacted Soils: Geotechnique Symposium in Print 2011"</f>
        <v>Partial Saturation in Compacted Soils: Geotechnique Symposium in Print 2011</v>
      </c>
      <c r="B11357" s="8" t="str">
        <f>"9780727757753"</f>
        <v>9780727757753</v>
      </c>
      <c r="C11357" s="8" t="s">
        <v>1986</v>
      </c>
    </row>
    <row r="11358" spans="1:3" x14ac:dyDescent="0.25">
      <c r="A11358" s="8" t="str">
        <f>"Particle Technology Forum 2013 - Core Programming Area at the 2013 AIChE Annual Meeting: Global Challenges for Engineering a Sustainable Future"</f>
        <v>Particle Technology Forum 2013 - Core Programming Area at the 2013 AIChE Annual Meeting: Global Challenges for Engineering a Sustainable Future</v>
      </c>
      <c r="B11358" s="8" t="str">
        <f>"9781634390507"</f>
        <v>9781634390507</v>
      </c>
      <c r="C11358" s="8" t="s">
        <v>1219</v>
      </c>
    </row>
    <row r="11359" spans="1:3" x14ac:dyDescent="0.25">
      <c r="A11359" s="8" t="str">
        <f>"Particle Technology Forum 2014 - Core Programming Area at the 2014 AIChE Spring Meeting and 10th Global Congress on Process Safety"</f>
        <v>Particle Technology Forum 2014 - Core Programming Area at the 2014 AIChE Spring Meeting and 10th Global Congress on Process Safety</v>
      </c>
      <c r="B11359" s="8" t="str">
        <f>"9781634390767"</f>
        <v>9781634390767</v>
      </c>
      <c r="C11359" s="8" t="s">
        <v>1219</v>
      </c>
    </row>
    <row r="11360" spans="1:3" x14ac:dyDescent="0.25">
      <c r="A11360" s="8" t="str">
        <f>"Particle-Based Methods II - Fundamentals and Applications"</f>
        <v>Particle-Based Methods II - Fundamentals and Applications</v>
      </c>
      <c r="B11360" s="8" t="str">
        <f>"9788489925670"</f>
        <v>9788489925670</v>
      </c>
      <c r="C11360" s="8" t="s">
        <v>1238</v>
      </c>
    </row>
    <row r="11361" spans="1:3" x14ac:dyDescent="0.25">
      <c r="A11361" s="8" t="str">
        <f>"Particle-Based Methods III: Fundamentals and Applications - Proceedings of the 3rd International Conference on Particle-based MethodsFundamentals and Applications, Particles 2013"</f>
        <v>Particle-Based Methods III: Fundamentals and Applications - Proceedings of the 3rd International Conference on Particle-based MethodsFundamentals and Applications, Particles 2013</v>
      </c>
      <c r="B11361" s="8" t="str">
        <f>"9788494153181"</f>
        <v>9788494153181</v>
      </c>
      <c r="C11361" s="8" t="s">
        <v>1238</v>
      </c>
    </row>
    <row r="11362" spans="1:3" x14ac:dyDescent="0.25">
      <c r="A11362" s="8" t="str">
        <f>"PASCO'07: Proceedings of the 2007 International Workshop on Parallel Symbolic Computation"</f>
        <v>PASCO'07: Proceedings of the 2007 International Workshop on Parallel Symbolic Computation</v>
      </c>
      <c r="B11362" s="8" t="str">
        <f>"9781595937414"</f>
        <v>9781595937414</v>
      </c>
      <c r="C11362" s="8" t="s">
        <v>21</v>
      </c>
    </row>
    <row r="11363" spans="1:3" x14ac:dyDescent="0.25">
      <c r="A11363" s="8" t="str">
        <f>"PASCO'2010 - Proceedings of the 2010 International Workshop on Parallel Symbolic Computation"</f>
        <v>PASCO'2010 - Proceedings of the 2010 International Workshop on Parallel Symbolic Computation</v>
      </c>
      <c r="B11363" s="8" t="str">
        <f>"9781450300674"</f>
        <v>9781450300674</v>
      </c>
      <c r="C11363" s="8" t="s">
        <v>21</v>
      </c>
    </row>
    <row r="11364" spans="1:3" x14ac:dyDescent="0.25">
      <c r="A11364" s="8" t="str">
        <f>"Passive Seismic Workshop: Case Studies and Applications for Field Development and Exploration"</f>
        <v>Passive Seismic Workshop: Case Studies and Applications for Field Development and Exploration</v>
      </c>
      <c r="B11364" s="8" t="str">
        <f>"-"</f>
        <v>-</v>
      </c>
      <c r="C11364" s="8" t="s">
        <v>1251</v>
      </c>
    </row>
    <row r="11365" spans="1:3" x14ac:dyDescent="0.25">
      <c r="A11365" s="8" t="str">
        <f>"PATAT 2010 - Proceedings of the 8th International Conference on the Practice and Theory of Automated Timetabling"</f>
        <v>PATAT 2010 - Proceedings of the 8th International Conference on the Practice and Theory of Automated Timetabling</v>
      </c>
      <c r="B11365" s="8" t="str">
        <f>"-"</f>
        <v>-</v>
      </c>
      <c r="C11365" s="8" t="s">
        <v>2021</v>
      </c>
    </row>
    <row r="11366" spans="1:3" x14ac:dyDescent="0.25">
      <c r="A11366" s="8" t="str">
        <f>"PATCH 2012 - Proceedings of the 2012 ACM Workshop on Personalized Access to Cultural Heritage, Co-located with ACM Multimedia 2012"</f>
        <v>PATCH 2012 - Proceedings of the 2012 ACM Workshop on Personalized Access to Cultural Heritage, Co-located with ACM Multimedia 2012</v>
      </c>
      <c r="B11366" s="8" t="str">
        <f>"9781450315944"</f>
        <v>9781450315944</v>
      </c>
      <c r="C11366" s="8" t="s">
        <v>21</v>
      </c>
    </row>
    <row r="11367" spans="1:3" x14ac:dyDescent="0.25">
      <c r="A11367" s="8" t="str">
        <f>"Patrimoine 3.0 - Actes du douziemz Colloque International sur le Document Electronique, CIDE.12"</f>
        <v>Patrimoine 3.0 - Actes du douziemz Colloque International sur le Document Electronique, CIDE.12</v>
      </c>
      <c r="B11367" s="8" t="str">
        <f>"-"</f>
        <v>-</v>
      </c>
      <c r="C11367" s="8" t="s">
        <v>1790</v>
      </c>
    </row>
    <row r="11368" spans="1:3" x14ac:dyDescent="0.25">
      <c r="A11368" s="8" t="str">
        <f>"Pattern Recognition in Information Systems - Proceedings of the 8th International Workshop on Pattern Recognition in Information Systems, PRIS 2008; In Conjunction with ICEIS 2008"</f>
        <v>Pattern Recognition in Information Systems - Proceedings of the 8th International Workshop on Pattern Recognition in Information Systems, PRIS 2008; In Conjunction with ICEIS 2008</v>
      </c>
      <c r="B11368" s="8" t="str">
        <f>"9789898111425"</f>
        <v>9789898111425</v>
      </c>
      <c r="C11368" s="8" t="s">
        <v>1553</v>
      </c>
    </row>
    <row r="11369" spans="1:3" x14ac:dyDescent="0.25">
      <c r="A11369" s="8" t="str">
        <f>"Pattern Recognition in Information Systems - Proceedings of the 9th International Workshop on Pattern Recognition in Information Systems - PRIS 2009 In Conjunction with ICEIS 2009"</f>
        <v>Pattern Recognition in Information Systems - Proceedings of the 9th International Workshop on Pattern Recognition in Information Systems - PRIS 2009 In Conjunction with ICEIS 2009</v>
      </c>
      <c r="B11369" s="8" t="str">
        <f>"9789898111890"</f>
        <v>9789898111890</v>
      </c>
      <c r="C11369" s="8" t="s">
        <v>1680</v>
      </c>
    </row>
    <row r="11370" spans="1:3" x14ac:dyDescent="0.25">
      <c r="A11370" s="8" t="str">
        <f>"Pavement Cracking: Mechanisms, Modeling, Detection, Testing and Case Histories"</f>
        <v>Pavement Cracking: Mechanisms, Modeling, Detection, Testing and Case Histories</v>
      </c>
      <c r="B11370" s="8" t="str">
        <f>"9780415475754"</f>
        <v>9780415475754</v>
      </c>
      <c r="C11370" s="8" t="s">
        <v>1637</v>
      </c>
    </row>
    <row r="11371" spans="1:3" x14ac:dyDescent="0.25">
      <c r="A11371" s="8" t="str">
        <f>"Pavements and Materials: Testing and Modeling in Multiple Length Scales"</f>
        <v>Pavements and Materials: Testing and Modeling in Multiple Length Scales</v>
      </c>
      <c r="B11371" s="8" t="str">
        <f>"9780784411292"</f>
        <v>9780784411292</v>
      </c>
      <c r="C11371" s="8" t="s">
        <v>111</v>
      </c>
    </row>
    <row r="11372" spans="1:3" x14ac:dyDescent="0.25">
      <c r="A11372" s="8" t="str">
        <f>"PAWR 2013 - Proceedings: 2013 IEEE Topical Conference on Power Amplifiers for Wireless and Radio Applications - 2013 IEEE Radio and Wireless Week, RWW 2013"</f>
        <v>PAWR 2013 - Proceedings: 2013 IEEE Topical Conference on Power Amplifiers for Wireless and Radio Applications - 2013 IEEE Radio and Wireless Week, RWW 2013</v>
      </c>
      <c r="B11372" s="8" t="str">
        <f>"9781467329309"</f>
        <v>9781467329309</v>
      </c>
      <c r="C11372" s="8" t="s">
        <v>9</v>
      </c>
    </row>
    <row r="11373" spans="1:3" x14ac:dyDescent="0.25">
      <c r="A11373" s="8" t="str">
        <f>"PAWR 2015 - Proceedings; 2015 IEEE Topical Conference on Power Amplifiers for Wireless and Radio Applications"</f>
        <v>PAWR 2015 - Proceedings; 2015 IEEE Topical Conference on Power Amplifiers for Wireless and Radio Applications</v>
      </c>
      <c r="B11373" s="8" t="str">
        <f>"9781479955060"</f>
        <v>9781479955060</v>
      </c>
      <c r="C11373" s="8" t="s">
        <v>105</v>
      </c>
    </row>
    <row r="11374" spans="1:3" x14ac:dyDescent="0.25">
      <c r="A11374" s="8" t="str">
        <f>"Pb Zn 2010 - Lead-Zinc 2010 Symposium, Held in Conjunction with COM 2010"</f>
        <v>Pb Zn 2010 - Lead-Zinc 2010 Symposium, Held in Conjunction with COM 2010</v>
      </c>
      <c r="B11374" s="8" t="str">
        <f>"9780470943151"</f>
        <v>9780470943151</v>
      </c>
      <c r="C11374" s="8" t="s">
        <v>87</v>
      </c>
    </row>
    <row r="11375" spans="1:3" x14ac:dyDescent="0.25">
      <c r="A11375" s="8" t="str">
        <f>"PCaPAC 2005 - 5th International Workshop on Personal Computers and Particle Accelerator Controls, Proceedings"</f>
        <v>PCaPAC 2005 - 5th International Workshop on Personal Computers and Particle Accelerator Controls, Proceedings</v>
      </c>
      <c r="B11375" s="8" t="str">
        <f>"-"</f>
        <v>-</v>
      </c>
      <c r="C11375" s="8" t="s">
        <v>2022</v>
      </c>
    </row>
    <row r="11376" spans="1:3" x14ac:dyDescent="0.25">
      <c r="A11376" s="8" t="str">
        <f>"PCI 2009 - 13th Panhellenic Conference on Informatics"</f>
        <v>PCI 2009 - 13th Panhellenic Conference on Informatics</v>
      </c>
      <c r="B11376" s="8" t="str">
        <f>"9780769537887"</f>
        <v>9780769537887</v>
      </c>
      <c r="C11376" s="8" t="s">
        <v>9</v>
      </c>
    </row>
    <row r="11377" spans="1:3" x14ac:dyDescent="0.25">
      <c r="A11377" s="8" t="str">
        <f>"PCIC EUROPE 2009 - 6th Petroleum and Chemical Industry Conference Europe - Electrical and Instrumentation Applications"</f>
        <v>PCIC EUROPE 2009 - 6th Petroleum and Chemical Industry Conference Europe - Electrical and Instrumentation Applications</v>
      </c>
      <c r="B11377" s="8" t="str">
        <f>"9783952333341"</f>
        <v>9783952333341</v>
      </c>
      <c r="C11377" s="8" t="s">
        <v>9</v>
      </c>
    </row>
    <row r="11378" spans="1:3" x14ac:dyDescent="0.25">
      <c r="A11378" s="8" t="str">
        <f>"PCIC Europe 2010 Conference Record, PCIC EUROPE 2010"</f>
        <v>PCIC Europe 2010 Conference Record, PCIC EUROPE 2010</v>
      </c>
      <c r="B11378" s="8" t="str">
        <f>"9781424469680"</f>
        <v>9781424469680</v>
      </c>
      <c r="C11378" s="8" t="s">
        <v>9</v>
      </c>
    </row>
    <row r="11379" spans="1:3" x14ac:dyDescent="0.25">
      <c r="A11379" s="8" t="str">
        <f>"PCS 2007 - 26th Picture Coding Symposium"</f>
        <v>PCS 2007 - 26th Picture Coding Symposium</v>
      </c>
      <c r="B11379" s="8" t="str">
        <f>"9789898109057"</f>
        <v>9789898109057</v>
      </c>
      <c r="C11379" s="8" t="s">
        <v>2023</v>
      </c>
    </row>
    <row r="11380" spans="1:3" x14ac:dyDescent="0.25">
      <c r="A11380" s="8" t="str">
        <f>"PDAC'11 - Proceedings of the 2011 International Workshop on Petascal Data Analytics: Challenges and Opportunities, Co-located with SC'11"</f>
        <v>PDAC'11 - Proceedings of the 2011 International Workshop on Petascal Data Analytics: Challenges and Opportunities, Co-located with SC'11</v>
      </c>
      <c r="B11380" s="8" t="str">
        <f>"9781450311304"</f>
        <v>9781450311304</v>
      </c>
      <c r="C11380" s="8" t="s">
        <v>21</v>
      </c>
    </row>
    <row r="11381" spans="1:3" x14ac:dyDescent="0.25">
      <c r="A11381" s="8" t="str">
        <f>"PDC 2004 - Proceedings of the Eight Participatory Design Conference 2004 - Artful Integration: Interweaving Media, Materials and Practices"</f>
        <v>PDC 2004 - Proceedings of the Eight Participatory Design Conference 2004 - Artful Integration: Interweaving Media, Materials and Practices</v>
      </c>
      <c r="B11381" s="8" t="str">
        <f>"9781581138511"</f>
        <v>9781581138511</v>
      </c>
      <c r="C11381" s="8" t="s">
        <v>21</v>
      </c>
    </row>
    <row r="11382" spans="1:3" x14ac:dyDescent="0.25">
      <c r="A11382" s="8" t="str">
        <f>"PDM 2013 - Proceedings of the 1st ACM International Workshop on Personal Data Meets Distributed Multimedia, Co-located with ACM Multimedia 2013"</f>
        <v>PDM 2013 - Proceedings of the 1st ACM International Workshop on Personal Data Meets Distributed Multimedia, Co-located with ACM Multimedia 2013</v>
      </c>
      <c r="B11382" s="8" t="str">
        <f>"9781450323970"</f>
        <v>9781450323970</v>
      </c>
      <c r="C11382" s="8" t="s">
        <v>21</v>
      </c>
    </row>
    <row r="11383" spans="1:3" x14ac:dyDescent="0.25">
      <c r="A11383" s="8" t="str">
        <f>"PDSW'11 - Proceedings of the 6th Parallel Data Storage Workshop, Co-located with SC'11"</f>
        <v>PDSW'11 - Proceedings of the 6th Parallel Data Storage Workshop, Co-located with SC'11</v>
      </c>
      <c r="B11383" s="8" t="str">
        <f>"9781450311038"</f>
        <v>9781450311038</v>
      </c>
      <c r="C11383" s="8" t="s">
        <v>21</v>
      </c>
    </row>
    <row r="11384" spans="1:3" x14ac:dyDescent="0.25">
      <c r="A11384" s="8" t="str">
        <f>"PEAM 2011 - Proceedings: 2011 IEEE Power Engineering and Automation Conference"</f>
        <v>PEAM 2011 - Proceedings: 2011 IEEE Power Engineering and Automation Conference</v>
      </c>
      <c r="B11384" s="8" t="str">
        <f>"9781424496884"</f>
        <v>9781424496884</v>
      </c>
      <c r="C11384" s="8" t="s">
        <v>9</v>
      </c>
    </row>
    <row r="11385" spans="1:3" x14ac:dyDescent="0.25">
      <c r="A11385" s="8" t="str">
        <f>"PECCS 2011 - Proceedings of the 1st International Conference on Pervasive and Embedded Computing and Communication Systems"</f>
        <v>PECCS 2011 - Proceedings of the 1st International Conference on Pervasive and Embedded Computing and Communication Systems</v>
      </c>
      <c r="B11385" s="8" t="str">
        <f>"9789898425485"</f>
        <v>9789898425485</v>
      </c>
      <c r="C11385" s="8" t="s">
        <v>1680</v>
      </c>
    </row>
    <row r="11386" spans="1:3" x14ac:dyDescent="0.25">
      <c r="A11386" s="8" t="str">
        <f>"PECCS 2012 - Proceedings of the 2nd International Conference on Pervasive Embedded Computing and Communication Systems"</f>
        <v>PECCS 2012 - Proceedings of the 2nd International Conference on Pervasive Embedded Computing and Communication Systems</v>
      </c>
      <c r="B11386" s="8" t="str">
        <f>"9789898565006"</f>
        <v>9789898565006</v>
      </c>
      <c r="C11386" s="8" t="s">
        <v>1680</v>
      </c>
    </row>
    <row r="11387" spans="1:3" x14ac:dyDescent="0.25">
      <c r="A11387" s="8" t="str">
        <f>"PECCS 2013 - Proceedings of the 3rd International Conference on Pervasive Embedded Computing and Communication Systems"</f>
        <v>PECCS 2013 - Proceedings of the 3rd International Conference on Pervasive Embedded Computing and Communication Systems</v>
      </c>
      <c r="B11387" s="8" t="str">
        <f>"9789898565433"</f>
        <v>9789898565433</v>
      </c>
      <c r="C11387" s="8" t="s">
        <v>1680</v>
      </c>
    </row>
    <row r="11388" spans="1:3" x14ac:dyDescent="0.25">
      <c r="A11388" s="8" t="str">
        <f>"PECCS 2015 - 5th International Conference on Pervasive and Embedded Computing and Communication Systems, Proceedings"</f>
        <v>PECCS 2015 - 5th International Conference on Pervasive and Embedded Computing and Communication Systems, Proceedings</v>
      </c>
      <c r="B11388" s="8" t="str">
        <f>"9789897580840"</f>
        <v>9789897580840</v>
      </c>
      <c r="C11388" s="8" t="s">
        <v>1197</v>
      </c>
    </row>
    <row r="11389" spans="1:3" x14ac:dyDescent="0.25">
      <c r="A11389" s="8" t="str">
        <f>"PECon 2008 - 2008 IEEE 2nd International Power and Energy Conference"</f>
        <v>PECon 2008 - 2008 IEEE 2nd International Power and Energy Conference</v>
      </c>
      <c r="B11389" s="8" t="str">
        <f>"9781424424054"</f>
        <v>9781424424054</v>
      </c>
      <c r="C11389" s="8" t="s">
        <v>9</v>
      </c>
    </row>
    <row r="11390" spans="1:3" x14ac:dyDescent="0.25">
      <c r="A11390" s="8" t="str">
        <f>"PECon 2012 - 2012 IEEE International Conference on Power and Energy"</f>
        <v>PECon 2012 - 2012 IEEE International Conference on Power and Energy</v>
      </c>
      <c r="B11390" s="8" t="str">
        <f>"9781467350198"</f>
        <v>9781467350198</v>
      </c>
      <c r="C11390" s="8" t="s">
        <v>9</v>
      </c>
    </row>
    <row r="11391" spans="1:3" x14ac:dyDescent="0.25">
      <c r="A11391" s="8" t="str">
        <f>"PECon2010 - 2010 IEEE International Conference on Power and Energy"</f>
        <v>PECon2010 - 2010 IEEE International Conference on Power and Energy</v>
      </c>
      <c r="B11391" s="8" t="str">
        <f>"9781424489466"</f>
        <v>9781424489466</v>
      </c>
      <c r="C11391" s="8" t="s">
        <v>9</v>
      </c>
    </row>
    <row r="11392" spans="1:3" x14ac:dyDescent="0.25">
      <c r="A11392" s="8" t="str">
        <f>"PEDES 2012 - IEEE International Conference on Power Electronics, Drives and Energy Systems"</f>
        <v>PEDES 2012 - IEEE International Conference on Power Electronics, Drives and Energy Systems</v>
      </c>
      <c r="B11392" s="8" t="str">
        <f>"9781467345088"</f>
        <v>9781467345088</v>
      </c>
      <c r="C11392" s="8" t="s">
        <v>9</v>
      </c>
    </row>
    <row r="11393" spans="1:3" x14ac:dyDescent="0.25">
      <c r="A11393" s="8" t="str">
        <f>"PEDSTC 2010 - 1st Power Electronics and Drive Systems and Technologies Conference"</f>
        <v>PEDSTC 2010 - 1st Power Electronics and Drive Systems and Technologies Conference</v>
      </c>
      <c r="B11393" s="8" t="str">
        <f>"9781424459728"</f>
        <v>9781424459728</v>
      </c>
      <c r="C11393" s="8" t="s">
        <v>9</v>
      </c>
    </row>
    <row r="11394" spans="1:3" x14ac:dyDescent="0.25">
      <c r="A11394" s="8" t="str">
        <f>"PEDSTC 2013 - 4th Annual International Power Electronics, Drive Systems and Technologies Conference"</f>
        <v>PEDSTC 2013 - 4th Annual International Power Electronics, Drive Systems and Technologies Conference</v>
      </c>
      <c r="B11394" s="8" t="str">
        <f>"9781467344845"</f>
        <v>9781467344845</v>
      </c>
      <c r="C11394" s="8" t="s">
        <v>9</v>
      </c>
    </row>
    <row r="11395" spans="1:3" x14ac:dyDescent="0.25">
      <c r="A11395" s="8" t="str">
        <f>"PEDSTC 2014 - 5th Annual International Power Electronics, Drive Systems and Technologies Conference"</f>
        <v>PEDSTC 2014 - 5th Annual International Power Electronics, Drive Systems and Technologies Conference</v>
      </c>
      <c r="B11395" s="8" t="str">
        <f>"9781479934799"</f>
        <v>9781479934799</v>
      </c>
      <c r="C11395" s="8" t="s">
        <v>9</v>
      </c>
    </row>
    <row r="11396" spans="1:3" x14ac:dyDescent="0.25">
      <c r="A11396" s="8" t="str">
        <f>"PEITS 2009 - 2009 2nd Conference on Power Electronics and Intelligent Transportation System"</f>
        <v>PEITS 2009 - 2009 2nd Conference on Power Electronics and Intelligent Transportation System</v>
      </c>
      <c r="B11396" s="8" t="str">
        <f>"9781424442461"</f>
        <v>9781424442461</v>
      </c>
      <c r="C11396" s="8" t="s">
        <v>9</v>
      </c>
    </row>
    <row r="11397" spans="1:3" x14ac:dyDescent="0.25">
      <c r="A11397" s="8" t="str">
        <f>"PEMWA 2012 - 2012 IEEE Power Electronics and Machines in Wind Applications"</f>
        <v>PEMWA 2012 - 2012 IEEE Power Electronics and Machines in Wind Applications</v>
      </c>
      <c r="B11397" s="8" t="str">
        <f>"9781467311298"</f>
        <v>9781467311298</v>
      </c>
      <c r="C11397" s="8" t="s">
        <v>9</v>
      </c>
    </row>
    <row r="11398" spans="1:3" x14ac:dyDescent="0.25">
      <c r="A11398" s="8" t="str">
        <f>"PEMWA 2014 - 2014 IEEE Symposium on Power Electronics and Machines for Wind and Water Applications"</f>
        <v>PEMWA 2014 - 2014 IEEE Symposium on Power Electronics and Machines for Wind and Water Applications</v>
      </c>
      <c r="B11398" s="8" t="str">
        <f>"9781479951376"</f>
        <v>9781479951376</v>
      </c>
      <c r="C11398" s="8" t="s">
        <v>105</v>
      </c>
    </row>
    <row r="11399" spans="1:3" x14ac:dyDescent="0.25">
      <c r="A11399" s="8" t="str">
        <f>"PEOCO 2010 - 4th International Power Engineering and Optimization Conference, Program and Abstracts"</f>
        <v>PEOCO 2010 - 4th International Power Engineering and Optimization Conference, Program and Abstracts</v>
      </c>
      <c r="B11399" s="8" t="str">
        <f>"9781424471287"</f>
        <v>9781424471287</v>
      </c>
      <c r="C11399" s="8" t="s">
        <v>9</v>
      </c>
    </row>
    <row r="11400" spans="1:3" x14ac:dyDescent="0.25">
      <c r="A11400" s="8" t="str">
        <f>"People and Computers XIX - The Bigger Picture, Proceedings of HCI 2005"</f>
        <v>People and Computers XIX - The Bigger Picture, Proceedings of HCI 2005</v>
      </c>
      <c r="B11400" s="8" t="str">
        <f>"9781846281921"</f>
        <v>9781846281921</v>
      </c>
      <c r="C11400" s="8" t="s">
        <v>2024</v>
      </c>
    </row>
    <row r="11401" spans="1:3" x14ac:dyDescent="0.25">
      <c r="A11401" s="8" t="str">
        <f>"People and Computers XXI HCI.But Not as We Know It - Proceedings of HCI 2007: The 21st British HCI Group Annual Conference"</f>
        <v>People and Computers XXI HCI.But Not as We Know It - Proceedings of HCI 2007: The 21st British HCI Group Annual Conference</v>
      </c>
      <c r="B11401" s="8" t="str">
        <f>"-"</f>
        <v>-</v>
      </c>
      <c r="C11401" s="8" t="s">
        <v>1862</v>
      </c>
    </row>
    <row r="11402" spans="1:3" x14ac:dyDescent="0.25">
      <c r="A11402" s="8" t="str">
        <f>"People and Computers XXIII Celebrating People and Technology - Proceedings of HCI 2009"</f>
        <v>People and Computers XXIII Celebrating People and Technology - Proceedings of HCI 2009</v>
      </c>
      <c r="B11402" s="8" t="str">
        <f>"9781906124878"</f>
        <v>9781906124878</v>
      </c>
      <c r="C11402" s="8" t="s">
        <v>1862</v>
      </c>
    </row>
    <row r="11403" spans="1:3" x14ac:dyDescent="0.25">
      <c r="A11403" s="8" t="str">
        <f>"People and Systems for Water, Sanitation and Health: Proceedings of the 27th WEDC Conference"</f>
        <v>People and Systems for Water, Sanitation and Health: Proceedings of the 27th WEDC Conference</v>
      </c>
      <c r="B11403" s="8" t="str">
        <f>"9780906055984"</f>
        <v>9780906055984</v>
      </c>
      <c r="C11403" s="8" t="s">
        <v>1486</v>
      </c>
    </row>
    <row r="11404" spans="1:3" x14ac:dyDescent="0.25">
      <c r="A11404" s="8" t="str">
        <f>"People-Centred Approaches to Water and Environmental Sanitation: Proceedings of the 30th WEDC Conference"</f>
        <v>People-Centred Approaches to Water and Environmental Sanitation: Proceedings of the 30th WEDC Conference</v>
      </c>
      <c r="B11404" s="8" t="str">
        <f>"9781843800781"</f>
        <v>9781843800781</v>
      </c>
      <c r="C11404" s="8" t="s">
        <v>1486</v>
      </c>
    </row>
    <row r="11405" spans="1:3" x14ac:dyDescent="0.25">
      <c r="A11405" s="8" t="str">
        <f>"PEPM 2013 - Proceedings of the ACM SIGPLAN Workshop on Partial Evaluation and Program Manipulation, Co-located with POPL 2013"</f>
        <v>PEPM 2013 - Proceedings of the ACM SIGPLAN Workshop on Partial Evaluation and Program Manipulation, Co-located with POPL 2013</v>
      </c>
      <c r="B11405" s="8" t="str">
        <f>"9781450318426"</f>
        <v>9781450318426</v>
      </c>
      <c r="C11405" s="8" t="s">
        <v>21</v>
      </c>
    </row>
    <row r="11406" spans="1:3" x14ac:dyDescent="0.25">
      <c r="A11406" s="8" t="str">
        <f>"PEPM 2014 - Proceedings of the ACM SIGPLAN Workshop on Partial Evaluation and Program Manipulation, Co-located with POPL 2014"</f>
        <v>PEPM 2014 - Proceedings of the ACM SIGPLAN Workshop on Partial Evaluation and Program Manipulation, Co-located with POPL 2014</v>
      </c>
      <c r="B11406" s="8" t="str">
        <f>"9781450326193"</f>
        <v>9781450326193</v>
      </c>
      <c r="C11406" s="8" t="s">
        <v>21</v>
      </c>
    </row>
    <row r="11407" spans="1:3" x14ac:dyDescent="0.25">
      <c r="A11407" s="8" t="str">
        <f>"PerDis 2013 - Proceedings: 2nd ACM International Symposium on Pervasive Displays 2013"</f>
        <v>PerDis 2013 - Proceedings: 2nd ACM International Symposium on Pervasive Displays 2013</v>
      </c>
      <c r="B11407" s="8" t="str">
        <f>"9781450320962"</f>
        <v>9781450320962</v>
      </c>
      <c r="C11407" s="8" t="s">
        <v>21</v>
      </c>
    </row>
    <row r="11408" spans="1:3" x14ac:dyDescent="0.25">
      <c r="A11408" s="8" t="str">
        <f>"Performance Evaluation and Benchmarking of Intelligent Systems"</f>
        <v>Performance Evaluation and Benchmarking of Intelligent Systems</v>
      </c>
      <c r="B11408" s="8" t="str">
        <f>"9781441904911"</f>
        <v>9781441904911</v>
      </c>
      <c r="C11408" s="8" t="s">
        <v>834</v>
      </c>
    </row>
    <row r="11409" spans="1:3" x14ac:dyDescent="0.25">
      <c r="A11409" s="8" t="str">
        <f>"Performance of Explosives and New Developments: Workshop Hosted by FRAGBLAST 10 - The 10th International Symposium on Rock Fragmentation by Blasting"</f>
        <v>Performance of Explosives and New Developments: Workshop Hosted by FRAGBLAST 10 - The 10th International Symposium on Rock Fragmentation by Blasting</v>
      </c>
      <c r="B11409" s="8" t="str">
        <f>"9780415621427"</f>
        <v>9780415621427</v>
      </c>
      <c r="C11409" s="8" t="s">
        <v>1635</v>
      </c>
    </row>
    <row r="11410" spans="1:3" x14ac:dyDescent="0.25">
      <c r="A11410" s="8" t="str">
        <f>"PERM'11 - Proceedings of the 20th ACM SIGPLAN Workshop on Partial Evaluation and Program Manipulation"</f>
        <v>PERM'11 - Proceedings of the 20th ACM SIGPLAN Workshop on Partial Evaluation and Program Manipulation</v>
      </c>
      <c r="B11410" s="8" t="str">
        <f>"9781450304856"</f>
        <v>9781450304856</v>
      </c>
      <c r="C11410" s="8" t="s">
        <v>21</v>
      </c>
    </row>
    <row r="11411" spans="1:3" x14ac:dyDescent="0.25">
      <c r="A11411" s="8" t="str">
        <f>"PersDB 2008 - 2nd International Workshop on Personalized Access, Profile Management, and Context Awareness: Databases, Electronic Proceedings - In Conjunction with the 34th VLDB 2008 Conference"</f>
        <v>PersDB 2008 - 2nd International Workshop on Personalized Access, Profile Management, and Context Awareness: Databases, Electronic Proceedings - In Conjunction with the 34th VLDB 2008 Conference</v>
      </c>
      <c r="B11411" s="8" t="str">
        <f t="shared" ref="B11411:B11416" si="26">"-"</f>
        <v>-</v>
      </c>
      <c r="C11411" s="8" t="s">
        <v>2025</v>
      </c>
    </row>
    <row r="11412" spans="1:3" x14ac:dyDescent="0.25">
      <c r="A11412" s="8" t="str">
        <f>"PersDB 2010 - 4th International Workshop on Personalized Access, Profile Management, and Context Awareness in Databases, Electronic Proceedings - In Conjunction with VLDB 2010"</f>
        <v>PersDB 2010 - 4th International Workshop on Personalized Access, Profile Management, and Context Awareness in Databases, Electronic Proceedings - In Conjunction with VLDB 2010</v>
      </c>
      <c r="B11412" s="8" t="str">
        <f t="shared" si="26"/>
        <v>-</v>
      </c>
      <c r="C11412" s="8" t="s">
        <v>2026</v>
      </c>
    </row>
    <row r="11413" spans="1:3" x14ac:dyDescent="0.25">
      <c r="A11413" s="8" t="str">
        <f>"PersDB 2011 - 5th International Workshop on Personalized Access, Profile Management, and Context Awareness in Databases; Very Large Data Bases 2011, VLDB 2011"</f>
        <v>PersDB 2011 - 5th International Workshop on Personalized Access, Profile Management, and Context Awareness in Databases; Very Large Data Bases 2011, VLDB 2011</v>
      </c>
      <c r="B11413" s="8" t="str">
        <f t="shared" si="26"/>
        <v>-</v>
      </c>
      <c r="C11413" s="8" t="s">
        <v>21</v>
      </c>
    </row>
    <row r="11414" spans="1:3" x14ac:dyDescent="0.25">
      <c r="A11414" s="8" t="str">
        <f>"PersDB 2012 - 6th International Workshop on Personalized Access, Profile Management, and Context Awareness in Databases, In Conjunction with VLDB 2012"</f>
        <v>PersDB 2012 - 6th International Workshop on Personalized Access, Profile Management, and Context Awareness in Databases, In Conjunction with VLDB 2012</v>
      </c>
      <c r="B11414" s="8" t="str">
        <f t="shared" si="26"/>
        <v>-</v>
      </c>
      <c r="C11414" s="8" t="s">
        <v>21</v>
      </c>
    </row>
    <row r="11415" spans="1:3" x14ac:dyDescent="0.25">
      <c r="A11415" s="8" t="str">
        <f>"PersDB 2013 - 7th International Workshop on Personalized Access, Profile Management, and Context Awareness in Databases"</f>
        <v>PersDB 2013 - 7th International Workshop on Personalized Access, Profile Management, and Context Awareness in Databases</v>
      </c>
      <c r="B11415" s="8" t="str">
        <f t="shared" si="26"/>
        <v>-</v>
      </c>
      <c r="C11415" s="8" t="s">
        <v>21</v>
      </c>
    </row>
    <row r="11416" spans="1:3" x14ac:dyDescent="0.25">
      <c r="A11416" s="8" t="str">
        <f>"PersDL 2007 - 10th DELOS Thematic Workshop on Personalized Access, Profile Management, and Context Awareness in Digital Libraries"</f>
        <v>PersDL 2007 - 10th DELOS Thematic Workshop on Personalized Access, Profile Management, and Context Awareness in Digital Libraries</v>
      </c>
      <c r="B11416" s="8" t="str">
        <f t="shared" si="26"/>
        <v>-</v>
      </c>
      <c r="C11416" s="8" t="s">
        <v>2027</v>
      </c>
    </row>
    <row r="11417" spans="1:3" x14ac:dyDescent="0.25">
      <c r="A11417" s="8" t="str">
        <f>"Perspective Technologies and Methods in MEMS Design - Proceeding of the 2nd International Conference of Young Scientists, MEMSTECH 2006"</f>
        <v>Perspective Technologies and Methods in MEMS Design - Proceeding of the 2nd International Conference of Young Scientists, MEMSTECH 2006</v>
      </c>
      <c r="B11417" s="8" t="str">
        <f>"9789665535171"</f>
        <v>9789665535171</v>
      </c>
      <c r="C11417" s="8" t="s">
        <v>105</v>
      </c>
    </row>
    <row r="11418" spans="1:3" x14ac:dyDescent="0.25">
      <c r="A11418" s="8" t="str">
        <f>"Perspective Technologies and Methods in MEMS Design - Proceeding of the 4th International Conference of Young Scientists, MEMSTECH 2008"</f>
        <v>Perspective Technologies and Methods in MEMS Design - Proceeding of the 4th International Conference of Young Scientists, MEMSTECH 2008</v>
      </c>
      <c r="B11418" s="8" t="str">
        <f>"9789662191004"</f>
        <v>9789662191004</v>
      </c>
      <c r="C11418" s="8" t="s">
        <v>9</v>
      </c>
    </row>
    <row r="11419" spans="1:3" x14ac:dyDescent="0.25">
      <c r="A11419" s="8" t="str">
        <f>"Perspective Technologies and Methods in MEMS Design, MEMSTECH'2010 - Proceedings of the 6th International Conference"</f>
        <v>Perspective Technologies and Methods in MEMS Design, MEMSTECH'2010 - Proceedings of the 6th International Conference</v>
      </c>
      <c r="B11419" s="8" t="str">
        <f>"9789662191103"</f>
        <v>9789662191103</v>
      </c>
      <c r="C11419" s="8" t="s">
        <v>9</v>
      </c>
    </row>
    <row r="11420" spans="1:3" x14ac:dyDescent="0.25">
      <c r="A11420" s="8" t="str">
        <f>"Perspectives from Europe and Asia on Engineering Design and Manufacture: A Comparison of Engineering Design and Manufacture in Europe and Asia"</f>
        <v>Perspectives from Europe and Asia on Engineering Design and Manufacture: A Comparison of Engineering Design and Manufacture in Europe and Asia</v>
      </c>
      <c r="B11420" s="8" t="str">
        <f>"9781402022111"</f>
        <v>9781402022111</v>
      </c>
      <c r="C11420" s="8" t="s">
        <v>1432</v>
      </c>
    </row>
    <row r="11421" spans="1:3" x14ac:dyDescent="0.25">
      <c r="A11421" s="8" t="str">
        <f>"Perspectives in Civil Engineering: Commemorating the 150th Anniversary of the American Society of Civil Engineers"</f>
        <v>Perspectives in Civil Engineering: Commemorating the 150th Anniversary of the American Society of Civil Engineers</v>
      </c>
      <c r="B11421" s="8" t="str">
        <f>"9780784406861"</f>
        <v>9780784406861</v>
      </c>
      <c r="C11421" s="8" t="s">
        <v>111</v>
      </c>
    </row>
    <row r="11422" spans="1:3" x14ac:dyDescent="0.25">
      <c r="A11422" s="8" t="s">
        <v>2028</v>
      </c>
      <c r="B11422" s="8" t="str">
        <f>"-"</f>
        <v>-</v>
      </c>
      <c r="C11422" s="8" t="s">
        <v>1693</v>
      </c>
    </row>
    <row r="11423" spans="1:3" x14ac:dyDescent="0.25">
      <c r="A11423" s="8" t="str">
        <f>"Pesticide Formulation and Delivery Systems: 33rd Volume, "</f>
        <v xml:space="preserve">Pesticide Formulation and Delivery Systems: 33rd Volume, </v>
      </c>
      <c r="B11423" s="8" t="str">
        <f>"9780803175785"</f>
        <v>9780803175785</v>
      </c>
      <c r="C11423" s="8" t="s">
        <v>75</v>
      </c>
    </row>
    <row r="11424" spans="1:3" x14ac:dyDescent="0.25">
      <c r="A11424" s="8" t="str">
        <f>"PETMEI'11 - Proceedings of the 1st International Workshop on Pervasive Eye Tracking and Mobile Eye-Based Interaction"</f>
        <v>PETMEI'11 - Proceedings of the 1st International Workshop on Pervasive Eye Tracking and Mobile Eye-Based Interaction</v>
      </c>
      <c r="B11424" s="8" t="str">
        <f>"9781450309301"</f>
        <v>9781450309301</v>
      </c>
      <c r="C11424" s="8" t="s">
        <v>21</v>
      </c>
    </row>
    <row r="11425" spans="1:3" x14ac:dyDescent="0.25">
      <c r="A11425" s="8" t="str">
        <f>"Petroleum Geostatistics 2007"</f>
        <v>Petroleum Geostatistics 2007</v>
      </c>
      <c r="B11425" s="8" t="str">
        <f>"9789073781481"</f>
        <v>9789073781481</v>
      </c>
      <c r="C11425" s="8" t="s">
        <v>1251</v>
      </c>
    </row>
    <row r="11426" spans="1:3" x14ac:dyDescent="0.25">
      <c r="A11426" s="8" t="str">
        <f>"Petroleum Play Assessment"</f>
        <v>Petroleum Play Assessment</v>
      </c>
      <c r="B11426" s="8" t="str">
        <f>"-"</f>
        <v>-</v>
      </c>
      <c r="C11426" s="8" t="s">
        <v>1251</v>
      </c>
    </row>
    <row r="11427" spans="1:3" x14ac:dyDescent="0.25">
      <c r="A11427" s="8" t="str">
        <f>"PE-WASUN 2006: Proceedings of the Third ACM International Workshop on Performance Evaluation of Wireless Ad Hoc, Sensor, and Ubiquitous Networks"</f>
        <v>PE-WASUN 2006: Proceedings of the Third ACM International Workshop on Performance Evaluation of Wireless Ad Hoc, Sensor, and Ubiquitous Networks</v>
      </c>
      <c r="B11427" s="8" t="str">
        <f>"9781595934871"</f>
        <v>9781595934871</v>
      </c>
      <c r="C11427" s="8" t="s">
        <v>21</v>
      </c>
    </row>
    <row r="11428" spans="1:3" x14ac:dyDescent="0.25">
      <c r="A11428" s="8" t="str">
        <f>"PE-WASUN 2013 - Proceedings of the 10th ACM Symposium on Performance Evaluation of Wireless Ad Hoc, Sensor, and Ubiquitous Networks, Co-located with ACM MSWiM 2013"</f>
        <v>PE-WASUN 2013 - Proceedings of the 10th ACM Symposium on Performance Evaluation of Wireless Ad Hoc, Sensor, and Ubiquitous Networks, Co-located with ACM MSWiM 2013</v>
      </c>
      <c r="B11428" s="8" t="str">
        <f>"9781450323604"</f>
        <v>9781450323604</v>
      </c>
      <c r="C11428" s="8" t="s">
        <v>21</v>
      </c>
    </row>
    <row r="11429" spans="1:3" x14ac:dyDescent="0.25">
      <c r="A11429" s="8" t="str">
        <f>"PE-WASUN 2014 - Proceedings of the 11th ACM Symposium on Performance Evaluation of Wireless Ad Hoc, Sensor, and Ubiquitous Networks"</f>
        <v>PE-WASUN 2014 - Proceedings of the 11th ACM Symposium on Performance Evaluation of Wireless Ad Hoc, Sensor, and Ubiquitous Networks</v>
      </c>
      <c r="B11429" s="8" t="str">
        <f>"9781450330251"</f>
        <v>9781450330251</v>
      </c>
      <c r="C11429" s="8" t="s">
        <v>1235</v>
      </c>
    </row>
    <row r="11430" spans="1:3" x14ac:dyDescent="0.25">
      <c r="A11430" s="8" t="str">
        <f>"PE-WASUN'04 - Proceedings of the First ACM International Workshop on Performance Evaluation of Wireless Ad Hoc, Sensor, and Ubiquitous Networks"</f>
        <v>PE-WASUN'04 - Proceedings of the First ACM International Workshop on Performance Evaluation of Wireless Ad Hoc, Sensor, and Ubiquitous Networks</v>
      </c>
      <c r="B11430" s="8" t="str">
        <f>"9781581139594"</f>
        <v>9781581139594</v>
      </c>
      <c r="C11430" s="8" t="s">
        <v>21</v>
      </c>
    </row>
    <row r="11431" spans="1:3" x14ac:dyDescent="0.25">
      <c r="A11431" s="8" t="str">
        <f>"PE-WASUN'05 - Proceedings of the Second ACM International Workshop on Performance Evaluation of Wireless Ad Hoc, Sensor, and Ubiquitous Networks"</f>
        <v>PE-WASUN'05 - Proceedings of the Second ACM International Workshop on Performance Evaluation of Wireless Ad Hoc, Sensor, and Ubiquitous Networks</v>
      </c>
      <c r="B11431" s="8" t="str">
        <f>"9781595931825"</f>
        <v>9781595931825</v>
      </c>
      <c r="C11431" s="8" t="s">
        <v>21</v>
      </c>
    </row>
    <row r="11432" spans="1:3" x14ac:dyDescent="0.25">
      <c r="A11432" s="8" t="str">
        <f>"PE-WASUN'07: Proceedings of the Fourth ACM Workshop on Performance Evaluation of Wireless Ad Hoc, Sensor, and Ubiquitous Networks"</f>
        <v>PE-WASUN'07: Proceedings of the Fourth ACM Workshop on Performance Evaluation of Wireless Ad Hoc, Sensor, and Ubiquitous Networks</v>
      </c>
      <c r="B11432" s="8" t="str">
        <f>"9781595938084"</f>
        <v>9781595938084</v>
      </c>
      <c r="C11432" s="8" t="s">
        <v>21</v>
      </c>
    </row>
    <row r="11433" spans="1:3" x14ac:dyDescent="0.25">
      <c r="A11433" s="8" t="str">
        <f>"PE-WASUN'08: Proceedings of the 5th ACM International Symposium on Performance Evaluation of Wireless Ad-Hoc, Sensor, and Ubiquitous Networks"</f>
        <v>PE-WASUN'08: Proceedings of the 5th ACM International Symposium on Performance Evaluation of Wireless Ad-Hoc, Sensor, and Ubiquitous Networks</v>
      </c>
      <c r="B11433" s="8" t="str">
        <f>"9781605580555"</f>
        <v>9781605580555</v>
      </c>
      <c r="C11433" s="8" t="s">
        <v>21</v>
      </c>
    </row>
    <row r="11434" spans="1:3" x14ac:dyDescent="0.25">
      <c r="A11434" s="8" t="str">
        <f>"PE-WASUN'09 - Proceedings of the 6th ACM International Symposium on Performance Evaluation of Wireless Ad-Hoc, Sensor, and Ubiquitous Networks"</f>
        <v>PE-WASUN'09 - Proceedings of the 6th ACM International Symposium on Performance Evaluation of Wireless Ad-Hoc, Sensor, and Ubiquitous Networks</v>
      </c>
      <c r="B11434" s="8" t="str">
        <f>"9781605586182"</f>
        <v>9781605586182</v>
      </c>
      <c r="C11434" s="8" t="s">
        <v>21</v>
      </c>
    </row>
    <row r="11435" spans="1:3" x14ac:dyDescent="0.25">
      <c r="A11435" s="8" t="str">
        <f>"PE-WASUN'10 - Proceedings of the 7th ACM Symposium on Performance Evaluation of Wireless Ad Hoc, Sensor, and Ubiquitous Networks, Co-located with MSWiM'10"</f>
        <v>PE-WASUN'10 - Proceedings of the 7th ACM Symposium on Performance Evaluation of Wireless Ad Hoc, Sensor, and Ubiquitous Networks, Co-located with MSWiM'10</v>
      </c>
      <c r="B11435" s="8" t="str">
        <f>"9781450302760"</f>
        <v>9781450302760</v>
      </c>
      <c r="C11435" s="8" t="s">
        <v>21</v>
      </c>
    </row>
    <row r="11436" spans="1:3" x14ac:dyDescent="0.25">
      <c r="A11436" s="8" t="str">
        <f>"PE-WASUN'11 - Proceedings of the 8th ACM Symposium on Performance Evaluation of Wireless Ad Hoc, Sensor, and Ubiquitous Networks"</f>
        <v>PE-WASUN'11 - Proceedings of the 8th ACM Symposium on Performance Evaluation of Wireless Ad Hoc, Sensor, and Ubiquitous Networks</v>
      </c>
      <c r="B11436" s="8" t="str">
        <f>"9781450309004"</f>
        <v>9781450309004</v>
      </c>
      <c r="C11436" s="8" t="s">
        <v>21</v>
      </c>
    </row>
    <row r="11437" spans="1:3" x14ac:dyDescent="0.25">
      <c r="A11437" s="8" t="str">
        <f>"PE-WASUN'12 - Proceedings of the 9th ACM Symposium on Performance Evaluation of Wireless Ad Hoc, Sensor, and Ubiquitous Networks"</f>
        <v>PE-WASUN'12 - Proceedings of the 9th ACM Symposium on Performance Evaluation of Wireless Ad Hoc, Sensor, and Ubiquitous Networks</v>
      </c>
      <c r="B11437" s="8" t="str">
        <f>"9781450316217"</f>
        <v>9781450316217</v>
      </c>
      <c r="C11437" s="8" t="s">
        <v>21</v>
      </c>
    </row>
    <row r="11438" spans="1:3" x14ac:dyDescent="0.25">
      <c r="A11438" s="8" t="str">
        <f>"PGCE 2013 - Petroleum Geoscience Conference and Exhibition 2013: Innovative Geoscience: Securing Energy Needs"</f>
        <v>PGCE 2013 - Petroleum Geoscience Conference and Exhibition 2013: Innovative Geoscience: Securing Energy Needs</v>
      </c>
      <c r="B11438" s="8" t="str">
        <f>"-"</f>
        <v>-</v>
      </c>
      <c r="C11438" s="8" t="s">
        <v>1251</v>
      </c>
    </row>
    <row r="11439" spans="1:3" x14ac:dyDescent="0.25">
      <c r="A11439" s="8" t="str">
        <f>"Pharmaceutical Discovery, Development and Manufacturing Forum 2013 - Core Programming Area at the 2013 AIChE Annual Meeting: Global Challenges for Engineering a Sustainable Future"</f>
        <v>Pharmaceutical Discovery, Development and Manufacturing Forum 2013 - Core Programming Area at the 2013 AIChE Annual Meeting: Global Challenges for Engineering a Sustainable Future</v>
      </c>
      <c r="B11439" s="8" t="str">
        <f>"9781634390514"</f>
        <v>9781634390514</v>
      </c>
      <c r="C11439" s="8" t="s">
        <v>1219</v>
      </c>
    </row>
    <row r="11440" spans="1:3" x14ac:dyDescent="0.25">
      <c r="A11440" s="8" t="str">
        <f>"PHM 2012 - 2012 IEEE Int. Conf.on Prognostics and Health Management: Enhancing Safety, Efficiency, Availability, and Effectiveness of Systems Through PHM Technology and Application, Conference Program"</f>
        <v>PHM 2012 - 2012 IEEE Int. Conf.on Prognostics and Health Management: Enhancing Safety, Efficiency, Availability, and Effectiveness of Systems Through PHM Technology and Application, Conference Program</v>
      </c>
      <c r="B11440" s="8" t="str">
        <f>"9781467303569"</f>
        <v>9781467303569</v>
      </c>
      <c r="C11440" s="8" t="s">
        <v>9</v>
      </c>
    </row>
    <row r="11441" spans="1:3" x14ac:dyDescent="0.25">
      <c r="A11441" s="8" t="str">
        <f>"PHM 2013 - 2013 IEEE International Conference on Prognostics and Health Management, Conference Proceedings"</f>
        <v>PHM 2013 - 2013 IEEE International Conference on Prognostics and Health Management, Conference Proceedings</v>
      </c>
      <c r="B11441" s="8" t="str">
        <f>"9781467357227"</f>
        <v>9781467357227</v>
      </c>
      <c r="C11441" s="8" t="s">
        <v>9</v>
      </c>
    </row>
    <row r="11442" spans="1:3" x14ac:dyDescent="0.25">
      <c r="A11442" s="8" t="str">
        <f>"PHM 2013 - Proceedings of the Annual Conference of the Prognostics and Health Management Society 2013"</f>
        <v>PHM 2013 - Proceedings of the Annual Conference of the Prognostics and Health Management Society 2013</v>
      </c>
      <c r="B11442" s="8" t="str">
        <f>"9781936263066"</f>
        <v>9781936263066</v>
      </c>
      <c r="C11442" s="8" t="s">
        <v>967</v>
      </c>
    </row>
    <row r="11443" spans="1:3" x14ac:dyDescent="0.25">
      <c r="A11443" s="8" t="str">
        <f>"Photonic Networks and Devices, Networks 2015"</f>
        <v>Photonic Networks and Devices, Networks 2015</v>
      </c>
      <c r="B11443" s="8" t="str">
        <f>"9781557520005"</f>
        <v>9781557520005</v>
      </c>
      <c r="C11443" s="8" t="s">
        <v>1638</v>
      </c>
    </row>
    <row r="11444" spans="1:3" x14ac:dyDescent="0.25">
      <c r="A11444" s="8" t="str">
        <f>"Photonics for Energy, PFE 2015"</f>
        <v>Photonics for Energy, PFE 2015</v>
      </c>
      <c r="B11444" s="8" t="str">
        <f>"9781943580019"</f>
        <v>9781943580019</v>
      </c>
      <c r="C11444" s="8" t="s">
        <v>1638</v>
      </c>
    </row>
    <row r="11445" spans="1:3" x14ac:dyDescent="0.25">
      <c r="A11445" s="8" t="str">
        <f>"PHOTOPTICS 2013 - Proceedings of the International Conference on Photonics, Optics and Laser Technology"</f>
        <v>PHOTOPTICS 2013 - Proceedings of the International Conference on Photonics, Optics and Laser Technology</v>
      </c>
      <c r="B11445" s="8" t="str">
        <f>"9789898565440"</f>
        <v>9789898565440</v>
      </c>
      <c r="C11445" s="8" t="s">
        <v>1680</v>
      </c>
    </row>
    <row r="11446" spans="1:3" x14ac:dyDescent="0.25">
      <c r="A11446" s="8" t="str">
        <f>"PHOTOPTICS 2015 - 3rd International Conference on Photonics, Optics and Laser Technology, Proceedings"</f>
        <v>PHOTOPTICS 2015 - 3rd International Conference on Photonics, Optics and Laser Technology, Proceedings</v>
      </c>
      <c r="B11446" s="8" t="str">
        <f>"-"</f>
        <v>-</v>
      </c>
      <c r="C11446" s="8" t="s">
        <v>1197</v>
      </c>
    </row>
    <row r="11447" spans="1:3" x14ac:dyDescent="0.25">
      <c r="A11447" s="8" t="str">
        <f>"PhyCS 2015 - 2nd International Conference on Physiological Computing Systems, Proceedings"</f>
        <v>PhyCS 2015 - 2nd International Conference on Physiological Computing Systems, Proceedings</v>
      </c>
      <c r="B11447" s="8" t="str">
        <f>"9789897580857"</f>
        <v>9789897580857</v>
      </c>
      <c r="C11447" s="8" t="s">
        <v>1197</v>
      </c>
    </row>
    <row r="11448" spans="1:3" x14ac:dyDescent="0.25">
      <c r="A11448" s="8" t="str">
        <f>"Physica Status Solidi Conferences"</f>
        <v>Physica Status Solidi Conferences</v>
      </c>
      <c r="B11448" s="8" t="str">
        <f>"9783527404353"</f>
        <v>9783527404353</v>
      </c>
      <c r="C11448" s="8" t="s">
        <v>63</v>
      </c>
    </row>
    <row r="11449" spans="1:3" x14ac:dyDescent="0.25">
      <c r="A11449" s="8" t="str">
        <f>"Physical Modelling in Geotechnics - Proceedings of the 7th International Conference on Physical Modelling in Geotechnics 2010, ICPMG 2010"</f>
        <v>Physical Modelling in Geotechnics - Proceedings of the 7th International Conference on Physical Modelling in Geotechnics 2010, ICPMG 2010</v>
      </c>
      <c r="B11449" s="8" t="str">
        <f>"-"</f>
        <v>-</v>
      </c>
      <c r="C11449" s="8" t="s">
        <v>1637</v>
      </c>
    </row>
    <row r="11450" spans="1:3" x14ac:dyDescent="0.25">
      <c r="A11450" s="8" t="str">
        <f>"Physical Modelling in Geotechnics - Proceedings of the 8th International Conference on Physical Modelling in Geotechnics 2014, ICPMG 2014"</f>
        <v>Physical Modelling in Geotechnics - Proceedings of the 8th International Conference on Physical Modelling in Geotechnics 2014, ICPMG 2014</v>
      </c>
      <c r="B11450" s="8" t="str">
        <f>"-"</f>
        <v>-</v>
      </c>
      <c r="C11450" s="8" t="s">
        <v>1619</v>
      </c>
    </row>
    <row r="11451" spans="1:3" x14ac:dyDescent="0.25">
      <c r="A11451" s="8" t="str">
        <f>"Physical Modelling in Geotechnics, 6th ICPMG'06 - Proceedings of the 6th International Conference on Physical Modelling in Geotechnics"</f>
        <v>Physical Modelling in Geotechnics, 6th ICPMG'06 - Proceedings of the 6th International Conference on Physical Modelling in Geotechnics</v>
      </c>
      <c r="B11451" s="8" t="str">
        <f>"9780415415873"</f>
        <v>9780415415873</v>
      </c>
      <c r="C11451" s="8" t="s">
        <v>1619</v>
      </c>
    </row>
    <row r="11452" spans="1:3" x14ac:dyDescent="0.25">
      <c r="A11452" s="8" t="str">
        <f>"Physics and Chemistry of Ice"</f>
        <v>Physics and Chemistry of Ice</v>
      </c>
      <c r="B11452" s="8" t="str">
        <f>"9780854043507"</f>
        <v>9780854043507</v>
      </c>
      <c r="C11452" s="8" t="s">
        <v>121</v>
      </c>
    </row>
    <row r="11453" spans="1:3" x14ac:dyDescent="0.25">
      <c r="A11453" s="8" t="str">
        <f>"Physics and Modern Topics in Mechanical and Electrical Engineering"</f>
        <v>Physics and Modern Topics in Mechanical and Electrical Engineering</v>
      </c>
      <c r="B11453" s="8" t="str">
        <f>"9789608052109"</f>
        <v>9789608052109</v>
      </c>
      <c r="C11453" s="8" t="s">
        <v>553</v>
      </c>
    </row>
    <row r="11454" spans="1:3" x14ac:dyDescent="0.25">
      <c r="A11454" s="8" t="str">
        <f>"Physics at LHC 2010, PLHC 2010"</f>
        <v>Physics at LHC 2010, PLHC 2010</v>
      </c>
      <c r="B11454" s="8" t="str">
        <f>"-"</f>
        <v>-</v>
      </c>
      <c r="C11454" s="8" t="s">
        <v>1279</v>
      </c>
    </row>
    <row r="11455" spans="1:3" x14ac:dyDescent="0.25">
      <c r="A11455" s="8" t="str">
        <f>"Physics at LHC 2011, PLHC 2011 - Proceedings of the International Conference"</f>
        <v>Physics at LHC 2011, PLHC 2011 - Proceedings of the International Conference</v>
      </c>
      <c r="B11455" s="8" t="str">
        <f>"9788867870066"</f>
        <v>9788867870066</v>
      </c>
      <c r="C11455" s="8" t="s">
        <v>1480</v>
      </c>
    </row>
    <row r="11456" spans="1:3" x14ac:dyDescent="0.25">
      <c r="A11456" s="8" t="str">
        <f>"Physics Beyond the Standard Models of Particles, Cosmology and Astrophysics - Proceedings of the 5th International Conference, Beyond 2010"</f>
        <v>Physics Beyond the Standard Models of Particles, Cosmology and Astrophysics - Proceedings of the 5th International Conference, Beyond 2010</v>
      </c>
      <c r="B11456" s="8" t="str">
        <f>"9789814340854"</f>
        <v>9789814340854</v>
      </c>
      <c r="C11456" s="8" t="s">
        <v>157</v>
      </c>
    </row>
    <row r="11457" spans="1:3" x14ac:dyDescent="0.25">
      <c r="A11457" s="8" t="str">
        <f>"Physics, Chemistry and Application of Nanostructures - Proceedings of the International Conference, NANOMEETING 2009"</f>
        <v>Physics, Chemistry and Application of Nanostructures - Proceedings of the International Conference, NANOMEETING 2009</v>
      </c>
      <c r="B11457" s="8" t="str">
        <f>"9789814280358"</f>
        <v>9789814280358</v>
      </c>
      <c r="C11457" s="8" t="s">
        <v>157</v>
      </c>
    </row>
    <row r="11458" spans="1:3" x14ac:dyDescent="0.25">
      <c r="A11458" s="8" t="str">
        <f>"Physics, Chemistry and Application of Nanostructures - Reviews and Short Notes to NANOMEETING 2005"</f>
        <v>Physics, Chemistry and Application of Nanostructures - Reviews and Short Notes to NANOMEETING 2005</v>
      </c>
      <c r="B11458" s="8" t="str">
        <f>"9789812562883"</f>
        <v>9789812562883</v>
      </c>
      <c r="C11458" s="8" t="s">
        <v>157</v>
      </c>
    </row>
    <row r="11459" spans="1:3" x14ac:dyDescent="0.25">
      <c r="A11459" s="8" t="str">
        <f>"PHYSOR-2006 - American Nuclear Society's Topical Meeting on Reactor Physics"</f>
        <v>PHYSOR-2006 - American Nuclear Society's Topical Meeting on Reactor Physics</v>
      </c>
      <c r="B11459" s="8" t="str">
        <f>"-"</f>
        <v>-</v>
      </c>
      <c r="C11459" s="8" t="s">
        <v>453</v>
      </c>
    </row>
    <row r="11460" spans="1:3" x14ac:dyDescent="0.25">
      <c r="A11460" s="8" t="str">
        <f>"PHYSTAT LHC Workshop on Statistical Issues for LHC Physics, PHYSTAT 2007 - Proceedings"</f>
        <v>PHYSTAT LHC Workshop on Statistical Issues for LHC Physics, PHYSTAT 2007 - Proceedings</v>
      </c>
      <c r="B11460" s="8" t="str">
        <f>"-"</f>
        <v>-</v>
      </c>
      <c r="C11460" s="8" t="s">
        <v>259</v>
      </c>
    </row>
    <row r="11461" spans="1:3" x14ac:dyDescent="0.25">
      <c r="A11461" s="8" t="str">
        <f>"PIA 2005 - Workshop on New Technologies for Personalized Information Access, Proceedings of the 1st International Workshop - Held in Conjunction with: 10th Int. Conference on User Modeling, UM 2005"</f>
        <v>PIA 2005 - Workshop on New Technologies for Personalized Information Access, Proceedings of the 1st International Workshop - Held in Conjunction with: 10th Int. Conference on User Modeling, UM 2005</v>
      </c>
      <c r="B11461" s="8" t="str">
        <f>"-"</f>
        <v>-</v>
      </c>
      <c r="C11461" s="8" t="s">
        <v>2029</v>
      </c>
    </row>
    <row r="11462" spans="1:3" x14ac:dyDescent="0.25">
      <c r="A11462" s="8" t="str">
        <f>"PIA 2007 - Photogrammetric Image Analysis, Proceedings"</f>
        <v>PIA 2007 - Photogrammetric Image Analysis, Proceedings</v>
      </c>
      <c r="B11462" s="8" t="str">
        <f>"-"</f>
        <v>-</v>
      </c>
      <c r="C11462" s="8" t="s">
        <v>2030</v>
      </c>
    </row>
    <row r="11463" spans="1:3" x14ac:dyDescent="0.25">
      <c r="A11463" s="8" t="str">
        <f>"PIC 2014 - Proceedings of 2014 IEEE International Conference on Progress in Informatics and Computing"</f>
        <v>PIC 2014 - Proceedings of 2014 IEEE International Conference on Progress in Informatics and Computing</v>
      </c>
      <c r="B11463" s="8" t="str">
        <f>"9781479920334"</f>
        <v>9781479920334</v>
      </c>
      <c r="C11463" s="8" t="s">
        <v>105</v>
      </c>
    </row>
    <row r="11464" spans="1:3" x14ac:dyDescent="0.25">
      <c r="A11464" s="8" t="str">
        <f>"PICALO 2004 - 1st Pacific International Conference on Applications of Laser and Optics, Conference Proceedings"</f>
        <v>PICALO 2004 - 1st Pacific International Conference on Applications of Laser and Optics, Conference Proceedings</v>
      </c>
      <c r="B11464" s="8" t="str">
        <f>"9780912035765"</f>
        <v>9780912035765</v>
      </c>
      <c r="C11464" s="8" t="s">
        <v>723</v>
      </c>
    </row>
    <row r="11465" spans="1:3" x14ac:dyDescent="0.25">
      <c r="A11465" s="8" t="str">
        <f>"PICALO 2006 - 2nd Pacific International Conference on Applications of Laser and Optics - Conference Proceedings"</f>
        <v>PICALO 2006 - 2nd Pacific International Conference on Applications of Laser and Optics - Conference Proceedings</v>
      </c>
      <c r="B11465" s="8" t="str">
        <f>"9780912035840"</f>
        <v>9780912035840</v>
      </c>
      <c r="C11465" s="8" t="s">
        <v>723</v>
      </c>
    </row>
    <row r="11466" spans="1:3" x14ac:dyDescent="0.25">
      <c r="A11466" s="8" t="str">
        <f>"PICMET"</f>
        <v>PICMET</v>
      </c>
      <c r="B11466" s="8" t="str">
        <f>"9781890843069"</f>
        <v>9781890843069</v>
      </c>
      <c r="C11466" s="8" t="s">
        <v>105</v>
      </c>
    </row>
    <row r="11467" spans="1:3" x14ac:dyDescent="0.25">
      <c r="A11467" s="8" t="str">
        <f>"PICMET"</f>
        <v>PICMET</v>
      </c>
      <c r="B11467" s="8" t="str">
        <f>"9781890843069"</f>
        <v>9781890843069</v>
      </c>
      <c r="C11467" s="8" t="s">
        <v>105</v>
      </c>
    </row>
    <row r="11468" spans="1:3" x14ac:dyDescent="0.25">
      <c r="A11468" s="8" t="str">
        <f>"PICMET  2014 - Portland International Center for Management of Engineering and Technology, Proceedings: Infrastructure and Service Integration"</f>
        <v>PICMET  2014 - Portland International Center for Management of Engineering and Technology, Proceedings: Infrastructure and Service Integration</v>
      </c>
      <c r="B11468" s="8" t="str">
        <f>"9781890843304"</f>
        <v>9781890843304</v>
      </c>
      <c r="C11468" s="8" t="s">
        <v>105</v>
      </c>
    </row>
    <row r="11469" spans="1:3" x14ac:dyDescent="0.25">
      <c r="A11469" s="8" t="str">
        <f>"PICMET '10 - Portland International Center for Management of Engineering and Technology, Proceedings - Technology Management for Global Economic Growth"</f>
        <v>PICMET '10 - Portland International Center for Management of Engineering and Technology, Proceedings - Technology Management for Global Economic Growth</v>
      </c>
      <c r="B11469" s="8" t="str">
        <f>"9781890843229"</f>
        <v>9781890843229</v>
      </c>
      <c r="C11469" s="8" t="s">
        <v>9</v>
      </c>
    </row>
    <row r="11470" spans="1:3" x14ac:dyDescent="0.25">
      <c r="A11470" s="8" t="str">
        <f>"PICMET: Portland International Center for Management of Engineering and Technology, Proceedings"</f>
        <v>PICMET: Portland International Center for Management of Engineering and Technology, Proceedings</v>
      </c>
      <c r="B11470" s="8" t="str">
        <f>"9781890843175"</f>
        <v>9781890843175</v>
      </c>
      <c r="C11470" s="8" t="s">
        <v>9</v>
      </c>
    </row>
    <row r="11471" spans="1:3" x14ac:dyDescent="0.25">
      <c r="A11471" s="8" t="str">
        <f>"PICMET: Portland International Center for Management of Engineering and Technology, Proceedings"</f>
        <v>PICMET: Portland International Center for Management of Engineering and Technology, Proceedings</v>
      </c>
      <c r="B11471" s="8" t="str">
        <f>"9781890843205"</f>
        <v>9781890843205</v>
      </c>
      <c r="C11471" s="8" t="s">
        <v>9</v>
      </c>
    </row>
    <row r="11472" spans="1:3" x14ac:dyDescent="0.25">
      <c r="A11472" s="8" t="str">
        <f>"PICMET: Portland International Center for Management of Engineering and Technology, Proceedings"</f>
        <v>PICMET: Portland International Center for Management of Engineering and Technology, Proceedings</v>
      </c>
      <c r="B11472" s="8" t="str">
        <f>"9781890843243"</f>
        <v>9781890843243</v>
      </c>
      <c r="C11472" s="8" t="s">
        <v>9</v>
      </c>
    </row>
    <row r="11473" spans="1:3" x14ac:dyDescent="0.25">
      <c r="A11473" s="8" t="str">
        <f>"Picture Coding Symposium"</f>
        <v>Picture Coding Symposium</v>
      </c>
      <c r="B11473" s="8" t="str">
        <f>"9782726112427"</f>
        <v>9782726112427</v>
      </c>
      <c r="C11473" s="8" t="s">
        <v>1436</v>
      </c>
    </row>
    <row r="11474" spans="1:3" x14ac:dyDescent="0.25">
      <c r="A11474" s="8" t="str">
        <f>"Picture Coding Symposium 1999"</f>
        <v>Picture Coding Symposium 1999</v>
      </c>
      <c r="B11474" s="8" t="str">
        <f>"-"</f>
        <v>-</v>
      </c>
      <c r="C11474" s="8" t="s">
        <v>2031</v>
      </c>
    </row>
    <row r="11475" spans="1:3" x14ac:dyDescent="0.25">
      <c r="A11475" s="8" t="str">
        <f>"Picture Coding Symposium 2004"</f>
        <v>Picture Coding Symposium 2004</v>
      </c>
      <c r="B11475" s="8" t="str">
        <f>"-"</f>
        <v>-</v>
      </c>
      <c r="C11475" s="8" t="s">
        <v>2031</v>
      </c>
    </row>
    <row r="11476" spans="1:3" x14ac:dyDescent="0.25">
      <c r="A11476" s="8" t="str">
        <f>"PIERS 2004 - Progress in Electromagnetics Research Symposium, Extended Papers Proceedings"</f>
        <v>PIERS 2004 - Progress in Electromagnetics Research Symposium, Extended Papers Proceedings</v>
      </c>
      <c r="B11476" s="8" t="str">
        <f>"9788884922687"</f>
        <v>9788884922687</v>
      </c>
      <c r="C11476" s="8" t="s">
        <v>1003</v>
      </c>
    </row>
    <row r="11477" spans="1:3" x14ac:dyDescent="0.25">
      <c r="A11477" s="8" t="str">
        <f>"PIERS 2005 - Progress in Electromagnetics Research Symposium, Proceedings"</f>
        <v>PIERS 2005 - Progress in Electromagnetics Research Symposium, Proceedings</v>
      </c>
      <c r="B11477" s="8" t="str">
        <f>"9781933077079"</f>
        <v>9781933077079</v>
      </c>
      <c r="C11477" s="8" t="s">
        <v>1003</v>
      </c>
    </row>
    <row r="11478" spans="1:3" x14ac:dyDescent="0.25">
      <c r="A11478" s="8" t="str">
        <f>"PIERS 2006 Cambridge - Progress in Electromagnetics Research Symposium, Proceedings"</f>
        <v>PIERS 2006 Cambridge - Progress in Electromagnetics Research Symposium, Proceedings</v>
      </c>
      <c r="B11478" s="8" t="str">
        <f>"9781933077086"</f>
        <v>9781933077086</v>
      </c>
      <c r="C11478" s="8" t="s">
        <v>1003</v>
      </c>
    </row>
    <row r="11479" spans="1:3" x14ac:dyDescent="0.25">
      <c r="A11479" s="8" t="str">
        <f>"PIERS 2010 Cambridge - Progress in Electromagnetics Research Symposium, Proceedings"</f>
        <v>PIERS 2010 Cambridge - Progress in Electromagnetics Research Symposium, Proceedings</v>
      </c>
      <c r="B11479" s="8" t="str">
        <f>"9781934142141"</f>
        <v>9781934142141</v>
      </c>
      <c r="C11479" s="8" t="s">
        <v>1003</v>
      </c>
    </row>
    <row r="11480" spans="1:3" x14ac:dyDescent="0.25">
      <c r="A11480" s="8" t="str">
        <f>"Pipe and Tube Houston 2007 - Seamless and Welded Technology for Global Markets"</f>
        <v>Pipe and Tube Houston 2007 - Seamless and Welded Technology for Global Markets</v>
      </c>
      <c r="B11480" s="8" t="str">
        <f>"9781604238662"</f>
        <v>9781604238662</v>
      </c>
      <c r="C11480" s="8" t="s">
        <v>2011</v>
      </c>
    </row>
    <row r="11481" spans="1:3" x14ac:dyDescent="0.25">
      <c r="A11481" s="8" t="str">
        <f>"Pipe and Tube Istanbul 2009 - International Technical Conference: Technology for Quality, Productivity and Profit"</f>
        <v>Pipe and Tube Istanbul 2009 - International Technical Conference: Technology for Quality, Productivity and Profit</v>
      </c>
      <c r="B11481" s="8" t="str">
        <f>"9781615679768"</f>
        <v>9781615679768</v>
      </c>
      <c r="C11481" s="8" t="s">
        <v>2011</v>
      </c>
    </row>
    <row r="11482" spans="1:3" x14ac:dyDescent="0.25">
      <c r="A11482" s="8" t="str">
        <f>"Pipe and Tube Nashville 2012 - Optimizing Operations Through Continuous Improvement"</f>
        <v>Pipe and Tube Nashville 2012 - Optimizing Operations Through Continuous Improvement</v>
      </c>
      <c r="B11482" s="8" t="str">
        <f>"9781622762408"</f>
        <v>9781622762408</v>
      </c>
      <c r="C11482" s="8" t="s">
        <v>2011</v>
      </c>
    </row>
    <row r="11483" spans="1:3" x14ac:dyDescent="0.25">
      <c r="A11483" s="8" t="str">
        <f>"Pipe and Tube Pittsburgh 2010"</f>
        <v>Pipe and Tube Pittsburgh 2010</v>
      </c>
      <c r="B11483" s="8" t="str">
        <f>"9781617822582"</f>
        <v>9781617822582</v>
      </c>
      <c r="C11483" s="8" t="s">
        <v>2011</v>
      </c>
    </row>
    <row r="11484" spans="1:3" x14ac:dyDescent="0.25">
      <c r="A11484" s="8" t="str">
        <f>"Pipe Dream 2008 India - Innovations and Technical Realities for Tube and Pipe Production"</f>
        <v>Pipe Dream 2008 India - Innovations and Technical Realities for Tube and Pipe Production</v>
      </c>
      <c r="B11484" s="8" t="str">
        <f>"9781605603193"</f>
        <v>9781605603193</v>
      </c>
      <c r="C11484" s="8" t="s">
        <v>2011</v>
      </c>
    </row>
    <row r="11485" spans="1:3" x14ac:dyDescent="0.25">
      <c r="A11485" s="8" t="str">
        <f>"Pipeline Pigging and Integrity Management Conference, PPIM 2015"</f>
        <v>Pipeline Pigging and Integrity Management Conference, PPIM 2015</v>
      </c>
      <c r="B11485" s="8" t="str">
        <f>"-"</f>
        <v>-</v>
      </c>
      <c r="C11485" s="8" t="s">
        <v>1398</v>
      </c>
    </row>
    <row r="11486" spans="1:3" x14ac:dyDescent="0.25">
      <c r="A11486" s="8" t="str">
        <f>"Pipeline Safety, Reliability, and Rehabiliation"</f>
        <v>Pipeline Safety, Reliability, and Rehabiliation</v>
      </c>
      <c r="B11486" s="8" t="str">
        <f>"9780784404522"</f>
        <v>9780784404522</v>
      </c>
      <c r="C11486" s="8" t="s">
        <v>111</v>
      </c>
    </row>
    <row r="11487" spans="1:3" x14ac:dyDescent="0.25">
      <c r="A11487" s="8" t="str">
        <f>"Pipelines 2001: Advances in Pipeline Engineering and Construction - Proceedings of the Pipeline 2001 Conference"</f>
        <v>Pipelines 2001: Advances in Pipeline Engineering and Construction - Proceedings of the Pipeline 2001 Conference</v>
      </c>
      <c r="B11487" s="8" t="str">
        <f>"9780784405741"</f>
        <v>9780784405741</v>
      </c>
      <c r="C11487" s="8" t="s">
        <v>111</v>
      </c>
    </row>
    <row r="11488" spans="1:3" x14ac:dyDescent="0.25">
      <c r="A11488" s="8" t="str">
        <f>"Pipelines 2002 - Beneath Our Feet: Challengers and Solutions - Proceedings of the Pipeline Division Specialty Conference"</f>
        <v>Pipelines 2002 - Beneath Our Feet: Challengers and Solutions - Proceedings of the Pipeline Division Specialty Conference</v>
      </c>
      <c r="B11488" s="8" t="str">
        <f>"9780784406410"</f>
        <v>9780784406410</v>
      </c>
      <c r="C11488" s="8" t="s">
        <v>111</v>
      </c>
    </row>
    <row r="11489" spans="1:3" x14ac:dyDescent="0.25">
      <c r="A11489" s="8" t="str">
        <f>"Pipelines 2007: Advances and Experiences with Trenchless Pipeline Projects - Proceedings of the ASCE International Conference on Pipeline Engineering and Construction"</f>
        <v>Pipelines 2007: Advances and Experiences with Trenchless Pipeline Projects - Proceedings of the ASCE International Conference on Pipeline Engineering and Construction</v>
      </c>
      <c r="B11489" s="8" t="str">
        <f>"9780784409343"</f>
        <v>9780784409343</v>
      </c>
      <c r="C11489" s="8" t="s">
        <v>111</v>
      </c>
    </row>
    <row r="11490" spans="1:3" x14ac:dyDescent="0.25">
      <c r="A11490" s="8" t="str">
        <f>"Pipelines 2009: Infrastructure's Hidden Assets - Proceedings of the Pipelines 2009 Conference"</f>
        <v>Pipelines 2009: Infrastructure's Hidden Assets - Proceedings of the Pipelines 2009 Conference</v>
      </c>
      <c r="B11490" s="8" t="str">
        <f>"9780784410691"</f>
        <v>9780784410691</v>
      </c>
      <c r="C11490" s="8" t="s">
        <v>111</v>
      </c>
    </row>
    <row r="11491" spans="1:3" x14ac:dyDescent="0.25">
      <c r="A11491" s="8" t="str">
        <f>"Pipelines 2010: Climbing New Peaks to Infrastructure Reliability - Renew, Rehab, and Reinvest - Proc. of the Pipelines 2010 Conference"</f>
        <v>Pipelines 2010: Climbing New Peaks to Infrastructure Reliability - Renew, Rehab, and Reinvest - Proc. of the Pipelines 2010 Conference</v>
      </c>
      <c r="B11491" s="8" t="str">
        <f>"9780784411384"</f>
        <v>9780784411384</v>
      </c>
      <c r="C11491" s="8" t="s">
        <v>111</v>
      </c>
    </row>
    <row r="11492" spans="1:3" x14ac:dyDescent="0.25">
      <c r="A11492" s="8" t="str">
        <f>"Pipelines 2011: A Sound Conduit for Sharing Solutions - Proceedings of the Pipelines 2011 Conference"</f>
        <v>Pipelines 2011: A Sound Conduit for Sharing Solutions - Proceedings of the Pipelines 2011 Conference</v>
      </c>
      <c r="B11492" s="8" t="str">
        <f>"9780784411872"</f>
        <v>9780784411872</v>
      </c>
      <c r="C11492" s="8" t="s">
        <v>111</v>
      </c>
    </row>
    <row r="11493" spans="1:3" x14ac:dyDescent="0.25">
      <c r="A11493" s="8" t="str">
        <f>"Pipelines 2012: Innovations in Design, Construction, Operations, and Maintenance - Doing More with Less - Proceedings of the Pipelines 2012 Conference"</f>
        <v>Pipelines 2012: Innovations in Design, Construction, Operations, and Maintenance - Doing More with Less - Proceedings of the Pipelines 2012 Conference</v>
      </c>
      <c r="B11493" s="8" t="str">
        <f>"9780784412480"</f>
        <v>9780784412480</v>
      </c>
      <c r="C11493" s="8" t="s">
        <v>111</v>
      </c>
    </row>
    <row r="11494" spans="1:3" x14ac:dyDescent="0.25">
      <c r="A11494" s="8" t="str">
        <f>"Pipelines 2013: Pipelines and Trenchless Construction and Renewals - A Global Perspective - Proceedings of the Pipelines 2013 Conference"</f>
        <v>Pipelines 2013: Pipelines and Trenchless Construction and Renewals - A Global Perspective - Proceedings of the Pipelines 2013 Conference</v>
      </c>
      <c r="B11494" s="8" t="str">
        <f>"9780784413012"</f>
        <v>9780784413012</v>
      </c>
      <c r="C11494" s="8" t="s">
        <v>111</v>
      </c>
    </row>
    <row r="11495" spans="1:3" x14ac:dyDescent="0.25">
      <c r="A11495" s="8" t="str">
        <f>"Pipelines 2015: Recent Advances in Underground Pipeline Engineering and Construction - Proceedings of the Pipelines 2015 Conference"</f>
        <v>Pipelines 2015: Recent Advances in Underground Pipeline Engineering and Construction - Proceedings of the Pipelines 2015 Conference</v>
      </c>
      <c r="B11495" s="8" t="str">
        <f>"9780784479360"</f>
        <v>9780784479360</v>
      </c>
      <c r="C11495" s="8" t="s">
        <v>111</v>
      </c>
    </row>
    <row r="11496" spans="1:3" x14ac:dyDescent="0.25">
      <c r="A11496" s="8" t="str">
        <f>"PIVP 2014 - Proceedings of the 1st International Workshop on Perception Inspired Video Processing, Workshop of MM 2014"</f>
        <v>PIVP 2014 - Proceedings of the 1st International Workshop on Perception Inspired Video Processing, Workshop of MM 2014</v>
      </c>
      <c r="B11496" s="8" t="str">
        <f>"9781450331258"</f>
        <v>9781450331258</v>
      </c>
      <c r="C11496" s="8" t="s">
        <v>1235</v>
      </c>
    </row>
    <row r="11497" spans="1:3" x14ac:dyDescent="0.25">
      <c r="A11497" s="8" t="str">
        <f>"PLACE Conference and the Global Hot Melt Symposium"</f>
        <v>PLACE Conference and the Global Hot Melt Symposium</v>
      </c>
      <c r="B11497" s="8" t="str">
        <f>"9781930657106"</f>
        <v>9781930657106</v>
      </c>
      <c r="C11497" s="8" t="s">
        <v>306</v>
      </c>
    </row>
    <row r="11498" spans="1:3" x14ac:dyDescent="0.25">
      <c r="A11498" s="8" t="str">
        <f>"PLACE Flexible Packaging Summit 2009 - 2009 Consumer Packaging Solutions for Barrier Performance Course and 2009 Symposium on Nanomaterials for Flexible Packaging"</f>
        <v>PLACE Flexible Packaging Summit 2009 - 2009 Consumer Packaging Solutions for Barrier Performance Course and 2009 Symposium on Nanomaterials for Flexible Packaging</v>
      </c>
      <c r="B11498" s="8" t="str">
        <f>"9781617387913"</f>
        <v>9781617387913</v>
      </c>
      <c r="C11498" s="8" t="s">
        <v>1099</v>
      </c>
    </row>
    <row r="11499" spans="1:3" x14ac:dyDescent="0.25">
      <c r="A11499" s="8" t="str">
        <f>"Planning for Water and Waste in Hot Countries: Proceedings of the 3rd WEDC Conference"</f>
        <v>Planning for Water and Waste in Hot Countries: Proceedings of the 3rd WEDC Conference</v>
      </c>
      <c r="B11499" s="8" t="str">
        <f>"-"</f>
        <v>-</v>
      </c>
      <c r="C11499" s="8" t="s">
        <v>1486</v>
      </c>
    </row>
    <row r="11500" spans="1:3" x14ac:dyDescent="0.25">
      <c r="A11500" s="8" t="str">
        <f>"Plant Growth Modeling, Simulation, Visualization and Applications, Proceedings - PMA09"</f>
        <v>Plant Growth Modeling, Simulation, Visualization and Applications, Proceedings - PMA09</v>
      </c>
      <c r="B11500" s="8" t="str">
        <f>"9780769539881"</f>
        <v>9780769539881</v>
      </c>
      <c r="C11500" s="8" t="s">
        <v>9</v>
      </c>
    </row>
    <row r="11501" spans="1:3" x14ac:dyDescent="0.25">
      <c r="A11501" s="8" t="str">
        <f>"PLAS 2006 - Proceedings of the 2006 Programming Languages and Analysis for Security Workshop"</f>
        <v>PLAS 2006 - Proceedings of the 2006 Programming Languages and Analysis for Security Workshop</v>
      </c>
      <c r="B11501" s="8" t="str">
        <f>"-"</f>
        <v>-</v>
      </c>
      <c r="C11501" s="8" t="s">
        <v>21</v>
      </c>
    </row>
    <row r="11502" spans="1:3" x14ac:dyDescent="0.25">
      <c r="A11502" s="8" t="str">
        <f>"PLAS 2013 - Proceedings of the 2013 ACM SIGPLAN Workshop on Programming Languages and Analysis for Security, Co-located with PLDI 2013"</f>
        <v>PLAS 2013 - Proceedings of the 2013 ACM SIGPLAN Workshop on Programming Languages and Analysis for Security, Co-located with PLDI 2013</v>
      </c>
      <c r="B11502" s="8" t="str">
        <f>"9781450321440"</f>
        <v>9781450321440</v>
      </c>
      <c r="C11502" s="8" t="s">
        <v>21</v>
      </c>
    </row>
    <row r="11503" spans="1:3" x14ac:dyDescent="0.25">
      <c r="A11503" s="8" t="str">
        <f>"PLAS'07 - Proceedings of the 2007 ACM SIGPLAN Workshop on Programming Languages and Analysis for Security"</f>
        <v>PLAS'07 - Proceedings of the 2007 ACM SIGPLAN Workshop on Programming Languages and Analysis for Security</v>
      </c>
      <c r="B11503" s="8" t="str">
        <f>"9781595937117"</f>
        <v>9781595937117</v>
      </c>
      <c r="C11503" s="8" t="s">
        <v>21</v>
      </c>
    </row>
    <row r="11504" spans="1:3" x14ac:dyDescent="0.25">
      <c r="A11504" s="8" t="str">
        <f>"PLAS'08: Proceedings of the ACM SIGPLAN 3rd Workshop on Programming Languages and Analysis for Security"</f>
        <v>PLAS'08: Proceedings of the ACM SIGPLAN 3rd Workshop on Programming Languages and Analysis for Security</v>
      </c>
      <c r="B11504" s="8" t="str">
        <f>"9781595939364"</f>
        <v>9781595939364</v>
      </c>
      <c r="C11504" s="8" t="s">
        <v>21</v>
      </c>
    </row>
    <row r="11505" spans="1:3" x14ac:dyDescent="0.25">
      <c r="A11505" s="8" t="str">
        <f>"PLAS'09 - Proceedings of the ACM SIGPLAN 4th Workshop on Programming Languages and Analysis for Security"</f>
        <v>PLAS'09 - Proceedings of the ACM SIGPLAN 4th Workshop on Programming Languages and Analysis for Security</v>
      </c>
      <c r="B11505" s="8" t="str">
        <f>"9781605586458"</f>
        <v>9781605586458</v>
      </c>
      <c r="C11505" s="8" t="s">
        <v>21</v>
      </c>
    </row>
    <row r="11506" spans="1:3" x14ac:dyDescent="0.25">
      <c r="A11506" s="8" t="str">
        <f>"PLAS'12 - Proceedings of Programming Languages and Analysis for Security"</f>
        <v>PLAS'12 - Proceedings of Programming Languages and Analysis for Security</v>
      </c>
      <c r="B11506" s="8" t="str">
        <f>"9781450314411"</f>
        <v>9781450314411</v>
      </c>
      <c r="C11506" s="8" t="s">
        <v>21</v>
      </c>
    </row>
    <row r="11507" spans="1:3" x14ac:dyDescent="0.25">
      <c r="A11507" s="8" t="str">
        <f>"PLASTIC'11 - Proceedings of the 1st ACM SIGPLAN International Workshop on Programming Language and Systems Technologies for Internet Clients"</f>
        <v>PLASTIC'11 - Proceedings of the 1st ACM SIGPLAN International Workshop on Programming Language and Systems Technologies for Internet Clients</v>
      </c>
      <c r="B11507" s="8" t="str">
        <f>"9781450311717"</f>
        <v>9781450311717</v>
      </c>
      <c r="C11507" s="8" t="s">
        <v>21</v>
      </c>
    </row>
    <row r="11508" spans="1:3" x14ac:dyDescent="0.25">
      <c r="A11508" s="8" t="str">
        <f>"PlastOx 2007 - Mecanismes et Mecanique des Interactions Plasticite - Environnement"</f>
        <v>PlastOx 2007 - Mecanismes et Mecanique des Interactions Plasticite - Environnement</v>
      </c>
      <c r="B11508" s="8" t="str">
        <f>"9782759804160"</f>
        <v>9782759804160</v>
      </c>
      <c r="C11508" s="8" t="s">
        <v>161</v>
      </c>
    </row>
    <row r="11509" spans="1:3" x14ac:dyDescent="0.25">
      <c r="A11509" s="8" t="str">
        <f>"PLATEAU 2014 - Proceedings of the 2014 ACM SIGPLAN Workshop on Evaluation and Usability of Programming Languages and Tools, Part of SPLASH 2014"</f>
        <v>PLATEAU 2014 - Proceedings of the 2014 ACM SIGPLAN Workshop on Evaluation and Usability of Programming Languages and Tools, Part of SPLASH 2014</v>
      </c>
      <c r="B11509" s="8" t="str">
        <f>"9781450322775"</f>
        <v>9781450322775</v>
      </c>
      <c r="C11509" s="8" t="s">
        <v>1235</v>
      </c>
    </row>
    <row r="11510" spans="1:3" x14ac:dyDescent="0.25">
      <c r="A11510" s="8" t="str">
        <f>"PLATEAU'11 - Proceedings of the 3rd ACM SIGPLAN Workshop on Evaluation and Usability of Programming Languages and Tools"</f>
        <v>PLATEAU'11 - Proceedings of the 3rd ACM SIGPLAN Workshop on Evaluation and Usability of Programming Languages and Tools</v>
      </c>
      <c r="B11510" s="8" t="str">
        <f>"9781450310246"</f>
        <v>9781450310246</v>
      </c>
      <c r="C11510" s="8" t="s">
        <v>21</v>
      </c>
    </row>
    <row r="11511" spans="1:3" x14ac:dyDescent="0.25">
      <c r="A11511" s="8" t="str">
        <f>"PLEA 2006 - 23rd International Conference on Passive and Low Energy Architecture, Conference Proceedings"</f>
        <v>PLEA 2006 - 23rd International Conference on Passive and Low Energy Architecture, Conference Proceedings</v>
      </c>
      <c r="B11511" s="8" t="str">
        <f>"-"</f>
        <v>-</v>
      </c>
      <c r="C11511" s="8" t="s">
        <v>2032</v>
      </c>
    </row>
    <row r="11512" spans="1:3" x14ac:dyDescent="0.25">
      <c r="A11512" s="8" t="str">
        <f>"PLEA 2008 - Towards Zero Energy Building: 25th PLEA International Conference on Passive and Low Energy Architecture, Conference Proceedings"</f>
        <v>PLEA 2008 - Towards Zero Energy Building: 25th PLEA International Conference on Passive and Low Energy Architecture, Conference Proceedings</v>
      </c>
      <c r="B11512" s="8" t="str">
        <f>"9781905254347"</f>
        <v>9781905254347</v>
      </c>
      <c r="C11512" s="8" t="s">
        <v>2033</v>
      </c>
    </row>
    <row r="11513" spans="1:3" x14ac:dyDescent="0.25">
      <c r="A11513" s="8" t="str">
        <f>"PLEA 2009 - Architecture Energy and the Occupant's Perspective: Proceedings of the 26th International Conference on Passive and Low Energy Architecture"</f>
        <v>PLEA 2009 - Architecture Energy and the Occupant's Perspective: Proceedings of the 26th International Conference on Passive and Low Energy Architecture</v>
      </c>
      <c r="B11513" s="8" t="str">
        <f>"9782763789392"</f>
        <v>9782763789392</v>
      </c>
      <c r="C11513" s="8" t="s">
        <v>2034</v>
      </c>
    </row>
    <row r="11514" spans="1:3" x14ac:dyDescent="0.25">
      <c r="A11514" s="8" t="str">
        <f>"PLEA 2011 - Architecture and Sustainable Development, Conference Proceedings of the 27th International Conference on Passive and Low Energy Architecture"</f>
        <v>PLEA 2011 - Architecture and Sustainable Development, Conference Proceedings of the 27th International Conference on Passive and Low Energy Architecture</v>
      </c>
      <c r="B11514" s="8" t="str">
        <f>"9782874632761"</f>
        <v>9782874632761</v>
      </c>
      <c r="C11514" s="8" t="s">
        <v>2035</v>
      </c>
    </row>
    <row r="11515" spans="1:3" x14ac:dyDescent="0.25">
      <c r="A11515" s="8" t="str">
        <f>"PLEAD 2013 - Proceedings of the Workshop on Politics, Elections and Data, Co-located with CIKM 2013"</f>
        <v>PLEAD 2013 - Proceedings of the Workshop on Politics, Elections and Data, Co-located with CIKM 2013</v>
      </c>
      <c r="B11515" s="8" t="str">
        <f>"9781450324182"</f>
        <v>9781450324182</v>
      </c>
      <c r="C11515" s="8" t="s">
        <v>21</v>
      </c>
    </row>
    <row r="11516" spans="1:3" x14ac:dyDescent="0.25">
      <c r="A11516" s="8" t="str">
        <f>"PLoP 2006 - PLoP Pattern Languages of Programs 2006 Conference Proceedings"</f>
        <v>PLoP 2006 - PLoP Pattern Languages of Programs 2006 Conference Proceedings</v>
      </c>
      <c r="B11516" s="8" t="str">
        <f>"9781605583723"</f>
        <v>9781605583723</v>
      </c>
      <c r="C11516" s="8" t="s">
        <v>21</v>
      </c>
    </row>
    <row r="11517" spans="1:3" x14ac:dyDescent="0.25">
      <c r="A11517" s="8" t="str">
        <f>"PLoP 2006 - PLoP Pattern Languages of Programs 2006 Conference Proceedings"</f>
        <v>PLoP 2006 - PLoP Pattern Languages of Programs 2006 Conference Proceedings</v>
      </c>
      <c r="B11517" s="8" t="str">
        <f>"9781605583723"</f>
        <v>9781605583723</v>
      </c>
      <c r="C11517" s="8" t="s">
        <v>21</v>
      </c>
    </row>
    <row r="11518" spans="1:3" x14ac:dyDescent="0.25">
      <c r="A11518" s="8" t="str">
        <f>"PLoP08 - 15th Conference on Pattern Languages of Programs, Proceedings"</f>
        <v>PLoP08 - 15th Conference on Pattern Languages of Programs, Proceedings</v>
      </c>
      <c r="B11518" s="8" t="str">
        <f>"9781605581514"</f>
        <v>9781605581514</v>
      </c>
      <c r="C11518" s="8" t="s">
        <v>21</v>
      </c>
    </row>
    <row r="11519" spans="1:3" x14ac:dyDescent="0.25">
      <c r="A11519" s="8" t="str">
        <f>"PLPV 2013 - Proceedings of the 2013 ACM SIGPLAN Workshop on Programming Languages Meets Program Verification, Co-located with POPL 2013"</f>
        <v>PLPV 2013 - Proceedings of the 2013 ACM SIGPLAN Workshop on Programming Languages Meets Program Verification, Co-located with POPL 2013</v>
      </c>
      <c r="B11519" s="8" t="str">
        <f>"9781450318600"</f>
        <v>9781450318600</v>
      </c>
      <c r="C11519" s="8" t="s">
        <v>21</v>
      </c>
    </row>
    <row r="11520" spans="1:3" x14ac:dyDescent="0.25">
      <c r="A11520" s="8" t="str">
        <f>"PLPV 2014 - Proceedings of the 2014 ACM SIGPLAN Workshop on Programming Languages Meets Program Verification, Co-located with POPL 2014"</f>
        <v>PLPV 2014 - Proceedings of the 2014 ACM SIGPLAN Workshop on Programming Languages Meets Program Verification, Co-located with POPL 2014</v>
      </c>
      <c r="B11520" s="8" t="str">
        <f>"9781450325677"</f>
        <v>9781450325677</v>
      </c>
      <c r="C11520" s="8" t="s">
        <v>21</v>
      </c>
    </row>
    <row r="11521" spans="1:3" x14ac:dyDescent="0.25">
      <c r="A11521" s="8" t="str">
        <f>"PLPV'07: Proceedings of the 2007 Workshop on Programming Languages meets Program Verification"</f>
        <v>PLPV'07: Proceedings of the 2007 Workshop on Programming Languages meets Program Verification</v>
      </c>
      <c r="B11521" s="8" t="str">
        <f>"9781595936776"</f>
        <v>9781595936776</v>
      </c>
      <c r="C11521" s="8" t="s">
        <v>21</v>
      </c>
    </row>
    <row r="11522" spans="1:3" x14ac:dyDescent="0.25">
      <c r="A11522" s="8" t="str">
        <f>"PLPV'10 - Proceedings of the 2010 ACM SIGPLAN Workshop on Programming Languages meets Program Verification"</f>
        <v>PLPV'10 - Proceedings of the 2010 ACM SIGPLAN Workshop on Programming Languages meets Program Verification</v>
      </c>
      <c r="B11522" s="8" t="str">
        <f>"9781605588902"</f>
        <v>9781605588902</v>
      </c>
      <c r="C11522" s="8" t="s">
        <v>21</v>
      </c>
    </row>
    <row r="11523" spans="1:3" x14ac:dyDescent="0.25">
      <c r="A11523" s="8" t="str">
        <f>"PLPV'11 - Proceedings of the 5th ACM Workshop on Programming Languages Meets Program Verification"</f>
        <v>PLPV'11 - Proceedings of the 5th ACM Workshop on Programming Languages Meets Program Verification</v>
      </c>
      <c r="B11523" s="8" t="str">
        <f>"9781450304870"</f>
        <v>9781450304870</v>
      </c>
      <c r="C11523" s="8" t="s">
        <v>21</v>
      </c>
    </row>
    <row r="11524" spans="1:3" x14ac:dyDescent="0.25">
      <c r="A11524" s="8" t="str">
        <f>"Plutonium Futures - The Science 2010"</f>
        <v>Plutonium Futures - The Science 2010</v>
      </c>
      <c r="B11524" s="8" t="str">
        <f>"9780894480829"</f>
        <v>9780894480829</v>
      </c>
      <c r="C11524" s="8" t="s">
        <v>453</v>
      </c>
    </row>
    <row r="11525" spans="1:3" x14ac:dyDescent="0.25">
      <c r="A11525" s="8" t="str">
        <f>"Plutonium Futures: The Science 2014"</f>
        <v>Plutonium Futures: The Science 2014</v>
      </c>
      <c r="B11525" s="8" t="str">
        <f>"9781510808089"</f>
        <v>9781510808089</v>
      </c>
      <c r="C11525" s="8" t="s">
        <v>453</v>
      </c>
    </row>
    <row r="11526" spans="1:3" x14ac:dyDescent="0.25">
      <c r="A11526" s="8" t="str">
        <f>"PM2HW2N 2006: Proceedings of 2006 ACM International Workshop on Performance Monitoring, Measurement, and Evaluation of Heterogeneous Wireless and Wired Networks"</f>
        <v>PM2HW2N 2006: Proceedings of 2006 ACM International Workshop on Performance Monitoring, Measurement, and Evaluation of Heterogeneous Wireless and Wired Networks</v>
      </c>
      <c r="B11526" s="8" t="str">
        <f>"9781595935021"</f>
        <v>9781595935021</v>
      </c>
      <c r="C11526" s="8" t="s">
        <v>21</v>
      </c>
    </row>
    <row r="11527" spans="1:3" x14ac:dyDescent="0.25">
      <c r="A11527" s="8" t="str">
        <f>"PM2HW2N 2013 - Proceedings of the 8th ACM Workshop on Performance Monitoring and Measurement of Heterogeneous Wireless and Wired Networks, Co-located with ACM MSWiM 2013"</f>
        <v>PM2HW2N 2013 - Proceedings of the 8th ACM Workshop on Performance Monitoring and Measurement of Heterogeneous Wireless and Wired Networks, Co-located with ACM MSWiM 2013</v>
      </c>
      <c r="B11527" s="8" t="str">
        <f>"9781450323710"</f>
        <v>9781450323710</v>
      </c>
      <c r="C11527" s="8" t="s">
        <v>21</v>
      </c>
    </row>
    <row r="11528" spans="1:3" x14ac:dyDescent="0.25">
      <c r="A11528" s="8" t="str">
        <f>"PM2HW2N'07: Proceedings of the Second ACM Workshop on Performance Monitoring and Measurement of Heterogeneous Wireless and Wired Networks"</f>
        <v>PM2HW2N'07: Proceedings of the Second ACM Workshop on Performance Monitoring and Measurement of Heterogeneous Wireless and Wired Networks</v>
      </c>
      <c r="B11528" s="8" t="str">
        <f>"9781595938053"</f>
        <v>9781595938053</v>
      </c>
      <c r="C11528" s="8" t="s">
        <v>21</v>
      </c>
    </row>
    <row r="11529" spans="1:3" x14ac:dyDescent="0.25">
      <c r="A11529" s="8" t="str">
        <f>"PM2HW2N'08 - Proceedings of the 3rd ACM International Workshop on Performance Monitoring, Measurement, and Evaluation of Heterogeneous Wireless and Wired Networks"</f>
        <v>PM2HW2N'08 - Proceedings of the 3rd ACM International Workshop on Performance Monitoring, Measurement, and Evaluation of Heterogeneous Wireless and Wired Networks</v>
      </c>
      <c r="B11529" s="8" t="str">
        <f>"9781605582399"</f>
        <v>9781605582399</v>
      </c>
      <c r="C11529" s="8" t="s">
        <v>21</v>
      </c>
    </row>
    <row r="11530" spans="1:3" x14ac:dyDescent="0.25">
      <c r="A11530" s="8" t="str">
        <f>"PM2HW2N'09 - Proceedings of the 4th ACM International Workshop on Performance Monitoring, Measurement, and Evaluation of Heterogeneous Wireless and Wired Networks"</f>
        <v>PM2HW2N'09 - Proceedings of the 4th ACM International Workshop on Performance Monitoring, Measurement, and Evaluation of Heterogeneous Wireless and Wired Networks</v>
      </c>
      <c r="B11530" s="8" t="str">
        <f>"9781605586212"</f>
        <v>9781605586212</v>
      </c>
      <c r="C11530" s="8" t="s">
        <v>21</v>
      </c>
    </row>
    <row r="11531" spans="1:3" x14ac:dyDescent="0.25">
      <c r="A11531" s="8" t="str">
        <f>"PM2HW2N'11 - Proceedings of the 6th ACM International Workshop on Performance Monitoring, Measurement, and Evaluation of Heterogeneous Wireless and Wired Networks"</f>
        <v>PM2HW2N'11 - Proceedings of the 6th ACM International Workshop on Performance Monitoring, Measurement, and Evaluation of Heterogeneous Wireless and Wired Networks</v>
      </c>
      <c r="B11531" s="8" t="str">
        <f>"9781450309028"</f>
        <v>9781450309028</v>
      </c>
      <c r="C11531" s="8" t="s">
        <v>21</v>
      </c>
    </row>
    <row r="11532" spans="1:3" x14ac:dyDescent="0.25">
      <c r="A11532" s="8" t="str">
        <f>"PM2HW2N'12 - Proceedings of the 7th ACM Workshop on Performance Monitoring and Measurement of Heterogeneous Wireless and Wired Networks"</f>
        <v>PM2HW2N'12 - Proceedings of the 7th ACM Workshop on Performance Monitoring and Measurement of Heterogeneous Wireless and Wired Networks</v>
      </c>
      <c r="B11532" s="8" t="str">
        <f>"9781450316262"</f>
        <v>9781450316262</v>
      </c>
      <c r="C11532" s="8" t="s">
        <v>21</v>
      </c>
    </row>
    <row r="11533" spans="1:3" x14ac:dyDescent="0.25">
      <c r="A11533" s="8" t="str">
        <f>"PMBS'11 - Proceedings of the 2nd International Workshop on Performance Modeling, Benchmarking and Simulation of High Performance Computing Systems, Co-located with SC'11"</f>
        <v>PMBS'11 - Proceedings of the 2nd International Workshop on Performance Modeling, Benchmarking and Simulation of High Performance Computing Systems, Co-located with SC'11</v>
      </c>
      <c r="B11533" s="8" t="str">
        <f>"9781450311021"</f>
        <v>9781450311021</v>
      </c>
      <c r="C11533" s="8" t="s">
        <v>21</v>
      </c>
    </row>
    <row r="11534" spans="1:3" x14ac:dyDescent="0.25">
      <c r="A11534" s="8" t="str">
        <f>"POF 2011: 20th International Conference on Plastic Optical Fibers - Conference Proceeding"</f>
        <v>POF 2011: 20th International Conference on Plastic Optical Fibers - Conference Proceeding</v>
      </c>
      <c r="B11534" s="8" t="str">
        <f>"-"</f>
        <v>-</v>
      </c>
      <c r="C11534" s="8" t="s">
        <v>2036</v>
      </c>
    </row>
    <row r="11535" spans="1:3" x14ac:dyDescent="0.25">
      <c r="A11535" s="8" t="str">
        <f>"POF 2012: 21st International Conference on Plastic Optical Fibers - Proceedings"</f>
        <v>POF 2012: 21st International Conference on Plastic Optical Fibers - Proceedings</v>
      </c>
      <c r="B11535" s="8" t="str">
        <f>"-"</f>
        <v>-</v>
      </c>
      <c r="C11535" s="8" t="s">
        <v>2036</v>
      </c>
    </row>
    <row r="11536" spans="1:3" x14ac:dyDescent="0.25">
      <c r="A11536" s="8" t="str">
        <f>"POF 2014 - 23rd International Conference on Plastic Optical Fibers, Proceedings"</f>
        <v>POF 2014 - 23rd International Conference on Plastic Optical Fibers, Proceedings</v>
      </c>
      <c r="B11536" s="8" t="str">
        <f>"-"</f>
        <v>-</v>
      </c>
      <c r="C11536" s="8" t="s">
        <v>2036</v>
      </c>
    </row>
    <row r="11537" spans="1:3" x14ac:dyDescent="0.25">
      <c r="A11537" s="8" t="str">
        <f>"Polymer Nanocomposites 2010: A New Decade of Opportunities"</f>
        <v>Polymer Nanocomposites 2010: A New Decade of Opportunities</v>
      </c>
      <c r="B11537" s="8" t="str">
        <f>"-"</f>
        <v>-</v>
      </c>
      <c r="C11537" s="8" t="s">
        <v>132</v>
      </c>
    </row>
    <row r="11538" spans="1:3" x14ac:dyDescent="0.25">
      <c r="A11538" s="8" t="str">
        <f>"Polytronic 2005: 5th International Conference on Polymers and Adhesives in Microelectronics and Photonics - Proceedings"</f>
        <v>Polytronic 2005: 5th International Conference on Polymers and Adhesives in Microelectronics and Photonics - Proceedings</v>
      </c>
      <c r="B11538" s="8" t="str">
        <f>"-"</f>
        <v>-</v>
      </c>
      <c r="C11538" s="8" t="s">
        <v>9</v>
      </c>
    </row>
    <row r="11539" spans="1:3" x14ac:dyDescent="0.25">
      <c r="A11539" s="8" t="str">
        <f>"Poromechanics III: Biot Centennial (1905-2005) - Proceedings of the 3rd Biot Conference on Poromechanics"</f>
        <v>Poromechanics III: Biot Centennial (1905-2005) - Proceedings of the 3rd Biot Conference on Poromechanics</v>
      </c>
      <c r="B11539" s="8" t="str">
        <f>"9780415380416"</f>
        <v>9780415380416</v>
      </c>
      <c r="C11539" s="8" t="s">
        <v>1650</v>
      </c>
    </row>
    <row r="11540" spans="1:3" x14ac:dyDescent="0.25">
      <c r="A11540" s="8" t="str">
        <f>"Poromechanics IV - 4th Biot Conference on Poromechanics"</f>
        <v>Poromechanics IV - 4th Biot Conference on Poromechanics</v>
      </c>
      <c r="B11540" s="8" t="str">
        <f>"9781605950068"</f>
        <v>9781605950068</v>
      </c>
      <c r="C11540" s="8" t="s">
        <v>1313</v>
      </c>
    </row>
    <row r="11541" spans="1:3" x14ac:dyDescent="0.25">
      <c r="A11541" s="8" t="str">
        <f>"Poromechanics V - Proceedings of the 5th Biot Conference on Poromechanics"</f>
        <v>Poromechanics V - Proceedings of the 5th Biot Conference on Poromechanics</v>
      </c>
      <c r="B11541" s="8" t="str">
        <f>"9780784412992"</f>
        <v>9780784412992</v>
      </c>
      <c r="C11541" s="8" t="s">
        <v>111</v>
      </c>
    </row>
    <row r="11542" spans="1:3" x14ac:dyDescent="0.25">
      <c r="A11542" s="8" t="str">
        <f>"Port Development in the Changing World, PORTS 2004, Proceedings of the Conference"</f>
        <v>Port Development in the Changing World, PORTS 2004, Proceedings of the Conference</v>
      </c>
      <c r="B11542" s="8" t="str">
        <f>"9780784407271"</f>
        <v>9780784407271</v>
      </c>
      <c r="C11542" s="8" t="s">
        <v>111</v>
      </c>
    </row>
    <row r="11543" spans="1:3" x14ac:dyDescent="0.25">
      <c r="A11543" s="8" t="str">
        <f>"PORTABLE-POLYTRONIC 2008 - 2nd IEEE International Interdisciplinary Conference on Portable Information Devices and the 2008 7th IEEE Conference on Polymers and Adhesives in Microelectronics and Photon"</f>
        <v>PORTABLE-POLYTRONIC 2008 - 2nd IEEE International Interdisciplinary Conference on Portable Information Devices and the 2008 7th IEEE Conference on Polymers and Adhesives in Microelectronics and Photon</v>
      </c>
      <c r="B11543" s="8" t="str">
        <f>"9781424421411"</f>
        <v>9781424421411</v>
      </c>
      <c r="C11543" s="8" t="s">
        <v>9</v>
      </c>
    </row>
    <row r="11544" spans="1:3" x14ac:dyDescent="0.25">
      <c r="A11544" s="8" t="str">
        <f>"Ports 2001: America's Ports - Gateways to the Global Economy - Proceedings of the Ports 2001 Conference"</f>
        <v>Ports 2001: America's Ports - Gateways to the Global Economy - Proceedings of the Ports 2001 Conference</v>
      </c>
      <c r="B11544" s="8" t="str">
        <f>"9780784405550"</f>
        <v>9780784405550</v>
      </c>
      <c r="C11544" s="8" t="s">
        <v>111</v>
      </c>
    </row>
    <row r="11545" spans="1:3" x14ac:dyDescent="0.25">
      <c r="A11545" s="8" t="str">
        <f>"Ports 2007: 30 Years of Sharing Ideas 1977-2007; Proceedings of the Eleventh Triennial International Conference"</f>
        <v>Ports 2007: 30 Years of Sharing Ideas 1977-2007; Proceedings of the Eleventh Triennial International Conference</v>
      </c>
      <c r="B11545" s="8" t="str">
        <f>"9780784408346"</f>
        <v>9780784408346</v>
      </c>
      <c r="C11545" s="8" t="s">
        <v>111</v>
      </c>
    </row>
    <row r="11546" spans="1:3" x14ac:dyDescent="0.25">
      <c r="A11546" s="8" t="str">
        <f>"Ports 2010: Building on the Past, Respecting the Future - Proceedings of the 12th Triannual International Conference"</f>
        <v>Ports 2010: Building on the Past, Respecting the Future - Proceedings of the 12th Triannual International Conference</v>
      </c>
      <c r="B11546" s="8" t="str">
        <f>"9780784410981"</f>
        <v>9780784410981</v>
      </c>
      <c r="C11546" s="8" t="s">
        <v>111</v>
      </c>
    </row>
    <row r="11547" spans="1:3" x14ac:dyDescent="0.25">
      <c r="A11547" s="8" t="str">
        <f>"Ports 2013: Success Through Diversification - Proceedings of the 13th Triennial International Conference"</f>
        <v>Ports 2013: Success Through Diversification - Proceedings of the 13th Triennial International Conference</v>
      </c>
      <c r="B11547" s="8" t="str">
        <f>"9780784413067"</f>
        <v>9780784413067</v>
      </c>
      <c r="C11547" s="8" t="s">
        <v>111</v>
      </c>
    </row>
    <row r="11548" spans="1:3" x14ac:dyDescent="0.25">
      <c r="A11548" s="8" t="str">
        <f>"Portugal SB 2007 - Sustainable Construction, Materials and Practices: Challenge of the Industry for the New Millennium"</f>
        <v>Portugal SB 2007 - Sustainable Construction, Materials and Practices: Challenge of the Industry for the New Millennium</v>
      </c>
      <c r="B11548" s="8" t="str">
        <f>"9781586037857"</f>
        <v>9781586037857</v>
      </c>
      <c r="C11548" s="8" t="s">
        <v>103</v>
      </c>
    </row>
    <row r="11549" spans="1:3" x14ac:dyDescent="0.25">
      <c r="A11549" s="8" t="str">
        <f>"Post Workshop Proceedings - EDBT 2008 Ph.D. Workshop"</f>
        <v>Post Workshop Proceedings - EDBT 2008 Ph.D. Workshop</v>
      </c>
      <c r="B11549" s="8" t="str">
        <f>"9781595939685"</f>
        <v>9781595939685</v>
      </c>
      <c r="C11549" s="8" t="s">
        <v>21</v>
      </c>
    </row>
    <row r="11550" spans="1:3" x14ac:dyDescent="0.25">
      <c r="A11550" s="8" t="str">
        <f>"Post-Proceedings of the 19th GI-Workshop on Foundations of Databases"</f>
        <v>Post-Proceedings of the 19th GI-Workshop on Foundations of Databases</v>
      </c>
      <c r="B11550" s="8" t="str">
        <f>"-"</f>
        <v>-</v>
      </c>
      <c r="C11550" s="8" t="s">
        <v>2037</v>
      </c>
    </row>
    <row r="11551" spans="1:3" x14ac:dyDescent="0.25">
      <c r="A11551" s="8" t="str">
        <f>"Post-Proceedings of the 4th International Conference on Risks and Security of Internet and Systems, CRiSIS 2009"</f>
        <v>Post-Proceedings of the 4th International Conference on Risks and Security of Internet and Systems, CRiSIS 2009</v>
      </c>
      <c r="B11551" s="8" t="str">
        <f>"9781424444991"</f>
        <v>9781424444991</v>
      </c>
      <c r="C11551" s="8" t="s">
        <v>9</v>
      </c>
    </row>
    <row r="11552" spans="1:3" x14ac:dyDescent="0.25">
      <c r="A11552" s="8" t="str">
        <f>"Powder Materials: Current Research and Industrial Practices"</f>
        <v>Powder Materials: Current Research and Industrial Practices</v>
      </c>
      <c r="B11552" s="8" t="str">
        <f>"9780873395076"</f>
        <v>9780873395076</v>
      </c>
      <c r="C11552" s="8" t="s">
        <v>648</v>
      </c>
    </row>
    <row r="11553" spans="1:3" x14ac:dyDescent="0.25">
      <c r="A11553" s="8" t="str">
        <f>"Powders and Grains 2005 - Proceedings of the 5th International Conference on Micromechanics of Granular Media"</f>
        <v>Powders and Grains 2005 - Proceedings of the 5th International Conference on Micromechanics of Granular Media</v>
      </c>
      <c r="B11553" s="8" t="str">
        <f>"9780415383479"</f>
        <v>9780415383479</v>
      </c>
      <c r="C11553" s="8" t="s">
        <v>1650</v>
      </c>
    </row>
    <row r="11554" spans="1:3" x14ac:dyDescent="0.25">
      <c r="A11554" s="8" t="str">
        <f>"Power and Energy - Proceedings of the International Conference on Power and Energy, CPE 2014"</f>
        <v>Power and Energy - Proceedings of the International Conference on Power and Energy, CPE 2014</v>
      </c>
      <c r="B11554" s="8" t="str">
        <f>"9781138027824"</f>
        <v>9781138027824</v>
      </c>
      <c r="C11554" s="8" t="s">
        <v>1635</v>
      </c>
    </row>
    <row r="11555" spans="1:3" x14ac:dyDescent="0.25">
      <c r="A11555" s="8" t="s">
        <v>2038</v>
      </c>
      <c r="B11555" s="8" t="str">
        <f>"-"</f>
        <v>-</v>
      </c>
      <c r="C11555" s="8" t="s">
        <v>10</v>
      </c>
    </row>
    <row r="11556" spans="1:3" x14ac:dyDescent="0.25">
      <c r="A11556" s="8" t="str">
        <f>"Power Systems Conference"</f>
        <v>Power Systems Conference</v>
      </c>
      <c r="B11556" s="8" t="str">
        <f>"-"</f>
        <v>-</v>
      </c>
      <c r="C11556" s="8" t="s">
        <v>1040</v>
      </c>
    </row>
    <row r="11557" spans="1:3" x14ac:dyDescent="0.25">
      <c r="A11557" s="8" t="str">
        <f>"Power Systems Conference"</f>
        <v>Power Systems Conference</v>
      </c>
      <c r="B11557" s="8" t="str">
        <f>"-"</f>
        <v>-</v>
      </c>
      <c r="C11557" s="8" t="s">
        <v>1040</v>
      </c>
    </row>
    <row r="11558" spans="1:3" x14ac:dyDescent="0.25">
      <c r="A11558" s="8" t="str">
        <f>"Power Systems Conference 2006: Advanced Metering, Protection, Control, Communication and Distributed Resources, PSC"</f>
        <v>Power Systems Conference 2006: Advanced Metering, Protection, Control, Communication and Distributed Resources, PSC</v>
      </c>
      <c r="B11558" s="8" t="str">
        <f>"9780615132808"</f>
        <v>9780615132808</v>
      </c>
      <c r="C11558" s="8" t="s">
        <v>9</v>
      </c>
    </row>
    <row r="11559" spans="1:3" x14ac:dyDescent="0.25">
      <c r="A11559" s="8" t="str">
        <f>"Power Systems Conference, PSC 2008"</f>
        <v>Power Systems Conference, PSC 2008</v>
      </c>
      <c r="B11559" s="8" t="str">
        <f>"-"</f>
        <v>-</v>
      </c>
      <c r="C11559" s="8" t="s">
        <v>1040</v>
      </c>
    </row>
    <row r="11560" spans="1:3" x14ac:dyDescent="0.25">
      <c r="A11560" s="8" t="str">
        <f>"Power Transmission and Motion Control, PTMC 2005"</f>
        <v>Power Transmission and Motion Control, PTMC 2005</v>
      </c>
      <c r="B11560" s="8" t="str">
        <f>"9780470016770"</f>
        <v>9780470016770</v>
      </c>
      <c r="C11560" s="8" t="s">
        <v>142</v>
      </c>
    </row>
    <row r="11561" spans="1:3" x14ac:dyDescent="0.25">
      <c r="A11561" s="8" t="str">
        <f>"PowerCon 2002 - 2002 International Conference on Power System Technology, Proceedings"</f>
        <v>PowerCon 2002 - 2002 International Conference on Power System Technology, Proceedings</v>
      </c>
      <c r="B11561" s="8" t="str">
        <f>"-"</f>
        <v>-</v>
      </c>
    </row>
    <row r="11562" spans="1:3" x14ac:dyDescent="0.25">
      <c r="A11562" s="8" t="str">
        <f>"POWERCON 2014 - 2014 International Conference on Power System Technology: Towards Green, Efficient and Smart Power System, Proceedings"</f>
        <v>POWERCON 2014 - 2014 International Conference on Power System Technology: Towards Green, Efficient and Smart Power System, Proceedings</v>
      </c>
      <c r="B11562" s="8" t="str">
        <f>"9781479950324"</f>
        <v>9781479950324</v>
      </c>
      <c r="C11562" s="8" t="s">
        <v>105</v>
      </c>
    </row>
    <row r="11563" spans="1:3" x14ac:dyDescent="0.25">
      <c r="A11563" s="8" t="str">
        <f>"POWERENG 2007 - International Conference on Power Engineering - Energy and Electrical Drives Proceedings"</f>
        <v>POWERENG 2007 - International Conference on Power Engineering - Energy and Electrical Drives Proceedings</v>
      </c>
      <c r="B11563" s="8" t="str">
        <f>"-"</f>
        <v>-</v>
      </c>
      <c r="C11563" s="8" t="s">
        <v>9</v>
      </c>
    </row>
    <row r="11564" spans="1:3" x14ac:dyDescent="0.25">
      <c r="A11564" s="8" t="str">
        <f>"POWERENG 2009 - 2nd International Conference on Power Engineering, Energy and Electrical Drives Proceedings"</f>
        <v>POWERENG 2009 - 2nd International Conference on Power Engineering, Energy and Electrical Drives Proceedings</v>
      </c>
      <c r="B11564" s="8" t="str">
        <f>"9781424422913"</f>
        <v>9781424422913</v>
      </c>
      <c r="C11564" s="8" t="s">
        <v>9</v>
      </c>
    </row>
    <row r="11565" spans="1:3" x14ac:dyDescent="0.25">
      <c r="A11565" s="8" t="str">
        <f>"PPAA 2014 - Proceedings of the 2014 Workshop on Parallel Programming for Analytics Applications"</f>
        <v>PPAA 2014 - Proceedings of the 2014 Workshop on Parallel Programming for Analytics Applications</v>
      </c>
      <c r="B11565" s="8" t="str">
        <f>"9781450326544"</f>
        <v>9781450326544</v>
      </c>
      <c r="C11565" s="8" t="s">
        <v>21</v>
      </c>
    </row>
    <row r="11566" spans="1:3" x14ac:dyDescent="0.25">
      <c r="A11566" s="8" t="str">
        <f>"PPC2009 - 17th IEEE International Pulsed Power Conference"</f>
        <v>PPC2009 - 17th IEEE International Pulsed Power Conference</v>
      </c>
      <c r="B11566" s="8" t="str">
        <f>"9781424440658"</f>
        <v>9781424440658</v>
      </c>
      <c r="C11566" s="8" t="s">
        <v>9</v>
      </c>
    </row>
    <row r="11567" spans="1:3" x14ac:dyDescent="0.25">
      <c r="A11567" s="8" t="str">
        <f>"PPDP'05 - Proceedings of the Seventh ACM SIGPLAN Conference on Principles and Practice of Declarative Programming"</f>
        <v>PPDP'05 - Proceedings of the Seventh ACM SIGPLAN Conference on Principles and Practice of Declarative Programming</v>
      </c>
      <c r="B11567" s="8" t="str">
        <f>"-"</f>
        <v>-</v>
      </c>
      <c r="C11567" s="8" t="s">
        <v>21</v>
      </c>
    </row>
    <row r="11568" spans="1:3" x14ac:dyDescent="0.25">
      <c r="A11568" s="8" t="str">
        <f>"PPDP'06 - Proceedings of the Eight ACM SIGPLAN Symposium on Principles and Practice of Declarative Programming"</f>
        <v>PPDP'06 - Proceedings of the Eight ACM SIGPLAN Symposium on Principles and Practice of Declarative Programming</v>
      </c>
      <c r="B11568" s="8" t="str">
        <f>"-"</f>
        <v>-</v>
      </c>
      <c r="C11568" s="8" t="s">
        <v>21</v>
      </c>
    </row>
    <row r="11569" spans="1:3" x14ac:dyDescent="0.25">
      <c r="A11569" s="8" t="str">
        <f>"PPDP'07: Proceedings of the 9th International ACM SIGPLAN Conference on Principles and Practice of Declarative Programming"</f>
        <v>PPDP'07: Proceedings of the 9th International ACM SIGPLAN Conference on Principles and Practice of Declarative Programming</v>
      </c>
      <c r="B11569" s="8" t="str">
        <f>"9781595937698"</f>
        <v>9781595937698</v>
      </c>
      <c r="C11569" s="8" t="s">
        <v>21</v>
      </c>
    </row>
    <row r="11570" spans="1:3" x14ac:dyDescent="0.25">
      <c r="A11570" s="8" t="str">
        <f>"PPDP'08 - Proceedings of the 10th International ACM SIGPLAN Symposium on Principles and Practice of Declarative Programming"</f>
        <v>PPDP'08 - Proceedings of the 10th International ACM SIGPLAN Symposium on Principles and Practice of Declarative Programming</v>
      </c>
      <c r="B11570" s="8" t="str">
        <f>"9781605581170"</f>
        <v>9781605581170</v>
      </c>
      <c r="C11570" s="8" t="s">
        <v>21</v>
      </c>
    </row>
    <row r="11571" spans="1:3" x14ac:dyDescent="0.25">
      <c r="A11571" s="8" t="str">
        <f>"PPDP'09 - Proceedings of the 11th International ACM SIGPLAN Symposium on Principles and Practice of Declarative Programming"</f>
        <v>PPDP'09 - Proceedings of the 11th International ACM SIGPLAN Symposium on Principles and Practice of Declarative Programming</v>
      </c>
      <c r="B11571" s="8" t="str">
        <f>"9781605585680"</f>
        <v>9781605585680</v>
      </c>
      <c r="C11571" s="8" t="s">
        <v>21</v>
      </c>
    </row>
    <row r="11572" spans="1:3" x14ac:dyDescent="0.25">
      <c r="A11572" s="8" t="str">
        <f>"PPDP'10 - Proceedings of the 2010 Symposium on Principles and Practice of Declarative Programming"</f>
        <v>PPDP'10 - Proceedings of the 2010 Symposium on Principles and Practice of Declarative Programming</v>
      </c>
      <c r="B11572" s="8" t="str">
        <f>"9781450301329"</f>
        <v>9781450301329</v>
      </c>
      <c r="C11572" s="8" t="s">
        <v>21</v>
      </c>
    </row>
    <row r="11573" spans="1:3" x14ac:dyDescent="0.25">
      <c r="A11573" s="8" t="str">
        <f>"PPDP'11 - Proceedings of the 2011 Symposium on Principles and Practices of Declarative Programming"</f>
        <v>PPDP'11 - Proceedings of the 2011 Symposium on Principles and Practices of Declarative Programming</v>
      </c>
      <c r="B11573" s="8" t="str">
        <f>"9781450307765"</f>
        <v>9781450307765</v>
      </c>
      <c r="C11573" s="8" t="s">
        <v>21</v>
      </c>
    </row>
    <row r="11574" spans="1:3" x14ac:dyDescent="0.25">
      <c r="A11574" s="8" t="str">
        <f>"PPDP'12 - Proceedings of the 2012 ACM SIGPLAN Principles and Practice of Declarative Programming"</f>
        <v>PPDP'12 - Proceedings of the 2012 ACM SIGPLAN Principles and Practice of Declarative Programming</v>
      </c>
      <c r="B11574" s="8" t="str">
        <f>"9781450315227"</f>
        <v>9781450315227</v>
      </c>
      <c r="C11574" s="8" t="s">
        <v>21</v>
      </c>
    </row>
    <row r="11575" spans="1:3" x14ac:dyDescent="0.25">
      <c r="A11575" s="8" t="str">
        <f>"PPPS 2001 - Pulsed Power Plasma Science 2001"</f>
        <v>PPPS 2001 - Pulsed Power Plasma Science 2001</v>
      </c>
      <c r="B11575" s="8" t="str">
        <f>"-"</f>
        <v>-</v>
      </c>
      <c r="C11575" s="8" t="s">
        <v>105</v>
      </c>
    </row>
    <row r="11576" spans="1:3" x14ac:dyDescent="0.25">
      <c r="A11576" s="8" t="str">
        <f>"PPPS-2007 - Pulsed Power Plasma Science 2007"</f>
        <v>PPPS-2007 - Pulsed Power Plasma Science 2007</v>
      </c>
      <c r="B11576" s="8" t="str">
        <f>"9781424409143"</f>
        <v>9781424409143</v>
      </c>
      <c r="C11576" s="8" t="s">
        <v>9</v>
      </c>
    </row>
    <row r="11577" spans="1:3" x14ac:dyDescent="0.25">
      <c r="A11577" s="8" t="str">
        <f>"PQ 2008: 6th International Conference - 2008 Power Quality and Supply Reliability, Conference Proceedings"</f>
        <v>PQ 2008: 6th International Conference - 2008 Power Quality and Supply Reliability, Conference Proceedings</v>
      </c>
      <c r="B11577" s="8" t="str">
        <f>"9781424425006"</f>
        <v>9781424425006</v>
      </c>
      <c r="C11577" s="8" t="s">
        <v>9</v>
      </c>
    </row>
    <row r="11578" spans="1:3" x14ac:dyDescent="0.25">
      <c r="A11578" s="8" t="str">
        <f>"PQ 2012: 8th International Conference - 2012 Electric Power Quality and Supply Reliability, Conference Proceedings"</f>
        <v>PQ 2012: 8th International Conference - 2012 Electric Power Quality and Supply Reliability, Conference Proceedings</v>
      </c>
      <c r="B11578" s="8" t="str">
        <f>"9781467319775"</f>
        <v>9781467319775</v>
      </c>
      <c r="C11578" s="8" t="s">
        <v>9</v>
      </c>
    </row>
    <row r="11579" spans="1:3" x14ac:dyDescent="0.25">
      <c r="A11579" s="8" t="str">
        <f>"PQ2010: 7th International Conference - 2010 Electric Power Quality and Supply Reliability, Conference Proceedings"</f>
        <v>PQ2010: 7th International Conference - 2010 Electric Power Quality and Supply Reliability, Conference Proceedings</v>
      </c>
      <c r="B11579" s="8" t="str">
        <f>"9781424469796"</f>
        <v>9781424469796</v>
      </c>
      <c r="C11579" s="8" t="s">
        <v>9</v>
      </c>
    </row>
    <row r="11580" spans="1:3" x14ac:dyDescent="0.25">
      <c r="A11580" s="8" t="str">
        <f>"PRECEDE 2011 - Workshop on Predictive Control of Electrical Drives and Power Electronics"</f>
        <v>PRECEDE 2011 - Workshop on Predictive Control of Electrical Drives and Power Electronics</v>
      </c>
      <c r="B11580" s="8" t="str">
        <f>"9781457719141"</f>
        <v>9781457719141</v>
      </c>
      <c r="C11580" s="8" t="s">
        <v>9</v>
      </c>
    </row>
    <row r="11581" spans="1:3" x14ac:dyDescent="0.25">
      <c r="A11581" s="8" t="str">
        <f>"Precision Agriculture 2005, ECPA 2005"</f>
        <v>Precision Agriculture 2005, ECPA 2005</v>
      </c>
      <c r="B11581" s="8" t="str">
        <f>"9789076998695"</f>
        <v>9789076998695</v>
      </c>
      <c r="C11581" s="8" t="s">
        <v>2039</v>
      </c>
    </row>
    <row r="11582" spans="1:3" x14ac:dyDescent="0.25">
      <c r="A11582" s="8" t="str">
        <f>"Precision Agriculture 2007 - Papers Presented at the 6th European Conference on Precision Agriculture, ECPA 2007"</f>
        <v>Precision Agriculture 2007 - Papers Presented at the 6th European Conference on Precision Agriculture, ECPA 2007</v>
      </c>
      <c r="B11582" s="8" t="str">
        <f>"9789086860241"</f>
        <v>9789086860241</v>
      </c>
      <c r="C11582" s="8" t="s">
        <v>2039</v>
      </c>
    </row>
    <row r="11583" spans="1:3" x14ac:dyDescent="0.25">
      <c r="A11583" s="8" t="str">
        <f>"Precision Agriculture 2009 - Papers Presented at the 7th European Conference on Precision Agriculture, ECPA 2009"</f>
        <v>Precision Agriculture 2009 - Papers Presented at the 7th European Conference on Precision Agriculture, ECPA 2009</v>
      </c>
      <c r="B11583" s="8" t="str">
        <f>"9789086861132"</f>
        <v>9789086861132</v>
      </c>
      <c r="C11583" s="8" t="s">
        <v>2039</v>
      </c>
    </row>
    <row r="11584" spans="1:3" x14ac:dyDescent="0.25">
      <c r="A11584" s="8" t="str">
        <f>"Precision Agriculture 2011 - Papers Presented at the 8th European Conference on Precision Agriculture 2011, ECPA 2011"</f>
        <v>Precision Agriculture 2011 - Papers Presented at the 8th European Conference on Precision Agriculture 2011, ECPA 2011</v>
      </c>
      <c r="B11584" s="8" t="str">
        <f>"9788090483057"</f>
        <v>9788090483057</v>
      </c>
      <c r="C11584" s="8" t="s">
        <v>2040</v>
      </c>
    </row>
    <row r="11585" spans="1:3" x14ac:dyDescent="0.25">
      <c r="A11585" s="8" t="str">
        <f>"Precision Agriculture 2013 - Papers Presented at the 9th European Conference on Precision Agriculture, ECPA 2013"</f>
        <v>Precision Agriculture 2013 - Papers Presented at the 9th European Conference on Precision Agriculture, ECPA 2013</v>
      </c>
      <c r="B11585" s="8" t="str">
        <f>"9789086862245"</f>
        <v>9789086862245</v>
      </c>
      <c r="C11585" s="8" t="s">
        <v>2039</v>
      </c>
    </row>
    <row r="11586" spans="1:3" x14ac:dyDescent="0.25">
      <c r="A11586" s="8" t="str">
        <f>"Precision Agriculture 2015 - Papers Presented at the 10th European Conference on Precision Agriculture, ECPA 2015"</f>
        <v>Precision Agriculture 2015 - Papers Presented at the 10th European Conference on Precision Agriculture, ECPA 2015</v>
      </c>
      <c r="B11586" s="8" t="str">
        <f>"9789086862672"</f>
        <v>9789086862672</v>
      </c>
      <c r="C11586" s="8" t="s">
        <v>2039</v>
      </c>
    </row>
    <row r="11587" spans="1:3" x14ac:dyDescent="0.25">
      <c r="A11587" s="8" t="str">
        <f>"Precision Livestock Farming 2005"</f>
        <v>Precision Livestock Farming 2005</v>
      </c>
      <c r="B11587" s="8" t="str">
        <f>"9789076998688"</f>
        <v>9789076998688</v>
      </c>
      <c r="C11587" s="8" t="s">
        <v>2039</v>
      </c>
    </row>
    <row r="11588" spans="1:3" x14ac:dyDescent="0.25">
      <c r="A11588" s="8" t="str">
        <f>"Precision Livestock Farming 2007 - Papers Presented at the 3rd European Conference on Precision Livestock Farming"</f>
        <v>Precision Livestock Farming 2007 - Papers Presented at the 3rd European Conference on Precision Livestock Farming</v>
      </c>
      <c r="B11588" s="8" t="str">
        <f>"9789086860234"</f>
        <v>9789086860234</v>
      </c>
      <c r="C11588" s="8" t="s">
        <v>2039</v>
      </c>
    </row>
    <row r="11589" spans="1:3" x14ac:dyDescent="0.25">
      <c r="A11589" s="8" t="str">
        <f>"Precision Livestock Farming 2009 - Papers Presented at the 4th European Conference on Precision Livestock Farming"</f>
        <v>Precision Livestock Farming 2009 - Papers Presented at the 4th European Conference on Precision Livestock Farming</v>
      </c>
      <c r="B11589" s="8" t="str">
        <f>"9789086861125"</f>
        <v>9789086861125</v>
      </c>
      <c r="C11589" s="8" t="s">
        <v>2039</v>
      </c>
    </row>
    <row r="11590" spans="1:3" x14ac:dyDescent="0.25">
      <c r="A11590" s="8" t="str">
        <f>"Precision Livestock Farming 2011 - Papers Presented at the 5th European Conference on Precision Livestock Farming, ECPLF 2011"</f>
        <v>Precision Livestock Farming 2011 - Papers Presented at the 5th European Conference on Precision Livestock Farming, ECPLF 2011</v>
      </c>
      <c r="B11590" s="8" t="str">
        <f>"9788090483040"</f>
        <v>9788090483040</v>
      </c>
      <c r="C11590" s="8" t="s">
        <v>2040</v>
      </c>
    </row>
    <row r="11591" spans="1:3" x14ac:dyDescent="0.25">
      <c r="A11591" s="8" t="str">
        <f>"Precision Livestock Farming 2015 - Papers Presented at the 7th European Conference on Precision Livestock Farming, ECPLF 2015"</f>
        <v>Precision Livestock Farming 2015 - Papers Presented at the 7th European Conference on Precision Livestock Farming, ECPLF 2015</v>
      </c>
      <c r="B11591" s="8" t="str">
        <f>"9788890975325"</f>
        <v>9788890975325</v>
      </c>
      <c r="C11591" s="8" t="s">
        <v>2041</v>
      </c>
    </row>
    <row r="11592" spans="1:3" x14ac:dyDescent="0.25">
      <c r="A11592" s="8" t="str">
        <f>"Precision Surface Finishing and Deburring Technology - 9th International Symposium on Precision Surface Finishing and Deburring Technology, ICSD2007"</f>
        <v>Precision Surface Finishing and Deburring Technology - 9th International Symposium on Precision Surface Finishing and Deburring Technology, ICSD2007</v>
      </c>
      <c r="B11592" s="8" t="str">
        <f>"9780878494613"</f>
        <v>9780878494613</v>
      </c>
      <c r="C11592" s="8" t="s">
        <v>320</v>
      </c>
    </row>
    <row r="11593" spans="1:3" x14ac:dyDescent="0.25">
      <c r="A11593" s="8" t="str">
        <f>"Prediction and Simulation Methods for Geohazard Mitigation - Proceedings of the International Symposium on Prediction and Simulation Methods for Geohazard Mitigation, IS-KYOTO 2009"</f>
        <v>Prediction and Simulation Methods for Geohazard Mitigation - Proceedings of the International Symposium on Prediction and Simulation Methods for Geohazard Mitigation, IS-KYOTO 2009</v>
      </c>
      <c r="B11593" s="8" t="str">
        <f>"9780415804820"</f>
        <v>9780415804820</v>
      </c>
      <c r="C11593" s="8" t="s">
        <v>1637</v>
      </c>
    </row>
    <row r="11594" spans="1:3" x14ac:dyDescent="0.25">
      <c r="A11594" s="8" t="str">
        <f>"Pre-Failure Deformation Characteristics of Geomaterials"</f>
        <v>Pre-Failure Deformation Characteristics of Geomaterials</v>
      </c>
      <c r="B11594" s="8" t="str">
        <f>"9789058090775"</f>
        <v>9789058090775</v>
      </c>
      <c r="C11594" s="8" t="s">
        <v>60</v>
      </c>
    </row>
    <row r="11595" spans="1:3" x14ac:dyDescent="0.25">
      <c r="A11595" s="8" t="str">
        <f>"Preliminary Proceedings - Automated Specification and Verification of Web Systems, WWV 2009: 5th International Workshop"</f>
        <v>Preliminary Proceedings - Automated Specification and Verification of Web Systems, WWV 2009: 5th International Workshop</v>
      </c>
      <c r="B11595" s="8" t="str">
        <f>"-"</f>
        <v>-</v>
      </c>
      <c r="C11595" s="8" t="s">
        <v>2042</v>
      </c>
    </row>
    <row r="11596" spans="1:3" x14ac:dyDescent="0.25">
      <c r="A11596" s="8" t="str">
        <f>"Pre-Proceedings of the 3rd International Workshop on Collaborative Agents - REsearch and Development, CARE 2011"</f>
        <v>Pre-Proceedings of the 3rd International Workshop on Collaborative Agents - REsearch and Development, CARE 2011</v>
      </c>
      <c r="B11596" s="8" t="str">
        <f>"-"</f>
        <v>-</v>
      </c>
      <c r="C11596" s="8" t="s">
        <v>2043</v>
      </c>
    </row>
    <row r="11597" spans="1:3" x14ac:dyDescent="0.25">
      <c r="A11597" s="8" t="str">
        <f>"Pre-Proceedings of the International Conference on Bio-Inspired Computing - Theory and Applications: Membrane Computing Section, BIC-TA 2006"</f>
        <v>Pre-Proceedings of the International Conference on Bio-Inspired Computing - Theory and Applications: Membrane Computing Section, BIC-TA 2006</v>
      </c>
      <c r="B11597" s="8" t="str">
        <f>"-"</f>
        <v>-</v>
      </c>
      <c r="C11597" s="8" t="s">
        <v>44</v>
      </c>
    </row>
    <row r="11598" spans="1:3" x14ac:dyDescent="0.25">
      <c r="A11598" s="8" t="str">
        <f>"Presentations from the 9th Annual Electric Utilities Environmental Conference"</f>
        <v>Presentations from the 9th Annual Electric Utilities Environmental Conference</v>
      </c>
      <c r="B11598" s="8" t="str">
        <f>"-"</f>
        <v>-</v>
      </c>
      <c r="C11598" s="8" t="s">
        <v>1807</v>
      </c>
    </row>
    <row r="11599" spans="1:3" x14ac:dyDescent="0.25">
      <c r="A11599" s="8" t="str">
        <f>"Preservation of Natural Stone and Rock Weathering - Proceedings of the International Workshop on Preservation of Natural Stone and Rock Weathering"</f>
        <v>Preservation of Natural Stone and Rock Weathering - Proceedings of the International Workshop on Preservation of Natural Stone and Rock Weathering</v>
      </c>
      <c r="B11599" s="8" t="str">
        <f>"9780415450188"</f>
        <v>9780415450188</v>
      </c>
      <c r="C11599" s="8" t="s">
        <v>1619</v>
      </c>
    </row>
    <row r="11600" spans="1:3" x14ac:dyDescent="0.25">
      <c r="A11600" s="8" t="str">
        <f>"PRESTO'08: Applications, Technologies, Architectures, and Protocols for Computer Communication - Proceedings of the ACM Workshop on Programmable Routers for Extensible Services of Tomorrow 2008"</f>
        <v>PRESTO'08: Applications, Technologies, Architectures, and Protocols for Computer Communication - Proceedings of the ACM Workshop on Programmable Routers for Extensible Services of Tomorrow 2008</v>
      </c>
      <c r="B11600" s="8" t="str">
        <f>"9781605581811"</f>
        <v>9781605581811</v>
      </c>
      <c r="C11600" s="8" t="s">
        <v>21</v>
      </c>
    </row>
    <row r="11601" spans="1:3" x14ac:dyDescent="0.25">
      <c r="A11601" s="8" t="str">
        <f>"PRIME - 2008 PhD Research in Microelectronics and Electronics, Proceedings"</f>
        <v>PRIME - 2008 PhD Research in Microelectronics and Electronics, Proceedings</v>
      </c>
      <c r="B11601" s="8" t="str">
        <f>"9781424419838"</f>
        <v>9781424419838</v>
      </c>
      <c r="C11601" s="8" t="s">
        <v>9</v>
      </c>
    </row>
    <row r="11602" spans="1:3" x14ac:dyDescent="0.25">
      <c r="A11602" s="8" t="str">
        <f>"PRIME 2006: 2nd Conference on Ph.D. Research in MicroElectronics and Electronics - Proceedings"</f>
        <v>PRIME 2006: 2nd Conference on Ph.D. Research in MicroElectronics and Electronics - Proceedings</v>
      </c>
      <c r="B11602" s="8" t="str">
        <f>"9781424401574"</f>
        <v>9781424401574</v>
      </c>
      <c r="C11602" s="8" t="s">
        <v>9</v>
      </c>
    </row>
    <row r="11603" spans="1:3" x14ac:dyDescent="0.25">
      <c r="A11603" s="8" t="str">
        <f>"PrimeAsia 2010 - 2nd Asia Pacific Conference on Postgraduate Research in Microelectronics and Electronics"</f>
        <v>PrimeAsia 2010 - 2nd Asia Pacific Conference on Postgraduate Research in Microelectronics and Electronics</v>
      </c>
      <c r="B11603" s="8" t="str">
        <f>"9781424467372"</f>
        <v>9781424467372</v>
      </c>
      <c r="C11603" s="8" t="s">
        <v>9</v>
      </c>
    </row>
    <row r="11604" spans="1:3" x14ac:dyDescent="0.25">
      <c r="A11604" s="8" t="str">
        <f>"Principles and Practice of Programming in Java - Proceedings of the 6th International Conference, PPPJ 2008"</f>
        <v>Principles and Practice of Programming in Java - Proceedings of the 6th International Conference, PPPJ 2008</v>
      </c>
      <c r="B11604" s="8" t="str">
        <f>"9781605582238"</f>
        <v>9781605582238</v>
      </c>
      <c r="C11604" s="8" t="s">
        <v>21</v>
      </c>
    </row>
    <row r="11605" spans="1:3" x14ac:dyDescent="0.25">
      <c r="A11605" s="8" t="str">
        <f>"Principles of Computing and Knowledge: Paris C. Kanellakis Memorial Workshop"</f>
        <v>Principles of Computing and Knowledge: Paris C. Kanellakis Memorial Workshop</v>
      </c>
      <c r="B11605" s="8" t="str">
        <f>"9781581136043"</f>
        <v>9781581136043</v>
      </c>
      <c r="C11605" s="8" t="s">
        <v>21</v>
      </c>
    </row>
    <row r="11606" spans="1:3" x14ac:dyDescent="0.25">
      <c r="A11606" s="8" t="str">
        <f>"Principles of Knowledge Representation and Reasoning: Proceedings of the 11th International Conference, KR 2008"</f>
        <v>Principles of Knowledge Representation and Reasoning: Proceedings of the 11th International Conference, KR 2008</v>
      </c>
      <c r="B11606" s="8" t="str">
        <f>"9781577353843"</f>
        <v>9781577353843</v>
      </c>
      <c r="C11606" s="8" t="s">
        <v>1257</v>
      </c>
    </row>
    <row r="11607" spans="1:3" x14ac:dyDescent="0.25">
      <c r="A11607" s="8" t="str">
        <f>"Principles of Knowledge Representation and Reasoning: Proceedings of the 12th International Conference, KR 2010"</f>
        <v>Principles of Knowledge Representation and Reasoning: Proceedings of the 12th International Conference, KR 2010</v>
      </c>
      <c r="B11607" s="8" t="str">
        <f>"9781577354512"</f>
        <v>9781577354512</v>
      </c>
      <c r="C11607" s="8" t="s">
        <v>1257</v>
      </c>
    </row>
    <row r="11608" spans="1:3" x14ac:dyDescent="0.25">
      <c r="A11608" s="8" t="str">
        <f>"Privacy and Technologies of Identity: A Cross-Disciplinary Conversation"</f>
        <v>Privacy and Technologies of Identity: A Cross-Disciplinary Conversation</v>
      </c>
      <c r="B11608" s="8" t="str">
        <f>"9780387260501"</f>
        <v>9780387260501</v>
      </c>
      <c r="C11608" s="8" t="s">
        <v>834</v>
      </c>
    </row>
    <row r="11609" spans="1:3" x14ac:dyDescent="0.25">
      <c r="A11609" s="8" t="str">
        <f>"Proc. - 14th IEEE Int. Conf. on Computational Science and Engineering, CSE 2011 and 11th Int. Symp. on Pervasive Systems, Algorithms, and Networks, I-SPA 2011 and 10th IEEE Int. Conf. on IUCC 2011"</f>
        <v>Proc. - 14th IEEE Int. Conf. on Computational Science and Engineering, CSE 2011 and 11th Int. Symp. on Pervasive Systems, Algorithms, and Networks, I-SPA 2011 and 10th IEEE Int. Conf. on IUCC 2011</v>
      </c>
      <c r="B11609" s="8" t="str">
        <f>"9780769544779"</f>
        <v>9780769544779</v>
      </c>
      <c r="C11609" s="8" t="s">
        <v>9</v>
      </c>
    </row>
    <row r="11610" spans="1:3" x14ac:dyDescent="0.25">
      <c r="A11610" s="8" t="str">
        <f>"Proc. - 1st ACM Int. Workshop on Empirical Assessment of Software Engineering Languages and Technologies, WEASELTech 2007, Held with the 22nd IEEE/ACM Int. Conf. Automated Software Eng., ASE 2007"</f>
        <v>Proc. - 1st ACM Int. Workshop on Empirical Assessment of Software Engineering Languages and Technologies, WEASELTech 2007, Held with the 22nd IEEE/ACM Int. Conf. Automated Software Eng., ASE 2007</v>
      </c>
      <c r="B11610" s="8" t="str">
        <f>"9781595938800"</f>
        <v>9781595938800</v>
      </c>
      <c r="C11610" s="8" t="s">
        <v>21</v>
      </c>
    </row>
    <row r="11611" spans="1:3" x14ac:dyDescent="0.25">
      <c r="A11611" s="8" t="str">
        <f>"Proc. - 2008 1st International Conference on Complexity and Intelligence of the Artificial and Natural Complex Systems. Medical Applications of the Complex Systems. Biomedical Computing, CANS 2008"</f>
        <v>Proc. - 2008 1st International Conference on Complexity and Intelligence of the Artificial and Natural Complex Systems. Medical Applications of the Complex Systems. Biomedical Computing, CANS 2008</v>
      </c>
      <c r="B11611" s="8" t="str">
        <f>"9780769536217"</f>
        <v>9780769536217</v>
      </c>
      <c r="C11611" s="8" t="s">
        <v>9</v>
      </c>
    </row>
    <row r="11612" spans="1:3" x14ac:dyDescent="0.25">
      <c r="A11612" s="8" t="str">
        <f>"Proc. - 6th Intl. Conference on Advanced Information Management and Service, IMS2010, with ICMIA2010 - 2nd International Conference on Data Mining and Intelligent Information Technology Applications"</f>
        <v>Proc. - 6th Intl. Conference on Advanced Information Management and Service, IMS2010, with ICMIA2010 - 2nd International Conference on Data Mining and Intelligent Information Technology Applications</v>
      </c>
      <c r="B11612" s="8" t="str">
        <f>"9788988678312"</f>
        <v>9788988678312</v>
      </c>
      <c r="C11612" s="8" t="s">
        <v>9</v>
      </c>
    </row>
    <row r="11613" spans="1:3" x14ac:dyDescent="0.25">
      <c r="A11613" s="8" t="str">
        <f>"Proc. - 7th Web Information Systems and Applications Conference, WISA 2010, Workshop on Semantic Web and Ontology, SWON 2010, Workshop on Electronic Government Technology and Application, EGTA 2010"</f>
        <v>Proc. - 7th Web Information Systems and Applications Conference, WISA 2010, Workshop on Semantic Web and Ontology, SWON 2010, Workshop on Electronic Government Technology and Application, EGTA 2010</v>
      </c>
      <c r="B11613" s="8" t="str">
        <f>"9780769541938"</f>
        <v>9780769541938</v>
      </c>
      <c r="C11613" s="8" t="s">
        <v>9</v>
      </c>
    </row>
    <row r="11614" spans="1:3" x14ac:dyDescent="0.25">
      <c r="A11614" s="8" t="str">
        <f>"Proc. - Joint Meeting of the 4th Workshop on Model-Based Dev. of Computer-Based Systems and the 3rd Int. Workshop on Model-Based Methodologies for Pervasive and Embedded Software, MBD/MOMPES 2006"</f>
        <v>Proc. - Joint Meeting of the 4th Workshop on Model-Based Dev. of Computer-Based Systems and the 3rd Int. Workshop on Model-Based Methodologies for Pervasive and Embedded Software, MBD/MOMPES 2006</v>
      </c>
      <c r="B11614" s="8" t="str">
        <f>"9780769525389"</f>
        <v>9780769525389</v>
      </c>
      <c r="C11614" s="8" t="s">
        <v>9</v>
      </c>
    </row>
    <row r="11615" spans="1:3" x14ac:dyDescent="0.25">
      <c r="A11615" s="8" t="str">
        <f>"Proc. - Seventh ACIS Int. Conf. on Software Eng., Artific. Intelligence, Netw., and Parallel/Distributed Comput., SNPD 2006, including Second ACIS Int. Worshop on SAWN 2006"</f>
        <v>Proc. - Seventh ACIS Int. Conf. on Software Eng., Artific. Intelligence, Netw., and Parallel/Distributed Comput., SNPD 2006, including Second ACIS Int. Worshop on SAWN 2006</v>
      </c>
      <c r="B11615" s="8" t="str">
        <f>"-"</f>
        <v>-</v>
      </c>
      <c r="C11615" s="8" t="s">
        <v>9</v>
      </c>
    </row>
    <row r="11616" spans="1:3" x14ac:dyDescent="0.25">
      <c r="A11616" s="8" t="str">
        <f>"Proc. - The 3rd Int. Conf. Systems and Networks Communications, ICSNC 2008 - Includes I-CENTRIC 2008: Int. Conf. Advances in Human-Oriented and Personalized Mechanisms, Technologies, and Services"</f>
        <v>Proc. - The 3rd Int. Conf. Systems and Networks Communications, ICSNC 2008 - Includes I-CENTRIC 2008: Int. Conf. Advances in Human-Oriented and Personalized Mechanisms, Technologies, and Services</v>
      </c>
      <c r="B11616" s="8" t="str">
        <f>"9780769533711"</f>
        <v>9780769533711</v>
      </c>
      <c r="C11616" s="8" t="s">
        <v>9</v>
      </c>
    </row>
    <row r="11617" spans="1:3" x14ac:dyDescent="0.25">
      <c r="A11617" s="8" t="str">
        <f>"Proc. - The 3rd Int. Multi-Conf. Computing in the Global Information Technology, ICCGI 2008 in Conjunction with ComP2P 2008: The 1st Int. Workshop on Computational P2P Networks: Theory and Practice"</f>
        <v>Proc. - The 3rd Int. Multi-Conf. Computing in the Global Information Technology, ICCGI 2008 in Conjunction with ComP2P 2008: The 1st Int. Workshop on Computational P2P Networks: Theory and Practice</v>
      </c>
      <c r="B11617" s="8" t="str">
        <f>"9780769532752"</f>
        <v>9780769532752</v>
      </c>
      <c r="C11617" s="8" t="s">
        <v>9</v>
      </c>
    </row>
    <row r="11618" spans="1:3" x14ac:dyDescent="0.25">
      <c r="A11618" s="8" t="str">
        <f>"Proc. - The Fourth IEEE Workshop on Software Technol. for Future Embedded and Ubiquitous Syst., SEUS 2006 andthe Second Int. Workshop on Collaborative Comput., Integr., and Assur., WCCIA 2006"</f>
        <v>Proc. - The Fourth IEEE Workshop on Software Technol. for Future Embedded and Ubiquitous Syst., SEUS 2006 andthe Second Int. Workshop on Collaborative Comput., Integr., and Assur., WCCIA 2006</v>
      </c>
      <c r="B11618" s="8" t="str">
        <f>"-"</f>
        <v>-</v>
      </c>
      <c r="C11618" s="8" t="s">
        <v>9</v>
      </c>
    </row>
    <row r="11619" spans="1:3" x14ac:dyDescent="0.25">
      <c r="A11619" s="8" t="str">
        <f>"Proc. 10th IEEE Int. Conf. on Trust, Security and Privacy in Computing and Communications, TrustCom 2011, 8th IEEE Int. Conf. on Embedded Software and Systems, ICESS 2011, 6th Int. Conf. on FCST 2011"</f>
        <v>Proc. 10th IEEE Int. Conf. on Trust, Security and Privacy in Computing and Communications, TrustCom 2011, 8th IEEE Int. Conf. on Embedded Software and Systems, ICESS 2011, 6th Int. Conf. on FCST 2011</v>
      </c>
      <c r="B11619" s="8" t="str">
        <f>"9780769546001"</f>
        <v>9780769546001</v>
      </c>
      <c r="C11619" s="8" t="s">
        <v>9</v>
      </c>
    </row>
    <row r="11620" spans="1:3" x14ac:dyDescent="0.25">
      <c r="A11620" s="8" t="str">
        <f>"Proc. 14th International Union of Air Pollution Prevention and Environmental Protection Associations (IUAPPA) World Congress 2007, 18th Clean Air Society of Australia and New Zealand (CASANZ) Conf."</f>
        <v>Proc. 14th International Union of Air Pollution Prevention and Environmental Protection Associations (IUAPPA) World Congress 2007, 18th Clean Air Society of Australia and New Zealand (CASANZ) Conf.</v>
      </c>
      <c r="B11620" s="8" t="str">
        <f>"9780975757161"</f>
        <v>9780975757161</v>
      </c>
      <c r="C11620" s="8" t="s">
        <v>2044</v>
      </c>
    </row>
    <row r="11621" spans="1:3" x14ac:dyDescent="0.25">
      <c r="A11621" s="8" t="str">
        <f>"Proc. 18th ACM International Symposium on High Performance Distributed Computing, HPDC 09, Co-located with the 2009 International Symposium on High Performance Distributed Computing Conf., HPDC'09"</f>
        <v>Proc. 18th ACM International Symposium on High Performance Distributed Computing, HPDC 09, Co-located with the 2009 International Symposium on High Performance Distributed Computing Conf., HPDC'09</v>
      </c>
      <c r="B11621" s="8" t="str">
        <f>"9781605585871"</f>
        <v>9781605585871</v>
      </c>
      <c r="C11621" s="8" t="s">
        <v>21</v>
      </c>
    </row>
    <row r="11622" spans="1:3" x14ac:dyDescent="0.25">
      <c r="A11622" s="8" t="str">
        <f>"Proc. 1st ACM Workshop on Large-Scale System and Application Performance, LSAP2009, Co-located with the 2009 International Symposium on High Performance Distributed Computing Conference, HPDC'09"</f>
        <v>Proc. 1st ACM Workshop on Large-Scale System and Application Performance, LSAP2009, Co-located with the 2009 International Symposium on High Performance Distributed Computing Conference, HPDC'09</v>
      </c>
      <c r="B11622" s="8" t="str">
        <f>"9781605585925"</f>
        <v>9781605585925</v>
      </c>
      <c r="C11622" s="8" t="s">
        <v>21</v>
      </c>
    </row>
    <row r="11623" spans="1:3" x14ac:dyDescent="0.25">
      <c r="A11623" s="8" t="str">
        <f>"Proc.- 2011 IEEE International Conference on HPCC 2011 - 2011 IEEE International Workshop on FTDCS 2011 -Workshops of the 2011 Int. Conf. on UIC 2011- Workshops of the 2011 Int. Conf. ATC 2011"</f>
        <v>Proc.- 2011 IEEE International Conference on HPCC 2011 - 2011 IEEE International Workshop on FTDCS 2011 -Workshops of the 2011 Int. Conf. on UIC 2011- Workshops of the 2011 Int. Conf. ATC 2011</v>
      </c>
      <c r="B11623" s="8" t="str">
        <f>"9780769545387"</f>
        <v>9780769545387</v>
      </c>
      <c r="C11623" s="8" t="s">
        <v>9</v>
      </c>
    </row>
    <row r="11624" spans="1:3" x14ac:dyDescent="0.25">
      <c r="A11624" s="8" t="str">
        <f>"Proc. 3rd Workshop on Agent-Oriented Software Engineering Challenges for Ubiquitous and Pervasive Computing, AUPC 09, Co-located with the ACM International Conference on Pervasive Service, ICPS 2009"</f>
        <v>Proc. 3rd Workshop on Agent-Oriented Software Engineering Challenges for Ubiquitous and Pervasive Computing, AUPC 09, Co-located with the ACM International Conference on Pervasive Service, ICPS 2009</v>
      </c>
      <c r="B11624" s="8" t="str">
        <f>"9781605586472"</f>
        <v>9781605586472</v>
      </c>
      <c r="C11624" s="8" t="s">
        <v>21</v>
      </c>
    </row>
    <row r="11625" spans="1:3" x14ac:dyDescent="0.25">
      <c r="A11625" s="8" t="str">
        <f>"Proc. 4th Edition of the UPGRADE-CN Workshop on Use of P2P, GRID and Agents for the Development of Content Netw., UPGRADE-CN'09, Co-located Int. Symp. High Perform. Distrib. Comput. Conf., HPDC'09"</f>
        <v>Proc. 4th Edition of the UPGRADE-CN Workshop on Use of P2P, GRID and Agents for the Development of Content Netw., UPGRADE-CN'09, Co-located Int. Symp. High Perform. Distrib. Comput. Conf., HPDC'09</v>
      </c>
      <c r="B11625" s="8" t="str">
        <f>"9781605585918"</f>
        <v>9781605585918</v>
      </c>
      <c r="C11625" s="8" t="s">
        <v>21</v>
      </c>
    </row>
    <row r="11626" spans="1:3" x14ac:dyDescent="0.25">
      <c r="A11626" s="8" t="str">
        <f>"Proc. 5th Int. Workshop on Wearable and Implantable Body Sensor Networks, BSN2008, in conjunction with the 5th Int. Summer School and Symp. on Medical Devices and Biosensors, ISSS-MDBS 2008"</f>
        <v>Proc. 5th Int. Workshop on Wearable and Implantable Body Sensor Networks, BSN2008, in conjunction with the 5th Int. Summer School and Symp. on Medical Devices and Biosensors, ISSS-MDBS 2008</v>
      </c>
      <c r="B11626" s="8" t="str">
        <f>"9781424422531"</f>
        <v>9781424422531</v>
      </c>
      <c r="C11626" s="8" t="s">
        <v>9</v>
      </c>
    </row>
    <row r="11627" spans="1:3" x14ac:dyDescent="0.25">
      <c r="A11627" s="8" t="str">
        <f>"Proc. 7th Int. Workshop on Challenges of Large Applications in Distributed Environments, CLADE'09, Co-located with the 2009 Int. Symposium on High Performance Distributed Computing Conf., HPDC'09"</f>
        <v>Proc. 7th Int. Workshop on Challenges of Large Applications in Distributed Environments, CLADE'09, Co-located with the 2009 Int. Symposium on High Performance Distributed Computing Conf., HPDC'09</v>
      </c>
      <c r="B11627" s="8" t="str">
        <f>"9781605585888"</f>
        <v>9781605585888</v>
      </c>
      <c r="C11627" s="8" t="s">
        <v>21</v>
      </c>
    </row>
    <row r="11628" spans="1:3" x14ac:dyDescent="0.25">
      <c r="A11628" s="8" t="str">
        <f>"Proc. 9th ACIS Int. Conf. Software Engineering, Artificial Intelligence, Networking and Parallel/Distributed Computing, SNPD 2008 and 2nd Int. Workshop on Advanced Internet Technology and Applications"</f>
        <v>Proc. 9th ACIS Int. Conf. Software Engineering, Artificial Intelligence, Networking and Parallel/Distributed Computing, SNPD 2008 and 2nd Int. Workshop on Advanced Internet Technology and Applications</v>
      </c>
      <c r="B11628" s="8" t="str">
        <f>"9780769532639"</f>
        <v>9780769532639</v>
      </c>
      <c r="C11628" s="8" t="s">
        <v>9</v>
      </c>
    </row>
    <row r="11629" spans="1:3" x14ac:dyDescent="0.25">
      <c r="A11629" s="8" t="str">
        <f>"Proc.- 9th Workshop on Parallel/High-Performance Object-Oriented Scientific Computing, POOSC'10, at the ACM Conf. on Systems, Programming, Languages and Applications: Software for Humanity, SPLASH"</f>
        <v>Proc.- 9th Workshop on Parallel/High-Performance Object-Oriented Scientific Computing, POOSC'10, at the ACM Conf. on Systems, Programming, Languages and Applications: Software for Humanity, SPLASH</v>
      </c>
      <c r="B11629" s="8" t="str">
        <f>"9781450305464"</f>
        <v>9781450305464</v>
      </c>
      <c r="C11629" s="8" t="s">
        <v>21</v>
      </c>
    </row>
    <row r="11630" spans="1:3" x14ac:dyDescent="0.25">
      <c r="A11630" s="8" t="str">
        <f>"Proc. 9th WSEAS Int. Conf. Simulation, Modelling and Optimization, SMO '09, 5th WSEAS Int. Symp. Grid Computing, Proc. 5th WSEAS Int. Symp. Digital Libraries, Proc. 5th WSEAS Int. Symp. Data Mining"</f>
        <v>Proc. 9th WSEAS Int. Conf. Simulation, Modelling and Optimization, SMO '09, 5th WSEAS Int. Symp. Grid Computing, Proc. 5th WSEAS Int. Symp. Digital Libraries, Proc. 5th WSEAS Int. Symp. Data Mining</v>
      </c>
      <c r="B11630" s="8" t="str">
        <f>"9789604741137"</f>
        <v>9789604741137</v>
      </c>
      <c r="C11630" s="8" t="s">
        <v>553</v>
      </c>
    </row>
    <row r="11631" spans="1:3" x14ac:dyDescent="0.25">
      <c r="A11631" s="8" t="str">
        <f>"Proc. Combined Workshops on UnConventional High Performance Computing Workshop Plus Memory Access Workshop, UCHPC-MAW '09, Co-located with the 2009 ACM Int. Conf. on Computing Frontiers, CF'09"</f>
        <v>Proc. Combined Workshops on UnConventional High Performance Computing Workshop Plus Memory Access Workshop, UCHPC-MAW '09, Co-located with the 2009 ACM Int. Conf. on Computing Frontiers, CF'09</v>
      </c>
      <c r="B11631" s="8" t="str">
        <f>"9781605585574"</f>
        <v>9781605585574</v>
      </c>
      <c r="C11631" s="8" t="s">
        <v>21</v>
      </c>
    </row>
    <row r="11632" spans="1:3" x14ac:dyDescent="0.25">
      <c r="A11632" s="8" t="str">
        <f>"Proc. iEMSs 4th Biennial Meeting - Int. Congress on Environmental Modelling and Software: Integrating Sciences and Information Technology for Environmental Assessment and Decision Making, iEMSs 2008"</f>
        <v>Proc. iEMSs 4th Biennial Meeting - Int. Congress on Environmental Modelling and Software: Integrating Sciences and Information Technology for Environmental Assessment and Decision Making, iEMSs 2008</v>
      </c>
      <c r="B11632" s="8" t="str">
        <f>"9788476530740"</f>
        <v>9788476530740</v>
      </c>
      <c r="C11632" s="8" t="s">
        <v>1896</v>
      </c>
    </row>
    <row r="11633" spans="1:3" x14ac:dyDescent="0.25">
      <c r="A11633" s="8" t="str">
        <f>"Proc. Int. Conf. Numerical Simulation of Construction Processes in Geotechnical Eng. for Urban Environment - Numerical Modelling of Construction Processes in Geotechnical Eng. for Urban Environment"</f>
        <v>Proc. Int. Conf. Numerical Simulation of Construction Processes in Geotechnical Eng. for Urban Environment - Numerical Modelling of Construction Processes in Geotechnical Eng. for Urban Environment</v>
      </c>
      <c r="B11633" s="8" t="str">
        <f>"9780415397483"</f>
        <v>9780415397483</v>
      </c>
      <c r="C11633" s="8" t="s">
        <v>1520</v>
      </c>
    </row>
    <row r="11634" spans="1:3" x14ac:dyDescent="0.25">
      <c r="A11634" s="8" t="s">
        <v>2045</v>
      </c>
      <c r="B11634" s="8" t="str">
        <f>"9789810540050"</f>
        <v>9789810540050</v>
      </c>
      <c r="C11634" s="8" t="s">
        <v>1278</v>
      </c>
    </row>
    <row r="11635" spans="1:3" x14ac:dyDescent="0.25">
      <c r="A11635" s="8" t="str">
        <f>"Proc. Int. Joint Workshop on Technologies for Context-Aware Business Process Management, Advanced Enterprise Architecture and Repositories and Recent Trends in SOA Based Inf. Syst Held with ICEIS 2010"</f>
        <v>Proc. Int. Joint Workshop on Technologies for Context-Aware Business Process Management, Advanced Enterprise Architecture and Repositories and Recent Trends in SOA Based Inf. Syst Held with ICEIS 2010</v>
      </c>
      <c r="B11635" s="8" t="str">
        <f>"9789898425096"</f>
        <v>9789898425096</v>
      </c>
      <c r="C11635" s="8" t="s">
        <v>1197</v>
      </c>
    </row>
    <row r="11636" spans="1:3" x14ac:dyDescent="0.25">
      <c r="A11636" s="8" t="str">
        <f>"Proc. International Conference on Pipelines and Trenchless Technology 2009, ICPTT 2009: Advances and Experiences with Pipelines and Trenchless Technology for Water, Sewer, Gas, and Oil Applications"</f>
        <v>Proc. International Conference on Pipelines and Trenchless Technology 2009, ICPTT 2009: Advances and Experiences with Pipelines and Trenchless Technology for Water, Sewer, Gas, and Oil Applications</v>
      </c>
      <c r="B11636" s="8" t="str">
        <f>"9780784410738"</f>
        <v>9780784410738</v>
      </c>
      <c r="C11636" s="8" t="s">
        <v>111</v>
      </c>
    </row>
    <row r="11637" spans="1:3" x14ac:dyDescent="0.25">
      <c r="A11637" s="8" t="str">
        <f>"Proc. of 2007 Joint Meet. of the 6th Int. Symp. on Noninvasive Functional Source Imaging of the Brain and Heart and the Int. Conf. on Functional Biomedical Imaging, NFSI and ICFBI 2007"</f>
        <v>Proc. of 2007 Joint Meet. of the 6th Int. Symp. on Noninvasive Functional Source Imaging of the Brain and Heart and the Int. Conf. on Functional Biomedical Imaging, NFSI and ICFBI 2007</v>
      </c>
      <c r="B11637" s="8" t="str">
        <f>"9781424409488"</f>
        <v>9781424409488</v>
      </c>
      <c r="C11637" s="8" t="s">
        <v>9</v>
      </c>
    </row>
    <row r="11638" spans="1:3" x14ac:dyDescent="0.25">
      <c r="A11638" s="8" t="str">
        <f>"Proc. of 2011 Int. Workshop on Requirements Engineering for Electronic Voting Systems, REVOTE 2011 - In Conjunction with the 19th IEEE International Requirements Engineering Conference 2011, RE 2011"</f>
        <v>Proc. of 2011 Int. Workshop on Requirements Engineering for Electronic Voting Systems, REVOTE 2011 - In Conjunction with the 19th IEEE International Requirements Engineering Conference 2011, RE 2011</v>
      </c>
      <c r="B11638" s="8" t="str">
        <f>"9781457709531"</f>
        <v>9781457709531</v>
      </c>
      <c r="C11638" s="8" t="s">
        <v>9</v>
      </c>
    </row>
    <row r="11639" spans="1:3" x14ac:dyDescent="0.25">
      <c r="A11639" s="8" t="str">
        <f>"Proc. of 2013 3rd Int. Conf. on Instrumentation, Communications, Information Technol., and Biomedical Engineering: Science and Technol. for Improvement of Health, Safety, and Environ., ICICI-BME 2013"</f>
        <v>Proc. of 2013 3rd Int. Conf. on Instrumentation, Communications, Information Technol., and Biomedical Engineering: Science and Technol. for Improvement of Health, Safety, and Environ., ICICI-BME 2013</v>
      </c>
      <c r="B11639" s="8" t="str">
        <f>"9781479916504"</f>
        <v>9781479916504</v>
      </c>
      <c r="C11639" s="8" t="s">
        <v>9</v>
      </c>
    </row>
    <row r="11640" spans="1:3" x14ac:dyDescent="0.25">
      <c r="A11640" s="8" t="str">
        <f>"Proc. of 2nd Int. Workshop on Big Data, Streams and Heterogeneous Source Mining: Algorithms, Systems, Programming Models and Applications, BigMine 2013 - Held in Conj. with SIGKDD 2013 Conf."</f>
        <v>Proc. of 2nd Int. Workshop on Big Data, Streams and Heterogeneous Source Mining: Algorithms, Systems, Programming Models and Applications, BigMine 2013 - Held in Conj. with SIGKDD 2013 Conf.</v>
      </c>
      <c r="B11640" s="8" t="str">
        <f>"9781450323246"</f>
        <v>9781450323246</v>
      </c>
      <c r="C11640" s="8" t="s">
        <v>21</v>
      </c>
    </row>
    <row r="11641" spans="1:3" x14ac:dyDescent="0.25">
      <c r="A11641" s="8" t="str">
        <f>"Proc. of 8th Workshop on Virtualization in High-Performance Cloud Computing, VHPC 2013 - Held in Conjunction with SC 2013: The Int. Conf. for High Performance Computing, Networking, Storage and Anal."</f>
        <v>Proc. of 8th Workshop on Virtualization in High-Performance Cloud Computing, VHPC 2013 - Held in Conjunction with SC 2013: The Int. Conf. for High Performance Computing, Networking, Storage and Anal.</v>
      </c>
      <c r="B11641" s="8" t="str">
        <f>"9781450323789"</f>
        <v>9781450323789</v>
      </c>
      <c r="C11641" s="8" t="s">
        <v>21</v>
      </c>
    </row>
    <row r="11642" spans="1:3" x14ac:dyDescent="0.25">
      <c r="A11642" s="8" t="str">
        <f>"Proc. of E2SC 2013: 1st Int. Workshop on Energy Efficient Supercomputing - Held in Conjunction with SC 2013: The Int. Conference for High Performance Computing, Networking, Storage and Analysis"</f>
        <v>Proc. of E2SC 2013: 1st Int. Workshop on Energy Efficient Supercomputing - Held in Conjunction with SC 2013: The Int. Conference for High Performance Computing, Networking, Storage and Analysis</v>
      </c>
      <c r="B11642" s="8" t="str">
        <f>"9781450325042"</f>
        <v>9781450325042</v>
      </c>
      <c r="C11642" s="8" t="s">
        <v>21</v>
      </c>
    </row>
    <row r="11643" spans="1:3" x14ac:dyDescent="0.25">
      <c r="A11643" s="8" t="str">
        <f>"Proc. of IA3 2013 - 3rd Workshop on Irregular Appl.: Architectures and Algorithms, Held in Conjunction with SC 2013: The Int. Conf. for High Performance Computing, Networking, Storage and Analysis"</f>
        <v>Proc. of IA3 2013 - 3rd Workshop on Irregular Appl.: Architectures and Algorithms, Held in Conjunction with SC 2013: The Int. Conf. for High Performance Computing, Networking, Storage and Analysis</v>
      </c>
      <c r="B11643" s="8" t="str">
        <f>"9781450325035"</f>
        <v>9781450325035</v>
      </c>
      <c r="C11643" s="8" t="s">
        <v>21</v>
      </c>
    </row>
    <row r="11644" spans="1:3" x14ac:dyDescent="0.25">
      <c r="A11644" s="8" t="str">
        <f>"Proc. of NDM 2013: 3rd Int. Workshop on Network-Aware Data Management - Held in Conjunction with SC 2013: The Int. Conference for High Performance Computing, Networking, Storage and Analysis"</f>
        <v>Proc. of NDM 2013: 3rd Int. Workshop on Network-Aware Data Management - Held in Conjunction with SC 2013: The Int. Conference for High Performance Computing, Networking, Storage and Analysis</v>
      </c>
      <c r="B11644" s="8" t="str">
        <f>"9781450325226"</f>
        <v>9781450325226</v>
      </c>
      <c r="C11644" s="8" t="s">
        <v>21</v>
      </c>
    </row>
    <row r="11645" spans="1:3" x14ac:dyDescent="0.25">
      <c r="A11645" s="8" t="str">
        <f>"Proc. of ScalA 2013: Workshop on Latest Adv. in Scalable Algorithms for Large-Scale Systems - Held in Conjunction with SC 2013: The Int. Conf. for High Perform. Comput., Networking, Storage and Anal."</f>
        <v>Proc. of ScalA 2013: Workshop on Latest Adv. in Scalable Algorithms for Large-Scale Systems - Held in Conjunction with SC 2013: The Int. Conf. for High Perform. Comput., Networking, Storage and Anal.</v>
      </c>
      <c r="B11645" s="8" t="str">
        <f>"9781450325080"</f>
        <v>9781450325080</v>
      </c>
      <c r="C11645" s="8" t="s">
        <v>21</v>
      </c>
    </row>
    <row r="11646" spans="1:3" x14ac:dyDescent="0.25">
      <c r="A11646" s="8" t="str">
        <f>"Proc. of SE-HPCCSE 2013: 1st Int. Workshop on SE for High Performance Computing in Computational Science and Engineering - Held in Conjunction with SC 2013: The ICHPC, Networking, Storage and Analysis"</f>
        <v>Proc. of SE-HPCCSE 2013: 1st Int. Workshop on SE for High Performance Computing in Computational Science and Engineering - Held in Conjunction with SC 2013: The ICHPC, Networking, Storage and Analysis</v>
      </c>
      <c r="B11646" s="8" t="str">
        <f>"9781450324991"</f>
        <v>9781450324991</v>
      </c>
      <c r="C11646" s="8" t="s">
        <v>21</v>
      </c>
    </row>
    <row r="11647" spans="1:3" x14ac:dyDescent="0.25">
      <c r="A11647" s="8" t="str">
        <f>"Proc. of the 10th Int. Workshop on Modelling, Simulation, Verification and Validation of Enterprise Information Systems, MSVVEIS 2012 and 1st Int. Workshop on , WEBI 2012,in Conj. with ICEIS 2012"</f>
        <v>Proc. of the 10th Int. Workshop on Modelling, Simulation, Verification and Validation of Enterprise Information Systems, MSVVEIS 2012 and 1st Int. Workshop on , WEBI 2012,in Conj. with ICEIS 2012</v>
      </c>
      <c r="B11647" s="8" t="str">
        <f>"9789898565143"</f>
        <v>9789898565143</v>
      </c>
      <c r="C11647" s="8" t="s">
        <v>1197</v>
      </c>
    </row>
    <row r="11648" spans="1:3" x14ac:dyDescent="0.25">
      <c r="A11648" s="8" t="str">
        <f>"Proc. of the 11th IEEE Int. Conference on Trust, Security and Privacy in Computing and Communications, TrustCom-2012 - 11th IEEE Int. Conference on Ubiquitous Computing and Communications, IUCC-2012"</f>
        <v>Proc. of the 11th IEEE Int. Conference on Trust, Security and Privacy in Computing and Communications, TrustCom-2012 - 11th IEEE Int. Conference on Ubiquitous Computing and Communications, IUCC-2012</v>
      </c>
      <c r="B11648" s="8" t="str">
        <f>"9780769547459"</f>
        <v>9780769547459</v>
      </c>
      <c r="C11648" s="8" t="s">
        <v>9</v>
      </c>
    </row>
    <row r="11649" spans="1:3" x14ac:dyDescent="0.25">
      <c r="A11649" s="8" t="str">
        <f>"Proc. of the 11th WSEAS Int. Conf. on Mathematics and Computers in Business and Economics, MCBE '10, Proc. of the 11th WSEAS Int. Conf. on Mathematics and Computers in Biology and Chemistry, MCBC '10"</f>
        <v>Proc. of the 11th WSEAS Int. Conf. on Mathematics and Computers in Business and Economics, MCBE '10, Proc. of the 11th WSEAS Int. Conf. on Mathematics and Computers in Biology and Chemistry, MCBC '10</v>
      </c>
      <c r="B11649" s="8" t="str">
        <f>"9789604741946"</f>
        <v>9789604741946</v>
      </c>
      <c r="C11649" s="8" t="s">
        <v>553</v>
      </c>
    </row>
    <row r="11650" spans="1:3" x14ac:dyDescent="0.25">
      <c r="A11650" s="8" t="str">
        <f>"Proc. of the 11th WSEAS Int. Conf. on Neural Networks, NN '10, Proceedings of the 11th WSEAS Int. Conf. on Evolutionary Computing, EC '10, Proc. of the 11th WSEAS Int. Conf. on Fuzzy Systems, FS '10"</f>
        <v>Proc. of the 11th WSEAS Int. Conf. on Neural Networks, NN '10, Proceedings of the 11th WSEAS Int. Conf. on Evolutionary Computing, EC '10, Proc. of the 11th WSEAS Int. Conf. on Fuzzy Systems, FS '10</v>
      </c>
      <c r="B11650" s="8" t="str">
        <f>"9789604741953"</f>
        <v>9789604741953</v>
      </c>
      <c r="C11650" s="8" t="s">
        <v>553</v>
      </c>
    </row>
    <row r="11651" spans="1:3" x14ac:dyDescent="0.25">
      <c r="A11651" s="8" t="str">
        <f>"Proc. of the 12th Int. Workshop on Data Mining in Bioinformatics, BIOKDD 2013 - Held in Conjunction with the 19th ACM SIGKDD Int. Conf. on Knowledge Discovery and Data Mining, SIGKDD 2013"</f>
        <v>Proc. of the 12th Int. Workshop on Data Mining in Bioinformatics, BIOKDD 2013 - Held in Conjunction with the 19th ACM SIGKDD Int. Conf. on Knowledge Discovery and Data Mining, SIGKDD 2013</v>
      </c>
      <c r="B11651" s="8" t="str">
        <f>"9781450323277"</f>
        <v>9781450323277</v>
      </c>
      <c r="C11651" s="8" t="s">
        <v>21</v>
      </c>
    </row>
    <row r="11652" spans="1:3" x14ac:dyDescent="0.25">
      <c r="A11652" s="8" t="str">
        <f>"Proc. of the 1st ACM SIGSPATIAL Int. Workshop on Data Mining for Geoinformatics, DMG 2010, offered under the auspices of the 18th Int. Conference on Advances in Geographic Information Systems, ACMGIS"</f>
        <v>Proc. of the 1st ACM SIGSPATIAL Int. Workshop on Data Mining for Geoinformatics, DMG 2010, offered under the auspices of the 18th Int. Conference on Advances in Geographic Information Systems, ACMGIS</v>
      </c>
      <c r="B11652" s="8" t="str">
        <f>"9781450304306"</f>
        <v>9781450304306</v>
      </c>
      <c r="C11652" s="8" t="s">
        <v>21</v>
      </c>
    </row>
    <row r="11653" spans="1:3" x14ac:dyDescent="0.25">
      <c r="A11653" s="8" t="str">
        <f>"Proc. of the 1st ACM SIGSPATIAL Int. Workshop on Mobile Geographic Inf. Systems, MobiGIS 2012 - In Conjunction with the 20th ACM SIGSPATIAL Int. Conf. on Advances in Geographic Inf. Systems, GIS 2012"</f>
        <v>Proc. of the 1st ACM SIGSPATIAL Int. Workshop on Mobile Geographic Inf. Systems, MobiGIS 2012 - In Conjunction with the 20th ACM SIGSPATIAL Int. Conf. on Advances in Geographic Inf. Systems, GIS 2012</v>
      </c>
      <c r="B11653" s="8" t="str">
        <f>"9781450316996"</f>
        <v>9781450316996</v>
      </c>
      <c r="C11653" s="8" t="s">
        <v>21</v>
      </c>
    </row>
    <row r="11654" spans="1:3" x14ac:dyDescent="0.25">
      <c r="A11654" s="8" t="str">
        <f>"Proc. of the 4th Workshop on Virtual Machines and Intermediate Languages, VMIL 2010, Held at the 1st ACM SIGPLAN Conference on Systems, Programming, Languages, and Applications: Software for Humanity"</f>
        <v>Proc. of the 4th Workshop on Virtual Machines and Intermediate Languages, VMIL 2010, Held at the 1st ACM SIGPLAN Conference on Systems, Programming, Languages, and Applications: Software for Humanity</v>
      </c>
      <c r="B11654" s="8" t="str">
        <f>"9781450305457"</f>
        <v>9781450305457</v>
      </c>
      <c r="C11654" s="8" t="s">
        <v>21</v>
      </c>
    </row>
    <row r="11655" spans="1:3" x14ac:dyDescent="0.25">
      <c r="A11655" s="8" t="str">
        <f>"Proc. of the 6th Int. Workshop on Middleware Tools, Services and Run-time Support for Networked Embedded Systems, MidSens'11 - Co-located with 12th ACM/IFIP/USENIX Int. Middleware Conf., Middleware'11"</f>
        <v>Proc. of the 6th Int. Workshop on Middleware Tools, Services and Run-time Support for Networked Embedded Systems, MidSens'11 - Co-located with 12th ACM/IFIP/USENIX Int. Middleware Conf., Middleware'11</v>
      </c>
      <c r="B11655" s="8" t="str">
        <f>"9781450310697"</f>
        <v>9781450310697</v>
      </c>
      <c r="C11655" s="8" t="s">
        <v>21</v>
      </c>
    </row>
    <row r="11656" spans="1:3" x14ac:dyDescent="0.25">
      <c r="A11656" s="8" t="str">
        <f>"Proc. of the 6th Workshop on the Implementation, Compilation, Optimization of Object-Oriented Languages, Programs and Systems, ICOOOLPS 2011 - In Conjunction with the 25th ECOOP, ECOOP 2011"</f>
        <v>Proc. of the 6th Workshop on the Implementation, Compilation, Optimization of Object-Oriented Languages, Programs and Systems, ICOOOLPS 2011 - In Conjunction with the 25th ECOOP, ECOOP 2011</v>
      </c>
      <c r="B11656" s="8" t="str">
        <f>"9781450308946"</f>
        <v>9781450308946</v>
      </c>
      <c r="C11656" s="8" t="s">
        <v>21</v>
      </c>
    </row>
    <row r="11657" spans="1:3" x14ac:dyDescent="0.25">
      <c r="A11657" s="8" t="str">
        <f>"Proc. of the IADIS Int. Conf. - Computer Graphics, Visualization, Computer Vision and Image Processing, CGVCVIP 2010, Visual Commun., VC 2010, Web3DW 2010, Part of the MCCSIS 2010"</f>
        <v>Proc. of the IADIS Int. Conf. - Computer Graphics, Visualization, Computer Vision and Image Processing, CGVCVIP 2010, Visual Commun., VC 2010, Web3DW 2010, Part of the MCCSIS 2010</v>
      </c>
      <c r="B11657" s="8" t="str">
        <f>"9789728939229"</f>
        <v>9789728939229</v>
      </c>
      <c r="C11657" s="8" t="s">
        <v>1228</v>
      </c>
    </row>
    <row r="11658" spans="1:3" x14ac:dyDescent="0.25">
      <c r="A11658" s="8" t="str">
        <f>"Proc. of the IADIS Int. Conf. Collaborative Technologies 2010, Proc. of the IADIS Int. Conf. Web Based Communities 2010, Part of the MCCSIS 2010"</f>
        <v>Proc. of the IADIS Int. Conf. Collaborative Technologies 2010, Proc. of the IADIS Int. Conf. Web Based Communities 2010, Part of the MCCSIS 2010</v>
      </c>
      <c r="B11658" s="8" t="str">
        <f>"9789728939212"</f>
        <v>9789728939212</v>
      </c>
      <c r="C11658" s="8" t="s">
        <v>1228</v>
      </c>
    </row>
    <row r="11659" spans="1:3" x14ac:dyDescent="0.25">
      <c r="A11659" s="8" t="str">
        <f>"Proc. of the IADIS Int. Conf. Computer Graphics, Visualization, Computer Vision and Image Processing 2011, Part of the IADIS Multi Conf. on Computer Science and Information Systems 2011, MCCSIS 2011"</f>
        <v>Proc. of the IADIS Int. Conf. Computer Graphics, Visualization, Computer Vision and Image Processing 2011, Part of the IADIS Multi Conf. on Computer Science and Information Systems 2011, MCCSIS 2011</v>
      </c>
      <c r="B11659" s="8" t="str">
        <f>"9789728939489"</f>
        <v>9789728939489</v>
      </c>
      <c r="C11659" s="8" t="s">
        <v>1228</v>
      </c>
    </row>
    <row r="11660" spans="1:3" x14ac:dyDescent="0.25">
      <c r="A11660" s="8" t="str">
        <f>"Proc. of the IADIS Int. Conf. Computer Graphics, Visualization, Computer Vision and Image Processing 2012, CGVCVIP 2012, Part of the IADIS MCCSIS 2012"</f>
        <v>Proc. of the IADIS Int. Conf. Computer Graphics, Visualization, Computer Vision and Image Processing 2012, CGVCVIP 2012, Part of the IADIS MCCSIS 2012</v>
      </c>
      <c r="B11660" s="8" t="str">
        <f>"9789728939748"</f>
        <v>9789728939748</v>
      </c>
      <c r="C11660" s="8" t="s">
        <v>1228</v>
      </c>
    </row>
    <row r="11661" spans="1:3" x14ac:dyDescent="0.25">
      <c r="A11661" s="8" t="str">
        <f>"Proc. of the IADIS Int. Conf. e-Commerce 2010, Proc. of the IADIS Int. Conf. e-Democracy, Equity and Social Justice 2010, Part of the MCCSIS 2010"</f>
        <v>Proc. of the IADIS Int. Conf. e-Commerce 2010, Proc. of the IADIS Int. Conf. e-Democracy, Equity and Social Justice 2010, Part of the MCCSIS 2010</v>
      </c>
      <c r="B11661" s="8" t="str">
        <f>"9789728939243"</f>
        <v>9789728939243</v>
      </c>
      <c r="C11661" s="8" t="s">
        <v>1228</v>
      </c>
    </row>
    <row r="11662" spans="1:3" x14ac:dyDescent="0.25">
      <c r="A11662" s="8" t="str">
        <f>"Proc. of the IADIS Int. Conf. Information Systems Post-Implementation and Change Management 2013, ISPCM 2013, Proc. of the IADIS Int. Conf. Theory and Practice in Modern Computing 2013, TPMC 2013"</f>
        <v>Proc. of the IADIS Int. Conf. Information Systems Post-Implementation and Change Management 2013, ISPCM 2013, Proc. of the IADIS Int. Conf. Theory and Practice in Modern Computing 2013, TPMC 2013</v>
      </c>
      <c r="B11662" s="8" t="str">
        <f>"9789728939946"</f>
        <v>9789728939946</v>
      </c>
      <c r="C11662" s="8" t="s">
        <v>1228</v>
      </c>
    </row>
    <row r="11663" spans="1:3" x14ac:dyDescent="0.25">
      <c r="A11663" s="8" t="str">
        <f>"Proc. of the IADIS Int. Conf. Intelligent Systems and Agents 2010, Proc. of the IADIS European Conference on Data Mining 2010, Part of the MCCSIS 2010"</f>
        <v>Proc. of the IADIS Int. Conf. Intelligent Systems and Agents 2010, Proc. of the IADIS European Conference on Data Mining 2010, Part of the MCCSIS 2010</v>
      </c>
      <c r="B11663" s="8" t="str">
        <f>"9789728939236"</f>
        <v>9789728939236</v>
      </c>
      <c r="C11663" s="8" t="s">
        <v>1228</v>
      </c>
    </row>
    <row r="11664" spans="1:3" x14ac:dyDescent="0.25">
      <c r="A11664" s="8" t="str">
        <f>"Proc. of the IADIS Int. Conf. Interfaces and Human Computer Interaction 2010, IHCI, Proc. of the IADIS Int. Conf. Game and Entertainment Technologies 2010, Part of the MCCSIS 2010"</f>
        <v>Proc. of the IADIS Int. Conf. Interfaces and Human Computer Interaction 2010, IHCI, Proc. of the IADIS Int. Conf. Game and Entertainment Technologies 2010, Part of the MCCSIS 2010</v>
      </c>
      <c r="B11664" s="8" t="str">
        <f>"9789728939182"</f>
        <v>9789728939182</v>
      </c>
      <c r="C11664" s="8" t="s">
        <v>1228</v>
      </c>
    </row>
    <row r="11665" spans="1:3" x14ac:dyDescent="0.25">
      <c r="A11665" s="8" t="str">
        <f>"Proc. of the IADIS Int. Confs. - Informatics 2010, Wireless Applications and Computing 2010, Telecommunications, Networks and Systems 2010, Part of the MCCSIS 2010"</f>
        <v>Proc. of the IADIS Int. Confs. - Informatics 2010, Wireless Applications and Computing 2010, Telecommunications, Networks and Systems 2010, Part of the MCCSIS 2010</v>
      </c>
      <c r="B11665" s="8" t="str">
        <f>"9789728939199"</f>
        <v>9789728939199</v>
      </c>
      <c r="C11665" s="8" t="s">
        <v>1228</v>
      </c>
    </row>
    <row r="11666" spans="1:3" x14ac:dyDescent="0.25">
      <c r="A11666" s="8" t="str">
        <f>"Proc. of the Int. Conf. on Advances in Welding Science and Technology for Construction, Energy and Transportation, AWST 2010, held in Conj. with the 63rd Annual Assembly of IIW 2010"</f>
        <v>Proc. of the Int. Conf. on Advances in Welding Science and Technology for Construction, Energy and Transportation, AWST 2010, held in Conj. with the 63rd Annual Assembly of IIW 2010</v>
      </c>
      <c r="B11666" s="8" t="str">
        <f>"9786056141911"</f>
        <v>9786056141911</v>
      </c>
      <c r="C11666" s="8" t="s">
        <v>2046</v>
      </c>
    </row>
    <row r="11667" spans="1:3" x14ac:dyDescent="0.25">
      <c r="A11667" s="8" t="str">
        <f>"Proc. of the Int. Conf. on the Structure and the Interactions of the Photon, PHOTON 2009 - 18th Int. Workshop on Photon-Photon Collisions - Int. Workshop on High Energy Photon Linear Colliders"</f>
        <v>Proc. of the Int. Conf. on the Structure and the Interactions of the Photon, PHOTON 2009 - 18th Int. Workshop on Photon-Photon Collisions - Int. Workshop on High Energy Photon Linear Colliders</v>
      </c>
      <c r="B11667" s="8" t="str">
        <f>"9783935702331"</f>
        <v>9783935702331</v>
      </c>
      <c r="C11667" s="8" t="s">
        <v>1279</v>
      </c>
    </row>
    <row r="11668" spans="1:3" x14ac:dyDescent="0.25">
      <c r="A11668" s="8" t="str">
        <f>"Proc. of the Int. Joint Workshop on Information Value Management, IVM, Future Trends of Model-Driven Development, FTMDD, RTSOABIS and MSVVEIS 2011, in Conjunction with ICEIS 2011"</f>
        <v>Proc. of the Int. Joint Workshop on Information Value Management, IVM, Future Trends of Model-Driven Development, FTMDD, RTSOABIS and MSVVEIS 2011, in Conjunction with ICEIS 2011</v>
      </c>
      <c r="B11668" s="8" t="str">
        <f>"9789898425607"</f>
        <v>9789898425607</v>
      </c>
      <c r="C11668" s="8" t="s">
        <v>1197</v>
      </c>
    </row>
    <row r="11669" spans="1:3" x14ac:dyDescent="0.25">
      <c r="A11669" s="8" t="str">
        <f>"Proc. of UltraVis 2013: 8th Int. Workshop on Ultrascale Visualization - Held in Conjunction with SC 2013: The Int. Conference for High Performance Computing, Networking, Storage and Analysis"</f>
        <v>Proc. of UltraVis 2013: 8th Int. Workshop on Ultrascale Visualization - Held in Conjunction with SC 2013: The Int. Conference for High Performance Computing, Networking, Storage and Analysis</v>
      </c>
      <c r="B11669" s="8" t="str">
        <f>"9781450325004"</f>
        <v>9781450325004</v>
      </c>
      <c r="C11669" s="8" t="s">
        <v>21</v>
      </c>
    </row>
    <row r="11670" spans="1:3" x14ac:dyDescent="0.25">
      <c r="A11670" s="8" t="str">
        <f>"PROCAMS 2008 - ACM/IEEE 5th International Workshop on Projector Camera Systems"</f>
        <v>PROCAMS 2008 - ACM/IEEE 5th International Workshop on Projector Camera Systems</v>
      </c>
      <c r="B11670" s="8" t="str">
        <f>"9781605582726"</f>
        <v>9781605582726</v>
      </c>
      <c r="C11670" s="8" t="s">
        <v>21</v>
      </c>
    </row>
    <row r="11671" spans="1:3" x14ac:dyDescent="0.25">
      <c r="A11671" s="8" t="str">
        <f>"Proceddings - First International Conference on Testbeds and Research Infrastructures for the Development of Networks and Communities, Tridentcom 2005"</f>
        <v>Proceddings - First International Conference on Testbeds and Research Infrastructures for the Development of Networks and Communities, Tridentcom 2005</v>
      </c>
      <c r="B11671" s="8" t="str">
        <f>"-"</f>
        <v>-</v>
      </c>
      <c r="C11671" s="8" t="s">
        <v>9</v>
      </c>
    </row>
    <row r="11672" spans="1:3" x14ac:dyDescent="0.25">
      <c r="A11672" s="8" t="str">
        <f>"Proceeding - 2007 IEEE International Conference on Telecommunications and Malaysia International Conference on Communications, ICT-MICC 2007"</f>
        <v>Proceeding - 2007 IEEE International Conference on Telecommunications and Malaysia International Conference on Communications, ICT-MICC 2007</v>
      </c>
      <c r="B11672" s="8" t="str">
        <f>"9781424410941"</f>
        <v>9781424410941</v>
      </c>
      <c r="C11672" s="8" t="s">
        <v>9</v>
      </c>
    </row>
    <row r="11673" spans="1:3" x14ac:dyDescent="0.25">
      <c r="A11673" s="8" t="str">
        <f>"Proceeding - 2012 IEEE International Conference on Computational Intelligence and Cybernetics, CyberneticsCom 2012"</f>
        <v>Proceeding - 2012 IEEE International Conference on Computational Intelligence and Cybernetics, CyberneticsCom 2012</v>
      </c>
      <c r="B11673" s="8" t="str">
        <f>"9781467308922"</f>
        <v>9781467308922</v>
      </c>
      <c r="C11673" s="8" t="s">
        <v>9</v>
      </c>
    </row>
    <row r="11674" spans="1:3" x14ac:dyDescent="0.25">
      <c r="A11674" s="8" t="str">
        <f>"Proceeding - 2013 IEEE Student Conference on Research and Development, SCOReD 2013"</f>
        <v>Proceeding - 2013 IEEE Student Conference on Research and Development, SCOReD 2013</v>
      </c>
      <c r="B11674" s="8" t="str">
        <f>"9781479926565"</f>
        <v>9781479926565</v>
      </c>
      <c r="C11674" s="8" t="s">
        <v>105</v>
      </c>
    </row>
    <row r="11675" spans="1:3" x14ac:dyDescent="0.25">
      <c r="A11675" s="8" t="s">
        <v>2047</v>
      </c>
      <c r="B11675" s="8" t="str">
        <f>"9781479945757"</f>
        <v>9781479945757</v>
      </c>
      <c r="C11675" s="8" t="s">
        <v>105</v>
      </c>
    </row>
    <row r="11676" spans="1:3" x14ac:dyDescent="0.25">
      <c r="A11676" s="8" t="str">
        <f>"Proceeding - 2014 Makassar International Conference on Electrical Engineering and Informatics, MICEEI 2014"</f>
        <v>Proceeding - 2014 Makassar International Conference on Electrical Engineering and Informatics, MICEEI 2014</v>
      </c>
      <c r="B11676" s="8" t="str">
        <f>"9781479967261"</f>
        <v>9781479967261</v>
      </c>
      <c r="C11676" s="8" t="s">
        <v>105</v>
      </c>
    </row>
    <row r="11677" spans="1:3" x14ac:dyDescent="0.25">
      <c r="A11677" s="8" t="str">
        <f>"Proceeding - 2015 IEEE International Conference on Industrial Informatics, INDIN 2015"</f>
        <v>Proceeding - 2015 IEEE International Conference on Industrial Informatics, INDIN 2015</v>
      </c>
      <c r="B11677" s="8" t="str">
        <f>"9781479966493"</f>
        <v>9781479966493</v>
      </c>
      <c r="C11677" s="8" t="s">
        <v>105</v>
      </c>
    </row>
    <row r="11678" spans="1:3" x14ac:dyDescent="0.25">
      <c r="A11678" s="8" t="str">
        <f>"Proceeding - 5th International Conference on Computer Sciences and Convergence Information Technology, ICCIT 2010"</f>
        <v>Proceeding - 5th International Conference on Computer Sciences and Convergence Information Technology, ICCIT 2010</v>
      </c>
      <c r="B11678" s="8" t="str">
        <f>"9788988678299"</f>
        <v>9788988678299</v>
      </c>
      <c r="C11678" s="8" t="s">
        <v>9</v>
      </c>
    </row>
    <row r="11679" spans="1:3" x14ac:dyDescent="0.25">
      <c r="A11679" s="8" t="str">
        <f>"Proceeding - 6th International Conference on Digital Content, Multimedia Technology and Its Applications, IDC2010"</f>
        <v>Proceeding - 6th International Conference on Digital Content, Multimedia Technology and Its Applications, IDC2010</v>
      </c>
      <c r="B11679" s="8" t="str">
        <f>"9788988678275"</f>
        <v>9788988678275</v>
      </c>
      <c r="C11679" s="8" t="s">
        <v>9</v>
      </c>
    </row>
    <row r="11680" spans="1:3" x14ac:dyDescent="0.25">
      <c r="A11680" s="8" t="str">
        <f>"Proceeding - 6th International Conference on Networked Computing and Advanced Information Management, NCM 2010"</f>
        <v>Proceeding - 6th International Conference on Networked Computing and Advanced Information Management, NCM 2010</v>
      </c>
      <c r="B11680" s="8" t="str">
        <f>"9788988678251"</f>
        <v>9788988678251</v>
      </c>
      <c r="C11680" s="8" t="s">
        <v>9</v>
      </c>
    </row>
    <row r="11681" spans="1:3" x14ac:dyDescent="0.25">
      <c r="A11681" s="8" t="str">
        <f>"Proceeding - COMNETSAT 2012: 2012 IEEE International Conference on Communication, Networks and Satellite"</f>
        <v>Proceeding - COMNETSAT 2012: 2012 IEEE International Conference on Communication, Networks and Satellite</v>
      </c>
      <c r="B11681" s="8" t="str">
        <f>"9781467308892"</f>
        <v>9781467308892</v>
      </c>
      <c r="C11681" s="8" t="s">
        <v>9</v>
      </c>
    </row>
    <row r="11682" spans="1:3" x14ac:dyDescent="0.25">
      <c r="A11682" s="8" t="str">
        <f>"Proceeding - ICARES 2014: 2014 IEEE International Conference on Aerospace Electronics and Remote Sensing Technology"</f>
        <v>Proceeding - ICARES 2014: 2014 IEEE International Conference on Aerospace Electronics and Remote Sensing Technology</v>
      </c>
      <c r="B11682" s="8" t="str">
        <f>"9781479961887"</f>
        <v>9781479961887</v>
      </c>
      <c r="C11682" s="8" t="s">
        <v>105</v>
      </c>
    </row>
    <row r="11683" spans="1:3" x14ac:dyDescent="0.25">
      <c r="A11683" s="8" t="s">
        <v>2048</v>
      </c>
      <c r="B11683" s="8" t="str">
        <f>"9781424404278"</f>
        <v>9781424404278</v>
      </c>
      <c r="C11683" s="8" t="s">
        <v>9</v>
      </c>
    </row>
    <row r="11684" spans="1:3" x14ac:dyDescent="0.25">
      <c r="A11684" s="8" t="str">
        <f>"Proceeding 2009 IEEE 10th International Conference on Computer-Aided Industrial Design and Conceptual Design: E-Business, Creative Design, Manufacturing - CAID and CD'2009"</f>
        <v>Proceeding 2009 IEEE 10th International Conference on Computer-Aided Industrial Design and Conceptual Design: E-Business, Creative Design, Manufacturing - CAID and CD'2009</v>
      </c>
      <c r="B11684" s="8" t="str">
        <f>"9781424452675"</f>
        <v>9781424452675</v>
      </c>
      <c r="C11684" s="8" t="s">
        <v>9</v>
      </c>
    </row>
    <row r="11685" spans="1:3" x14ac:dyDescent="0.25">
      <c r="A11685" s="8" t="str">
        <f>"Proceeding of 2005 International Conference on Asian Green Electronics- Design for Manufacturability and Reliability, 2005AGEC"</f>
        <v>Proceeding of 2005 International Conference on Asian Green Electronics- Design for Manufacturability and Reliability, 2005AGEC</v>
      </c>
      <c r="B11685" s="8" t="str">
        <f>"-"</f>
        <v>-</v>
      </c>
      <c r="C11685" s="8" t="s">
        <v>9</v>
      </c>
    </row>
    <row r="11686" spans="1:3" x14ac:dyDescent="0.25">
      <c r="A11686" s="8" t="str">
        <f>"Proceeding of 2007 International Workshop on Electron Devices and Semiconductor Technology, IEDST 2007"</f>
        <v>Proceeding of 2007 International Workshop on Electron Devices and Semiconductor Technology, IEDST 2007</v>
      </c>
      <c r="B11686" s="8" t="str">
        <f>"9781424410989"</f>
        <v>9781424410989</v>
      </c>
      <c r="C11686" s="8" t="s">
        <v>9</v>
      </c>
    </row>
    <row r="11687" spans="1:3" x14ac:dyDescent="0.25">
      <c r="A11687" s="8" t="str">
        <f>"Proceeding of 2012 International Conference on Information Management, Innovation Management and Industrial Engineering, ICIII 2012"</f>
        <v>Proceeding of 2012 International Conference on Information Management, Innovation Management and Industrial Engineering, ICIII 2012</v>
      </c>
      <c r="B11687" s="8" t="str">
        <f>"9781467319324"</f>
        <v>9781467319324</v>
      </c>
      <c r="C11687" s="8" t="s">
        <v>9</v>
      </c>
    </row>
    <row r="11688" spans="1:3" x14ac:dyDescent="0.25">
      <c r="A11688" s="8" t="str">
        <f>"Proceeding of 2012 International Conference on Uncertainty Reasoning and Knowledge Engineering, URKE 2012"</f>
        <v>Proceeding of 2012 International Conference on Uncertainty Reasoning and Knowledge Engineering, URKE 2012</v>
      </c>
      <c r="B11688" s="8" t="str">
        <f>"9781467314596"</f>
        <v>9781467314596</v>
      </c>
      <c r="C11688" s="8" t="s">
        <v>9</v>
      </c>
    </row>
    <row r="11689" spans="1:3" x14ac:dyDescent="0.25">
      <c r="A11689" s="8" t="str">
        <f>"Proceeding of IEEE International Symposium on a World of Wireless, Mobile and Multimedia Networks 2014, WoWMoM 2014"</f>
        <v>Proceeding of IEEE International Symposium on a World of Wireless, Mobile and Multimedia Networks 2014, WoWMoM 2014</v>
      </c>
      <c r="B11689" s="8" t="str">
        <f>"9781479947867"</f>
        <v>9781479947867</v>
      </c>
      <c r="C11689" s="8" t="s">
        <v>105</v>
      </c>
    </row>
    <row r="11690" spans="1:3" x14ac:dyDescent="0.25">
      <c r="A11690" s="8" t="str">
        <f>"Proceeding of International Conference on Electrical Machines and Systems, ICEMS 2007"</f>
        <v>Proceeding of International Conference on Electrical Machines and Systems, ICEMS 2007</v>
      </c>
      <c r="B11690" s="8" t="str">
        <f>"9788986510089"</f>
        <v>9788986510089</v>
      </c>
      <c r="C11690" s="8" t="s">
        <v>9</v>
      </c>
    </row>
    <row r="11691" spans="1:3" x14ac:dyDescent="0.25">
      <c r="A11691" s="8" t="str">
        <f>"Proceeding of International Conference on Power Engineering, ICOPE 2009"</f>
        <v>Proceeding of International Conference on Power Engineering, ICOPE 2009</v>
      </c>
      <c r="B11691" s="8" t="str">
        <f>"-"</f>
        <v>-</v>
      </c>
      <c r="C11691" s="8" t="s">
        <v>653</v>
      </c>
    </row>
    <row r="11692" spans="1:3" x14ac:dyDescent="0.25">
      <c r="A11692" s="8" t="str">
        <f>"Proceeding of the 15th International Conference on Computer and Information Technology, ICCIT 2012"</f>
        <v>Proceeding of the 15th International Conference on Computer and Information Technology, ICCIT 2012</v>
      </c>
      <c r="B11692" s="8" t="str">
        <f>"9781467348348"</f>
        <v>9781467348348</v>
      </c>
      <c r="C11692" s="8" t="s">
        <v>9</v>
      </c>
    </row>
    <row r="11693" spans="1:3" x14ac:dyDescent="0.25">
      <c r="A11693" s="8" t="str">
        <f>"Proceeding of the 17th International Conference on World Wide Web 2008, WWW'08"</f>
        <v>Proceeding of the 17th International Conference on World Wide Web 2008, WWW'08</v>
      </c>
      <c r="B11693" s="8" t="str">
        <f>"9781605580852"</f>
        <v>9781605580852</v>
      </c>
      <c r="C11693" s="8" t="s">
        <v>21</v>
      </c>
    </row>
    <row r="11694" spans="1:3" x14ac:dyDescent="0.25">
      <c r="A11694" s="8" t="str">
        <f>"Proceeding of the 1st International Workshop on Evidential Assessment of Software Technologies, EAST 2011, in Conjunction with ENASE 2011"</f>
        <v>Proceeding of the 1st International Workshop on Evidential Assessment of Software Technologies, EAST 2011, in Conjunction with ENASE 2011</v>
      </c>
      <c r="B11694" s="8" t="str">
        <f>"9789898425584"</f>
        <v>9789898425584</v>
      </c>
      <c r="C11694" s="8" t="s">
        <v>1197</v>
      </c>
    </row>
    <row r="11695" spans="1:3" x14ac:dyDescent="0.25">
      <c r="A11695" s="8" t="str">
        <f>"Proceeding of the 2002 National Conference on Environmental Science and Technology"</f>
        <v>Proceeding of the 2002 National Conference on Environmental Science and Technology</v>
      </c>
      <c r="B11695" s="8" t="str">
        <f>"9781574771381"</f>
        <v>9781574771381</v>
      </c>
      <c r="C11695" s="8" t="s">
        <v>1678</v>
      </c>
    </row>
    <row r="11696" spans="1:3" x14ac:dyDescent="0.25">
      <c r="A11696" s="8" t="str">
        <f>"Proceeding of the 2003 17th National Conference on Hydrodynamics and the 6th National Congress on Hydrodynamics"</f>
        <v>Proceeding of the 2003 17th National Conference on Hydrodynamics and the 6th National Congress on Hydrodynamics</v>
      </c>
      <c r="B11696" s="8" t="str">
        <f>"9787502759391"</f>
        <v>9787502759391</v>
      </c>
      <c r="C11696" s="8" t="s">
        <v>705</v>
      </c>
    </row>
    <row r="11697" spans="1:3" x14ac:dyDescent="0.25">
      <c r="A11697" s="8" t="str">
        <f>"Proceeding of the 2003 Energy and Environment"</f>
        <v>Proceeding of the 2003 Energy and Environment</v>
      </c>
      <c r="B11697" s="8" t="str">
        <f>"9781880132852"</f>
        <v>9781880132852</v>
      </c>
      <c r="C11697" s="8" t="s">
        <v>37</v>
      </c>
    </row>
    <row r="11698" spans="1:3" x14ac:dyDescent="0.25">
      <c r="A11698" s="8" t="str">
        <f>"Proceeding of the 2004 the Eleventh World Congress in Mechanism and Machine Science"</f>
        <v>Proceeding of the 2004 the Eleventh World Congress in Mechanism and Machine Science</v>
      </c>
      <c r="B11698" s="8" t="str">
        <f>"9787111140733"</f>
        <v>9787111140733</v>
      </c>
      <c r="C11698" s="8" t="s">
        <v>2049</v>
      </c>
    </row>
    <row r="11699" spans="1:3" x14ac:dyDescent="0.25">
      <c r="A11699" s="8" t="str">
        <f>"Proceeding of the 2006 Conference on Interaction Design and Children, IDC '06"</f>
        <v>Proceeding of the 2006 Conference on Interaction Design and Children, IDC '06</v>
      </c>
      <c r="B11699" s="8" t="str">
        <f>"-"</f>
        <v>-</v>
      </c>
      <c r="C11699" s="8" t="s">
        <v>21</v>
      </c>
    </row>
    <row r="11700" spans="1:3" x14ac:dyDescent="0.25">
      <c r="A11700" s="8" t="str">
        <f>"Proceeding of the 2006 Workshop on Parallel and Distributed Systems: Testing and Debugging, PADTAD '06"</f>
        <v>Proceeding of the 2006 Workshop on Parallel and Distributed Systems: Testing and Debugging, PADTAD '06</v>
      </c>
      <c r="B11700" s="8" t="str">
        <f>"-"</f>
        <v>-</v>
      </c>
      <c r="C11700" s="8" t="s">
        <v>21</v>
      </c>
    </row>
    <row r="11701" spans="1:3" x14ac:dyDescent="0.25">
      <c r="A11701" s="8" t="str">
        <f>"Proceeding of the 2012 ACM Research in Applied Computation Symposium, RACS 2012"</f>
        <v>Proceeding of the 2012 ACM Research in Applied Computation Symposium, RACS 2012</v>
      </c>
      <c r="B11701" s="8" t="str">
        <f>"9781450314923"</f>
        <v>9781450314923</v>
      </c>
      <c r="C11701" s="8" t="s">
        <v>21</v>
      </c>
    </row>
    <row r="11702" spans="1:3" x14ac:dyDescent="0.25">
      <c r="A11702" s="8" t="str">
        <f>"Proceeding of the 2013 Conference on Future Internet Communications, CFIC 2013"</f>
        <v>Proceeding of the 2013 Conference on Future Internet Communications, CFIC 2013</v>
      </c>
      <c r="B11702" s="8" t="str">
        <f>"9781479900596"</f>
        <v>9781479900596</v>
      </c>
      <c r="C11702" s="8" t="s">
        <v>9</v>
      </c>
    </row>
    <row r="11703" spans="1:3" x14ac:dyDescent="0.25">
      <c r="A11703" s="8" t="s">
        <v>2050</v>
      </c>
      <c r="B11703" s="8" t="str">
        <f>"9781479903399"</f>
        <v>9781479903399</v>
      </c>
      <c r="C11703" s="8" t="s">
        <v>9</v>
      </c>
    </row>
    <row r="11704" spans="1:3" x14ac:dyDescent="0.25">
      <c r="A11704" s="8" t="str">
        <f>"Proceeding of the 2nd International Workshop on Self-Organizing Architectures, SOAR '10, Co-located with ICAC'10"</f>
        <v>Proceeding of the 2nd International Workshop on Self-Organizing Architectures, SOAR '10, Co-located with ICAC'10</v>
      </c>
      <c r="B11704" s="8" t="str">
        <f>"9781450300872"</f>
        <v>9781450300872</v>
      </c>
      <c r="C11704" s="8" t="s">
        <v>21</v>
      </c>
    </row>
    <row r="11705" spans="1:3" x14ac:dyDescent="0.25">
      <c r="A11705" s="8" t="str">
        <f>"Proceeding of the 2nd Workshop on Bio-Inspired Algorithms for Distributed Systems, BADS '10"</f>
        <v>Proceeding of the 2nd Workshop on Bio-Inspired Algorithms for Distributed Systems, BADS '10</v>
      </c>
      <c r="B11705" s="8" t="str">
        <f>"9781450300865"</f>
        <v>9781450300865</v>
      </c>
      <c r="C11705" s="8" t="s">
        <v>21</v>
      </c>
    </row>
    <row r="11706" spans="1:3" x14ac:dyDescent="0.25">
      <c r="A11706" s="8" t="str">
        <f>"Proceeding of the 2nd Workshop on Grids Meets Autonomic Computing, GMAC '10, Co-located with ICAC'10"</f>
        <v>Proceeding of the 2nd Workshop on Grids Meets Autonomic Computing, GMAC '10, Co-located with ICAC'10</v>
      </c>
      <c r="B11706" s="8" t="str">
        <f>"9781450301008"</f>
        <v>9781450301008</v>
      </c>
      <c r="C11706" s="8" t="s">
        <v>21</v>
      </c>
    </row>
    <row r="11707" spans="1:3" x14ac:dyDescent="0.25">
      <c r="A11707" s="8" t="s">
        <v>2051</v>
      </c>
      <c r="B11707" s="8" t="str">
        <f>"-"</f>
        <v>-</v>
      </c>
      <c r="C11707" s="8" t="s">
        <v>9</v>
      </c>
    </row>
    <row r="11708" spans="1:3" x14ac:dyDescent="0.25">
      <c r="A11708" s="8" t="str">
        <f>"Proceeding of the 3rd International Conference on Information and Communication Technology for the Moslem World: ICT Connecting Cultures, ICT4M 2010"</f>
        <v>Proceeding of the 3rd International Conference on Information and Communication Technology for the Moslem World: ICT Connecting Cultures, ICT4M 2010</v>
      </c>
      <c r="B11708" s="8" t="str">
        <f>"9789791948913"</f>
        <v>9789791948913</v>
      </c>
      <c r="C11708" s="8" t="s">
        <v>9</v>
      </c>
    </row>
    <row r="11709" spans="1:3" x14ac:dyDescent="0.25">
      <c r="A11709" s="8" t="str">
        <f>"Proceeding of the 5th International Symposium on Mechatronics and its Applications, ISMA 2008"</f>
        <v>Proceeding of the 5th International Symposium on Mechatronics and its Applications, ISMA 2008</v>
      </c>
      <c r="B11709" s="8" t="str">
        <f>"9781424420346"</f>
        <v>9781424420346</v>
      </c>
      <c r="C11709" s="8" t="s">
        <v>9</v>
      </c>
    </row>
    <row r="11710" spans="1:3" x14ac:dyDescent="0.25">
      <c r="A11710" s="8" t="str">
        <f>"Proceeding of the 7th International Conference on Autonomic Computing, ICAC '10 and Co-located Workshops"</f>
        <v>Proceeding of the 7th International Conference on Autonomic Computing, ICAC '10 and Co-located Workshops</v>
      </c>
      <c r="B11710" s="8" t="str">
        <f>"9781450300742"</f>
        <v>9781450300742</v>
      </c>
      <c r="C11710" s="8" t="s">
        <v>21</v>
      </c>
    </row>
    <row r="11711" spans="1:3" x14ac:dyDescent="0.25">
      <c r="A11711" s="8" t="str">
        <f>"Proceeding of the Component Based High Performance Workshop - CompFrame/HPC-GECO Workshop Series, CBHPC'08"</f>
        <v>Proceeding of the Component Based High Performance Workshop - CompFrame/HPC-GECO Workshop Series, CBHPC'08</v>
      </c>
      <c r="B11711" s="8" t="str">
        <f>"9781605583112"</f>
        <v>9781605583112</v>
      </c>
      <c r="C11711" s="8" t="s">
        <v>21</v>
      </c>
    </row>
    <row r="11712" spans="1:3" x14ac:dyDescent="0.25">
      <c r="A11712" s="8" t="str">
        <f>"Proceeding of the IEEE International Conference on Green Computing, Communication and Electrical Engineering, ICGCCEE 2014"</f>
        <v>Proceeding of the IEEE International Conference on Green Computing, Communication and Electrical Engineering, ICGCCEE 2014</v>
      </c>
      <c r="B11712" s="8" t="str">
        <f>"9781479949823"</f>
        <v>9781479949823</v>
      </c>
      <c r="C11712" s="8" t="s">
        <v>105</v>
      </c>
    </row>
    <row r="11713" spans="1:3" x14ac:dyDescent="0.25">
      <c r="A11713" s="8" t="str">
        <f>"Proceeding of the International Conference on e-Education Entertainment and e-Management, ICEEE 2011"</f>
        <v>Proceeding of the International Conference on e-Education Entertainment and e-Management, ICEEE 2011</v>
      </c>
      <c r="B11713" s="8" t="str">
        <f>"9781457713811"</f>
        <v>9781457713811</v>
      </c>
      <c r="C11713" s="8" t="s">
        <v>9</v>
      </c>
    </row>
    <row r="11714" spans="1:3" x14ac:dyDescent="0.25">
      <c r="A11714" s="8" t="str">
        <f>"Proceeding of the International Conference on Telecommunications"</f>
        <v>Proceeding of the International Conference on Telecommunications</v>
      </c>
      <c r="B11714" s="8" t="str">
        <f>"9787505377028"</f>
        <v>9787505377028</v>
      </c>
      <c r="C11714" s="8" t="s">
        <v>2052</v>
      </c>
    </row>
    <row r="11715" spans="1:3" x14ac:dyDescent="0.25">
      <c r="A11715" s="8" t="str">
        <f>"Proceeding of the International Conference on Telecommunications"</f>
        <v>Proceeding of the International Conference on Telecommunications</v>
      </c>
      <c r="B11715" s="8" t="str">
        <f>"9787505377028"</f>
        <v>9787505377028</v>
      </c>
      <c r="C11715" s="8" t="s">
        <v>2052</v>
      </c>
    </row>
    <row r="11716" spans="1:3" x14ac:dyDescent="0.25">
      <c r="A11716" s="8" t="str">
        <f>"Proceeding of the International Symposium on Precision Mechanical Measurements, ISIST 2002"</f>
        <v>Proceeding of the International Symposium on Precision Mechanical Measurements, ISIST 2002</v>
      </c>
      <c r="B11716" s="8" t="str">
        <f>"-"</f>
        <v>-</v>
      </c>
      <c r="C11716" s="8" t="s">
        <v>476</v>
      </c>
    </row>
    <row r="11717" spans="1:3" x14ac:dyDescent="0.25">
      <c r="A11717" s="8" t="str">
        <f>"Proceeding of the Sixth ACM SIGKDD International Conference on Knowledge Discovery and Data Mining"</f>
        <v>Proceeding of the Sixth ACM SIGKDD International Conference on Knowledge Discovery and Data Mining</v>
      </c>
      <c r="B11717" s="8" t="str">
        <f>"9781581132335"</f>
        <v>9781581132335</v>
      </c>
      <c r="C11717" s="8" t="s">
        <v>21</v>
      </c>
    </row>
    <row r="11718" spans="1:3" x14ac:dyDescent="0.25">
      <c r="A11718" s="8" t="str">
        <f>"Proceeding, 2010 IEEE Student Conference on Research and Development - Engineering: Innovation and Beyond, SCOReD 2010"</f>
        <v>Proceeding, 2010 IEEE Student Conference on Research and Development - Engineering: Innovation and Beyond, SCOReD 2010</v>
      </c>
      <c r="B11718" s="8" t="str">
        <f>"9781424486489"</f>
        <v>9781424486489</v>
      </c>
      <c r="C11718" s="8" t="s">
        <v>9</v>
      </c>
    </row>
    <row r="11719" spans="1:3" x14ac:dyDescent="0.25">
      <c r="A11719" s="8" t="str">
        <f>"Proceedings - 10th Annual IEEE Symposium on Product Compliance Engineering, ISPCE 2013"</f>
        <v>Proceedings - 10th Annual IEEE Symposium on Product Compliance Engineering, ISPCE 2013</v>
      </c>
      <c r="B11719" s="8" t="str">
        <f>"9781467329415"</f>
        <v>9781467329415</v>
      </c>
      <c r="C11719" s="8" t="s">
        <v>9</v>
      </c>
    </row>
    <row r="11720" spans="1:3" x14ac:dyDescent="0.25">
      <c r="A11720" s="8" t="str">
        <f>"Proceedings - 10th Brazilian Symposium on Neural Networks, SBRN 2008"</f>
        <v>Proceedings - 10th Brazilian Symposium on Neural Networks, SBRN 2008</v>
      </c>
      <c r="B11720" s="8" t="str">
        <f>"9780769533612"</f>
        <v>9780769533612</v>
      </c>
      <c r="C11720" s="8" t="s">
        <v>9</v>
      </c>
    </row>
    <row r="11721" spans="1:3" x14ac:dyDescent="0.25">
      <c r="A11721" s="8" t="str">
        <f>"Proceedings - 10th Euromicro Conference on Digital System Design Architectures, Methods and Tools, DSD 2007"</f>
        <v>Proceedings - 10th Euromicro Conference on Digital System Design Architectures, Methods and Tools, DSD 2007</v>
      </c>
      <c r="B11721" s="8" t="str">
        <f>"9780769529783"</f>
        <v>9780769529783</v>
      </c>
      <c r="C11721" s="8" t="s">
        <v>9</v>
      </c>
    </row>
    <row r="11722" spans="1:3" x14ac:dyDescent="0.25">
      <c r="A11722" s="8" t="str">
        <f>"Proceedings - 10th IAPR International Workshop on Document Analysis Systems, DAS 2012"</f>
        <v>Proceedings - 10th IAPR International Workshop on Document Analysis Systems, DAS 2012</v>
      </c>
      <c r="B11722" s="8" t="str">
        <f>"9780769546612"</f>
        <v>9780769546612</v>
      </c>
      <c r="C11722" s="8" t="s">
        <v>9</v>
      </c>
    </row>
    <row r="11723" spans="1:3" x14ac:dyDescent="0.25">
      <c r="A11723" s="8" t="str">
        <f>"Proceedings - 10th IEEE International Conference on Advanced Learning Technologies, ICALT 2010"</f>
        <v>Proceedings - 10th IEEE International Conference on Advanced Learning Technologies, ICALT 2010</v>
      </c>
      <c r="B11723" s="8" t="str">
        <f>"9780769540559"</f>
        <v>9780769540559</v>
      </c>
      <c r="C11723" s="8" t="s">
        <v>9</v>
      </c>
    </row>
    <row r="11724" spans="1:3" x14ac:dyDescent="0.25">
      <c r="A11724" s="8" t="str">
        <f>"Proceedings - 10th IEEE International Conference on Computer and Information Technology, CIT-2010, 7th IEEE International Conference on Embedded Software and Systems, ICESS-2010, ScalCom-2010"</f>
        <v>Proceedings - 10th IEEE International Conference on Computer and Information Technology, CIT-2010, 7th IEEE International Conference on Embedded Software and Systems, ICESS-2010, ScalCom-2010</v>
      </c>
      <c r="B11724" s="8" t="str">
        <f>"9780769541082"</f>
        <v>9780769541082</v>
      </c>
      <c r="C11724" s="8" t="s">
        <v>9</v>
      </c>
    </row>
    <row r="11725" spans="1:3" x14ac:dyDescent="0.25">
      <c r="A11725" s="8" t="str">
        <f>"Proceedings - 10th IEEE International Conference on High Performance Computing and Communications, HPCC 2008"</f>
        <v>Proceedings - 10th IEEE International Conference on High Performance Computing and Communications, HPCC 2008</v>
      </c>
      <c r="B11725" s="8" t="str">
        <f>"9780769533520"</f>
        <v>9780769533520</v>
      </c>
      <c r="C11725" s="8" t="s">
        <v>9</v>
      </c>
    </row>
    <row r="11726" spans="1:3" x14ac:dyDescent="0.25">
      <c r="A11726" s="8" t="str">
        <f>"Proceedings - 10th IEEE International On-Line Testing Symposium, IOLTS 2004"</f>
        <v>Proceedings - 10th IEEE International On-Line Testing Symposium, IOLTS 2004</v>
      </c>
      <c r="B11726" s="8" t="str">
        <f>"9780769521800"</f>
        <v>9780769521800</v>
      </c>
      <c r="C11726" s="8" t="s">
        <v>9</v>
      </c>
    </row>
    <row r="11727" spans="1:3" x14ac:dyDescent="0.25">
      <c r="A11727" s="8" t="str">
        <f>"Proceedings - 10th IEEE International Symposium on Multimedia, ISM 2008"</f>
        <v>Proceedings - 10th IEEE International Symposium on Multimedia, ISM 2008</v>
      </c>
      <c r="B11727" s="8" t="str">
        <f>"9780769534541"</f>
        <v>9780769534541</v>
      </c>
      <c r="C11727" s="8" t="s">
        <v>9</v>
      </c>
    </row>
    <row r="11728" spans="1:3" x14ac:dyDescent="0.25">
      <c r="A11728" s="8" t="str">
        <f>"Proceedings - 10th IEEE International Symposium on Object and Component-Oriented Real-Time Distributed Computing, ISORC 2007"</f>
        <v>Proceedings - 10th IEEE International Symposium on Object and Component-Oriented Real-Time Distributed Computing, ISORC 2007</v>
      </c>
      <c r="B11728" s="8" t="str">
        <f>"9780769527659"</f>
        <v>9780769527659</v>
      </c>
      <c r="C11728" s="8" t="s">
        <v>9</v>
      </c>
    </row>
    <row r="11729" spans="1:3" x14ac:dyDescent="0.25">
      <c r="A11729" s="8" t="str">
        <f>"Proceedings - 10th IEEE International Symposium on Web Site Evolution, WSE 2008"</f>
        <v>Proceedings - 10th IEEE International Symposium on Web Site Evolution, WSE 2008</v>
      </c>
      <c r="B11729" s="8" t="str">
        <f>"9781424427901"</f>
        <v>9781424427901</v>
      </c>
      <c r="C11729" s="8" t="s">
        <v>9</v>
      </c>
    </row>
    <row r="11730" spans="1:3" x14ac:dyDescent="0.25">
      <c r="A11730" s="8" t="str">
        <f>"Proceedings - 10th IEEE International Working Conference on Source Code Analysis and Manipulation, SCAM 2010"</f>
        <v>Proceedings - 10th IEEE International Working Conference on Source Code Analysis and Manipulation, SCAM 2010</v>
      </c>
      <c r="B11730" s="8" t="str">
        <f>"9780769541785"</f>
        <v>9780769541785</v>
      </c>
      <c r="C11730" s="8" t="s">
        <v>21</v>
      </c>
    </row>
    <row r="11731" spans="1:3" x14ac:dyDescent="0.25">
      <c r="A11731" s="8" t="str">
        <f>"Proceedings - 10th IEEE International Workshop on Future Trends of Distributed Computing Systems"</f>
        <v>Proceedings - 10th IEEE International Workshop on Future Trends of Distributed Computing Systems</v>
      </c>
      <c r="B11731" s="8" t="str">
        <f>"9780769521183"</f>
        <v>9780769521183</v>
      </c>
      <c r="C11731" s="8" t="s">
        <v>9</v>
      </c>
    </row>
    <row r="11732" spans="1:3" x14ac:dyDescent="0.25">
      <c r="A11732" s="8" t="str">
        <f>"Proceedings - 10th IEEE Joint Conference on E-Commerce Technology and the 5th Enterprise Computing, E-Commerce and E-Services, CEC 2008 and EEE 2008"</f>
        <v>Proceedings - 10th IEEE Joint Conference on E-Commerce Technology and the 5th Enterprise Computing, E-Commerce and E-Services, CEC 2008 and EEE 2008</v>
      </c>
      <c r="B11732" s="8" t="str">
        <f>"9780769533407"</f>
        <v>9780769533407</v>
      </c>
      <c r="C11732" s="8" t="s">
        <v>9</v>
      </c>
    </row>
    <row r="11733" spans="1:3" x14ac:dyDescent="0.25">
      <c r="A11733" s="8" t="str">
        <f>"Proceedings - 10th IEEE Workshop on Signal Propagation on Interconnects, SPI 2006"</f>
        <v>Proceedings - 10th IEEE Workshop on Signal Propagation on Interconnects, SPI 2006</v>
      </c>
      <c r="B11733" s="8" t="str">
        <f>"9781424404544"</f>
        <v>9781424404544</v>
      </c>
      <c r="C11733" s="8" t="s">
        <v>105</v>
      </c>
    </row>
    <row r="11734" spans="1:3" x14ac:dyDescent="0.25">
      <c r="A11734" s="8" t="str">
        <f>"Proceedings - 10th International Conference Computer Graphics, Imaging, and Visualization, CGIV 2013"</f>
        <v>Proceedings - 10th International Conference Computer Graphics, Imaging, and Visualization, CGIV 2013</v>
      </c>
      <c r="B11734" s="8" t="str">
        <f>"9780769550510"</f>
        <v>9780769550510</v>
      </c>
      <c r="C11734" s="8" t="s">
        <v>9</v>
      </c>
    </row>
    <row r="11735" spans="1:3" x14ac:dyDescent="0.25">
      <c r="A11735" s="8" t="str">
        <f>"Proceedings - 10th International Conference on Creating, Connecting and Collaborating through Computing, C5 2012"</f>
        <v>Proceedings - 10th International Conference on Creating, Connecting and Collaborating through Computing, C5 2012</v>
      </c>
      <c r="B11735" s="8" t="str">
        <f>"9780769546728"</f>
        <v>9780769546728</v>
      </c>
      <c r="C11735" s="8" t="s">
        <v>9</v>
      </c>
    </row>
    <row r="11736" spans="1:3" x14ac:dyDescent="0.25">
      <c r="A11736" s="8" t="str">
        <f>"Proceedings - 10th International Conference on Environmental Remediation and Radioactive Waste Management, ICEM'05"</f>
        <v>Proceedings - 10th International Conference on Environmental Remediation and Radioactive Waste Management, ICEM'05</v>
      </c>
      <c r="B11736" s="8" t="str">
        <f>"-"</f>
        <v>-</v>
      </c>
      <c r="C11736" s="8" t="s">
        <v>73</v>
      </c>
    </row>
    <row r="11737" spans="1:3" x14ac:dyDescent="0.25">
      <c r="A11737" s="8" t="str">
        <f>"Proceedings - 10th International Conference on Frontiers of Information Technology, FIT 2012"</f>
        <v>Proceedings - 10th International Conference on Frontiers of Information Technology, FIT 2012</v>
      </c>
      <c r="B11737" s="8" t="str">
        <f>"9780769549279"</f>
        <v>9780769549279</v>
      </c>
      <c r="C11737" s="8" t="s">
        <v>9</v>
      </c>
    </row>
    <row r="11738" spans="1:3" x14ac:dyDescent="0.25">
      <c r="A11738" s="8" t="str">
        <f>"Proceedings - 10th International Conference on Information Technology, ICIT 2007"</f>
        <v>Proceedings - 10th International Conference on Information Technology, ICIT 2007</v>
      </c>
      <c r="B11738" s="8" t="str">
        <f>"9780769530680"</f>
        <v>9780769530680</v>
      </c>
      <c r="C11738" s="8" t="s">
        <v>9</v>
      </c>
    </row>
    <row r="11739" spans="1:3" x14ac:dyDescent="0.25">
      <c r="A11739" s="8" t="str">
        <f>"Proceedings - 10th International Conference on Laser and Fiber-Optical Networks Modeling, LFNM 2010"</f>
        <v>Proceedings - 10th International Conference on Laser and Fiber-Optical Networks Modeling, LFNM 2010</v>
      </c>
      <c r="B11739" s="8" t="str">
        <f>"9781424469970"</f>
        <v>9781424469970</v>
      </c>
      <c r="C11739" s="8" t="s">
        <v>9</v>
      </c>
    </row>
    <row r="11740" spans="1:3" x14ac:dyDescent="0.25">
      <c r="A11740" s="8" t="str">
        <f>"Proceedings - 10th International Conference on Laser and Fiber-Optical Networks Modeling, LFNM'2010, 2nd IEEE International Workshop on THz Radiation: Basic Research and Applications, TERA'2010"</f>
        <v>Proceedings - 10th International Conference on Laser and Fiber-Optical Networks Modeling, LFNM'2010, 2nd IEEE International Workshop on THz Radiation: Basic Research and Applications, TERA'2010</v>
      </c>
      <c r="B11740" s="8" t="str">
        <f>"9781424482955"</f>
        <v>9781424482955</v>
      </c>
      <c r="C11740" s="8" t="s">
        <v>9</v>
      </c>
    </row>
    <row r="11741" spans="1:3" x14ac:dyDescent="0.25">
      <c r="A11741" s="8" t="str">
        <f>"Proceedings - 10th International Conference on Machine Learning and Applications, ICMLA 2011"</f>
        <v>Proceedings - 10th International Conference on Machine Learning and Applications, ICMLA 2011</v>
      </c>
      <c r="B11741" s="8" t="str">
        <f>"9780769546070"</f>
        <v>9780769546070</v>
      </c>
      <c r="C11741" s="8" t="s">
        <v>9</v>
      </c>
    </row>
    <row r="11742" spans="1:3" x14ac:dyDescent="0.25">
      <c r="A11742" s="8" t="str">
        <f>"Proceedings - 10th International Conference on Signal-Image Technology and Internet-Based Systems, SITIS 2014"</f>
        <v>Proceedings - 10th International Conference on Signal-Image Technology and Internet-Based Systems, SITIS 2014</v>
      </c>
      <c r="B11742" s="8" t="str">
        <f>"9781479979783"</f>
        <v>9781479979783</v>
      </c>
      <c r="C11742" s="8" t="s">
        <v>105</v>
      </c>
    </row>
    <row r="11743" spans="1:3" x14ac:dyDescent="0.25">
      <c r="A11743" s="8" t="str">
        <f>"Proceedings - 10th International Multimedia Modelling Conference, MMM 2004"</f>
        <v>Proceedings - 10th International Multimedia Modelling Conference, MMM 2004</v>
      </c>
      <c r="B11743" s="8" t="str">
        <f>"9780769520841"</f>
        <v>9780769520841</v>
      </c>
      <c r="C11743" s="8" t="s">
        <v>9</v>
      </c>
    </row>
    <row r="11744" spans="1:3" x14ac:dyDescent="0.25">
      <c r="A11744" s="8" t="str">
        <f>"Proceedings - 10th International Software Product Line Conference, SPLC 2006"</f>
        <v>Proceedings - 10th International Software Product Line Conference, SPLC 2006</v>
      </c>
      <c r="B11744" s="8" t="str">
        <f>"9780769525990"</f>
        <v>9780769525990</v>
      </c>
      <c r="C11744" s="8" t="s">
        <v>9</v>
      </c>
    </row>
    <row r="11745" spans="1:3" x14ac:dyDescent="0.25">
      <c r="A11745" s="8" t="str">
        <f>"Proceedings - 10th International Workshop on Software Technology and Engineering Practice, STEP 2002"</f>
        <v>Proceedings - 10th International Workshop on Software Technology and Engineering Practice, STEP 2002</v>
      </c>
      <c r="B11745" s="8" t="str">
        <f>"9780769518787"</f>
        <v>9780769518787</v>
      </c>
      <c r="C11745" s="8" t="s">
        <v>105</v>
      </c>
    </row>
    <row r="11746" spans="1:3" x14ac:dyDescent="0.25">
      <c r="A11746" s="8" t="str">
        <f>"Proceedings - 10th Symposium on Haptic Interfaces for Virtual Environment and Teleoperator Systems, HAPTICS 2002"</f>
        <v>Proceedings - 10th Symposium on Haptic Interfaces for Virtual Environment and Teleoperator Systems, HAPTICS 2002</v>
      </c>
      <c r="B11746" s="8" t="str">
        <f>"9780769514895"</f>
        <v>9780769514895</v>
      </c>
      <c r="C11746" s="8" t="s">
        <v>105</v>
      </c>
    </row>
    <row r="11747" spans="1:3" x14ac:dyDescent="0.25">
      <c r="A11747" s="8" t="str">
        <f>"Proceedings - 10th Workshop on Fault Diagnosis and Tolerance in Cryptography, FDTC 2013"</f>
        <v>Proceedings - 10th Workshop on Fault Diagnosis and Tolerance in Cryptography, FDTC 2013</v>
      </c>
      <c r="B11747" s="8" t="str">
        <f>"9780769550596"</f>
        <v>9780769550596</v>
      </c>
      <c r="C11747" s="8" t="s">
        <v>9</v>
      </c>
    </row>
    <row r="11748" spans="1:3" x14ac:dyDescent="0.25">
      <c r="A11748" s="8" t="str">
        <f>"Proceedings - 11th ACIS International Conference on Software Engineering, Artificial Intelligence, Networking and Parallel/Distributed Computing, SNPD2010"</f>
        <v>Proceedings - 11th ACIS International Conference on Software Engineering, Artificial Intelligence, Networking and Parallel/Distributed Computing, SNPD2010</v>
      </c>
      <c r="B11748" s="8" t="str">
        <f>"9780769540887"</f>
        <v>9780769540887</v>
      </c>
      <c r="C11748" s="8" t="s">
        <v>9</v>
      </c>
    </row>
    <row r="11749" spans="1:3" x14ac:dyDescent="0.25">
      <c r="A11749" s="8" t="str">
        <f>"Proceedings - 11th Annual International Workshop on Software Technology and Engineering Practice, STEP 2003"</f>
        <v>Proceedings - 11th Annual International Workshop on Software Technology and Engineering Practice, STEP 2003</v>
      </c>
      <c r="B11749" s="8" t="str">
        <f>"9780769522180"</f>
        <v>9780769522180</v>
      </c>
      <c r="C11749" s="8" t="s">
        <v>105</v>
      </c>
    </row>
    <row r="11750" spans="1:3" x14ac:dyDescent="0.25">
      <c r="A11750" s="8" t="str">
        <f>"Proceedings - 11th Asian Congress of Fluid Mechanics, ACFM 2006"</f>
        <v>Proceedings - 11th Asian Congress of Fluid Mechanics, ACFM 2006</v>
      </c>
      <c r="B11750" s="8" t="str">
        <f>"-"</f>
        <v>-</v>
      </c>
      <c r="C11750" s="8" t="s">
        <v>2053</v>
      </c>
    </row>
    <row r="11751" spans="1:3" x14ac:dyDescent="0.25">
      <c r="A11751" s="8" t="str">
        <f>"Proceedings - 11th Australasian Database Conference, ADC 2000"</f>
        <v>Proceedings - 11th Australasian Database Conference, ADC 2000</v>
      </c>
      <c r="B11751" s="8" t="str">
        <f>"9780769505282"</f>
        <v>9780769505282</v>
      </c>
      <c r="C11751" s="8" t="s">
        <v>105</v>
      </c>
    </row>
    <row r="11752" spans="1:3" x14ac:dyDescent="0.25">
      <c r="A11752" s="8" t="str">
        <f>"Proceedings - 11th EUROMICRO Conference on Digital System Design Architectures, Methods and Tools, DSD 2008"</f>
        <v>Proceedings - 11th EUROMICRO Conference on Digital System Design Architectures, Methods and Tools, DSD 2008</v>
      </c>
      <c r="B11752" s="8" t="str">
        <f>"9780769532776"</f>
        <v>9780769532776</v>
      </c>
      <c r="C11752" s="8" t="s">
        <v>9</v>
      </c>
    </row>
    <row r="11753" spans="1:3" x14ac:dyDescent="0.25">
      <c r="A11753" s="8" t="str">
        <f>"Proceedings - 11th Euromicro Conference on Parallel, Distributed and Network-Based Processing, Euro-PDP 2003"</f>
        <v>Proceedings - 11th Euromicro Conference on Parallel, Distributed and Network-Based Processing, Euro-PDP 2003</v>
      </c>
      <c r="B11753" s="8" t="str">
        <f>"9780769518756"</f>
        <v>9780769518756</v>
      </c>
      <c r="C11753" s="8" t="s">
        <v>105</v>
      </c>
    </row>
    <row r="11754" spans="1:3" x14ac:dyDescent="0.25">
      <c r="A11754" s="8" t="str">
        <f>"Proceedings - 11th IEEE International Conference and Workshop on the Engineering of Computer-Based Systems, ECBS 2004"</f>
        <v>Proceedings - 11th IEEE International Conference and Workshop on the Engineering of Computer-Based Systems, ECBS 2004</v>
      </c>
      <c r="B11754" s="8" t="str">
        <f>"9780769521251"</f>
        <v>9780769521251</v>
      </c>
      <c r="C11754" s="8" t="s">
        <v>9</v>
      </c>
    </row>
    <row r="11755" spans="1:3" x14ac:dyDescent="0.25">
      <c r="A11755" s="8" t="str">
        <f>"Proceedings - 11th IEEE International Conference on Computer and Information Technology, CIT 2011"</f>
        <v>Proceedings - 11th IEEE International Conference on Computer and Information Technology, CIT 2011</v>
      </c>
      <c r="B11755" s="8" t="str">
        <f>"9780769543888"</f>
        <v>9780769543888</v>
      </c>
      <c r="C11755" s="8" t="s">
        <v>9</v>
      </c>
    </row>
    <row r="11756" spans="1:3" x14ac:dyDescent="0.25">
      <c r="A11756" s="8" t="str">
        <f>"Proceedings - 11th IEEE International Conference on E-Business Engineering, ICEBE 2014 - Including 10th Workshop on Service-Oriented Applications, Integration and Collaboration, SOAIC 2014 and 1st Workshop on E-Commerce Engineering, ECE 2014"</f>
        <v>Proceedings - 11th IEEE International Conference on E-Business Engineering, ICEBE 2014 - Including 10th Workshop on Service-Oriented Applications, Integration and Collaboration, SOAIC 2014 and 1st Workshop on E-Commerce Engineering, ECE 2014</v>
      </c>
      <c r="B11756" s="8" t="str">
        <f>"9781479965632"</f>
        <v>9781479965632</v>
      </c>
      <c r="C11756" s="8" t="s">
        <v>105</v>
      </c>
    </row>
    <row r="11757" spans="1:3" x14ac:dyDescent="0.25">
      <c r="A11757" s="8" t="str">
        <f>"Proceedings - 11th IEEE International Conference on Embedded and Real-Time Computing Systems and Applications"</f>
        <v>Proceedings - 11th IEEE International Conference on Embedded and Real-Time Computing Systems and Applications</v>
      </c>
      <c r="B11757" s="8" t="str">
        <f>"-"</f>
        <v>-</v>
      </c>
      <c r="C11757" s="8" t="s">
        <v>9</v>
      </c>
    </row>
    <row r="11758" spans="1:3" x14ac:dyDescent="0.25">
      <c r="A11758" s="8" t="str">
        <f>"Proceedings - 11th IEEE International Conference on Mobile Ad Hoc and Sensor Systems, MASS 2014"</f>
        <v>Proceedings - 11th IEEE International Conference on Mobile Ad Hoc and Sensor Systems, MASS 2014</v>
      </c>
      <c r="B11758" s="8" t="str">
        <f>"9781479960354"</f>
        <v>9781479960354</v>
      </c>
      <c r="C11758" s="8" t="s">
        <v>105</v>
      </c>
    </row>
    <row r="11759" spans="1:3" x14ac:dyDescent="0.25">
      <c r="A11759" s="8" t="str">
        <f>"Proceedings - 11th IEEE International On-Line Testing Symposium, IOLTS 2005"</f>
        <v>Proceedings - 11th IEEE International On-Line Testing Symposium, IOLTS 2005</v>
      </c>
      <c r="B11759" s="8" t="str">
        <f>"-"</f>
        <v>-</v>
      </c>
      <c r="C11759" s="8" t="s">
        <v>9</v>
      </c>
    </row>
    <row r="11760" spans="1:3" x14ac:dyDescent="0.25">
      <c r="A11760" s="8" t="str">
        <f>"Proceedings - 11th IEEE International Working Conference on Source Code Analysis and Manipulation, SCAM 2011"</f>
        <v>Proceedings - 11th IEEE International Working Conference on Source Code Analysis and Manipulation, SCAM 2011</v>
      </c>
      <c r="B11760" s="8" t="str">
        <f>"9780769543475"</f>
        <v>9780769543475</v>
      </c>
      <c r="C11760" s="8" t="s">
        <v>9</v>
      </c>
    </row>
    <row r="11761" spans="1:3" x14ac:dyDescent="0.25">
      <c r="A11761" s="8" t="str">
        <f>"Proceedings - 11th IEEE Symposium on Object/Component/Service-Oriented Real-Time Distributed Computing, ISORC 2008"</f>
        <v>Proceedings - 11th IEEE Symposium on Object/Component/Service-Oriented Real-Time Distributed Computing, ISORC 2008</v>
      </c>
      <c r="B11761" s="8" t="str">
        <f>"9780769531328"</f>
        <v>9780769531328</v>
      </c>
      <c r="C11761" s="8" t="s">
        <v>9</v>
      </c>
    </row>
    <row r="11762" spans="1:3" x14ac:dyDescent="0.25">
      <c r="A11762" s="8" t="str">
        <f>"Proceedings - 11th IEEE Workshop on Signal Propagation on Interconnects, SPI 2007"</f>
        <v>Proceedings - 11th IEEE Workshop on Signal Propagation on Interconnects, SPI 2007</v>
      </c>
      <c r="B11762" s="8" t="str">
        <f>"9780780370517"</f>
        <v>9780780370517</v>
      </c>
      <c r="C11762" s="8" t="s">
        <v>9</v>
      </c>
    </row>
    <row r="11763" spans="1:3" x14ac:dyDescent="0.25">
      <c r="A11763" s="8" t="str">
        <f>"Proceedings - 11th IEEE/ACM International Symposium on Cluster, Cloud and Grid Computing, CCGrid 2011"</f>
        <v>Proceedings - 11th IEEE/ACM International Symposium on Cluster, Cloud and Grid Computing, CCGrid 2011</v>
      </c>
      <c r="B11763" s="8" t="str">
        <f>"9780769543956"</f>
        <v>9780769543956</v>
      </c>
      <c r="C11763" s="8" t="s">
        <v>9</v>
      </c>
    </row>
    <row r="11764" spans="1:3" x14ac:dyDescent="0.25">
      <c r="A11764" s="8" t="str">
        <f>"Proceedings - 11th IEEE/IPSJ International Symposium on Applications and the Internet, SAINT 2011"</f>
        <v>Proceedings - 11th IEEE/IPSJ International Symposium on Applications and the Internet, SAINT 2011</v>
      </c>
      <c r="B11764" s="8" t="str">
        <f>"9780769544236"</f>
        <v>9780769544236</v>
      </c>
      <c r="C11764" s="8" t="s">
        <v>9</v>
      </c>
    </row>
    <row r="11765" spans="1:3" x14ac:dyDescent="0.25">
      <c r="A11765" s="8" t="str">
        <f>"Proceedings - 11th International Conference on Digital Audio Effects, DAFx 2008"</f>
        <v>Proceedings - 11th International Conference on Digital Audio Effects, DAFx 2008</v>
      </c>
      <c r="B11765" s="8" t="str">
        <f>"9789512295173"</f>
        <v>9789512295173</v>
      </c>
      <c r="C11765" s="8" t="s">
        <v>1253</v>
      </c>
    </row>
    <row r="11766" spans="1:3" x14ac:dyDescent="0.25">
      <c r="A11766" s="8" t="str">
        <f>"Proceedings - 11th International Conference on Frontiers of Information Technology, FIT 2013"</f>
        <v>Proceedings - 11th International Conference on Frontiers of Information Technology, FIT 2013</v>
      </c>
      <c r="B11766" s="8" t="str">
        <f>"9781479922932"</f>
        <v>9781479922932</v>
      </c>
      <c r="C11766" s="8" t="s">
        <v>9</v>
      </c>
    </row>
    <row r="11767" spans="1:3" x14ac:dyDescent="0.25">
      <c r="A11767" s="8" t="str">
        <f>"Proceedings - 11th International Conference on Image Analysis and Processing, ICIAP 2001"</f>
        <v>Proceedings - 11th International Conference on Image Analysis and Processing, ICIAP 2001</v>
      </c>
      <c r="B11767" s="8" t="str">
        <f>"9780769511832"</f>
        <v>9780769511832</v>
      </c>
      <c r="C11767" s="8" t="s">
        <v>9</v>
      </c>
    </row>
    <row r="11768" spans="1:3" x14ac:dyDescent="0.25">
      <c r="A11768" s="8" t="str">
        <f>"Proceedings - 11th International Conference on Information Technology, ICIT 2008"</f>
        <v>Proceedings - 11th International Conference on Information Technology, ICIT 2008</v>
      </c>
      <c r="B11768" s="8" t="str">
        <f>"9780769535135"</f>
        <v>9780769535135</v>
      </c>
      <c r="C11768" s="8" t="s">
        <v>9</v>
      </c>
    </row>
    <row r="11769" spans="1:3" x14ac:dyDescent="0.25">
      <c r="A11769" s="8" t="str">
        <f>"Proceedings - 11th International Conference on Wearable and Implantable Body Sensor Networks Workshops, BSN Workshops 2014"</f>
        <v>Proceedings - 11th International Conference on Wearable and Implantable Body Sensor Networks Workshops, BSN Workshops 2014</v>
      </c>
      <c r="B11769" s="8" t="str">
        <f>"9781479949328"</f>
        <v>9781479949328</v>
      </c>
      <c r="C11769" s="8" t="s">
        <v>105</v>
      </c>
    </row>
    <row r="11770" spans="1:3" x14ac:dyDescent="0.25">
      <c r="A11770" s="8" t="str">
        <f>"Proceedings - 11th International Software Product Line Conference, SPLC 2007"</f>
        <v>Proceedings - 11th International Software Product Line Conference, SPLC 2007</v>
      </c>
      <c r="B11770" s="8" t="str">
        <f>"9780769528885"</f>
        <v>9780769528885</v>
      </c>
      <c r="C11770" s="8" t="s">
        <v>9</v>
      </c>
    </row>
    <row r="11771" spans="1:3" x14ac:dyDescent="0.25">
      <c r="A11771" s="8" t="str">
        <f>"Proceedings - 11th International Symposium on Distributed Computing and Applications to Business, Engineering and Science, DCABES 2012"</f>
        <v>Proceedings - 11th International Symposium on Distributed Computing and Applications to Business, Engineering and Science, DCABES 2012</v>
      </c>
      <c r="B11771" s="8" t="str">
        <f>"9780769548180"</f>
        <v>9780769548180</v>
      </c>
      <c r="C11771" s="8" t="s">
        <v>9</v>
      </c>
    </row>
    <row r="11772" spans="1:3" x14ac:dyDescent="0.25">
      <c r="A11772" s="8" t="str">
        <f>"Proceedings - 11th Koli Calling International Conference on Computing Education Research, Koli Calling'11"</f>
        <v>Proceedings - 11th Koli Calling International Conference on Computing Education Research, Koli Calling'11</v>
      </c>
      <c r="B11772" s="8" t="str">
        <f>"9781450310529"</f>
        <v>9781450310529</v>
      </c>
      <c r="C11772" s="8" t="s">
        <v>21</v>
      </c>
    </row>
    <row r="11773" spans="1:3" x14ac:dyDescent="0.25">
      <c r="A11773" s="8" t="str">
        <f>"Proceedings - 11th Pacific Rim International Symposium on Dependable Computing, PRDC 2005"</f>
        <v>Proceedings - 11th Pacific Rim International Symposium on Dependable Computing, PRDC 2005</v>
      </c>
      <c r="B11773" s="8" t="str">
        <f>"-"</f>
        <v>-</v>
      </c>
      <c r="C11773" s="8" t="s">
        <v>9</v>
      </c>
    </row>
    <row r="11774" spans="1:3" x14ac:dyDescent="0.25">
      <c r="A11774" s="8" t="str">
        <f>"Proceedings - 11th Symposium on Computing Systems, WSCAD-SCC 2010"</f>
        <v>Proceedings - 11th Symposium on Computing Systems, WSCAD-SCC 2010</v>
      </c>
      <c r="B11774" s="8" t="str">
        <f>"9780769542744"</f>
        <v>9780769542744</v>
      </c>
      <c r="C11774" s="8" t="s">
        <v>9</v>
      </c>
    </row>
    <row r="11775" spans="1:3" x14ac:dyDescent="0.25">
      <c r="A11775" s="8" t="str">
        <f>"Proceedings - 11th Symposium on Haptic Interfaces for Virtual Environment and Teleoperator Systems, HAPTICS 2003"</f>
        <v>Proceedings - 11th Symposium on Haptic Interfaces for Virtual Environment and Teleoperator Systems, HAPTICS 2003</v>
      </c>
      <c r="B11775" s="8" t="str">
        <f>"9780769518909"</f>
        <v>9780769518909</v>
      </c>
      <c r="C11775" s="8" t="s">
        <v>105</v>
      </c>
    </row>
    <row r="11776" spans="1:3" x14ac:dyDescent="0.25">
      <c r="A11776" s="8" t="str">
        <f>"Proceedings - 11th Symposium on High Performance Interconnects, HOTI 2003"</f>
        <v>Proceedings - 11th Symposium on High Performance Interconnects, HOTI 2003</v>
      </c>
      <c r="B11776" s="8" t="str">
        <f>"9780769520124"</f>
        <v>9780769520124</v>
      </c>
      <c r="C11776" s="8" t="s">
        <v>105</v>
      </c>
    </row>
    <row r="11777" spans="1:3" x14ac:dyDescent="0.25">
      <c r="A11777" s="8" t="str">
        <f>"Proceedings - 11th Web Information System and Application Conference, WISA 2014"</f>
        <v>Proceedings - 11th Web Information System and Application Conference, WISA 2014</v>
      </c>
      <c r="B11777" s="8" t="str">
        <f>"9781479957262"</f>
        <v>9781479957262</v>
      </c>
      <c r="C11777" s="8" t="s">
        <v>105</v>
      </c>
    </row>
    <row r="11778" spans="1:3" x14ac:dyDescent="0.25">
      <c r="A11778" s="8" t="str">
        <f>"Proceedings - 11th Workshop on Electronics for LHC and Future Experiments, LECC 2005"</f>
        <v>Proceedings - 11th Workshop on Electronics for LHC and Future Experiments, LECC 2005</v>
      </c>
      <c r="B11778" s="8" t="str">
        <f>"9789290832621"</f>
        <v>9789290832621</v>
      </c>
      <c r="C11778" s="8" t="s">
        <v>259</v>
      </c>
    </row>
    <row r="11779" spans="1:3" x14ac:dyDescent="0.25">
      <c r="A11779" s="8" t="str">
        <f>"Proceedings - 12th 2008 IEEE/ACM International Symposium on Distributed Simulation and Real Time Applications, DS-RT 2008"</f>
        <v>Proceedings - 12th 2008 IEEE/ACM International Symposium on Distributed Simulation and Real Time Applications, DS-RT 2008</v>
      </c>
      <c r="B11779" s="8" t="str">
        <f>"9780769534251"</f>
        <v>9780769534251</v>
      </c>
      <c r="C11779" s="8" t="s">
        <v>9</v>
      </c>
    </row>
    <row r="11780" spans="1:3" x14ac:dyDescent="0.25">
      <c r="A11780" s="8" t="str">
        <f>"Proceedings - 12th Annual IEEE Symposium on Field-Programmable Custom Computing Machines, FCCM 2004"</f>
        <v>Proceedings - 12th Annual IEEE Symposium on Field-Programmable Custom Computing Machines, FCCM 2004</v>
      </c>
      <c r="B11780" s="8" t="str">
        <f>"9780769522302"</f>
        <v>9780769522302</v>
      </c>
      <c r="C11780" s="8" t="s">
        <v>9</v>
      </c>
    </row>
    <row r="11781" spans="1:3" x14ac:dyDescent="0.25">
      <c r="A11781" s="8" t="str">
        <f>"Proceedings - 12th Annual IEEE Symposium on High Performance Interconnects, Hot Interconnects"</f>
        <v>Proceedings - 12th Annual IEEE Symposium on High Performance Interconnects, Hot Interconnects</v>
      </c>
      <c r="B11781" s="8" t="str">
        <f>"9780780386860"</f>
        <v>9780780386860</v>
      </c>
      <c r="C11781" s="8" t="s">
        <v>9</v>
      </c>
    </row>
    <row r="11782" spans="1:3" x14ac:dyDescent="0.25">
      <c r="A11782" s="8" t="str">
        <f>"Proceedings - 12th Australasian Database Conference, ADC 2001"</f>
        <v>Proceedings - 12th Australasian Database Conference, ADC 2001</v>
      </c>
      <c r="B11782" s="8" t="str">
        <f>"9780769509662"</f>
        <v>9780769509662</v>
      </c>
      <c r="C11782" s="8" t="s">
        <v>105</v>
      </c>
    </row>
    <row r="11783" spans="1:3" x14ac:dyDescent="0.25">
      <c r="A11783" s="8" t="str">
        <f>"Proceedings - 12th IEEE European Test Symposium, ETS 2007"</f>
        <v>Proceedings - 12th IEEE European Test Symposium, ETS 2007</v>
      </c>
      <c r="B11783" s="8" t="str">
        <f>"9780769528274"</f>
        <v>9780769528274</v>
      </c>
      <c r="C11783" s="8" t="s">
        <v>9</v>
      </c>
    </row>
    <row r="11784" spans="1:3" x14ac:dyDescent="0.25">
      <c r="A11784" s="8" t="str">
        <f>"Proceedings - 12th IEEE International Conference and Workshops on the Engineering of Computer-Based Systems, ECS 2005"</f>
        <v>Proceedings - 12th IEEE International Conference and Workshops on the Engineering of Computer-Based Systems, ECS 2005</v>
      </c>
      <c r="B11784" s="8" t="str">
        <f>"9780769523088"</f>
        <v>9780769523088</v>
      </c>
      <c r="C11784" s="8" t="s">
        <v>9</v>
      </c>
    </row>
    <row r="11785" spans="1:3" x14ac:dyDescent="0.25">
      <c r="A11785" s="8" t="str">
        <f>"Proceedings - 12th IEEE International Conference on Commerce and Enterprise Computing, CEC 2010"</f>
        <v>Proceedings - 12th IEEE International Conference on Commerce and Enterprise Computing, CEC 2010</v>
      </c>
      <c r="B11785" s="8" t="str">
        <f>"9780769542287"</f>
        <v>9780769542287</v>
      </c>
      <c r="C11785" s="8" t="s">
        <v>9</v>
      </c>
    </row>
    <row r="11786" spans="1:3" x14ac:dyDescent="0.25">
      <c r="A11786" s="8" t="str">
        <f>"Proceedings - 12th IEEE International Conference on Computational Science and Engineering, CSE 2009"</f>
        <v>Proceedings - 12th IEEE International Conference on Computational Science and Engineering, CSE 2009</v>
      </c>
      <c r="B11786" s="8" t="str">
        <f>"9780769538235"</f>
        <v>9780769538235</v>
      </c>
      <c r="C11786" s="8" t="s">
        <v>9</v>
      </c>
    </row>
    <row r="11787" spans="1:3" x14ac:dyDescent="0.25">
      <c r="A11787" s="8" t="str">
        <f>"Proceedings - 12th IEEE International Conference on Data Mining Workshops, ICDMW 2012"</f>
        <v>Proceedings - 12th IEEE International Conference on Data Mining Workshops, ICDMW 2012</v>
      </c>
      <c r="B11787" s="8" t="str">
        <f>"9780769549255"</f>
        <v>9780769549255</v>
      </c>
      <c r="C11787" s="8" t="s">
        <v>9</v>
      </c>
    </row>
    <row r="11788" spans="1:3" x14ac:dyDescent="0.25">
      <c r="A11788" s="8" t="str">
        <f>"Proceedings - 12th IEEE International Conference on Embedded and Real-Time Computing Systems and Applications, RTCSA 2006"</f>
        <v>Proceedings - 12th IEEE International Conference on Embedded and Real-Time Computing Systems and Applications, RTCSA 2006</v>
      </c>
      <c r="B11788" s="8" t="str">
        <f>"9780769526768"</f>
        <v>9780769526768</v>
      </c>
      <c r="C11788" s="8" t="s">
        <v>9</v>
      </c>
    </row>
    <row r="11789" spans="1:3" x14ac:dyDescent="0.25">
      <c r="A11789" s="8" t="str">
        <f>"Proceedings - 12th IEEE International Conference on Trust, Security and Privacy in Computing and Communications, TrustCom 2013"</f>
        <v>Proceedings - 12th IEEE International Conference on Trust, Security and Privacy in Computing and Communications, TrustCom 2013</v>
      </c>
      <c r="B11789" s="8" t="str">
        <f>"9780769550220"</f>
        <v>9780769550220</v>
      </c>
      <c r="C11789" s="8" t="s">
        <v>9</v>
      </c>
    </row>
    <row r="11790" spans="1:3" x14ac:dyDescent="0.25">
      <c r="A11790" s="8" t="str">
        <f>"Proceedings - 12th IEEE International Enterprise Distributed Object Computing Conference, EDOC 2008"</f>
        <v>Proceedings - 12th IEEE International Enterprise Distributed Object Computing Conference, EDOC 2008</v>
      </c>
      <c r="B11790" s="8" t="str">
        <f>"9780769533735"</f>
        <v>9780769533735</v>
      </c>
      <c r="C11790" s="8" t="s">
        <v>9</v>
      </c>
    </row>
    <row r="11791" spans="1:3" x14ac:dyDescent="0.25">
      <c r="A11791" s="8" t="str">
        <f>"Proceedings - 12th IEEE International Symposium on Web Systems Evolution, WSE 2010"</f>
        <v>Proceedings - 12th IEEE International Symposium on Web Systems Evolution, WSE 2010</v>
      </c>
      <c r="B11791" s="8" t="str">
        <f>"9781424486366"</f>
        <v>9781424486366</v>
      </c>
      <c r="C11791" s="8" t="s">
        <v>9</v>
      </c>
    </row>
    <row r="11792" spans="1:3" x14ac:dyDescent="0.25">
      <c r="A11792" s="8" t="str">
        <f>"Proceedings - 12th IEEE/ACM International Symposium on Cluster, Cloud and Grid Computing, CCGrid 2012"</f>
        <v>Proceedings - 12th IEEE/ACM International Symposium on Cluster, Cloud and Grid Computing, CCGrid 2012</v>
      </c>
      <c r="B11792" s="8" t="str">
        <f>"9780769546919"</f>
        <v>9780769546919</v>
      </c>
      <c r="C11792" s="8" t="s">
        <v>9</v>
      </c>
    </row>
    <row r="11793" spans="1:3" x14ac:dyDescent="0.25">
      <c r="A11793" s="8" t="str">
        <f>"Proceedings - 12th IMEKO TC-4 International Workshop on ADC Modelling and Testing"</f>
        <v>Proceedings - 12th IMEKO TC-4 International Workshop on ADC Modelling and Testing</v>
      </c>
      <c r="B11793" s="8" t="str">
        <f>"9789736672644"</f>
        <v>9789736672644</v>
      </c>
      <c r="C11793" s="8" t="s">
        <v>1198</v>
      </c>
    </row>
    <row r="11794" spans="1:3" x14ac:dyDescent="0.25">
      <c r="A11794" s="8" t="str">
        <f>"Proceedings - 12th International Conference on Computational Science and Its Applications, ICCSA 2012"</f>
        <v>Proceedings - 12th International Conference on Computational Science and Its Applications, ICCSA 2012</v>
      </c>
      <c r="B11794" s="8" t="str">
        <f>"9780769547107"</f>
        <v>9780769547107</v>
      </c>
      <c r="C11794" s="8" t="s">
        <v>9</v>
      </c>
    </row>
    <row r="11795" spans="1:3" x14ac:dyDescent="0.25">
      <c r="A11795" s="8" t="str">
        <f>"Proceedings - 12th International Conference on Computer-Aided Design and Computer Graphics, CAD/Graphics 2011"</f>
        <v>Proceedings - 12th International Conference on Computer-Aided Design and Computer Graphics, CAD/Graphics 2011</v>
      </c>
      <c r="B11795" s="8" t="str">
        <f>"9780769544977"</f>
        <v>9780769544977</v>
      </c>
      <c r="C11795" s="8" t="s">
        <v>9</v>
      </c>
    </row>
    <row r="11796" spans="1:3" x14ac:dyDescent="0.25">
      <c r="A11796" s="8" t="str">
        <f>"Proceedings - 12th International Conference on Frontiers in Handwriting Recognition, ICFHR 2010"</f>
        <v>Proceedings - 12th International Conference on Frontiers in Handwriting Recognition, ICFHR 2010</v>
      </c>
      <c r="B11796" s="8" t="str">
        <f>"9780769542218"</f>
        <v>9780769542218</v>
      </c>
      <c r="C11796" s="8" t="s">
        <v>9</v>
      </c>
    </row>
    <row r="11797" spans="1:3" x14ac:dyDescent="0.25">
      <c r="A11797" s="8" t="str">
        <f>"Proceedings - 12th International Conference on Frontiers of Information Technology, FIT 2014"</f>
        <v>Proceedings - 12th International Conference on Frontiers of Information Technology, FIT 2014</v>
      </c>
      <c r="B11797" s="8" t="str">
        <f>"9781479975051"</f>
        <v>9781479975051</v>
      </c>
      <c r="C11797" s="8" t="s">
        <v>105</v>
      </c>
    </row>
    <row r="11798" spans="1:3" x14ac:dyDescent="0.25">
      <c r="A11798" s="8" t="str">
        <f>"Proceedings - 12th International Conference on Image Analysis and Processing, ICIAP 2003"</f>
        <v>Proceedings - 12th International Conference on Image Analysis and Processing, ICIAP 2003</v>
      </c>
      <c r="B11798" s="8" t="str">
        <f>"9780769519487"</f>
        <v>9780769519487</v>
      </c>
      <c r="C11798" s="8" t="s">
        <v>9</v>
      </c>
    </row>
    <row r="11799" spans="1:3" x14ac:dyDescent="0.25">
      <c r="A11799" s="8" t="str">
        <f>"Proceedings - 12th International Conference on Information Technology: New Generations, ITNG 2015"</f>
        <v>Proceedings - 12th International Conference on Information Technology: New Generations, ITNG 2015</v>
      </c>
      <c r="B11799" s="8" t="str">
        <f>"9781479988273"</f>
        <v>9781479988273</v>
      </c>
      <c r="C11799" s="8" t="s">
        <v>105</v>
      </c>
    </row>
    <row r="11800" spans="1:3" x14ac:dyDescent="0.25">
      <c r="A11800" s="8" t="str">
        <f>"Proceedings - 12th International Software Product Line Conference, SPLC 2008"</f>
        <v>Proceedings - 12th International Software Product Line Conference, SPLC 2008</v>
      </c>
      <c r="B11800" s="8" t="str">
        <f>"9780769533032"</f>
        <v>9780769533032</v>
      </c>
      <c r="C11800" s="8" t="s">
        <v>9</v>
      </c>
    </row>
    <row r="11801" spans="1:3" x14ac:dyDescent="0.25">
      <c r="A11801" s="8" t="str">
        <f>"Proceedings - 12th International Symposium on Distributed Computing and Applications to Business, Engineering and Science, DCABES 2013"</f>
        <v>Proceedings - 12th International Symposium on Distributed Computing and Applications to Business, Engineering and Science, DCABES 2013</v>
      </c>
      <c r="B11801" s="8" t="str">
        <f>"9780769550602"</f>
        <v>9780769550602</v>
      </c>
      <c r="C11801" s="8" t="s">
        <v>9</v>
      </c>
    </row>
    <row r="11802" spans="1:3" x14ac:dyDescent="0.25">
      <c r="A11802" s="8" t="str">
        <f>"Proceedings - 12th International Symposium on Haptic Interfaces for Virtual Environment and Teleoperator Systems, HAPTICS"</f>
        <v>Proceedings - 12th International Symposium on Haptic Interfaces for Virtual Environment and Teleoperator Systems, HAPTICS</v>
      </c>
      <c r="B11802" s="8" t="str">
        <f>"9780769521121"</f>
        <v>9780769521121</v>
      </c>
      <c r="C11802" s="8" t="s">
        <v>9</v>
      </c>
    </row>
    <row r="11803" spans="1:3" x14ac:dyDescent="0.25">
      <c r="A11803" s="8" t="str">
        <f>"Proceedings - 12th International Symposium on Symbolic and Numeric Algorithms for Scientific Computing, SYNASC 2010"</f>
        <v>Proceedings - 12th International Symposium on Symbolic and Numeric Algorithms for Scientific Computing, SYNASC 2010</v>
      </c>
      <c r="B11803" s="8" t="str">
        <f>"9780769543246"</f>
        <v>9780769543246</v>
      </c>
      <c r="C11803" s="8" t="s">
        <v>9</v>
      </c>
    </row>
    <row r="11804" spans="1:3" x14ac:dyDescent="0.25">
      <c r="A11804" s="8" t="str">
        <f>"Proceedings - 12th International Topical Meeting on Nuclear Reactor Thermal Hydraulics, NURETH-12"</f>
        <v>Proceedings - 12th International Topical Meeting on Nuclear Reactor Thermal Hydraulics, NURETH-12</v>
      </c>
      <c r="B11804" s="8" t="str">
        <f>"9780894480584"</f>
        <v>9780894480584</v>
      </c>
      <c r="C11804" s="8" t="s">
        <v>453</v>
      </c>
    </row>
    <row r="11805" spans="1:3" x14ac:dyDescent="0.25">
      <c r="A11805" s="8" t="str">
        <f>"Proceedings - 12th Koli Calling International Conference on Computing Education Research, Koli Calling 2012"</f>
        <v>Proceedings - 12th Koli Calling International Conference on Computing Education Research, Koli Calling 2012</v>
      </c>
      <c r="B11805" s="8" t="str">
        <f>"9781450317955"</f>
        <v>9781450317955</v>
      </c>
      <c r="C11805" s="8" t="s">
        <v>21</v>
      </c>
    </row>
    <row r="11806" spans="1:3" x14ac:dyDescent="0.25">
      <c r="A11806" s="8" t="str">
        <f>"Proceedings - 12th Pacific Rim International Symposium on Dependable Computing, PRDC 2006"</f>
        <v>Proceedings - 12th Pacific Rim International Symposium on Dependable Computing, PRDC 2006</v>
      </c>
      <c r="B11806" s="8" t="str">
        <f>"9780769527246"</f>
        <v>9780769527246</v>
      </c>
      <c r="C11806" s="8" t="s">
        <v>9</v>
      </c>
    </row>
    <row r="11807" spans="1:3" x14ac:dyDescent="0.25">
      <c r="A11807" s="8" t="str">
        <f>"Proceedings - 12th Pan-Hellenic Conference on Informatics, PCI 2008"</f>
        <v>Proceedings - 12th Pan-Hellenic Conference on Informatics, PCI 2008</v>
      </c>
      <c r="B11807" s="8" t="str">
        <f>"9780769533230"</f>
        <v>9780769533230</v>
      </c>
      <c r="C11807" s="8" t="s">
        <v>9</v>
      </c>
    </row>
    <row r="11808" spans="1:3" x14ac:dyDescent="0.25">
      <c r="A11808" s="8" t="str">
        <f>"Proceedings - 12th Working IEEE/IFIP Conference on Software Architecture, WICSA 2015"</f>
        <v>Proceedings - 12th Working IEEE/IFIP Conference on Software Architecture, WICSA 2015</v>
      </c>
      <c r="B11808" s="8" t="str">
        <f>"9781479919222"</f>
        <v>9781479919222</v>
      </c>
      <c r="C11808" s="8" t="s">
        <v>105</v>
      </c>
    </row>
    <row r="11809" spans="1:3" x14ac:dyDescent="0.25">
      <c r="A11809" s="8" t="str">
        <f>"Proceedings - 12th Workshop on Electronics for LHC and Future Experiments, LECC 2006"</f>
        <v>Proceedings - 12th Workshop on Electronics for LHC and Future Experiments, LECC 2006</v>
      </c>
      <c r="B11809" s="8" t="str">
        <f>"9789290832881"</f>
        <v>9789290832881</v>
      </c>
      <c r="C11809" s="8" t="s">
        <v>259</v>
      </c>
    </row>
    <row r="11810" spans="1:3" x14ac:dyDescent="0.25">
      <c r="A11810" s="8" t="str">
        <f>"Proceedings - 13th ACIS International Conference on Software Engineering, Artificial Intelligence, Networking, and Parallel/Distributed Computing, SNPD 2012"</f>
        <v>Proceedings - 13th ACIS International Conference on Software Engineering, Artificial Intelligence, Networking, and Parallel/Distributed Computing, SNPD 2012</v>
      </c>
      <c r="B11810" s="8" t="str">
        <f>"9780769547619"</f>
        <v>9780769547619</v>
      </c>
      <c r="C11810" s="8" t="s">
        <v>9</v>
      </c>
    </row>
    <row r="11811" spans="1:3" x14ac:dyDescent="0.25">
      <c r="A11811" s="8" t="str">
        <f>"Proceedings - 13th Annual IEEE Symposium on Field-Programmable Custom Computing Machines, FCCM 2005"</f>
        <v>Proceedings - 13th Annual IEEE Symposium on Field-Programmable Custom Computing Machines, FCCM 2005</v>
      </c>
      <c r="B11811" s="8" t="str">
        <f>"-"</f>
        <v>-</v>
      </c>
      <c r="C11811" s="8" t="s">
        <v>9</v>
      </c>
    </row>
    <row r="11812" spans="1:3" x14ac:dyDescent="0.25">
      <c r="A11812" s="8" t="str">
        <f>"Proceedings - 13th Euromicro Conference on Digital System Design: Architectures, Methods and Tools, DSD 2010"</f>
        <v>Proceedings - 13th Euromicro Conference on Digital System Design: Architectures, Methods and Tools, DSD 2010</v>
      </c>
      <c r="B11812" s="8" t="str">
        <f>"9780769541716"</f>
        <v>9780769541716</v>
      </c>
      <c r="C11812" s="8" t="s">
        <v>9</v>
      </c>
    </row>
    <row r="11813" spans="1:3" x14ac:dyDescent="0.25">
      <c r="A11813" s="8" t="str">
        <f>"Proceedings - 13th Euromicro Conference on Parallel, Distributed and Network-Based Processing 2005, PDP 2005"</f>
        <v>Proceedings - 13th Euromicro Conference on Parallel, Distributed and Network-Based Processing 2005, PDP 2005</v>
      </c>
      <c r="B11813" s="8" t="str">
        <f>"-"</f>
        <v>-</v>
      </c>
      <c r="C11813" s="8" t="s">
        <v>9</v>
      </c>
    </row>
    <row r="11814" spans="1:3" x14ac:dyDescent="0.25">
      <c r="A11814" s="8" t="str">
        <f>"Proceedings - 13th IEEE European Test Symposium, ETS 2008"</f>
        <v>Proceedings - 13th IEEE European Test Symposium, ETS 2008</v>
      </c>
      <c r="B11814" s="8" t="str">
        <f>"9780769531502"</f>
        <v>9780769531502</v>
      </c>
      <c r="C11814" s="8" t="s">
        <v>9</v>
      </c>
    </row>
    <row r="11815" spans="1:3" x14ac:dyDescent="0.25">
      <c r="A11815" s="8" t="str">
        <f>"Proceedings - 13th IEEE International Conference on Commerce and Enterprise Computing, CEC 2011"</f>
        <v>Proceedings - 13th IEEE International Conference on Commerce and Enterprise Computing, CEC 2011</v>
      </c>
      <c r="B11815" s="8" t="str">
        <f>"9780769545356"</f>
        <v>9780769545356</v>
      </c>
      <c r="C11815" s="8" t="s">
        <v>9</v>
      </c>
    </row>
    <row r="11816" spans="1:3" x14ac:dyDescent="0.25">
      <c r="A11816" s="8" t="str">
        <f>"Proceedings - 13th IEEE International Conference on Embedded and Real-Time Computing Systems and Applications, RTCSA 2007"</f>
        <v>Proceedings - 13th IEEE International Conference on Embedded and Real-Time Computing Systems and Applications, RTCSA 2007</v>
      </c>
      <c r="B11816" s="8" t="str">
        <f>"9780769529752"</f>
        <v>9780769529752</v>
      </c>
      <c r="C11816" s="8" t="s">
        <v>9</v>
      </c>
    </row>
    <row r="11817" spans="1:3" x14ac:dyDescent="0.25">
      <c r="A11817" s="8" t="str">
        <f>"Proceedings - 13th IEEE International Enterprise Distributed Object Computing Conference, EDOC 2009"</f>
        <v>Proceedings - 13th IEEE International Enterprise Distributed Object Computing Conference, EDOC 2009</v>
      </c>
      <c r="B11817" s="8" t="str">
        <f>"9780769537856"</f>
        <v>9780769537856</v>
      </c>
      <c r="C11817" s="8" t="s">
        <v>9</v>
      </c>
    </row>
    <row r="11818" spans="1:3" x14ac:dyDescent="0.25">
      <c r="A11818" s="8" t="str">
        <f>"Proceedings - 13th IEEE International Symposium on Web Systems Evolution, WSE 2011"</f>
        <v>Proceedings - 13th IEEE International Symposium on Web Systems Evolution, WSE 2011</v>
      </c>
      <c r="B11818" s="8" t="str">
        <f>"9781457706981"</f>
        <v>9781457706981</v>
      </c>
      <c r="C11818" s="8" t="s">
        <v>9</v>
      </c>
    </row>
    <row r="11819" spans="1:3" x14ac:dyDescent="0.25">
      <c r="A11819" s="8" t="str">
        <f>"Proceedings - 13th IEEE International Workshop on Software Technology and Engineering Practice, STEP 2005"</f>
        <v>Proceedings - 13th IEEE International Workshop on Software Technology and Engineering Practice, STEP 2005</v>
      </c>
      <c r="B11819" s="8" t="str">
        <f>"-"</f>
        <v>-</v>
      </c>
      <c r="C11819" s="8" t="s">
        <v>9</v>
      </c>
    </row>
    <row r="11820" spans="1:3" x14ac:dyDescent="0.25">
      <c r="A11820" s="8" t="str">
        <f>"Proceedings - 13th IEEE/ACM International Symposium on Cluster, Cloud, and Grid Computing, CCGrid 2013"</f>
        <v>Proceedings - 13th IEEE/ACM International Symposium on Cluster, Cloud, and Grid Computing, CCGrid 2013</v>
      </c>
      <c r="B11820" s="8" t="str">
        <f>"-"</f>
        <v>-</v>
      </c>
      <c r="C11820" s="8" t="s">
        <v>9</v>
      </c>
    </row>
    <row r="11821" spans="1:3" x14ac:dyDescent="0.25">
      <c r="A11821" s="8" t="str">
        <f>"Proceedings - 13th International Conference on Computer-Aided Design and Computer Graphics, CAD/Graphics 2013"</f>
        <v>Proceedings - 13th International Conference on Computer-Aided Design and Computer Graphics, CAD/Graphics 2013</v>
      </c>
      <c r="B11821" s="8" t="str">
        <f>"9781479925766"</f>
        <v>9781479925766</v>
      </c>
      <c r="C11821" s="8" t="s">
        <v>9</v>
      </c>
    </row>
    <row r="11822" spans="1:3" x14ac:dyDescent="0.25">
      <c r="A11822" s="8" t="str">
        <f>"Proceedings - 13th International Conference on Network-Based Information Systems, NBiS 2010"</f>
        <v>Proceedings - 13th International Conference on Network-Based Information Systems, NBiS 2010</v>
      </c>
      <c r="B11822" s="8" t="str">
        <f>"9780769541679"</f>
        <v>9780769541679</v>
      </c>
      <c r="C11822" s="8" t="s">
        <v>9</v>
      </c>
    </row>
    <row r="11823" spans="1:3" x14ac:dyDescent="0.25">
      <c r="A11823" s="8" t="str">
        <f>"Proceedings - 13th International Symposium on Distributed Computing and Applications to Business, Engineering and Science, DCABES 2014"</f>
        <v>Proceedings - 13th International Symposium on Distributed Computing and Applications to Business, Engineering and Science, DCABES 2014</v>
      </c>
      <c r="B11823" s="8" t="str">
        <f>"9781479941698"</f>
        <v>9781479941698</v>
      </c>
      <c r="C11823" s="8" t="s">
        <v>105</v>
      </c>
    </row>
    <row r="11824" spans="1:3" x14ac:dyDescent="0.25">
      <c r="A11824" s="8" t="str">
        <f>"Proceedings - 13th International Symposium on Symbolic and Numeric Algorithms for Scientific Computing, SYNASC 2011"</f>
        <v>Proceedings - 13th International Symposium on Symbolic and Numeric Algorithms for Scientific Computing, SYNASC 2011</v>
      </c>
      <c r="B11824" s="8" t="str">
        <f>"9780769546308"</f>
        <v>9780769546308</v>
      </c>
      <c r="C11824" s="8" t="s">
        <v>9</v>
      </c>
    </row>
    <row r="11825" spans="1:3" x14ac:dyDescent="0.25">
      <c r="A11825" s="8" t="str">
        <f>"Proceedings - 13th ISSAT International Conference on Reliability and Quality in Design"</f>
        <v>Proceedings - 13th ISSAT International Conference on Reliability and Quality in Design</v>
      </c>
      <c r="B11825" s="8" t="str">
        <f>"9780976348627"</f>
        <v>9780976348627</v>
      </c>
      <c r="C11825" s="8" t="s">
        <v>1339</v>
      </c>
    </row>
    <row r="11826" spans="1:3" x14ac:dyDescent="0.25">
      <c r="A11826" s="8" t="str">
        <f>"Proceedings - 13th Pacific Rim International Symposium on Dependable Computing, PRDC 2007"</f>
        <v>Proceedings - 13th Pacific Rim International Symposium on Dependable Computing, PRDC 2007</v>
      </c>
      <c r="B11826" s="8" t="str">
        <f>"9780769530543"</f>
        <v>9780769530543</v>
      </c>
      <c r="C11826" s="8" t="s">
        <v>2054</v>
      </c>
    </row>
    <row r="11827" spans="1:3" x14ac:dyDescent="0.25">
      <c r="A11827" s="8" t="str">
        <f>"Proceedings - 13th Symposium on Computing Systems, WSCAD-SSC 2012"</f>
        <v>Proceedings - 13th Symposium on Computing Systems, WSCAD-SSC 2012</v>
      </c>
      <c r="B11827" s="8" t="str">
        <f>"9780769548470"</f>
        <v>9780769548470</v>
      </c>
      <c r="C11827" s="8" t="s">
        <v>9</v>
      </c>
    </row>
    <row r="11828" spans="1:3" x14ac:dyDescent="0.25">
      <c r="A11828" s="8" t="str">
        <f>"Proceedings - 13th Symposium on Integrated Circuits and Systems Design"</f>
        <v>Proceedings - 13th Symposium on Integrated Circuits and Systems Design</v>
      </c>
      <c r="B11828" s="8" t="str">
        <f>"9780769508436"</f>
        <v>9780769508436</v>
      </c>
      <c r="C11828" s="8" t="s">
        <v>105</v>
      </c>
    </row>
    <row r="11829" spans="1:3" x14ac:dyDescent="0.25">
      <c r="A11829" s="8" t="str">
        <f>"Proceedings - 14th ACM Symposium on Solid and Physical Modeling, SPM'10"</f>
        <v>Proceedings - 14th ACM Symposium on Solid and Physical Modeling, SPM'10</v>
      </c>
      <c r="B11829" s="8" t="str">
        <f>"9781605589848"</f>
        <v>9781605589848</v>
      </c>
      <c r="C11829" s="8" t="s">
        <v>21</v>
      </c>
    </row>
    <row r="11830" spans="1:3" x14ac:dyDescent="0.25">
      <c r="A11830" s="8" t="str">
        <f>"Proceedings - 14th Annual IEEE Symposium on Field-Programmable Custom Computing Machines, FCCM 2006"</f>
        <v>Proceedings - 14th Annual IEEE Symposium on Field-Programmable Custom Computing Machines, FCCM 2006</v>
      </c>
      <c r="B11830" s="8" t="str">
        <f>"9780769526614"</f>
        <v>9780769526614</v>
      </c>
      <c r="C11830" s="8" t="s">
        <v>9</v>
      </c>
    </row>
    <row r="11831" spans="1:3" x14ac:dyDescent="0.25">
      <c r="A11831" s="8" t="str">
        <f>"Proceedings - 14th Euromicro International Conference on Parallel, Distributed, and Network-Based Processing, PDP 2006"</f>
        <v>Proceedings - 14th Euromicro International Conference on Parallel, Distributed, and Network-Based Processing, PDP 2006</v>
      </c>
      <c r="B11831" s="8" t="str">
        <f>"-"</f>
        <v>-</v>
      </c>
      <c r="C11831" s="8" t="s">
        <v>9</v>
      </c>
    </row>
    <row r="11832" spans="1:3" x14ac:dyDescent="0.25">
      <c r="A11832" s="8" t="str">
        <f>"Proceedings - 14th IEEE International Conference on Embedded and Real-Time Computing Systems and Applications, RTCSA 2008"</f>
        <v>Proceedings - 14th IEEE International Conference on Embedded and Real-Time Computing Systems and Applications, RTCSA 2008</v>
      </c>
      <c r="B11832" s="8" t="str">
        <f>"9780769533490"</f>
        <v>9780769533490</v>
      </c>
      <c r="C11832" s="8" t="s">
        <v>9</v>
      </c>
    </row>
    <row r="11833" spans="1:3" x14ac:dyDescent="0.25">
      <c r="A11833" s="8" t="str">
        <f>"Proceedings - 14th IEEE International On-Line Testing Symposium, IOLTS 2008"</f>
        <v>Proceedings - 14th IEEE International On-Line Testing Symposium, IOLTS 2008</v>
      </c>
      <c r="B11833" s="8" t="str">
        <f>"9780769532646"</f>
        <v>9780769532646</v>
      </c>
      <c r="C11833" s="8" t="s">
        <v>9</v>
      </c>
    </row>
    <row r="11834" spans="1:3" x14ac:dyDescent="0.25">
      <c r="A11834" s="8" t="str">
        <f>"Proceedings - 14th International Conference on Computational Science and Its Applications, ICCSA 2014"</f>
        <v>Proceedings - 14th International Conference on Computational Science and Its Applications, ICCSA 2014</v>
      </c>
      <c r="B11834" s="8" t="str">
        <f>"9781479942640"</f>
        <v>9781479942640</v>
      </c>
      <c r="C11834" s="8" t="s">
        <v>105</v>
      </c>
    </row>
    <row r="11835" spans="1:3" x14ac:dyDescent="0.25">
      <c r="A11835" s="8" t="str">
        <f>"Proceedings - 14th International Conference on Image Analysis and Processing Workshops, ICIAP 2007"</f>
        <v>Proceedings - 14th International Conference on Image Analysis and Processing Workshops, ICIAP 2007</v>
      </c>
      <c r="B11835" s="8" t="str">
        <f>"9780769529219"</f>
        <v>9780769529219</v>
      </c>
      <c r="C11835" s="8" t="s">
        <v>9</v>
      </c>
    </row>
    <row r="11836" spans="1:3" x14ac:dyDescent="0.25">
      <c r="A11836" s="8" t="str">
        <f>"Proceedings - 14th International conference on Image Analysis and Processing, ICIAP 2007"</f>
        <v>Proceedings - 14th International conference on Image Analysis and Processing, ICIAP 2007</v>
      </c>
      <c r="B11836" s="8" t="str">
        <f>"9780769528779"</f>
        <v>9780769528779</v>
      </c>
      <c r="C11836" s="8" t="s">
        <v>9</v>
      </c>
    </row>
    <row r="11837" spans="1:3" x14ac:dyDescent="0.25">
      <c r="A11837" s="8" t="str">
        <f>"Proceedings - 14th International Detonation Symposium, IDS 2010"</f>
        <v>Proceedings - 14th International Detonation Symposium, IDS 2010</v>
      </c>
      <c r="B11837" s="8" t="str">
        <f>"-"</f>
        <v>-</v>
      </c>
      <c r="C11837" s="8" t="s">
        <v>2055</v>
      </c>
    </row>
    <row r="11838" spans="1:3" x14ac:dyDescent="0.25">
      <c r="A11838" s="8" t="str">
        <f>"Proceedings - 14th International Symposium on Symbolic and Numeric Algorithms for Scientific Computing, SYNASC 2012"</f>
        <v>Proceedings - 14th International Symposium on Symbolic and Numeric Algorithms for Scientific Computing, SYNASC 2012</v>
      </c>
      <c r="B11838" s="8" t="str">
        <f>"9780769549347"</f>
        <v>9780769549347</v>
      </c>
      <c r="C11838" s="8" t="s">
        <v>9</v>
      </c>
    </row>
    <row r="11839" spans="1:3" x14ac:dyDescent="0.25">
      <c r="A11839" s="8" t="str">
        <f>"Proceedings - 14th ISSAT International Conference on Reliability and Quality in Design"</f>
        <v>Proceedings - 14th ISSAT International Conference on Reliability and Quality in Design</v>
      </c>
      <c r="B11839" s="8" t="str">
        <f>"9780976348641"</f>
        <v>9780976348641</v>
      </c>
      <c r="C11839" s="8" t="s">
        <v>1339</v>
      </c>
    </row>
    <row r="11840" spans="1:3" x14ac:dyDescent="0.25">
      <c r="A11840" s="8" t="str">
        <f>"Proceedings - 14th Panhellenic Conference on Informatics, PCI 2010"</f>
        <v>Proceedings - 14th Panhellenic Conference on Informatics, PCI 2010</v>
      </c>
      <c r="B11840" s="8" t="str">
        <f>"9780769541723"</f>
        <v>9780769541723</v>
      </c>
      <c r="C11840" s="8" t="s">
        <v>9</v>
      </c>
    </row>
    <row r="11841" spans="1:3" x14ac:dyDescent="0.25">
      <c r="A11841" s="8" t="str">
        <f>"Proceedings - 14th Symposium on Integrated Circuits and Systems Design, SBCCI 2001"</f>
        <v>Proceedings - 14th Symposium on Integrated Circuits and Systems Design, SBCCI 2001</v>
      </c>
      <c r="B11841" s="8" t="str">
        <f>"9780769513331"</f>
        <v>9780769513331</v>
      </c>
      <c r="C11841" s="8" t="s">
        <v>105</v>
      </c>
    </row>
    <row r="11842" spans="1:3" x14ac:dyDescent="0.25">
      <c r="A11842" s="8" t="str">
        <f>"Proceedings - 15th Annual IEEE Symposium on High-Performance Interconnects, HOT Interconnects"</f>
        <v>Proceedings - 15th Annual IEEE Symposium on High-Performance Interconnects, HOT Interconnects</v>
      </c>
      <c r="B11842" s="8" t="str">
        <f>"9780769529790"</f>
        <v>9780769529790</v>
      </c>
      <c r="C11842" s="8" t="s">
        <v>9</v>
      </c>
    </row>
    <row r="11843" spans="1:3" x14ac:dyDescent="0.25">
      <c r="A11843" s="8" t="str">
        <f>"Proceedings - 15th CSI International Symposium on Computer Architecture and Digital Systems, CADS 2010"</f>
        <v>Proceedings - 15th CSI International Symposium on Computer Architecture and Digital Systems, CADS 2010</v>
      </c>
      <c r="B11843" s="8" t="str">
        <f>"9781424462698"</f>
        <v>9781424462698</v>
      </c>
      <c r="C11843" s="8" t="s">
        <v>9</v>
      </c>
    </row>
    <row r="11844" spans="1:3" x14ac:dyDescent="0.25">
      <c r="A11844" s="8" t="str">
        <f>"Proceedings - 15th Euromicro Conference on Digital System Design, DSD 2012"</f>
        <v>Proceedings - 15th Euromicro Conference on Digital System Design, DSD 2012</v>
      </c>
      <c r="B11844" s="8" t="str">
        <f>"9780769547985"</f>
        <v>9780769547985</v>
      </c>
      <c r="C11844" s="8" t="s">
        <v>9</v>
      </c>
    </row>
    <row r="11845" spans="1:3" x14ac:dyDescent="0.25">
      <c r="A11845" s="8" t="str">
        <f>"Proceedings - 15th EUROMICRO International Conference on Parallel, Distributed and Network-Based Processing, PDP 2007"</f>
        <v>Proceedings - 15th EUROMICRO International Conference on Parallel, Distributed and Network-Based Processing, PDP 2007</v>
      </c>
      <c r="B11845" s="8" t="str">
        <f>"9780769527840"</f>
        <v>9780769527840</v>
      </c>
      <c r="C11845" s="8" t="s">
        <v>9</v>
      </c>
    </row>
    <row r="11846" spans="1:3" x14ac:dyDescent="0.25">
      <c r="A11846" s="8" t="str">
        <f>"Proceedings - 15th IEEE International Conference on Computational Science and Engineering, CSE 2012 and 10th IEEE/IFIP International Conference on Embedded and Ubiquitous Computing, EUC 2012"</f>
        <v>Proceedings - 15th IEEE International Conference on Computational Science and Engineering, CSE 2012 and 10th IEEE/IFIP International Conference on Embedded and Ubiquitous Computing, EUC 2012</v>
      </c>
      <c r="B11846" s="8" t="str">
        <f>"9780769549149"</f>
        <v>9780769549149</v>
      </c>
      <c r="C11846" s="8" t="s">
        <v>9</v>
      </c>
    </row>
    <row r="11847" spans="1:3" x14ac:dyDescent="0.25">
      <c r="A11847" s="8" t="str">
        <f>"Proceedings - 15th IEEE International Conference on Embedded and Real-Time Computing Systems and Applications, RTCSA 2009"</f>
        <v>Proceedings - 15th IEEE International Conference on Embedded and Real-Time Computing Systems and Applications, RTCSA 2009</v>
      </c>
      <c r="B11847" s="8" t="str">
        <f>"9780769537870"</f>
        <v>9780769537870</v>
      </c>
      <c r="C11847" s="8" t="s">
        <v>9</v>
      </c>
    </row>
    <row r="11848" spans="1:3" x14ac:dyDescent="0.25">
      <c r="A11848" s="8" t="str">
        <f>"Proceedings - 15th IEEE International Requirements Engineering Conference, RE 2007"</f>
        <v>Proceedings - 15th IEEE International Requirements Engineering Conference, RE 2007</v>
      </c>
      <c r="B11848" s="8" t="str">
        <f>"9780769529356"</f>
        <v>9780769529356</v>
      </c>
      <c r="C11848" s="8" t="s">
        <v>9</v>
      </c>
    </row>
    <row r="11849" spans="1:3" x14ac:dyDescent="0.25">
      <c r="A11849" s="8" t="str">
        <f>"Proceedings - 15th IFHTSE - International Federation for Heat Treatment and Surface Engineering Congress 2006"</f>
        <v>Proceedings - 15th IFHTSE - International Federation for Heat Treatment and Surface Engineering Congress 2006</v>
      </c>
      <c r="B11849" s="8" t="str">
        <f>"9783901384196"</f>
        <v>9783901384196</v>
      </c>
      <c r="C11849" s="8" t="s">
        <v>1266</v>
      </c>
    </row>
    <row r="11850" spans="1:3" x14ac:dyDescent="0.25">
      <c r="A11850" s="8" t="str">
        <f>"Proceedings - 15th International Conference on Computational Science and Its Applications, ICCSA 2015"</f>
        <v>Proceedings - 15th International Conference on Computational Science and Its Applications, ICCSA 2015</v>
      </c>
      <c r="B11850" s="8" t="str">
        <f>"9781467373678"</f>
        <v>9781467373678</v>
      </c>
      <c r="C11850" s="8" t="s">
        <v>105</v>
      </c>
    </row>
    <row r="11851" spans="1:3" x14ac:dyDescent="0.25">
      <c r="A11851" s="8" t="str">
        <f>"Proceedings - 15th International Conference on Computing, CIC 2006"</f>
        <v>Proceedings - 15th International Conference on Computing, CIC 2006</v>
      </c>
      <c r="B11851" s="8" t="str">
        <f>"9780769527086"</f>
        <v>9780769527086</v>
      </c>
      <c r="C11851" s="8" t="s">
        <v>105</v>
      </c>
    </row>
    <row r="11852" spans="1:3" x14ac:dyDescent="0.25">
      <c r="A11852" s="8" t="str">
        <f>"Proceedings - 15th International Conference on Electronics, Communications and Computers, CONIELECOMP 2005"</f>
        <v>Proceedings - 15th International Conference on Electronics, Communications and Computers, CONIELECOMP 2005</v>
      </c>
      <c r="B11852" s="8" t="str">
        <f>"-"</f>
        <v>-</v>
      </c>
      <c r="C11852" s="8" t="s">
        <v>9</v>
      </c>
    </row>
    <row r="11853" spans="1:3" x14ac:dyDescent="0.25">
      <c r="A11853" s="8" t="str">
        <f>"Proceedings - 15th International Software Product Line Conference, SPLC 2011"</f>
        <v>Proceedings - 15th International Software Product Line Conference, SPLC 2011</v>
      </c>
      <c r="B11853" s="8" t="str">
        <f>"9780769544878"</f>
        <v>9780769544878</v>
      </c>
      <c r="C11853" s="8" t="s">
        <v>9</v>
      </c>
    </row>
    <row r="11854" spans="1:3" x14ac:dyDescent="0.25">
      <c r="A11854" s="8" t="str">
        <f>"Proceedings - 15th ISSAT International Conference on Reliability and Quality in Design"</f>
        <v>Proceedings - 15th ISSAT International Conference on Reliability and Quality in Design</v>
      </c>
      <c r="B11854" s="8" t="str">
        <f>"-"</f>
        <v>-</v>
      </c>
      <c r="C11854" s="8" t="s">
        <v>1339</v>
      </c>
    </row>
    <row r="11855" spans="1:3" x14ac:dyDescent="0.25">
      <c r="A11855" s="8" t="str">
        <f>"Proceedings - 16th Euromicro Conference on Digital System Design, DSD 2013"</f>
        <v>Proceedings - 16th Euromicro Conference on Digital System Design, DSD 2013</v>
      </c>
      <c r="B11855" s="8" t="str">
        <f>"9780769550749"</f>
        <v>9780769550749</v>
      </c>
      <c r="C11855" s="8" t="s">
        <v>9</v>
      </c>
    </row>
    <row r="11856" spans="1:3" x14ac:dyDescent="0.25">
      <c r="A11856" s="8" t="str">
        <f>"Proceedings - 16th IEEE Conference on Business Informatics, CBI 2014"</f>
        <v>Proceedings - 16th IEEE Conference on Business Informatics, CBI 2014</v>
      </c>
      <c r="B11856" s="8" t="str">
        <f>"-"</f>
        <v>-</v>
      </c>
      <c r="C11856" s="8" t="s">
        <v>105</v>
      </c>
    </row>
    <row r="11857" spans="1:3" x14ac:dyDescent="0.25">
      <c r="A11857" s="8" t="str">
        <f>"Proceedings - 16th IEEE European Test Symposium, ETS 2011"</f>
        <v>Proceedings - 16th IEEE European Test Symposium, ETS 2011</v>
      </c>
      <c r="B11857" s="8" t="str">
        <f>"9780769544335"</f>
        <v>9780769544335</v>
      </c>
      <c r="C11857" s="8" t="s">
        <v>9</v>
      </c>
    </row>
    <row r="11858" spans="1:3" x14ac:dyDescent="0.25">
      <c r="A11858" s="8" t="str">
        <f>"Proceedings - 16th IEEE International Conference on Computational Science and Engineering, CSE 2013"</f>
        <v>Proceedings - 16th IEEE International Conference on Computational Science and Engineering, CSE 2013</v>
      </c>
      <c r="B11858" s="8" t="str">
        <f>"-"</f>
        <v>-</v>
      </c>
      <c r="C11858" s="8" t="s">
        <v>9</v>
      </c>
    </row>
    <row r="11859" spans="1:3" x14ac:dyDescent="0.25">
      <c r="A11859" s="8" t="str">
        <f>"Proceedings - 16th IEEE International Conference on Embedded and Real-Time Computing Systems and Applications, RTCSA 2010"</f>
        <v>Proceedings - 16th IEEE International Conference on Embedded and Real-Time Computing Systems and Applications, RTCSA 2010</v>
      </c>
      <c r="B11859" s="8" t="str">
        <f>"9780769541556"</f>
        <v>9780769541556</v>
      </c>
      <c r="C11859" s="8" t="s">
        <v>9</v>
      </c>
    </row>
    <row r="11860" spans="1:3" x14ac:dyDescent="0.25">
      <c r="A11860" s="8" t="s">
        <v>2056</v>
      </c>
      <c r="B11860" s="8" t="str">
        <f>"9781479961238"</f>
        <v>9781479961238</v>
      </c>
      <c r="C11860" s="8" t="s">
        <v>105</v>
      </c>
    </row>
    <row r="11861" spans="1:3" x14ac:dyDescent="0.25">
      <c r="A11861" s="8" t="str">
        <f>"Proceedings - 16th IEEE Pacific Rim International Symposium on Dependable Computing, PRDC 2010"</f>
        <v>Proceedings - 16th IEEE Pacific Rim International Symposium on Dependable Computing, PRDC 2010</v>
      </c>
      <c r="B11861" s="8" t="str">
        <f>"9780769542898"</f>
        <v>9780769542898</v>
      </c>
      <c r="C11861" s="8" t="s">
        <v>9</v>
      </c>
    </row>
    <row r="11862" spans="1:3" x14ac:dyDescent="0.25">
      <c r="A11862" s="8" t="str">
        <f>"Proceedings - 16th International Conference on 3D Web Technology, Web3D 2011"</f>
        <v>Proceedings - 16th International Conference on 3D Web Technology, Web3D 2011</v>
      </c>
      <c r="B11862" s="8" t="str">
        <f>"9781450307741"</f>
        <v>9781450307741</v>
      </c>
      <c r="C11862" s="8" t="s">
        <v>21</v>
      </c>
    </row>
    <row r="11863" spans="1:3" x14ac:dyDescent="0.25">
      <c r="A11863" s="8" t="str">
        <f>"Proceedings - 16th International Conference on Artificial Reality and Telexistence - Workshops, ICAT 2006"</f>
        <v>Proceedings - 16th International Conference on Artificial Reality and Telexistence - Workshops, ICAT 2006</v>
      </c>
      <c r="B11863" s="8" t="str">
        <f>"9780769527543"</f>
        <v>9780769527543</v>
      </c>
      <c r="C11863" s="8" t="s">
        <v>9</v>
      </c>
    </row>
    <row r="11864" spans="1:3" x14ac:dyDescent="0.25">
      <c r="A11864" s="8" t="str">
        <f>"Proceedings - 16th International Conference on Network-Based Information Systems, NBiS 2013"</f>
        <v>Proceedings - 16th International Conference on Network-Based Information Systems, NBiS 2013</v>
      </c>
      <c r="B11864" s="8" t="str">
        <f>"9780769550527"</f>
        <v>9780769550527</v>
      </c>
      <c r="C11864" s="8" t="s">
        <v>9</v>
      </c>
    </row>
    <row r="11865" spans="1:3" x14ac:dyDescent="0.25">
      <c r="A11865" s="8" t="str">
        <f>"Proceedings - 16th International Symposium on Symbolic and Numeric Algorithms for Scientific Computing, SYNASC 2014"</f>
        <v>Proceedings - 16th International Symposium on Symbolic and Numeric Algorithms for Scientific Computing, SYNASC 2014</v>
      </c>
      <c r="B11865" s="8" t="str">
        <f>"9781479984480"</f>
        <v>9781479984480</v>
      </c>
      <c r="C11865" s="8" t="s">
        <v>105</v>
      </c>
    </row>
    <row r="11866" spans="1:3" x14ac:dyDescent="0.25">
      <c r="A11866" s="8" t="str">
        <f>"Proceedings - 16th ISSAT International Conference on Reliability and Quality in Design"</f>
        <v>Proceedings - 16th ISSAT International Conference on Reliability and Quality in Design</v>
      </c>
      <c r="B11866" s="8" t="str">
        <f>"9780976348665"</f>
        <v>9780976348665</v>
      </c>
      <c r="C11866" s="8" t="s">
        <v>1339</v>
      </c>
    </row>
    <row r="11867" spans="1:3" x14ac:dyDescent="0.25">
      <c r="A11867" s="8" t="str">
        <f>"Proceedings - 16th North-East Asia Symposium on Nano, Information Technology and Reliability, NASNIT 2011"</f>
        <v>Proceedings - 16th North-East Asia Symposium on Nano, Information Technology and Reliability, NASNIT 2011</v>
      </c>
      <c r="B11867" s="8" t="str">
        <f>"9788988678626"</f>
        <v>9788988678626</v>
      </c>
      <c r="C11867" s="8" t="s">
        <v>9</v>
      </c>
    </row>
    <row r="11868" spans="1:3" x14ac:dyDescent="0.25">
      <c r="A11868" s="8" t="str">
        <f>"Proceedings - 17th CSI International Symposium on Computer Architecture and Digital Systems, CADS 2013"</f>
        <v>Proceedings - 17th CSI International Symposium on Computer Architecture and Digital Systems, CADS 2013</v>
      </c>
      <c r="B11868" s="8" t="str">
        <f>"9781479905621"</f>
        <v>9781479905621</v>
      </c>
      <c r="C11868" s="8" t="s">
        <v>9</v>
      </c>
    </row>
    <row r="11869" spans="1:3" x14ac:dyDescent="0.25">
      <c r="A11869" s="8" t="s">
        <v>2057</v>
      </c>
      <c r="B11869" s="8" t="str">
        <f>"9781479979813"</f>
        <v>9781479979813</v>
      </c>
      <c r="C11869" s="8" t="s">
        <v>105</v>
      </c>
    </row>
    <row r="11870" spans="1:3" x14ac:dyDescent="0.25">
      <c r="A11870" s="8" t="str">
        <f>"Proceedings - 17th IEEE International Conference on Embedded and Real-Time Computing Systems and Applications, RTCSA 2011"</f>
        <v>Proceedings - 17th IEEE International Conference on Embedded and Real-Time Computing Systems and Applications, RTCSA 2011</v>
      </c>
      <c r="B11870" s="8" t="str">
        <f>"9780769545028"</f>
        <v>9780769545028</v>
      </c>
      <c r="C11870" s="8" t="s">
        <v>21</v>
      </c>
    </row>
    <row r="11871" spans="1:3" x14ac:dyDescent="0.25">
      <c r="A11871" s="8" t="str">
        <f>"Proceedings - 17th IFIP International Conference on Very Large Scale Integration, VLSI-SoC 2009"</f>
        <v>Proceedings - 17th IFIP International Conference on Very Large Scale Integration, VLSI-SoC 2009</v>
      </c>
      <c r="B11871" s="8" t="str">
        <f>"9781457702365"</f>
        <v>9781457702365</v>
      </c>
      <c r="C11871" s="8" t="s">
        <v>9</v>
      </c>
    </row>
    <row r="11872" spans="1:3" x14ac:dyDescent="0.25">
      <c r="A11872" s="8" t="str">
        <f>"Proceedings - 17th International Symposium on Air Breathing Engines, ISABE2005"</f>
        <v>Proceedings - 17th International Symposium on Air Breathing Engines, ISABE2005</v>
      </c>
      <c r="B11872" s="8" t="str">
        <f>"-"</f>
        <v>-</v>
      </c>
      <c r="C11872" s="8" t="s">
        <v>104</v>
      </c>
    </row>
    <row r="11873" spans="1:3" x14ac:dyDescent="0.25">
      <c r="A11873" s="8" t="str">
        <f>"Proceedings - 17th International Symposium on Temporal Representation and Reasoning, TIME 2010"</f>
        <v>Proceedings - 17th International Symposium on Temporal Representation and Reasoning, TIME 2010</v>
      </c>
      <c r="B11873" s="8" t="str">
        <f>"9780769541877"</f>
        <v>9780769541877</v>
      </c>
      <c r="C11873" s="8" t="s">
        <v>9</v>
      </c>
    </row>
    <row r="11874" spans="1:3" x14ac:dyDescent="0.25">
      <c r="A11874" s="8" t="str">
        <f>"Proceedings - 17th ISSAT International Conference on Reliability and Quality in Design"</f>
        <v>Proceedings - 17th ISSAT International Conference on Reliability and Quality in Design</v>
      </c>
      <c r="B11874" s="8" t="str">
        <f>"9780976348672"</f>
        <v>9780976348672</v>
      </c>
      <c r="C11874" s="8" t="s">
        <v>1339</v>
      </c>
    </row>
    <row r="11875" spans="1:3" x14ac:dyDescent="0.25">
      <c r="A11875" s="8" t="str">
        <f>"Proceedings - 17th Symposium on Integrated Cicuits and Systems Design, SBCCI2004"</f>
        <v>Proceedings - 17th Symposium on Integrated Cicuits and Systems Design, SBCCI2004</v>
      </c>
      <c r="B11875" s="8" t="str">
        <f>"9781581139471"</f>
        <v>9781581139471</v>
      </c>
      <c r="C11875" s="8" t="s">
        <v>21</v>
      </c>
    </row>
    <row r="11876" spans="1:3" x14ac:dyDescent="0.25">
      <c r="A11876" s="8" t="str">
        <f>"Proceedings - 17th Workshop on Parallel and Distributed Simulation, PADS 2003"</f>
        <v>Proceedings - 17th Workshop on Parallel and Distributed Simulation, PADS 2003</v>
      </c>
      <c r="B11876" s="8" t="str">
        <f>"9780769519708"</f>
        <v>9780769519708</v>
      </c>
      <c r="C11876" s="8" t="s">
        <v>105</v>
      </c>
    </row>
    <row r="11877" spans="1:3" x14ac:dyDescent="0.25">
      <c r="A11877" s="8" t="str">
        <f>"Proceedings - 18th Annual IEEE/ACM International Symposium on Modeling, Analysis and Simulation of Computer and Telecommunication Systems, MASCOTS 2010"</f>
        <v>Proceedings - 18th Annual IEEE/ACM International Symposium on Modeling, Analysis and Simulation of Computer and Telecommunication Systems, MASCOTS 2010</v>
      </c>
      <c r="B11877" s="8" t="str">
        <f>"9780769541976"</f>
        <v>9780769541976</v>
      </c>
      <c r="C11877" s="8" t="s">
        <v>9</v>
      </c>
    </row>
    <row r="11878" spans="1:3" x14ac:dyDescent="0.25">
      <c r="A11878" s="8" t="str">
        <f>"Proceedings - 18th Conference on Software Engineering Education and Training, CSEE and T 2005"</f>
        <v>Proceedings - 18th Conference on Software Engineering Education and Training, CSEE and T 2005</v>
      </c>
      <c r="B11878" s="8" t="str">
        <f>"9780769523248"</f>
        <v>9780769523248</v>
      </c>
      <c r="C11878" s="8" t="s">
        <v>9</v>
      </c>
    </row>
    <row r="11879" spans="1:3" x14ac:dyDescent="0.25">
      <c r="A11879" s="8" t="str">
        <f>"Proceedings - 18th IEEE International Conference and Workshops on Engineering of Computer-Based Systems, ECBS 2011"</f>
        <v>Proceedings - 18th IEEE International Conference and Workshops on Engineering of Computer-Based Systems, ECBS 2011</v>
      </c>
      <c r="B11879" s="8" t="str">
        <f>"9780769543796"</f>
        <v>9780769543796</v>
      </c>
      <c r="C11879" s="8" t="s">
        <v>9</v>
      </c>
    </row>
    <row r="11880" spans="1:3" x14ac:dyDescent="0.25">
      <c r="A11880" s="8" t="str">
        <f>"Proceedings - 18th IEEE International Conference on Embedded and Real-Time Computing Systems and Applications, RTCSA 2012 - 2nd Workshop on Cyber-Physical Systems, Networks, and Applications, CPSNA"</f>
        <v>Proceedings - 18th IEEE International Conference on Embedded and Real-Time Computing Systems and Applications, RTCSA 2012 - 2nd Workshop on Cyber-Physical Systems, Networks, and Applications, CPSNA</v>
      </c>
      <c r="B11880" s="8" t="str">
        <f>"-"</f>
        <v>-</v>
      </c>
      <c r="C11880" s="8" t="s">
        <v>9</v>
      </c>
    </row>
    <row r="11881" spans="1:3" x14ac:dyDescent="0.25">
      <c r="A11881" s="8" t="str">
        <f>"Proceedings - 18th IEEE Symposium on High Performance Interconnects, HOTI 2010"</f>
        <v>Proceedings - 18th IEEE Symposium on High Performance Interconnects, HOTI 2010</v>
      </c>
      <c r="B11881" s="8" t="str">
        <f>"9780769542089"</f>
        <v>9780769542089</v>
      </c>
      <c r="C11881" s="8" t="s">
        <v>9</v>
      </c>
    </row>
    <row r="11882" spans="1:3" x14ac:dyDescent="0.25">
      <c r="A11882" s="8" t="str">
        <f>"Proceedings - 18th International Conference on Electronics, Communications and Computers, CONIELECOMP 2008"</f>
        <v>Proceedings - 18th International Conference on Electronics, Communications and Computers, CONIELECOMP 2008</v>
      </c>
      <c r="B11882" s="8" t="str">
        <f>"9780769531205"</f>
        <v>9780769531205</v>
      </c>
      <c r="C11882" s="8" t="s">
        <v>9</v>
      </c>
    </row>
    <row r="11883" spans="1:3" x14ac:dyDescent="0.25">
      <c r="A11883" s="8" t="str">
        <f>"Proceedings - 18th International Conference on Systems Engineering, IICSEng 2005"</f>
        <v>Proceedings - 18th International Conference on Systems Engineering, IICSEng 2005</v>
      </c>
      <c r="B11883" s="8" t="str">
        <f>"-"</f>
        <v>-</v>
      </c>
      <c r="C11883" s="8" t="s">
        <v>9</v>
      </c>
    </row>
    <row r="11884" spans="1:3" x14ac:dyDescent="0.25">
      <c r="A11884" s="8" t="str">
        <f>"Proceedings - 18th ISSAT International Conference on Reliability and Quality in Design"</f>
        <v>Proceedings - 18th ISSAT International Conference on Reliability and Quality in Design</v>
      </c>
      <c r="B11884" s="8" t="str">
        <f>"9780976348689"</f>
        <v>9780976348689</v>
      </c>
      <c r="C11884" s="8" t="s">
        <v>1339</v>
      </c>
    </row>
    <row r="11885" spans="1:3" x14ac:dyDescent="0.25">
      <c r="A11885" s="8" t="s">
        <v>2058</v>
      </c>
      <c r="B11885" s="8" t="str">
        <f>"-"</f>
        <v>-</v>
      </c>
      <c r="C11885" s="8" t="s">
        <v>2059</v>
      </c>
    </row>
    <row r="11886" spans="1:3" x14ac:dyDescent="0.25">
      <c r="A11886" s="8" t="str">
        <f>"Proceedings - 1992 Annual Technical Session, Structural Stability Research Council"</f>
        <v>Proceedings - 1992 Annual Technical Session, Structural Stability Research Council</v>
      </c>
      <c r="B11886" s="8" t="str">
        <f>"9781879749528"</f>
        <v>9781879749528</v>
      </c>
      <c r="C11886" s="8" t="s">
        <v>2060</v>
      </c>
    </row>
    <row r="11887" spans="1:3" x14ac:dyDescent="0.25">
      <c r="A11887" s="8" t="str">
        <f>"Proceedings - 1994 Annual Task Group Technical Session, Structural Stability Research"</f>
        <v>Proceedings - 1994 Annual Task Group Technical Session, Structural Stability Research</v>
      </c>
      <c r="B11887" s="8" t="str">
        <f>"9781879749573"</f>
        <v>9781879749573</v>
      </c>
      <c r="C11887" s="8" t="s">
        <v>2060</v>
      </c>
    </row>
    <row r="11888" spans="1:3" x14ac:dyDescent="0.25">
      <c r="A11888" s="8" t="str">
        <f>"Proceedings - 1997 International Conference on Shape Modeling and Applications, SMI 1997"</f>
        <v>Proceedings - 1997 International Conference on Shape Modeling and Applications, SMI 1997</v>
      </c>
      <c r="B11888" s="8" t="str">
        <f>"9780818678677"</f>
        <v>9780818678677</v>
      </c>
      <c r="C11888" s="8" t="s">
        <v>9</v>
      </c>
    </row>
    <row r="11889" spans="1:3" x14ac:dyDescent="0.25">
      <c r="A11889" s="8" t="str">
        <f>"Proceedings - 19th IEEE International Parallel and Distributed Processing Symposium"</f>
        <v>Proceedings - 19th IEEE International Parallel and Distributed Processing Symposium</v>
      </c>
      <c r="B11889" s="8" t="str">
        <f>"9780769523125"</f>
        <v>9780769523125</v>
      </c>
      <c r="C11889" s="8" t="s">
        <v>9</v>
      </c>
    </row>
    <row r="11890" spans="1:3" x14ac:dyDescent="0.25">
      <c r="A11890" s="8" t="str">
        <f>"Proceedings - 19th IEEE International Parallel and Distributed Processing Symposium, IPDPS 2005"</f>
        <v>Proceedings - 19th IEEE International Parallel and Distributed Processing Symposium, IPDPS 2005</v>
      </c>
      <c r="B11890" s="8" t="str">
        <f>"-"</f>
        <v>-</v>
      </c>
      <c r="C11890" s="8" t="s">
        <v>9</v>
      </c>
    </row>
    <row r="11891" spans="1:3" x14ac:dyDescent="0.25">
      <c r="A11891" s="8" t="str">
        <f>"Proceedings - 19th International Conference on Automated Software Engineering, ASE 2004"</f>
        <v>Proceedings - 19th International Conference on Automated Software Engineering, ASE 2004</v>
      </c>
      <c r="B11891" s="8" t="str">
        <f>"9780769521312"</f>
        <v>9780769521312</v>
      </c>
      <c r="C11891" s="8" t="s">
        <v>9</v>
      </c>
    </row>
    <row r="11892" spans="1:3" x14ac:dyDescent="0.25">
      <c r="A11892" s="8" t="str">
        <f>"Proceedings - 19th International Conference on Control Systems and Computer Science, CSCS 2013"</f>
        <v>Proceedings - 19th International Conference on Control Systems and Computer Science, CSCS 2013</v>
      </c>
      <c r="B11892" s="8" t="str">
        <f>"-"</f>
        <v>-</v>
      </c>
      <c r="C11892" s="8" t="s">
        <v>9</v>
      </c>
    </row>
    <row r="11893" spans="1:3" x14ac:dyDescent="0.25">
      <c r="A11893" s="8" t="str">
        <f>"Proceedings - 19th International Euromicro Conference on Parallel, Distributed, and Network-Based Processing, PDP 2011"</f>
        <v>Proceedings - 19th International Euromicro Conference on Parallel, Distributed, and Network-Based Processing, PDP 2011</v>
      </c>
      <c r="B11893" s="8" t="str">
        <f>"9780769543284"</f>
        <v>9780769543284</v>
      </c>
      <c r="C11893" s="8" t="s">
        <v>9</v>
      </c>
    </row>
    <row r="11894" spans="1:3" x14ac:dyDescent="0.25">
      <c r="A11894" s="8" t="str">
        <f>"Proceedings - 19th ISSAT International Conference on Reliability and Quality in Design, RQD 2013"</f>
        <v>Proceedings - 19th ISSAT International Conference on Reliability and Quality in Design, RQD 2013</v>
      </c>
      <c r="B11894" s="8" t="str">
        <f>"9780976348696"</f>
        <v>9780976348696</v>
      </c>
      <c r="C11894" s="8" t="s">
        <v>1339</v>
      </c>
    </row>
    <row r="11895" spans="1:3" x14ac:dyDescent="0.25">
      <c r="A11895" s="8" t="str">
        <f>"Proceedings - 1st ACIS International Symposium on Software and Network Engineering, SSNE 2011"</f>
        <v>Proceedings - 1st ACIS International Symposium on Software and Network Engineering, SSNE 2011</v>
      </c>
      <c r="B11895" s="8" t="str">
        <f>"9780769546315"</f>
        <v>9780769546315</v>
      </c>
      <c r="C11895" s="8" t="s">
        <v>9</v>
      </c>
    </row>
    <row r="11896" spans="1:3" x14ac:dyDescent="0.25">
      <c r="A11896" s="8" t="str">
        <f>"Proceedings - 1st ACIS/JNU International Conference on Computers, Networks, Systems, and Industrial Engineering, CNSI 2011"</f>
        <v>Proceedings - 1st ACIS/JNU International Conference on Computers, Networks, Systems, and Industrial Engineering, CNSI 2011</v>
      </c>
      <c r="B11896" s="8" t="str">
        <f>"9780769544175"</f>
        <v>9780769544175</v>
      </c>
      <c r="C11896" s="8" t="s">
        <v>9</v>
      </c>
    </row>
    <row r="11897" spans="1:3" x14ac:dyDescent="0.25">
      <c r="A11897" s="8" t="str">
        <f>"Proceedings - 1st ACM and IEEE International Conference on Formal Methods and Models for Co-Design, MEMOCODE 2003"</f>
        <v>Proceedings - 1st ACM and IEEE International Conference on Formal Methods and Models for Co-Design, MEMOCODE 2003</v>
      </c>
      <c r="B11897" s="8" t="str">
        <f>"9780769519234"</f>
        <v>9780769519234</v>
      </c>
      <c r="C11897" s="8" t="s">
        <v>105</v>
      </c>
    </row>
    <row r="11898" spans="1:3" x14ac:dyDescent="0.25">
      <c r="A11898" s="8" t="str">
        <f>"Proceedings - 1st Austin Workshop on Engineering Management in Technology-Based Organizations, EMTBO 2000"</f>
        <v>Proceedings - 1st Austin Workshop on Engineering Management in Technology-Based Organizations, EMTBO 2000</v>
      </c>
      <c r="B11898" s="8" t="str">
        <f>"9780769509723"</f>
        <v>9780769509723</v>
      </c>
      <c r="C11898" s="8" t="s">
        <v>105</v>
      </c>
    </row>
    <row r="11899" spans="1:3" x14ac:dyDescent="0.25">
      <c r="A11899" s="8" t="str">
        <f>"Proceedings - 1st Australasian User Interface Conference, AUIC 2000"</f>
        <v>Proceedings - 1st Australasian User Interface Conference, AUIC 2000</v>
      </c>
      <c r="B11899" s="8" t="str">
        <f>"9780769505152"</f>
        <v>9780769505152</v>
      </c>
      <c r="C11899" s="8" t="s">
        <v>105</v>
      </c>
    </row>
    <row r="11900" spans="1:3" x14ac:dyDescent="0.25">
      <c r="A11900" s="8" t="str">
        <f>"Proceedings - 1st Canadian Conference on Computer and Robot Vision"</f>
        <v>Proceedings - 1st Canadian Conference on Computer and Robot Vision</v>
      </c>
      <c r="B11900" s="8" t="str">
        <f>"9780769521275"</f>
        <v>9780769521275</v>
      </c>
      <c r="C11900" s="8" t="s">
        <v>9</v>
      </c>
    </row>
    <row r="11901" spans="1:3" x14ac:dyDescent="0.25">
      <c r="A11901" s="8" t="str">
        <f>"Proceedings - 1st Conference on Creating, Connecting and Collaborating Through Computing, C5 2003"</f>
        <v>Proceedings - 1st Conference on Creating, Connecting and Collaborating Through Computing, C5 2003</v>
      </c>
      <c r="B11901" s="8" t="str">
        <f>"9780769519753"</f>
        <v>9780769519753</v>
      </c>
      <c r="C11901" s="8" t="s">
        <v>105</v>
      </c>
    </row>
    <row r="11902" spans="1:3" x14ac:dyDescent="0.25">
      <c r="A11902" s="8" t="str">
        <f>"Proceedings - 1st IEEE International Conference on Cognitive Informatics, ICCI 2002"</f>
        <v>Proceedings - 1st IEEE International Conference on Cognitive Informatics, ICCI 2002</v>
      </c>
      <c r="B11902" s="8" t="str">
        <f>"9780769517247"</f>
        <v>9780769517247</v>
      </c>
      <c r="C11902" s="8" t="s">
        <v>105</v>
      </c>
    </row>
    <row r="11903" spans="1:3" x14ac:dyDescent="0.25">
      <c r="A11903" s="8" t="str">
        <f>"Proceedings - 1st IEEE International Conference on Internet Operating Systems and New Applications, ICIOS 2012"</f>
        <v>Proceedings - 1st IEEE International Conference on Internet Operating Systems and New Applications, ICIOS 2012</v>
      </c>
      <c r="B11903" s="8" t="str">
        <f>"9780769549361"</f>
        <v>9780769549361</v>
      </c>
      <c r="C11903" s="8" t="s">
        <v>9</v>
      </c>
    </row>
    <row r="11904" spans="1:3" x14ac:dyDescent="0.25">
      <c r="A11904" s="8" t="str">
        <f>"Proceedings - 1st IEEE International Workshop on Electronic Design, Test and Applications, DELTA 2002"</f>
        <v>Proceedings - 1st IEEE International Workshop on Electronic Design, Test and Applications, DELTA 2002</v>
      </c>
      <c r="B11904" s="8" t="str">
        <f>"9780769514536"</f>
        <v>9780769514536</v>
      </c>
      <c r="C11904" s="8" t="s">
        <v>105</v>
      </c>
    </row>
    <row r="11905" spans="1:3" x14ac:dyDescent="0.25">
      <c r="A11905" s="8" t="str">
        <f>"Proceedings - 1st IEEE International Workshop on Higher-Level Knowledge in 3D Modeling and Motion Analysis, HLK 2003"</f>
        <v>Proceedings - 1st IEEE International Workshop on Higher-Level Knowledge in 3D Modeling and Motion Analysis, HLK 2003</v>
      </c>
      <c r="B11905" s="8" t="str">
        <f>"9780769520490"</f>
        <v>9780769520490</v>
      </c>
      <c r="C11905" s="8" t="s">
        <v>105</v>
      </c>
    </row>
    <row r="11906" spans="1:3" x14ac:dyDescent="0.25">
      <c r="A11906" s="8" t="str">
        <f>"Proceedings - 1st IEEE International Workshop on Information Assurance, IWIA 2003"</f>
        <v>Proceedings - 1st IEEE International Workshop on Information Assurance, IWIA 2003</v>
      </c>
      <c r="B11906" s="8" t="str">
        <f>"9780769518862"</f>
        <v>9780769518862</v>
      </c>
      <c r="C11906" s="8" t="s">
        <v>105</v>
      </c>
    </row>
    <row r="11907" spans="1:3" x14ac:dyDescent="0.25">
      <c r="A11907" s="8" t="str">
        <f>"Proceedings - 1st IEEE International Workshop on Semantic Computing and Applications, IWSCA 2008"</f>
        <v>Proceedings - 1st IEEE International Workshop on Semantic Computing and Applications, IWSCA 2008</v>
      </c>
      <c r="B11907" s="8" t="str">
        <f>"9780769533179"</f>
        <v>9780769533179</v>
      </c>
      <c r="C11907" s="8" t="s">
        <v>9</v>
      </c>
    </row>
    <row r="11908" spans="1:3" x14ac:dyDescent="0.25">
      <c r="A11908" s="8" t="str">
        <f>"Proceedings - 1st IEEE International Workshop on Semantic Computing and Systems, WSCS 2008"</f>
        <v>Proceedings - 1st IEEE International Workshop on Semantic Computing and Systems, WSCS 2008</v>
      </c>
      <c r="B11908" s="8" t="str">
        <f>"9780769533162"</f>
        <v>9780769533162</v>
      </c>
      <c r="C11908" s="8" t="s">
        <v>9</v>
      </c>
    </row>
    <row r="11909" spans="1:3" x14ac:dyDescent="0.25">
      <c r="A11909" s="8" t="str">
        <f>"Proceedings - 1st IEEE International Workshop on Source Code Analysis and Manipulation"</f>
        <v>Proceedings - 1st IEEE International Workshop on Source Code Analysis and Manipulation</v>
      </c>
      <c r="B11909" s="8" t="str">
        <f>"9780769513874"</f>
        <v>9780769513874</v>
      </c>
      <c r="C11909" s="8" t="s">
        <v>105</v>
      </c>
    </row>
    <row r="11910" spans="1:3" x14ac:dyDescent="0.25">
      <c r="A11910" s="8" t="str">
        <f>"Proceedings - 1st IEEE/ACM International Symposium on Cluster Computing and the Grid, CCGrid 2001"</f>
        <v>Proceedings - 1st IEEE/ACM International Symposium on Cluster Computing and the Grid, CCGrid 2001</v>
      </c>
      <c r="B11910" s="8" t="str">
        <f>"9780769510101"</f>
        <v>9780769510101</v>
      </c>
      <c r="C11910" s="8" t="s">
        <v>9</v>
      </c>
    </row>
    <row r="11911" spans="1:3" x14ac:dyDescent="0.25">
      <c r="A11911" s="8" t="str">
        <f>"Proceedings - 1st IMEKO TC-19 International Symposium on Measurement and Instrumentation for Environmental Monitoring"</f>
        <v>Proceedings - 1st IMEKO TC-19 International Symposium on Measurement and Instrumentation for Environmental Monitoring</v>
      </c>
      <c r="B11911" s="8" t="str">
        <f>"9789736672637"</f>
        <v>9789736672637</v>
      </c>
      <c r="C11911" s="8" t="s">
        <v>2061</v>
      </c>
    </row>
    <row r="11912" spans="1:3" x14ac:dyDescent="0.25">
      <c r="A11912" s="8" t="str">
        <f>"Proceedings - 1st International Conference on Artificial Intelligence, Modelling and Simulation, AIMS 2013"</f>
        <v>Proceedings - 1st International Conference on Artificial Intelligence, Modelling and Simulation, AIMS 2013</v>
      </c>
      <c r="B11912" s="8" t="str">
        <f>"9781479932511"</f>
        <v>9781479932511</v>
      </c>
      <c r="C11912" s="8" t="s">
        <v>105</v>
      </c>
    </row>
    <row r="11913" spans="1:3" x14ac:dyDescent="0.25">
      <c r="A11913" s="8" t="str">
        <f>"Proceedings - 1st International Conference on Computing, Communication, Control and Automation, ICCUBEA 2015"</f>
        <v>Proceedings - 1st International Conference on Computing, Communication, Control and Automation, ICCUBEA 2015</v>
      </c>
      <c r="B11913" s="8" t="str">
        <f>"9781479968923"</f>
        <v>9781479968923</v>
      </c>
      <c r="C11913" s="8" t="s">
        <v>105</v>
      </c>
    </row>
    <row r="11914" spans="1:3" x14ac:dyDescent="0.25">
      <c r="A11914" s="8" t="str">
        <f>"Proceedings - 1st International Conference on Data Compression, Communication, and Processing, CCP 2011"</f>
        <v>Proceedings - 1st International Conference on Data Compression, Communication, and Processing, CCP 2011</v>
      </c>
      <c r="B11914" s="8" t="str">
        <f>"9780769545288"</f>
        <v>9780769545288</v>
      </c>
      <c r="C11914" s="8" t="s">
        <v>9</v>
      </c>
    </row>
    <row r="11915" spans="1:3" x14ac:dyDescent="0.25">
      <c r="A11915" s="8" t="str">
        <f>"Proceedings - 1st International Conference on Emerging Trends in Engineering and Technology, ICETET 2008"</f>
        <v>Proceedings - 1st International Conference on Emerging Trends in Engineering and Technology, ICETET 2008</v>
      </c>
      <c r="B11915" s="8" t="str">
        <f>"9780769532677"</f>
        <v>9780769532677</v>
      </c>
      <c r="C11915" s="8" t="s">
        <v>9</v>
      </c>
    </row>
    <row r="11916" spans="1:3" x14ac:dyDescent="0.25">
      <c r="A11916" s="8" t="str">
        <f>"Proceedings - 1st International Conference on Informatics and Computational Intelligence, ICI 2011"</f>
        <v>Proceedings - 1st International Conference on Informatics and Computational Intelligence, ICI 2011</v>
      </c>
      <c r="B11916" s="8" t="str">
        <f>"9780769546186"</f>
        <v>9780769546186</v>
      </c>
      <c r="C11916" s="8" t="s">
        <v>9</v>
      </c>
    </row>
    <row r="11917" spans="1:3" x14ac:dyDescent="0.25">
      <c r="A11917" s="8" t="str">
        <f>"Proceedings - 1st International Conference on Integrated Intelligent Computing, ICIIC 2010"</f>
        <v>Proceedings - 1st International Conference on Integrated Intelligent Computing, ICIIC 2010</v>
      </c>
      <c r="B11917" s="8" t="str">
        <f>"9780769541525"</f>
        <v>9780769541525</v>
      </c>
      <c r="C11917" s="8" t="s">
        <v>9</v>
      </c>
    </row>
    <row r="11918" spans="1:3" x14ac:dyDescent="0.25">
      <c r="A11918" s="8" t="str">
        <f>"Proceedings - 1st International Conference on Peer-to-Peer Computing, P2P 2001"</f>
        <v>Proceedings - 1st International Conference on Peer-to-Peer Computing, P2P 2001</v>
      </c>
      <c r="B11918" s="8" t="str">
        <f>"9780769515038"</f>
        <v>9780769515038</v>
      </c>
      <c r="C11918" s="8" t="s">
        <v>105</v>
      </c>
    </row>
    <row r="11919" spans="1:3" x14ac:dyDescent="0.25">
      <c r="A11919" s="8" t="str">
        <f>"Proceedings - 1st International Conference on Robot, Vision and Signal Processing, RVSP 2011"</f>
        <v>Proceedings - 1st International Conference on Robot, Vision and Signal Processing, RVSP 2011</v>
      </c>
      <c r="B11919" s="8" t="str">
        <f>"9780769545813"</f>
        <v>9780769545813</v>
      </c>
      <c r="C11919" s="8" t="s">
        <v>9</v>
      </c>
    </row>
    <row r="11920" spans="1:3" x14ac:dyDescent="0.25">
      <c r="A11920" s="8" t="str">
        <f>"Proceedings - 1st International Conference on Sensor Device Technologies and Applications, SENSORDEVICES 2010"</f>
        <v>Proceedings - 1st International Conference on Sensor Device Technologies and Applications, SENSORDEVICES 2010</v>
      </c>
      <c r="B11920" s="8" t="str">
        <f>"9780769540948"</f>
        <v>9780769540948</v>
      </c>
      <c r="C11920" s="8" t="s">
        <v>9</v>
      </c>
    </row>
    <row r="11921" spans="1:3" x14ac:dyDescent="0.25">
      <c r="A11921" s="8" t="str">
        <f>"Proceedings - 1st International Conference on Software Engineering and Formal Methods, SEFM 2003"</f>
        <v>Proceedings - 1st International Conference on Software Engineering and Formal Methods, SEFM 2003</v>
      </c>
      <c r="B11921" s="8" t="str">
        <f>"9780769519494"</f>
        <v>9780769519494</v>
      </c>
      <c r="C11921" s="8" t="s">
        <v>105</v>
      </c>
    </row>
    <row r="11922" spans="1:3" x14ac:dyDescent="0.25">
      <c r="A11922" s="8" t="str">
        <f>"Proceedings - 1st International Conference on Trustworthy Systems and Their Applications, TSA 2014"</f>
        <v>Proceedings - 1st International Conference on Trustworthy Systems and Their Applications, TSA 2014</v>
      </c>
      <c r="B11922" s="8" t="str">
        <f>"9781479965663"</f>
        <v>9781479965663</v>
      </c>
      <c r="C11922" s="8" t="s">
        <v>105</v>
      </c>
    </row>
    <row r="11923" spans="1:3" x14ac:dyDescent="0.25">
      <c r="A11923" s="8" t="str">
        <f>"Proceedings - 1st International Conference on WEB Delivering of Music, WEDELMUSIC 2001"</f>
        <v>Proceedings - 1st International Conference on WEB Delivering of Music, WEDELMUSIC 2001</v>
      </c>
      <c r="B11923" s="8" t="str">
        <f>"9780769512846"</f>
        <v>9780769512846</v>
      </c>
      <c r="C11923" s="8" t="s">
        <v>105</v>
      </c>
    </row>
    <row r="11924" spans="1:3" x14ac:dyDescent="0.25">
      <c r="A11924" s="8" t="str">
        <f>"Proceedings - 1st International Congress on Image and Signal Processing, CISP 2008"</f>
        <v>Proceedings - 1st International Congress on Image and Signal Processing, CISP 2008</v>
      </c>
      <c r="B11924" s="8" t="str">
        <f>"9780769531199"</f>
        <v>9780769531199</v>
      </c>
      <c r="C11924" s="8" t="s">
        <v>9</v>
      </c>
    </row>
    <row r="11925" spans="1:3" x14ac:dyDescent="0.25">
      <c r="A11925" s="8" t="str">
        <f>"Proceedings - 1st International IEEE Security in Storage Workshop, SISW 2002"</f>
        <v>Proceedings - 1st International IEEE Security in Storage Workshop, SISW 2002</v>
      </c>
      <c r="B11925" s="8" t="str">
        <f>"9780769518886"</f>
        <v>9780769518886</v>
      </c>
      <c r="C11925" s="8" t="s">
        <v>105</v>
      </c>
    </row>
    <row r="11926" spans="1:3" x14ac:dyDescent="0.25">
      <c r="A11926" s="8" t="str">
        <f>"Proceedings - 1st International Symposium on 3D Data Processing Visualization and Transmission, 3DPVT 2002"</f>
        <v>Proceedings - 1st International Symposium on 3D Data Processing Visualization and Transmission, 3DPVT 2002</v>
      </c>
      <c r="B11926" s="8" t="str">
        <f>"9780769515212"</f>
        <v>9780769515212</v>
      </c>
      <c r="C11926" s="8" t="s">
        <v>105</v>
      </c>
    </row>
    <row r="11927" spans="1:3" x14ac:dyDescent="0.25">
      <c r="A11927" s="8" t="str">
        <f>"Proceedings - 1st International Symposium on Computer Network and Multimedia Technology, CNMT 2009"</f>
        <v>Proceedings - 1st International Symposium on Computer Network and Multimedia Technology, CNMT 2009</v>
      </c>
      <c r="B11927" s="8" t="str">
        <f>"9781424452736"</f>
        <v>9781424452736</v>
      </c>
      <c r="C11927" s="8" t="s">
        <v>9</v>
      </c>
    </row>
    <row r="11928" spans="1:3" x14ac:dyDescent="0.25">
      <c r="A11928" s="8" t="str">
        <f>"Proceedings - 1st International Symposium on Empirical Software Engineering and Measurement, ESEM 2007"</f>
        <v>Proceedings - 1st International Symposium on Empirical Software Engineering and Measurement, ESEM 2007</v>
      </c>
      <c r="B11928" s="8" t="str">
        <f>"9780769528861"</f>
        <v>9780769528861</v>
      </c>
      <c r="C11928" s="8" t="s">
        <v>9</v>
      </c>
    </row>
    <row r="11929" spans="1:3" x14ac:dyDescent="0.25">
      <c r="A11929" s="8" t="str">
        <f>"Proceedings - 1st International Symposium on Search Based Software Engineering, SSBSE 2009"</f>
        <v>Proceedings - 1st International Symposium on Search Based Software Engineering, SSBSE 2009</v>
      </c>
      <c r="B11929" s="8" t="str">
        <f>"9780769536750"</f>
        <v>9780769536750</v>
      </c>
      <c r="C11929" s="8" t="s">
        <v>9</v>
      </c>
    </row>
    <row r="11930" spans="1:3" x14ac:dyDescent="0.25">
      <c r="A11930" s="8" t="str">
        <f>"Proceedings - 1st International Workshop on Big Data Software Engineering, BIGDSE 2015"</f>
        <v>Proceedings - 1st International Workshop on Big Data Software Engineering, BIGDSE 2015</v>
      </c>
      <c r="B11930" s="8" t="str">
        <f>"9781479919345"</f>
        <v>9781479919345</v>
      </c>
      <c r="C11930" s="8" t="s">
        <v>105</v>
      </c>
    </row>
    <row r="11931" spans="1:3" x14ac:dyDescent="0.25">
      <c r="A11931" s="8" t="str">
        <f>"Proceedings - 1st International Workshop on Cyber-Physical Systems, Networks, and Applications, CPSNA 2011, Workshop Held During RTCSA 2011"</f>
        <v>Proceedings - 1st International Workshop on Cyber-Physical Systems, Networks, and Applications, CPSNA 2011, Workshop Held During RTCSA 2011</v>
      </c>
      <c r="B11931" s="8" t="str">
        <f>"9780769545028"</f>
        <v>9780769545028</v>
      </c>
      <c r="C11931" s="8" t="s">
        <v>9</v>
      </c>
    </row>
    <row r="11932" spans="1:3" x14ac:dyDescent="0.25">
      <c r="A11932" s="8" t="str">
        <f>"Proceedings - 1st International Workshop on Empirical Requirements Engineering, EmpiRE 2011"</f>
        <v>Proceedings - 1st International Workshop on Empirical Requirements Engineering, EmpiRE 2011</v>
      </c>
      <c r="B11932" s="8" t="str">
        <f>"9781457710766"</f>
        <v>9781457710766</v>
      </c>
      <c r="C11932" s="8" t="s">
        <v>9</v>
      </c>
    </row>
    <row r="11933" spans="1:3" x14ac:dyDescent="0.25">
      <c r="A11933" s="8" t="str">
        <f>"Proceedings - 1st International Workshop on High-Performance Reconfigurable Computing Technology and Applications, HPRCTA'07, Held in Conjunction with SC07"</f>
        <v>Proceedings - 1st International Workshop on High-Performance Reconfigurable Computing Technology and Applications, HPRCTA'07, Held in Conjunction with SC07</v>
      </c>
      <c r="B11933" s="8" t="str">
        <f>"9781595938947"</f>
        <v>9781595938947</v>
      </c>
      <c r="C11933" s="8" t="s">
        <v>21</v>
      </c>
    </row>
    <row r="11934" spans="1:3" x14ac:dyDescent="0.25">
      <c r="A11934" s="8" t="str">
        <f>"Proceedings - 1st International Workshop on Knowledge Discovery and Data Mining, WKDD"</f>
        <v>Proceedings - 1st International Workshop on Knowledge Discovery and Data Mining, WKDD</v>
      </c>
      <c r="B11934" s="8" t="str">
        <f>"9780769530901"</f>
        <v>9780769530901</v>
      </c>
      <c r="C11934" s="8" t="s">
        <v>9</v>
      </c>
    </row>
    <row r="11935" spans="1:3" x14ac:dyDescent="0.25">
      <c r="A11935" s="8" t="str">
        <f>"Proceedings - 1st International Workshop on Nonlinear Systems and Advanced Signal Processing, IWNSASP-2010"</f>
        <v>Proceedings - 1st International Workshop on Nonlinear Systems and Advanced Signal Processing, IWNSASP-2010</v>
      </c>
      <c r="B11935" s="8" t="str">
        <f>"-"</f>
        <v>-</v>
      </c>
      <c r="C11935" s="8" t="s">
        <v>2062</v>
      </c>
    </row>
    <row r="11936" spans="1:3" x14ac:dyDescent="0.25">
      <c r="A11936" s="8" t="str">
        <f>"Proceedings - 1st International Workshop on Ontologies in Interactive Systems, ONTORACT 2008"</f>
        <v>Proceedings - 1st International Workshop on Ontologies in Interactive Systems, ONTORACT 2008</v>
      </c>
      <c r="B11936" s="8" t="str">
        <f>"9780769535425"</f>
        <v>9780769535425</v>
      </c>
      <c r="C11936" s="8" t="s">
        <v>9</v>
      </c>
    </row>
    <row r="11937" spans="1:3" x14ac:dyDescent="0.25">
      <c r="A11937" s="8" t="str">
        <f>"Proceedings - 1st International Workshop on Software Technologies for Future Dependable Distributed Systems, STFSSD 2009"</f>
        <v>Proceedings - 1st International Workshop on Software Technologies for Future Dependable Distributed Systems, STFSSD 2009</v>
      </c>
      <c r="B11937" s="8" t="str">
        <f>"9780769535722"</f>
        <v>9780769535722</v>
      </c>
      <c r="C11937" s="8" t="s">
        <v>9</v>
      </c>
    </row>
    <row r="11938" spans="1:3" x14ac:dyDescent="0.25">
      <c r="A11938" s="8" t="str">
        <f>"Proceedings - 1st International Workshop on Testability Assessment, IWoTA 2004"</f>
        <v>Proceedings - 1st International Workshop on Testability Assessment, IWoTA 2004</v>
      </c>
      <c r="B11938" s="8" t="str">
        <f>"9780780388512"</f>
        <v>9780780388512</v>
      </c>
      <c r="C11938" s="8" t="s">
        <v>9</v>
      </c>
    </row>
    <row r="11939" spans="1:3" x14ac:dyDescent="0.25">
      <c r="A11939" s="8" t="str">
        <f>"Proceedings - 1st International Workshop on Visualizing Software for Understanding and Analysis, VISSOFT 2002"</f>
        <v>Proceedings - 1st International Workshop on Visualizing Software for Understanding and Analysis, VISSOFT 2002</v>
      </c>
      <c r="B11939" s="8" t="str">
        <f>"9780769516622"</f>
        <v>9780769516622</v>
      </c>
      <c r="C11939" s="8" t="s">
        <v>105</v>
      </c>
    </row>
    <row r="11940" spans="1:3" x14ac:dyDescent="0.25">
      <c r="A11940" s="8" t="str">
        <f>"Proceedings - 1st Joint Eurohaptics Conference and Symposium on Haptic Interfaces for Virtual Environment and Teleoperator Systems; World Haptics Conference, WHC 2005"</f>
        <v>Proceedings - 1st Joint Eurohaptics Conference and Symposium on Haptic Interfaces for Virtual Environment and Teleoperator Systems; World Haptics Conference, WHC 2005</v>
      </c>
      <c r="B11940" s="8" t="str">
        <f>"9780769523101"</f>
        <v>9780769523101</v>
      </c>
      <c r="C11940" s="8" t="s">
        <v>105</v>
      </c>
    </row>
    <row r="11941" spans="1:3" x14ac:dyDescent="0.25">
      <c r="A11941" s="8" t="str">
        <f>"Proceedings - 1st Symposium on Applied Perception in Graphics and Visualization, APGV 2004"</f>
        <v>Proceedings - 1st Symposium on Applied Perception in Graphics and Visualization, APGV 2004</v>
      </c>
      <c r="B11941" s="8" t="str">
        <f>"9781581139143"</f>
        <v>9781581139143</v>
      </c>
      <c r="C11941" s="8" t="s">
        <v>21</v>
      </c>
    </row>
    <row r="11942" spans="1:3" x14ac:dyDescent="0.25">
      <c r="A11942" s="8" t="str">
        <f>"Proceedings - 1st SysSec Workshop, SysSec 2011"</f>
        <v>Proceedings - 1st SysSec Workshop, SysSec 2011</v>
      </c>
      <c r="B11942" s="8" t="str">
        <f>"9780769545301"</f>
        <v>9780769545301</v>
      </c>
      <c r="C11942" s="8" t="s">
        <v>9</v>
      </c>
    </row>
    <row r="11943" spans="1:3" x14ac:dyDescent="0.25">
      <c r="A11943" s="8" t="str">
        <f>"Proceedings - 1st Workshop on Interactions of NVM/FLASH with Operating Systems and Workloads, INFLOW 2013; Co-located with: SOSP 2013 - 24th ACM Symposium on Operating Systems Principles"</f>
        <v>Proceedings - 1st Workshop on Interactions of NVM/FLASH with Operating Systems and Workloads, INFLOW 2013; Co-located with: SOSP 2013 - 24th ACM Symposium on Operating Systems Principles</v>
      </c>
      <c r="B11943" s="8" t="str">
        <f>"9781450324625"</f>
        <v>9781450324625</v>
      </c>
      <c r="C11943" s="8" t="s">
        <v>21</v>
      </c>
    </row>
    <row r="11944" spans="1:3" x14ac:dyDescent="0.25">
      <c r="A11944" s="8" t="str">
        <f>"Proceedings - 2000 IEEE International Workshop on Defect Based Testing"</f>
        <v>Proceedings - 2000 IEEE International Workshop on Defect Based Testing</v>
      </c>
      <c r="B11944" s="8" t="str">
        <f>"9780769506371"</f>
        <v>9780769506371</v>
      </c>
      <c r="C11944" s="8" t="s">
        <v>105</v>
      </c>
    </row>
    <row r="11945" spans="1:3" x14ac:dyDescent="0.25">
      <c r="A11945" s="8" t="str">
        <f>"Proceedings - 2000 International Workshop on Autonomous Decentralized System"</f>
        <v>Proceedings - 2000 International Workshop on Autonomous Decentralized System</v>
      </c>
      <c r="B11945" s="8" t="str">
        <f>"9780780365759"</f>
        <v>9780780365759</v>
      </c>
      <c r="C11945" s="8" t="s">
        <v>105</v>
      </c>
    </row>
    <row r="11946" spans="1:3" x14ac:dyDescent="0.25">
      <c r="A11946" s="8" t="str">
        <f>"Proceedings - 2000 Kyoto International Conference on Digital Libraries: Research and Practice, KyotoDL 2000"</f>
        <v>Proceedings - 2000 Kyoto International Conference on Digital Libraries: Research and Practice, KyotoDL 2000</v>
      </c>
      <c r="B11946" s="8" t="str">
        <f>"9780769510224"</f>
        <v>9780769510224</v>
      </c>
      <c r="C11946" s="8" t="s">
        <v>105</v>
      </c>
    </row>
    <row r="11947" spans="1:3" x14ac:dyDescent="0.25">
      <c r="A11947" s="8" t="str">
        <f>"Proceedings - 2001 Conference on Advanced Research in VLSI, ARVLSI 2001"</f>
        <v>Proceedings - 2001 Conference on Advanced Research in VLSI, ARVLSI 2001</v>
      </c>
      <c r="B11947" s="8" t="str">
        <f>"9780769510385"</f>
        <v>9780769510385</v>
      </c>
      <c r="C11947" s="8" t="s">
        <v>105</v>
      </c>
    </row>
    <row r="11948" spans="1:3" x14ac:dyDescent="0.25">
      <c r="A11948" s="8" t="str">
        <f>"Proceedings - 2001 IEEE Information Theory Workshop, ITW 2001"</f>
        <v>Proceedings - 2001 IEEE Information Theory Workshop, ITW 2001</v>
      </c>
      <c r="B11948" s="8" t="str">
        <f>"9780780371194"</f>
        <v>9780780371194</v>
      </c>
      <c r="C11948" s="8" t="s">
        <v>105</v>
      </c>
    </row>
    <row r="11949" spans="1:3" x14ac:dyDescent="0.25">
      <c r="A11949" s="8" t="str">
        <f>"Proceedings - 2001 IEEE Workshop on Multi-Object Tracking, MOT 2001"</f>
        <v>Proceedings - 2001 IEEE Workshop on Multi-Object Tracking, MOT 2001</v>
      </c>
      <c r="B11949" s="8" t="str">
        <f>"9780769511719"</f>
        <v>9780769511719</v>
      </c>
      <c r="C11949" s="8" t="s">
        <v>105</v>
      </c>
    </row>
    <row r="11950" spans="1:3" x14ac:dyDescent="0.25">
      <c r="A11950" s="8" t="str">
        <f>"Proceedings - 2001 International Conference on Third Generation Wireless and Beyond"</f>
        <v>Proceedings - 2001 International Conference on Third Generation Wireless and Beyond</v>
      </c>
      <c r="B11950" s="8" t="str">
        <f>"-"</f>
        <v>-</v>
      </c>
      <c r="C11950" s="8" t="s">
        <v>953</v>
      </c>
    </row>
    <row r="11951" spans="1:3" x14ac:dyDescent="0.25">
      <c r="A11951" s="8" t="str">
        <f>"Proceedings - 2001 Symposium on Applications and the Internet Workshops, SAINT 2001"</f>
        <v>Proceedings - 2001 Symposium on Applications and the Internet Workshops, SAINT 2001</v>
      </c>
      <c r="B11951" s="8" t="str">
        <f>"9780769509457"</f>
        <v>9780769509457</v>
      </c>
      <c r="C11951" s="8" t="s">
        <v>105</v>
      </c>
    </row>
    <row r="11952" spans="1:3" x14ac:dyDescent="0.25">
      <c r="A11952" s="8" t="str">
        <f>"Proceedings - 2001 Symposium on Applications and the Internet, SAINT 2001"</f>
        <v>Proceedings - 2001 Symposium on Applications and the Internet, SAINT 2001</v>
      </c>
      <c r="B11952" s="8" t="str">
        <f>"9780769509426"</f>
        <v>9780769509426</v>
      </c>
      <c r="C11952" s="8" t="s">
        <v>105</v>
      </c>
    </row>
    <row r="11953" spans="1:3" x14ac:dyDescent="0.25">
      <c r="A11953" s="8" t="str">
        <f>"Proceedings - 2002 IEEE 4th International Workshop on Networked Appliances"</f>
        <v>Proceedings - 2002 IEEE 4th International Workshop on Networked Appliances</v>
      </c>
      <c r="B11953" s="8" t="str">
        <f>"9780780372597"</f>
        <v>9780780372597</v>
      </c>
      <c r="C11953" s="8" t="s">
        <v>105</v>
      </c>
    </row>
    <row r="11954" spans="1:3" x14ac:dyDescent="0.25">
      <c r="A11954" s="8" t="str">
        <f>"Proceedings - 2002 IEEE International Conference on Artificial Intelligence Systems, ICAIS 2002"</f>
        <v>Proceedings - 2002 IEEE International Conference on Artificial Intelligence Systems, ICAIS 2002</v>
      </c>
      <c r="B11954" s="8" t="str">
        <f>"9780769517339"</f>
        <v>9780769517339</v>
      </c>
      <c r="C11954" s="8" t="s">
        <v>105</v>
      </c>
    </row>
    <row r="11955" spans="1:3" x14ac:dyDescent="0.25">
      <c r="A11955" s="8" t="str">
        <f>"Proceedings - 2002 IEEE International Conference on Multimedia and Expo, ICME 2002"</f>
        <v>Proceedings - 2002 IEEE International Conference on Multimedia and Expo, ICME 2002</v>
      </c>
      <c r="B11955" s="8" t="str">
        <f>"-"</f>
        <v>-</v>
      </c>
      <c r="C11955" s="8" t="s">
        <v>105</v>
      </c>
    </row>
    <row r="11956" spans="1:3" x14ac:dyDescent="0.25">
      <c r="A11956" s="8" t="str">
        <f>"Proceedings - 2002 International Conference on Third Generation Wireless and Beyond (Key Function of World Wireless Congress)"</f>
        <v>Proceedings - 2002 International Conference on Third Generation Wireless and Beyond (Key Function of World Wireless Congress)</v>
      </c>
      <c r="B11956" s="8" t="str">
        <f>"-"</f>
        <v>-</v>
      </c>
      <c r="C11956" s="8" t="s">
        <v>953</v>
      </c>
    </row>
    <row r="11957" spans="1:3" x14ac:dyDescent="0.25">
      <c r="A11957" s="8" t="str">
        <f>"Proceedings - 2002 Symposium on Applications and the Internet Workshops, SAINT 2002"</f>
        <v>Proceedings - 2002 Symposium on Applications and the Internet Workshops, SAINT 2002</v>
      </c>
      <c r="B11957" s="8" t="str">
        <f>"9780769514505"</f>
        <v>9780769514505</v>
      </c>
      <c r="C11957" s="8" t="s">
        <v>105</v>
      </c>
    </row>
    <row r="11958" spans="1:3" x14ac:dyDescent="0.25">
      <c r="A11958" s="8" t="str">
        <f>"Proceedings - 2002 Symposium on Applications and the Internet, SAINT 2002"</f>
        <v>Proceedings - 2002 Symposium on Applications and the Internet, SAINT 2002</v>
      </c>
      <c r="B11958" s="8" t="str">
        <f>"9780769514475"</f>
        <v>9780769514475</v>
      </c>
      <c r="C11958" s="8" t="s">
        <v>105</v>
      </c>
    </row>
    <row r="11959" spans="1:3" x14ac:dyDescent="0.25">
      <c r="A11959" s="8" t="str">
        <f>"Proceedings - 2003 IEEE Information Theory Workshop, ITW 2003"</f>
        <v>Proceedings - 2003 IEEE Information Theory Workshop, ITW 2003</v>
      </c>
      <c r="B11959" s="8" t="str">
        <f>"9780780377998"</f>
        <v>9780780377998</v>
      </c>
      <c r="C11959" s="8" t="s">
        <v>105</v>
      </c>
    </row>
    <row r="11960" spans="1:3" x14ac:dyDescent="0.25">
      <c r="A11960" s="8" t="str">
        <f>"Proceedings - 2003 IEEE International Conference on Field-Programmable Technology, FPT 2003"</f>
        <v>Proceedings - 2003 IEEE International Conference on Field-Programmable Technology, FPT 2003</v>
      </c>
      <c r="B11960" s="8" t="str">
        <f>"9780780383203"</f>
        <v>9780780383203</v>
      </c>
      <c r="C11960" s="8" t="s">
        <v>105</v>
      </c>
    </row>
    <row r="11961" spans="1:3" x14ac:dyDescent="0.25">
      <c r="A11961" s="8" t="str">
        <f>"Proceedings - 2003 IEEE International Conference on Microelectronic Systems Education: Educating Tomorrow's Microsystems Designers, MSE 2003"</f>
        <v>Proceedings - 2003 IEEE International Conference on Microelectronic Systems Education: Educating Tomorrow's Microsystems Designers, MSE 2003</v>
      </c>
      <c r="B11961" s="8" t="str">
        <f>"9780769519739"</f>
        <v>9780769519739</v>
      </c>
      <c r="C11961" s="8" t="s">
        <v>105</v>
      </c>
    </row>
    <row r="11962" spans="1:3" x14ac:dyDescent="0.25">
      <c r="A11962" s="8" t="str">
        <f>"Proceedings - 2003 IEEE International Conference on Robotics, Intelligent Systems and Signal Processing, RISSP 2003"</f>
        <v>Proceedings - 2003 IEEE International Conference on Robotics, Intelligent Systems and Signal Processing, RISSP 2003</v>
      </c>
      <c r="B11962" s="8" t="str">
        <f>"-"</f>
        <v>-</v>
      </c>
      <c r="C11962" s="8" t="s">
        <v>105</v>
      </c>
    </row>
    <row r="11963" spans="1:3" x14ac:dyDescent="0.25">
      <c r="A11963" s="8" t="str">
        <f>"Proceedings - 2003 IEEE Radio and Wireless Conference, RAWCON 2003"</f>
        <v>Proceedings - 2003 IEEE Radio and Wireless Conference, RAWCON 2003</v>
      </c>
      <c r="B11963" s="8" t="str">
        <f>"9780780378292"</f>
        <v>9780780378292</v>
      </c>
      <c r="C11963" s="8" t="s">
        <v>105</v>
      </c>
    </row>
    <row r="11964" spans="1:3" x14ac:dyDescent="0.25">
      <c r="A11964" s="8" t="str">
        <f>"Proceedings - 2003 IEEE Symposium on Human Centric Computing Languages and Environments, HCC 2003"</f>
        <v>Proceedings - 2003 IEEE Symposium on Human Centric Computing Languages and Environments, HCC 2003</v>
      </c>
      <c r="B11964" s="8" t="str">
        <f>"9780780382251"</f>
        <v>9780780382251</v>
      </c>
      <c r="C11964" s="8" t="s">
        <v>9</v>
      </c>
    </row>
    <row r="11965" spans="1:3" x14ac:dyDescent="0.25">
      <c r="A11965" s="8" t="str">
        <f>"Proceedings - 2003 International Conference on Cyberworlds, CW 2003"</f>
        <v>Proceedings - 2003 International Conference on Cyberworlds, CW 2003</v>
      </c>
      <c r="B11965" s="8" t="str">
        <f>"9780769519227"</f>
        <v>9780769519227</v>
      </c>
      <c r="C11965" s="8" t="s">
        <v>105</v>
      </c>
    </row>
    <row r="11966" spans="1:3" x14ac:dyDescent="0.25">
      <c r="A11966" s="8" t="str">
        <f>"Proceedings - 2003 International Conference on Geometric Modeling and Graphics, GMAG 2003"</f>
        <v>Proceedings - 2003 International Conference on Geometric Modeling and Graphics, GMAG 2003</v>
      </c>
      <c r="B11966" s="8" t="str">
        <f>"9780769519852"</f>
        <v>9780769519852</v>
      </c>
      <c r="C11966" s="8" t="s">
        <v>105</v>
      </c>
    </row>
    <row r="11967" spans="1:3" x14ac:dyDescent="0.25">
      <c r="A11967" s="8" t="str">
        <f>"Proceedings - 2003 International Symposium on Empirical Software Engineering, ISESE 2003"</f>
        <v>Proceedings - 2003 International Symposium on Empirical Software Engineering, ISESE 2003</v>
      </c>
      <c r="B11967" s="8" t="str">
        <f>"9780769520025"</f>
        <v>9780769520025</v>
      </c>
      <c r="C11967" s="8" t="s">
        <v>105</v>
      </c>
    </row>
    <row r="11968" spans="1:3" x14ac:dyDescent="0.25">
      <c r="A11968" s="8" t="str">
        <f>"Proceedings - 2003 Symposium on Applications and the Internet Workshops, SAINT 2003"</f>
        <v>Proceedings - 2003 Symposium on Applications and the Internet Workshops, SAINT 2003</v>
      </c>
      <c r="B11968" s="8" t="str">
        <f>"9780769518732"</f>
        <v>9780769518732</v>
      </c>
      <c r="C11968" s="8" t="s">
        <v>105</v>
      </c>
    </row>
    <row r="11969" spans="1:3" x14ac:dyDescent="0.25">
      <c r="A11969" s="8" t="str">
        <f>"Proceedings - 2003 Symposium on Applications and the Internet, SAINT 2003"</f>
        <v>Proceedings - 2003 Symposium on Applications and the Internet, SAINT 2003</v>
      </c>
      <c r="B11969" s="8" t="str">
        <f>"9780769518725"</f>
        <v>9780769518725</v>
      </c>
      <c r="C11969" s="8" t="s">
        <v>105</v>
      </c>
    </row>
    <row r="11970" spans="1:3" x14ac:dyDescent="0.25">
      <c r="A11970" s="8" t="str">
        <f>"Proceedings - 2004 1st International Workshop on Model, Design and Validation, SIVOES - MoDeVa 2004"</f>
        <v>Proceedings - 2004 1st International Workshop on Model, Design and Validation, SIVOES - MoDeVa 2004</v>
      </c>
      <c r="B11970" s="8" t="str">
        <f>"9780780388529"</f>
        <v>9780780388529</v>
      </c>
      <c r="C11970" s="8" t="s">
        <v>105</v>
      </c>
    </row>
    <row r="11971" spans="1:3" x14ac:dyDescent="0.25">
      <c r="A11971" s="8" t="str">
        <f>"Proceedings - 2004 Global Mobile Congress"</f>
        <v>Proceedings - 2004 Global Mobile Congress</v>
      </c>
      <c r="B11971" s="8" t="str">
        <f>"-"</f>
        <v>-</v>
      </c>
      <c r="C11971" s="8" t="s">
        <v>953</v>
      </c>
    </row>
    <row r="11972" spans="1:3" x14ac:dyDescent="0.25">
      <c r="A11972" s="8" t="str">
        <f>"Proceedings - 2004 IEEE Computational Systems Bioinformatics Conference, CSB 2004"</f>
        <v>Proceedings - 2004 IEEE Computational Systems Bioinformatics Conference, CSB 2004</v>
      </c>
      <c r="B11972" s="8" t="str">
        <f>"9780769521947"</f>
        <v>9780769521947</v>
      </c>
      <c r="C11972" s="8" t="s">
        <v>9</v>
      </c>
    </row>
    <row r="11973" spans="1:3" x14ac:dyDescent="0.25">
      <c r="A11973" s="8" t="str">
        <f>"Proceedings - 2004 IEEE International Conference on e-Technology, e-Commerce and e-Service, EEE 2004"</f>
        <v>Proceedings - 2004 IEEE International Conference on e-Technology, e-Commerce and e-Service, EEE 2004</v>
      </c>
      <c r="B11973" s="8" t="str">
        <f>"9780769520735"</f>
        <v>9780769520735</v>
      </c>
      <c r="C11973" s="8" t="s">
        <v>9</v>
      </c>
    </row>
    <row r="11974" spans="1:3" x14ac:dyDescent="0.25">
      <c r="A11974" s="8" t="str">
        <f>"Proceedings - 2004 IEEE International Conference on Field-Programmable Technology, FPT '04"</f>
        <v>Proceedings - 2004 IEEE International Conference on Field-Programmable Technology, FPT '04</v>
      </c>
      <c r="B11974" s="8" t="str">
        <f>"9780780386518"</f>
        <v>9780780386518</v>
      </c>
      <c r="C11974" s="8" t="s">
        <v>105</v>
      </c>
    </row>
    <row r="11975" spans="1:3" x14ac:dyDescent="0.25">
      <c r="A11975" s="8" t="str">
        <f>"Proceedings - 2004 IEEE International Conference on Mobile Data Management"</f>
        <v>Proceedings - 2004 IEEE International Conference on Mobile Data Management</v>
      </c>
      <c r="B11975" s="8" t="str">
        <f>"9780769520704"</f>
        <v>9780769520704</v>
      </c>
      <c r="C11975" s="8" t="s">
        <v>9</v>
      </c>
    </row>
    <row r="11976" spans="1:3" x14ac:dyDescent="0.25">
      <c r="A11976" s="8" t="str">
        <f>"Proceedings - 2004 IEEE International Conference on Robotics and Biomimetics, IEEE ROBIO 2004"</f>
        <v>Proceedings - 2004 IEEE International Conference on Robotics and Biomimetics, IEEE ROBIO 2004</v>
      </c>
      <c r="B11976" s="8" t="str">
        <f>"9780780386419"</f>
        <v>9780780386419</v>
      </c>
      <c r="C11976" s="8" t="s">
        <v>9</v>
      </c>
    </row>
    <row r="11977" spans="1:3" x14ac:dyDescent="0.25">
      <c r="A11977" s="8" t="str">
        <f>"Proceedings - 2004 IEEE International Conference on Services Computing, SCC 2004"</f>
        <v>Proceedings - 2004 IEEE International Conference on Services Computing, SCC 2004</v>
      </c>
      <c r="B11977" s="8" t="str">
        <f>"9780769522258"</f>
        <v>9780769522258</v>
      </c>
      <c r="C11977" s="8" t="s">
        <v>9</v>
      </c>
    </row>
    <row r="11978" spans="1:3" x14ac:dyDescent="0.25">
      <c r="A11978" s="8" t="str">
        <f>"Proceedings - 2004 IEEE International Conference on Services Computing, SCC 2004"</f>
        <v>Proceedings - 2004 IEEE International Conference on Services Computing, SCC 2004</v>
      </c>
      <c r="B11978" s="8" t="str">
        <f>"9780769522258"</f>
        <v>9780769522258</v>
      </c>
      <c r="C11978" s="8" t="s">
        <v>9</v>
      </c>
    </row>
    <row r="11979" spans="1:3" x14ac:dyDescent="0.25">
      <c r="A11979" s="8" t="str">
        <f>"Proceedings - 2004 IEEE International Workshop on Current and Defect Based Testing, DBT 2004"</f>
        <v>Proceedings - 2004 IEEE International Workshop on Current and Defect Based Testing, DBT 2004</v>
      </c>
      <c r="B11979" s="8" t="str">
        <f>"9780780389502"</f>
        <v>9780780389502</v>
      </c>
      <c r="C11979" s="8" t="s">
        <v>105</v>
      </c>
    </row>
    <row r="11980" spans="1:3" x14ac:dyDescent="0.25">
      <c r="A11980" s="8" t="str">
        <f>"Proceedings - 2004 IEEE Radio and Wireless Conference, RAWCON"</f>
        <v>Proceedings - 2004 IEEE Radio and Wireless Conference, RAWCON</v>
      </c>
      <c r="B11980" s="8" t="str">
        <f>"9780780384514"</f>
        <v>9780780384514</v>
      </c>
      <c r="C11980" s="8" t="s">
        <v>105</v>
      </c>
    </row>
    <row r="11981" spans="1:3" x14ac:dyDescent="0.25">
      <c r="A11981" s="8" t="str">
        <f>"Proceedings - 2004 IEEE Symposium on Visual Languages and Human Centric Computing"</f>
        <v>Proceedings - 2004 IEEE Symposium on Visual Languages and Human Centric Computing</v>
      </c>
      <c r="B11981" s="8" t="str">
        <f>"9780780386969"</f>
        <v>9780780386969</v>
      </c>
      <c r="C11981" s="8" t="s">
        <v>9</v>
      </c>
    </row>
    <row r="11982" spans="1:3" x14ac:dyDescent="0.25">
      <c r="A11982" s="8" t="str">
        <f>"Proceedings - 2004 International Conference on Cyberworlds, CW 2004"</f>
        <v>Proceedings - 2004 International Conference on Cyberworlds, CW 2004</v>
      </c>
      <c r="B11982" s="8" t="str">
        <f>"9780769521404"</f>
        <v>9780769521404</v>
      </c>
      <c r="C11982" s="8" t="s">
        <v>9</v>
      </c>
    </row>
    <row r="11983" spans="1:3" x14ac:dyDescent="0.25">
      <c r="A11983" s="8" t="str">
        <f>"Proceedings - 2004 International Conference on Electrical, Electronic and Computer Engineering, ICEEC'04"</f>
        <v>Proceedings - 2004 International Conference on Electrical, Electronic and Computer Engineering, ICEEC'04</v>
      </c>
      <c r="B11983" s="8" t="str">
        <f>"9780780385757"</f>
        <v>9780780385757</v>
      </c>
      <c r="C11983" s="8" t="s">
        <v>105</v>
      </c>
    </row>
    <row r="11984" spans="1:3" x14ac:dyDescent="0.25">
      <c r="A11984" s="8" t="str">
        <f>"Proceedings - 2004 International Conference on Information and Communication Technologies: From Theory to Applications, ICTTA 2004"</f>
        <v>Proceedings - 2004 International Conference on Information and Communication Technologies: From Theory to Applications, ICTTA 2004</v>
      </c>
      <c r="B11984" s="8" t="str">
        <f>"9780780384828"</f>
        <v>9780780384828</v>
      </c>
      <c r="C11984" s="8" t="s">
        <v>105</v>
      </c>
    </row>
    <row r="11985" spans="1:3" x14ac:dyDescent="0.25">
      <c r="A11985" s="8" t="str">
        <f>"Proceedings - 2004 International Conference on Intelligent Mechatronics and Automation"</f>
        <v>Proceedings - 2004 International Conference on Intelligent Mechatronics and Automation</v>
      </c>
      <c r="B11985" s="8" t="str">
        <f>"9780780387485"</f>
        <v>9780780387485</v>
      </c>
      <c r="C11985" s="8" t="s">
        <v>105</v>
      </c>
    </row>
    <row r="11986" spans="1:3" x14ac:dyDescent="0.25">
      <c r="A11986" s="8" t="str">
        <f>"Proceedings - 2004 International Conference on MEMS, NANO and Smart Systems, ICMENS 2004"</f>
        <v>Proceedings - 2004 International Conference on MEMS, NANO and Smart Systems, ICMENS 2004</v>
      </c>
      <c r="B11986" s="8" t="str">
        <f>"9780769521893"</f>
        <v>9780769521893</v>
      </c>
      <c r="C11986" s="8" t="s">
        <v>9</v>
      </c>
    </row>
    <row r="11987" spans="1:3" x14ac:dyDescent="0.25">
      <c r="A11987" s="8" t="str">
        <f>"Proceedings - 2004 International Networking and Communication Conference, INCC 2004"</f>
        <v>Proceedings - 2004 International Networking and Communication Conference, INCC 2004</v>
      </c>
      <c r="B11987" s="8" t="str">
        <f>"9780780383258"</f>
        <v>9780780383258</v>
      </c>
      <c r="C11987" s="8" t="s">
        <v>105</v>
      </c>
    </row>
    <row r="11988" spans="1:3" x14ac:dyDescent="0.25">
      <c r="A11988" s="8" t="str">
        <f>"Proceedings - 2004 International Symposium on Empirical Software Engineering, ISESE 2004"</f>
        <v>Proceedings - 2004 International Symposium on Empirical Software Engineering, ISESE 2004</v>
      </c>
      <c r="B11988" s="8" t="str">
        <f>"9780769521657"</f>
        <v>9780769521657</v>
      </c>
      <c r="C11988" s="8" t="s">
        <v>9</v>
      </c>
    </row>
    <row r="11989" spans="1:3" x14ac:dyDescent="0.25">
      <c r="A11989" s="8" t="str">
        <f>"Proceedings - 2004 NASA/DoD Conference on Evolvable Hardware"</f>
        <v>Proceedings - 2004 NASA/DoD Conference on Evolvable Hardware</v>
      </c>
      <c r="B11989" s="8" t="str">
        <f>"9780769521459"</f>
        <v>9780769521459</v>
      </c>
      <c r="C11989" s="8" t="s">
        <v>9</v>
      </c>
    </row>
    <row r="11990" spans="1:3" x14ac:dyDescent="0.25">
      <c r="A11990" s="8" t="s">
        <v>2063</v>
      </c>
      <c r="B11990" s="8" t="str">
        <f>"-"</f>
        <v>-</v>
      </c>
      <c r="C11990" s="8" t="s">
        <v>9</v>
      </c>
    </row>
    <row r="11991" spans="1:3" x14ac:dyDescent="0.25">
      <c r="A11991" s="8" t="str">
        <f>"Proceedings - 2005 IEEE Computational Systems Bioinformatics Conference, CSB 2005"</f>
        <v>Proceedings - 2005 IEEE Computational Systems Bioinformatics Conference, CSB 2005</v>
      </c>
      <c r="B11991" s="8" t="str">
        <f>"-"</f>
        <v>-</v>
      </c>
      <c r="C11991" s="8" t="s">
        <v>9</v>
      </c>
    </row>
    <row r="11992" spans="1:3" x14ac:dyDescent="0.25">
      <c r="A11992" s="8" t="str">
        <f>"Proceedings - 2005 IEEE Computer Society Conference on Computer Vision and Pattern Recognition, CVPR 2005"</f>
        <v>Proceedings - 2005 IEEE Computer Society Conference on Computer Vision and Pattern Recognition, CVPR 2005</v>
      </c>
      <c r="B11992" s="8" t="str">
        <f>"9780769523729"</f>
        <v>9780769523729</v>
      </c>
      <c r="C11992" s="8" t="s">
        <v>9</v>
      </c>
    </row>
    <row r="11993" spans="1:3" x14ac:dyDescent="0.25">
      <c r="A11993" s="8" t="str">
        <f>"Proceedings - 2005 IEEE International Conference on e-Technology, e-Commerce and e-Service, EEE-05"</f>
        <v>Proceedings - 2005 IEEE International Conference on e-Technology, e-Commerce and e-Service, EEE-05</v>
      </c>
      <c r="B11993" s="8" t="str">
        <f>"9780769522746"</f>
        <v>9780769522746</v>
      </c>
      <c r="C11993" s="8" t="s">
        <v>9</v>
      </c>
    </row>
    <row r="11994" spans="1:3" x14ac:dyDescent="0.25">
      <c r="A11994" s="8" t="str">
        <f>"Proceedings - 2005 IEEE International Conference on Field Programmable Technology"</f>
        <v>Proceedings - 2005 IEEE International Conference on Field Programmable Technology</v>
      </c>
      <c r="B11994" s="8" t="str">
        <f>"-"</f>
        <v>-</v>
      </c>
      <c r="C11994" s="8" t="s">
        <v>9</v>
      </c>
    </row>
    <row r="11995" spans="1:3" x14ac:dyDescent="0.25">
      <c r="A11995" s="8" t="str">
        <f>"Proceedings - 2005 IEEE International Conference on Microelectronic Systems Education, MSE '05 - Promoting Excellence and Innovation in Microelectronic Systems Education"</f>
        <v>Proceedings - 2005 IEEE International Conference on Microelectronic Systems Education, MSE '05 - Promoting Excellence and Innovation in Microelectronic Systems Education</v>
      </c>
      <c r="B11995" s="8" t="str">
        <f>"-"</f>
        <v>-</v>
      </c>
      <c r="C11995" s="8" t="s">
        <v>9</v>
      </c>
    </row>
    <row r="11996" spans="1:3" x14ac:dyDescent="0.25">
      <c r="A11996" s="8" t="str">
        <f>"Proceedings - 2005 IEEE International Conference on Web Services, ICWS 2005"</f>
        <v>Proceedings - 2005 IEEE International Conference on Web Services, ICWS 2005</v>
      </c>
      <c r="B11996" s="8" t="str">
        <f>"-"</f>
        <v>-</v>
      </c>
      <c r="C11996" s="8" t="s">
        <v>9</v>
      </c>
    </row>
    <row r="11997" spans="1:3" x14ac:dyDescent="0.25">
      <c r="A11997" s="8" t="str">
        <f>"Proceedings - 2005 IEEE International Conference onServices Computing, SCC 2005"</f>
        <v>Proceedings - 2005 IEEE International Conference onServices Computing, SCC 2005</v>
      </c>
      <c r="B11997" s="8" t="str">
        <f>"9780769524085"</f>
        <v>9780769524085</v>
      </c>
      <c r="C11997" s="8" t="s">
        <v>502</v>
      </c>
    </row>
    <row r="11998" spans="1:3" x14ac:dyDescent="0.25">
      <c r="A11998" s="8" t="str">
        <f>"Proceedings - 2005 IEEE International Workshop on Antenna Technology: Small Antennas and Novel Metamaterials, IWAT 2005"</f>
        <v>Proceedings - 2005 IEEE International Workshop on Antenna Technology: Small Antennas and Novel Metamaterials, IWAT 2005</v>
      </c>
      <c r="B11998" s="8" t="str">
        <f t="shared" ref="B11998:B12004" si="27">"-"</f>
        <v>-</v>
      </c>
      <c r="C11998" s="8" t="s">
        <v>9</v>
      </c>
    </row>
    <row r="11999" spans="1:3" x14ac:dyDescent="0.25">
      <c r="A11999" s="8" t="str">
        <f>"Proceedings - 2005 IEEE International Workshop on Current and Defect Based Testing, DBT 2005"</f>
        <v>Proceedings - 2005 IEEE International Workshop on Current and Defect Based Testing, DBT 2005</v>
      </c>
      <c r="B11999" s="8" t="str">
        <f t="shared" si="27"/>
        <v>-</v>
      </c>
      <c r="C11999" s="8" t="s">
        <v>9</v>
      </c>
    </row>
    <row r="12000" spans="1:3" x14ac:dyDescent="0.25">
      <c r="A12000" s="8" t="str">
        <f>"Proceedings - 2005 IEEE International Workshop on Radio-Frequency Integration Technology: Integrated Circuits for Wideband Communication and Wireless Sensor Networks, RFIT 2005"</f>
        <v>Proceedings - 2005 IEEE International Workshop on Radio-Frequency Integration Technology: Integrated Circuits for Wideband Communication and Wireless Sensor Networks, RFIT 2005</v>
      </c>
      <c r="B12000" s="8" t="str">
        <f t="shared" si="27"/>
        <v>-</v>
      </c>
      <c r="C12000" s="8" t="s">
        <v>9</v>
      </c>
    </row>
    <row r="12001" spans="1:3" x14ac:dyDescent="0.25">
      <c r="A12001" s="8" t="str">
        <f>"Proceedings - 2005 IEEE Swarm Intelligence Symposium, SIS 2005"</f>
        <v>Proceedings - 2005 IEEE Swarm Intelligence Symposium, SIS 2005</v>
      </c>
      <c r="B12001" s="8" t="str">
        <f t="shared" si="27"/>
        <v>-</v>
      </c>
      <c r="C12001" s="8" t="s">
        <v>9</v>
      </c>
    </row>
    <row r="12002" spans="1:3" x14ac:dyDescent="0.25">
      <c r="A12002" s="8" t="str">
        <f>"Proceedings - 2005 IEEE Symposium on Visual Languages and Human-Centric Computing"</f>
        <v>Proceedings - 2005 IEEE Symposium on Visual Languages and Human-Centric Computing</v>
      </c>
      <c r="B12002" s="8" t="str">
        <f t="shared" si="27"/>
        <v>-</v>
      </c>
      <c r="C12002" s="8" t="s">
        <v>9</v>
      </c>
    </row>
    <row r="12003" spans="1:3" x14ac:dyDescent="0.25">
      <c r="A12003" s="8" t="str">
        <f>"Proceedings - 2005 IEEE/WIC/ACM International Conference on Intelligent Agent Technology, IAT'05"</f>
        <v>Proceedings - 2005 IEEE/WIC/ACM International Conference on Intelligent Agent Technology, IAT'05</v>
      </c>
      <c r="B12003" s="8" t="str">
        <f t="shared" si="27"/>
        <v>-</v>
      </c>
      <c r="C12003" s="8" t="s">
        <v>9</v>
      </c>
    </row>
    <row r="12004" spans="1:3" x14ac:dyDescent="0.25">
      <c r="A12004" s="8" t="str">
        <f>"Proceedings - 2005 IEEE/WIC/ACM InternationalConference on Web Intelligence, WI 2005"</f>
        <v>Proceedings - 2005 IEEE/WIC/ACM InternationalConference on Web Intelligence, WI 2005</v>
      </c>
      <c r="B12004" s="8" t="str">
        <f t="shared" si="27"/>
        <v>-</v>
      </c>
      <c r="C12004" s="8" t="s">
        <v>9</v>
      </c>
    </row>
    <row r="12005" spans="1:3" x14ac:dyDescent="0.25">
      <c r="A12005" s="8" t="str">
        <f>"Proceedings - 2005 IMAPS/ACerS 1st International Conference and Exhibition on Ceramic Interconnect and Ceramic Microsystems Technologies, CICMT 2005"</f>
        <v>Proceedings - 2005 IMAPS/ACerS 1st International Conference and Exhibition on Ceramic Interconnect and Ceramic Microsystems Technologies, CICMT 2005</v>
      </c>
      <c r="B12005" s="8" t="str">
        <f>"9780930815769"</f>
        <v>9780930815769</v>
      </c>
      <c r="C12005" s="8" t="s">
        <v>2064</v>
      </c>
    </row>
    <row r="12006" spans="1:3" x14ac:dyDescent="0.25">
      <c r="A12006" s="8" t="str">
        <f>"Proceedings - 2005 International Conference on Cyberworlds, CW 2005"</f>
        <v>Proceedings - 2005 International Conference on Cyberworlds, CW 2005</v>
      </c>
      <c r="B12006" s="8" t="str">
        <f>"-"</f>
        <v>-</v>
      </c>
      <c r="C12006" s="8" t="s">
        <v>9</v>
      </c>
    </row>
    <row r="12007" spans="1:3" x14ac:dyDescent="0.25">
      <c r="A12007" s="8" t="str">
        <f>"Proceedings - 2005 International Conference on Field Programmable Logic and Applications, FPL"</f>
        <v>Proceedings - 2005 International Conference on Field Programmable Logic and Applications, FPL</v>
      </c>
      <c r="B12007" s="8" t="str">
        <f>"-"</f>
        <v>-</v>
      </c>
      <c r="C12007" s="8" t="s">
        <v>9</v>
      </c>
    </row>
    <row r="12008" spans="1:3" x14ac:dyDescent="0.25">
      <c r="A12008" s="8" t="str">
        <f>"Proceedings - 2005 International Conference on Intelligent Sensing and Information Processing, ICISIP'05"</f>
        <v>Proceedings - 2005 International Conference on Intelligent Sensing and Information Processing, ICISIP'05</v>
      </c>
      <c r="B12008" s="8" t="str">
        <f>"-"</f>
        <v>-</v>
      </c>
      <c r="C12008" s="8" t="s">
        <v>9</v>
      </c>
    </row>
    <row r="12009" spans="1:3" x14ac:dyDescent="0.25">
      <c r="A12009" s="8" t="str">
        <f>"Proceedings - 2005 International Conference on MEMS, NANO and Smart Systems, ICMENS 2005"</f>
        <v>Proceedings - 2005 International Conference on MEMS, NANO and Smart Systems, ICMENS 2005</v>
      </c>
      <c r="B12009" s="8" t="str">
        <f>"-"</f>
        <v>-</v>
      </c>
      <c r="C12009" s="8" t="s">
        <v>9</v>
      </c>
    </row>
    <row r="12010" spans="1:3" x14ac:dyDescent="0.25">
      <c r="A12010" s="8" t="str">
        <f>"Proceedings - 2005 International Conference on Wireless Communications, Networking and Mobile Computing, WCNM 2005"</f>
        <v>Proceedings - 2005 International Conference on Wireless Communications, Networking and Mobile Computing, WCNM 2005</v>
      </c>
      <c r="B12010" s="8" t="str">
        <f>"9780780393356"</f>
        <v>9780780393356</v>
      </c>
      <c r="C12010" s="8" t="s">
        <v>9</v>
      </c>
    </row>
    <row r="12011" spans="1:3" x14ac:dyDescent="0.25">
      <c r="A12011" s="8" t="str">
        <f>"Proceedings - 2005 International Symposium on Autonomous Decentralized Systems, ISADS 2005"</f>
        <v>Proceedings - 2005 International Symposium on Autonomous Decentralized Systems, ISADS 2005</v>
      </c>
      <c r="B12011" s="8" t="str">
        <f>"-"</f>
        <v>-</v>
      </c>
      <c r="C12011" s="8" t="s">
        <v>9</v>
      </c>
    </row>
    <row r="12012" spans="1:3" x14ac:dyDescent="0.25">
      <c r="A12012" s="8" t="str">
        <f>"Proceedings - 2005 International Symposium on Collaborative Technologies and Systems"</f>
        <v>Proceedings - 2005 International Symposium on Collaborative Technologies and Systems</v>
      </c>
      <c r="B12012" s="8" t="str">
        <f>"-"</f>
        <v>-</v>
      </c>
      <c r="C12012" s="8" t="s">
        <v>9</v>
      </c>
    </row>
    <row r="12013" spans="1:3" x14ac:dyDescent="0.25">
      <c r="A12013" s="8" t="str">
        <f>"Proceedings - 2005 International Symposium on Microelectronics, IMAPS 2005"</f>
        <v>Proceedings - 2005 International Symposium on Microelectronics, IMAPS 2005</v>
      </c>
      <c r="B12013" s="8" t="str">
        <f>"9780930815776"</f>
        <v>9780930815776</v>
      </c>
      <c r="C12013" s="8" t="s">
        <v>93</v>
      </c>
    </row>
    <row r="12014" spans="1:3" x14ac:dyDescent="0.25">
      <c r="A12014" s="8" t="str">
        <f>"Proceedings - 2005 Second IEEE International Workshop on Mobile Commerce and Services, WMCS'05"</f>
        <v>Proceedings - 2005 Second IEEE International Workshop on Mobile Commerce and Services, WMCS'05</v>
      </c>
      <c r="B12014" s="8" t="str">
        <f>"-"</f>
        <v>-</v>
      </c>
      <c r="C12014" s="8" t="s">
        <v>9</v>
      </c>
    </row>
    <row r="12015" spans="1:3" x14ac:dyDescent="0.25">
      <c r="A12015" s="8" t="str">
        <f>"Proceedings - 2005 Symposium on Applications and the Internet Workshops, SAINT2005"</f>
        <v>Proceedings - 2005 Symposium on Applications and the Internet Workshops, SAINT2005</v>
      </c>
      <c r="B12015" s="8" t="str">
        <f>"-"</f>
        <v>-</v>
      </c>
      <c r="C12015" s="8" t="s">
        <v>9</v>
      </c>
    </row>
    <row r="12016" spans="1:3" x14ac:dyDescent="0.25">
      <c r="A12016" s="8" t="str">
        <f>"Proceedings - 2005 Symposium on Applications and the Internet, SAINT'2005"</f>
        <v>Proceedings - 2005 Symposium on Applications and the Internet, SAINT'2005</v>
      </c>
      <c r="B12016" s="8" t="str">
        <f>"9780769522623"</f>
        <v>9780769522623</v>
      </c>
      <c r="C12016" s="8" t="s">
        <v>9</v>
      </c>
    </row>
    <row r="12017" spans="1:3" x14ac:dyDescent="0.25">
      <c r="A12017" s="8" t="str">
        <f>"Proceedings - 2005 Symposium on Applications and the Internet, SAINT'2005"</f>
        <v>Proceedings - 2005 Symposium on Applications and the Internet, SAINT'2005</v>
      </c>
      <c r="B12017" s="8" t="str">
        <f>"9780769522623"</f>
        <v>9780769522623</v>
      </c>
      <c r="C12017" s="8" t="s">
        <v>9</v>
      </c>
    </row>
    <row r="12018" spans="1:3" x14ac:dyDescent="0.25">
      <c r="A12018" s="8" t="str">
        <f>"Proceedings - 2005 Systems Communications: ICW 2005, Wireless - ICHSN 2005, High Speed Networks - ICMCS 2005, Multimedia Communications Systems - SENET 2005, Sensor Networks"</f>
        <v>Proceedings - 2005 Systems Communications: ICW 2005, Wireless - ICHSN 2005, High Speed Networks - ICMCS 2005, Multimedia Communications Systems - SENET 2005, Sensor Networks</v>
      </c>
      <c r="B12018" s="8" t="str">
        <f>"-"</f>
        <v>-</v>
      </c>
      <c r="C12018" s="8" t="s">
        <v>9</v>
      </c>
    </row>
    <row r="12019" spans="1:3" x14ac:dyDescent="0.25">
      <c r="A12019" s="8" t="str">
        <f>"Proceedings - 2005 Workshop on Techniques, Methodologies and Tools for Performance Evaluation of Complex Systems, FIRB-Perf 2005"</f>
        <v>Proceedings - 2005 Workshop on Techniques, Methodologies and Tools for Performance Evaluation of Complex Systems, FIRB-Perf 2005</v>
      </c>
      <c r="B12019" s="8" t="str">
        <f>"-"</f>
        <v>-</v>
      </c>
      <c r="C12019" s="8" t="s">
        <v>9</v>
      </c>
    </row>
    <row r="12020" spans="1:3" x14ac:dyDescent="0.25">
      <c r="A12020" s="8" t="str">
        <f>"Proceedings - 2006 10th IEEE International Enterprise Distributed Object Computing Conference Workshops, EDOCW2006"</f>
        <v>Proceedings - 2006 10th IEEE International Enterprise Distributed Object Computing Conference Workshops, EDOCW2006</v>
      </c>
      <c r="B12020" s="8" t="str">
        <f>"9780769525587"</f>
        <v>9780769525587</v>
      </c>
      <c r="C12020" s="8" t="s">
        <v>9</v>
      </c>
    </row>
    <row r="12021" spans="1:3" x14ac:dyDescent="0.25">
      <c r="A12021" s="8" t="str">
        <f>"Proceedings - 2006 10th International Conference on Computer Supported Cooperative Work in Design, CSCWD 2006"</f>
        <v>Proceedings - 2006 10th International Conference on Computer Supported Cooperative Work in Design, CSCWD 2006</v>
      </c>
      <c r="B12021" s="8" t="str">
        <f>"9781424401659"</f>
        <v>9781424401659</v>
      </c>
      <c r="C12021" s="8" t="s">
        <v>9</v>
      </c>
    </row>
    <row r="12022" spans="1:3" x14ac:dyDescent="0.25">
      <c r="A12022" s="8" t="str">
        <f>"Proceedings - 2006 14th International Conference on Advanced Computing and Communications, ADCOM 2006"</f>
        <v>Proceedings - 2006 14th International Conference on Advanced Computing and Communications, ADCOM 2006</v>
      </c>
      <c r="B12022" s="8" t="str">
        <f>"9781424407156"</f>
        <v>9781424407156</v>
      </c>
      <c r="C12022" s="8" t="s">
        <v>9</v>
      </c>
    </row>
    <row r="12023" spans="1:3" x14ac:dyDescent="0.25">
      <c r="A12023" s="8" t="str">
        <f>"Proceedings - 2006 IEEE Computer Society Conference on Computer Vision and Pattern Recognition, CVPR 2006"</f>
        <v>Proceedings - 2006 IEEE Computer Society Conference on Computer Vision and Pattern Recognition, CVPR 2006</v>
      </c>
      <c r="B12023" s="8" t="str">
        <f>"-"</f>
        <v>-</v>
      </c>
      <c r="C12023" s="8" t="s">
        <v>9</v>
      </c>
    </row>
    <row r="12024" spans="1:3" x14ac:dyDescent="0.25">
      <c r="A12024" s="8" t="str">
        <f>"Proceedings - 2006 IEEE International Conference on Field Programmable Technology, FPT 2006"</f>
        <v>Proceedings - 2006 IEEE International Conference on Field Programmable Technology, FPT 2006</v>
      </c>
      <c r="B12024" s="8" t="str">
        <f>"9780780397286"</f>
        <v>9780780397286</v>
      </c>
      <c r="C12024" s="8" t="s">
        <v>9</v>
      </c>
    </row>
    <row r="12025" spans="1:3" x14ac:dyDescent="0.25">
      <c r="A12025" s="8" t="str">
        <f>"Proceedings - 2006 IEEE International Conference on Global Software Engineering, ICGSE 2006"</f>
        <v>Proceedings - 2006 IEEE International Conference on Global Software Engineering, ICGSE 2006</v>
      </c>
      <c r="B12025" s="8" t="str">
        <f>"9780769526638"</f>
        <v>9780769526638</v>
      </c>
      <c r="C12025" s="8" t="s">
        <v>9</v>
      </c>
    </row>
    <row r="12026" spans="1:3" x14ac:dyDescent="0.25">
      <c r="A12026" s="8" t="str">
        <f>"Proceedings - 2006 IEEE International Conference on Networks, ICON 2006 - Networking-Challenges and Frontiers"</f>
        <v>Proceedings - 2006 IEEE International Conference on Networks, ICON 2006 - Networking-Challenges and Frontiers</v>
      </c>
      <c r="B12026" s="8" t="str">
        <f>"9780780397460"</f>
        <v>9780780397460</v>
      </c>
      <c r="C12026" s="8" t="s">
        <v>9</v>
      </c>
    </row>
    <row r="12027" spans="1:3" x14ac:dyDescent="0.25">
      <c r="A12027" s="8" t="str">
        <f>"Proceedings - 2006 IEEE International Conference on Services Computing, SCC 2006"</f>
        <v>Proceedings - 2006 IEEE International Conference on Services Computing, SCC 2006</v>
      </c>
      <c r="B12027" s="8" t="str">
        <f>"9780769526706"</f>
        <v>9780769526706</v>
      </c>
      <c r="C12027" s="8" t="s">
        <v>9</v>
      </c>
    </row>
    <row r="12028" spans="1:3" x14ac:dyDescent="0.25">
      <c r="A12028" s="8" t="str">
        <f>"Proceedings - 2006 IEEE Radio and Wireless Symposium"</f>
        <v>Proceedings - 2006 IEEE Radio and Wireless Symposium</v>
      </c>
      <c r="B12028" s="8" t="str">
        <f>"-"</f>
        <v>-</v>
      </c>
      <c r="C12028" s="8" t="s">
        <v>9</v>
      </c>
    </row>
    <row r="12029" spans="1:3" x14ac:dyDescent="0.25">
      <c r="A12029" s="8" t="str">
        <f>"Proceedings - 2006 IEEE/WIC/ACM International Conference on Intelligent Agent Technology (IAT 2006 Main Conference Proceedings), IAT'06"</f>
        <v>Proceedings - 2006 IEEE/WIC/ACM International Conference on Intelligent Agent Technology (IAT 2006 Main Conference Proceedings), IAT'06</v>
      </c>
      <c r="B12029" s="8" t="str">
        <f>"9780769527482"</f>
        <v>9780769527482</v>
      </c>
      <c r="C12029" s="8" t="s">
        <v>9</v>
      </c>
    </row>
    <row r="12030" spans="1:3" x14ac:dyDescent="0.25">
      <c r="A12030" s="8" t="str">
        <f>"Proceedings - 2006 IEEE/WIC/ACM International Conference on Web Intelligence (WI 2006 Main Conference Proceedings), WI'06"</f>
        <v>Proceedings - 2006 IEEE/WIC/ACM International Conference on Web Intelligence (WI 2006 Main Conference Proceedings), WI'06</v>
      </c>
      <c r="B12030" s="8" t="str">
        <f>"9780769527475"</f>
        <v>9780769527475</v>
      </c>
      <c r="C12030" s="8" t="s">
        <v>105</v>
      </c>
    </row>
    <row r="12031" spans="1:3" x14ac:dyDescent="0.25">
      <c r="A12031" s="8" t="str">
        <f>"Proceedings - 2006 IEEE/WIC/ACM International Conference on Web Intelligence and Intelligent Agent Technology (WI-IAT 2006 Workshops Proceedings)"</f>
        <v>Proceedings - 2006 IEEE/WIC/ACM International Conference on Web Intelligence and Intelligent Agent Technology (WI-IAT 2006 Workshops Proceedings)</v>
      </c>
      <c r="B12031" s="8" t="str">
        <f>"-"</f>
        <v>-</v>
      </c>
      <c r="C12031" s="8" t="s">
        <v>9</v>
      </c>
    </row>
    <row r="12032" spans="1:3" x14ac:dyDescent="0.25">
      <c r="A12032" s="8" t="str">
        <f>"Proceedings - 2006 IMAPS International Conference and Exhibition on High Temperature Electronics, HiTEC 2006"</f>
        <v>Proceedings - 2006 IMAPS International Conference and Exhibition on High Temperature Electronics, HiTEC 2006</v>
      </c>
      <c r="B12032" s="8" t="str">
        <f>"9781604236194"</f>
        <v>9781604236194</v>
      </c>
      <c r="C12032" s="8" t="s">
        <v>93</v>
      </c>
    </row>
    <row r="12033" spans="1:3" x14ac:dyDescent="0.25">
      <c r="A12033" s="8" t="str">
        <f>"Proceedings - 2006 International Conference on Design and Test of Integrated Systems in Nanoscale Technology, IEEE DTIS 2006"</f>
        <v>Proceedings - 2006 International Conference on Design and Test of Integrated Systems in Nanoscale Technology, IEEE DTIS 2006</v>
      </c>
      <c r="B12033" s="8" t="str">
        <f>"9780780397262"</f>
        <v>9780780397262</v>
      </c>
      <c r="C12033" s="8" t="s">
        <v>9</v>
      </c>
    </row>
    <row r="12034" spans="1:3" x14ac:dyDescent="0.25">
      <c r="A12034" s="8" t="str">
        <f>"Proceedings - 2006 International Conference on Embedded Computer Systems: Architectures, Modeling and Simulation, IC-SAMOS 2006"</f>
        <v>Proceedings - 2006 International Conference on Embedded Computer Systems: Architectures, Modeling and Simulation, IC-SAMOS 2006</v>
      </c>
      <c r="B12034" s="8" t="str">
        <f>"9781424401550"</f>
        <v>9781424401550</v>
      </c>
      <c r="C12034" s="8" t="s">
        <v>105</v>
      </c>
    </row>
    <row r="12035" spans="1:3" x14ac:dyDescent="0.25">
      <c r="A12035" s="8" t="str">
        <f>"Proceedings - 2006 International Conference on Field Programmable Logic and Applications, FPL"</f>
        <v>Proceedings - 2006 International Conference on Field Programmable Logic and Applications, FPL</v>
      </c>
      <c r="B12035" s="8" t="str">
        <f>"9781424403127"</f>
        <v>9781424403127</v>
      </c>
      <c r="C12035" s="8" t="s">
        <v>9</v>
      </c>
    </row>
    <row r="12036" spans="1:3" x14ac:dyDescent="0.25">
      <c r="A12036" s="8" t="str">
        <f>"Proceedings - 2006 International Conference on Hybrid Information Technology, ICHIT 2006"</f>
        <v>Proceedings - 2006 International Conference on Hybrid Information Technology, ICHIT 2006</v>
      </c>
      <c r="B12036" s="8" t="str">
        <f>"-"</f>
        <v>-</v>
      </c>
      <c r="C12036" s="8" t="s">
        <v>9</v>
      </c>
    </row>
    <row r="12037" spans="1:3" x14ac:dyDescent="0.25">
      <c r="A12037" s="8" t="str">
        <f>"Proceedings - 2006 International Conference on Intelligent Information Hiding and Multimedia Signal Processing, IIH-MSP 2006"</f>
        <v>Proceedings - 2006 International Conference on Intelligent Information Hiding and Multimedia Signal Processing, IIH-MSP 2006</v>
      </c>
      <c r="B12037" s="8" t="str">
        <f>"9780769527451"</f>
        <v>9780769527451</v>
      </c>
      <c r="C12037" s="8" t="s">
        <v>9</v>
      </c>
    </row>
    <row r="12038" spans="1:3" x14ac:dyDescent="0.25">
      <c r="A12038" s="8" t="str">
        <f>"Proceedings - 2006 International Symposium on Applications and the Internet, SAINT 2006"</f>
        <v>Proceedings - 2006 International Symposium on Applications and the Internet, SAINT 2006</v>
      </c>
      <c r="B12038" s="8" t="str">
        <f>"-"</f>
        <v>-</v>
      </c>
      <c r="C12038" s="8" t="s">
        <v>9</v>
      </c>
    </row>
    <row r="12039" spans="1:3" x14ac:dyDescent="0.25">
      <c r="A12039" s="8" t="str">
        <f>"Proceedings - 2006 International Symposium on Microelectronics, IMAPS 2006"</f>
        <v>Proceedings - 2006 International Symposium on Microelectronics, IMAPS 2006</v>
      </c>
      <c r="B12039" s="8" t="str">
        <f>"9780930815806"</f>
        <v>9780930815806</v>
      </c>
      <c r="C12039" s="8" t="s">
        <v>93</v>
      </c>
    </row>
    <row r="12040" spans="1:3" x14ac:dyDescent="0.25">
      <c r="A12040" s="8" t="str">
        <f>"Proceedings - 2006 International Workshop on Networking, Architecture, and Storages, NAS'06"</f>
        <v>Proceedings - 2006 International Workshop on Networking, Architecture, and Storages, NAS'06</v>
      </c>
      <c r="B12040" s="8" t="str">
        <f>"-"</f>
        <v>-</v>
      </c>
      <c r="C12040" s="8" t="s">
        <v>9</v>
      </c>
    </row>
    <row r="12041" spans="1:3" x14ac:dyDescent="0.25">
      <c r="A12041" s="8" t="str">
        <f>"Proceedings - 2006 SIGED: IAIM 21st Annual Conference"</f>
        <v>Proceedings - 2006 SIGED: IAIM 21st Annual Conference</v>
      </c>
      <c r="B12041" s="8" t="str">
        <f>"-"</f>
        <v>-</v>
      </c>
      <c r="C12041" s="8" t="s">
        <v>289</v>
      </c>
    </row>
    <row r="12042" spans="1:3" x14ac:dyDescent="0.25">
      <c r="A12042" s="8" t="str">
        <f>"Proceedings - 2006 Symposium on Applications and the Internet Workshops, SAINT 2006 Workshops"</f>
        <v>Proceedings - 2006 Symposium on Applications and the Internet Workshops, SAINT 2006 Workshops</v>
      </c>
      <c r="B12042" s="8" t="str">
        <f>"-"</f>
        <v>-</v>
      </c>
      <c r="C12042" s="8" t="s">
        <v>9</v>
      </c>
    </row>
    <row r="12043" spans="1:3" x14ac:dyDescent="0.25">
      <c r="A12043" s="8" t="str">
        <f>"Proceedings - 2006 Symposium on Communications and Vehicular Technology, IEEE SCVT 2006; 13th Annual Symposium on Communications and Vehicular Technology in the Benelux"</f>
        <v>Proceedings - 2006 Symposium on Communications and Vehicular Technology, IEEE SCVT 2006; 13th Annual Symposium on Communications and Vehicular Technology in the Benelux</v>
      </c>
      <c r="B12043" s="8" t="str">
        <f>"9780780397859"</f>
        <v>9780780397859</v>
      </c>
      <c r="C12043" s="8" t="s">
        <v>9</v>
      </c>
    </row>
    <row r="12044" spans="1:3" x14ac:dyDescent="0.25">
      <c r="A12044" s="8" t="str">
        <f>"Proceedings - 2007 3rd Southern Conference on Programmable Logic, SPL'07"</f>
        <v>Proceedings - 2007 3rd Southern Conference on Programmable Logic, SPL'07</v>
      </c>
      <c r="B12044" s="8" t="str">
        <f>"9781424406067"</f>
        <v>9781424406067</v>
      </c>
      <c r="C12044" s="8" t="s">
        <v>9</v>
      </c>
    </row>
    <row r="12045" spans="1:3" x14ac:dyDescent="0.25">
      <c r="A12045" s="8" t="str">
        <f>"Proceedings - 2007 6th Mexican International Conference on Artificial Intelligence, Special Session, MICAI 2007"</f>
        <v>Proceedings - 2007 6th Mexican International Conference on Artificial Intelligence, Special Session, MICAI 2007</v>
      </c>
      <c r="B12045" s="8" t="str">
        <f>"9780769531243"</f>
        <v>9780769531243</v>
      </c>
      <c r="C12045" s="8" t="s">
        <v>9</v>
      </c>
    </row>
    <row r="12046" spans="1:3" x14ac:dyDescent="0.25">
      <c r="A12046" s="8" t="str">
        <f>"Proceedings - 2007 ECSIS Symposium on Bio-inspired, Learning, and Intelligent Systems for Security, BLISS 2007"</f>
        <v>Proceedings - 2007 ECSIS Symposium on Bio-inspired, Learning, and Intelligent Systems for Security, BLISS 2007</v>
      </c>
      <c r="B12046" s="8" t="str">
        <f>"9780769529196"</f>
        <v>9780769529196</v>
      </c>
      <c r="C12046" s="8" t="s">
        <v>9</v>
      </c>
    </row>
    <row r="12047" spans="1:3" x14ac:dyDescent="0.25">
      <c r="A12047" s="8" t="str">
        <f>"Proceedings - 2007 IEEE Conference on Exploring Quantifiable IT Yields, EQUITY 2007"</f>
        <v>Proceedings - 2007 IEEE Conference on Exploring Quantifiable IT Yields, EQUITY 2007</v>
      </c>
      <c r="B12047" s="8" t="str">
        <f>"9781424425372"</f>
        <v>9781424425372</v>
      </c>
      <c r="C12047" s="8" t="s">
        <v>9</v>
      </c>
    </row>
    <row r="12048" spans="1:3" x14ac:dyDescent="0.25">
      <c r="A12048" s="8" t="str">
        <f>"Proceedings - 2007 IEEE Congress on Services, SERVICES 2007"</f>
        <v>Proceedings - 2007 IEEE Congress on Services, SERVICES 2007</v>
      </c>
      <c r="B12048" s="8" t="str">
        <f>"9780769529264"</f>
        <v>9780769529264</v>
      </c>
      <c r="C12048" s="8" t="s">
        <v>9</v>
      </c>
    </row>
    <row r="12049" spans="1:3" x14ac:dyDescent="0.25">
      <c r="A12049" s="8" t="str">
        <f>"Proceedings - 2007 IEEE International Conference on Bioinformatics and Biomedicine Workshops, BIBMW"</f>
        <v>Proceedings - 2007 IEEE International Conference on Bioinformatics and Biomedicine Workshops, BIBMW</v>
      </c>
      <c r="B12049" s="8" t="str">
        <f>"9781424416042"</f>
        <v>9781424416042</v>
      </c>
      <c r="C12049" s="8" t="s">
        <v>105</v>
      </c>
    </row>
    <row r="12050" spans="1:3" x14ac:dyDescent="0.25">
      <c r="A12050" s="8" t="str">
        <f>"Proceedings - 2007 IEEE International Conference on Bioinformatics and Biomedicine, BIBM 2007"</f>
        <v>Proceedings - 2007 IEEE International Conference on Bioinformatics and Biomedicine, BIBM 2007</v>
      </c>
      <c r="B12050" s="8" t="str">
        <f>"9780769530314"</f>
        <v>9780769530314</v>
      </c>
      <c r="C12050" s="8" t="s">
        <v>9</v>
      </c>
    </row>
    <row r="12051" spans="1:3" x14ac:dyDescent="0.25">
      <c r="A12051" s="8" t="str">
        <f>"Proceedings - 2007 IEEE International Conference on Granular Computing, GrC 2007"</f>
        <v>Proceedings - 2007 IEEE International Conference on Granular Computing, GrC 2007</v>
      </c>
      <c r="B12051" s="8" t="str">
        <f>"9780769530321"</f>
        <v>9780769530321</v>
      </c>
      <c r="C12051" s="8" t="s">
        <v>9</v>
      </c>
    </row>
    <row r="12052" spans="1:3" x14ac:dyDescent="0.25">
      <c r="A12052" s="8" t="str">
        <f>"Proceedings - 2007 IEEE International Conference on Services Computing, SCC 2007"</f>
        <v>Proceedings - 2007 IEEE International Conference on Services Computing, SCC 2007</v>
      </c>
      <c r="B12052" s="8" t="str">
        <f>"9780769529257"</f>
        <v>9780769529257</v>
      </c>
      <c r="C12052" s="8" t="s">
        <v>9</v>
      </c>
    </row>
    <row r="12053" spans="1:3" x14ac:dyDescent="0.25">
      <c r="A12053" s="8" t="str">
        <f>"Proceedings - 2007 IEEE International Conference on Web Services, ICWS 2007"</f>
        <v>Proceedings - 2007 IEEE International Conference on Web Services, ICWS 2007</v>
      </c>
      <c r="B12053" s="8" t="str">
        <f>"9780769529240"</f>
        <v>9780769529240</v>
      </c>
      <c r="C12053" s="8" t="s">
        <v>9</v>
      </c>
    </row>
    <row r="12054" spans="1:3" x14ac:dyDescent="0.25">
      <c r="A12054" s="8" t="str">
        <f>"Proceedings - 2007 IEEE Radio and Wireless Symposium, RWS"</f>
        <v>Proceedings - 2007 IEEE Radio and Wireless Symposium, RWS</v>
      </c>
      <c r="B12054" s="8" t="str">
        <f>"9781424404452"</f>
        <v>9781424404452</v>
      </c>
      <c r="C12054" s="8" t="s">
        <v>9</v>
      </c>
    </row>
    <row r="12055" spans="1:3" x14ac:dyDescent="0.25">
      <c r="A12055" s="8" t="str">
        <f>"Proceedings - 2007 IEEE/WIC/ACM International Conference on Web Intelligence and Intelligent Agent Technology - Workshops, WI-IAT Workshops 2007"</f>
        <v>Proceedings - 2007 IEEE/WIC/ACM International Conference on Web Intelligence and Intelligent Agent Technology - Workshops, WI-IAT Workshops 2007</v>
      </c>
      <c r="B12055" s="8" t="str">
        <f>"9780769530284"</f>
        <v>9780769530284</v>
      </c>
      <c r="C12055" s="8" t="s">
        <v>9</v>
      </c>
    </row>
    <row r="12056" spans="1:3" x14ac:dyDescent="0.25">
      <c r="A12056" s="8" t="str">
        <f>"Proceedings - 2007 IFIP International Conference on Network and Parallel Computing Workshops, NPC 2007"</f>
        <v>Proceedings - 2007 IFIP International Conference on Network and Parallel Computing Workshops, NPC 2007</v>
      </c>
      <c r="B12056" s="8" t="str">
        <f>"9780769529431"</f>
        <v>9780769529431</v>
      </c>
      <c r="C12056" s="8" t="s">
        <v>9</v>
      </c>
    </row>
    <row r="12057" spans="1:3" x14ac:dyDescent="0.25">
      <c r="A12057" s="8" t="str">
        <f>"Proceedings - 2007 International Conference on Computational Intelligence and Security, CIS 2007"</f>
        <v>Proceedings - 2007 International Conference on Computational Intelligence and Security, CIS 2007</v>
      </c>
      <c r="B12057" s="8" t="str">
        <f>"9780769530727"</f>
        <v>9780769530727</v>
      </c>
      <c r="C12057" s="8" t="s">
        <v>9</v>
      </c>
    </row>
    <row r="12058" spans="1:3" x14ac:dyDescent="0.25">
      <c r="A12058" s="8" t="str">
        <f>"Proceedings - 2007 International Conference on Cyberworlds, CW'07"</f>
        <v>Proceedings - 2007 International Conference on Cyberworlds, CW'07</v>
      </c>
      <c r="B12058" s="8" t="str">
        <f>"9780769530055"</f>
        <v>9780769530055</v>
      </c>
      <c r="C12058" s="8" t="s">
        <v>9</v>
      </c>
    </row>
    <row r="12059" spans="1:3" x14ac:dyDescent="0.25">
      <c r="A12059" s="8" t="str">
        <f>"Proceedings - 2007 International Conference on Design and Technology of Integrated Systems in Nanoscale Era, DTIS 2007"</f>
        <v>Proceedings - 2007 International Conference on Design and Technology of Integrated Systems in Nanoscale Era, DTIS 2007</v>
      </c>
      <c r="B12059" s="8" t="str">
        <f>"9781424412785"</f>
        <v>9781424412785</v>
      </c>
      <c r="C12059" s="8" t="s">
        <v>9</v>
      </c>
    </row>
    <row r="12060" spans="1:3" x14ac:dyDescent="0.25">
      <c r="A12060" s="8" t="str">
        <f>"Proceedings - 2007 International Conference on Embedded Computer Systems: Architectures, Modeling and Simulation, IC-SAMOS 2007"</f>
        <v>Proceedings - 2007 International Conference on Embedded Computer Systems: Architectures, Modeling and Simulation, IC-SAMOS 2007</v>
      </c>
      <c r="B12060" s="8" t="str">
        <f>"9781424410583"</f>
        <v>9781424410583</v>
      </c>
      <c r="C12060" s="8" t="s">
        <v>9</v>
      </c>
    </row>
    <row r="12061" spans="1:3" x14ac:dyDescent="0.25">
      <c r="A12061" s="8" t="str">
        <f>"Proceedings - 2007 International Conference on Field Programmable Logic and Applications, FPL"</f>
        <v>Proceedings - 2007 International Conference on Field Programmable Logic and Applications, FPL</v>
      </c>
      <c r="B12061" s="8" t="str">
        <f>"9781424410606"</f>
        <v>9781424410606</v>
      </c>
      <c r="C12061" s="8" t="s">
        <v>9</v>
      </c>
    </row>
    <row r="12062" spans="1:3" x14ac:dyDescent="0.25">
      <c r="A12062" s="8" t="str">
        <f>"Proceedings - 2007 International Conference on Multimedia and Ubiquitous Engineering, MUE 2007"</f>
        <v>Proceedings - 2007 International Conference on Multimedia and Ubiquitous Engineering, MUE 2007</v>
      </c>
      <c r="B12062" s="8" t="str">
        <f>"9780769527772"</f>
        <v>9780769527772</v>
      </c>
      <c r="C12062" s="8" t="s">
        <v>9</v>
      </c>
    </row>
    <row r="12063" spans="1:3" x14ac:dyDescent="0.25">
      <c r="A12063" s="8" t="str">
        <f>"Proceedings - 2007 International Symposium on Information Technology Convergence, ISITC 2007"</f>
        <v>Proceedings - 2007 International Symposium on Information Technology Convergence, ISITC 2007</v>
      </c>
      <c r="B12063" s="8" t="str">
        <f>"9780769530451"</f>
        <v>9780769530451</v>
      </c>
      <c r="C12063" s="8" t="s">
        <v>9</v>
      </c>
    </row>
    <row r="12064" spans="1:3" x14ac:dyDescent="0.25">
      <c r="A12064" s="8" t="str">
        <f>"Proceedings - 2007 International Symposium on Microelectronics, IMAPS 2007"</f>
        <v>Proceedings - 2007 International Symposium on Microelectronics, IMAPS 2007</v>
      </c>
      <c r="B12064" s="8" t="str">
        <f>"9780930815820"</f>
        <v>9780930815820</v>
      </c>
      <c r="C12064" s="8" t="s">
        <v>93</v>
      </c>
    </row>
    <row r="12065" spans="1:3" x14ac:dyDescent="0.25">
      <c r="A12065" s="8" t="str">
        <f>"Proceedings - 2007 Japan-China Joint Workshop on Frontier of Computer Science and Technology, FCST 2007"</f>
        <v>Proceedings - 2007 Japan-China Joint Workshop on Frontier of Computer Science and Technology, FCST 2007</v>
      </c>
      <c r="B12065" s="8" t="str">
        <f>"9780769530369"</f>
        <v>9780769530369</v>
      </c>
      <c r="C12065" s="8" t="s">
        <v>9</v>
      </c>
    </row>
    <row r="12066" spans="1:3" x14ac:dyDescent="0.25">
      <c r="A12066" s="8" t="str">
        <f>"Proceedings - 2007 Joint Workshop on High Confidence Medical Devices, Software, and Systems and Medical Device Plug-and-Play Interoperability, HCMDSS/MDPnP 2007"</f>
        <v>Proceedings - 2007 Joint Workshop on High Confidence Medical Devices, Software, and Systems and Medical Device Plug-and-Play Interoperability, HCMDSS/MDPnP 2007</v>
      </c>
      <c r="B12066" s="8" t="str">
        <f>"9780769530819"</f>
        <v>9780769530819</v>
      </c>
      <c r="C12066" s="8" t="s">
        <v>9</v>
      </c>
    </row>
    <row r="12067" spans="1:3" x14ac:dyDescent="0.25">
      <c r="A12067" s="8" t="str">
        <f>"Proceedings - 2007 Latin American Web Conference, LA-WEB 2007"</f>
        <v>Proceedings - 2007 Latin American Web Conference, LA-WEB 2007</v>
      </c>
      <c r="B12067" s="8" t="str">
        <f>"9780769530086"</f>
        <v>9780769530086</v>
      </c>
      <c r="C12067" s="8" t="s">
        <v>9</v>
      </c>
    </row>
    <row r="12068" spans="1:3" x14ac:dyDescent="0.25">
      <c r="A12068" s="8" t="str">
        <f>"Proceedings - 2007 NASA/ESA Conference on Adaptive Hardware and Systems, AHS-2007"</f>
        <v>Proceedings - 2007 NASA/ESA Conference on Adaptive Hardware and Systems, AHS-2007</v>
      </c>
      <c r="B12068" s="8" t="str">
        <f>"9780769528663"</f>
        <v>9780769528663</v>
      </c>
      <c r="C12068" s="8" t="s">
        <v>9</v>
      </c>
    </row>
    <row r="12069" spans="1:3" x14ac:dyDescent="0.25">
      <c r="A12069" s="8" t="str">
        <f>"Proceedings - 2007 Non-Volatile Memory Technology Symposium, NVMTS 07"</f>
        <v>Proceedings - 2007 Non-Volatile Memory Technology Symposium, NVMTS 07</v>
      </c>
      <c r="B12069" s="8" t="str">
        <f>"9781424413621"</f>
        <v>9781424413621</v>
      </c>
      <c r="C12069" s="8" t="s">
        <v>9</v>
      </c>
    </row>
    <row r="12070" spans="1:3" x14ac:dyDescent="0.25">
      <c r="A12070" s="8" t="str">
        <f>"Proceedings - 2008 2nd Electronics Systemintegration Technology Conference, ESTC"</f>
        <v>Proceedings - 2008 2nd Electronics Systemintegration Technology Conference, ESTC</v>
      </c>
      <c r="B12070" s="8" t="str">
        <f>"9781424428144"</f>
        <v>9781424428144</v>
      </c>
      <c r="C12070" s="8" t="s">
        <v>9</v>
      </c>
    </row>
    <row r="12071" spans="1:3" x14ac:dyDescent="0.25">
      <c r="A12071" s="8" t="str">
        <f>"Proceedings - 2008 2nd International Symposium on Intelligent Information Technology Application, IITA 2008"</f>
        <v>Proceedings - 2008 2nd International Symposium on Intelligent Information Technology Application, IITA 2008</v>
      </c>
      <c r="B12071" s="8" t="str">
        <f>"9780769534978"</f>
        <v>9780769534978</v>
      </c>
      <c r="C12071" s="8" t="s">
        <v>9</v>
      </c>
    </row>
    <row r="12072" spans="1:3" x14ac:dyDescent="0.25">
      <c r="A12072" s="8" t="str">
        <f>"Proceedings - 2008 3rd IEEE International Conference Global Software Engineering, ICGSE 2008"</f>
        <v>Proceedings - 2008 3rd IEEE International Conference Global Software Engineering, ICGSE 2008</v>
      </c>
      <c r="B12072" s="8" t="str">
        <f>"9780769532806"</f>
        <v>9780769532806</v>
      </c>
      <c r="C12072" s="8" t="s">
        <v>9</v>
      </c>
    </row>
    <row r="12073" spans="1:3" x14ac:dyDescent="0.25">
      <c r="A12073" s="8" t="str">
        <f>"Proceedings - 2008 3rd International Design and Test Workshop, IDT 2008"</f>
        <v>Proceedings - 2008 3rd International Design and Test Workshop, IDT 2008</v>
      </c>
      <c r="B12073" s="8" t="str">
        <f>"9781424434770"</f>
        <v>9781424434770</v>
      </c>
      <c r="C12073" s="8" t="s">
        <v>9</v>
      </c>
    </row>
    <row r="12074" spans="1:3" x14ac:dyDescent="0.25">
      <c r="A12074" s="8" t="str">
        <f>"Proceedings - 2008 4th International Conference on Intelligent Information Hiding and Multimedia Signal Processing, IIH-MSP 2008"</f>
        <v>Proceedings - 2008 4th International Conference on Intelligent Information Hiding and Multimedia Signal Processing, IIH-MSP 2008</v>
      </c>
      <c r="B12074" s="8" t="str">
        <f>"9780769532783"</f>
        <v>9780769532783</v>
      </c>
      <c r="C12074" s="8" t="s">
        <v>9</v>
      </c>
    </row>
    <row r="12075" spans="1:3" x14ac:dyDescent="0.25">
      <c r="A12075" s="8" t="str">
        <f>"Proceedings - 2008 4th Southern Conference on Programmable Logic, SPL"</f>
        <v>Proceedings - 2008 4th Southern Conference on Programmable Logic, SPL</v>
      </c>
      <c r="B12075" s="8" t="str">
        <f>"9781424419920"</f>
        <v>9781424419920</v>
      </c>
      <c r="C12075" s="8" t="s">
        <v>9</v>
      </c>
    </row>
    <row r="12076" spans="1:3" x14ac:dyDescent="0.25">
      <c r="A12076" s="8" t="str">
        <f>"Proceedings - 2008 4th Workshop on Network Coding, Theory, and Applications, NetCod 2008"</f>
        <v>Proceedings - 2008 4th Workshop on Network Coding, Theory, and Applications, NetCod 2008</v>
      </c>
      <c r="B12076" s="8" t="str">
        <f>"9781424416899"</f>
        <v>9781424416899</v>
      </c>
      <c r="C12076" s="8" t="s">
        <v>9</v>
      </c>
    </row>
    <row r="12077" spans="1:3" x14ac:dyDescent="0.25">
      <c r="A12077" s="8" t="str">
        <f>"Proceedings - 2008 6th International Symposium on Chinese Spoken Language Processing, ISCSLP 2008"</f>
        <v>Proceedings - 2008 6th International Symposium on Chinese Spoken Language Processing, ISCSLP 2008</v>
      </c>
      <c r="B12077" s="8" t="str">
        <f>"9781424429431"</f>
        <v>9781424429431</v>
      </c>
      <c r="C12077" s="8" t="s">
        <v>9</v>
      </c>
    </row>
    <row r="12078" spans="1:3" x14ac:dyDescent="0.25">
      <c r="A12078" s="8" t="str">
        <f>"Proceedings - 2008 8th International Conference on Intelligent Transport System Telecommunications, ITST 2008"</f>
        <v>Proceedings - 2008 8th International Conference on Intelligent Transport System Telecommunications, ITST 2008</v>
      </c>
      <c r="B12078" s="8" t="str">
        <f>"9781424428588"</f>
        <v>9781424428588</v>
      </c>
      <c r="C12078" s="8" t="s">
        <v>9</v>
      </c>
    </row>
    <row r="12079" spans="1:3" x14ac:dyDescent="0.25">
      <c r="A12079" s="8" t="str">
        <f>"Proceedings - 2008 9th Annual Non-Volatile Memory Technology Symposium, NVMTS 2008"</f>
        <v>Proceedings - 2008 9th Annual Non-Volatile Memory Technology Symposium, NVMTS 2008</v>
      </c>
      <c r="B12079" s="8" t="str">
        <f>"9781424424115"</f>
        <v>9781424424115</v>
      </c>
      <c r="C12079" s="8" t="s">
        <v>9</v>
      </c>
    </row>
    <row r="12080" spans="1:3" x14ac:dyDescent="0.25">
      <c r="A12080" s="8" t="str">
        <f>"Proceedings - 2008 Forum on Specification, Verification and Design Languages, FDL'08"</f>
        <v>Proceedings - 2008 Forum on Specification, Verification and Design Languages, FDL'08</v>
      </c>
      <c r="B12080" s="8" t="str">
        <f>"9781424422654"</f>
        <v>9781424422654</v>
      </c>
      <c r="C12080" s="8" t="s">
        <v>9</v>
      </c>
    </row>
    <row r="12081" spans="1:3" x14ac:dyDescent="0.25">
      <c r="A12081" s="8" t="str">
        <f>"Proceedings - 2008 IEEE 11th International Conference on Computational Science and Engineering, CSE 2008"</f>
        <v>Proceedings - 2008 IEEE 11th International Conference on Computational Science and Engineering, CSE 2008</v>
      </c>
      <c r="B12081" s="8" t="str">
        <f>"9780769531939"</f>
        <v>9780769531939</v>
      </c>
      <c r="C12081" s="8" t="s">
        <v>9</v>
      </c>
    </row>
    <row r="12082" spans="1:3" x14ac:dyDescent="0.25">
      <c r="A12082" s="8" t="str">
        <f>"Proceedings - 2008 IEEE 4th International Conference on Intelligent Computer Communication and Processing, ICCP 2008"</f>
        <v>Proceedings - 2008 IEEE 4th International Conference on Intelligent Computer Communication and Processing, ICCP 2008</v>
      </c>
      <c r="B12082" s="8" t="str">
        <f>"9781424426737"</f>
        <v>9781424426737</v>
      </c>
      <c r="C12082" s="8" t="s">
        <v>9</v>
      </c>
    </row>
    <row r="12083" spans="1:3" x14ac:dyDescent="0.25">
      <c r="A12083" s="8" t="str">
        <f>"Proceedings - 2008 IEEE 8th International Conference on Computer and Information Technology, CIT 2008"</f>
        <v>Proceedings - 2008 IEEE 8th International Conference on Computer and Information Technology, CIT 2008</v>
      </c>
      <c r="B12083" s="8" t="str">
        <f>"9781424423583"</f>
        <v>9781424423583</v>
      </c>
      <c r="C12083" s="8" t="s">
        <v>9</v>
      </c>
    </row>
    <row r="12084" spans="1:3" x14ac:dyDescent="0.25">
      <c r="A12084" s="8" t="str">
        <f>"Proceedings - 2008 IEEE Congress on Services, SERVICES 2008"</f>
        <v>Proceedings - 2008 IEEE Congress on Services, SERVICES 2008</v>
      </c>
      <c r="B12084" s="8" t="str">
        <f>"9780769532868"</f>
        <v>9780769532868</v>
      </c>
      <c r="C12084" s="8" t="s">
        <v>9</v>
      </c>
    </row>
    <row r="12085" spans="1:3" x14ac:dyDescent="0.25">
      <c r="A12085" s="8" t="str">
        <f>"Proceedings - 2008 IEEE International Conference on Bioinformatics and Biomedicine Workshops, BIBMW"</f>
        <v>Proceedings - 2008 IEEE International Conference on Bioinformatics and Biomedicine Workshops, BIBMW</v>
      </c>
      <c r="B12085" s="8" t="str">
        <f>"9781424428908"</f>
        <v>9781424428908</v>
      </c>
      <c r="C12085" s="8" t="s">
        <v>9</v>
      </c>
    </row>
    <row r="12086" spans="1:3" x14ac:dyDescent="0.25">
      <c r="A12086" s="8" t="str">
        <f>"Proceedings - 2008 IEEE International Conference on Integrated Circuit Design and Technology, ICICDT"</f>
        <v>Proceedings - 2008 IEEE International Conference on Integrated Circuit Design and Technology, ICICDT</v>
      </c>
      <c r="B12086" s="8" t="str">
        <f>"9781424418114"</f>
        <v>9781424418114</v>
      </c>
      <c r="C12086" s="8" t="s">
        <v>9</v>
      </c>
    </row>
    <row r="12087" spans="1:3" x14ac:dyDescent="0.25">
      <c r="A12087" s="8" t="str">
        <f>"Proceedings - 2008 IEEE International Conference on Services Computing, SCC 2008"</f>
        <v>Proceedings - 2008 IEEE International Conference on Services Computing, SCC 2008</v>
      </c>
      <c r="B12087" s="8" t="str">
        <f>"9780769532837"</f>
        <v>9780769532837</v>
      </c>
      <c r="C12087" s="8" t="s">
        <v>9</v>
      </c>
    </row>
    <row r="12088" spans="1:3" x14ac:dyDescent="0.25">
      <c r="A12088" s="8" t="str">
        <f>"Proceedings - 2008 IEEE International Networking and Communications Conference, INCC 2008"</f>
        <v>Proceedings - 2008 IEEE International Networking and Communications Conference, INCC 2008</v>
      </c>
      <c r="B12088" s="8" t="str">
        <f>"9781424421510"</f>
        <v>9781424421510</v>
      </c>
      <c r="C12088" s="8" t="s">
        <v>9</v>
      </c>
    </row>
    <row r="12089" spans="1:3" x14ac:dyDescent="0.25">
      <c r="A12089" s="8" t="str">
        <f>"Proceedings - 2008 IEEE Region 8 International Conference on Computational Technologies in Electrical and Electronics Engineering, SIBIRCON 2008"</f>
        <v>Proceedings - 2008 IEEE Region 8 International Conference on Computational Technologies in Electrical and Electronics Engineering, SIBIRCON 2008</v>
      </c>
      <c r="B12089" s="8" t="str">
        <f>"9781424421336"</f>
        <v>9781424421336</v>
      </c>
      <c r="C12089" s="8" t="s">
        <v>9</v>
      </c>
    </row>
    <row r="12090" spans="1:3" x14ac:dyDescent="0.25">
      <c r="A12090" s="8" t="str">
        <f>"Proceedings - 2008 IEEE Symposium on Visual Languages and Human-Centric Computing, VL/HCC 2008"</f>
        <v>Proceedings - 2008 IEEE Symposium on Visual Languages and Human-Centric Computing, VL/HCC 2008</v>
      </c>
      <c r="B12090" s="8" t="str">
        <f>"9781424425280"</f>
        <v>9781424425280</v>
      </c>
      <c r="C12090" s="8" t="s">
        <v>9</v>
      </c>
    </row>
    <row r="12091" spans="1:3" x14ac:dyDescent="0.25">
      <c r="A12091" s="8" t="str">
        <f>"Proceedings - 2008 IEEE Workshop on Design and Diagnostics of Electronic Circuits and Systems, DDECS"</f>
        <v>Proceedings - 2008 IEEE Workshop on Design and Diagnostics of Electronic Circuits and Systems, DDECS</v>
      </c>
      <c r="B12091" s="8" t="str">
        <f>"-"</f>
        <v>-</v>
      </c>
      <c r="C12091" s="8" t="s">
        <v>9</v>
      </c>
    </row>
    <row r="12092" spans="1:3" x14ac:dyDescent="0.25">
      <c r="A12092" s="8" t="str">
        <f>"Proceedings - 2008 IEEE Workshop on Policies for Distributed Systems and Networks, POLICY 2008"</f>
        <v>Proceedings - 2008 IEEE Workshop on Policies for Distributed Systems and Networks, POLICY 2008</v>
      </c>
      <c r="B12092" s="8" t="str">
        <f>"9780769531335"</f>
        <v>9780769531335</v>
      </c>
      <c r="C12092" s="8" t="s">
        <v>9</v>
      </c>
    </row>
    <row r="12093" spans="1:3" x14ac:dyDescent="0.25">
      <c r="A12093" s="8" t="str">
        <f>"Proceedings - 2008 IEEE/WIC/ACM International Conference on Intelligent Agent Technology, IAT 2008"</f>
        <v>Proceedings - 2008 IEEE/WIC/ACM International Conference on Intelligent Agent Technology, IAT 2008</v>
      </c>
      <c r="B12093" s="8" t="str">
        <f>"9780769534961"</f>
        <v>9780769534961</v>
      </c>
      <c r="C12093" s="8" t="s">
        <v>9</v>
      </c>
    </row>
    <row r="12094" spans="1:3" x14ac:dyDescent="0.25">
      <c r="A12094" s="8" t="str">
        <f>"Proceedings - 2008 IEEE/WIC/ACM International Conference on Web Intelligence and Intelligent Agent Technology - Workshops, WI-IAT Workshops 2008"</f>
        <v>Proceedings - 2008 IEEE/WIC/ACM International Conference on Web Intelligence and Intelligent Agent Technology - Workshops, WI-IAT Workshops 2008</v>
      </c>
      <c r="B12094" s="8" t="str">
        <f>"9780769534961"</f>
        <v>9780769534961</v>
      </c>
      <c r="C12094" s="8" t="s">
        <v>9</v>
      </c>
    </row>
    <row r="12095" spans="1:3" x14ac:dyDescent="0.25">
      <c r="A12095" s="8" t="str">
        <f>"Proceedings - 2008 IEEE/WIC/ACM International Conference on Web Intelligence, WI 2008"</f>
        <v>Proceedings - 2008 IEEE/WIC/ACM International Conference on Web Intelligence, WI 2008</v>
      </c>
      <c r="B12095" s="8" t="str">
        <f>"9780769534961"</f>
        <v>9780769534961</v>
      </c>
      <c r="C12095" s="8" t="s">
        <v>9</v>
      </c>
    </row>
    <row r="12096" spans="1:3" x14ac:dyDescent="0.25">
      <c r="A12096" s="8" t="str">
        <f>"Proceedings - 2008 IFIP International Conference on Network and Parallel Computing, NPC 2008"</f>
        <v>Proceedings - 2008 IFIP International Conference on Network and Parallel Computing, NPC 2008</v>
      </c>
      <c r="B12096" s="8" t="str">
        <f>"9780769533544"</f>
        <v>9780769533544</v>
      </c>
      <c r="C12096" s="8" t="s">
        <v>9</v>
      </c>
    </row>
    <row r="12097" spans="1:3" x14ac:dyDescent="0.25">
      <c r="A12097" s="8" t="str">
        <f>"Proceedings - 2008 International Conference on Advanced Computer Theory and Engineering, ICACTE 2008"</f>
        <v>Proceedings - 2008 International Conference on Advanced Computer Theory and Engineering, ICACTE 2008</v>
      </c>
      <c r="B12097" s="8" t="str">
        <f>"9780769534893"</f>
        <v>9780769534893</v>
      </c>
      <c r="C12097" s="8" t="s">
        <v>9</v>
      </c>
    </row>
    <row r="12098" spans="1:3" x14ac:dyDescent="0.25">
      <c r="A12098" s="8" t="str">
        <f>"Proceedings - 2008 International Conference on Advanced Technologies for Communications, ATC 2008, Held in Conjunction with REV Meeting"</f>
        <v>Proceedings - 2008 International Conference on Advanced Technologies for Communications, ATC 2008, Held in Conjunction with REV Meeting</v>
      </c>
      <c r="B12098" s="8" t="str">
        <f>"9781424426812"</f>
        <v>9781424426812</v>
      </c>
      <c r="C12098" s="8" t="s">
        <v>9</v>
      </c>
    </row>
    <row r="12099" spans="1:3" x14ac:dyDescent="0.25">
      <c r="A12099" s="8" t="str">
        <f>"Proceedings - 2008 International Conference on Computational Intelligence and Security, CIS 2008"</f>
        <v>Proceedings - 2008 International Conference on Computational Intelligence and Security, CIS 2008</v>
      </c>
      <c r="B12099" s="8" t="str">
        <f>"9780769535081"</f>
        <v>9780769535081</v>
      </c>
      <c r="C12099" s="8" t="s">
        <v>9</v>
      </c>
    </row>
    <row r="12100" spans="1:3" x14ac:dyDescent="0.25">
      <c r="A12100" s="8" t="str">
        <f>"Proceedings - 2008 International Conference on Computational Intelligence and Security, CIS 2008"</f>
        <v>Proceedings - 2008 International Conference on Computational Intelligence and Security, CIS 2008</v>
      </c>
      <c r="B12100" s="8" t="str">
        <f>"9780769535081"</f>
        <v>9780769535081</v>
      </c>
      <c r="C12100" s="8" t="s">
        <v>9</v>
      </c>
    </row>
    <row r="12101" spans="1:3" x14ac:dyDescent="0.25">
      <c r="A12101" s="8" t="str">
        <f>"Proceedings - 2008 International Conference on Convergence and Hybrid Information Technology, ICHIT 2008"</f>
        <v>Proceedings - 2008 International Conference on Convergence and Hybrid Information Technology, ICHIT 2008</v>
      </c>
      <c r="B12101" s="8" t="str">
        <f>"9780769533285"</f>
        <v>9780769533285</v>
      </c>
      <c r="C12101" s="8" t="s">
        <v>9</v>
      </c>
    </row>
    <row r="12102" spans="1:3" x14ac:dyDescent="0.25">
      <c r="A12102" s="8" t="str">
        <f>"Proceedings - 2008 International Conference on Embedded Computer Systems: Architectures, Modeling and Simulation, IC-SAMOS 2008"</f>
        <v>Proceedings - 2008 International Conference on Embedded Computer Systems: Architectures, Modeling and Simulation, IC-SAMOS 2008</v>
      </c>
      <c r="B12102" s="8" t="str">
        <f>"9781424419852"</f>
        <v>9781424419852</v>
      </c>
      <c r="C12102" s="8" t="s">
        <v>9</v>
      </c>
    </row>
    <row r="12103" spans="1:3" x14ac:dyDescent="0.25">
      <c r="A12103" s="8" t="str">
        <f>"Proceedings - 2008 International Conference on Field Programmable Logic and Applications, FPL"</f>
        <v>Proceedings - 2008 International Conference on Field Programmable Logic and Applications, FPL</v>
      </c>
      <c r="B12103" s="8" t="str">
        <f>"9781424419616"</f>
        <v>9781424419616</v>
      </c>
      <c r="C12103" s="8" t="s">
        <v>9</v>
      </c>
    </row>
    <row r="12104" spans="1:3" x14ac:dyDescent="0.25">
      <c r="A12104" s="8" t="str">
        <f>"Proceedings - 2008 International Conference on Information Processing in Sensor Networks, IPSN 2008"</f>
        <v>Proceedings - 2008 International Conference on Information Processing in Sensor Networks, IPSN 2008</v>
      </c>
      <c r="B12104" s="8" t="str">
        <f>"9780769531571"</f>
        <v>9780769531571</v>
      </c>
      <c r="C12104" s="8" t="s">
        <v>9</v>
      </c>
    </row>
    <row r="12105" spans="1:3" x14ac:dyDescent="0.25">
      <c r="A12105" s="8" t="str">
        <f>"Proceedings - 2008 International Conference on MultiMedia and Information Technology, MMIT 2008"</f>
        <v>Proceedings - 2008 International Conference on MultiMedia and Information Technology, MMIT 2008</v>
      </c>
      <c r="B12105" s="8" t="str">
        <f>"9780769535562"</f>
        <v>9780769535562</v>
      </c>
      <c r="C12105" s="8" t="s">
        <v>9</v>
      </c>
    </row>
    <row r="12106" spans="1:3" x14ac:dyDescent="0.25">
      <c r="A12106" s="8" t="str">
        <f>"Proceedings - 2008 International Conference on Multimedia and Ubiquitous Engineering, MUE 2008"</f>
        <v>Proceedings - 2008 International Conference on Multimedia and Ubiquitous Engineering, MUE 2008</v>
      </c>
      <c r="B12106" s="8" t="str">
        <f>"9780769531342"</f>
        <v>9780769531342</v>
      </c>
      <c r="C12106" s="8" t="s">
        <v>9</v>
      </c>
    </row>
    <row r="12107" spans="1:3" x14ac:dyDescent="0.25">
      <c r="A12107" s="8" t="str">
        <f>"Proceedings - 2008 International Conference on Reconfigurable Computing and FPGAs, ReConFig 2008"</f>
        <v>Proceedings - 2008 International Conference on Reconfigurable Computing and FPGAs, ReConFig 2008</v>
      </c>
      <c r="B12107" s="8" t="str">
        <f>"9780769534749"</f>
        <v>9780769534749</v>
      </c>
      <c r="C12107" s="8" t="s">
        <v>9</v>
      </c>
    </row>
    <row r="12108" spans="1:3" x14ac:dyDescent="0.25">
      <c r="A12108" s="8" t="str">
        <f>"Proceedings - 2008 International Conference on Security Technology, SecTech 2008"</f>
        <v>Proceedings - 2008 International Conference on Security Technology, SecTech 2008</v>
      </c>
      <c r="B12108" s="8" t="str">
        <f>"9780769534862"</f>
        <v>9780769534862</v>
      </c>
      <c r="C12108" s="8" t="s">
        <v>9</v>
      </c>
    </row>
    <row r="12109" spans="1:3" x14ac:dyDescent="0.25">
      <c r="A12109" s="8" t="str">
        <f>"Proceedings - 2008 International MCETECH Conference on e-Technologies, MCETECH 2008"</f>
        <v>Proceedings - 2008 International MCETECH Conference on e-Technologies, MCETECH 2008</v>
      </c>
      <c r="B12109" s="8" t="str">
        <f>"9780769530826"</f>
        <v>9780769530826</v>
      </c>
      <c r="C12109" s="8" t="s">
        <v>9</v>
      </c>
    </row>
    <row r="12110" spans="1:3" x14ac:dyDescent="0.25">
      <c r="A12110" s="8" t="str">
        <f>"Proceedings - 2008 International Seminar on Future BioMedical Information Engineering, FBIE 2008"</f>
        <v>Proceedings - 2008 International Seminar on Future BioMedical Information Engineering, FBIE 2008</v>
      </c>
      <c r="B12110" s="8" t="str">
        <f>"9780769535616"</f>
        <v>9780769535616</v>
      </c>
      <c r="C12110" s="8" t="s">
        <v>9</v>
      </c>
    </row>
    <row r="12111" spans="1:3" x14ac:dyDescent="0.25">
      <c r="A12111" s="8" t="str">
        <f>"Proceedings - 2008 International Seminar on Future Information Technology and Management Engineering, FITME 2008"</f>
        <v>Proceedings - 2008 International Seminar on Future Information Technology and Management Engineering, FITME 2008</v>
      </c>
      <c r="B12111" s="8" t="str">
        <f>"9780769534800"</f>
        <v>9780769534800</v>
      </c>
      <c r="C12111" s="8" t="s">
        <v>9</v>
      </c>
    </row>
    <row r="12112" spans="1:3" x14ac:dyDescent="0.25">
      <c r="A12112" s="8" t="str">
        <f>"Proceedings - 2008 International Symposium on Applications and the Internet, SAINT 2008"</f>
        <v>Proceedings - 2008 International Symposium on Applications and the Internet, SAINT 2008</v>
      </c>
      <c r="B12112" s="8" t="str">
        <f>"9780769532974"</f>
        <v>9780769532974</v>
      </c>
      <c r="C12112" s="8" t="s">
        <v>9</v>
      </c>
    </row>
    <row r="12113" spans="1:3" x14ac:dyDescent="0.25">
      <c r="A12113" s="8" t="str">
        <f>"Proceedings - 2008 International Symposium on Knowledge Acquisition and Modeling, KAM 2008"</f>
        <v>Proceedings - 2008 International Symposium on Knowledge Acquisition and Modeling, KAM 2008</v>
      </c>
      <c r="B12113" s="8" t="str">
        <f>"9780769534886"</f>
        <v>9780769534886</v>
      </c>
      <c r="C12113" s="8" t="s">
        <v>9</v>
      </c>
    </row>
    <row r="12114" spans="1:3" x14ac:dyDescent="0.25">
      <c r="A12114" s="8" t="str">
        <f>"Proceedings - 2008 International Symposium on Microelectronics, IMAPS 2008"</f>
        <v>Proceedings - 2008 International Symposium on Microelectronics, IMAPS 2008</v>
      </c>
      <c r="B12114" s="8" t="str">
        <f>"9780930815868"</f>
        <v>9780930815868</v>
      </c>
      <c r="C12114" s="8" t="s">
        <v>93</v>
      </c>
    </row>
    <row r="12115" spans="1:3" x14ac:dyDescent="0.25">
      <c r="A12115" s="8" t="str">
        <f>"Proceedings - 2008 International Symposium on Ubiquitous Multimedia Computing, UMC 2008"</f>
        <v>Proceedings - 2008 International Symposium on Ubiquitous Multimedia Computing, UMC 2008</v>
      </c>
      <c r="B12115" s="8" t="str">
        <f>"9780769534275"</f>
        <v>9780769534275</v>
      </c>
      <c r="C12115" s="8" t="s">
        <v>9</v>
      </c>
    </row>
    <row r="12116" spans="1:3" x14ac:dyDescent="0.25">
      <c r="A12116" s="8" t="str">
        <f>"Proceedings - 2008 International Workshop on Information-Explosion and Next Generation Search, INGS 2008"</f>
        <v>Proceedings - 2008 International Workshop on Information-Explosion and Next Generation Search, INGS 2008</v>
      </c>
      <c r="B12116" s="8" t="str">
        <f>"9780769533001"</f>
        <v>9780769533001</v>
      </c>
      <c r="C12116" s="8" t="s">
        <v>9</v>
      </c>
    </row>
    <row r="12117" spans="1:3" x14ac:dyDescent="0.25">
      <c r="A12117" s="8" t="str">
        <f>"Proceedings - 2008 International Workshop on Modelling, Simulation and Optimization, WMSO 2008"</f>
        <v>Proceedings - 2008 International Workshop on Modelling, Simulation and Optimization, WMSO 2008</v>
      </c>
      <c r="B12117" s="8" t="str">
        <f>"9780769534848"</f>
        <v>9780769534848</v>
      </c>
      <c r="C12117" s="8" t="s">
        <v>9</v>
      </c>
    </row>
    <row r="12118" spans="1:3" x14ac:dyDescent="0.25">
      <c r="A12118" s="8" t="str">
        <f>"Proceedings - 2008 Japan-China Joint Workshop on Frontier of Computer Science and Technology, FCST 2008"</f>
        <v>Proceedings - 2008 Japan-China Joint Workshop on Frontier of Computer Science and Technology, FCST 2008</v>
      </c>
      <c r="B12118" s="8" t="str">
        <f>"9780769535401"</f>
        <v>9780769535401</v>
      </c>
      <c r="C12118" s="8" t="s">
        <v>9</v>
      </c>
    </row>
    <row r="12119" spans="1:3" x14ac:dyDescent="0.25">
      <c r="A12119" s="8" t="str">
        <f>"Proceedings - 2008 Joint Central European Congress: 4th Central European Congress on Food, CEFood 2008 and 6th Croatian Congress of Food Technologists, Biotechnologists and Nutritionists"</f>
        <v>Proceedings - 2008 Joint Central European Congress: 4th Central European Congress on Food, CEFood 2008 and 6th Croatian Congress of Food Technologists, Biotechnologists and Nutritionists</v>
      </c>
      <c r="B12119" s="8" t="str">
        <f>"-"</f>
        <v>-</v>
      </c>
      <c r="C12119" s="8" t="s">
        <v>2065</v>
      </c>
    </row>
    <row r="12120" spans="1:3" x14ac:dyDescent="0.25">
      <c r="A12120" s="8" t="str">
        <f>"Proceedings - 2008 Pacific-Asia Workshop on Computational Intelligence and Industrial Application, PACIIA 2008"</f>
        <v>Proceedings - 2008 Pacific-Asia Workshop on Computational Intelligence and Industrial Application, PACIIA 2008</v>
      </c>
      <c r="B12120" s="8" t="str">
        <f>"9780769534909"</f>
        <v>9780769534909</v>
      </c>
      <c r="C12120" s="8" t="s">
        <v>9</v>
      </c>
    </row>
    <row r="12121" spans="1:3" x14ac:dyDescent="0.25">
      <c r="A12121" s="8" t="str">
        <f>"Proceedings - 2008 the 1st IEEE International Conference on Ubi-Media Computing and Workshops, U-Media2008"</f>
        <v>Proceedings - 2008 the 1st IEEE International Conference on Ubi-Media Computing and Workshops, U-Media2008</v>
      </c>
      <c r="B12121" s="8" t="str">
        <f>"9781424418657"</f>
        <v>9781424418657</v>
      </c>
      <c r="C12121" s="8" t="s">
        <v>9</v>
      </c>
    </row>
    <row r="12122" spans="1:3" x14ac:dyDescent="0.25">
      <c r="A12122" s="8" t="str">
        <f>"Proceedings - 2008 Workshop on Power Electronics and Intelligent Transportation System, PEITS 2008"</f>
        <v>Proceedings - 2008 Workshop on Power Electronics and Intelligent Transportation System, PEITS 2008</v>
      </c>
      <c r="B12122" s="8" t="str">
        <f>"9780769533421"</f>
        <v>9780769533421</v>
      </c>
      <c r="C12122" s="8" t="s">
        <v>9</v>
      </c>
    </row>
    <row r="12123" spans="1:3" x14ac:dyDescent="0.25">
      <c r="A12123" s="8" t="str">
        <f>"Proceedings - 2009 10th Non-Volatile Memory Technology Symposium, NVMTS 2009"</f>
        <v>Proceedings - 2009 10th Non-Volatile Memory Technology Symposium, NVMTS 2009</v>
      </c>
      <c r="B12123" s="8" t="str">
        <f>"9781424449545"</f>
        <v>9781424449545</v>
      </c>
      <c r="C12123" s="8" t="s">
        <v>9</v>
      </c>
    </row>
    <row r="12124" spans="1:3" x14ac:dyDescent="0.25">
      <c r="A12124" s="8" t="str">
        <f>"Proceedings - 2009 11th IEEE International Conference on Computer-Aided Design and Computer Graphics, CAD/Graphics 2009"</f>
        <v>Proceedings - 2009 11th IEEE International Conference on Computer-Aided Design and Computer Graphics, CAD/Graphics 2009</v>
      </c>
      <c r="B12124" s="8" t="str">
        <f>"9781424437009"</f>
        <v>9781424437009</v>
      </c>
      <c r="C12124" s="8" t="s">
        <v>9</v>
      </c>
    </row>
    <row r="12125" spans="1:3" x14ac:dyDescent="0.25">
      <c r="A12125" s="8" t="str">
        <f>"Proceedings - 2009 13th International Symposium on Antenna Technology and Applied Electromagnetics and the Canadian Radio Sciences Meeting, ANTEM/URSI 2009"</f>
        <v>Proceedings - 2009 13th International Symposium on Antenna Technology and Applied Electromagnetics and the Canadian Radio Sciences Meeting, ANTEM/URSI 2009</v>
      </c>
      <c r="B12125" s="8" t="str">
        <f>"9781424429806"</f>
        <v>9781424429806</v>
      </c>
      <c r="C12125" s="8" t="s">
        <v>9</v>
      </c>
    </row>
    <row r="12126" spans="1:3" x14ac:dyDescent="0.25">
      <c r="A12126" s="8" t="str">
        <f>"Proceedings - 2009 13th International Workshop on Computational Electronics, IWCE 2009"</f>
        <v>Proceedings - 2009 13th International Workshop on Computational Electronics, IWCE 2009</v>
      </c>
      <c r="B12126" s="8" t="str">
        <f>"9781424439270"</f>
        <v>9781424439270</v>
      </c>
      <c r="C12126" s="8" t="s">
        <v>9</v>
      </c>
    </row>
    <row r="12127" spans="1:3" x14ac:dyDescent="0.25">
      <c r="A12127" s="8" t="str">
        <f>"Proceedings - 2009 1st Asian Conference on Intelligent Information and Database Systems, ACIIDS 2009"</f>
        <v>Proceedings - 2009 1st Asian Conference on Intelligent Information and Database Systems, ACIIDS 2009</v>
      </c>
      <c r="B12127" s="8" t="str">
        <f>"9780769535807"</f>
        <v>9780769535807</v>
      </c>
      <c r="C12127" s="8" t="s">
        <v>9</v>
      </c>
    </row>
    <row r="12128" spans="1:3" x14ac:dyDescent="0.25">
      <c r="A12128" s="8" t="str">
        <f>"Proceedings - 2009 1st IEEE Symposium on Web Society, SWS 2009"</f>
        <v>Proceedings - 2009 1st IEEE Symposium on Web Society, SWS 2009</v>
      </c>
      <c r="B12128" s="8" t="str">
        <f>"9781424441563"</f>
        <v>9781424441563</v>
      </c>
      <c r="C12128" s="8" t="s">
        <v>9</v>
      </c>
    </row>
    <row r="12129" spans="1:3" x14ac:dyDescent="0.25">
      <c r="A12129" s="8" t="str">
        <f>"Proceedings - 2009 1st International Conference on Advances in Databases, Knowledge, and Data Applications, DBKDA 2009"</f>
        <v>Proceedings - 2009 1st International Conference on Advances in Databases, Knowledge, and Data Applications, DBKDA 2009</v>
      </c>
      <c r="B12129" s="8" t="str">
        <f>"9780769535500"</f>
        <v>9780769535500</v>
      </c>
      <c r="C12129" s="8" t="s">
        <v>9</v>
      </c>
    </row>
    <row r="12130" spans="1:3" x14ac:dyDescent="0.25">
      <c r="A12130" s="8" t="str">
        <f>"Proceedings - 2009 1st International Conference on Advances in Future Internet, AFIN 2009"</f>
        <v>Proceedings - 2009 1st International Conference on Advances in Future Internet, AFIN 2009</v>
      </c>
      <c r="B12130" s="8" t="str">
        <f>"9780769536644"</f>
        <v>9780769536644</v>
      </c>
      <c r="C12130" s="8" t="s">
        <v>9</v>
      </c>
    </row>
    <row r="12131" spans="1:3" x14ac:dyDescent="0.25">
      <c r="A12131" s="8" t="str">
        <f>"Proceedings - 2009 1st International Conference on Advances in Multimedia, MMEDIA 2009"</f>
        <v>Proceedings - 2009 1st International Conference on Advances in Multimedia, MMEDIA 2009</v>
      </c>
      <c r="B12131" s="8" t="str">
        <f>"9780769536934"</f>
        <v>9780769536934</v>
      </c>
      <c r="C12131" s="8" t="s">
        <v>9</v>
      </c>
    </row>
    <row r="12132" spans="1:3" x14ac:dyDescent="0.25">
      <c r="A12132" s="8" t="str">
        <f>"Proceedings - 2009 1st International Conference on Advances in Satellite and Space Communications, SPACOMM 2009"</f>
        <v>Proceedings - 2009 1st International Conference on Advances in Satellite and Space Communications, SPACOMM 2009</v>
      </c>
      <c r="B12132" s="8" t="str">
        <f>"9780769536941"</f>
        <v>9780769536941</v>
      </c>
      <c r="C12132" s="8" t="s">
        <v>9</v>
      </c>
    </row>
    <row r="12133" spans="1:3" x14ac:dyDescent="0.25">
      <c r="A12133" s="8" t="str">
        <f>"Proceedings - 2009 1st International Workshop on Database Technology and Applications, DBTA 2009"</f>
        <v>Proceedings - 2009 1st International Workshop on Database Technology and Applications, DBTA 2009</v>
      </c>
      <c r="B12133" s="8" t="str">
        <f>"9780769536040"</f>
        <v>9780769536040</v>
      </c>
      <c r="C12133" s="8" t="s">
        <v>9</v>
      </c>
    </row>
    <row r="12134" spans="1:3" x14ac:dyDescent="0.25">
      <c r="A12134" s="8" t="str">
        <f>"Proceedings - 2009 1st International Workshop on Near Field Communication, NFC 2009"</f>
        <v>Proceedings - 2009 1st International Workshop on Near Field Communication, NFC 2009</v>
      </c>
      <c r="B12134" s="8" t="str">
        <f>"9780769535777"</f>
        <v>9780769535777</v>
      </c>
      <c r="C12134" s="8" t="s">
        <v>9</v>
      </c>
    </row>
    <row r="12135" spans="1:3" x14ac:dyDescent="0.25">
      <c r="A12135" s="8" t="str">
        <f>"Proceedings - 2009 1st UK-India International Workshop on Cognitive Wireless Systems, UKIWCWS 2009"</f>
        <v>Proceedings - 2009 1st UK-India International Workshop on Cognitive Wireless Systems, UKIWCWS 2009</v>
      </c>
      <c r="B12135" s="8" t="str">
        <f>"9781457701832"</f>
        <v>9781457701832</v>
      </c>
      <c r="C12135" s="8" t="s">
        <v>9</v>
      </c>
    </row>
    <row r="12136" spans="1:3" x14ac:dyDescent="0.25">
      <c r="A12136" s="8" t="str">
        <f>"Proceedings - 2009 2nd Conference on Human System Interactions, HSI '09"</f>
        <v>Proceedings - 2009 2nd Conference on Human System Interactions, HSI '09</v>
      </c>
      <c r="B12136" s="8" t="str">
        <f>"9781424439607"</f>
        <v>9781424439607</v>
      </c>
      <c r="C12136" s="8" t="s">
        <v>9</v>
      </c>
    </row>
    <row r="12137" spans="1:3" x14ac:dyDescent="0.25">
      <c r="A12137" s="8" t="str">
        <f>"Proceedings - 2009 2nd IEEE International Conference on Computer Science and Information Technology, ICCSIT 2009"</f>
        <v>Proceedings - 2009 2nd IEEE International Conference on Computer Science and Information Technology, ICCSIT 2009</v>
      </c>
      <c r="B12137" s="8" t="str">
        <f>"9781424445196"</f>
        <v>9781424445196</v>
      </c>
      <c r="C12137" s="8" t="s">
        <v>9</v>
      </c>
    </row>
    <row r="12138" spans="1:3" x14ac:dyDescent="0.25">
      <c r="A12138" s="8" t="str">
        <f>"Proceedings - 2009 2nd International Conference in Visualisation, VIZ 2009"</f>
        <v>Proceedings - 2009 2nd International Conference in Visualisation, VIZ 2009</v>
      </c>
      <c r="B12138" s="8" t="str">
        <f>"9780769537344"</f>
        <v>9780769537344</v>
      </c>
      <c r="C12138" s="8" t="s">
        <v>9</v>
      </c>
    </row>
    <row r="12139" spans="1:3" x14ac:dyDescent="0.25">
      <c r="A12139" s="8" t="str">
        <f>"Proceedings - 2009 2nd International Conference on Advances in Mesh Networks, MESH 2009"</f>
        <v>Proceedings - 2009 2nd International Conference on Advances in Mesh Networks, MESH 2009</v>
      </c>
      <c r="B12139" s="8" t="str">
        <f>"9780769536675"</f>
        <v>9780769536675</v>
      </c>
      <c r="C12139" s="8" t="s">
        <v>9</v>
      </c>
    </row>
    <row r="12140" spans="1:3" x14ac:dyDescent="0.25">
      <c r="A12140" s="8" t="str">
        <f>"Proceedings - 2009 2nd International Conference on Dependability, DEPEND 2009"</f>
        <v>Proceedings - 2009 2nd International Conference on Dependability, DEPEND 2009</v>
      </c>
      <c r="B12140" s="8" t="str">
        <f>"9780769536668"</f>
        <v>9780769536668</v>
      </c>
      <c r="C12140" s="8" t="s">
        <v>9</v>
      </c>
    </row>
    <row r="12141" spans="1:3" x14ac:dyDescent="0.25">
      <c r="A12141" s="8" t="str">
        <f>"Proceedings - 2009 2nd International Workshop on Knowledge Discovery and Data Mining, WKKD 2009"</f>
        <v>Proceedings - 2009 2nd International Workshop on Knowledge Discovery and Data Mining, WKKD 2009</v>
      </c>
      <c r="B12141" s="8" t="str">
        <f>"9780769535432"</f>
        <v>9780769535432</v>
      </c>
      <c r="C12141" s="8" t="s">
        <v>9</v>
      </c>
    </row>
    <row r="12142" spans="1:3" x14ac:dyDescent="0.25">
      <c r="A12142" s="8" t="str">
        <f>"Proceedings - 2009 3rd ACM/IEEE International Symposium on Networks-on-Chip, NoCS 2009"</f>
        <v>Proceedings - 2009 3rd ACM/IEEE International Symposium on Networks-on-Chip, NoCS 2009</v>
      </c>
      <c r="B12142" s="8" t="str">
        <f>"9781424441433"</f>
        <v>9781424441433</v>
      </c>
      <c r="C12142" s="8" t="s">
        <v>9</v>
      </c>
    </row>
    <row r="12143" spans="1:3" x14ac:dyDescent="0.25">
      <c r="A12143" s="8" t="str">
        <f>"Proceedings - 2009 3rd Asia International Conference on Modelling and Simulation, AMS 2009"</f>
        <v>Proceedings - 2009 3rd Asia International Conference on Modelling and Simulation, AMS 2009</v>
      </c>
      <c r="B12143" s="8" t="str">
        <f>"9780769536484"</f>
        <v>9780769536484</v>
      </c>
      <c r="C12143" s="8" t="s">
        <v>9</v>
      </c>
    </row>
    <row r="12144" spans="1:3" x14ac:dyDescent="0.25">
      <c r="A12144" s="8" t="str">
        <f>"Proceedings - 2009 3rd IEEE International Conference on Space Mission Challenges for Information Technology, SMC-IT 2009"</f>
        <v>Proceedings - 2009 3rd IEEE International Conference on Space Mission Challenges for Information Technology, SMC-IT 2009</v>
      </c>
      <c r="B12144" s="8" t="str">
        <f>"9780769536378"</f>
        <v>9780769536378</v>
      </c>
      <c r="C12144" s="8" t="s">
        <v>9</v>
      </c>
    </row>
    <row r="12145" spans="1:3" x14ac:dyDescent="0.25">
      <c r="A12145" s="8" t="str">
        <f>"Proceedings - 2009 3rd IEEE International Symposium on Microwave, Antenna, Propagation and EMC Technologies for Wireless Communications, MAPE 2009"</f>
        <v>Proceedings - 2009 3rd IEEE International Symposium on Microwave, Antenna, Propagation and EMC Technologies for Wireless Communications, MAPE 2009</v>
      </c>
      <c r="B12145" s="8" t="str">
        <f>"9781424440740"</f>
        <v>9781424440740</v>
      </c>
      <c r="C12145" s="8" t="s">
        <v>9</v>
      </c>
    </row>
    <row r="12146" spans="1:3" x14ac:dyDescent="0.25">
      <c r="A12146" s="8" t="str">
        <f>"Proceedings - 2009 3rd IEEE International Symposium on Theoretical Aspects of Software Engineering, TASE 2009"</f>
        <v>Proceedings - 2009 3rd IEEE International Symposium on Theoretical Aspects of Software Engineering, TASE 2009</v>
      </c>
      <c r="B12146" s="8" t="str">
        <f>"9780769537573"</f>
        <v>9780769537573</v>
      </c>
      <c r="C12146" s="8" t="s">
        <v>9</v>
      </c>
    </row>
    <row r="12147" spans="1:3" x14ac:dyDescent="0.25">
      <c r="A12147" s="8" t="str">
        <f>"Proceedings - 2009 3rd International Conference on Affective Computing and Intelligent Interaction and Workshops, ACII 2009"</f>
        <v>Proceedings - 2009 3rd International Conference on Affective Computing and Intelligent Interaction and Workshops, ACII 2009</v>
      </c>
      <c r="B12147" s="8" t="str">
        <f>"9781424447992"</f>
        <v>9781424447992</v>
      </c>
      <c r="C12147" s="8" t="s">
        <v>9</v>
      </c>
    </row>
    <row r="12148" spans="1:3" x14ac:dyDescent="0.25">
      <c r="A12148" s="8" t="str">
        <f>"Proceedings - 2009 3rd International Conference on Emerging Security Information, Systems and Technologies, SECURWARE 2009"</f>
        <v>Proceedings - 2009 3rd International Conference on Emerging Security Information, Systems and Technologies, SECURWARE 2009</v>
      </c>
      <c r="B12148" s="8" t="str">
        <f>"9780769536682"</f>
        <v>9780769536682</v>
      </c>
      <c r="C12148" s="8" t="s">
        <v>9</v>
      </c>
    </row>
    <row r="12149" spans="1:3" x14ac:dyDescent="0.25">
      <c r="A12149" s="8" t="str">
        <f>"Proceedings - 2009 3rd International Conference on Sensor Technologies and Applications, SENSORCOMM 2009"</f>
        <v>Proceedings - 2009 3rd International Conference on Sensor Technologies and Applications, SENSORCOMM 2009</v>
      </c>
      <c r="B12149" s="8" t="str">
        <f>"9780769536699"</f>
        <v>9780769536699</v>
      </c>
      <c r="C12149" s="8" t="s">
        <v>9</v>
      </c>
    </row>
    <row r="12150" spans="1:3" x14ac:dyDescent="0.25">
      <c r="A12150" s="8" t="str">
        <f>"Proceedings - 2009 3rd International Workshop on Soft Computing Applications, SOFA 2009"</f>
        <v>Proceedings - 2009 3rd International Workshop on Soft Computing Applications, SOFA 2009</v>
      </c>
      <c r="B12150" s="8" t="str">
        <f>"9781424450565"</f>
        <v>9781424450565</v>
      </c>
      <c r="C12150" s="8" t="s">
        <v>9</v>
      </c>
    </row>
    <row r="12151" spans="1:3" x14ac:dyDescent="0.25">
      <c r="A12151" s="8" t="str">
        <f>"Proceedings - 2009 3rd Southern Conference on Computational Modeling, MCSUL 2009"</f>
        <v>Proceedings - 2009 3rd Southern Conference on Computational Modeling, MCSUL 2009</v>
      </c>
      <c r="B12151" s="8" t="str">
        <f>"9780769539768"</f>
        <v>9780769539768</v>
      </c>
      <c r="C12151" s="8" t="s">
        <v>9</v>
      </c>
    </row>
    <row r="12152" spans="1:3" x14ac:dyDescent="0.25">
      <c r="A12152" s="8" t="str">
        <f>"Proceedings - 2009 4th IEEE International Conference on Global Software Engineering, ICGSE 2009"</f>
        <v>Proceedings - 2009 4th IEEE International Conference on Global Software Engineering, ICGSE 2009</v>
      </c>
      <c r="B12152" s="8" t="str">
        <f>"9780769537108"</f>
        <v>9780769537108</v>
      </c>
      <c r="C12152" s="8" t="s">
        <v>9</v>
      </c>
    </row>
    <row r="12153" spans="1:3" x14ac:dyDescent="0.25">
      <c r="A12153" s="8" t="str">
        <f>"Proceedings - 2009 4th International Conference on Digital Telecommunications, ICDT 2009"</f>
        <v>Proceedings - 2009 4th International Conference on Digital Telecommunications, ICDT 2009</v>
      </c>
      <c r="B12153" s="8" t="str">
        <f>"9780769536958"</f>
        <v>9780769536958</v>
      </c>
      <c r="C12153" s="8" t="s">
        <v>9</v>
      </c>
    </row>
    <row r="12154" spans="1:3" x14ac:dyDescent="0.25">
      <c r="A12154" s="8" t="str">
        <f>"Proceedings - 2009 4th International Conference on Internet Monitoring and Protection, ICIMP 2009"</f>
        <v>Proceedings - 2009 4th International Conference on Internet Monitoring and Protection, ICIMP 2009</v>
      </c>
      <c r="B12154" s="8" t="str">
        <f>"9780769536125"</f>
        <v>9780769536125</v>
      </c>
      <c r="C12154" s="8" t="s">
        <v>9</v>
      </c>
    </row>
    <row r="12155" spans="1:3" x14ac:dyDescent="0.25">
      <c r="A12155" s="8" t="str">
        <f>"Proceedings - 2009 4th Latin-American Symposium on Dependable Computing, LADC 2009"</f>
        <v>Proceedings - 2009 4th Latin-American Symposium on Dependable Computing, LADC 2009</v>
      </c>
      <c r="B12155" s="8" t="str">
        <f>"9780769537603"</f>
        <v>9780769537603</v>
      </c>
      <c r="C12155" s="8" t="s">
        <v>9</v>
      </c>
    </row>
    <row r="12156" spans="1:3" x14ac:dyDescent="0.25">
      <c r="A12156" s="8" t="str">
        <f>"Proceedings - 2009 5th International Symposium on Applied Computational Intelligence and Informatics, SACI 2009"</f>
        <v>Proceedings - 2009 5th International Symposium on Applied Computational Intelligence and Informatics, SACI 2009</v>
      </c>
      <c r="B12156" s="8" t="str">
        <f>"9781424444786"</f>
        <v>9781424444786</v>
      </c>
      <c r="C12156" s="8" t="s">
        <v>9</v>
      </c>
    </row>
    <row r="12157" spans="1:3" x14ac:dyDescent="0.25">
      <c r="A12157" s="8" t="str">
        <f>"Proceedings - 2009 5th Southern Conference on Programmable Logic, SPL 2009"</f>
        <v>Proceedings - 2009 5th Southern Conference on Programmable Logic, SPL 2009</v>
      </c>
      <c r="B12157" s="8" t="str">
        <f>"9781424438464"</f>
        <v>9781424438464</v>
      </c>
      <c r="C12157" s="8" t="s">
        <v>9</v>
      </c>
    </row>
    <row r="12158" spans="1:3" x14ac:dyDescent="0.25">
      <c r="A12158" s="8" t="str">
        <f>"Proceedings - 2009 6th International Workshop on Wearable and Implantable Body Sensor Networks, BSN 2009"</f>
        <v>Proceedings - 2009 6th International Workshop on Wearable and Implantable Body Sensor Networks, BSN 2009</v>
      </c>
      <c r="B12158" s="8" t="str">
        <f>"9780769536446"</f>
        <v>9780769536446</v>
      </c>
      <c r="C12158" s="8" t="s">
        <v>9</v>
      </c>
    </row>
    <row r="12159" spans="1:3" x14ac:dyDescent="0.25">
      <c r="A12159" s="8" t="str">
        <f>"Proceedings - 2009 8th IEEE International Symposium on Network Computing and Applications, NCA 2009"</f>
        <v>Proceedings - 2009 8th IEEE International Symposium on Network Computing and Applications, NCA 2009</v>
      </c>
      <c r="B12159" s="8" t="str">
        <f>"9780769536989"</f>
        <v>9780769536989</v>
      </c>
      <c r="C12159" s="8" t="s">
        <v>9</v>
      </c>
    </row>
    <row r="12160" spans="1:3" x14ac:dyDescent="0.25">
      <c r="A12160" s="8" t="str">
        <f>"Proceedings - 2009 9th Annual International Symposium on Applications and the Internet, SAINT 2009"</f>
        <v>Proceedings - 2009 9th Annual International Symposium on Applications and the Internet, SAINT 2009</v>
      </c>
      <c r="B12160" s="8" t="str">
        <f>"9780769537009"</f>
        <v>9780769537009</v>
      </c>
      <c r="C12160" s="8" t="s">
        <v>9</v>
      </c>
    </row>
    <row r="12161" spans="1:3" x14ac:dyDescent="0.25">
      <c r="A12161" s="8" t="str">
        <f>"Proceedings - 2009 9th IEEE International Conference on Advanced Learning Technologies, ICALT 2009"</f>
        <v>Proceedings - 2009 9th IEEE International Conference on Advanced Learning Technologies, ICALT 2009</v>
      </c>
      <c r="B12161" s="8" t="str">
        <f>"9780769537115"</f>
        <v>9780769537115</v>
      </c>
      <c r="C12161" s="8" t="s">
        <v>9</v>
      </c>
    </row>
    <row r="12162" spans="1:3" x14ac:dyDescent="0.25">
      <c r="A12162" s="8" t="str">
        <f>"Proceedings - 2009 9th International Conference on Hybrid Intelligent Systems, HIS 2009"</f>
        <v>Proceedings - 2009 9th International Conference on Hybrid Intelligent Systems, HIS 2009</v>
      </c>
      <c r="B12162" s="8" t="str">
        <f>"9780769537450"</f>
        <v>9780769537450</v>
      </c>
      <c r="C12162" s="8" t="s">
        <v>9</v>
      </c>
    </row>
    <row r="12163" spans="1:3" x14ac:dyDescent="0.25">
      <c r="A12163" s="8" t="str">
        <f>"Proceedings - 2009 Advanced Technologies for Enhanced Quality of Life, AT-EQUAL 2009"</f>
        <v>Proceedings - 2009 Advanced Technologies for Enhanced Quality of Life, AT-EQUAL 2009</v>
      </c>
      <c r="B12163" s="8" t="str">
        <f>"9780769537535"</f>
        <v>9780769537535</v>
      </c>
      <c r="C12163" s="8" t="s">
        <v>9</v>
      </c>
    </row>
    <row r="12164" spans="1:3" x14ac:dyDescent="0.25">
      <c r="A12164" s="8" t="str">
        <f>"Proceedings - 2009 Agile Conference, AGILE 2009"</f>
        <v>Proceedings - 2009 Agile Conference, AGILE 2009</v>
      </c>
      <c r="B12164" s="8" t="str">
        <f>"9780769537689"</f>
        <v>9780769537689</v>
      </c>
      <c r="C12164" s="8" t="s">
        <v>9</v>
      </c>
    </row>
    <row r="12165" spans="1:3" x14ac:dyDescent="0.25">
      <c r="A12165" s="8" t="str">
        <f>"Proceedings - 2009 Asia-Pacific Conference on Information Processing, APCIP 2009"</f>
        <v>Proceedings - 2009 Asia-Pacific Conference on Information Processing, APCIP 2009</v>
      </c>
      <c r="B12165" s="8" t="str">
        <f>"9780769536996"</f>
        <v>9780769536996</v>
      </c>
      <c r="C12165" s="8" t="s">
        <v>9</v>
      </c>
    </row>
    <row r="12166" spans="1:3" x14ac:dyDescent="0.25">
      <c r="A12166" s="8" t="str">
        <f>"Proceedings - 2009 Data Compression Conference, DCC 2009"</f>
        <v>Proceedings - 2009 Data Compression Conference, DCC 2009</v>
      </c>
      <c r="B12166" s="8" t="str">
        <f>"9780769535920"</f>
        <v>9780769535920</v>
      </c>
      <c r="C12166" s="8" t="s">
        <v>9</v>
      </c>
    </row>
    <row r="12167" spans="1:3" x14ac:dyDescent="0.25">
      <c r="A12167" s="8" t="str">
        <f>"Proceedings - 2009 IEEE 5th International Conference on Intelligent Computer Communication and Processing, ICCP 2009"</f>
        <v>Proceedings - 2009 IEEE 5th International Conference on Intelligent Computer Communication and Processing, ICCP 2009</v>
      </c>
      <c r="B12167" s="8" t="str">
        <f>"9781424450077"</f>
        <v>9781424450077</v>
      </c>
      <c r="C12167" s="8" t="s">
        <v>9</v>
      </c>
    </row>
    <row r="12168" spans="1:3" x14ac:dyDescent="0.25">
      <c r="A12168" s="8" t="str">
        <f>"Proceedings - 2009 IEEE Congress on Services, SERVICES 2009"</f>
        <v>Proceedings - 2009 IEEE Congress on Services, SERVICES 2009</v>
      </c>
      <c r="B12168" s="8" t="str">
        <f>"9780769537085"</f>
        <v>9780769537085</v>
      </c>
      <c r="C12168" s="8" t="s">
        <v>9</v>
      </c>
    </row>
    <row r="12169" spans="1:3" x14ac:dyDescent="0.25">
      <c r="A12169" s="8" t="str">
        <f>"Proceedings - 2009 IEEE Information Theory Workshop on Networking and Information Theory, ITW 2009"</f>
        <v>Proceedings - 2009 IEEE Information Theory Workshop on Networking and Information Theory, ITW 2009</v>
      </c>
      <c r="B12169" s="8" t="str">
        <f>"9781424445363"</f>
        <v>9781424445363</v>
      </c>
      <c r="C12169" s="8" t="s">
        <v>9</v>
      </c>
    </row>
    <row r="12170" spans="1:3" x14ac:dyDescent="0.25">
      <c r="A12170" s="8" t="str">
        <f>"Proceedings - 2009 IEEE International Conference on Bioinformatics and Biomedicine Workshops, BIBMW 2009"</f>
        <v>Proceedings - 2009 IEEE International Conference on Bioinformatics and Biomedicine Workshops, BIBMW 2009</v>
      </c>
      <c r="B12170" s="8" t="str">
        <f>"9781424451210"</f>
        <v>9781424451210</v>
      </c>
      <c r="C12170" s="8" t="s">
        <v>9</v>
      </c>
    </row>
    <row r="12171" spans="1:3" x14ac:dyDescent="0.25">
      <c r="A12171" s="8" t="str">
        <f>"Proceedings - 2009 IEEE International Conference on Communications Workshops, ICC 2009"</f>
        <v>Proceedings - 2009 IEEE International Conference on Communications Workshops, ICC 2009</v>
      </c>
      <c r="B12171" s="8" t="str">
        <f>"9781424434374"</f>
        <v>9781424434374</v>
      </c>
      <c r="C12171" s="8" t="s">
        <v>9</v>
      </c>
    </row>
    <row r="12172" spans="1:3" x14ac:dyDescent="0.25">
      <c r="A12172" s="8" t="str">
        <f>"Proceedings - 2009 IEEE International Conference on Intelligent Computing and Intelligent Systems, ICIS 2009"</f>
        <v>Proceedings - 2009 IEEE International Conference on Intelligent Computing and Intelligent Systems, ICIS 2009</v>
      </c>
      <c r="B12172" s="8" t="str">
        <f>"9781424447541"</f>
        <v>9781424447541</v>
      </c>
      <c r="C12172" s="8" t="s">
        <v>9</v>
      </c>
    </row>
    <row r="12173" spans="1:3" x14ac:dyDescent="0.25">
      <c r="A12173" s="8" t="str">
        <f>"Proceedings - 2009 IEEE International Conference on Multimedia and Expo, ICME 2009"</f>
        <v>Proceedings - 2009 IEEE International Conference on Multimedia and Expo, ICME 2009</v>
      </c>
      <c r="B12173" s="8" t="str">
        <f>"9781424442911"</f>
        <v>9781424442911</v>
      </c>
      <c r="C12173" s="8" t="s">
        <v>9</v>
      </c>
    </row>
    <row r="12174" spans="1:3" x14ac:dyDescent="0.25">
      <c r="A12174" s="8" t="str">
        <f>"Proceedings - 2009 IEEE International Conference on Multimedia and Expo, ICME 2009"</f>
        <v>Proceedings - 2009 IEEE International Conference on Multimedia and Expo, ICME 2009</v>
      </c>
      <c r="B12174" s="8" t="str">
        <f>"9781424442911"</f>
        <v>9781424442911</v>
      </c>
      <c r="C12174" s="8" t="s">
        <v>9</v>
      </c>
    </row>
    <row r="12175" spans="1:3" x14ac:dyDescent="0.25">
      <c r="A12175" s="8" t="str">
        <f>"Proceedings - 2009 IEEE International Conference on Networking, Architecture, and Storage, NAS 2009"</f>
        <v>Proceedings - 2009 IEEE International Conference on Networking, Architecture, and Storage, NAS 2009</v>
      </c>
      <c r="B12175" s="8" t="str">
        <f>"9780769537412"</f>
        <v>9780769537412</v>
      </c>
      <c r="C12175" s="8" t="s">
        <v>9</v>
      </c>
    </row>
    <row r="12176" spans="1:3" x14ac:dyDescent="0.25">
      <c r="A12176" s="8" t="str">
        <f>"Proceedings - 2009 IEEE International Conference on Ultra-Wideband, ICUWB 2009"</f>
        <v>Proceedings - 2009 IEEE International Conference on Ultra-Wideband, ICUWB 2009</v>
      </c>
      <c r="B12176" s="8" t="str">
        <f>"9781424429318"</f>
        <v>9781424429318</v>
      </c>
      <c r="C12176" s="8" t="s">
        <v>9</v>
      </c>
    </row>
    <row r="12177" spans="1:3" x14ac:dyDescent="0.25">
      <c r="A12177" s="8" t="str">
        <f>"Proceedings - 2009 IEEE International Symposium on Biomedical Imaging: From Nano to Macro, ISBI 2009"</f>
        <v>Proceedings - 2009 IEEE International Symposium on Biomedical Imaging: From Nano to Macro, ISBI 2009</v>
      </c>
      <c r="B12177" s="8" t="str">
        <f>"9781424439324"</f>
        <v>9781424439324</v>
      </c>
      <c r="C12177" s="8" t="s">
        <v>9</v>
      </c>
    </row>
    <row r="12178" spans="1:3" x14ac:dyDescent="0.25">
      <c r="A12178" s="8" t="str">
        <f>"Proceedings - 2009 IEEE International Symposium on Industrial Embedded Systems, SIES 2009"</f>
        <v>Proceedings - 2009 IEEE International Symposium on Industrial Embedded Systems, SIES 2009</v>
      </c>
      <c r="B12178" s="8" t="str">
        <f>"9781424441105"</f>
        <v>9781424441105</v>
      </c>
      <c r="C12178" s="8" t="s">
        <v>9</v>
      </c>
    </row>
    <row r="12179" spans="1:3" x14ac:dyDescent="0.25">
      <c r="A12179" s="8" t="str">
        <f>"Proceedings - 2009 IEEE International Symposium on Parallel and Distributed Processing with Applications, ISPA 2009"</f>
        <v>Proceedings - 2009 IEEE International Symposium on Parallel and Distributed Processing with Applications, ISPA 2009</v>
      </c>
      <c r="B12179" s="8" t="str">
        <f>"9780769537474"</f>
        <v>9780769537474</v>
      </c>
      <c r="C12179" s="8" t="s">
        <v>9</v>
      </c>
    </row>
    <row r="12180" spans="1:3" x14ac:dyDescent="0.25">
      <c r="A12180" s="8" t="str">
        <f>"Proceedings - 2009 IEEE International Symposium on Policies for Distributed Systems and Networks, POLICY 2009"</f>
        <v>Proceedings - 2009 IEEE International Symposium on Policies for Distributed Systems and Networks, POLICY 2009</v>
      </c>
      <c r="B12180" s="8" t="str">
        <f>"9780769537429"</f>
        <v>9780769537429</v>
      </c>
      <c r="C12180" s="8" t="s">
        <v>9</v>
      </c>
    </row>
    <row r="12181" spans="1:3" x14ac:dyDescent="0.25">
      <c r="A12181" s="8" t="str">
        <f>"Proceedings - 2009 IEEE Mobile WiMAX Symposium, MWS 2009"</f>
        <v>Proceedings - 2009 IEEE Mobile WiMAX Symposium, MWS 2009</v>
      </c>
      <c r="B12181" s="8" t="str">
        <f>"9780769537191"</f>
        <v>9780769537191</v>
      </c>
      <c r="C12181" s="8" t="s">
        <v>9</v>
      </c>
    </row>
    <row r="12182" spans="1:3" x14ac:dyDescent="0.25">
      <c r="A12182" s="8" t="str">
        <f>"Proceedings - 2009 IEEE Youth Conference on Information, Computing and Telecommunication, YC-ICT2009"</f>
        <v>Proceedings - 2009 IEEE Youth Conference on Information, Computing and Telecommunication, YC-ICT2009</v>
      </c>
      <c r="B12182" s="8" t="str">
        <f>"9781424450756"</f>
        <v>9781424450756</v>
      </c>
      <c r="C12182" s="8" t="s">
        <v>9</v>
      </c>
    </row>
    <row r="12183" spans="1:3" x14ac:dyDescent="0.25">
      <c r="A12183" s="8" t="str">
        <f>"Proceedings - 2009 IEEE/WIC/ACM International Conference on Intelligent Agent Technology, IAT 2009"</f>
        <v>Proceedings - 2009 IEEE/WIC/ACM International Conference on Intelligent Agent Technology, IAT 2009</v>
      </c>
      <c r="B12183" s="8" t="str">
        <f>"9780769538013"</f>
        <v>9780769538013</v>
      </c>
      <c r="C12183" s="8" t="s">
        <v>9</v>
      </c>
    </row>
    <row r="12184" spans="1:3" x14ac:dyDescent="0.25">
      <c r="A12184" s="8" t="str">
        <f>"Proceedings - 2009 IEEE/WIC/ACM International Conference on Web Intelligence and Intelligent Agent Technology - Workshops, WI-IAT Workshops 2009"</f>
        <v>Proceedings - 2009 IEEE/WIC/ACM International Conference on Web Intelligence and Intelligent Agent Technology - Workshops, WI-IAT Workshops 2009</v>
      </c>
      <c r="B12184" s="8" t="str">
        <f>"9780769538013"</f>
        <v>9780769538013</v>
      </c>
      <c r="C12184" s="8" t="s">
        <v>9</v>
      </c>
    </row>
    <row r="12185" spans="1:3" x14ac:dyDescent="0.25">
      <c r="A12185" s="8" t="str">
        <f>"Proceedings - 2009 IEEE/WIC/ACM International Conference on Web Intelligence, WI 2009"</f>
        <v>Proceedings - 2009 IEEE/WIC/ACM International Conference on Web Intelligence, WI 2009</v>
      </c>
      <c r="B12185" s="8" t="str">
        <f>"9780769538013"</f>
        <v>9780769538013</v>
      </c>
      <c r="C12185" s="8" t="s">
        <v>9</v>
      </c>
    </row>
    <row r="12186" spans="1:3" x14ac:dyDescent="0.25">
      <c r="A12186" s="8" t="str">
        <f>"Proceedings - 2009 IITA International Conference on Control, Automation and Systems Engineering, CASE 2009"</f>
        <v>Proceedings - 2009 IITA International Conference on Control, Automation and Systems Engineering, CASE 2009</v>
      </c>
      <c r="B12186" s="8" t="str">
        <f>"9780769537283"</f>
        <v>9780769537283</v>
      </c>
      <c r="C12186" s="8" t="s">
        <v>9</v>
      </c>
    </row>
    <row r="12187" spans="1:3" x14ac:dyDescent="0.25">
      <c r="A12187" s="8" t="str">
        <f>"Proceedings - 2009 IITA International Conference on Services Science, Management and Engineering, SSME 2009"</f>
        <v>Proceedings - 2009 IITA International Conference on Services Science, Management and Engineering, SSME 2009</v>
      </c>
      <c r="B12187" s="8" t="str">
        <f>"9780769537290"</f>
        <v>9780769537290</v>
      </c>
      <c r="C12187" s="8" t="s">
        <v>9</v>
      </c>
    </row>
    <row r="12188" spans="1:3" x14ac:dyDescent="0.25">
      <c r="A12188" s="8" t="str">
        <f>"Proceedings - 2009 IMAPS International Conference on High Temperature Electronics Network, HiTEN 2009"</f>
        <v>Proceedings - 2009 IMAPS International Conference on High Temperature Electronics Network, HiTEN 2009</v>
      </c>
      <c r="B12188" s="8" t="str">
        <f>"9780930815882"</f>
        <v>9780930815882</v>
      </c>
      <c r="C12188" s="8" t="s">
        <v>93</v>
      </c>
    </row>
    <row r="12189" spans="1:3" x14ac:dyDescent="0.25">
      <c r="A12189" s="8" t="str">
        <f>"Proceedings - 2009 International Asia Conference on Informatics in Control, Automation, and Robotics, CAR 2009"</f>
        <v>Proceedings - 2009 International Asia Conference on Informatics in Control, Automation, and Robotics, CAR 2009</v>
      </c>
      <c r="B12189" s="8" t="str">
        <f>"9780769535197"</f>
        <v>9780769535197</v>
      </c>
      <c r="C12189" s="8" t="s">
        <v>9</v>
      </c>
    </row>
    <row r="12190" spans="1:3" x14ac:dyDescent="0.25">
      <c r="A12190" s="8" t="str">
        <f>"Proceedings - 2009 International Conference on Biometrics and Kansei Engineering, ICBAKE 2009"</f>
        <v>Proceedings - 2009 International Conference on Biometrics and Kansei Engineering, ICBAKE 2009</v>
      </c>
      <c r="B12190" s="8" t="str">
        <f>"9780769536927"</f>
        <v>9780769536927</v>
      </c>
      <c r="C12190" s="8" t="s">
        <v>9</v>
      </c>
    </row>
    <row r="12191" spans="1:3" x14ac:dyDescent="0.25">
      <c r="A12191" s="8" t="str">
        <f>"Proceedings - 2009 International Conference on Computational Intelligence and Software Engineering, CiSE 2009"</f>
        <v>Proceedings - 2009 International Conference on Computational Intelligence and Software Engineering, CiSE 2009</v>
      </c>
      <c r="B12191" s="8" t="str">
        <f>"9781424445073"</f>
        <v>9781424445073</v>
      </c>
      <c r="C12191" s="8" t="s">
        <v>9</v>
      </c>
    </row>
    <row r="12192" spans="1:3" x14ac:dyDescent="0.25">
      <c r="A12192" s="8" t="str">
        <f>"Proceedings - 2009 International Conference on Computer and Automation Engineering, ICCAE 2009"</f>
        <v>Proceedings - 2009 International Conference on Computer and Automation Engineering, ICCAE 2009</v>
      </c>
      <c r="B12192" s="8" t="str">
        <f>"9780769535692"</f>
        <v>9780769535692</v>
      </c>
      <c r="C12192" s="8" t="s">
        <v>9</v>
      </c>
    </row>
    <row r="12193" spans="1:3" x14ac:dyDescent="0.25">
      <c r="A12193" s="8" t="str">
        <f>"Proceedings - 2009 International Conference on Computer Engineering and Technology, ICCET 2009"</f>
        <v>Proceedings - 2009 International Conference on Computer Engineering and Technology, ICCET 2009</v>
      </c>
      <c r="B12193" s="8" t="str">
        <f>"9780769535210"</f>
        <v>9780769535210</v>
      </c>
      <c r="C12193" s="8" t="s">
        <v>9</v>
      </c>
    </row>
    <row r="12194" spans="1:3" x14ac:dyDescent="0.25">
      <c r="A12194" s="8" t="str">
        <f>"Proceedings - 2009 International Conference on Computer Modeling and Simulation, ICCMS 2009"</f>
        <v>Proceedings - 2009 International Conference on Computer Modeling and Simulation, ICCMS 2009</v>
      </c>
      <c r="B12194" s="8" t="str">
        <f>"9780769535623"</f>
        <v>9780769535623</v>
      </c>
      <c r="C12194" s="8" t="s">
        <v>9</v>
      </c>
    </row>
    <row r="12195" spans="1:3" x14ac:dyDescent="0.25">
      <c r="A12195" s="8" t="str">
        <f>"Proceedings - 2009 International Conference on Digital Image Processing, ICDIP 2009"</f>
        <v>Proceedings - 2009 International Conference on Digital Image Processing, ICDIP 2009</v>
      </c>
      <c r="B12195" s="8" t="str">
        <f>"9780769535654"</f>
        <v>9780769535654</v>
      </c>
      <c r="C12195" s="8" t="s">
        <v>9</v>
      </c>
    </row>
    <row r="12196" spans="1:3" x14ac:dyDescent="0.25">
      <c r="A12196" s="8" t="str">
        <f>"Proceedings - 2009 International Conference on Electronic Commerce and Business Intelligence, ECBI 2009"</f>
        <v>Proceedings - 2009 International Conference on Electronic Commerce and Business Intelligence, ECBI 2009</v>
      </c>
      <c r="B12196" s="8" t="str">
        <f>"9780769536613"</f>
        <v>9780769536613</v>
      </c>
      <c r="C12196" s="8" t="s">
        <v>9</v>
      </c>
    </row>
    <row r="12197" spans="1:3" x14ac:dyDescent="0.25">
      <c r="A12197" s="8" t="str">
        <f>"Proceedings - 2009 International Conference on Electronic Computer Technology, ICECT 2009"</f>
        <v>Proceedings - 2009 International Conference on Electronic Computer Technology, ICECT 2009</v>
      </c>
      <c r="B12197" s="8" t="str">
        <f>"9780769535593"</f>
        <v>9780769535593</v>
      </c>
      <c r="C12197" s="8" t="s">
        <v>9</v>
      </c>
    </row>
    <row r="12198" spans="1:3" x14ac:dyDescent="0.25">
      <c r="A12198" s="8" t="str">
        <f>"Proceedings - 2009 International Conference on Embedded Computer Systems: Architectures, Modeling and Simulation, IC-SAMOS 2009"</f>
        <v>Proceedings - 2009 International Conference on Embedded Computer Systems: Architectures, Modeling and Simulation, IC-SAMOS 2009</v>
      </c>
      <c r="B12198" s="8" t="str">
        <f>"9781424445011"</f>
        <v>9781424445011</v>
      </c>
      <c r="C12198" s="8" t="s">
        <v>9</v>
      </c>
    </row>
    <row r="12199" spans="1:3" x14ac:dyDescent="0.25">
      <c r="A12199" s="8" t="str">
        <f>"Proceedings - 2009 International Conference on Embedded Software and Systems, ICESS 2009"</f>
        <v>Proceedings - 2009 International Conference on Embedded Software and Systems, ICESS 2009</v>
      </c>
      <c r="B12199" s="8" t="str">
        <f>"9780769536781"</f>
        <v>9780769536781</v>
      </c>
      <c r="C12199" s="8" t="s">
        <v>9</v>
      </c>
    </row>
    <row r="12200" spans="1:3" x14ac:dyDescent="0.25">
      <c r="A12200" s="8" t="str">
        <f>"Proceedings - 2009 International Conference on Environmental Science and Information Application Technology, ESIAT 2009"</f>
        <v>Proceedings - 2009 International Conference on Environmental Science and Information Application Technology, ESIAT 2009</v>
      </c>
      <c r="B12200" s="8" t="str">
        <f>"9780769536828"</f>
        <v>9780769536828</v>
      </c>
      <c r="C12200" s="8" t="s">
        <v>9</v>
      </c>
    </row>
    <row r="12201" spans="1:3" x14ac:dyDescent="0.25">
      <c r="A12201" s="8" t="str">
        <f>"Proceedings - 2009 International Conference on Future Computer and Communication, ICFCC 2009"</f>
        <v>Proceedings - 2009 International Conference on Future Computer and Communication, ICFCC 2009</v>
      </c>
      <c r="B12201" s="8" t="str">
        <f>"9780769535913"</f>
        <v>9780769535913</v>
      </c>
      <c r="C12201" s="8" t="s">
        <v>9</v>
      </c>
    </row>
    <row r="12202" spans="1:3" x14ac:dyDescent="0.25">
      <c r="A12202" s="8" t="str">
        <f>"Proceedings - 2009 International Conference on Future Networks, ICFN 2009"</f>
        <v>Proceedings - 2009 International Conference on Future Networks, ICFN 2009</v>
      </c>
      <c r="B12202" s="8" t="str">
        <f>"9780769535678"</f>
        <v>9780769535678</v>
      </c>
      <c r="C12202" s="8" t="s">
        <v>9</v>
      </c>
    </row>
    <row r="12203" spans="1:3" x14ac:dyDescent="0.25">
      <c r="A12203" s="8" t="str">
        <f>"Proceedings - 2009 International Conference on Industrial and Information Systems, IIS 2009"</f>
        <v>Proceedings - 2009 International Conference on Industrial and Information Systems, IIS 2009</v>
      </c>
      <c r="B12203" s="8" t="str">
        <f>"9780769536187"</f>
        <v>9780769536187</v>
      </c>
      <c r="C12203" s="8" t="s">
        <v>9</v>
      </c>
    </row>
    <row r="12204" spans="1:3" x14ac:dyDescent="0.25">
      <c r="A12204" s="8" t="str">
        <f>"Proceedings - 2009 International Conference on Information and Financial Engineering, ICIFE 2009"</f>
        <v>Proceedings - 2009 International Conference on Information and Financial Engineering, ICIFE 2009</v>
      </c>
      <c r="B12204" s="8" t="str">
        <f>"9780769536064"</f>
        <v>9780769536064</v>
      </c>
      <c r="C12204" s="8" t="s">
        <v>9</v>
      </c>
    </row>
    <row r="12205" spans="1:3" x14ac:dyDescent="0.25">
      <c r="A12205" s="8" t="str">
        <f>"Proceedings - 2009 International Conference on Information Engineering and Computer Science, ICIECS 2009"</f>
        <v>Proceedings - 2009 International Conference on Information Engineering and Computer Science, ICIECS 2009</v>
      </c>
      <c r="B12205" s="8" t="str">
        <f>"9781424449941"</f>
        <v>9781424449941</v>
      </c>
      <c r="C12205" s="8" t="s">
        <v>9</v>
      </c>
    </row>
    <row r="12206" spans="1:3" x14ac:dyDescent="0.25">
      <c r="A12206" s="8" t="str">
        <f>"Proceedings - 2009 International Conference on Information Management and Engineering, ICIME 2009"</f>
        <v>Proceedings - 2009 International Conference on Information Management and Engineering, ICIME 2009</v>
      </c>
      <c r="B12206" s="8" t="str">
        <f>"9780769535951"</f>
        <v>9780769535951</v>
      </c>
      <c r="C12206" s="8" t="s">
        <v>9</v>
      </c>
    </row>
    <row r="12207" spans="1:3" x14ac:dyDescent="0.25">
      <c r="A12207" s="8" t="str">
        <f>"Proceedings - 2009 International Conference on Information Technology and Computer Science, ITCS 2009"</f>
        <v>Proceedings - 2009 International Conference on Information Technology and Computer Science, ITCS 2009</v>
      </c>
      <c r="B12207" s="8" t="str">
        <f>"9780769536880"</f>
        <v>9780769536880</v>
      </c>
      <c r="C12207" s="8" t="s">
        <v>9</v>
      </c>
    </row>
    <row r="12208" spans="1:3" x14ac:dyDescent="0.25">
      <c r="A12208" s="8" t="str">
        <f>"Proceedings - 2009 International Conference on Intelligent Engineering Systems, INES 2009"</f>
        <v>Proceedings - 2009 International Conference on Intelligent Engineering Systems, INES 2009</v>
      </c>
      <c r="B12208" s="8" t="str">
        <f>"9781424441136"</f>
        <v>9781424441136</v>
      </c>
      <c r="C12208" s="8" t="s">
        <v>9</v>
      </c>
    </row>
    <row r="12209" spans="1:3" x14ac:dyDescent="0.25">
      <c r="A12209" s="8" t="str">
        <f>"Proceedings - 2009 International Conference on Interoperability for Enterprise Software and Applications, IESA 2009"</f>
        <v>Proceedings - 2009 International Conference on Interoperability for Enterprise Software and Applications, IESA 2009</v>
      </c>
      <c r="B12209" s="8" t="str">
        <f>"9780769536521"</f>
        <v>9780769536521</v>
      </c>
      <c r="C12209" s="8" t="s">
        <v>9</v>
      </c>
    </row>
    <row r="12210" spans="1:3" x14ac:dyDescent="0.25">
      <c r="A12210" s="8" t="str">
        <f>"Proceedings - 2009 International Conference on Networking and Digital Society, ICNDS 2009"</f>
        <v>Proceedings - 2009 International Conference on Networking and Digital Society, ICNDS 2009</v>
      </c>
      <c r="B12210" s="8" t="str">
        <f>"9780769536354"</f>
        <v>9780769536354</v>
      </c>
      <c r="C12210" s="8" t="s">
        <v>9</v>
      </c>
    </row>
    <row r="12211" spans="1:3" x14ac:dyDescent="0.25">
      <c r="A12211" s="8" t="str">
        <f>"Proceedings - 2009 International Conference on New Trends in Information and Service Science, NISS 2009"</f>
        <v>Proceedings - 2009 International Conference on New Trends in Information and Service Science, NISS 2009</v>
      </c>
      <c r="B12211" s="8" t="str">
        <f>"9780769536873"</f>
        <v>9780769536873</v>
      </c>
      <c r="C12211" s="8" t="s">
        <v>9</v>
      </c>
    </row>
    <row r="12212" spans="1:3" x14ac:dyDescent="0.25">
      <c r="A12212" s="8" t="str">
        <f>"Proceedings - 2009 International e-Conference on Advanced Science and Technology, AST 2009"</f>
        <v>Proceedings - 2009 International e-Conference on Advanced Science and Technology, AST 2009</v>
      </c>
      <c r="B12212" s="8" t="str">
        <f>"9780769536729"</f>
        <v>9780769536729</v>
      </c>
      <c r="C12212" s="8" t="s">
        <v>9</v>
      </c>
    </row>
    <row r="12213" spans="1:3" x14ac:dyDescent="0.25">
      <c r="A12213" s="8" t="str">
        <f>"Proceedings - 2009 International Forum on Information Technology and Applications, IFITA 2009"</f>
        <v>Proceedings - 2009 International Forum on Information Technology and Applications, IFITA 2009</v>
      </c>
      <c r="B12213" s="8" t="str">
        <f>"9780769536002"</f>
        <v>9780769536002</v>
      </c>
      <c r="C12213" s="8" t="s">
        <v>9</v>
      </c>
    </row>
    <row r="12214" spans="1:3" x14ac:dyDescent="0.25">
      <c r="A12214" s="8" t="str">
        <f>"Proceedings - 2009 International Joint Conference on Bioinformatics, Systems Biology and Intelligent Computing, IJCBS 2009"</f>
        <v>Proceedings - 2009 International Joint Conference on Bioinformatics, Systems Biology and Intelligent Computing, IJCBS 2009</v>
      </c>
      <c r="B12214" s="8" t="str">
        <f>"9780769537399"</f>
        <v>9780769537399</v>
      </c>
      <c r="C12214" s="8" t="s">
        <v>9</v>
      </c>
    </row>
    <row r="12215" spans="1:3" x14ac:dyDescent="0.25">
      <c r="A12215" s="8" t="str">
        <f>"Proceedings - 2009 International Mechanical Pulping Conference, IMPC 2009"</f>
        <v>Proceedings - 2009 International Mechanical Pulping Conference, IMPC 2009</v>
      </c>
      <c r="B12215" s="8" t="str">
        <f>"-"</f>
        <v>-</v>
      </c>
      <c r="C12215" s="8" t="s">
        <v>911</v>
      </c>
    </row>
    <row r="12216" spans="1:3" x14ac:dyDescent="0.25">
      <c r="A12216" s="8" t="str">
        <f>"Proceedings - 2009 International Symposium on Autonomous Decentralized Systems, ISADS 2009"</f>
        <v>Proceedings - 2009 International Symposium on Autonomous Decentralized Systems, ISADS 2009</v>
      </c>
      <c r="B12216" s="8" t="str">
        <f>"9781424443277"</f>
        <v>9781424443277</v>
      </c>
      <c r="C12216" s="8" t="s">
        <v>9</v>
      </c>
    </row>
    <row r="12217" spans="1:3" x14ac:dyDescent="0.25">
      <c r="A12217" s="8" t="str">
        <f>"Proceedings - 2009 International Symposium on Information Engineering and Electronic Commerce, IEEC 2009"</f>
        <v>Proceedings - 2009 International Symposium on Information Engineering and Electronic Commerce, IEEC 2009</v>
      </c>
      <c r="B12217" s="8" t="str">
        <f>"9780769536866"</f>
        <v>9780769536866</v>
      </c>
      <c r="C12217" s="8" t="s">
        <v>9</v>
      </c>
    </row>
    <row r="12218" spans="1:3" x14ac:dyDescent="0.25">
      <c r="A12218" s="8" t="str">
        <f>"Proceedings - 2009 International Symposium on Microelectronics, IMAPS 2009"</f>
        <v>Proceedings - 2009 International Symposium on Microelectronics, IMAPS 2009</v>
      </c>
      <c r="B12218" s="8" t="str">
        <f>"9780930815899"</f>
        <v>9780930815899</v>
      </c>
      <c r="C12218" s="8" t="s">
        <v>93</v>
      </c>
    </row>
    <row r="12219" spans="1:3" x14ac:dyDescent="0.25">
      <c r="A12219" s="8" t="str">
        <f>"Proceedings - 2009 International Symposium on Ubiquitous Virtual Reality, ISUVR 2009"</f>
        <v>Proceedings - 2009 International Symposium on Ubiquitous Virtual Reality, ISUVR 2009</v>
      </c>
      <c r="B12219" s="8" t="str">
        <f>"9780769537047"</f>
        <v>9780769537047</v>
      </c>
      <c r="C12219" s="8" t="s">
        <v>9</v>
      </c>
    </row>
    <row r="12220" spans="1:3" x14ac:dyDescent="0.25">
      <c r="A12220" s="8" t="str">
        <f>"Proceedings - 2009 International Workshop on Social Informatics, SOCINFO 2009"</f>
        <v>Proceedings - 2009 International Workshop on Social Informatics, SOCINFO 2009</v>
      </c>
      <c r="B12220" s="8" t="str">
        <f>"9780769537061"</f>
        <v>9780769537061</v>
      </c>
      <c r="C12220" s="8" t="s">
        <v>9</v>
      </c>
    </row>
    <row r="12221" spans="1:3" x14ac:dyDescent="0.25">
      <c r="A12221" s="8" t="str">
        <f>"Proceedings - 2009 NASA/ESA Conference on Adaptive Hardware and Systems, AHS 2009"</f>
        <v>Proceedings - 2009 NASA/ESA Conference on Adaptive Hardware and Systems, AHS 2009</v>
      </c>
      <c r="B12221" s="8" t="str">
        <f>"9780769537146"</f>
        <v>9780769537146</v>
      </c>
      <c r="C12221" s="8" t="s">
        <v>9</v>
      </c>
    </row>
    <row r="12222" spans="1:3" x14ac:dyDescent="0.25">
      <c r="A12222" s="8" t="str">
        <f>"Proceedings - 2009 Workshop on Embedded Systems Education, WESE 2009"</f>
        <v>Proceedings - 2009 Workshop on Embedded Systems Education, WESE 2009</v>
      </c>
      <c r="B12222" s="8" t="str">
        <f>"9781450300216"</f>
        <v>9781450300216</v>
      </c>
      <c r="C12222" s="8" t="s">
        <v>21</v>
      </c>
    </row>
    <row r="12223" spans="1:3" x14ac:dyDescent="0.25">
      <c r="A12223" s="8" t="str">
        <f>"Proceedings - 2009 Workshops at the Grid and Pervasive Computing Conference, GPC 2009"</f>
        <v>Proceedings - 2009 Workshops at the Grid and Pervasive Computing Conference, GPC 2009</v>
      </c>
      <c r="B12223" s="8" t="str">
        <f>"9780769536774"</f>
        <v>9780769536774</v>
      </c>
      <c r="C12223" s="8" t="s">
        <v>9</v>
      </c>
    </row>
    <row r="12224" spans="1:3" x14ac:dyDescent="0.25">
      <c r="A12224" s="8" t="str">
        <f>"Proceedings - 2009 WRI International Conference on Communications and Mobile Computing, CMC 2009"</f>
        <v>Proceedings - 2009 WRI International Conference on Communications and Mobile Computing, CMC 2009</v>
      </c>
      <c r="B12224" s="8" t="str">
        <f>"9780769535012"</f>
        <v>9780769535012</v>
      </c>
      <c r="C12224" s="8" t="s">
        <v>9</v>
      </c>
    </row>
    <row r="12225" spans="1:3" x14ac:dyDescent="0.25">
      <c r="A12225" s="8" t="str">
        <f>"Proceedings - 2010 10th Annual International Symposium on Applications and the Internet, SAINT 2010"</f>
        <v>Proceedings - 2010 10th Annual International Symposium on Applications and the Internet, SAINT 2010</v>
      </c>
      <c r="B12225" s="8" t="str">
        <f>"9780769541075"</f>
        <v>9780769541075</v>
      </c>
      <c r="C12225" s="8" t="s">
        <v>9</v>
      </c>
    </row>
    <row r="12226" spans="1:3" x14ac:dyDescent="0.25">
      <c r="A12226" s="8" t="str">
        <f>"Proceedings - 2010 11th Brazilian Symposium on Neural Networks, SBRN 2010"</f>
        <v>Proceedings - 2010 11th Brazilian Symposium on Neural Networks, SBRN 2010</v>
      </c>
      <c r="B12226" s="8" t="str">
        <f>"9780769542102"</f>
        <v>9780769542102</v>
      </c>
      <c r="C12226" s="8" t="s">
        <v>9</v>
      </c>
    </row>
    <row r="12227" spans="1:3" x14ac:dyDescent="0.25">
      <c r="A12227" s="8" t="str">
        <f>"Proceedings - 2010 11th International Conference on Electronic Packaging Technology and High Density Packaging, ICEPT-HDP 2010"</f>
        <v>Proceedings - 2010 11th International Conference on Electronic Packaging Technology and High Density Packaging, ICEPT-HDP 2010</v>
      </c>
      <c r="B12227" s="8" t="str">
        <f>"9781424481422"</f>
        <v>9781424481422</v>
      </c>
      <c r="C12227" s="8" t="s">
        <v>21</v>
      </c>
    </row>
    <row r="12228" spans="1:3" x14ac:dyDescent="0.25">
      <c r="A12228" s="8" t="str">
        <f>"Proceedings - 2010 12th IEEE International Conference on High Performance Computing and Communications, HPCC 2010"</f>
        <v>Proceedings - 2010 12th IEEE International Conference on High Performance Computing and Communications, HPCC 2010</v>
      </c>
      <c r="B12228" s="8" t="str">
        <f>"9780769542140"</f>
        <v>9780769542140</v>
      </c>
      <c r="C12228" s="8" t="s">
        <v>21</v>
      </c>
    </row>
    <row r="12229" spans="1:3" x14ac:dyDescent="0.25">
      <c r="A12229" s="8" t="str">
        <f>"Proceedings - 2010 12th International Conference on Electromagnetics in Advanced Applications, ICEAA'10"</f>
        <v>Proceedings - 2010 12th International Conference on Electromagnetics in Advanced Applications, ICEAA'10</v>
      </c>
      <c r="B12229" s="8" t="str">
        <f>"9781424473687"</f>
        <v>9781424473687</v>
      </c>
      <c r="C12229" s="8" t="s">
        <v>9</v>
      </c>
    </row>
    <row r="12230" spans="1:3" x14ac:dyDescent="0.25">
      <c r="A12230" s="8" t="str">
        <f>"Proceedings - 2010 13th IEEE International Conference on Computational Science and Engineering, CSE 2010"</f>
        <v>Proceedings - 2010 13th IEEE International Conference on Computational Science and Engineering, CSE 2010</v>
      </c>
      <c r="B12230" s="8" t="str">
        <f>"9780769543239"</f>
        <v>9780769543239</v>
      </c>
      <c r="C12230" s="8" t="s">
        <v>9</v>
      </c>
    </row>
    <row r="12231" spans="1:3" x14ac:dyDescent="0.25">
      <c r="A12231" s="8" t="str">
        <f>"Proceedings - 2010 18th Iranian Conference on Electrical Engineering, ICEE 2010"</f>
        <v>Proceedings - 2010 18th Iranian Conference on Electrical Engineering, ICEE 2010</v>
      </c>
      <c r="B12231" s="8" t="str">
        <f>"9781424467600"</f>
        <v>9781424467600</v>
      </c>
      <c r="C12231" s="8" t="s">
        <v>9</v>
      </c>
    </row>
    <row r="12232" spans="1:3" x14ac:dyDescent="0.25">
      <c r="A12232" s="8" t="str">
        <f>"Proceedings - 2010 1st ACIS International Symposium on Cryptography, and Network Security, Data Mining and Knowledge Discovery, E-Commerce and Its Applications, and Embedded Systems, CDEE 2010"</f>
        <v>Proceedings - 2010 1st ACIS International Symposium on Cryptography, and Network Security, Data Mining and Knowledge Discovery, E-Commerce and Its Applications, and Embedded Systems, CDEE 2010</v>
      </c>
      <c r="B12232" s="8" t="str">
        <f>"9780769543321"</f>
        <v>9780769543321</v>
      </c>
      <c r="C12232" s="8" t="s">
        <v>9</v>
      </c>
    </row>
    <row r="12233" spans="1:3" x14ac:dyDescent="0.25">
      <c r="A12233" s="8" t="str">
        <f>"Proceedings - 2010 1st International Conference on Networking and Computing, ICNC 2010"</f>
        <v>Proceedings - 2010 1st International Conference on Networking and Computing, ICNC 2010</v>
      </c>
      <c r="B12233" s="8" t="str">
        <f>"9780769542775"</f>
        <v>9780769542775</v>
      </c>
      <c r="C12233" s="8" t="s">
        <v>9</v>
      </c>
    </row>
    <row r="12234" spans="1:3" x14ac:dyDescent="0.25">
      <c r="A12234" s="8" t="str">
        <f>"Proceedings - 2010 1st International Conference on Pervasive Computing, Signal Processing and Applications, PCSPA 2010"</f>
        <v>Proceedings - 2010 1st International Conference on Pervasive Computing, Signal Processing and Applications, PCSPA 2010</v>
      </c>
      <c r="B12234" s="8" t="str">
        <f>"9780769541808"</f>
        <v>9780769541808</v>
      </c>
      <c r="C12234" s="8" t="s">
        <v>9</v>
      </c>
    </row>
    <row r="12235" spans="1:3" x14ac:dyDescent="0.25">
      <c r="A12235" s="8" t="str">
        <f>"Proceedings - 2010 2nd IEEE International Conference on Information and Financial Engineering, ICIFE 2010"</f>
        <v>Proceedings - 2010 2nd IEEE International Conference on Information and Financial Engineering, ICIFE 2010</v>
      </c>
      <c r="B12235" s="8" t="str">
        <f>"9781424469253"</f>
        <v>9781424469253</v>
      </c>
      <c r="C12235" s="8" t="s">
        <v>9</v>
      </c>
    </row>
    <row r="12236" spans="1:3" x14ac:dyDescent="0.25">
      <c r="A12236" s="8" t="str">
        <f>"Proceedings - 2010 2nd IEEE International Conference on Network Infrastructure and Digital Content, IC-NIDC 2010"</f>
        <v>Proceedings - 2010 2nd IEEE International Conference on Network Infrastructure and Digital Content, IC-NIDC 2010</v>
      </c>
      <c r="B12236" s="8" t="str">
        <f>"9781424468546"</f>
        <v>9781424468546</v>
      </c>
      <c r="C12236" s="8" t="s">
        <v>9</v>
      </c>
    </row>
    <row r="12237" spans="1:3" x14ac:dyDescent="0.25">
      <c r="A12237" s="8" t="str">
        <f>"Proceedings - 2010 2nd International Conference on Advances in Computing, Control and Telecommunication Technologies, ACT 2010"</f>
        <v>Proceedings - 2010 2nd International Conference on Advances in Computing, Control and Telecommunication Technologies, ACT 2010</v>
      </c>
      <c r="B12237" s="8" t="str">
        <f>"9780769542690"</f>
        <v>9780769542690</v>
      </c>
      <c r="C12237" s="8" t="s">
        <v>9</v>
      </c>
    </row>
    <row r="12238" spans="1:3" x14ac:dyDescent="0.25">
      <c r="A12238" s="8" t="str">
        <f>"Proceedings - 2010 2nd International Conference on Intelligent Human-Machine Systems and Cybernetics, IHMSC 2010"</f>
        <v>Proceedings - 2010 2nd International Conference on Intelligent Human-Machine Systems and Cybernetics, IHMSC 2010</v>
      </c>
      <c r="B12238" s="8" t="str">
        <f>"9780769541518"</f>
        <v>9780769541518</v>
      </c>
      <c r="C12238" s="8" t="s">
        <v>9</v>
      </c>
    </row>
    <row r="12239" spans="1:3" x14ac:dyDescent="0.25">
      <c r="A12239" s="8" t="str">
        <f>"Proceedings - 2010 2nd International Conference on Modeling, Simulation, and Visualization Methods, WMSVM 2010"</f>
        <v>Proceedings - 2010 2nd International Conference on Modeling, Simulation, and Visualization Methods, WMSVM 2010</v>
      </c>
      <c r="B12239" s="8" t="str">
        <f>"9780769540467"</f>
        <v>9780769540467</v>
      </c>
      <c r="C12239" s="8" t="s">
        <v>21</v>
      </c>
    </row>
    <row r="12240" spans="1:3" x14ac:dyDescent="0.25">
      <c r="A12240" s="8" t="str">
        <f>"Proceedings - 2010 2nd International Conference on Multimedia Information Networking and Security, MINES 2010"</f>
        <v>Proceedings - 2010 2nd International Conference on Multimedia Information Networking and Security, MINES 2010</v>
      </c>
      <c r="B12240" s="8" t="str">
        <f>"9780769542584"</f>
        <v>9780769542584</v>
      </c>
      <c r="C12240" s="8" t="s">
        <v>9</v>
      </c>
    </row>
    <row r="12241" spans="1:3" x14ac:dyDescent="0.25">
      <c r="A12241" s="8" t="str">
        <f>"Proceedings - 2010 2nd International Workshop on Intelligent Systems and Applications, ISA 2010"</f>
        <v>Proceedings - 2010 2nd International Workshop on Intelligent Systems and Applications, ISA 2010</v>
      </c>
      <c r="B12241" s="8" t="str">
        <f>"9781424458745"</f>
        <v>9781424458745</v>
      </c>
      <c r="C12241" s="8" t="s">
        <v>9</v>
      </c>
    </row>
    <row r="12242" spans="1:3" x14ac:dyDescent="0.25">
      <c r="A12242" s="8" t="str">
        <f>"Proceedings - 2010 2nd UK-India-IDRC International Workshop on Cognitive Wireless Systems, UKIWCWS 2010"</f>
        <v>Proceedings - 2010 2nd UK-India-IDRC International Workshop on Cognitive Wireless Systems, UKIWCWS 2010</v>
      </c>
      <c r="B12242" s="8" t="str">
        <f>"9781424491476"</f>
        <v>9781424491476</v>
      </c>
      <c r="C12242" s="8" t="s">
        <v>9</v>
      </c>
    </row>
    <row r="12243" spans="1:3" x14ac:dyDescent="0.25">
      <c r="A12243" s="8" t="str">
        <f>"Proceedings - 2010 2nd World Congress on Nature and Biologically Inspired Computing, NaBIC 2010"</f>
        <v>Proceedings - 2010 2nd World Congress on Nature and Biologically Inspired Computing, NaBIC 2010</v>
      </c>
      <c r="B12243" s="8" t="str">
        <f>"9781424473762"</f>
        <v>9781424473762</v>
      </c>
      <c r="C12243" s="8" t="s">
        <v>9</v>
      </c>
    </row>
    <row r="12244" spans="1:3" x14ac:dyDescent="0.25">
      <c r="A12244" s="8" t="str">
        <f>"Proceedings - 2010 2nd WRI Global Congress on Intelligent Systems, GCIS 2010"</f>
        <v>Proceedings - 2010 2nd WRI Global Congress on Intelligent Systems, GCIS 2010</v>
      </c>
      <c r="B12244" s="8" t="str">
        <f>"9780769543048"</f>
        <v>9780769543048</v>
      </c>
      <c r="C12244" s="8" t="s">
        <v>9</v>
      </c>
    </row>
    <row r="12245" spans="1:3" x14ac:dyDescent="0.25">
      <c r="A12245" s="8" t="str">
        <f>"Proceedings - 2010 2nd WRI World Congress on Software Engineering, WCSE 2010"</f>
        <v>Proceedings - 2010 2nd WRI World Congress on Software Engineering, WCSE 2010</v>
      </c>
      <c r="B12245" s="8" t="str">
        <f>"9780769543031"</f>
        <v>9780769543031</v>
      </c>
      <c r="C12245" s="8" t="s">
        <v>9</v>
      </c>
    </row>
    <row r="12246" spans="1:3" x14ac:dyDescent="0.25">
      <c r="A12246" s="8" t="str">
        <f>"Proceedings - 2010 3rd IEEE International Conference on Broadband Network and Multimedia Technology, IC-BNMT2010"</f>
        <v>Proceedings - 2010 3rd IEEE International Conference on Broadband Network and Multimedia Technology, IC-BNMT2010</v>
      </c>
      <c r="B12246" s="8" t="str">
        <f>"9781424467709"</f>
        <v>9781424467709</v>
      </c>
      <c r="C12246" s="8" t="s">
        <v>9</v>
      </c>
    </row>
    <row r="12247" spans="1:3" x14ac:dyDescent="0.25">
      <c r="A12247" s="8" t="str">
        <f>"Proceedings - 2010 3rd IEEE International Conference on Computer Science and Information Technology, ICCSIT 2010"</f>
        <v>Proceedings - 2010 3rd IEEE International Conference on Computer Science and Information Technology, ICCSIT 2010</v>
      </c>
      <c r="B12247" s="8" t="str">
        <f>"9781424455386"</f>
        <v>9781424455386</v>
      </c>
      <c r="C12247" s="8" t="s">
        <v>9</v>
      </c>
    </row>
    <row r="12248" spans="1:3" x14ac:dyDescent="0.25">
      <c r="A12248" s="8" t="str">
        <f>"Proceedings - 2010 3rd International Conference on Biomedical Engineering and Informatics, BMEI 2010"</f>
        <v>Proceedings - 2010 3rd International Conference on Biomedical Engineering and Informatics, BMEI 2010</v>
      </c>
      <c r="B12248" s="8" t="str">
        <f>"9781424464968"</f>
        <v>9781424464968</v>
      </c>
      <c r="C12248" s="8" t="s">
        <v>9</v>
      </c>
    </row>
    <row r="12249" spans="1:3" x14ac:dyDescent="0.25">
      <c r="A12249" s="8" t="str">
        <f>"Proceedings - 2010 3rd International Congress on Image and Signal Processing, CISP 2010"</f>
        <v>Proceedings - 2010 3rd International Congress on Image and Signal Processing, CISP 2010</v>
      </c>
      <c r="B12249" s="8" t="str">
        <f>"9781424465149"</f>
        <v>9781424465149</v>
      </c>
      <c r="C12249" s="8" t="s">
        <v>9</v>
      </c>
    </row>
    <row r="12250" spans="1:3" x14ac:dyDescent="0.25">
      <c r="A12250" s="8" t="str">
        <f>"Proceedings - 2010 4th IEEE International Conference on Self-Adaptive and Self-Organizing Systems Workshop, SASOW 2010"</f>
        <v>Proceedings - 2010 4th IEEE International Conference on Self-Adaptive and Self-Organizing Systems Workshop, SASOW 2010</v>
      </c>
      <c r="B12250" s="8" t="str">
        <f>"9780769542294"</f>
        <v>9780769542294</v>
      </c>
      <c r="C12250" s="8" t="s">
        <v>9</v>
      </c>
    </row>
    <row r="12251" spans="1:3" x14ac:dyDescent="0.25">
      <c r="A12251" s="8" t="str">
        <f>"Proceedings - 2010 4th IEEE International Conference on Self-Adaptive and Self-Organizing Systems, SASO 2010"</f>
        <v>Proceedings - 2010 4th IEEE International Conference on Self-Adaptive and Self-Organizing Systems, SASO 2010</v>
      </c>
      <c r="B12251" s="8" t="str">
        <f>"9780769542324"</f>
        <v>9780769542324</v>
      </c>
      <c r="C12251" s="8" t="s">
        <v>9</v>
      </c>
    </row>
    <row r="12252" spans="1:3" x14ac:dyDescent="0.25">
      <c r="A12252" s="8" t="str">
        <f>"Proceedings - 2010 4th International Conference on Network and System Security, NSS 2010"</f>
        <v>Proceedings - 2010 4th International Conference on Network and System Security, NSS 2010</v>
      </c>
      <c r="B12252" s="8" t="str">
        <f>"9780769541594"</f>
        <v>9780769541594</v>
      </c>
      <c r="C12252" s="8" t="s">
        <v>9</v>
      </c>
    </row>
    <row r="12253" spans="1:3" x14ac:dyDescent="0.25">
      <c r="A12253" s="8" t="str">
        <f>"Proceedings - 2010 4th International Symposium on Theoretical Aspects of Software Engineering, TASE 2010"</f>
        <v>Proceedings - 2010 4th International Symposium on Theoretical Aspects of Software Engineering, TASE 2010</v>
      </c>
      <c r="B12253" s="8" t="str">
        <f>"9780769541488"</f>
        <v>9780769541488</v>
      </c>
      <c r="C12253" s="8" t="s">
        <v>9</v>
      </c>
    </row>
    <row r="12254" spans="1:3" x14ac:dyDescent="0.25">
      <c r="A12254" s="8" t="str">
        <f>"Proceedings - 2010 4th International Workshop on High-Performance Reconfigurable Computing Technology and Applications, HPRCTA'10, Held in Conjunction with SC10"</f>
        <v>Proceedings - 2010 4th International Workshop on High-Performance Reconfigurable Computing Technology and Applications, HPRCTA'10, Held in Conjunction with SC10</v>
      </c>
      <c r="B12254" s="8" t="str">
        <f>"9781424495177"</f>
        <v>9781424495177</v>
      </c>
      <c r="C12254" s="8" t="s">
        <v>9</v>
      </c>
    </row>
    <row r="12255" spans="1:3" x14ac:dyDescent="0.25">
      <c r="A12255" s="8" t="str">
        <f>"Proceedings - 2010 5th International Workshop on Semantic Media Adaptation and Personalization, SMAP 2010"</f>
        <v>Proceedings - 2010 5th International Workshop on Semantic Media Adaptation and Personalization, SMAP 2010</v>
      </c>
      <c r="B12255" s="8" t="str">
        <f>"9781424486007"</f>
        <v>9781424486007</v>
      </c>
      <c r="C12255" s="8" t="s">
        <v>9</v>
      </c>
    </row>
    <row r="12256" spans="1:3" x14ac:dyDescent="0.25">
      <c r="A12256" s="8" t="str">
        <f>"Proceedings - 2010 6th IEEE International Conference on e-Science, eScience 2010"</f>
        <v>Proceedings - 2010 6th IEEE International Conference on e-Science, eScience 2010</v>
      </c>
      <c r="B12256" s="8" t="str">
        <f>"9780769542904"</f>
        <v>9780769542904</v>
      </c>
      <c r="C12256" s="8" t="s">
        <v>9</v>
      </c>
    </row>
    <row r="12257" spans="1:3" x14ac:dyDescent="0.25">
      <c r="A12257" s="8" t="str">
        <f>"Proceedings - 2010 6th International Conference on Emerging Technologies, ICET 2010"</f>
        <v>Proceedings - 2010 6th International Conference on Emerging Technologies, ICET 2010</v>
      </c>
      <c r="B12257" s="8" t="str">
        <f>"9781424480586"</f>
        <v>9781424480586</v>
      </c>
      <c r="C12257" s="8" t="s">
        <v>9</v>
      </c>
    </row>
    <row r="12258" spans="1:3" x14ac:dyDescent="0.25">
      <c r="A12258" s="8" t="str">
        <f>"Proceedings - 2010 6th International Conference on Intelligent Environments, IE 2010"</f>
        <v>Proceedings - 2010 6th International Conference on Intelligent Environments, IE 2010</v>
      </c>
      <c r="B12258" s="8" t="str">
        <f>"9780769541495"</f>
        <v>9780769541495</v>
      </c>
      <c r="C12258" s="8" t="s">
        <v>9</v>
      </c>
    </row>
    <row r="12259" spans="1:3" x14ac:dyDescent="0.25">
      <c r="A12259" s="8" t="str">
        <f>"Proceedings - 2010 6th International Conference on Intelligent Information Hiding and Multimedia Signal Processing, IIHMSP 2010"</f>
        <v>Proceedings - 2010 6th International Conference on Intelligent Information Hiding and Multimedia Signal Processing, IIHMSP 2010</v>
      </c>
      <c r="B12259" s="8" t="str">
        <f>"9780769542225"</f>
        <v>9780769542225</v>
      </c>
      <c r="C12259" s="8" t="s">
        <v>9</v>
      </c>
    </row>
    <row r="12260" spans="1:3" x14ac:dyDescent="0.25">
      <c r="A12260" s="8" t="str">
        <f>"Proceedings - 2010 6th International Conference on Mobile Ad-hoc and Sensor Networks, MSN 2010"</f>
        <v>Proceedings - 2010 6th International Conference on Mobile Ad-hoc and Sensor Networks, MSN 2010</v>
      </c>
      <c r="B12260" s="8" t="str">
        <f>"9780769543154"</f>
        <v>9780769543154</v>
      </c>
      <c r="C12260" s="8" t="s">
        <v>9</v>
      </c>
    </row>
    <row r="12261" spans="1:3" x14ac:dyDescent="0.25">
      <c r="A12261" s="8" t="str">
        <f>"Proceedings - 2010 6th International Conference on Natural Computation, ICNC 2010"</f>
        <v>Proceedings - 2010 6th International Conference on Natural Computation, ICNC 2010</v>
      </c>
      <c r="B12261" s="8" t="str">
        <f>"9781424459612"</f>
        <v>9781424459612</v>
      </c>
      <c r="C12261" s="8" t="s">
        <v>9</v>
      </c>
    </row>
    <row r="12262" spans="1:3" x14ac:dyDescent="0.25">
      <c r="A12262" s="8" t="str">
        <f>"Proceedings - 2010 6th World Congress on Services, Services-1 2010"</f>
        <v>Proceedings - 2010 6th World Congress on Services, Services-1 2010</v>
      </c>
      <c r="B12262" s="8" t="str">
        <f>"9780769541297"</f>
        <v>9780769541297</v>
      </c>
      <c r="C12262" s="8" t="s">
        <v>9</v>
      </c>
    </row>
    <row r="12263" spans="1:3" x14ac:dyDescent="0.25">
      <c r="A12263" s="8" t="str">
        <f>"Proceedings - 2010 7th International Conference on Computer Graphics, Imaging and Visualization, CGIV 2010"</f>
        <v>Proceedings - 2010 7th International Conference on Computer Graphics, Imaging and Visualization, CGIV 2010</v>
      </c>
      <c r="B12263" s="8" t="str">
        <f>"9780769541662"</f>
        <v>9780769541662</v>
      </c>
      <c r="C12263" s="8" t="s">
        <v>9</v>
      </c>
    </row>
    <row r="12264" spans="1:3" x14ac:dyDescent="0.25">
      <c r="A12264" s="8" t="str">
        <f>"Proceedings - 2010 7th International Conference on Fuzzy Systems and Knowledge Discovery, FSKD 2010"</f>
        <v>Proceedings - 2010 7th International Conference on Fuzzy Systems and Knowledge Discovery, FSKD 2010</v>
      </c>
      <c r="B12264" s="8" t="str">
        <f>"9781424459346"</f>
        <v>9781424459346</v>
      </c>
      <c r="C12264" s="8" t="s">
        <v>9</v>
      </c>
    </row>
    <row r="12265" spans="1:3" x14ac:dyDescent="0.25">
      <c r="A12265" s="8" t="str">
        <f>"Proceedings - 2010 8th International Conference on ICT and Knowledge Engineering, ICT and KE 2010"</f>
        <v>Proceedings - 2010 8th International Conference on ICT and Knowledge Engineering, ICT and KE 2010</v>
      </c>
      <c r="B12265" s="8" t="str">
        <f>"9781424498758"</f>
        <v>9781424498758</v>
      </c>
      <c r="C12265" s="8" t="s">
        <v>9</v>
      </c>
    </row>
    <row r="12266" spans="1:3" x14ac:dyDescent="0.25">
      <c r="A12266" s="8" t="str">
        <f>"Proceedings - 2010 8th International Vacuum Electron Sources Conference and Nanocarbon, IVESC 2010 and NANOcarbon 2010"</f>
        <v>Proceedings - 2010 8th International Vacuum Electron Sources Conference and Nanocarbon, IVESC 2010 and NANOcarbon 2010</v>
      </c>
      <c r="B12266" s="8" t="str">
        <f>"9781424466429"</f>
        <v>9781424466429</v>
      </c>
      <c r="C12266" s="8" t="s">
        <v>9</v>
      </c>
    </row>
    <row r="12267" spans="1:3" x14ac:dyDescent="0.25">
      <c r="A12267" s="8" t="str">
        <f>"Proceedings - 2010 9th IEEE International Symposium on Network Computing and Applications, NCA 2010"</f>
        <v>Proceedings - 2010 9th IEEE International Symposium on Network Computing and Applications, NCA 2010</v>
      </c>
      <c r="B12267" s="8" t="str">
        <f>"9780769541181"</f>
        <v>9780769541181</v>
      </c>
      <c r="C12267" s="8" t="s">
        <v>9</v>
      </c>
    </row>
    <row r="12268" spans="1:3" x14ac:dyDescent="0.25">
      <c r="A12268" s="8" t="str">
        <f>"Proceedings - 2010 Agile Conference, AGILE 2010"</f>
        <v>Proceedings - 2010 Agile Conference, AGILE 2010</v>
      </c>
      <c r="B12268" s="8" t="str">
        <f>"9780769541259"</f>
        <v>9780769541259</v>
      </c>
      <c r="C12268" s="8" t="s">
        <v>9</v>
      </c>
    </row>
    <row r="12269" spans="1:3" x14ac:dyDescent="0.25">
      <c r="A12269" s="8" t="str">
        <f>"Proceedings - 2010 Brazilian Symposium on Games and Digital Entertainment, SBGames 2010"</f>
        <v>Proceedings - 2010 Brazilian Symposium on Games and Digital Entertainment, SBGames 2010</v>
      </c>
      <c r="B12269" s="8" t="str">
        <f>"9780769543598"</f>
        <v>9780769543598</v>
      </c>
      <c r="C12269" s="8" t="s">
        <v>9</v>
      </c>
    </row>
    <row r="12270" spans="1:3" x14ac:dyDescent="0.25">
      <c r="A12270" s="8" t="str">
        <f>"Proceedings - 2010 Conference on Visual Media Production, CVMP 2010"</f>
        <v>Proceedings - 2010 Conference on Visual Media Production, CVMP 2010</v>
      </c>
      <c r="B12270" s="8" t="str">
        <f>"9780769542683"</f>
        <v>9780769542683</v>
      </c>
      <c r="C12270" s="8" t="s">
        <v>9</v>
      </c>
    </row>
    <row r="12271" spans="1:3" x14ac:dyDescent="0.25">
      <c r="A12271" s="8" t="str">
        <f>"Proceedings - 2010 Digital Image Computing: Techniques and Applications, DICTA 2010"</f>
        <v>Proceedings - 2010 Digital Image Computing: Techniques and Applications, DICTA 2010</v>
      </c>
      <c r="B12271" s="8" t="str">
        <f>"9780769542713"</f>
        <v>9780769542713</v>
      </c>
      <c r="C12271" s="8" t="s">
        <v>9</v>
      </c>
    </row>
    <row r="12272" spans="1:3" x14ac:dyDescent="0.25">
      <c r="A12272" s="8" t="str">
        <f>"Proceedings - 2010 DoD High Performance Computing Modernization Program Users Group Conference, HPCMP UGC 2010"</f>
        <v>Proceedings - 2010 DoD High Performance Computing Modernization Program Users Group Conference, HPCMP UGC 2010</v>
      </c>
      <c r="B12272" s="8" t="str">
        <f>"9780769543925"</f>
        <v>9780769543925</v>
      </c>
      <c r="C12272" s="8" t="s">
        <v>9</v>
      </c>
    </row>
    <row r="12273" spans="1:3" x14ac:dyDescent="0.25">
      <c r="A12273" s="8" t="str">
        <f>"Proceedings - 2010 First Workshop on Hardware and Software Implementation and Control of Distributed MEMS, dMEMS 2010"</f>
        <v>Proceedings - 2010 First Workshop on Hardware and Software Implementation and Control of Distributed MEMS, dMEMS 2010</v>
      </c>
      <c r="B12273" s="8" t="str">
        <f>"9780769540641"</f>
        <v>9780769540641</v>
      </c>
      <c r="C12273" s="8" t="s">
        <v>9</v>
      </c>
    </row>
    <row r="12274" spans="1:3" x14ac:dyDescent="0.25">
      <c r="A12274" s="8" t="str">
        <f>"Proceedings - 2010 IEEE 17th International Conference on Industrial Engineering and Engineering Management, IE and EM2010"</f>
        <v>Proceedings - 2010 IEEE 17th International Conference on Industrial Engineering and Engineering Management, IE and EM2010</v>
      </c>
      <c r="B12274" s="8" t="str">
        <f>"9781424464814"</f>
        <v>9781424464814</v>
      </c>
      <c r="C12274" s="8" t="s">
        <v>9</v>
      </c>
    </row>
    <row r="12275" spans="1:3" x14ac:dyDescent="0.25">
      <c r="A12275" s="8" t="str">
        <f>"Proceedings - 2010 IEEE 2nd Symposium on Web Society, SWS 2010"</f>
        <v>Proceedings - 2010 IEEE 2nd Symposium on Web Society, SWS 2010</v>
      </c>
      <c r="B12275" s="8" t="str">
        <f>"9781424463572"</f>
        <v>9781424463572</v>
      </c>
      <c r="C12275" s="8" t="s">
        <v>9</v>
      </c>
    </row>
    <row r="12276" spans="1:3" x14ac:dyDescent="0.25">
      <c r="A12276" s="8" t="str">
        <f>"Proceedings - 2010 IEEE 3rd International Conference on Cloud Computing, CLOUD 2010"</f>
        <v>Proceedings - 2010 IEEE 3rd International Conference on Cloud Computing, CLOUD 2010</v>
      </c>
      <c r="B12276" s="8" t="str">
        <f>"9780769541303"</f>
        <v>9780769541303</v>
      </c>
      <c r="C12276" s="8" t="s">
        <v>9</v>
      </c>
    </row>
    <row r="12277" spans="1:3" x14ac:dyDescent="0.25">
      <c r="A12277" s="8" t="str">
        <f>"Proceedings - 2010 IEEE 4th International Conference on Semantic Computing, ICSC 2010"</f>
        <v>Proceedings - 2010 IEEE 4th International Conference on Semantic Computing, ICSC 2010</v>
      </c>
      <c r="B12277" s="8" t="str">
        <f>"9780769541549"</f>
        <v>9780769541549</v>
      </c>
      <c r="C12277" s="8" t="s">
        <v>9</v>
      </c>
    </row>
    <row r="12278" spans="1:3" x14ac:dyDescent="0.25">
      <c r="A12278" s="8" t="str">
        <f>"Proceedings - 2010 IEEE 6th International Conference on Intelligent Computer Communication and Processing, ICCP10"</f>
        <v>Proceedings - 2010 IEEE 6th International Conference on Intelligent Computer Communication and Processing, ICCP10</v>
      </c>
      <c r="B12278" s="8" t="str">
        <f>"9781424482306"</f>
        <v>9781424482306</v>
      </c>
      <c r="C12278" s="8" t="s">
        <v>9</v>
      </c>
    </row>
    <row r="12279" spans="1:3" x14ac:dyDescent="0.25">
      <c r="A12279" s="8" t="str">
        <f>"Proceedings - 2010 IEEE 7th International Conference on Services Computing, SCC 2010"</f>
        <v>Proceedings - 2010 IEEE 7th International Conference on Services Computing, SCC 2010</v>
      </c>
      <c r="B12279" s="8" t="str">
        <f>"9780769541266"</f>
        <v>9780769541266</v>
      </c>
      <c r="C12279" s="8" t="s">
        <v>9</v>
      </c>
    </row>
    <row r="12280" spans="1:3" x14ac:dyDescent="0.25">
      <c r="A12280" s="8" t="str">
        <f>"Proceedings - 2010 IEEE Asia-Pacific Services Computing Conference, APSCC 2010"</f>
        <v>Proceedings - 2010 IEEE Asia-Pacific Services Computing Conference, APSCC 2010</v>
      </c>
      <c r="B12280" s="8" t="str">
        <f>"9780769543055"</f>
        <v>9780769543055</v>
      </c>
      <c r="C12280" s="8" t="s">
        <v>9</v>
      </c>
    </row>
    <row r="12281" spans="1:3" x14ac:dyDescent="0.25">
      <c r="A12281" s="8" t="str">
        <f>"Proceedings - 2010 IEEE Electronics, Robotics and Automotive Mechanics Conference, CERMA 2010"</f>
        <v>Proceedings - 2010 IEEE Electronics, Robotics and Automotive Mechanics Conference, CERMA 2010</v>
      </c>
      <c r="B12281" s="8" t="str">
        <f>"9780769542041"</f>
        <v>9780769542041</v>
      </c>
      <c r="C12281" s="8" t="s">
        <v>9</v>
      </c>
    </row>
    <row r="12282" spans="1:3" x14ac:dyDescent="0.25">
      <c r="A12282" s="8" t="str">
        <f>"Proceedings - 2010 IEEE International Conference on Bioinformatics and Biomedicine, BIBM 2010"</f>
        <v>Proceedings - 2010 IEEE International Conference on Bioinformatics and Biomedicine, BIBM 2010</v>
      </c>
      <c r="B12282" s="8" t="str">
        <f>"9781424483075"</f>
        <v>9781424483075</v>
      </c>
      <c r="C12282" s="8" t="s">
        <v>9</v>
      </c>
    </row>
    <row r="12283" spans="1:3" x14ac:dyDescent="0.25">
      <c r="A12283" s="8" t="str">
        <f>"Proceedings - 2010 IEEE International Conference on Emergency Management and Management Sciences, ICEMMS 2010"</f>
        <v>Proceedings - 2010 IEEE International Conference on Emergency Management and Management Sciences, ICEMMS 2010</v>
      </c>
      <c r="B12283" s="8" t="str">
        <f>"9781424460625"</f>
        <v>9781424460625</v>
      </c>
      <c r="C12283" s="8" t="s">
        <v>21</v>
      </c>
    </row>
    <row r="12284" spans="1:3" x14ac:dyDescent="0.25">
      <c r="A12284" s="8" t="str">
        <f>"Proceedings - 2010 IEEE International Conference on Granular Computing, GrC 2010"</f>
        <v>Proceedings - 2010 IEEE International Conference on Granular Computing, GrC 2010</v>
      </c>
      <c r="B12284" s="8" t="str">
        <f>"9780769541617"</f>
        <v>9780769541617</v>
      </c>
      <c r="C12284" s="8" t="s">
        <v>9</v>
      </c>
    </row>
    <row r="12285" spans="1:3" x14ac:dyDescent="0.25">
      <c r="A12285" s="8" t="str">
        <f>"Proceedings - 2010 IEEE International Conference on Intelligent Computing and Intelligent Systems, ICIS 2010"</f>
        <v>Proceedings - 2010 IEEE International Conference on Intelligent Computing and Intelligent Systems, ICIS 2010</v>
      </c>
      <c r="B12285" s="8" t="str">
        <f>"9781424465835"</f>
        <v>9781424465835</v>
      </c>
      <c r="C12285" s="8" t="s">
        <v>9</v>
      </c>
    </row>
    <row r="12286" spans="1:3" x14ac:dyDescent="0.25">
      <c r="A12286" s="8" t="str">
        <f>"Proceedings - 2010 IEEE International Conference on Networking, Architecture and Storage, NAS 2010"</f>
        <v>Proceedings - 2010 IEEE International Conference on Networking, Architecture and Storage, NAS 2010</v>
      </c>
      <c r="B12286" s="8" t="str">
        <f>"9780769541341"</f>
        <v>9780769541341</v>
      </c>
      <c r="C12286" s="8" t="s">
        <v>9</v>
      </c>
    </row>
    <row r="12287" spans="1:3" x14ac:dyDescent="0.25">
      <c r="A12287" s="8" t="str">
        <f>"Proceedings - 2010 IEEE International Conference on Service-Oriented Computing and Applications, SOCA 2010"</f>
        <v>Proceedings - 2010 IEEE International Conference on Service-Oriented Computing and Applications, SOCA 2010</v>
      </c>
      <c r="B12287" s="8" t="str">
        <f>"9781424498017"</f>
        <v>9781424498017</v>
      </c>
      <c r="C12287" s="8" t="s">
        <v>9</v>
      </c>
    </row>
    <row r="12288" spans="1:3" x14ac:dyDescent="0.25">
      <c r="A12288" s="8" t="str">
        <f>"Proceedings - 2010 IEEE International Conference on Wireless Communications, Networking and Information Security, WCNIS 2010"</f>
        <v>Proceedings - 2010 IEEE International Conference on Wireless Communications, Networking and Information Security, WCNIS 2010</v>
      </c>
      <c r="B12288" s="8" t="str">
        <f>"9781424458516"</f>
        <v>9781424458516</v>
      </c>
      <c r="C12288" s="8" t="s">
        <v>9</v>
      </c>
    </row>
    <row r="12289" spans="1:3" x14ac:dyDescent="0.25">
      <c r="A12289" s="8" t="str">
        <f>"Proceedings - 2010 IEEE International Symposium on Multimedia, ISM 2010"</f>
        <v>Proceedings - 2010 IEEE International Symposium on Multimedia, ISM 2010</v>
      </c>
      <c r="B12289" s="8" t="str">
        <f>"9780769542171"</f>
        <v>9780769542171</v>
      </c>
      <c r="C12289" s="8" t="s">
        <v>9</v>
      </c>
    </row>
    <row r="12290" spans="1:3" x14ac:dyDescent="0.25">
      <c r="A12290" s="8" t="str">
        <f>"Proceedings - 2010 IEEE International Symposium on Policies for Distributed Systems and Networks, Policy 2010"</f>
        <v>Proceedings - 2010 IEEE International Symposium on Policies for Distributed Systems and Networks, Policy 2010</v>
      </c>
      <c r="B12290" s="8" t="str">
        <f>"9780769542386"</f>
        <v>9780769542386</v>
      </c>
      <c r="C12290" s="8" t="s">
        <v>9</v>
      </c>
    </row>
    <row r="12291" spans="1:3" x14ac:dyDescent="0.25">
      <c r="A12291" s="8" t="str">
        <f>"Proceedings - 2010 IEEE International Topical Meeting on Microwave Photonics, MWP 2010"</f>
        <v>Proceedings - 2010 IEEE International Topical Meeting on Microwave Photonics, MWP 2010</v>
      </c>
      <c r="B12291" s="8" t="str">
        <f>"9781424478255"</f>
        <v>9781424478255</v>
      </c>
      <c r="C12291" s="8" t="s">
        <v>9</v>
      </c>
    </row>
    <row r="12292" spans="1:3" x14ac:dyDescent="0.25">
      <c r="A12292" s="8" t="str">
        <f>"Proceedings - 2010 IEEE Region 8 International Conference on Computational Technologies in Electrical and Electronics Engineering, SIBIRCON-2010"</f>
        <v>Proceedings - 2010 IEEE Region 8 International Conference on Computational Technologies in Electrical and Electronics Engineering, SIBIRCON-2010</v>
      </c>
      <c r="B12292" s="8" t="str">
        <f>"9781424476268"</f>
        <v>9781424476268</v>
      </c>
      <c r="C12292" s="8" t="s">
        <v>9</v>
      </c>
    </row>
    <row r="12293" spans="1:3" x14ac:dyDescent="0.25">
      <c r="A12293" s="8" t="str">
        <f>"Proceedings - 2010 IEEE Symposium on Product Compliance Engineering, PSES 2010"</f>
        <v>Proceedings - 2010 IEEE Symposium on Product Compliance Engineering, PSES 2010</v>
      </c>
      <c r="B12293" s="8" t="str">
        <f>"9781424474967"</f>
        <v>9781424474967</v>
      </c>
      <c r="C12293" s="8" t="s">
        <v>9</v>
      </c>
    </row>
    <row r="12294" spans="1:3" x14ac:dyDescent="0.25">
      <c r="A12294" s="8" t="str">
        <f>"Proceedings - 2010 IEEE Symposium on Visual Languages and Human-Centric Computing, VL/HCC 2010"</f>
        <v>Proceedings - 2010 IEEE Symposium on Visual Languages and Human-Centric Computing, VL/HCC 2010</v>
      </c>
      <c r="B12294" s="8" t="str">
        <f>"9780769542065"</f>
        <v>9780769542065</v>
      </c>
      <c r="C12294" s="8" t="s">
        <v>9</v>
      </c>
    </row>
    <row r="12295" spans="1:3" x14ac:dyDescent="0.25">
      <c r="A12295" s="8" t="str">
        <f>"Proceedings - 2010 IEEE Youth Conference on Information, Computing and Telecommunications, YC-ICT 2010"</f>
        <v>Proceedings - 2010 IEEE Youth Conference on Information, Computing and Telecommunications, YC-ICT 2010</v>
      </c>
      <c r="B12295" s="8" t="str">
        <f>"9781424488841"</f>
        <v>9781424488841</v>
      </c>
      <c r="C12295" s="8" t="s">
        <v>9</v>
      </c>
    </row>
    <row r="12296" spans="1:3" x14ac:dyDescent="0.25">
      <c r="A12296" s="8" t="str">
        <f>"Proceedings - 2010 IEEE/ACM International Conference on Green Computing and Communications, GreenCom 2010, 2010 IEEE/ACM International Conference on Cyber, Physical and Social Computing, CPSCom 2010"</f>
        <v>Proceedings - 2010 IEEE/ACM International Conference on Green Computing and Communications, GreenCom 2010, 2010 IEEE/ACM International Conference on Cyber, Physical and Social Computing, CPSCom 2010</v>
      </c>
      <c r="B12296" s="8" t="str">
        <f>"9780769543314"</f>
        <v>9780769543314</v>
      </c>
      <c r="C12296" s="8" t="s">
        <v>9</v>
      </c>
    </row>
    <row r="12297" spans="1:3" x14ac:dyDescent="0.25">
      <c r="A12297" s="8" t="str">
        <f>"Proceedings - 2010 IEEE/WIC/ACM International Conference on Intelligent Agent Technology, IAT 2010"</f>
        <v>Proceedings - 2010 IEEE/WIC/ACM International Conference on Intelligent Agent Technology, IAT 2010</v>
      </c>
      <c r="B12297" s="8" t="str">
        <f>"9780769541914"</f>
        <v>9780769541914</v>
      </c>
      <c r="C12297" s="8" t="s">
        <v>9</v>
      </c>
    </row>
    <row r="12298" spans="1:3" x14ac:dyDescent="0.25">
      <c r="A12298" s="8" t="str">
        <f>"Proceedings - 2010 IEEE/WIC/ACM International Conference on Web Intelligence and Intelligent Agent Technology - Workshops, WI-IAT 2010"</f>
        <v>Proceedings - 2010 IEEE/WIC/ACM International Conference on Web Intelligence and Intelligent Agent Technology - Workshops, WI-IAT 2010</v>
      </c>
      <c r="B12298" s="8" t="str">
        <f>"9780769541914"</f>
        <v>9780769541914</v>
      </c>
      <c r="C12298" s="8" t="s">
        <v>9</v>
      </c>
    </row>
    <row r="12299" spans="1:3" x14ac:dyDescent="0.25">
      <c r="A12299" s="8" t="str">
        <f>"Proceedings - 2010 IEEE/WIC/ACM International Conference on Web Intelligence, WI 2010"</f>
        <v>Proceedings - 2010 IEEE/WIC/ACM International Conference on Web Intelligence, WI 2010</v>
      </c>
      <c r="B12299" s="8" t="str">
        <f>"9780769541914"</f>
        <v>9780769541914</v>
      </c>
      <c r="C12299" s="8" t="s">
        <v>9</v>
      </c>
    </row>
    <row r="12300" spans="1:3" x14ac:dyDescent="0.25">
      <c r="A12300" s="8" t="str">
        <f>"Proceedings - 2010 International Conference of Information Science and Management Engineering, ISME 2010"</f>
        <v>Proceedings - 2010 International Conference of Information Science and Management Engineering, ISME 2010</v>
      </c>
      <c r="B12300" s="8" t="str">
        <f>"9780769541327"</f>
        <v>9780769541327</v>
      </c>
      <c r="C12300" s="8" t="s">
        <v>9</v>
      </c>
    </row>
    <row r="12301" spans="1:3" x14ac:dyDescent="0.25">
      <c r="A12301" s="8" t="str">
        <f>"Proceedings - 2010 International Conference on Advanced Technologies for Communications, ATC 2010"</f>
        <v>Proceedings - 2010 International Conference on Advanced Technologies for Communications, ATC 2010</v>
      </c>
      <c r="B12301" s="8" t="str">
        <f>"9781424488766"</f>
        <v>9781424488766</v>
      </c>
      <c r="C12301" s="8" t="s">
        <v>9</v>
      </c>
    </row>
    <row r="12302" spans="1:3" x14ac:dyDescent="0.25">
      <c r="A12302" s="8" t="str">
        <f>"Proceedings - 2010 International Conference on Advances in Social Network Analysis and Mining, ASONAM 2010"</f>
        <v>Proceedings - 2010 International Conference on Advances in Social Network Analysis and Mining, ASONAM 2010</v>
      </c>
      <c r="B12302" s="8" t="str">
        <f>"9780769541389"</f>
        <v>9780769541389</v>
      </c>
      <c r="C12302" s="8" t="s">
        <v>9</v>
      </c>
    </row>
    <row r="12303" spans="1:3" x14ac:dyDescent="0.25">
      <c r="A12303" s="8" t="str">
        <f>"Proceedings - 2010 International Conference on Anti-Counterfeiting, Security and Identification, 2010 ASID"</f>
        <v>Proceedings - 2010 International Conference on Anti-Counterfeiting, Security and Identification, 2010 ASID</v>
      </c>
      <c r="B12303" s="8" t="str">
        <f>"9781424467327"</f>
        <v>9781424467327</v>
      </c>
      <c r="C12303" s="8" t="s">
        <v>9</v>
      </c>
    </row>
    <row r="12304" spans="1:3" x14ac:dyDescent="0.25">
      <c r="A12304" s="8" t="str">
        <f>"Proceedings - 2010 International Conference on Artificial Intelligence and Education, ICAIE 2010"</f>
        <v>Proceedings - 2010 International Conference on Artificial Intelligence and Education, ICAIE 2010</v>
      </c>
      <c r="B12304" s="8" t="str">
        <f>"9781424469338"</f>
        <v>9781424469338</v>
      </c>
      <c r="C12304" s="8" t="s">
        <v>9</v>
      </c>
    </row>
    <row r="12305" spans="1:3" x14ac:dyDescent="0.25">
      <c r="A12305" s="8" t="str">
        <f>"Proceedings - 2010 International Conference on Asian Language Processing, IALP 2010"</f>
        <v>Proceedings - 2010 International Conference on Asian Language Processing, IALP 2010</v>
      </c>
      <c r="B12305" s="8" t="str">
        <f>"9780769542881"</f>
        <v>9780769542881</v>
      </c>
      <c r="C12305" s="8" t="s">
        <v>9</v>
      </c>
    </row>
    <row r="12306" spans="1:3" x14ac:dyDescent="0.25">
      <c r="A12306" s="8" t="str">
        <f>"Proceedings - 2010 International Conference on Broadband, Wireless Computing Communication and Applications, BWCCA 2010"</f>
        <v>Proceedings - 2010 International Conference on Broadband, Wireless Computing Communication and Applications, BWCCA 2010</v>
      </c>
      <c r="B12306" s="8" t="str">
        <f>"9780769542362"</f>
        <v>9780769542362</v>
      </c>
      <c r="C12306" s="8" t="s">
        <v>9</v>
      </c>
    </row>
    <row r="12307" spans="1:3" x14ac:dyDescent="0.25">
      <c r="A12307" s="8" t="str">
        <f>"Proceedings - 2010 International Conference on Communications and Intelligence Information Security, ICCIIS 2010"</f>
        <v>Proceedings - 2010 International Conference on Communications and Intelligence Information Security, ICCIIS 2010</v>
      </c>
      <c r="B12307" s="8" t="str">
        <f>"9780769542607"</f>
        <v>9780769542607</v>
      </c>
      <c r="C12307" s="8" t="s">
        <v>9</v>
      </c>
    </row>
    <row r="12308" spans="1:3" x14ac:dyDescent="0.25">
      <c r="A12308" s="8" t="str">
        <f>"Proceedings - 2010 International Conference on Computational and Information Sciences, ICCIS 2010"</f>
        <v>Proceedings - 2010 International Conference on Computational and Information Sciences, ICCIS 2010</v>
      </c>
      <c r="B12308" s="8" t="str">
        <f>"9780769542706"</f>
        <v>9780769542706</v>
      </c>
      <c r="C12308" s="8" t="s">
        <v>9</v>
      </c>
    </row>
    <row r="12309" spans="1:3" x14ac:dyDescent="0.25">
      <c r="A12309" s="8" t="str">
        <f>"Proceedings - 2010 International Conference on Computational Intelligence and Communication Networks, CICN 2010"</f>
        <v>Proceedings - 2010 International Conference on Computational Intelligence and Communication Networks, CICN 2010</v>
      </c>
      <c r="B12309" s="8" t="str">
        <f>"9780769542546"</f>
        <v>9780769542546</v>
      </c>
      <c r="C12309" s="8" t="s">
        <v>9</v>
      </c>
    </row>
    <row r="12310" spans="1:3" x14ac:dyDescent="0.25">
      <c r="A12310" s="8" t="str">
        <f>"Proceedings - 2010 International Conference on Computational Intelligence and Security, CIS 2010"</f>
        <v>Proceedings - 2010 International Conference on Computational Intelligence and Security, CIS 2010</v>
      </c>
      <c r="B12310" s="8" t="str">
        <f>"9780769542973"</f>
        <v>9780769542973</v>
      </c>
      <c r="C12310" s="8" t="s">
        <v>9</v>
      </c>
    </row>
    <row r="12311" spans="1:3" x14ac:dyDescent="0.25">
      <c r="A12311" s="8" t="str">
        <f>"Proceedings - 2010 International Conference on Cyber-Enabled Distributed Computing and Knowledge Discovery, CyberC 2010"</f>
        <v>Proceedings - 2010 International Conference on Cyber-Enabled Distributed Computing and Knowledge Discovery, CyberC 2010</v>
      </c>
      <c r="B12311" s="8" t="str">
        <f>"9780769542355"</f>
        <v>9780769542355</v>
      </c>
      <c r="C12311" s="8" t="s">
        <v>9</v>
      </c>
    </row>
    <row r="12312" spans="1:3" x14ac:dyDescent="0.25">
      <c r="A12312" s="8" t="str">
        <f>"Proceedings - 2010 International Conference on Cyberworlds, CW 2010"</f>
        <v>Proceedings - 2010 International Conference on Cyberworlds, CW 2010</v>
      </c>
      <c r="B12312" s="8" t="str">
        <f>"9780769542157"</f>
        <v>9780769542157</v>
      </c>
      <c r="C12312" s="8" t="s">
        <v>9</v>
      </c>
    </row>
    <row r="12313" spans="1:3" x14ac:dyDescent="0.25">
      <c r="A12313" s="8" t="str">
        <f>"Proceedings - 2010 International Conference on Digital Manufacturing and Automation, ICDMA 2010"</f>
        <v>Proceedings - 2010 International Conference on Digital Manufacturing and Automation, ICDMA 2010</v>
      </c>
      <c r="B12313" s="8" t="str">
        <f>"9780769542867"</f>
        <v>9780769542867</v>
      </c>
      <c r="C12313" s="8" t="s">
        <v>9</v>
      </c>
    </row>
    <row r="12314" spans="1:3" x14ac:dyDescent="0.25">
      <c r="A12314" s="8" t="str">
        <f>"Proceedings - 2010 International Conference on Embedded Computer Systems: Architectures, Modeling and Simulation, IC-SAMOS 2010"</f>
        <v>Proceedings - 2010 International Conference on Embedded Computer Systems: Architectures, Modeling and Simulation, IC-SAMOS 2010</v>
      </c>
      <c r="B12314" s="8" t="str">
        <f>"9781424479382"</f>
        <v>9781424479382</v>
      </c>
      <c r="C12314" s="8" t="s">
        <v>9</v>
      </c>
    </row>
    <row r="12315" spans="1:3" x14ac:dyDescent="0.25">
      <c r="A12315" s="8" t="str">
        <f>"Proceedings - 2010 International Conference on Field Programmable Logic and Applications, FPL 2010"</f>
        <v>Proceedings - 2010 International Conference on Field Programmable Logic and Applications, FPL 2010</v>
      </c>
      <c r="B12315" s="8" t="str">
        <f>"9780769541792"</f>
        <v>9780769541792</v>
      </c>
      <c r="C12315" s="8" t="s">
        <v>9</v>
      </c>
    </row>
    <row r="12316" spans="1:3" x14ac:dyDescent="0.25">
      <c r="A12316" s="8" t="str">
        <f>"Proceedings - 2010 International Conference on Field-Programmable Technology, FPT'10"</f>
        <v>Proceedings - 2010 International Conference on Field-Programmable Technology, FPT'10</v>
      </c>
      <c r="B12316" s="8" t="str">
        <f>"9781424489817"</f>
        <v>9781424489817</v>
      </c>
      <c r="C12316" s="8" t="s">
        <v>9</v>
      </c>
    </row>
    <row r="12317" spans="1:3" x14ac:dyDescent="0.25">
      <c r="A12317" s="8" t="str">
        <f>"Proceedings - 2010 International Conference on Information Retrieval and Knowledge Management: Exploring the Invisible World, CAMP'10"</f>
        <v>Proceedings - 2010 International Conference on Information Retrieval and Knowledge Management: Exploring the Invisible World, CAMP'10</v>
      </c>
      <c r="B12317" s="8" t="str">
        <f>"9781424456512"</f>
        <v>9781424456512</v>
      </c>
      <c r="C12317" s="8" t="s">
        <v>9</v>
      </c>
    </row>
    <row r="12318" spans="1:3" x14ac:dyDescent="0.25">
      <c r="A12318" s="8" t="str">
        <f>"Proceedings - 2010 International Conference on Intelligent Computing and Cognitive Informatics, ICICCI 2010"</f>
        <v>Proceedings - 2010 International Conference on Intelligent Computing and Cognitive Informatics, ICICCI 2010</v>
      </c>
      <c r="B12318" s="8" t="str">
        <f>"9780769540146"</f>
        <v>9780769540146</v>
      </c>
      <c r="C12318" s="8" t="s">
        <v>9</v>
      </c>
    </row>
    <row r="12319" spans="1:3" x14ac:dyDescent="0.25">
      <c r="A12319" s="8" t="str">
        <f>"Proceedings - 2010 International Conference on Intelligent Computing and Integrated Systems, ICISS2010"</f>
        <v>Proceedings - 2010 International Conference on Intelligent Computing and Integrated Systems, ICISS2010</v>
      </c>
      <c r="B12319" s="8" t="str">
        <f>"9781424468355"</f>
        <v>9781424468355</v>
      </c>
      <c r="C12319" s="8" t="s">
        <v>9</v>
      </c>
    </row>
    <row r="12320" spans="1:3" x14ac:dyDescent="0.25">
      <c r="A12320" s="8" t="str">
        <f>"Proceedings - 2010 International Conference on Intelligent System Design and Engineering Application, ISDEA 2010"</f>
        <v>Proceedings - 2010 International Conference on Intelligent System Design and Engineering Application, ISDEA 2010</v>
      </c>
      <c r="B12320" s="8" t="str">
        <f>"9780769542126"</f>
        <v>9780769542126</v>
      </c>
      <c r="C12320" s="8" t="s">
        <v>9</v>
      </c>
    </row>
    <row r="12321" spans="1:3" x14ac:dyDescent="0.25">
      <c r="A12321" s="8" t="str">
        <f>"Proceedings - 2010 International Conference on Management of e-Commerce and e-Government, ICMeCG 2010"</f>
        <v>Proceedings - 2010 International Conference on Management of e-Commerce and e-Government, ICMeCG 2010</v>
      </c>
      <c r="B12321" s="8" t="str">
        <f>"9780769542454"</f>
        <v>9780769542454</v>
      </c>
      <c r="C12321" s="8" t="s">
        <v>9</v>
      </c>
    </row>
    <row r="12322" spans="1:3" x14ac:dyDescent="0.25">
      <c r="A12322" s="8" t="str">
        <f>"Proceedings - 2010 International Conference on Manufacturing Automation, ICMA 2010"</f>
        <v>Proceedings - 2010 International Conference on Manufacturing Automation, ICMA 2010</v>
      </c>
      <c r="B12322" s="8" t="str">
        <f>"9780769542935"</f>
        <v>9780769542935</v>
      </c>
      <c r="C12322" s="8" t="s">
        <v>9</v>
      </c>
    </row>
    <row r="12323" spans="1:3" x14ac:dyDescent="0.25">
      <c r="A12323" s="8" t="str">
        <f>"Proceedings - 2010 International Conference on Multimedia Communications, Mediacom 2010"</f>
        <v>Proceedings - 2010 International Conference on Multimedia Communications, Mediacom 2010</v>
      </c>
      <c r="B12323" s="8" t="str">
        <f>"9780769541365"</f>
        <v>9780769541365</v>
      </c>
      <c r="C12323" s="8" t="s">
        <v>9</v>
      </c>
    </row>
    <row r="12324" spans="1:3" x14ac:dyDescent="0.25">
      <c r="A12324" s="8" t="str">
        <f>"Proceedings - 2010 International Conference on Optoelectronics and Image Processing, ICOIP 2010"</f>
        <v>Proceedings - 2010 International Conference on Optoelectronics and Image Processing, ICOIP 2010</v>
      </c>
      <c r="B12324" s="8" t="str">
        <f>"9780769542522"</f>
        <v>9780769542522</v>
      </c>
      <c r="C12324" s="8" t="s">
        <v>9</v>
      </c>
    </row>
    <row r="12325" spans="1:3" x14ac:dyDescent="0.25">
      <c r="A12325" s="8" t="str">
        <f>"Proceedings - 2010 International Conference on Reconfigurable Computing and FPGAs, ReConFig 2010"</f>
        <v>Proceedings - 2010 International Conference on Reconfigurable Computing and FPGAs, ReConFig 2010</v>
      </c>
      <c r="B12325" s="8" t="str">
        <f>"9780769543147"</f>
        <v>9780769543147</v>
      </c>
      <c r="C12325" s="8" t="s">
        <v>9</v>
      </c>
    </row>
    <row r="12326" spans="1:3" x14ac:dyDescent="0.25">
      <c r="A12326" s="8" t="str">
        <f>"Proceedings - 2010 International Conference on Service Science, ICSS 2010"</f>
        <v>Proceedings - 2010 International Conference on Service Science, ICSS 2010</v>
      </c>
      <c r="B12326" s="8" t="str">
        <f>"9780769540177"</f>
        <v>9780769540177</v>
      </c>
      <c r="C12326" s="8" t="s">
        <v>9</v>
      </c>
    </row>
    <row r="12327" spans="1:3" x14ac:dyDescent="0.25">
      <c r="A12327" s="8" t="str">
        <f>"Proceedings - 2010 International Conference on System Science, Engineering Design and Manufacturing Informatization, ICSEM 2010"</f>
        <v>Proceedings - 2010 International Conference on System Science, Engineering Design and Manufacturing Informatization, ICSEM 2010</v>
      </c>
      <c r="B12327" s="8" t="str">
        <f>"9780769542232"</f>
        <v>9780769542232</v>
      </c>
      <c r="C12327" s="8" t="s">
        <v>9</v>
      </c>
    </row>
    <row r="12328" spans="1:3" x14ac:dyDescent="0.25">
      <c r="A12328" s="8" t="str">
        <f>"Proceedings - 2010 International Conference on the Origins and Evolution of the Cavity Magnetron, CAVMAG 2010"</f>
        <v>Proceedings - 2010 International Conference on the Origins and Evolution of the Cavity Magnetron, CAVMAG 2010</v>
      </c>
      <c r="B12328" s="8" t="str">
        <f>"9781424456116"</f>
        <v>9781424456116</v>
      </c>
      <c r="C12328" s="8" t="s">
        <v>9</v>
      </c>
    </row>
    <row r="12329" spans="1:3" x14ac:dyDescent="0.25">
      <c r="A12329" s="8" t="str">
        <f>"Proceedings - 2010 International Conference on User Science and Engineering, i-USEr 2010"</f>
        <v>Proceedings - 2010 International Conference on User Science and Engineering, i-USEr 2010</v>
      </c>
      <c r="B12329" s="8" t="str">
        <f>"9781424490493"</f>
        <v>9781424490493</v>
      </c>
      <c r="C12329" s="8" t="s">
        <v>9</v>
      </c>
    </row>
    <row r="12330" spans="1:3" x14ac:dyDescent="0.25">
      <c r="A12330" s="8" t="str">
        <f>"Proceedings - 2010 International Conference on Web Information Systems and Mining, WISM 2010"</f>
        <v>Proceedings - 2010 International Conference on Web Information Systems and Mining, WISM 2010</v>
      </c>
      <c r="B12330" s="8" t="str">
        <f>"9780769542249"</f>
        <v>9780769542249</v>
      </c>
      <c r="C12330" s="8" t="s">
        <v>9</v>
      </c>
    </row>
    <row r="12331" spans="1:3" x14ac:dyDescent="0.25">
      <c r="A12331" s="8" t="str">
        <f>"Proceedings - 2010 International Forum on Information Technology and Applications, IFITA 2010"</f>
        <v>Proceedings - 2010 International Forum on Information Technology and Applications, IFITA 2010</v>
      </c>
      <c r="B12331" s="8" t="str">
        <f>"9780769541150"</f>
        <v>9780769541150</v>
      </c>
      <c r="C12331" s="8" t="s">
        <v>9</v>
      </c>
    </row>
    <row r="12332" spans="1:3" x14ac:dyDescent="0.25">
      <c r="A12332" s="8" t="str">
        <f>"Proceedings - 2010 International Symposium on Computational Intelligence and Design, ISCID 2010"</f>
        <v>Proceedings - 2010 International Symposium on Computational Intelligence and Design, ISCID 2010</v>
      </c>
      <c r="B12332" s="8" t="str">
        <f>"9780769541983"</f>
        <v>9780769541983</v>
      </c>
      <c r="C12332" s="8" t="s">
        <v>9</v>
      </c>
    </row>
    <row r="12333" spans="1:3" x14ac:dyDescent="0.25">
      <c r="A12333" s="8" t="str">
        <f>"Proceedings - 2010 International Symposium on Electronic System Design, ISED 2010"</f>
        <v>Proceedings - 2010 International Symposium on Electronic System Design, ISED 2010</v>
      </c>
      <c r="B12333" s="8" t="str">
        <f>"9780769542942"</f>
        <v>9780769542942</v>
      </c>
      <c r="C12333" s="8" t="s">
        <v>9</v>
      </c>
    </row>
    <row r="12334" spans="1:3" x14ac:dyDescent="0.25">
      <c r="A12334" s="8" t="str">
        <f>"Proceedings - 2010 International Symposium on Intelligence Information Processing and Trusted Computing, IPTC 2010"</f>
        <v>Proceedings - 2010 International Symposium on Intelligence Information Processing and Trusted Computing, IPTC 2010</v>
      </c>
      <c r="B12334" s="8" t="str">
        <f>"9780769541969"</f>
        <v>9780769541969</v>
      </c>
      <c r="C12334" s="8" t="s">
        <v>9</v>
      </c>
    </row>
    <row r="12335" spans="1:3" x14ac:dyDescent="0.25">
      <c r="A12335" s="8" t="str">
        <f>"Proceedings - 2010 International Symposium on Ubiquitous Virtual Reality, ISUVR 2010"</f>
        <v>Proceedings - 2010 International Symposium on Ubiquitous Virtual Reality, ISUVR 2010</v>
      </c>
      <c r="B12335" s="8" t="str">
        <f>"9780769541242"</f>
        <v>9780769541242</v>
      </c>
      <c r="C12335" s="8" t="s">
        <v>21</v>
      </c>
    </row>
    <row r="12336" spans="1:3" x14ac:dyDescent="0.25">
      <c r="A12336" s="8" t="str">
        <f>"Proceedings - 2010 International Workshop on Chaos-Fractal Theories and Applications, IWCFTA 2010"</f>
        <v>Proceedings - 2010 International Workshop on Chaos-Fractal Theories and Applications, IWCFTA 2010</v>
      </c>
      <c r="B12336" s="8" t="str">
        <f>"9780769542478"</f>
        <v>9780769542478</v>
      </c>
      <c r="C12336" s="8" t="s">
        <v>9</v>
      </c>
    </row>
    <row r="12337" spans="1:3" x14ac:dyDescent="0.25">
      <c r="A12337" s="8" t="str">
        <f>"Proceedings - 2010 International Workshop on Storage Network Architecture and Parallel I/Os, SNAPI 2010"</f>
        <v>Proceedings - 2010 International Workshop on Storage Network Architecture and Parallel I/Os, SNAPI 2010</v>
      </c>
      <c r="B12337" s="8" t="str">
        <f>"9780769540252"</f>
        <v>9780769540252</v>
      </c>
      <c r="C12337" s="8" t="s">
        <v>9</v>
      </c>
    </row>
    <row r="12338" spans="1:3" x14ac:dyDescent="0.25">
      <c r="A12338" s="8" t="str">
        <f>"Proceedings - 2010 Latin American Robotics Symposium and Intelligent Robotics Meeting, LARS 2010"</f>
        <v>Proceedings - 2010 Latin American Robotics Symposium and Intelligent Robotics Meeting, LARS 2010</v>
      </c>
      <c r="B12338" s="8" t="str">
        <f>"9780769542317"</f>
        <v>9780769542317</v>
      </c>
      <c r="C12338" s="8" t="s">
        <v>9</v>
      </c>
    </row>
    <row r="12339" spans="1:3" x14ac:dyDescent="0.25">
      <c r="A12339" s="8" t="str">
        <f>"Proceedings - 2010 WASE International Conference on Information Engineering, ICIE 2010"</f>
        <v>Proceedings - 2010 WASE International Conference on Information Engineering, ICIE 2010</v>
      </c>
      <c r="B12339" s="8" t="str">
        <f>"9780769540801"</f>
        <v>9780769540801</v>
      </c>
      <c r="C12339" s="8" t="s">
        <v>9</v>
      </c>
    </row>
    <row r="12340" spans="1:3" x14ac:dyDescent="0.25">
      <c r="A12340" s="8" t="str">
        <f>"Proceedings - 2010 Workshop on Embedded Systems Education, WESE 2010"</f>
        <v>Proceedings - 2010 Workshop on Embedded Systems Education, WESE 2010</v>
      </c>
      <c r="B12340" s="8" t="str">
        <f>"9781450305211"</f>
        <v>9781450305211</v>
      </c>
      <c r="C12340" s="8" t="s">
        <v>21</v>
      </c>
    </row>
    <row r="12341" spans="1:3" x14ac:dyDescent="0.25">
      <c r="A12341" s="8" t="str">
        <f>"Proceedings - 2010 Workshop on Model-Driven Engineering, Verification, and Validation, MoDeVVa 2010"</f>
        <v>Proceedings - 2010 Workshop on Model-Driven Engineering, Verification, and Validation, MoDeVVa 2010</v>
      </c>
      <c r="B12341" s="8" t="str">
        <f>"9780769543840"</f>
        <v>9780769543840</v>
      </c>
      <c r="C12341" s="8" t="s">
        <v>9</v>
      </c>
    </row>
    <row r="12342" spans="1:3" x14ac:dyDescent="0.25">
      <c r="A12342" s="8" t="str">
        <f>"Proceedings - 2011 10th IEEE/ACIS International Conference on Computer and Information Science, ICIS 2011"</f>
        <v>Proceedings - 2011 10th IEEE/ACIS International Conference on Computer and Information Science, ICIS 2011</v>
      </c>
      <c r="B12342" s="8" t="str">
        <f>"9780769544014"</f>
        <v>9780769544014</v>
      </c>
      <c r="C12342" s="8" t="s">
        <v>9</v>
      </c>
    </row>
    <row r="12343" spans="1:3" x14ac:dyDescent="0.25">
      <c r="A12343" s="8" t="str">
        <f>"Proceedings - 2011 10th International Conference on Mobile Business, ICMB 2011"</f>
        <v>Proceedings - 2011 10th International Conference on Mobile Business, ICMB 2011</v>
      </c>
      <c r="B12343" s="8" t="str">
        <f>"9780769544342"</f>
        <v>9780769544342</v>
      </c>
      <c r="C12343" s="8" t="s">
        <v>9</v>
      </c>
    </row>
    <row r="12344" spans="1:3" x14ac:dyDescent="0.25">
      <c r="A12344" s="8" t="str">
        <f>"Proceedings - 2011 10th International Symposium on Autonomous Decentralized Systems, ISADS 2011"</f>
        <v>Proceedings - 2011 10th International Symposium on Autonomous Decentralized Systems, ISADS 2011</v>
      </c>
      <c r="B12344" s="8" t="str">
        <f>"9780769543499"</f>
        <v>9780769543499</v>
      </c>
      <c r="C12344" s="8" t="s">
        <v>9</v>
      </c>
    </row>
    <row r="12345" spans="1:3" x14ac:dyDescent="0.25">
      <c r="A12345" s="8" t="str">
        <f>"Proceedings - 2011 10th International Symposium on Distributed Computing and Applications to Business, Engineering and Science, DCABES 2011"</f>
        <v>Proceedings - 2011 10th International Symposium on Distributed Computing and Applications to Business, Engineering and Science, DCABES 2011</v>
      </c>
      <c r="B12345" s="8" t="str">
        <f>"9780769544151"</f>
        <v>9780769544151</v>
      </c>
      <c r="C12345" s="8" t="s">
        <v>9</v>
      </c>
    </row>
    <row r="12346" spans="1:3" x14ac:dyDescent="0.25">
      <c r="A12346" s="8" t="str">
        <f>"Proceedings - 2011 10th International Symposium on Parallel and Distributed Computing, ISPDC 2011"</f>
        <v>Proceedings - 2011 10th International Symposium on Parallel and Distributed Computing, ISPDC 2011</v>
      </c>
      <c r="B12346" s="8" t="str">
        <f>"9780769545400"</f>
        <v>9780769545400</v>
      </c>
      <c r="C12346" s="8" t="s">
        <v>9</v>
      </c>
    </row>
    <row r="12347" spans="1:3" x14ac:dyDescent="0.25">
      <c r="A12347" s="8" t="str">
        <f>"Proceedings - 2011 10th Mexican International Conference on Artificial Intelligence: Advances in Artificial Intelligence and Applications, MICAI 2011 - Proceedings of Special Session"</f>
        <v>Proceedings - 2011 10th Mexican International Conference on Artificial Intelligence: Advances in Artificial Intelligence and Applications, MICAI 2011 - Proceedings of Special Session</v>
      </c>
      <c r="B12347" s="8" t="str">
        <f>"9780769546056"</f>
        <v>9780769546056</v>
      </c>
      <c r="C12347" s="8" t="s">
        <v>9</v>
      </c>
    </row>
    <row r="12348" spans="1:3" x14ac:dyDescent="0.25">
      <c r="A12348" s="8" t="str">
        <f>"Proceedings - 2011 11th IEEE International Conference on Bioinformatics and Bioengineering, BIBE 2011"</f>
        <v>Proceedings - 2011 11th IEEE International Conference on Bioinformatics and Bioengineering, BIBE 2011</v>
      </c>
      <c r="B12348" s="8" t="str">
        <f>"9780769543918"</f>
        <v>9780769543918</v>
      </c>
      <c r="C12348" s="8" t="s">
        <v>9</v>
      </c>
    </row>
    <row r="12349" spans="1:3" x14ac:dyDescent="0.25">
      <c r="A12349" s="8" t="str">
        <f>"Proceedings - 2011 12th ACIS International Conference on Software Engineering, Artificial Intelligence Networking and Parallel Distributed Computing, SNPD 2011"</f>
        <v>Proceedings - 2011 12th ACIS International Conference on Software Engineering, Artificial Intelligence Networking and Parallel Distributed Computing, SNPD 2011</v>
      </c>
      <c r="B12349" s="8" t="str">
        <f>"9780769544755"</f>
        <v>9780769544755</v>
      </c>
      <c r="C12349" s="8" t="s">
        <v>9</v>
      </c>
    </row>
    <row r="12350" spans="1:3" x14ac:dyDescent="0.25">
      <c r="A12350" s="8" t="str">
        <f>"Proceedings - 2011 12th IEEE/ACM International Conference on Grid Computing, Grid 2011"</f>
        <v>Proceedings - 2011 12th IEEE/ACM International Conference on Grid Computing, Grid 2011</v>
      </c>
      <c r="B12350" s="8" t="str">
        <f>"-"</f>
        <v>-</v>
      </c>
      <c r="C12350" s="8" t="s">
        <v>9</v>
      </c>
    </row>
    <row r="12351" spans="1:3" x14ac:dyDescent="0.25">
      <c r="A12351" s="8" t="str">
        <f>"Proceedings - 2011 13th Symposium on Virtual Reality, SVR 2011"</f>
        <v>Proceedings - 2011 13th Symposium on Virtual Reality, SVR 2011</v>
      </c>
      <c r="B12351" s="8" t="str">
        <f>"9780769544458"</f>
        <v>9780769544458</v>
      </c>
      <c r="C12351" s="8" t="s">
        <v>9</v>
      </c>
    </row>
    <row r="12352" spans="1:3" x14ac:dyDescent="0.25">
      <c r="A12352" s="8" t="str">
        <f>"Proceedings - 2011 14th Euromicro Conference on Digital System Design: Architectures, Methods and Tools, DSD 2011"</f>
        <v>Proceedings - 2011 14th Euromicro Conference on Digital System Design: Architectures, Methods and Tools, DSD 2011</v>
      </c>
      <c r="B12352" s="8" t="str">
        <f>"9780769544946"</f>
        <v>9780769544946</v>
      </c>
      <c r="C12352" s="8" t="s">
        <v>9</v>
      </c>
    </row>
    <row r="12353" spans="1:3" x14ac:dyDescent="0.25">
      <c r="A12353" s="8" t="str">
        <f>"Proceedings - 2011 14th IEEE International Symposium on Object/Component/Service-Oriented Real-Time Distributed Computing Workshops, ISORCW 2011"</f>
        <v>Proceedings - 2011 14th IEEE International Symposium on Object/Component/Service-Oriented Real-Time Distributed Computing Workshops, ISORCW 2011</v>
      </c>
      <c r="B12353" s="8" t="str">
        <f>"9780769543772"</f>
        <v>9780769543772</v>
      </c>
      <c r="C12353" s="8" t="s">
        <v>9</v>
      </c>
    </row>
    <row r="12354" spans="1:3" x14ac:dyDescent="0.25">
      <c r="A12354" s="8" t="str">
        <f>"Proceedings - 2011 14th IEEE International Symposium on Object/Component/Service-Oriented Real-Time Distributed Computing, ISORC 2011"</f>
        <v>Proceedings - 2011 14th IEEE International Symposium on Object/Component/Service-Oriented Real-Time Distributed Computing, ISORC 2011</v>
      </c>
      <c r="B12354" s="8" t="str">
        <f>"9780769543680"</f>
        <v>9780769543680</v>
      </c>
      <c r="C12354" s="8" t="s">
        <v>9</v>
      </c>
    </row>
    <row r="12355" spans="1:3" x14ac:dyDescent="0.25">
      <c r="A12355" s="8" t="str">
        <f>"Proceedings - 2011 16th IEEE International Conference on Engineering of Complex Computer Systems, ICECCS 2011"</f>
        <v>Proceedings - 2011 16th IEEE International Conference on Engineering of Complex Computer Systems, ICECCS 2011</v>
      </c>
      <c r="B12355" s="8" t="str">
        <f>"9780769543819"</f>
        <v>9780769543819</v>
      </c>
      <c r="C12355" s="8" t="s">
        <v>9</v>
      </c>
    </row>
    <row r="12356" spans="1:3" x14ac:dyDescent="0.25">
      <c r="A12356" s="8" t="str">
        <f>"Proceedings - 2011 19th International Conference on Geoinformatics, Geoinformatics 2011"</f>
        <v>Proceedings - 2011 19th International Conference on Geoinformatics, Geoinformatics 2011</v>
      </c>
      <c r="B12356" s="8" t="str">
        <f>"9781612848488"</f>
        <v>9781612848488</v>
      </c>
      <c r="C12356" s="8" t="s">
        <v>9</v>
      </c>
    </row>
    <row r="12357" spans="1:3" x14ac:dyDescent="0.25">
      <c r="A12357" s="8" t="str">
        <f>"Proceedings - 2011 1st IEEE International Conference on Healthcare Informatics, Imaging and Systems Biology, HISB 2011"</f>
        <v>Proceedings - 2011 1st IEEE International Conference on Healthcare Informatics, Imaging and Systems Biology, HISB 2011</v>
      </c>
      <c r="B12357" s="8" t="str">
        <f>"9780769544076"</f>
        <v>9780769544076</v>
      </c>
      <c r="C12357" s="8" t="s">
        <v>9</v>
      </c>
    </row>
    <row r="12358" spans="1:3" x14ac:dyDescent="0.25">
      <c r="A12358" s="8" t="str">
        <f>"Proceedings - 2011 1st International Symposium on Network Cloud Computing and Applications, NCCA 2011"</f>
        <v>Proceedings - 2011 1st International Symposium on Network Cloud Computing and Applications, NCCA 2011</v>
      </c>
      <c r="B12358" s="8" t="str">
        <f>"9780769545509"</f>
        <v>9780769545509</v>
      </c>
      <c r="C12358" s="8" t="s">
        <v>9</v>
      </c>
    </row>
    <row r="12359" spans="1:3" x14ac:dyDescent="0.25">
      <c r="A12359" s="8" t="str">
        <f>"Proceedings - 2011 1st International Workshop on Complexity and Data Mining, IWCDM 2011"</f>
        <v>Proceedings - 2011 1st International Workshop on Complexity and Data Mining, IWCDM 2011</v>
      </c>
      <c r="B12359" s="8" t="str">
        <f>"-"</f>
        <v>-</v>
      </c>
      <c r="C12359" s="8" t="s">
        <v>9</v>
      </c>
    </row>
    <row r="12360" spans="1:3" x14ac:dyDescent="0.25">
      <c r="A12360" s="8" t="str">
        <f>"Proceedings - 2011 1st International Workshop on Securing Services on the Cloud, IWSSC 2011"</f>
        <v>Proceedings - 2011 1st International Workshop on Securing Services on the Cloud, IWSSC 2011</v>
      </c>
      <c r="B12360" s="8" t="str">
        <f>"9781457711848"</f>
        <v>9781457711848</v>
      </c>
      <c r="C12360" s="8" t="s">
        <v>9</v>
      </c>
    </row>
    <row r="12361" spans="1:3" x14ac:dyDescent="0.25">
      <c r="A12361" s="8" t="str">
        <f>"Proceedings - 2011 1st International Workshop on Software Certification, WoSoCER 2011 - In Conjunction with the 22nd International Symposium on Software Reliability Engineering, ISSRE 2011"</f>
        <v>Proceedings - 2011 1st International Workshop on Software Certification, WoSoCER 2011 - In Conjunction with the 22nd International Symposium on Software Reliability Engineering, ISSRE 2011</v>
      </c>
      <c r="B12361" s="8" t="str">
        <f>"9780769546179"</f>
        <v>9780769546179</v>
      </c>
      <c r="C12361" s="8" t="s">
        <v>9</v>
      </c>
    </row>
    <row r="12362" spans="1:3" x14ac:dyDescent="0.25">
      <c r="A12362" s="8" t="str">
        <f>"Proceedings - 2011 1st Workshop on Data-Flow Execution Models for Extreme Scale Computing, DFM 2011"</f>
        <v>Proceedings - 2011 1st Workshop on Data-Flow Execution Models for Extreme Scale Computing, DFM 2011</v>
      </c>
      <c r="B12362" s="8" t="str">
        <f>"9780769546469"</f>
        <v>9780769546469</v>
      </c>
      <c r="C12362" s="8" t="s">
        <v>9</v>
      </c>
    </row>
    <row r="12363" spans="1:3" x14ac:dyDescent="0.25">
      <c r="A12363" s="8" t="str">
        <f>"Proceedings - 2011 1st Workshop on Socio-Technical Aspects in Security and Trust, STAST 2011"</f>
        <v>Proceedings - 2011 1st Workshop on Socio-Technical Aspects in Security and Trust, STAST 2011</v>
      </c>
      <c r="B12363" s="8" t="str">
        <f>"9781457711817"</f>
        <v>9781457711817</v>
      </c>
      <c r="C12363" s="8" t="s">
        <v>9</v>
      </c>
    </row>
    <row r="12364" spans="1:3" x14ac:dyDescent="0.25">
      <c r="A12364" s="8" t="str">
        <f>"Proceedings - 2011 2nd Eastern European Regional Conference on the Engineering of Computer Based Systems, ECBS-EERC 2011"</f>
        <v>Proceedings - 2011 2nd Eastern European Regional Conference on the Engineering of Computer Based Systems, ECBS-EERC 2011</v>
      </c>
      <c r="B12364" s="8" t="str">
        <f>"9780769544182"</f>
        <v>9780769544182</v>
      </c>
      <c r="C12364" s="8" t="s">
        <v>9</v>
      </c>
    </row>
    <row r="12365" spans="1:3" x14ac:dyDescent="0.25">
      <c r="A12365" s="8" t="str">
        <f>"Proceedings - 2011 2nd International Conference on Control, Instrumentation and Automation, ICCIA 2011"</f>
        <v>Proceedings - 2011 2nd International Conference on Control, Instrumentation and Automation, ICCIA 2011</v>
      </c>
      <c r="B12365" s="8" t="str">
        <f>"9781467316903"</f>
        <v>9781467316903</v>
      </c>
      <c r="C12365" s="8" t="s">
        <v>9</v>
      </c>
    </row>
    <row r="12366" spans="1:3" x14ac:dyDescent="0.25">
      <c r="A12366" s="8" t="str">
        <f>"Proceedings - 2011 2nd International Conference on Culture and Computing, Culture and Computing 2011"</f>
        <v>Proceedings - 2011 2nd International Conference on Culture and Computing, Culture and Computing 2011</v>
      </c>
      <c r="B12366" s="8" t="str">
        <f>"9780769545462"</f>
        <v>9780769545462</v>
      </c>
      <c r="C12366" s="8" t="s">
        <v>9</v>
      </c>
    </row>
    <row r="12367" spans="1:3" x14ac:dyDescent="0.25">
      <c r="A12367" s="8" t="str">
        <f>"Proceedings - 2011 2nd International Conference on Innovations in Bio-Inspired Computing and Applications, IBICA 2011"</f>
        <v>Proceedings - 2011 2nd International Conference on Innovations in Bio-Inspired Computing and Applications, IBICA 2011</v>
      </c>
      <c r="B12367" s="8" t="str">
        <f>"-"</f>
        <v>-</v>
      </c>
      <c r="C12367" s="8" t="s">
        <v>9</v>
      </c>
    </row>
    <row r="12368" spans="1:3" x14ac:dyDescent="0.25">
      <c r="A12368" s="8" t="str">
        <f>"Proceedings - 2011 2nd International Conference on Intelligent Systems, Modelling and Simulation, ISMS 2011"</f>
        <v>Proceedings - 2011 2nd International Conference on Intelligent Systems, Modelling and Simulation, ISMS 2011</v>
      </c>
      <c r="B12368" s="8" t="str">
        <f>"9780769543369"</f>
        <v>9780769543369</v>
      </c>
      <c r="C12368" s="8" t="s">
        <v>9</v>
      </c>
    </row>
    <row r="12369" spans="1:3" x14ac:dyDescent="0.25">
      <c r="A12369" s="8" t="str">
        <f>"Proceedings - 2011 2nd International Conference on Networking and Computing, ICNC 2011"</f>
        <v>Proceedings - 2011 2nd International Conference on Networking and Computing, ICNC 2011</v>
      </c>
      <c r="B12369" s="8" t="str">
        <f>"9780769545691"</f>
        <v>9780769545691</v>
      </c>
      <c r="C12369" s="8" t="s">
        <v>9</v>
      </c>
    </row>
    <row r="12370" spans="1:3" x14ac:dyDescent="0.25">
      <c r="A12370" s="8" t="str">
        <f>"Proceedings - 2011 2nd International Workshop on Replication in Empirical Software Engineering Research, RESER 2011"</f>
        <v>Proceedings - 2011 2nd International Workshop on Replication in Empirical Software Engineering Research, RESER 2011</v>
      </c>
      <c r="B12370" s="8" t="str">
        <f>"9780769546742"</f>
        <v>9780769546742</v>
      </c>
      <c r="C12370" s="8" t="s">
        <v>9</v>
      </c>
    </row>
    <row r="12371" spans="1:3" x14ac:dyDescent="0.25">
      <c r="A12371" s="8" t="str">
        <f>"Proceedings - 2011 2nd National Conference on Emerging Trends and Applications in Computer Science, NCETACS-2011"</f>
        <v>Proceedings - 2011 2nd National Conference on Emerging Trends and Applications in Computer Science, NCETACS-2011</v>
      </c>
      <c r="B12371" s="8" t="str">
        <f>"9781424495818"</f>
        <v>9781424495818</v>
      </c>
      <c r="C12371" s="8" t="s">
        <v>9</v>
      </c>
    </row>
    <row r="12372" spans="1:3" x14ac:dyDescent="0.25">
      <c r="A12372" s="8" t="str">
        <f>"Proceedings - 2011 34th IEEE Software Engineering Workshop, SEW 2011"</f>
        <v>Proceedings - 2011 34th IEEE Software Engineering Workshop, SEW 2011</v>
      </c>
      <c r="B12372" s="8" t="str">
        <f>"9780769546278"</f>
        <v>9780769546278</v>
      </c>
      <c r="C12372" s="8" t="s">
        <v>9</v>
      </c>
    </row>
    <row r="12373" spans="1:3" x14ac:dyDescent="0.25">
      <c r="A12373" s="8" t="str">
        <f>"Proceedings - 2011 3rd Chinese Conference on Intelligent Visual Surveillance, IVS 2011"</f>
        <v>Proceedings - 2011 3rd Chinese Conference on Intelligent Visual Surveillance, IVS 2011</v>
      </c>
      <c r="B12373" s="8" t="str">
        <f>"9781457718311"</f>
        <v>9781457718311</v>
      </c>
      <c r="C12373" s="8" t="s">
        <v>9</v>
      </c>
    </row>
    <row r="12374" spans="1:3" x14ac:dyDescent="0.25">
      <c r="A12374" s="8" t="str">
        <f>"Proceedings - 2011 3rd IEEE International Conference on Cloud Computing Technology and Science, CloudCom 2011"</f>
        <v>Proceedings - 2011 3rd IEEE International Conference on Cloud Computing Technology and Science, CloudCom 2011</v>
      </c>
      <c r="B12374" s="8" t="str">
        <f>"9780769546223"</f>
        <v>9780769546223</v>
      </c>
      <c r="C12374" s="8" t="s">
        <v>9</v>
      </c>
    </row>
    <row r="12375" spans="1:3" x14ac:dyDescent="0.25">
      <c r="A12375" s="8" t="str">
        <f>"Proceedings - 2011 3rd International Conference on Communications and Mobile Computing, CMC 2011"</f>
        <v>Proceedings - 2011 3rd International Conference on Communications and Mobile Computing, CMC 2011</v>
      </c>
      <c r="B12375" s="8" t="str">
        <f>"9780769543574"</f>
        <v>9780769543574</v>
      </c>
      <c r="C12375" s="8" t="s">
        <v>9</v>
      </c>
    </row>
    <row r="12376" spans="1:3" x14ac:dyDescent="0.25">
      <c r="A12376" s="8" t="str">
        <f>"Proceedings - 2011 3rd International Conference on Intelligent Human-Machine Systems and Cybernetics, IHMSC 2011"</f>
        <v>Proceedings - 2011 3rd International Conference on Intelligent Human-Machine Systems and Cybernetics, IHMSC 2011</v>
      </c>
      <c r="B12376" s="8" t="str">
        <f>"9780769544441"</f>
        <v>9780769544441</v>
      </c>
      <c r="C12376" s="8" t="s">
        <v>9</v>
      </c>
    </row>
    <row r="12377" spans="1:3" x14ac:dyDescent="0.25">
      <c r="A12377" s="8" t="str">
        <f>"Proceedings - 2011 3rd International Conference on Knowledge and Systems Engineering, KSE 2011"</f>
        <v>Proceedings - 2011 3rd International Conference on Knowledge and Systems Engineering, KSE 2011</v>
      </c>
      <c r="B12377" s="8" t="str">
        <f>"9780769545677"</f>
        <v>9780769545677</v>
      </c>
      <c r="C12377" s="8" t="s">
        <v>9</v>
      </c>
    </row>
    <row r="12378" spans="1:3" x14ac:dyDescent="0.25">
      <c r="A12378" s="8" t="str">
        <f>"Proceedings - 2011 3rd International Conferenceon Games and Virtual Worlds for Serious Applications, VS-Games 2011"</f>
        <v>Proceedings - 2011 3rd International Conferenceon Games and Virtual Worlds for Serious Applications, VS-Games 2011</v>
      </c>
      <c r="B12378" s="8" t="str">
        <f>"9780769544199"</f>
        <v>9780769544199</v>
      </c>
      <c r="C12378" s="8" t="s">
        <v>9</v>
      </c>
    </row>
    <row r="12379" spans="1:3" x14ac:dyDescent="0.25">
      <c r="A12379" s="8" t="str">
        <f>"Proceedings - 2011 3rd International Workshop on Cyberspace Safety and Security, CSS 2011"</f>
        <v>Proceedings - 2011 3rd International Workshop on Cyberspace Safety and Security, CSS 2011</v>
      </c>
      <c r="B12379" s="8" t="str">
        <f>"9781457710339"</f>
        <v>9781457710339</v>
      </c>
      <c r="C12379" s="8" t="s">
        <v>9</v>
      </c>
    </row>
    <row r="12380" spans="1:3" x14ac:dyDescent="0.25">
      <c r="A12380" s="8" t="str">
        <f>"Proceedings - 2011 3rd International Workshop on Security Measurements and Metrics, Metrisec 2011"</f>
        <v>Proceedings - 2011 3rd International Workshop on Security Measurements and Metrics, Metrisec 2011</v>
      </c>
      <c r="B12380" s="8" t="str">
        <f>"9780769546803"</f>
        <v>9780769546803</v>
      </c>
      <c r="C12380" s="8" t="s">
        <v>9</v>
      </c>
    </row>
    <row r="12381" spans="1:3" x14ac:dyDescent="0.25">
      <c r="A12381" s="8" t="str">
        <f>"Proceedings - 2011 3rd International Workshop on Software Aging and Rejuvenation, WoSAR 2011"</f>
        <v>Proceedings - 2011 3rd International Workshop on Software Aging and Rejuvenation, WoSAR 2011</v>
      </c>
      <c r="B12381" s="8" t="str">
        <f>"9780769546162"</f>
        <v>9780769546162</v>
      </c>
      <c r="C12381" s="8" t="s">
        <v>9</v>
      </c>
    </row>
    <row r="12382" spans="1:3" x14ac:dyDescent="0.25">
      <c r="A12382" s="8" t="str">
        <f>"Proceedings - 2011 3rd National Conference on Computer Vision, Pattern Recognition, Image Processing and Graphics, NCVPRIPG 2011"</f>
        <v>Proceedings - 2011 3rd National Conference on Computer Vision, Pattern Recognition, Image Processing and Graphics, NCVPRIPG 2011</v>
      </c>
      <c r="B12382" s="8" t="str">
        <f>"9780769545998"</f>
        <v>9780769545998</v>
      </c>
      <c r="C12382" s="8" t="s">
        <v>9</v>
      </c>
    </row>
    <row r="12383" spans="1:3" x14ac:dyDescent="0.25">
      <c r="A12383" s="8" t="str">
        <f>"Proceedings - 2011 4th IEEE International Conference on Broadband Network and Multimedia Technology, IC-BNMT 2011"</f>
        <v>Proceedings - 2011 4th IEEE International Conference on Broadband Network and Multimedia Technology, IC-BNMT 2011</v>
      </c>
      <c r="B12383" s="8" t="str">
        <f>"9781612841564"</f>
        <v>9781612841564</v>
      </c>
      <c r="C12383" s="8" t="s">
        <v>9</v>
      </c>
    </row>
    <row r="12384" spans="1:3" x14ac:dyDescent="0.25">
      <c r="A12384" s="8" t="str">
        <f>"Proceedings - 2011 4th IEEE International Conference on Utility and Cloud Computing, UCC 2011"</f>
        <v>Proceedings - 2011 4th IEEE International Conference on Utility and Cloud Computing, UCC 2011</v>
      </c>
      <c r="B12384" s="8" t="str">
        <f>"9780769545929"</f>
        <v>9780769545929</v>
      </c>
      <c r="C12384" s="8" t="s">
        <v>9</v>
      </c>
    </row>
    <row r="12385" spans="1:3" x14ac:dyDescent="0.25">
      <c r="A12385" s="8" t="str">
        <f>"Proceedings - 2011 4th IEEE International Symposium on Microwave, Antenna, Propagation and EMC Technologies for Wireless Communications, MAPE 2011"</f>
        <v>Proceedings - 2011 4th IEEE International Symposium on Microwave, Antenna, Propagation and EMC Technologies for Wireless Communications, MAPE 2011</v>
      </c>
      <c r="B12385" s="8" t="str">
        <f>"9781424482665"</f>
        <v>9781424482665</v>
      </c>
      <c r="C12385" s="8" t="s">
        <v>9</v>
      </c>
    </row>
    <row r="12386" spans="1:3" x14ac:dyDescent="0.25">
      <c r="A12386" s="8" t="str">
        <f>"Proceedings - 2011 4th International Conference on Biomedical Engineering and Informatics, BMEI 2011"</f>
        <v>Proceedings - 2011 4th International Conference on Biomedical Engineering and Informatics, BMEI 2011</v>
      </c>
      <c r="B12386" s="8" t="str">
        <f>"9781424493524"</f>
        <v>9781424493524</v>
      </c>
      <c r="C12386" s="8" t="s">
        <v>9</v>
      </c>
    </row>
    <row r="12387" spans="1:3" x14ac:dyDescent="0.25">
      <c r="A12387" s="8" t="str">
        <f>"Proceedings - 2011 4th International Conference on Business Intelligence and Financial Engineering, BIFE 2011"</f>
        <v>Proceedings - 2011 4th International Conference on Business Intelligence and Financial Engineering, BIFE 2011</v>
      </c>
      <c r="B12387" s="8" t="str">
        <f>"9780769545271"</f>
        <v>9780769545271</v>
      </c>
      <c r="C12387" s="8" t="s">
        <v>9</v>
      </c>
    </row>
    <row r="12388" spans="1:3" x14ac:dyDescent="0.25">
      <c r="A12388" s="8" t="str">
        <f>"Proceedings - 2011 4th International Conference on Information Management, Innovation Management and Industrial Engineering, ICIII 2011"</f>
        <v>Proceedings - 2011 4th International Conference on Information Management, Innovation Management and Industrial Engineering, ICIII 2011</v>
      </c>
      <c r="B12388" s="8" t="str">
        <f>"9780769545233"</f>
        <v>9780769545233</v>
      </c>
      <c r="C12388" s="8" t="s">
        <v>9</v>
      </c>
    </row>
    <row r="12389" spans="1:3" x14ac:dyDescent="0.25">
      <c r="A12389" s="8" t="str">
        <f>"Proceedings - 2011 4th International Conference on Intelligent Networks and Intelligent Systems, ICINIS 2011"</f>
        <v>Proceedings - 2011 4th International Conference on Intelligent Networks and Intelligent Systems, ICINIS 2011</v>
      </c>
      <c r="B12389" s="8" t="str">
        <f>"9780769545431"</f>
        <v>9780769545431</v>
      </c>
      <c r="C12389" s="8" t="s">
        <v>9</v>
      </c>
    </row>
    <row r="12390" spans="1:3" x14ac:dyDescent="0.25">
      <c r="A12390" s="8" t="str">
        <f>"Proceedings - 2011 4th International Symposium on Computational Intelligence and Design, ISCID 2011"</f>
        <v>Proceedings - 2011 4th International Symposium on Computational Intelligence and Design, ISCID 2011</v>
      </c>
      <c r="B12390" s="8" t="str">
        <f>"9780769545004"</f>
        <v>9780769545004</v>
      </c>
      <c r="C12390" s="8" t="s">
        <v>9</v>
      </c>
    </row>
    <row r="12391" spans="1:3" x14ac:dyDescent="0.25">
      <c r="A12391" s="8" t="str">
        <f>"Proceedings - 2011 4th International Symposium on Knowledge Acquisition and Modeling, KAM 2011"</f>
        <v>Proceedings - 2011 4th International Symposium on Knowledge Acquisition and Modeling, KAM 2011</v>
      </c>
      <c r="B12391" s="8" t="str">
        <f>"9780769545479"</f>
        <v>9780769545479</v>
      </c>
      <c r="C12391" s="8" t="s">
        <v>9</v>
      </c>
    </row>
    <row r="12392" spans="1:3" x14ac:dyDescent="0.25">
      <c r="A12392" s="8" t="str">
        <f>"Proceedings - 2011 4th International Symposium on Parallel Architectures, Algorithms and Programming, PAAP 2011"</f>
        <v>Proceedings - 2011 4th International Symposium on Parallel Architectures, Algorithms and Programming, PAAP 2011</v>
      </c>
      <c r="B12392" s="8" t="str">
        <f>"9780769545752"</f>
        <v>9780769545752</v>
      </c>
      <c r="C12392" s="8" t="s">
        <v>9</v>
      </c>
    </row>
    <row r="12393" spans="1:3" x14ac:dyDescent="0.25">
      <c r="A12393" s="8" t="str">
        <f>"Proceedings - 2011 5th IEEE Conference on Self-Adaptive and Self-Organizing Systems Workshops, SASOW 2011"</f>
        <v>Proceedings - 2011 5th IEEE Conference on Self-Adaptive and Self-Organizing Systems Workshops, SASOW 2011</v>
      </c>
      <c r="B12393" s="8" t="str">
        <f>"9780769545455"</f>
        <v>9780769545455</v>
      </c>
      <c r="C12393" s="8" t="s">
        <v>9</v>
      </c>
    </row>
    <row r="12394" spans="1:3" x14ac:dyDescent="0.25">
      <c r="A12394" s="8" t="str">
        <f>"Proceedings - 2011 5th IEEE International Conference on E-Learning in Industrial Electronics, ICELIE 2011"</f>
        <v>Proceedings - 2011 5th IEEE International Conference on E-Learning in Industrial Electronics, ICELIE 2011</v>
      </c>
      <c r="B12394" s="8" t="str">
        <f>"9781457701337"</f>
        <v>9781457701337</v>
      </c>
      <c r="C12394" s="8" t="s">
        <v>9</v>
      </c>
    </row>
    <row r="12395" spans="1:3" x14ac:dyDescent="0.25">
      <c r="A12395" s="8" t="str">
        <f>"Proceedings - 2011 5th IEEE International Conference on Self-Adaptive and Self-Organizing Systems, SASO 2011"</f>
        <v>Proceedings - 2011 5th IEEE International Conference on Self-Adaptive and Self-Organizing Systems, SASO 2011</v>
      </c>
      <c r="B12395" s="8" t="str">
        <f>"9780769545424"</f>
        <v>9780769545424</v>
      </c>
      <c r="C12395" s="8" t="s">
        <v>9</v>
      </c>
    </row>
    <row r="12396" spans="1:3" x14ac:dyDescent="0.25">
      <c r="A12396" s="8" t="str">
        <f>"Proceedings - 2011 5th International Conference on Genetic and Evolutionary Computing, ICGEC 2011"</f>
        <v>Proceedings - 2011 5th International Conference on Genetic and Evolutionary Computing, ICGEC 2011</v>
      </c>
      <c r="B12396" s="8" t="str">
        <f>"9780769544496"</f>
        <v>9780769544496</v>
      </c>
      <c r="C12396" s="8" t="s">
        <v>9</v>
      </c>
    </row>
    <row r="12397" spans="1:3" x14ac:dyDescent="0.25">
      <c r="A12397" s="8" t="str">
        <f>"Proceedings - 2011 5th International Conference on Innovative Mobile and Internet Services in Ubiquitous Computing, IMIS 2011"</f>
        <v>Proceedings - 2011 5th International Conference on Innovative Mobile and Internet Services in Ubiquitous Computing, IMIS 2011</v>
      </c>
      <c r="B12397" s="8" t="str">
        <f>"9780769543727"</f>
        <v>9780769543727</v>
      </c>
      <c r="C12397" s="8" t="s">
        <v>9</v>
      </c>
    </row>
    <row r="12398" spans="1:3" x14ac:dyDescent="0.25">
      <c r="A12398" s="8" t="str">
        <f>"Proceedings - 2011 5th International Conference on Network and System Security, NSS 2011"</f>
        <v>Proceedings - 2011 5th International Conference on Network and System Security, NSS 2011</v>
      </c>
      <c r="B12398" s="8" t="str">
        <f>"9781457704598"</f>
        <v>9781457704598</v>
      </c>
      <c r="C12398" s="8" t="s">
        <v>9</v>
      </c>
    </row>
    <row r="12399" spans="1:3" x14ac:dyDescent="0.25">
      <c r="A12399" s="8" t="str">
        <f>"Proceedings - 2011 5th International Conference on Secure Software Integration and Reliability Improvement, SSIRI 2011"</f>
        <v>Proceedings - 2011 5th International Conference on Secure Software Integration and Reliability Improvement, SSIRI 2011</v>
      </c>
      <c r="B12399" s="8" t="str">
        <f>"9780769544533"</f>
        <v>9780769544533</v>
      </c>
      <c r="C12399" s="8" t="s">
        <v>9</v>
      </c>
    </row>
    <row r="12400" spans="1:3" x14ac:dyDescent="0.25">
      <c r="A12400" s="8" t="str">
        <f>"Proceedings - 2011 5th International Symposium on Empirical Software Engineering and Measurement, ESEM 2011"</f>
        <v>Proceedings - 2011 5th International Symposium on Empirical Software Engineering and Measurement, ESEM 2011</v>
      </c>
      <c r="B12400" s="8" t="str">
        <f>"9780769546049"</f>
        <v>9780769546049</v>
      </c>
      <c r="C12400" s="8" t="s">
        <v>9</v>
      </c>
    </row>
    <row r="12401" spans="1:3" x14ac:dyDescent="0.25">
      <c r="A12401" s="8" t="str">
        <f>"Proceedings - 2011 6th Annual ChinaGrid Conference, ChinaGrid 2011"</f>
        <v>Proceedings - 2011 6th Annual ChinaGrid Conference, ChinaGrid 2011</v>
      </c>
      <c r="B12401" s="8" t="str">
        <f>"9780769544724"</f>
        <v>9780769544724</v>
      </c>
      <c r="C12401" s="8" t="s">
        <v>9</v>
      </c>
    </row>
    <row r="12402" spans="1:3" x14ac:dyDescent="0.25">
      <c r="A12402" s="8" t="str">
        <f>"Proceedings - 2011 6th IEEE International Conference on Global Software Engineering Workshops, ICGSE Workshops 2011"</f>
        <v>Proceedings - 2011 6th IEEE International Conference on Global Software Engineering Workshops, ICGSE Workshops 2011</v>
      </c>
      <c r="B12402" s="8" t="str">
        <f>"9780769545585"</f>
        <v>9780769545585</v>
      </c>
      <c r="C12402" s="8" t="s">
        <v>9</v>
      </c>
    </row>
    <row r="12403" spans="1:3" x14ac:dyDescent="0.25">
      <c r="A12403" s="8" t="str">
        <f>"Proceedings - 2011 6th IEEE International Conference on Global Software Engineering, ICGSE 2011"</f>
        <v>Proceedings - 2011 6th IEEE International Conference on Global Software Engineering, ICGSE 2011</v>
      </c>
      <c r="B12403" s="8" t="str">
        <f>"9780769545035"</f>
        <v>9780769545035</v>
      </c>
      <c r="C12403" s="8" t="s">
        <v>9</v>
      </c>
    </row>
    <row r="12404" spans="1:3" x14ac:dyDescent="0.25">
      <c r="A12404" s="8" t="str">
        <f>"Proceedings - 2011 6th IEEE International Symposium on Electronic Design, Test and Application, DELTA 2011"</f>
        <v>Proceedings - 2011 6th IEEE International Symposium on Electronic Design, Test and Application, DELTA 2011</v>
      </c>
      <c r="B12404" s="8" t="str">
        <f>"9780769543062"</f>
        <v>9780769543062</v>
      </c>
      <c r="C12404" s="8" t="s">
        <v>9</v>
      </c>
    </row>
    <row r="12405" spans="1:3" x14ac:dyDescent="0.25">
      <c r="A12405" s="8" t="str">
        <f>"Proceedings - 2011 6th IEEE Joint International Information Technology and Artificial Intelligence Conference, ITAIC 2011"</f>
        <v>Proceedings - 2011 6th IEEE Joint International Information Technology and Artificial Intelligence Conference, ITAIC 2011</v>
      </c>
      <c r="B12405" s="8" t="str">
        <f>"9781424486236"</f>
        <v>9781424486236</v>
      </c>
      <c r="C12405" s="8" t="s">
        <v>9</v>
      </c>
    </row>
    <row r="12406" spans="1:3" x14ac:dyDescent="0.25">
      <c r="A12406" s="8" t="str">
        <f>"Proceedings - 2011 6th International Conference on Bio-Inspired Computing: Theories and Applications, BIC-TA 2011"</f>
        <v>Proceedings - 2011 6th International Conference on Bio-Inspired Computing: Theories and Applications, BIC-TA 2011</v>
      </c>
      <c r="B12406" s="8" t="str">
        <f>"9780769545141"</f>
        <v>9780769545141</v>
      </c>
      <c r="C12406" s="8" t="s">
        <v>9</v>
      </c>
    </row>
    <row r="12407" spans="1:3" x14ac:dyDescent="0.25">
      <c r="A12407" s="8" t="str">
        <f>"Proceedings - 2011 6th International Conference on Pervasive Computing and Applications, ICPCA 2011"</f>
        <v>Proceedings - 2011 6th International Conference on Pervasive Computing and Applications, ICPCA 2011</v>
      </c>
      <c r="B12407" s="8" t="str">
        <f>"9781457702082"</f>
        <v>9781457702082</v>
      </c>
      <c r="C12407" s="8" t="s">
        <v>9</v>
      </c>
    </row>
    <row r="12408" spans="1:3" x14ac:dyDescent="0.25">
      <c r="A12408" s="8" t="str">
        <f>"Proceedings - 2011 6th International Workshop on Semantic Media Adaptation and Personalization, SMAP 2011"</f>
        <v>Proceedings - 2011 6th International Workshop on Semantic Media Adaptation and Personalization, SMAP 2011</v>
      </c>
      <c r="B12408" s="8" t="str">
        <f>"9780769545240"</f>
        <v>9780769545240</v>
      </c>
      <c r="C12408" s="8" t="s">
        <v>9</v>
      </c>
    </row>
    <row r="12409" spans="1:3" x14ac:dyDescent="0.25">
      <c r="A12409" s="8" t="str">
        <f>"Proceedings - 2011 6th Open Cirrus Summit, OCS 2011"</f>
        <v>Proceedings - 2011 6th Open Cirrus Summit, OCS 2011</v>
      </c>
      <c r="B12409" s="8" t="str">
        <f>"9780769546506"</f>
        <v>9780769546506</v>
      </c>
      <c r="C12409" s="8" t="s">
        <v>9</v>
      </c>
    </row>
    <row r="12410" spans="1:3" x14ac:dyDescent="0.25">
      <c r="A12410" s="8" t="str">
        <f>"Proceedings - 2011 7th ACM/IEEE Symposium on Architectures for Networking and Communications Systems, ANCS 2011"</f>
        <v>Proceedings - 2011 7th ACM/IEEE Symposium on Architectures for Networking and Communications Systems, ANCS 2011</v>
      </c>
      <c r="B12410" s="8" t="str">
        <f>"9780769545219"</f>
        <v>9780769545219</v>
      </c>
      <c r="C12410" s="8" t="s">
        <v>9</v>
      </c>
    </row>
    <row r="12411" spans="1:3" x14ac:dyDescent="0.25">
      <c r="A12411" s="8" t="str">
        <f>"Proceedings - 2011 7th European Conference on Computer Network Defense, EC2ND 2011"</f>
        <v>Proceedings - 2011 7th European Conference on Computer Network Defense, EC2ND 2011</v>
      </c>
      <c r="B12411" s="8" t="str">
        <f>"9780769547626"</f>
        <v>9780769547626</v>
      </c>
      <c r="C12411" s="8" t="s">
        <v>9</v>
      </c>
    </row>
    <row r="12412" spans="1:3" x14ac:dyDescent="0.25">
      <c r="A12412" s="8" t="str">
        <f>"Proceedings - 2011 7th IEEE International Conference on eScience, eScience 2011"</f>
        <v>Proceedings - 2011 7th IEEE International Conference on eScience, eScience 2011</v>
      </c>
      <c r="B12412" s="8" t="str">
        <f>"9780769545974"</f>
        <v>9780769545974</v>
      </c>
      <c r="C12412" s="8" t="s">
        <v>9</v>
      </c>
    </row>
    <row r="12413" spans="1:3" x14ac:dyDescent="0.25">
      <c r="A12413" s="8" t="str">
        <f>"Proceedings - 2011 7th International Conference on Computational Intelligence and Security, CIS 2011"</f>
        <v>Proceedings - 2011 7th International Conference on Computational Intelligence and Security, CIS 2011</v>
      </c>
      <c r="B12413" s="8" t="str">
        <f>"9780769545844"</f>
        <v>9780769545844</v>
      </c>
      <c r="C12413" s="8" t="s">
        <v>9</v>
      </c>
    </row>
    <row r="12414" spans="1:3" x14ac:dyDescent="0.25">
      <c r="A12414" s="8" t="str">
        <f>"Proceedings - 2011 7th International Conference on Intelligent Environments, IE 2011"</f>
        <v>Proceedings - 2011 7th International Conference on Intelligent Environments, IE 2011</v>
      </c>
      <c r="B12414" s="8" t="str">
        <f>"9780769544526"</f>
        <v>9780769544526</v>
      </c>
      <c r="C12414" s="8" t="s">
        <v>9</v>
      </c>
    </row>
    <row r="12415" spans="1:3" x14ac:dyDescent="0.25">
      <c r="A12415" s="8" t="str">
        <f>"Proceedings - 2011 7th International Conference on Mobile Ad-hoc and Sensor Networks, MSN 2011"</f>
        <v>Proceedings - 2011 7th International Conference on Mobile Ad-hoc and Sensor Networks, MSN 2011</v>
      </c>
      <c r="B12415" s="8" t="str">
        <f>"9780769546100"</f>
        <v>9780769546100</v>
      </c>
      <c r="C12415" s="8" t="s">
        <v>9</v>
      </c>
    </row>
    <row r="12416" spans="1:3" x14ac:dyDescent="0.25">
      <c r="A12416" s="8" t="str">
        <f>"Proceedings - 2011 7th International Conference on Natural Computation, ICNC 2011"</f>
        <v>Proceedings - 2011 7th International Conference on Natural Computation, ICNC 2011</v>
      </c>
      <c r="B12416" s="8" t="str">
        <f>"9781424499533"</f>
        <v>9781424499533</v>
      </c>
      <c r="C12416" s="8" t="s">
        <v>9</v>
      </c>
    </row>
    <row r="12417" spans="1:3" x14ac:dyDescent="0.25">
      <c r="A12417" s="8" t="str">
        <f>"Proceedings - 2011 8th IEEE International Conference on e-Business Engineering, ICEBE 2011"</f>
        <v>Proceedings - 2011 8th IEEE International Conference on e-Business Engineering, ICEBE 2011</v>
      </c>
      <c r="B12417" s="8" t="str">
        <f>"9780769545189"</f>
        <v>9780769545189</v>
      </c>
      <c r="C12417" s="8" t="s">
        <v>9</v>
      </c>
    </row>
    <row r="12418" spans="1:3" x14ac:dyDescent="0.25">
      <c r="A12418" s="8" t="str">
        <f>"Proceedings - 2011 8th International Conference on Computer Graphics, Imaging and Visualization, CGIV 2011"</f>
        <v>Proceedings - 2011 8th International Conference on Computer Graphics, Imaging and Visualization, CGIV 2011</v>
      </c>
      <c r="B12418" s="8" t="str">
        <f>"9780769544847"</f>
        <v>9780769544847</v>
      </c>
      <c r="C12418" s="8" t="s">
        <v>9</v>
      </c>
    </row>
    <row r="12419" spans="1:3" x14ac:dyDescent="0.25">
      <c r="A12419" s="8" t="str">
        <f>"Proceedings - 2011 8th International Conference on Fuzzy Systems and Knowledge Discovery, FSKD 2011"</f>
        <v>Proceedings - 2011 8th International Conference on Fuzzy Systems and Knowledge Discovery, FSKD 2011</v>
      </c>
      <c r="B12419" s="8" t="str">
        <f>"9781612841816"</f>
        <v>9781612841816</v>
      </c>
      <c r="C12419" s="8" t="s">
        <v>9</v>
      </c>
    </row>
    <row r="12420" spans="1:3" x14ac:dyDescent="0.25">
      <c r="A12420" s="8" t="str">
        <f>"Proceedings - 2011 8th International Conference on Information Technology: New Generations, ITNG 2011"</f>
        <v>Proceedings - 2011 8th International Conference on Information Technology: New Generations, ITNG 2011</v>
      </c>
      <c r="B12420" s="8" t="str">
        <f>"9780769543673"</f>
        <v>9780769543673</v>
      </c>
      <c r="C12420" s="8" t="s">
        <v>9</v>
      </c>
    </row>
    <row r="12421" spans="1:3" x14ac:dyDescent="0.25">
      <c r="A12421" s="8" t="str">
        <f>"Proceedings - 2011 8th International Symposium on Voronoi Diagrams in Science and Engineering, ISVD 2011"</f>
        <v>Proceedings - 2011 8th International Symposium on Voronoi Diagrams in Science and Engineering, ISVD 2011</v>
      </c>
      <c r="B12421" s="8" t="str">
        <f>"9780769544830"</f>
        <v>9780769544830</v>
      </c>
      <c r="C12421" s="8" t="s">
        <v>9</v>
      </c>
    </row>
    <row r="12422" spans="1:3" x14ac:dyDescent="0.25">
      <c r="A12422" s="8" t="str">
        <f>"Proceedings - 2011 9th Annual Communication Networks and Services Research Conference, CNSR 2011"</f>
        <v>Proceedings - 2011 9th Annual Communication Networks and Services Research Conference, CNSR 2011</v>
      </c>
      <c r="B12422" s="8" t="str">
        <f>"9780769543932"</f>
        <v>9780769543932</v>
      </c>
      <c r="C12422" s="8" t="s">
        <v>9</v>
      </c>
    </row>
    <row r="12423" spans="1:3" x14ac:dyDescent="0.25">
      <c r="A12423" s="8" t="str">
        <f>"Proceedings - 2011 9th International Conference on Frontiers of Information Technology, FIT 2011"</f>
        <v>Proceedings - 2011 9th International Conference on Frontiers of Information Technology, FIT 2011</v>
      </c>
      <c r="B12423" s="8" t="str">
        <f>"9780769546254"</f>
        <v>9780769546254</v>
      </c>
      <c r="C12423" s="8" t="s">
        <v>9</v>
      </c>
    </row>
    <row r="12424" spans="1:3" x14ac:dyDescent="0.25">
      <c r="A12424" s="8" t="str">
        <f>"Proceedings - 2011 9th International Conference on Software Engineering Research, Management and Applications, SERA 2011"</f>
        <v>Proceedings - 2011 9th International Conference on Software Engineering Research, Management and Applications, SERA 2011</v>
      </c>
      <c r="B12424" s="8" t="str">
        <f>"9780769544908"</f>
        <v>9780769544908</v>
      </c>
      <c r="C12424" s="8" t="s">
        <v>9</v>
      </c>
    </row>
    <row r="12425" spans="1:3" x14ac:dyDescent="0.25">
      <c r="A12425" s="8" t="str">
        <f>"Proceedings - 2011 Agile Conference, Agile 2011"</f>
        <v>Proceedings - 2011 Agile Conference, Agile 2011</v>
      </c>
      <c r="B12425" s="8" t="str">
        <f>"9780769543703"</f>
        <v>9780769543703</v>
      </c>
      <c r="C12425" s="8" t="s">
        <v>9</v>
      </c>
    </row>
    <row r="12426" spans="1:3" x14ac:dyDescent="0.25">
      <c r="A12426" s="8" t="str">
        <f>"Proceedings - 2011 Annual IEEE India Conference: Engineering Sustainable Solutions, INDICON-2011"</f>
        <v>Proceedings - 2011 Annual IEEE India Conference: Engineering Sustainable Solutions, INDICON-2011</v>
      </c>
      <c r="B12426" s="8" t="str">
        <f>"9781457711091"</f>
        <v>9781457711091</v>
      </c>
      <c r="C12426" s="8" t="s">
        <v>9</v>
      </c>
    </row>
    <row r="12427" spans="1:3" x14ac:dyDescent="0.25">
      <c r="A12427" s="8" t="str">
        <f>"Proceedings - 2011 Annual SRII Global Conference, SRII 2011"</f>
        <v>Proceedings - 2011 Annual SRII Global Conference, SRII 2011</v>
      </c>
      <c r="B12427" s="8" t="str">
        <f>"9780769543710"</f>
        <v>9780769543710</v>
      </c>
      <c r="C12427" s="8" t="s">
        <v>9</v>
      </c>
    </row>
    <row r="12428" spans="1:3" x14ac:dyDescent="0.25">
      <c r="A12428" s="8" t="str">
        <f>"Proceedings - 2011 Brazilian Symposium on Computing System Engineering, SBESC 2011"</f>
        <v>Proceedings - 2011 Brazilian Symposium on Computing System Engineering, SBESC 2011</v>
      </c>
      <c r="B12428" s="8" t="str">
        <f>"9780769546414"</f>
        <v>9780769546414</v>
      </c>
      <c r="C12428" s="8" t="s">
        <v>9</v>
      </c>
    </row>
    <row r="12429" spans="1:3" x14ac:dyDescent="0.25">
      <c r="A12429" s="8" t="str">
        <f>"Proceedings - 2011 Canadian Conference on Computer and Robot Vision, CRV 2011"</f>
        <v>Proceedings - 2011 Canadian Conference on Computer and Robot Vision, CRV 2011</v>
      </c>
      <c r="B12429" s="8" t="str">
        <f>"9780769543628"</f>
        <v>9780769543628</v>
      </c>
      <c r="C12429" s="8" t="s">
        <v>9</v>
      </c>
    </row>
    <row r="12430" spans="1:3" x14ac:dyDescent="0.25">
      <c r="A12430" s="8" t="str">
        <f>"Proceedings - 2011 Conference for Visual Media Production, CVMP 2011"</f>
        <v>Proceedings - 2011 Conference for Visual Media Production, CVMP 2011</v>
      </c>
      <c r="B12430" s="8" t="str">
        <f>"9780769546216"</f>
        <v>9780769546216</v>
      </c>
      <c r="C12430" s="8" t="s">
        <v>9</v>
      </c>
    </row>
    <row r="12431" spans="1:3" x14ac:dyDescent="0.25">
      <c r="A12431" s="8" t="str">
        <f>"Proceedings - 2011 Conference on Technologies and Applications of Artificial Intelligence, TAAI 2011"</f>
        <v>Proceedings - 2011 Conference on Technologies and Applications of Artificial Intelligence, TAAI 2011</v>
      </c>
      <c r="B12431" s="8" t="str">
        <f>"9780769546018"</f>
        <v>9780769546018</v>
      </c>
      <c r="C12431" s="8" t="s">
        <v>9</v>
      </c>
    </row>
    <row r="12432" spans="1:3" x14ac:dyDescent="0.25">
      <c r="A12432" s="8" t="str">
        <f>"Proceedings - 2011 European Intelligence and Security Informatics Conference, EISIC 2011"</f>
        <v>Proceedings - 2011 European Intelligence and Security Informatics Conference, EISIC 2011</v>
      </c>
      <c r="B12432" s="8" t="str">
        <f>"9780769544069"</f>
        <v>9780769544069</v>
      </c>
      <c r="C12432" s="8" t="s">
        <v>9</v>
      </c>
    </row>
    <row r="12433" spans="1:3" x14ac:dyDescent="0.25">
      <c r="A12433" s="8" t="str">
        <f>"Proceedings - 2011 IEEE 17th International Mixed-Signals, Sensors and Systems Test Workshop, IMS3TW 2011"</f>
        <v>Proceedings - 2011 IEEE 17th International Mixed-Signals, Sensors and Systems Test Workshop, IMS3TW 2011</v>
      </c>
      <c r="B12433" s="8" t="str">
        <f>"9780769544793"</f>
        <v>9780769544793</v>
      </c>
      <c r="C12433" s="8" t="s">
        <v>9</v>
      </c>
    </row>
    <row r="12434" spans="1:3" x14ac:dyDescent="0.25">
      <c r="A12434" s="8" t="str">
        <f>"Proceedings - 2011 IEEE 2nd International Conference on Networked Embedded Systems for Enterprise Applications, NESEA 2011"</f>
        <v>Proceedings - 2011 IEEE 2nd International Conference on Networked Embedded Systems for Enterprise Applications, NESEA 2011</v>
      </c>
      <c r="B12434" s="8" t="str">
        <f>"-"</f>
        <v>-</v>
      </c>
      <c r="C12434" s="8" t="s">
        <v>9</v>
      </c>
    </row>
    <row r="12435" spans="1:3" x14ac:dyDescent="0.25">
      <c r="A12435" s="8" t="str">
        <f>"Proceedings - 2011 IEEE 4th International Conference on Cloud Computing, CLOUD 2011"</f>
        <v>Proceedings - 2011 IEEE 4th International Conference on Cloud Computing, CLOUD 2011</v>
      </c>
      <c r="B12435" s="8" t="str">
        <f>"9780769544601"</f>
        <v>9780769544601</v>
      </c>
      <c r="C12435" s="8" t="s">
        <v>9</v>
      </c>
    </row>
    <row r="12436" spans="1:3" x14ac:dyDescent="0.25">
      <c r="A12436" s="8" t="str">
        <f>"Proceedings - 2011 IEEE 7th International Colloquium on Signal Processing and Its Applications, CSPA 2011"</f>
        <v>Proceedings - 2011 IEEE 7th International Colloquium on Signal Processing and Its Applications, CSPA 2011</v>
      </c>
      <c r="B12436" s="8" t="str">
        <f>"9781612844145"</f>
        <v>9781612844145</v>
      </c>
      <c r="C12436" s="8" t="s">
        <v>9</v>
      </c>
    </row>
    <row r="12437" spans="1:3" x14ac:dyDescent="0.25">
      <c r="A12437" s="8" t="str">
        <f>"Proceedings - 2011 IEEE 7th International Conference on Intelligent Computer Communication and Processing, ICCP 2011"</f>
        <v>Proceedings - 2011 IEEE 7th International Conference on Intelligent Computer Communication and Processing, ICCP 2011</v>
      </c>
      <c r="B12437" s="8" t="str">
        <f>"9781457714788"</f>
        <v>9781457714788</v>
      </c>
      <c r="C12437" s="8" t="s">
        <v>9</v>
      </c>
    </row>
    <row r="12438" spans="1:3" x14ac:dyDescent="0.25">
      <c r="A12438" s="8" t="str">
        <f>"Proceedings - 2011 IEEE 9th International Conference on Web Services, ICWS 2011"</f>
        <v>Proceedings - 2011 IEEE 9th International Conference on Web Services, ICWS 2011</v>
      </c>
      <c r="B12438" s="8" t="str">
        <f>"9780769544632"</f>
        <v>9780769544632</v>
      </c>
      <c r="C12438" s="8" t="s">
        <v>9</v>
      </c>
    </row>
    <row r="12439" spans="1:3" x14ac:dyDescent="0.25">
      <c r="A12439" s="8" t="str">
        <f>"Proceedings - 2011 IEEE Asia-Pacific Services Computing Conference, APSCC 2011"</f>
        <v>Proceedings - 2011 IEEE Asia-Pacific Services Computing Conference, APSCC 2011</v>
      </c>
      <c r="B12439" s="8" t="str">
        <f>"9780769546247"</f>
        <v>9780769546247</v>
      </c>
      <c r="C12439" s="8" t="s">
        <v>9</v>
      </c>
    </row>
    <row r="12440" spans="1:3" x14ac:dyDescent="0.25">
      <c r="A12440" s="8" t="str">
        <f>"Proceedings - 2011 IEEE Computer Society Annual Symposium on VLSI, ISVLSI 2011"</f>
        <v>Proceedings - 2011 IEEE Computer Society Annual Symposium on VLSI, ISVLSI 2011</v>
      </c>
      <c r="B12440" s="8" t="str">
        <f>"9780769544472"</f>
        <v>9780769544472</v>
      </c>
      <c r="C12440" s="8" t="s">
        <v>9</v>
      </c>
    </row>
    <row r="12441" spans="1:3" x14ac:dyDescent="0.25">
      <c r="A12441" s="8" t="str">
        <f>"Proceedings - 2011 IEEE Control and System Graduate Research Colloquium, ICSGRC 2011"</f>
        <v>Proceedings - 2011 IEEE Control and System Graduate Research Colloquium, ICSGRC 2011</v>
      </c>
      <c r="B12441" s="8" t="str">
        <f>"9781457703379"</f>
        <v>9781457703379</v>
      </c>
      <c r="C12441" s="8" t="s">
        <v>9</v>
      </c>
    </row>
    <row r="12442" spans="1:3" x14ac:dyDescent="0.25">
      <c r="A12442" s="8" t="str">
        <f>"Proceedings - 2011 IEEE Electronics, Robotics and Automotive Mechanics Conference, CERMA 2011"</f>
        <v>Proceedings - 2011 IEEE Electronics, Robotics and Automotive Mechanics Conference, CERMA 2011</v>
      </c>
      <c r="B12442" s="8" t="str">
        <f>"9780769545639"</f>
        <v>9780769545639</v>
      </c>
      <c r="C12442" s="8" t="s">
        <v>9</v>
      </c>
    </row>
    <row r="12443" spans="1:3" x14ac:dyDescent="0.25">
      <c r="A12443" s="8" t="str">
        <f>"Proceedings - 2011 IEEE Global Humanitarian Technology Conference, GHTC 2011"</f>
        <v>Proceedings - 2011 IEEE Global Humanitarian Technology Conference, GHTC 2011</v>
      </c>
      <c r="B12443" s="8" t="str">
        <f>"9780769545950"</f>
        <v>9780769545950</v>
      </c>
      <c r="C12443" s="8" t="s">
        <v>9</v>
      </c>
    </row>
    <row r="12444" spans="1:3" x14ac:dyDescent="0.25">
      <c r="A12444" s="8" t="str">
        <f>"Proceedings - 2011 IEEE International Conference on Bioinformatics and Biomedicine, BIBM 2011"</f>
        <v>Proceedings - 2011 IEEE International Conference on Bioinformatics and Biomedicine, BIBM 2011</v>
      </c>
      <c r="B12444" s="8" t="str">
        <f>"9780769545745"</f>
        <v>9780769545745</v>
      </c>
      <c r="C12444" s="8" t="s">
        <v>9</v>
      </c>
    </row>
    <row r="12445" spans="1:3" x14ac:dyDescent="0.25">
      <c r="A12445" s="8" t="str">
        <f>"Proceedings - 2011 IEEE International Conference on Computer Science and Automation Engineering, CSAE 2011"</f>
        <v>Proceedings - 2011 IEEE International Conference on Computer Science and Automation Engineering, CSAE 2011</v>
      </c>
      <c r="B12445" s="8" t="str">
        <f>"9781424487257"</f>
        <v>9781424487257</v>
      </c>
      <c r="C12445" s="8" t="s">
        <v>9</v>
      </c>
    </row>
    <row r="12446" spans="1:3" x14ac:dyDescent="0.25">
      <c r="A12446" s="8" t="str">
        <f>"Proceedings - 2011 IEEE International Conference on Control System, Computing and Engineering, ICCSCE 2011"</f>
        <v>Proceedings - 2011 IEEE International Conference on Control System, Computing and Engineering, ICCSCE 2011</v>
      </c>
      <c r="B12446" s="8" t="str">
        <f>"9781457716423"</f>
        <v>9781457716423</v>
      </c>
      <c r="C12446" s="8" t="s">
        <v>9</v>
      </c>
    </row>
    <row r="12447" spans="1:3" x14ac:dyDescent="0.25">
      <c r="A12447" s="8" t="str">
        <f>"Proceedings - 2011 IEEE International Conference on Granular Computing, GrC 2011"</f>
        <v>Proceedings - 2011 IEEE International Conference on Granular Computing, GrC 2011</v>
      </c>
      <c r="B12447" s="8" t="str">
        <f>"9781457703713"</f>
        <v>9781457703713</v>
      </c>
      <c r="C12447" s="8" t="s">
        <v>9</v>
      </c>
    </row>
    <row r="12448" spans="1:3" x14ac:dyDescent="0.25">
      <c r="A12448" s="8" t="str">
        <f>"Proceedings - 2011 IEEE International Conference on Privacy, Security, Risk and Trust and IEEE International Conference on Social Computing, PASSAT/SocialCom 2011"</f>
        <v>Proceedings - 2011 IEEE International Conference on Privacy, Security, Risk and Trust and IEEE International Conference on Social Computing, PASSAT/SocialCom 2011</v>
      </c>
      <c r="B12448" s="8" t="str">
        <f>"9780769545783"</f>
        <v>9780769545783</v>
      </c>
      <c r="C12448" s="8" t="s">
        <v>9</v>
      </c>
    </row>
    <row r="12449" spans="1:3" x14ac:dyDescent="0.25">
      <c r="A12449" s="8" t="str">
        <f>"Proceedings - 2011 IEEE International Conference on Service-Oriented Computing and Applications, SOCA 2011"</f>
        <v>Proceedings - 2011 IEEE International Conference on Service-Oriented Computing and Applications, SOCA 2011</v>
      </c>
      <c r="B12449" s="8" t="str">
        <f>"9781467303194"</f>
        <v>9781467303194</v>
      </c>
      <c r="C12449" s="8" t="s">
        <v>9</v>
      </c>
    </row>
    <row r="12450" spans="1:3" x14ac:dyDescent="0.25">
      <c r="A12450" s="8" t="str">
        <f>"Proceedings - 2011 IEEE International Conference on Services Computing, SCC 2011"</f>
        <v>Proceedings - 2011 IEEE International Conference on Services Computing, SCC 2011</v>
      </c>
      <c r="B12450" s="8" t="str">
        <f>"9780769544625"</f>
        <v>9780769544625</v>
      </c>
      <c r="C12450" s="8" t="s">
        <v>9</v>
      </c>
    </row>
    <row r="12451" spans="1:3" x14ac:dyDescent="0.25">
      <c r="A12451" s="8" t="str">
        <f>"Proceedings - 2011 IEEE International Conference on System Engineering and Technology, ICSET 2011"</f>
        <v>Proceedings - 2011 IEEE International Conference on System Engineering and Technology, ICSET 2011</v>
      </c>
      <c r="B12451" s="8" t="str">
        <f>"9781457712562"</f>
        <v>9781457712562</v>
      </c>
      <c r="C12451" s="8" t="s">
        <v>9</v>
      </c>
    </row>
    <row r="12452" spans="1:3" x14ac:dyDescent="0.25">
      <c r="A12452" s="8" t="str">
        <f>"Proceedings - 2011 IEEE International Conferences on Internet of Things and Cyber, Physical and Social Computing, iThings/CPSCom 2011"</f>
        <v>Proceedings - 2011 IEEE International Conferences on Internet of Things and Cyber, Physical and Social Computing, iThings/CPSCom 2011</v>
      </c>
      <c r="B12452" s="8" t="str">
        <f>"9780769545806"</f>
        <v>9780769545806</v>
      </c>
      <c r="C12452" s="8" t="s">
        <v>9</v>
      </c>
    </row>
    <row r="12453" spans="1:3" x14ac:dyDescent="0.25">
      <c r="A12453" s="8" t="str">
        <f>"Proceedings - 2011 IEEE International Symposium on Assembly and Manufacturing, ISAM 2011"</f>
        <v>Proceedings - 2011 IEEE International Symposium on Assembly and Manufacturing, ISAM 2011</v>
      </c>
      <c r="B12453" s="8" t="str">
        <f>"9781612843438"</f>
        <v>9781612843438</v>
      </c>
      <c r="C12453" s="8" t="s">
        <v>9</v>
      </c>
    </row>
    <row r="12454" spans="1:3" x14ac:dyDescent="0.25">
      <c r="A12454" s="8" t="str">
        <f>"Proceedings - 2011 IEEE International Symposium on Network Computing and Applications, NCA 2011"</f>
        <v>Proceedings - 2011 IEEE International Symposium on Network Computing and Applications, NCA 2011</v>
      </c>
      <c r="B12454" s="8" t="str">
        <f>"9780769544892"</f>
        <v>9780769544892</v>
      </c>
      <c r="C12454" s="8" t="s">
        <v>9</v>
      </c>
    </row>
    <row r="12455" spans="1:3" x14ac:dyDescent="0.25">
      <c r="A12455" s="8" t="str">
        <f>"Proceedings - 2011 IEEE International Symposium on Policies for Distributed Systems and Networks, POLICY 2011"</f>
        <v>Proceedings - 2011 IEEE International Symposium on Policies for Distributed Systems and Networks, POLICY 2011</v>
      </c>
      <c r="B12455" s="8" t="str">
        <f>"9780769543307"</f>
        <v>9780769543307</v>
      </c>
      <c r="C12455" s="8" t="s">
        <v>9</v>
      </c>
    </row>
    <row r="12456" spans="1:3" x14ac:dyDescent="0.25">
      <c r="A12456" s="8" t="str">
        <f>"Proceedings - 2011 IEEE International Symposium on Workload Characterization, IISWC - 2011"</f>
        <v>Proceedings - 2011 IEEE International Symposium on Workload Characterization, IISWC - 2011</v>
      </c>
      <c r="B12456" s="8" t="str">
        <f>"9781457720642"</f>
        <v>9781457720642</v>
      </c>
      <c r="C12456" s="8" t="s">
        <v>9</v>
      </c>
    </row>
    <row r="12457" spans="1:3" x14ac:dyDescent="0.25">
      <c r="A12457" s="8" t="str">
        <f>"Proceedings - 2011 IEEE International Workshop on Open-Source Software for Scientific Computation, OSSC-2011"</f>
        <v>Proceedings - 2011 IEEE International Workshop on Open-Source Software for Scientific Computation, OSSC-2011</v>
      </c>
      <c r="B12457" s="8" t="str">
        <f>"9781612844930"</f>
        <v>9781612844930</v>
      </c>
      <c r="C12457" s="8" t="s">
        <v>9</v>
      </c>
    </row>
    <row r="12458" spans="1:3" x14ac:dyDescent="0.25">
      <c r="A12458" s="8" t="str">
        <f>"Proceedings - 2011 IEEE InternationalSymposium on Multimedia, ISM 2011"</f>
        <v>Proceedings - 2011 IEEE InternationalSymposium on Multimedia, ISM 2011</v>
      </c>
      <c r="B12458" s="8" t="str">
        <f>"9780769545899"</f>
        <v>9780769545899</v>
      </c>
      <c r="C12458" s="8" t="s">
        <v>9</v>
      </c>
    </row>
    <row r="12459" spans="1:3" x14ac:dyDescent="0.25">
      <c r="A12459" s="8" t="str">
        <f>"Proceedings - 2011 IEEE Student Conference on Research and Development, SCOReD 2011"</f>
        <v>Proceedings - 2011 IEEE Student Conference on Research and Development, SCOReD 2011</v>
      </c>
      <c r="B12459" s="8" t="str">
        <f>"9781467301022"</f>
        <v>9781467301022</v>
      </c>
      <c r="C12459" s="8" t="s">
        <v>9</v>
      </c>
    </row>
    <row r="12460" spans="1:3" x14ac:dyDescent="0.25">
      <c r="A12460" s="8" t="str">
        <f>"Proceedings - 2011 IEEE Symposium on Visual Languages and Human Centric Computing, VL/HCC 2011"</f>
        <v>Proceedings - 2011 IEEE Symposium on Visual Languages and Human Centric Computing, VL/HCC 2011</v>
      </c>
      <c r="B12460" s="8" t="str">
        <f>"9781457712456"</f>
        <v>9781457712456</v>
      </c>
      <c r="C12460" s="8" t="s">
        <v>9</v>
      </c>
    </row>
    <row r="12461" spans="1:3" x14ac:dyDescent="0.25">
      <c r="A12461" s="8" t="str">
        <f>"Proceedings - 2011 IEEE World Congress on Services, SERVICES 2011"</f>
        <v>Proceedings - 2011 IEEE World Congress on Services, SERVICES 2011</v>
      </c>
      <c r="B12461" s="8" t="str">
        <f>"9780769544618"</f>
        <v>9780769544618</v>
      </c>
      <c r="C12461" s="8" t="s">
        <v>9</v>
      </c>
    </row>
    <row r="12462" spans="1:3" x14ac:dyDescent="0.25">
      <c r="A12462" s="8" t="str">
        <f>"Proceedings - 2011 IEEE/ACM 2nd International Conference on Cyber-Physical Systems, ICCPS 2011"</f>
        <v>Proceedings - 2011 IEEE/ACM 2nd International Conference on Cyber-Physical Systems, ICCPS 2011</v>
      </c>
      <c r="B12462" s="8" t="str">
        <f>"9780769543611"</f>
        <v>9780769543611</v>
      </c>
      <c r="C12462" s="8" t="s">
        <v>9</v>
      </c>
    </row>
    <row r="12463" spans="1:3" x14ac:dyDescent="0.25">
      <c r="A12463" s="8" t="str">
        <f>"Proceedings - 2011 IEEE/ACM International Conference on Green Computing and Communications, GreenCom 2011"</f>
        <v>Proceedings - 2011 IEEE/ACM International Conference on Green Computing and Communications, GreenCom 2011</v>
      </c>
      <c r="B12463" s="8" t="str">
        <f>"9780769544663"</f>
        <v>9780769544663</v>
      </c>
      <c r="C12463" s="8" t="s">
        <v>9</v>
      </c>
    </row>
    <row r="12464" spans="1:3" x14ac:dyDescent="0.25">
      <c r="A12464" s="8" t="str">
        <f>"Proceedings - 2011 IEEE/WIC/ACM International Conference on Intelligent Agent Technology, IAT 2011"</f>
        <v>Proceedings - 2011 IEEE/WIC/ACM International Conference on Intelligent Agent Technology, IAT 2011</v>
      </c>
      <c r="B12464" s="8" t="str">
        <f>"9780769545134"</f>
        <v>9780769545134</v>
      </c>
      <c r="C12464" s="8" t="s">
        <v>9</v>
      </c>
    </row>
    <row r="12465" spans="1:3" x14ac:dyDescent="0.25">
      <c r="A12465" s="8" t="str">
        <f>"Proceedings - 2011 IEEE/WIC/ACM International Conference on Web Intelligence, WI 2011"</f>
        <v>Proceedings - 2011 IEEE/WIC/ACM International Conference on Web Intelligence, WI 2011</v>
      </c>
      <c r="B12465" s="8" t="str">
        <f>"9780769545134"</f>
        <v>9780769545134</v>
      </c>
      <c r="C12465" s="8" t="s">
        <v>9</v>
      </c>
    </row>
    <row r="12466" spans="1:3" x14ac:dyDescent="0.25">
      <c r="A12466" s="8" t="str">
        <f>"Proceedings - 2011 IEEE/WIC/ACM International Joint Conferences on Web Intelligence and Intelligent Agent Technology - Workshops, WI-IAT 2011"</f>
        <v>Proceedings - 2011 IEEE/WIC/ACM International Joint Conferences on Web Intelligence and Intelligent Agent Technology - Workshops, WI-IAT 2011</v>
      </c>
      <c r="B12466" s="8" t="str">
        <f>"9780769545134"</f>
        <v>9780769545134</v>
      </c>
      <c r="C12466" s="8" t="s">
        <v>9</v>
      </c>
    </row>
    <row r="12467" spans="1:3" x14ac:dyDescent="0.25">
      <c r="A12467" s="8" t="str">
        <f>"Proceedings - 2011 IEEE-APS Topical Conference on Antennas and Propagation in Wireless Communications, APWC'11"</f>
        <v>Proceedings - 2011 IEEE-APS Topical Conference on Antennas and Propagation in Wireless Communications, APWC'11</v>
      </c>
      <c r="B12467" s="8" t="str">
        <f>"9781457700484"</f>
        <v>9781457700484</v>
      </c>
      <c r="C12467" s="8" t="s">
        <v>9</v>
      </c>
    </row>
    <row r="12468" spans="1:3" x14ac:dyDescent="0.25">
      <c r="A12468" s="8" t="str">
        <f>"Proceedings - 2011 IFIP 9th International Conference on Embedded and Ubiquitous Computing, EUC 2011"</f>
        <v>Proceedings - 2011 IFIP 9th International Conference on Embedded and Ubiquitous Computing, EUC 2011</v>
      </c>
      <c r="B12468" s="8" t="str">
        <f>"9780769545523"</f>
        <v>9780769545523</v>
      </c>
      <c r="C12468" s="8" t="s">
        <v>9</v>
      </c>
    </row>
    <row r="12469" spans="1:3" x14ac:dyDescent="0.25">
      <c r="A12469" s="8" t="str">
        <f>"Proceedings - 2011 IMAPS International Conference on High Temperature Electronics Network, HiTEN 2011"</f>
        <v>Proceedings - 2011 IMAPS International Conference on High Temperature Electronics Network, HiTEN 2011</v>
      </c>
      <c r="B12469" s="8" t="str">
        <f>"9780930815936"</f>
        <v>9780930815936</v>
      </c>
      <c r="C12469" s="8" t="s">
        <v>93</v>
      </c>
    </row>
    <row r="12470" spans="1:3" x14ac:dyDescent="0.25">
      <c r="A12470" s="8" t="str">
        <f>"Proceedings - 2011 IMAPS/ACerS 7th International Conference and Exhibition on Ceramic Interconnect and Ceramic Microsystems Technologies, CICMT 2011"</f>
        <v>Proceedings - 2011 IMAPS/ACerS 7th International Conference and Exhibition on Ceramic Interconnect and Ceramic Microsystems Technologies, CICMT 2011</v>
      </c>
      <c r="B12470" s="8" t="str">
        <f>"9780930815929"</f>
        <v>9780930815929</v>
      </c>
      <c r="C12470" s="8" t="s">
        <v>2066</v>
      </c>
    </row>
    <row r="12471" spans="1:3" x14ac:dyDescent="0.25">
      <c r="A12471" s="8" t="str">
        <f>"Proceedings - 2011 International Conference of Information Technology, Computer Engineering and Management Sciences, ICM 2011"</f>
        <v>Proceedings - 2011 International Conference of Information Technology, Computer Engineering and Management Sciences, ICM 2011</v>
      </c>
      <c r="B12471" s="8" t="str">
        <f>"9780769545226"</f>
        <v>9780769545226</v>
      </c>
      <c r="C12471" s="8" t="s">
        <v>9</v>
      </c>
    </row>
    <row r="12472" spans="1:3" x14ac:dyDescent="0.25">
      <c r="A12472" s="8" t="str">
        <f>"Proceedings - 2011 International Conference on 3D Imaging, Modeling, Processing, Visualization and Transmission, 3DIMPVT 2011"</f>
        <v>Proceedings - 2011 International Conference on 3D Imaging, Modeling, Processing, Visualization and Transmission, 3DIMPVT 2011</v>
      </c>
      <c r="B12472" s="8" t="str">
        <f>"9780769543697"</f>
        <v>9780769543697</v>
      </c>
      <c r="C12472" s="8" t="s">
        <v>9</v>
      </c>
    </row>
    <row r="12473" spans="1:3" x14ac:dyDescent="0.25">
      <c r="A12473" s="8" t="str">
        <f>"Proceedings - 2011 International Conference on Advances in Social Networks Analysis and Mining, ASONAM 2011"</f>
        <v>Proceedings - 2011 International Conference on Advances in Social Networks Analysis and Mining, ASONAM 2011</v>
      </c>
      <c r="B12473" s="8" t="str">
        <f>"9780769543758"</f>
        <v>9780769543758</v>
      </c>
      <c r="C12473" s="8" t="s">
        <v>9</v>
      </c>
    </row>
    <row r="12474" spans="1:3" x14ac:dyDescent="0.25">
      <c r="A12474" s="8" t="str">
        <f>"Proceedings - 2011 International Conference on Asian Language Processing, IALP 2011"</f>
        <v>Proceedings - 2011 International Conference on Asian Language Processing, IALP 2011</v>
      </c>
      <c r="B12474" s="8" t="str">
        <f>"9780769545547"</f>
        <v>9780769545547</v>
      </c>
      <c r="C12474" s="8" t="s">
        <v>9</v>
      </c>
    </row>
    <row r="12475" spans="1:3" x14ac:dyDescent="0.25">
      <c r="A12475" s="8" t="str">
        <f>"Proceedings - 2011 International Conference on Biometrics and Kansei Engineering, ICBAKE 2011"</f>
        <v>Proceedings - 2011 International Conference on Biometrics and Kansei Engineering, ICBAKE 2011</v>
      </c>
      <c r="B12475" s="8" t="str">
        <f>"9780769545127"</f>
        <v>9780769545127</v>
      </c>
      <c r="C12475" s="8" t="s">
        <v>9</v>
      </c>
    </row>
    <row r="12476" spans="1:3" x14ac:dyDescent="0.25">
      <c r="A12476" s="8" t="str">
        <f>"Proceedings - 2011 International Conference on Body Sensor Networks, BSN 2011"</f>
        <v>Proceedings - 2011 International Conference on Body Sensor Networks, BSN 2011</v>
      </c>
      <c r="B12476" s="8" t="str">
        <f>"9780769544311"</f>
        <v>9780769544311</v>
      </c>
      <c r="C12476" s="8" t="s">
        <v>9</v>
      </c>
    </row>
    <row r="12477" spans="1:3" x14ac:dyDescent="0.25">
      <c r="A12477" s="8" t="str">
        <f>"Proceedings - 2011 International Conference on Broadband and Wireless Computing, Communication and Applications, BWCCA 2011"</f>
        <v>Proceedings - 2011 International Conference on Broadband and Wireless Computing, Communication and Applications, BWCCA 2011</v>
      </c>
      <c r="B12477" s="8" t="str">
        <f>"9780769545325"</f>
        <v>9780769545325</v>
      </c>
      <c r="C12477" s="8" t="s">
        <v>9</v>
      </c>
    </row>
    <row r="12478" spans="1:3" x14ac:dyDescent="0.25">
      <c r="A12478" s="8" t="str">
        <f>"Proceedings - 2011 International Conference on Cloud and Service Computing, CSC 2011"</f>
        <v>Proceedings - 2011 International Conference on Cloud and Service Computing, CSC 2011</v>
      </c>
      <c r="B12478" s="8" t="str">
        <f>"9781457716362"</f>
        <v>9781457716362</v>
      </c>
      <c r="C12478" s="8" t="s">
        <v>9</v>
      </c>
    </row>
    <row r="12479" spans="1:3" x14ac:dyDescent="0.25">
      <c r="A12479" s="8" t="str">
        <f>"Proceedings - 2011 International Conference on Communication Systems and Network Technologies, CSNT 2011"</f>
        <v>Proceedings - 2011 International Conference on Communication Systems and Network Technologies, CSNT 2011</v>
      </c>
      <c r="B12479" s="8" t="str">
        <f>"9780769544373"</f>
        <v>9780769544373</v>
      </c>
      <c r="C12479" s="8" t="s">
        <v>9</v>
      </c>
    </row>
    <row r="12480" spans="1:3" x14ac:dyDescent="0.25">
      <c r="A12480" s="8" t="str">
        <f>"Proceedings - 2011 International Conference on Computational and Information Sciences, ICCIS 2011"</f>
        <v>Proceedings - 2011 International Conference on Computational and Information Sciences, ICCIS 2011</v>
      </c>
      <c r="B12480" s="8" t="str">
        <f>"9780769545011"</f>
        <v>9780769545011</v>
      </c>
      <c r="C12480" s="8" t="s">
        <v>9</v>
      </c>
    </row>
    <row r="12481" spans="1:3" x14ac:dyDescent="0.25">
      <c r="A12481" s="8" t="str">
        <f>"Proceedings - 2011 International Conference on Computational Intelligence and Communication Systems, CICN 2011"</f>
        <v>Proceedings - 2011 International Conference on Computational Intelligence and Communication Systems, CICN 2011</v>
      </c>
      <c r="B12481" s="8" t="str">
        <f>"9780769545875"</f>
        <v>9780769545875</v>
      </c>
      <c r="C12481" s="8" t="s">
        <v>9</v>
      </c>
    </row>
    <row r="12482" spans="1:3" x14ac:dyDescent="0.25">
      <c r="A12482" s="8" t="str">
        <f>"Proceedings - 2011 International Conference on Computational Science and Its Applications, ICCSA 2011"</f>
        <v>Proceedings - 2011 International Conference on Computational Science and Its Applications, ICCSA 2011</v>
      </c>
      <c r="B12482" s="8" t="str">
        <f>"9780769544045"</f>
        <v>9780769544045</v>
      </c>
      <c r="C12482" s="8" t="s">
        <v>9</v>
      </c>
    </row>
    <row r="12483" spans="1:3" x14ac:dyDescent="0.25">
      <c r="A12483" s="8" t="str">
        <f>"Proceedings - 2011 International Conference on Cyber-Enabled Distributed Computing and Knowledge Discovery, CyberC 2011"</f>
        <v>Proceedings - 2011 International Conference on Cyber-Enabled Distributed Computing and Knowledge Discovery, CyberC 2011</v>
      </c>
      <c r="B12483" s="8" t="str">
        <f>"9780769545578"</f>
        <v>9780769545578</v>
      </c>
      <c r="C12483" s="8" t="s">
        <v>9</v>
      </c>
    </row>
    <row r="12484" spans="1:3" x14ac:dyDescent="0.25">
      <c r="A12484" s="8" t="str">
        <f>"Proceedings - 2011 International Conference on Cyberworlds, Cyberworlds 2011"</f>
        <v>Proceedings - 2011 International Conference on Cyberworlds, Cyberworlds 2011</v>
      </c>
      <c r="B12484" s="8" t="str">
        <f>"9780769544670"</f>
        <v>9780769544670</v>
      </c>
      <c r="C12484" s="8" t="s">
        <v>9</v>
      </c>
    </row>
    <row r="12485" spans="1:3" x14ac:dyDescent="0.25">
      <c r="A12485" s="8" t="str">
        <f>"Proceedings - 2011 International Conference on Data and Knowledge Engineering, ICDKE 2011"</f>
        <v>Proceedings - 2011 International Conference on Data and Knowledge Engineering, ICDKE 2011</v>
      </c>
      <c r="B12485" s="8" t="str">
        <f>"9781457708640"</f>
        <v>9781457708640</v>
      </c>
      <c r="C12485" s="8" t="s">
        <v>9</v>
      </c>
    </row>
    <row r="12486" spans="1:3" x14ac:dyDescent="0.25">
      <c r="A12486" s="8" t="str">
        <f>"Proceedings - 2011 International Conference on Digital Image Computing: Techniques and Applications, DICTA 2011"</f>
        <v>Proceedings - 2011 International Conference on Digital Image Computing: Techniques and Applications, DICTA 2011</v>
      </c>
      <c r="B12486" s="8" t="str">
        <f>"9780769545882"</f>
        <v>9780769545882</v>
      </c>
      <c r="C12486" s="8" t="s">
        <v>9</v>
      </c>
    </row>
    <row r="12487" spans="1:3" x14ac:dyDescent="0.25">
      <c r="A12487" s="8" t="str">
        <f>"Proceedings - 2011 International Conference on Electromagnetics in Advanced Applications, ICEAA'11"</f>
        <v>Proceedings - 2011 International Conference on Electromagnetics in Advanced Applications, ICEAA'11</v>
      </c>
      <c r="B12487" s="8" t="str">
        <f>"9781612849782"</f>
        <v>9781612849782</v>
      </c>
      <c r="C12487" s="8" t="s">
        <v>9</v>
      </c>
    </row>
    <row r="12488" spans="1:3" x14ac:dyDescent="0.25">
      <c r="A12488" s="8" t="str">
        <f>"Proceedings - 2011 International Conference on Embedded Computer Systems: Architectures, Modeling and Simulation, IC-SAMOS 2011"</f>
        <v>Proceedings - 2011 International Conference on Embedded Computer Systems: Architectures, Modeling and Simulation, IC-SAMOS 2011</v>
      </c>
      <c r="B12488" s="8" t="str">
        <f>"9781457708008"</f>
        <v>9781457708008</v>
      </c>
      <c r="C12488" s="8" t="s">
        <v>9</v>
      </c>
    </row>
    <row r="12489" spans="1:3" x14ac:dyDescent="0.25">
      <c r="A12489" s="8" t="str">
        <f>"Proceedings - 2011 International Conference on Emerging Intelligent Data and Web Technologies, EIDWT 2011"</f>
        <v>Proceedings - 2011 International Conference on Emerging Intelligent Data and Web Technologies, EIDWT 2011</v>
      </c>
      <c r="B12489" s="8" t="str">
        <f>"9780769544564"</f>
        <v>9780769544564</v>
      </c>
      <c r="C12489" s="8" t="s">
        <v>9</v>
      </c>
    </row>
    <row r="12490" spans="1:3" x14ac:dyDescent="0.25">
      <c r="A12490" s="8" t="str">
        <f>"Proceedings - 2011 International Conference on Energy, Automation and Signal, ICEAS - 2011"</f>
        <v>Proceedings - 2011 International Conference on Energy, Automation and Signal, ICEAS - 2011</v>
      </c>
      <c r="B12490" s="8" t="str">
        <f>"9781467301367"</f>
        <v>9781467301367</v>
      </c>
      <c r="C12490" s="8" t="s">
        <v>9</v>
      </c>
    </row>
    <row r="12491" spans="1:3" x14ac:dyDescent="0.25">
      <c r="A12491" s="8" t="str">
        <f>"Proceedings - 2011 International Conference on Future Computer Sciences and Application, ICFCSA 2011"</f>
        <v>Proceedings - 2011 International Conference on Future Computer Sciences and Application, ICFCSA 2011</v>
      </c>
      <c r="B12491" s="8" t="str">
        <f>"9780769544229"</f>
        <v>9780769544229</v>
      </c>
      <c r="C12491" s="8" t="s">
        <v>9</v>
      </c>
    </row>
    <row r="12492" spans="1:3" x14ac:dyDescent="0.25">
      <c r="A12492" s="8" t="str">
        <f>"Proceedings - 2011 International Conference on Instrumentation, Measurement, Computer, Communication and Control, IMCCC 2011"</f>
        <v>Proceedings - 2011 International Conference on Instrumentation, Measurement, Computer, Communication and Control, IMCCC 2011</v>
      </c>
      <c r="B12492" s="8" t="str">
        <f>"9780769545196"</f>
        <v>9780769545196</v>
      </c>
      <c r="C12492" s="8" t="s">
        <v>9</v>
      </c>
    </row>
    <row r="12493" spans="1:3" x14ac:dyDescent="0.25">
      <c r="A12493" s="8" t="str">
        <f>"Proceedings - 2011 International Conference on Intelligence Science and Information Engineering, ISIE 2011"</f>
        <v>Proceedings - 2011 International Conference on Intelligence Science and Information Engineering, ISIE 2011</v>
      </c>
      <c r="B12493" s="8" t="str">
        <f>"9780769544809"</f>
        <v>9780769544809</v>
      </c>
      <c r="C12493" s="8" t="s">
        <v>9</v>
      </c>
    </row>
    <row r="12494" spans="1:3" x14ac:dyDescent="0.25">
      <c r="A12494" s="8" t="str">
        <f>"Proceedings - 2011 International Conference on Intelligent Computation and Bio-Medical Instrumentation, ICBMI 2011"</f>
        <v>Proceedings - 2011 International Conference on Intelligent Computation and Bio-Medical Instrumentation, ICBMI 2011</v>
      </c>
      <c r="B12494" s="8" t="str">
        <f>"9780769546230"</f>
        <v>9780769546230</v>
      </c>
      <c r="C12494" s="8" t="s">
        <v>9</v>
      </c>
    </row>
    <row r="12495" spans="1:3" x14ac:dyDescent="0.25">
      <c r="A12495" s="8" t="str">
        <f>"Proceedings - 2011 International Conference on Internet Computing and Information Services, ICICIS 2011"</f>
        <v>Proceedings - 2011 International Conference on Internet Computing and Information Services, ICICIS 2011</v>
      </c>
      <c r="B12495" s="8" t="str">
        <f>"9780769545394"</f>
        <v>9780769545394</v>
      </c>
      <c r="C12495" s="8" t="s">
        <v>9</v>
      </c>
    </row>
    <row r="12496" spans="1:3" x14ac:dyDescent="0.25">
      <c r="A12496" s="8" t="str">
        <f>"Proceedings - 2011 International Conference on Management of e-Commerce and e-Government, ICMeCG 2011"</f>
        <v>Proceedings - 2011 International Conference on Management of e-Commerce and e-Government, ICMeCG 2011</v>
      </c>
      <c r="B12496" s="8" t="str">
        <f>"9780769545448"</f>
        <v>9780769545448</v>
      </c>
      <c r="C12496" s="8" t="s">
        <v>9</v>
      </c>
    </row>
    <row r="12497" spans="1:3" x14ac:dyDescent="0.25">
      <c r="A12497" s="8" t="str">
        <f>"Proceedings - 2011 International Conference on Mobile IT-Convergence, ICMIC 2011"</f>
        <v>Proceedings - 2011 International Conference on Mobile IT-Convergence, ICMIC 2011</v>
      </c>
      <c r="B12497" s="8" t="str">
        <f>"9788988678602"</f>
        <v>9788988678602</v>
      </c>
      <c r="C12497" s="8" t="s">
        <v>9</v>
      </c>
    </row>
    <row r="12498" spans="1:3" x14ac:dyDescent="0.25">
      <c r="A12498" s="8" t="str">
        <f>"Proceedings - 2011 International Conference on Multimedia and Signal Processing, CMSP 2011"</f>
        <v>Proceedings - 2011 International Conference on Multimedia and Signal Processing, CMSP 2011</v>
      </c>
      <c r="B12498" s="8" t="str">
        <f>"9780769543567"</f>
        <v>9780769543567</v>
      </c>
      <c r="C12498" s="8" t="s">
        <v>9</v>
      </c>
    </row>
    <row r="12499" spans="1:3" x14ac:dyDescent="0.25">
      <c r="A12499" s="8" t="str">
        <f>"Proceedings - 2011 International Conference on Network Computing and Information Security, NCIS 2011"</f>
        <v>Proceedings - 2011 International Conference on Network Computing and Information Security, NCIS 2011</v>
      </c>
      <c r="B12499" s="8" t="str">
        <f>"9780769543550"</f>
        <v>9780769543550</v>
      </c>
      <c r="C12499" s="8" t="s">
        <v>9</v>
      </c>
    </row>
    <row r="12500" spans="1:3" x14ac:dyDescent="0.25">
      <c r="A12500" s="8" t="str">
        <f>"Proceedings - 2011 International Conference on Network-Based Information Systems, NBiS 2011"</f>
        <v>Proceedings - 2011 International Conference on Network-Based Information Systems, NBiS 2011</v>
      </c>
      <c r="B12500" s="8" t="str">
        <f>"9780769544588"</f>
        <v>9780769544588</v>
      </c>
      <c r="C12500" s="8" t="s">
        <v>9</v>
      </c>
    </row>
    <row r="12501" spans="1:3" x14ac:dyDescent="0.25">
      <c r="A12501" s="8" t="str">
        <f>"Proceedings - 2011 International Conference on P2P, Parallel, Grid, Cloud and Internet Computing, 3PGCIC 2011"</f>
        <v>Proceedings - 2011 International Conference on P2P, Parallel, Grid, Cloud and Internet Computing, 3PGCIC 2011</v>
      </c>
      <c r="B12501" s="8" t="str">
        <f>"9780769545318"</f>
        <v>9780769545318</v>
      </c>
      <c r="C12501" s="8" t="s">
        <v>9</v>
      </c>
    </row>
    <row r="12502" spans="1:3" x14ac:dyDescent="0.25">
      <c r="A12502" s="8" t="str">
        <f>"Proceedings - 2011 International Conference on Reconfigurable Computing and FPGAs, ReConFig 2011"</f>
        <v>Proceedings - 2011 International Conference on Reconfigurable Computing and FPGAs, ReConFig 2011</v>
      </c>
      <c r="B12502" s="8" t="str">
        <f>"9780769545516"</f>
        <v>9780769545516</v>
      </c>
      <c r="C12502" s="8" t="s">
        <v>9</v>
      </c>
    </row>
    <row r="12503" spans="1:3" x14ac:dyDescent="0.25">
      <c r="A12503" s="8" t="str">
        <f>"Proceedings - 2011 International Conference on Ubiquitous Computing and Multimedia Applications, UCMA 2011"</f>
        <v>Proceedings - 2011 International Conference on Ubiquitous Computing and Multimedia Applications, UCMA 2011</v>
      </c>
      <c r="B12503" s="8" t="str">
        <f>"9780769544359"</f>
        <v>9780769544359</v>
      </c>
      <c r="C12503" s="8" t="s">
        <v>9</v>
      </c>
    </row>
    <row r="12504" spans="1:3" x14ac:dyDescent="0.25">
      <c r="A12504" s="8" t="str">
        <f>"Proceedings - 2011 International Conference on User Science and Engineering, i-USEr 2011"</f>
        <v>Proceedings - 2011 International Conference on User Science and Engineering, i-USEr 2011</v>
      </c>
      <c r="B12504" s="8" t="str">
        <f>"9781457716553"</f>
        <v>9781457716553</v>
      </c>
      <c r="C12504" s="8" t="s">
        <v>9</v>
      </c>
    </row>
    <row r="12505" spans="1:3" x14ac:dyDescent="0.25">
      <c r="A12505" s="8" t="str">
        <f>"Proceedings - 2011 International Conference on Virtual Reality and Visualization, ICVRV 2011"</f>
        <v>Proceedings - 2011 International Conference on Virtual Reality and Visualization, ICVRV 2011</v>
      </c>
      <c r="B12505" s="8" t="str">
        <f>"9780769546025"</f>
        <v>9780769546025</v>
      </c>
      <c r="C12505" s="8" t="s">
        <v>9</v>
      </c>
    </row>
    <row r="12506" spans="1:3" x14ac:dyDescent="0.25">
      <c r="A12506" s="8" t="str">
        <f>"Proceedings - 2011 International Joint Conference on Service Sciences, IJCSS 2011"</f>
        <v>Proceedings - 2011 International Joint Conference on Service Sciences, IJCSS 2011</v>
      </c>
      <c r="B12506" s="8" t="str">
        <f>"9780769544212"</f>
        <v>9780769544212</v>
      </c>
      <c r="C12506" s="8" t="s">
        <v>9</v>
      </c>
    </row>
    <row r="12507" spans="1:3" x14ac:dyDescent="0.25">
      <c r="A12507" s="8" t="str">
        <f>"Proceedings - 2011 International Symposium on Computer Science and Society, ISCCS 2011"</f>
        <v>Proceedings - 2011 International Symposium on Computer Science and Society, ISCCS 2011</v>
      </c>
      <c r="B12507" s="8" t="str">
        <f>"9780769544434"</f>
        <v>9780769544434</v>
      </c>
      <c r="C12507" s="8" t="s">
        <v>9</v>
      </c>
    </row>
    <row r="12508" spans="1:3" x14ac:dyDescent="0.25">
      <c r="A12508" s="8" t="str">
        <f>"Proceedings - 2011 International Symposium on Electronic System Design, ISED 2011"</f>
        <v>Proceedings - 2011 International Symposium on Electronic System Design, ISED 2011</v>
      </c>
      <c r="B12508" s="8" t="str">
        <f>"9780769545707"</f>
        <v>9780769545707</v>
      </c>
      <c r="C12508" s="8" t="s">
        <v>9</v>
      </c>
    </row>
    <row r="12509" spans="1:3" x14ac:dyDescent="0.25">
      <c r="A12509" s="8" t="str">
        <f>"Proceedings - 2011 International Symposium on Intelligence Information Processing and Trusted Computing, IPTC 2011"</f>
        <v>Proceedings - 2011 International Symposium on Intelligence Information Processing and Trusted Computing, IPTC 2011</v>
      </c>
      <c r="B12509" s="8" t="str">
        <f>"9780769544984"</f>
        <v>9780769544984</v>
      </c>
      <c r="C12509" s="8" t="s">
        <v>9</v>
      </c>
    </row>
    <row r="12510" spans="1:3" x14ac:dyDescent="0.25">
      <c r="A12510" s="8" t="str">
        <f>"Proceedings - 2011 International Symposium on Ubiquitous Virtual Reality, ISUVR 2011"</f>
        <v>Proceedings - 2011 International Symposium on Ubiquitous Virtual Reality, ISUVR 2011</v>
      </c>
      <c r="B12510" s="8" t="str">
        <f>"9780769544205"</f>
        <v>9780769544205</v>
      </c>
      <c r="C12510" s="8" t="s">
        <v>9</v>
      </c>
    </row>
    <row r="12511" spans="1:3" x14ac:dyDescent="0.25">
      <c r="A12511" s="8" t="str">
        <f>"Proceedings - 2011 Irish Machine Vision and Image Processing Conference, IMVIP 2011"</f>
        <v>Proceedings - 2011 Irish Machine Vision and Image Processing Conference, IMVIP 2011</v>
      </c>
      <c r="B12511" s="8" t="str">
        <f>"9780769546292"</f>
        <v>9780769546292</v>
      </c>
      <c r="C12511" s="8" t="s">
        <v>9</v>
      </c>
    </row>
    <row r="12512" spans="1:3" x14ac:dyDescent="0.25">
      <c r="A12512" s="8" t="str">
        <f>"Proceedings - 2011 Latin-American Symposium on Dependable Computing, LADC 2011"</f>
        <v>Proceedings - 2011 Latin-American Symposium on Dependable Computing, LADC 2011</v>
      </c>
      <c r="B12512" s="8" t="str">
        <f>"9780769543208"</f>
        <v>9780769543208</v>
      </c>
      <c r="C12512" s="8" t="s">
        <v>9</v>
      </c>
    </row>
    <row r="12513" spans="1:3" x14ac:dyDescent="0.25">
      <c r="A12513" s="8" t="str">
        <f>"Proceedings - 2011 Panhellenic Conference on Informatics, PCI 2011"</f>
        <v>Proceedings - 2011 Panhellenic Conference on Informatics, PCI 2011</v>
      </c>
      <c r="B12513" s="8" t="str">
        <f>"9780769543895"</f>
        <v>9780769543895</v>
      </c>
      <c r="C12513" s="8" t="s">
        <v>9</v>
      </c>
    </row>
    <row r="12514" spans="1:3" x14ac:dyDescent="0.25">
      <c r="A12514" s="8" t="str">
        <f>"Proceedings - 2011 Symposium on Application Accelerators in High-Performance Computing, SAAHPC 2011"</f>
        <v>Proceedings - 2011 Symposium on Application Accelerators in High-Performance Computing, SAAHPC 2011</v>
      </c>
      <c r="B12514" s="8" t="str">
        <f>"9780769544489"</f>
        <v>9780769544489</v>
      </c>
      <c r="C12514" s="8" t="s">
        <v>9</v>
      </c>
    </row>
    <row r="12515" spans="1:3" x14ac:dyDescent="0.25">
      <c r="A12515" s="8" t="str">
        <f>"Proceedings - 2011 UKSim 13th International Conference on Modelling and Simulation, UKSim 2011"</f>
        <v>Proceedings - 2011 UKSim 13th International Conference on Modelling and Simulation, UKSim 2011</v>
      </c>
      <c r="B12515" s="8" t="str">
        <f>"9780769543765"</f>
        <v>9780769543765</v>
      </c>
      <c r="C12515" s="8" t="s">
        <v>9</v>
      </c>
    </row>
    <row r="12516" spans="1:3" x14ac:dyDescent="0.25">
      <c r="A12516" s="8" t="str">
        <f>"Proceedings - 2011 Workshop and School of Agent Systems, their Environment and Applications, WESAAC 2011"</f>
        <v>Proceedings - 2011 Workshop and School of Agent Systems, their Environment and Applications, WESAAC 2011</v>
      </c>
      <c r="B12516" s="8" t="str">
        <f>"9780769546452"</f>
        <v>9780769546452</v>
      </c>
      <c r="C12516" s="8" t="s">
        <v>9</v>
      </c>
    </row>
    <row r="12517" spans="1:3" x14ac:dyDescent="0.25">
      <c r="A12517" s="8" t="str">
        <f>"Proceedings - 2011 Workshop on Embedded Systems Education, WESE 2011"</f>
        <v>Proceedings - 2011 Workshop on Embedded Systems Education, WESE 2011</v>
      </c>
      <c r="B12517" s="8" t="str">
        <f>"9781450310468"</f>
        <v>9781450310468</v>
      </c>
      <c r="C12517" s="8" t="s">
        <v>21</v>
      </c>
    </row>
    <row r="12518" spans="1:3" x14ac:dyDescent="0.25">
      <c r="A12518" s="8" t="str">
        <f>"Proceedings - 2011 Workshop on Fault Diagnosis and Tolerance in Cryptography, FDTC 2011"</f>
        <v>Proceedings - 2011 Workshop on Fault Diagnosis and Tolerance in Cryptography, FDTC 2011</v>
      </c>
      <c r="B12518" s="8" t="str">
        <f>"9780769545264"</f>
        <v>9780769545264</v>
      </c>
      <c r="C12518" s="8" t="s">
        <v>9</v>
      </c>
    </row>
    <row r="12519" spans="1:3" x14ac:dyDescent="0.25">
      <c r="A12519" s="8" t="str">
        <f>"Proceedings - 2011 Workshop on Lightweight Security and Privacy: Devices, Protocols, and Applications, LightSec 2011"</f>
        <v>Proceedings - 2011 Workshop on Lightweight Security and Privacy: Devices, Protocols, and Applications, LightSec 2011</v>
      </c>
      <c r="B12519" s="8" t="str">
        <f>"9780769543406"</f>
        <v>9780769543406</v>
      </c>
      <c r="C12519" s="8" t="s">
        <v>9</v>
      </c>
    </row>
    <row r="12520" spans="1:3" x14ac:dyDescent="0.25">
      <c r="A12520" s="8" t="str">
        <f>"Proceedings - 2011 Workshop on Mobile and Online Social Networks, MOSN 2011"</f>
        <v>Proceedings - 2011 Workshop on Mobile and Online Social Networks, MOSN 2011</v>
      </c>
      <c r="B12520" s="8" t="str">
        <f>"9781457708473"</f>
        <v>9781457708473</v>
      </c>
      <c r="C12520" s="8" t="s">
        <v>9</v>
      </c>
    </row>
    <row r="12521" spans="1:3" x14ac:dyDescent="0.25">
      <c r="A12521" s="8" t="str">
        <f>"Proceedings - 2011 Workshop on Multimedia on the Web, MMWeb 2011"</f>
        <v>Proceedings - 2011 Workshop on Multimedia on the Web, MMWeb 2011</v>
      </c>
      <c r="B12521" s="8" t="str">
        <f>"-"</f>
        <v>-</v>
      </c>
      <c r="C12521" s="8" t="s">
        <v>9</v>
      </c>
    </row>
    <row r="12522" spans="1:3" x14ac:dyDescent="0.25">
      <c r="A12522" s="8" t="str">
        <f>"Proceedings - 2011 Workshop-School on Theoretical Computer Science, WEIT 2011"</f>
        <v>Proceedings - 2011 Workshop-School on Theoretical Computer Science, WEIT 2011</v>
      </c>
      <c r="B12522" s="8" t="str">
        <f>"9780769546285"</f>
        <v>9780769546285</v>
      </c>
      <c r="C12522" s="8" t="s">
        <v>9</v>
      </c>
    </row>
    <row r="12523" spans="1:3" x14ac:dyDescent="0.25">
      <c r="A12523" s="8" t="str">
        <f>"Proceedings - 2012 11th International Conference on Machine Learning and Applications, ICMLA 2012"</f>
        <v>Proceedings - 2012 11th International Conference on Machine Learning and Applications, ICMLA 2012</v>
      </c>
      <c r="B12523" s="8" t="str">
        <f>"9780769549132"</f>
        <v>9780769549132</v>
      </c>
      <c r="C12523" s="8" t="s">
        <v>9</v>
      </c>
    </row>
    <row r="12524" spans="1:3" x14ac:dyDescent="0.25">
      <c r="A12524" s="8" t="str">
        <f>"Proceedings - 2012 11th International Symposium on Parallel and Distributed Computing, ISPDC 2012"</f>
        <v>Proceedings - 2012 11th International Symposium on Parallel and Distributed Computing, ISPDC 2012</v>
      </c>
      <c r="B12524" s="8" t="str">
        <f>"9780769548050"</f>
        <v>9780769548050</v>
      </c>
      <c r="C12524" s="8" t="s">
        <v>9</v>
      </c>
    </row>
    <row r="12525" spans="1:3" x14ac:dyDescent="0.25">
      <c r="A12525" s="8" t="str">
        <f>"Proceedings - 2012 13th International Symposium on Problems of Redundancy in Information and Control Systems, RED 2012"</f>
        <v>Proceedings - 2012 13th International Symposium on Problems of Redundancy in Information and Control Systems, RED 2012</v>
      </c>
      <c r="B12525" s="8" t="str">
        <f>"9781467301701"</f>
        <v>9781467301701</v>
      </c>
      <c r="C12525" s="8" t="s">
        <v>9</v>
      </c>
    </row>
    <row r="12526" spans="1:3" x14ac:dyDescent="0.25">
      <c r="A12526" s="8" t="str">
        <f>"Proceedings - 2012 14th International Conference on Modelling and Simulation, UKSim 2012"</f>
        <v>Proceedings - 2012 14th International Conference on Modelling and Simulation, UKSim 2012</v>
      </c>
      <c r="B12526" s="8" t="str">
        <f>"9780769546827"</f>
        <v>9780769546827</v>
      </c>
      <c r="C12526" s="8" t="s">
        <v>9</v>
      </c>
    </row>
    <row r="12527" spans="1:3" x14ac:dyDescent="0.25">
      <c r="A12527" s="8" t="str">
        <f>"Proceedings - 2012 14th Symposium on Virtual and Augmented Reality, SVR 2012"</f>
        <v>Proceedings - 2012 14th Symposium on Virtual and Augmented Reality, SVR 2012</v>
      </c>
      <c r="B12527" s="8" t="str">
        <f>"9780769547251"</f>
        <v>9780769547251</v>
      </c>
      <c r="C12527" s="8" t="s">
        <v>9</v>
      </c>
    </row>
    <row r="12528" spans="1:3" x14ac:dyDescent="0.25">
      <c r="A12528" s="8" t="str">
        <f>"Proceedings - 2012 15th IEEE International Symposium on Object/Component/Service-Oriented Real-Time Distributed Computing Workshops, ISORCW 2012"</f>
        <v>Proceedings - 2012 15th IEEE International Symposium on Object/Component/Service-Oriented Real-Time Distributed Computing Workshops, ISORCW 2012</v>
      </c>
      <c r="B12528" s="8" t="str">
        <f>"9780769546698"</f>
        <v>9780769546698</v>
      </c>
      <c r="C12528" s="8" t="s">
        <v>9</v>
      </c>
    </row>
    <row r="12529" spans="1:3" x14ac:dyDescent="0.25">
      <c r="A12529" s="8" t="str">
        <f>"Proceedings - 2012 15th IEEE International Symposium on Object/Component/Service-Oriented Real-Time Distributed Computing, ISORC 2012"</f>
        <v>Proceedings - 2012 15th IEEE International Symposium on Object/Component/Service-Oriented Real-Time Distributed Computing, ISORC 2012</v>
      </c>
      <c r="B12529" s="8" t="str">
        <f>"9780769546438"</f>
        <v>9780769546438</v>
      </c>
      <c r="C12529" s="8" t="s">
        <v>9</v>
      </c>
    </row>
    <row r="12530" spans="1:3" x14ac:dyDescent="0.25">
      <c r="A12530" s="8" t="str">
        <f>"Proceedings - 2012 17th IEEE European Test Symposium, ETS 2012"</f>
        <v>Proceedings - 2012 17th IEEE European Test Symposium, ETS 2012</v>
      </c>
      <c r="B12530" s="8" t="str">
        <f>"9781467306973"</f>
        <v>9781467306973</v>
      </c>
      <c r="C12530" s="8" t="s">
        <v>9</v>
      </c>
    </row>
    <row r="12531" spans="1:3" x14ac:dyDescent="0.25">
      <c r="A12531" s="8" t="str">
        <f>"Proceedings - 2012 19th International Symposium on Temporal Representation and Reasoning, TIME 2012"</f>
        <v>Proceedings - 2012 19th International Symposium on Temporal Representation and Reasoning, TIME 2012</v>
      </c>
      <c r="B12531" s="8" t="str">
        <f>"9780769548029"</f>
        <v>9780769548029</v>
      </c>
      <c r="C12531" s="8" t="s">
        <v>9</v>
      </c>
    </row>
    <row r="12532" spans="1:3" x14ac:dyDescent="0.25">
      <c r="A12532" s="8" t="str">
        <f>"Proceedings - 2012 20th International Conference on Electrical Machines, ICEM 2012"</f>
        <v>Proceedings - 2012 20th International Conference on Electrical Machines, ICEM 2012</v>
      </c>
      <c r="B12532" s="8" t="str">
        <f>"9781467301428"</f>
        <v>9781467301428</v>
      </c>
      <c r="C12532" s="8" t="s">
        <v>9</v>
      </c>
    </row>
    <row r="12533" spans="1:3" x14ac:dyDescent="0.25">
      <c r="A12533" s="8" t="str">
        <f>"Proceedings - 2012 20th International Conference on Geoinformatics, Geoinformatics 2012"</f>
        <v>Proceedings - 2012 20th International Conference on Geoinformatics, Geoinformatics 2012</v>
      </c>
      <c r="B12533" s="8" t="str">
        <f>"9781467311045"</f>
        <v>9781467311045</v>
      </c>
      <c r="C12533" s="8" t="s">
        <v>9</v>
      </c>
    </row>
    <row r="12534" spans="1:3" x14ac:dyDescent="0.25">
      <c r="A12534" s="8" t="str">
        <f>"Proceedings - 2012 25th IEEE Conference on Software Engineering Education and Training, CSEE and T 2012"</f>
        <v>Proceedings - 2012 25th IEEE Conference on Software Engineering Education and Training, CSEE and T 2012</v>
      </c>
      <c r="B12534" s="8" t="str">
        <f>"9780769546933"</f>
        <v>9780769546933</v>
      </c>
      <c r="C12534" s="8" t="s">
        <v>9</v>
      </c>
    </row>
    <row r="12535" spans="1:3" x14ac:dyDescent="0.25">
      <c r="A12535" s="8" t="str">
        <f>"Proceedings - 2012 2nd Brazilian Conference on Critical Embedded Systems, CBSEC 2012"</f>
        <v>Proceedings - 2012 2nd Brazilian Conference on Critical Embedded Systems, CBSEC 2012</v>
      </c>
      <c r="B12535" s="8" t="str">
        <f>"9780769547282"</f>
        <v>9780769547282</v>
      </c>
      <c r="C12535" s="8" t="s">
        <v>9</v>
      </c>
    </row>
    <row r="12536" spans="1:3" x14ac:dyDescent="0.25">
      <c r="A12536" s="8" t="str">
        <f>"Proceedings - 2012 2nd International Conference on Advanced Computing and Communication Technologies, ACCT 2012"</f>
        <v>Proceedings - 2012 2nd International Conference on Advanced Computing and Communication Technologies, ACCT 2012</v>
      </c>
      <c r="B12536" s="8" t="str">
        <f>"9780769546407"</f>
        <v>9780769546407</v>
      </c>
      <c r="C12536" s="8" t="s">
        <v>9</v>
      </c>
    </row>
    <row r="12537" spans="1:3" x14ac:dyDescent="0.25">
      <c r="A12537" s="8" t="str">
        <f>"Proceedings - 2012 2nd International Workshop on Pattern Recognition in NeuroImaging, PRNI 2012"</f>
        <v>Proceedings - 2012 2nd International Workshop on Pattern Recognition in NeuroImaging, PRNI 2012</v>
      </c>
      <c r="B12537" s="8" t="str">
        <f>"9780769547657"</f>
        <v>9780769547657</v>
      </c>
      <c r="C12537" s="8" t="s">
        <v>9</v>
      </c>
    </row>
    <row r="12538" spans="1:3" x14ac:dyDescent="0.25">
      <c r="A12538" s="8" t="str">
        <f>"Proceedings - 2012 2nd National Conference on Computational Intelligence and Signal Processing, CISP 2012"</f>
        <v>Proceedings - 2012 2nd National Conference on Computational Intelligence and Signal Processing, CISP 2012</v>
      </c>
      <c r="B12538" s="8" t="str">
        <f>"9781457707209"</f>
        <v>9781457707209</v>
      </c>
      <c r="C12538" s="8" t="s">
        <v>9</v>
      </c>
    </row>
    <row r="12539" spans="1:3" x14ac:dyDescent="0.25">
      <c r="A12539" s="8" t="str">
        <f>"Proceedings - 2012 2nd Workshop on Data-Flow Execution Models for Extreme Scale Computing, DFM 2012"</f>
        <v>Proceedings - 2012 2nd Workshop on Data-Flow Execution Models for Extreme Scale Computing, DFM 2012</v>
      </c>
      <c r="B12539" s="8" t="str">
        <f>"9780768549545"</f>
        <v>9780768549545</v>
      </c>
      <c r="C12539" s="8" t="s">
        <v>9</v>
      </c>
    </row>
    <row r="12540" spans="1:3" x14ac:dyDescent="0.25">
      <c r="A12540" s="8" t="str">
        <f>"Proceedings - 2012 2nd Workshop on Design, Control and Software Implementation for Distributed MEMS, dMEMS 2012"</f>
        <v>Proceedings - 2012 2nd Workshop on Design, Control and Software Implementation for Distributed MEMS, dMEMS 2012</v>
      </c>
      <c r="B12540" s="8" t="str">
        <f>"9780769546797"</f>
        <v>9780769546797</v>
      </c>
      <c r="C12540" s="8" t="s">
        <v>9</v>
      </c>
    </row>
    <row r="12541" spans="1:3" x14ac:dyDescent="0.25">
      <c r="A12541" s="8" t="str">
        <f>"Proceedings - 2012 3rd Cybercrime and Trustworthy Computing Workshop, CTC 2012"</f>
        <v>Proceedings - 2012 3rd Cybercrime and Trustworthy Computing Workshop, CTC 2012</v>
      </c>
      <c r="B12541" s="8" t="str">
        <f>"9780769549408"</f>
        <v>9780769549408</v>
      </c>
      <c r="C12541" s="8" t="s">
        <v>9</v>
      </c>
    </row>
    <row r="12542" spans="1:3" x14ac:dyDescent="0.25">
      <c r="A12542" s="8" t="str">
        <f>"Proceedings - 2012 3rd FTRA International Conference on Mobile, Ubiquitous, and Intelligent Computing, MUSIC 2012"</f>
        <v>Proceedings - 2012 3rd FTRA International Conference on Mobile, Ubiquitous, and Intelligent Computing, MUSIC 2012</v>
      </c>
      <c r="B12542" s="8" t="str">
        <f>"9780769547275"</f>
        <v>9780769547275</v>
      </c>
      <c r="C12542" s="8" t="s">
        <v>9</v>
      </c>
    </row>
    <row r="12543" spans="1:3" x14ac:dyDescent="0.25">
      <c r="A12543" s="8" t="str">
        <f>"Proceedings - 2012 3rd Global Congress on Intelligent Systems, GCIS 2012"</f>
        <v>Proceedings - 2012 3rd Global Congress on Intelligent Systems, GCIS 2012</v>
      </c>
      <c r="B12543" s="8" t="str">
        <f>"9780769548609"</f>
        <v>9780769548609</v>
      </c>
      <c r="C12543" s="8" t="s">
        <v>9</v>
      </c>
    </row>
    <row r="12544" spans="1:3" x14ac:dyDescent="0.25">
      <c r="A12544" s="8" t="str">
        <f>"Proceedings - 2012 3rd IEEE International Conference on Network Infrastructure and Digital Content, IC-NIDC 2012"</f>
        <v>Proceedings - 2012 3rd IEEE International Conference on Network Infrastructure and Digital Content, IC-NIDC 2012</v>
      </c>
      <c r="B12544" s="8" t="str">
        <f>"9781467322027"</f>
        <v>9781467322027</v>
      </c>
      <c r="C12544" s="8" t="s">
        <v>9</v>
      </c>
    </row>
    <row r="12545" spans="1:3" x14ac:dyDescent="0.25">
      <c r="A12545" s="8" t="str">
        <f>"Proceedings - 2012 3rd IEEE International Symposium on Power Electronics for Distributed Generation Systems, PEDG 2012"</f>
        <v>Proceedings - 2012 3rd IEEE International Symposium on Power Electronics for Distributed Generation Systems, PEDG 2012</v>
      </c>
      <c r="B12545" s="8" t="str">
        <f>"9781467320238"</f>
        <v>9781467320238</v>
      </c>
      <c r="C12545" s="8" t="s">
        <v>9</v>
      </c>
    </row>
    <row r="12546" spans="1:3" x14ac:dyDescent="0.25">
      <c r="A12546" s="8" t="str">
        <f>"Proceedings - 2012 3rd International Conference on Digital Manufacturing and Automation, ICDMA 2012"</f>
        <v>Proceedings - 2012 3rd International Conference on Digital Manufacturing and Automation, ICDMA 2012</v>
      </c>
      <c r="B12546" s="8" t="str">
        <f>"9780769547725"</f>
        <v>9780769547725</v>
      </c>
      <c r="C12546" s="8" t="s">
        <v>9</v>
      </c>
    </row>
    <row r="12547" spans="1:3" x14ac:dyDescent="0.25">
      <c r="A12547" s="8" t="str">
        <f>"Proceedings - 2012 3rd International Conference on Emerging Applications of Information Technology, EAIT 2012"</f>
        <v>Proceedings - 2012 3rd International Conference on Emerging Applications of Information Technology, EAIT 2012</v>
      </c>
      <c r="B12547" s="8" t="str">
        <f>"9781467318259"</f>
        <v>9781467318259</v>
      </c>
      <c r="C12547" s="8" t="s">
        <v>9</v>
      </c>
    </row>
    <row r="12548" spans="1:3" x14ac:dyDescent="0.25">
      <c r="A12548" s="8" t="str">
        <f>"Proceedings - 2012 3rd International Conference on Services in Emerging Markets, ICSEM 2012"</f>
        <v>Proceedings - 2012 3rd International Conference on Services in Emerging Markets, ICSEM 2012</v>
      </c>
      <c r="B12548" s="8" t="str">
        <f>"9780769549378"</f>
        <v>9780769549378</v>
      </c>
      <c r="C12548" s="8" t="s">
        <v>9</v>
      </c>
    </row>
    <row r="12549" spans="1:3" x14ac:dyDescent="0.25">
      <c r="A12549" s="8" t="str">
        <f>"Proceedings - 2012 3rd National Conference on Emerging Trends and Applications in Computer Science, NCETACS-2012"</f>
        <v>Proceedings - 2012 3rd National Conference on Emerging Trends and Applications in Computer Science, NCETACS-2012</v>
      </c>
      <c r="B12549" s="8" t="str">
        <f>"9781457707483"</f>
        <v>9781457707483</v>
      </c>
      <c r="C12549" s="8" t="s">
        <v>9</v>
      </c>
    </row>
    <row r="12550" spans="1:3" x14ac:dyDescent="0.25">
      <c r="A12550" s="8" t="str">
        <f>"Proceedings - 2012 45th International Symposium on Microelectronics, IMAPS 2012"</f>
        <v>Proceedings - 2012 45th International Symposium on Microelectronics, IMAPS 2012</v>
      </c>
      <c r="B12550" s="8" t="str">
        <f>"-"</f>
        <v>-</v>
      </c>
      <c r="C12550" s="8" t="s">
        <v>93</v>
      </c>
    </row>
    <row r="12551" spans="1:3" x14ac:dyDescent="0.25">
      <c r="A12551" s="8" t="str">
        <f>"Proceedings - 2012 4th International Conference on Computational Intelligence, Communication Systems and Networks, CICSyN 2012"</f>
        <v>Proceedings - 2012 4th International Conference on Computational Intelligence, Communication Systems and Networks, CICSyN 2012</v>
      </c>
      <c r="B12551" s="8" t="str">
        <f>"9780769548210"</f>
        <v>9780769548210</v>
      </c>
      <c r="C12551" s="8" t="s">
        <v>9</v>
      </c>
    </row>
    <row r="12552" spans="1:3" x14ac:dyDescent="0.25">
      <c r="A12552" s="8" t="str">
        <f>"Proceedings - 2012 4th International Conference on Multimedia and Security, MINES 2012"</f>
        <v>Proceedings - 2012 4th International Conference on Multimedia and Security, MINES 2012</v>
      </c>
      <c r="B12552" s="8" t="str">
        <f>"9780769548524"</f>
        <v>9780769548524</v>
      </c>
      <c r="C12552" s="8" t="s">
        <v>9</v>
      </c>
    </row>
    <row r="12553" spans="1:3" x14ac:dyDescent="0.25">
      <c r="A12553" s="8" t="str">
        <f>"Proceedings - 2012 4th International EURASIP Workshop on RFID Technology, RFID 2012"</f>
        <v>Proceedings - 2012 4th International EURASIP Workshop on RFID Technology, RFID 2012</v>
      </c>
      <c r="B12553" s="8" t="str">
        <f>"9780769548135"</f>
        <v>9780769548135</v>
      </c>
      <c r="C12553" s="8" t="s">
        <v>9</v>
      </c>
    </row>
    <row r="12554" spans="1:3" x14ac:dyDescent="0.25">
      <c r="A12554" s="8" t="str">
        <f>"Proceedings - 2012 4th International Workshop on Empirical Software Engineering in Practice, IWESEP 2012"</f>
        <v>Proceedings - 2012 4th International Workshop on Empirical Software Engineering in Practice, IWESEP 2012</v>
      </c>
      <c r="B12554" s="8" t="str">
        <f>"9780769548661"</f>
        <v>9780769548661</v>
      </c>
      <c r="C12554" s="8" t="s">
        <v>9</v>
      </c>
    </row>
    <row r="12555" spans="1:3" x14ac:dyDescent="0.25">
      <c r="A12555" s="8" t="str">
        <f>"Proceedings - 2012 5th IAPR International Conference on Biometrics, ICB 2012"</f>
        <v>Proceedings - 2012 5th IAPR International Conference on Biometrics, ICB 2012</v>
      </c>
      <c r="B12555" s="8" t="str">
        <f>"9781467303941"</f>
        <v>9781467303941</v>
      </c>
      <c r="C12555" s="8" t="s">
        <v>9</v>
      </c>
    </row>
    <row r="12556" spans="1:3" x14ac:dyDescent="0.25">
      <c r="A12556" s="8" t="str">
        <f>"Proceedings - 2012 5th IEEE International Conference on Service-Oriented Computing and Applications, SOCA 2012"</f>
        <v>Proceedings - 2012 5th IEEE International Conference on Service-Oriented Computing and Applications, SOCA 2012</v>
      </c>
      <c r="B12556" s="8" t="str">
        <f>"9781467347754"</f>
        <v>9781467347754</v>
      </c>
      <c r="C12556" s="8" t="s">
        <v>9</v>
      </c>
    </row>
    <row r="12557" spans="1:3" x14ac:dyDescent="0.25">
      <c r="A12557" s="8" t="str">
        <f>"Proceedings - 2012 5th International Conference on Intelligent Computation Technology and Automation, ICICTA 2012"</f>
        <v>Proceedings - 2012 5th International Conference on Intelligent Computation Technology and Automation, ICICTA 2012</v>
      </c>
      <c r="B12557" s="8" t="str">
        <f>"9780769546377"</f>
        <v>9780769546377</v>
      </c>
      <c r="C12557" s="8" t="s">
        <v>9</v>
      </c>
    </row>
    <row r="12558" spans="1:3" x14ac:dyDescent="0.25">
      <c r="A12558" s="8" t="str">
        <f>"Proceedings - 2012 5th International Symposium on Computational Intelligence and Design, ISCID 2012"</f>
        <v>Proceedings - 2012 5th International Symposium on Computational Intelligence and Design, ISCID 2012</v>
      </c>
      <c r="B12558" s="8" t="str">
        <f>"9780769548111"</f>
        <v>9780769548111</v>
      </c>
      <c r="C12558" s="8" t="s">
        <v>9</v>
      </c>
    </row>
    <row r="12559" spans="1:3" x14ac:dyDescent="0.25">
      <c r="A12559" s="8" t="str">
        <f>"Proceedings - 2012 5th International Symposium on Resilient Control Systems, ISRCS 2012"</f>
        <v>Proceedings - 2012 5th International Symposium on Resilient Control Systems, ISRCS 2012</v>
      </c>
      <c r="B12559" s="8" t="str">
        <f>"9781467301633"</f>
        <v>9781467301633</v>
      </c>
      <c r="C12559" s="8" t="s">
        <v>9</v>
      </c>
    </row>
    <row r="12560" spans="1:3" x14ac:dyDescent="0.25">
      <c r="A12560" s="8" t="str">
        <f>"Proceedings - 2012 5th Romania Tier 2 Federation Grid, Cloud and High Performance Computing Science, RQ-LCG 2012"</f>
        <v>Proceedings - 2012 5th Romania Tier 2 Federation Grid, Cloud and High Performance Computing Science, RQ-LCG 2012</v>
      </c>
      <c r="B12560" s="8" t="str">
        <f>"9789736627101"</f>
        <v>9789736627101</v>
      </c>
      <c r="C12560" s="8" t="s">
        <v>9</v>
      </c>
    </row>
    <row r="12561" spans="1:3" x14ac:dyDescent="0.25">
      <c r="A12561" s="8" t="str">
        <f>"Proceedings - 2012 6th Asia-Pacific Conference on Environmental Electromagnetics, CEEM 2012"</f>
        <v>Proceedings - 2012 6th Asia-Pacific Conference on Environmental Electromagnetics, CEEM 2012</v>
      </c>
      <c r="B12561" s="8" t="str">
        <f>"9781467300308"</f>
        <v>9781467300308</v>
      </c>
      <c r="C12561" s="8" t="s">
        <v>9</v>
      </c>
    </row>
    <row r="12562" spans="1:3" x14ac:dyDescent="0.25">
      <c r="A12562" s="8" t="str">
        <f>"Proceedings - 2012 6th Brazilian Symposium on Software Components, Architectures and Reuse, SBCARS 2012"</f>
        <v>Proceedings - 2012 6th Brazilian Symposium on Software Components, Architectures and Reuse, SBCARS 2012</v>
      </c>
      <c r="B12562" s="8" t="str">
        <f>"9780769549170"</f>
        <v>9780769549170</v>
      </c>
      <c r="C12562" s="8" t="s">
        <v>9</v>
      </c>
    </row>
    <row r="12563" spans="1:3" x14ac:dyDescent="0.25">
      <c r="A12563" s="8" t="str">
        <f>"Proceedings - 2012 6th IEEE International Conference on E-Learning in Industrial Electronics, ICELIE 2012"</f>
        <v>Proceedings - 2012 6th IEEE International Conference on E-Learning in Industrial Electronics, ICELIE 2012</v>
      </c>
      <c r="B12563" s="8" t="str">
        <f>"9781467347563"</f>
        <v>9781467347563</v>
      </c>
      <c r="C12563" s="8" t="s">
        <v>9</v>
      </c>
    </row>
    <row r="12564" spans="1:3" x14ac:dyDescent="0.25">
      <c r="A12564" s="8" t="str">
        <f>"Proceedings - 2012 6th International Conference on Complex, Intelligent, and Software Intensive Systems, CISIS 2012"</f>
        <v>Proceedings - 2012 6th International Conference on Complex, Intelligent, and Software Intensive Systems, CISIS 2012</v>
      </c>
      <c r="B12564" s="8" t="str">
        <f>"9780769546872"</f>
        <v>9780769546872</v>
      </c>
      <c r="C12564" s="8" t="s">
        <v>9</v>
      </c>
    </row>
    <row r="12565" spans="1:3" x14ac:dyDescent="0.25">
      <c r="A12565" s="8" t="str">
        <f>"Proceedings - 2012 6th International Conference on Genetic and Evolutionary Computing, ICGEC 2012"</f>
        <v>Proceedings - 2012 6th International Conference on Genetic and Evolutionary Computing, ICGEC 2012</v>
      </c>
      <c r="B12565" s="8" t="str">
        <f>"9780769547633"</f>
        <v>9780769547633</v>
      </c>
      <c r="C12565" s="8" t="s">
        <v>9</v>
      </c>
    </row>
    <row r="12566" spans="1:3" x14ac:dyDescent="0.25">
      <c r="A12566" s="8" t="str">
        <f>"Proceedings - 2012 6th International Conference on New Trends in Information Science, Service Science and Data Mining (NISS, ICMIA and NASNIT), ISSDM 2012"</f>
        <v>Proceedings - 2012 6th International Conference on New Trends in Information Science, Service Science and Data Mining (NISS, ICMIA and NASNIT), ISSDM 2012</v>
      </c>
      <c r="B12566" s="8" t="str">
        <f>"9788994364193"</f>
        <v>9788994364193</v>
      </c>
      <c r="C12566" s="8" t="s">
        <v>9</v>
      </c>
    </row>
    <row r="12567" spans="1:3" x14ac:dyDescent="0.25">
      <c r="A12567" s="8" t="str">
        <f>"Proceedings - 2012 7th International Conference on Availability, Reliability and Security, ARES 2012"</f>
        <v>Proceedings - 2012 7th International Conference on Availability, Reliability and Security, ARES 2012</v>
      </c>
      <c r="B12567" s="8" t="str">
        <f>"9780769547756"</f>
        <v>9780769547756</v>
      </c>
      <c r="C12567" s="8" t="s">
        <v>9</v>
      </c>
    </row>
    <row r="12568" spans="1:3" x14ac:dyDescent="0.25">
      <c r="A12568" s="8" t="str">
        <f>"Proceedings - 2012 7th International Conference on Broadband, Wireless Computing, Communication and Applications, BWCCA 2012"</f>
        <v>Proceedings - 2012 7th International Conference on Broadband, Wireless Computing, Communication and Applications, BWCCA 2012</v>
      </c>
      <c r="B12568" s="8" t="str">
        <f>"9780769548425"</f>
        <v>9780769548425</v>
      </c>
      <c r="C12568" s="8" t="s">
        <v>9</v>
      </c>
    </row>
    <row r="12569" spans="1:3" x14ac:dyDescent="0.25">
      <c r="A12569" s="8" t="str">
        <f>"Proceedings - 2012 7th International Conference on Computing and Convergence Technology (ICCIT, ICEI and ICACT), ICCCT 2012"</f>
        <v>Proceedings - 2012 7th International Conference on Computing and Convergence Technology (ICCIT, ICEI and ICACT), ICCCT 2012</v>
      </c>
      <c r="B12569" s="8" t="str">
        <f>"9788994364216"</f>
        <v>9788994364216</v>
      </c>
      <c r="C12569" s="8" t="s">
        <v>9</v>
      </c>
    </row>
    <row r="12570" spans="1:3" x14ac:dyDescent="0.25">
      <c r="A12570" s="8" t="str">
        <f>"Proceedings - 2012 7th International Conference on Knowledge, Information and Creativity Support Systems, KICSS 2012"</f>
        <v>Proceedings - 2012 7th International Conference on Knowledge, Information and Creativity Support Systems, KICSS 2012</v>
      </c>
      <c r="B12570" s="8" t="str">
        <f>"9780769548616"</f>
        <v>9780769548616</v>
      </c>
      <c r="C12570" s="8" t="s">
        <v>9</v>
      </c>
    </row>
    <row r="12571" spans="1:3" x14ac:dyDescent="0.25">
      <c r="A12571" s="8" t="str">
        <f>"Proceedings - 2012 7th International Conference on P2P, Parallel, Grid, Cloud and Internet Computing, 3PGCIC 2012"</f>
        <v>Proceedings - 2012 7th International Conference on P2P, Parallel, Grid, Cloud and Internet Computing, 3PGCIC 2012</v>
      </c>
      <c r="B12571" s="8" t="str">
        <f>"-"</f>
        <v>-</v>
      </c>
      <c r="C12571" s="8" t="s">
        <v>9</v>
      </c>
    </row>
    <row r="12572" spans="1:3" x14ac:dyDescent="0.25">
      <c r="A12572" s="8" t="str">
        <f>"Proceedings - 2012 7th International Conference on System of Systems Engineering, SoSE 2012"</f>
        <v>Proceedings - 2012 7th International Conference on System of Systems Engineering, SoSE 2012</v>
      </c>
      <c r="B12572" s="8" t="str">
        <f>"9781467329750"</f>
        <v>9781467329750</v>
      </c>
      <c r="C12572" s="8" t="s">
        <v>9</v>
      </c>
    </row>
    <row r="12573" spans="1:3" x14ac:dyDescent="0.25">
      <c r="A12573" s="8" t="str">
        <f>"Proceedings - 2012 7th International Forum on Strategic Technology, IFOST 2012"</f>
        <v>Proceedings - 2012 7th International Forum on Strategic Technology, IFOST 2012</v>
      </c>
      <c r="B12573" s="8" t="str">
        <f>"9781467317702"</f>
        <v>9781467317702</v>
      </c>
      <c r="C12573" s="8" t="s">
        <v>9</v>
      </c>
    </row>
    <row r="12574" spans="1:3" x14ac:dyDescent="0.25">
      <c r="A12574" s="8" t="str">
        <f>"Proceedings - 2012 7th International Workshop on Semantic and Social Media Adaptation and Personalization, SMAP 2012"</f>
        <v>Proceedings - 2012 7th International Workshop on Semantic and Social Media Adaptation and Personalization, SMAP 2012</v>
      </c>
      <c r="B12574" s="8" t="str">
        <f>"9780769548876"</f>
        <v>9780769548876</v>
      </c>
      <c r="C12574" s="8" t="s">
        <v>9</v>
      </c>
    </row>
    <row r="12575" spans="1:3" x14ac:dyDescent="0.25">
      <c r="A12575" s="8" t="str">
        <f>"Proceedings - 2012 8th International Conference on Computing and Networking Technology (INC, ICCIS and ICMIC), ICCNT 2012"</f>
        <v>Proceedings - 2012 8th International Conference on Computing and Networking Technology (INC, ICCIS and ICMIC), ICCNT 2012</v>
      </c>
      <c r="B12575" s="8" t="str">
        <f>"9788994364179"</f>
        <v>9788994364179</v>
      </c>
      <c r="C12575" s="8" t="s">
        <v>9</v>
      </c>
    </row>
    <row r="12576" spans="1:3" x14ac:dyDescent="0.25">
      <c r="A12576" s="8" t="str">
        <f>"Proceedings - 2012 8th International Conference on Computing Technology and Information Management, ICCM 2012"</f>
        <v>Proceedings - 2012 8th International Conference on Computing Technology and Information Management, ICCM 2012</v>
      </c>
      <c r="B12576" s="8" t="str">
        <f>"9788988678671"</f>
        <v>9788988678671</v>
      </c>
      <c r="C12576" s="8" t="s">
        <v>9</v>
      </c>
    </row>
    <row r="12577" spans="1:3" x14ac:dyDescent="0.25">
      <c r="A12577" s="8" t="str">
        <f>"Proceedings - 2012 8th International Conference on Mobile Ad Hoc and Sensor Networks, MSN 2012"</f>
        <v>Proceedings - 2012 8th International Conference on Mobile Ad Hoc and Sensor Networks, MSN 2012</v>
      </c>
      <c r="B12577" s="8" t="str">
        <f>"9780769549613"</f>
        <v>9780769549613</v>
      </c>
      <c r="C12577" s="8" t="s">
        <v>9</v>
      </c>
    </row>
    <row r="12578" spans="1:3" x14ac:dyDescent="0.25">
      <c r="A12578" s="8" t="str">
        <f>"Proceedings - 2012 8th International Conference on Semantics, Knowledge and Grids, SKG 2012"</f>
        <v>Proceedings - 2012 8th International Conference on Semantics, Knowledge and Grids, SKG 2012</v>
      </c>
      <c r="B12578" s="8" t="str">
        <f>"9780769547947"</f>
        <v>9780769547947</v>
      </c>
      <c r="C12578" s="8" t="s">
        <v>9</v>
      </c>
    </row>
    <row r="12579" spans="1:3" x14ac:dyDescent="0.25">
      <c r="A12579" s="8" t="str">
        <f>"Proceedings - 2012 8th International Conference on the Quality of Information and Communications Technology, QUATIC 2012"</f>
        <v>Proceedings - 2012 8th International Conference on the Quality of Information and Communications Technology, QUATIC 2012</v>
      </c>
      <c r="B12579" s="8" t="str">
        <f>"9780769547770"</f>
        <v>9780769547770</v>
      </c>
      <c r="C12579" s="8" t="s">
        <v>9</v>
      </c>
    </row>
    <row r="12580" spans="1:3" x14ac:dyDescent="0.25">
      <c r="A12580" s="8" t="str">
        <f>"Proceedings - 2012 8th Latin American Web Congress, LA-WEB 2012"</f>
        <v>Proceedings - 2012 8th Latin American Web Congress, LA-WEB 2012</v>
      </c>
      <c r="B12580" s="8" t="str">
        <f>"9780769548395"</f>
        <v>9780769548395</v>
      </c>
      <c r="C12580" s="8" t="s">
        <v>9</v>
      </c>
    </row>
    <row r="12581" spans="1:3" x14ac:dyDescent="0.25">
      <c r="A12581" s="8" t="str">
        <f>"Proceedings - 2012 9th Electronics, Robotics and Automotive Mechanics Conference, CERMA 2012"</f>
        <v>Proceedings - 2012 9th Electronics, Robotics and Automotive Mechanics Conference, CERMA 2012</v>
      </c>
      <c r="B12581" s="8" t="str">
        <f>"9780769548784"</f>
        <v>9780769548784</v>
      </c>
      <c r="C12581" s="8" t="s">
        <v>9</v>
      </c>
    </row>
    <row r="12582" spans="1:3" x14ac:dyDescent="0.25">
      <c r="A12582" s="8" t="str">
        <f>"Proceedings - 2012 9th International Conference on Fuzzy Systems and Knowledge Discovery, FSKD 2012"</f>
        <v>Proceedings - 2012 9th International Conference on Fuzzy Systems and Knowledge Discovery, FSKD 2012</v>
      </c>
      <c r="B12582" s="8" t="str">
        <f>"9781467300223"</f>
        <v>9781467300223</v>
      </c>
      <c r="C12582" s="8" t="s">
        <v>9</v>
      </c>
    </row>
    <row r="12583" spans="1:3" x14ac:dyDescent="0.25">
      <c r="A12583" s="8" t="str">
        <f>"Proceedings - 2012 9th International Conference on Quantitative Evaluation of Systems, QEST 2012"</f>
        <v>Proceedings - 2012 9th International Conference on Quantitative Evaluation of Systems, QEST 2012</v>
      </c>
      <c r="B12583" s="8" t="str">
        <f>"9780769547817"</f>
        <v>9780769547817</v>
      </c>
      <c r="C12583" s="8" t="s">
        <v>9</v>
      </c>
    </row>
    <row r="12584" spans="1:3" x14ac:dyDescent="0.25">
      <c r="A12584" s="8" t="str">
        <f>"Proceedings - 2012 ACM/IEEE/SCS 26th Workshop on Principles of Advanced and Distributed Simulation, PADS 2012"</f>
        <v>Proceedings - 2012 ACM/IEEE/SCS 26th Workshop on Principles of Advanced and Distributed Simulation, PADS 2012</v>
      </c>
      <c r="B12584" s="8" t="str">
        <f>"9780769547145"</f>
        <v>9780769547145</v>
      </c>
      <c r="C12584" s="8" t="s">
        <v>9</v>
      </c>
    </row>
    <row r="12585" spans="1:3" x14ac:dyDescent="0.25">
      <c r="A12585" s="8" t="str">
        <f>"Proceedings - 2012 Agile Conference, Agile 2012"</f>
        <v>Proceedings - 2012 Agile Conference, Agile 2012</v>
      </c>
      <c r="B12585" s="8" t="str">
        <f>"9780769548043"</f>
        <v>9780769548043</v>
      </c>
      <c r="C12585" s="8" t="s">
        <v>9</v>
      </c>
    </row>
    <row r="12586" spans="1:3" x14ac:dyDescent="0.25">
      <c r="A12586" s="8" t="str">
        <f>"Proceedings - 2012 ASE/IEEE International Conference on Privacy, Security, Risk and Trust and 2012 ASE/IEEE International Conference on Social Computing, SocialCom/PASSAT 2012"</f>
        <v>Proceedings - 2012 ASE/IEEE International Conference on Privacy, Security, Risk and Trust and 2012 ASE/IEEE International Conference on Social Computing, SocialCom/PASSAT 2012</v>
      </c>
      <c r="B12586" s="8" t="str">
        <f>"9780769548487"</f>
        <v>9780769548487</v>
      </c>
      <c r="C12586" s="8" t="s">
        <v>9</v>
      </c>
    </row>
    <row r="12587" spans="1:3" x14ac:dyDescent="0.25">
      <c r="A12587" s="8" t="str">
        <f>"Proceedings - 2012 Brazilian Robotics Symposium and Latin American Robotics Symposium, SBR-LARS 2012"</f>
        <v>Proceedings - 2012 Brazilian Robotics Symposium and Latin American Robotics Symposium, SBR-LARS 2012</v>
      </c>
      <c r="B12587" s="8" t="str">
        <f>"9780769549064"</f>
        <v>9780769549064</v>
      </c>
      <c r="C12587" s="8" t="s">
        <v>9</v>
      </c>
    </row>
    <row r="12588" spans="1:3" x14ac:dyDescent="0.25">
      <c r="A12588" s="8" t="str">
        <f>"Proceedings - 2012 Brazilian Symposium on Software Engineering, SBES 2012"</f>
        <v>Proceedings - 2012 Brazilian Symposium on Software Engineering, SBES 2012</v>
      </c>
      <c r="B12588" s="8" t="str">
        <f>"9780769548685"</f>
        <v>9780769548685</v>
      </c>
      <c r="C12588" s="8" t="s">
        <v>9</v>
      </c>
    </row>
    <row r="12589" spans="1:3" x14ac:dyDescent="0.25">
      <c r="A12589" s="8" t="str">
        <f>"Proceedings - 2012 Brazilian Workshop on Social Simulation: Advances in Social Simulation II, BWSS 2012"</f>
        <v>Proceedings - 2012 Brazilian Workshop on Social Simulation: Advances in Social Simulation II, BWSS 2012</v>
      </c>
      <c r="B12589" s="8" t="str">
        <f>"9780769549422"</f>
        <v>9780769549422</v>
      </c>
      <c r="C12589" s="8" t="s">
        <v>9</v>
      </c>
    </row>
    <row r="12590" spans="1:3" x14ac:dyDescent="0.25">
      <c r="A12590" s="8" t="str">
        <f>"Proceedings - 2012 Conference on Intelligent Data Understanding, CIDU 2012"</f>
        <v>Proceedings - 2012 Conference on Intelligent Data Understanding, CIDU 2012</v>
      </c>
      <c r="B12590" s="8" t="str">
        <f>"9781467346252"</f>
        <v>9781467346252</v>
      </c>
      <c r="C12590" s="8" t="s">
        <v>9</v>
      </c>
    </row>
    <row r="12591" spans="1:3" x14ac:dyDescent="0.25">
      <c r="A12591" s="8" t="str">
        <f>"Proceedings - 2012 Conference on Technologies and Applications of Artificial Intelligence, TAAI 2012"</f>
        <v>Proceedings - 2012 Conference on Technologies and Applications of Artificial Intelligence, TAAI 2012</v>
      </c>
      <c r="B12591" s="8" t="str">
        <f>"9780769549194"</f>
        <v>9780769549194</v>
      </c>
      <c r="C12591" s="8" t="s">
        <v>9</v>
      </c>
    </row>
    <row r="12592" spans="1:3" x14ac:dyDescent="0.25">
      <c r="A12592" s="8" t="str">
        <f>"Proceedings - 2012 European Intelligence and Security Informatics Conference, EISIC 2012"</f>
        <v>Proceedings - 2012 European Intelligence and Security Informatics Conference, EISIC 2012</v>
      </c>
      <c r="B12592" s="8" t="str">
        <f>"-"</f>
        <v>-</v>
      </c>
      <c r="C12592" s="8" t="s">
        <v>9</v>
      </c>
    </row>
    <row r="12593" spans="1:3" x14ac:dyDescent="0.25">
      <c r="A12593" s="8" t="str">
        <f>"Proceedings - 2012 IEEE 12th International Conference on Computer and Information Technology, CIT 2012"</f>
        <v>Proceedings - 2012 IEEE 12th International Conference on Computer and Information Technology, CIT 2012</v>
      </c>
      <c r="B12593" s="8" t="str">
        <f>"9780769548586"</f>
        <v>9780769548586</v>
      </c>
      <c r="C12593" s="8" t="s">
        <v>9</v>
      </c>
    </row>
    <row r="12594" spans="1:3" x14ac:dyDescent="0.25">
      <c r="A12594" s="8" t="str">
        <f>"Proceedings - 2012 IEEE 12th International Working Conference on Source Code Analysis and Manipulation, SCAM 2012"</f>
        <v>Proceedings - 2012 IEEE 12th International Working Conference on Source Code Analysis and Manipulation, SCAM 2012</v>
      </c>
      <c r="B12594" s="8" t="str">
        <f>"9780769547831"</f>
        <v>9780769547831</v>
      </c>
      <c r="C12594" s="8" t="s">
        <v>9</v>
      </c>
    </row>
    <row r="12595" spans="1:3" x14ac:dyDescent="0.25">
      <c r="A12595" s="8" t="str">
        <f>"Proceedings - 2012 IEEE 13th International Conference on Mobile Data Management, MDM 2012"</f>
        <v>Proceedings - 2012 IEEE 13th International Conference on Mobile Data Management, MDM 2012</v>
      </c>
      <c r="B12595" s="8" t="str">
        <f>"9780769547138"</f>
        <v>9780769547138</v>
      </c>
      <c r="C12595" s="8" t="s">
        <v>9</v>
      </c>
    </row>
    <row r="12596" spans="1:3" x14ac:dyDescent="0.25">
      <c r="A12596" s="8" t="str">
        <f>"Proceedings - 2012 IEEE 17th International Conference on Engineering of Complex Computer Systems, ICECCS 2012"</f>
        <v>Proceedings - 2012 IEEE 17th International Conference on Engineering of Complex Computer Systems, ICECCS 2012</v>
      </c>
      <c r="B12596" s="8" t="str">
        <f>"9782954181004"</f>
        <v>9782954181004</v>
      </c>
      <c r="C12596" s="8" t="s">
        <v>9</v>
      </c>
    </row>
    <row r="12597" spans="1:3" x14ac:dyDescent="0.25">
      <c r="A12597" s="8" t="str">
        <f>"Proceedings - 2012 IEEE 19th International Conference and Workshops on Engineering of Computer-Based Systems, ECBS 2012"</f>
        <v>Proceedings - 2012 IEEE 19th International Conference and Workshops on Engineering of Computer-Based Systems, ECBS 2012</v>
      </c>
      <c r="B12597" s="8" t="str">
        <f>"9780769546643"</f>
        <v>9780769546643</v>
      </c>
      <c r="C12597" s="8" t="s">
        <v>9</v>
      </c>
    </row>
    <row r="12598" spans="1:3" x14ac:dyDescent="0.25">
      <c r="A12598" s="8" t="str">
        <f>"Proceedings - 2012 IEEE 19th International Conference on Web Services, ICWS 2012"</f>
        <v>Proceedings - 2012 IEEE 19th International Conference on Web Services, ICWS 2012</v>
      </c>
      <c r="B12598" s="8" t="str">
        <f>"9780769547527"</f>
        <v>9780769547527</v>
      </c>
      <c r="C12598" s="8" t="s">
        <v>9</v>
      </c>
    </row>
    <row r="12599" spans="1:3" x14ac:dyDescent="0.25">
      <c r="A12599" s="8" t="str">
        <f>"Proceedings - 2012 IEEE 1st AESS European Conference on Satellite Telecommunications, ESTEL 2012"</f>
        <v>Proceedings - 2012 IEEE 1st AESS European Conference on Satellite Telecommunications, ESTEL 2012</v>
      </c>
      <c r="B12599" s="8" t="str">
        <f>"9781467346887"</f>
        <v>9781467346887</v>
      </c>
      <c r="C12599" s="8" t="s">
        <v>9</v>
      </c>
    </row>
    <row r="12600" spans="1:3" x14ac:dyDescent="0.25">
      <c r="A12600" s="8" t="str">
        <f>"Proceedings - 2012 IEEE 1st International Conference on Mobile Services, MS 2012"</f>
        <v>Proceedings - 2012 IEEE 1st International Conference on Mobile Services, MS 2012</v>
      </c>
      <c r="B12600" s="8" t="str">
        <f>"9780769547541"</f>
        <v>9780769547541</v>
      </c>
      <c r="C12600" s="8" t="s">
        <v>9</v>
      </c>
    </row>
    <row r="12601" spans="1:3" x14ac:dyDescent="0.25">
      <c r="A12601" s="8" t="str">
        <f>"Proceedings - 2012 IEEE 1st International Conference on Services Economics, SE 2012"</f>
        <v>Proceedings - 2012 IEEE 1st International Conference on Services Economics, SE 2012</v>
      </c>
      <c r="B12601" s="8" t="str">
        <f>"9780769547572"</f>
        <v>9780769547572</v>
      </c>
      <c r="C12601" s="8" t="s">
        <v>9</v>
      </c>
    </row>
    <row r="12602" spans="1:3" x14ac:dyDescent="0.25">
      <c r="A12602" s="8" t="str">
        <f>"Proceedings - 2012 IEEE 20th Annual Symposium on High-Performance Interconnects, HOTI 2012"</f>
        <v>Proceedings - 2012 IEEE 20th Annual Symposium on High-Performance Interconnects, HOTI 2012</v>
      </c>
      <c r="B12602" s="8" t="str">
        <f>"9780769548319"</f>
        <v>9780769548319</v>
      </c>
      <c r="C12602" s="8" t="s">
        <v>9</v>
      </c>
    </row>
    <row r="12603" spans="1:3" x14ac:dyDescent="0.25">
      <c r="A12603" s="8" t="str">
        <f>"Proceedings - 2012 IEEE 28th International Conference on Data Engineering Workshops, ICDEW 2012"</f>
        <v>Proceedings - 2012 IEEE 28th International Conference on Data Engineering Workshops, ICDEW 2012</v>
      </c>
      <c r="B12603" s="8" t="str">
        <f>"9780769547480"</f>
        <v>9780769547480</v>
      </c>
      <c r="C12603" s="8" t="s">
        <v>9</v>
      </c>
    </row>
    <row r="12604" spans="1:3" x14ac:dyDescent="0.25">
      <c r="A12604" s="8" t="str">
        <f>"Proceedings - 2012 IEEE 2nd Conference on Healthcare Informatics, Imaging and Systems Biology, HISB 2012"</f>
        <v>Proceedings - 2012 IEEE 2nd Conference on Healthcare Informatics, Imaging and Systems Biology, HISB 2012</v>
      </c>
      <c r="B12604" s="8" t="str">
        <f>"9780769549217"</f>
        <v>9780769549217</v>
      </c>
      <c r="C12604" s="8" t="s">
        <v>9</v>
      </c>
    </row>
    <row r="12605" spans="1:3" x14ac:dyDescent="0.25">
      <c r="A12605" s="8" t="str">
        <f>"Proceedings - 2012 IEEE 2nd International Conference on Cloud Computing and Intelligence Systems, IEEE CCIS 2012"</f>
        <v>Proceedings - 2012 IEEE 2nd International Conference on Cloud Computing and Intelligence Systems, IEEE CCIS 2012</v>
      </c>
      <c r="B12605" s="8" t="str">
        <f>"9781467318556"</f>
        <v>9781467318556</v>
      </c>
      <c r="C12605" s="8" t="s">
        <v>9</v>
      </c>
    </row>
    <row r="12606" spans="1:3" x14ac:dyDescent="0.25">
      <c r="A12606" s="8" t="str">
        <f>"Proceedings - 2012 IEEE 3rd International Conference on Networked Embedded Systems for Every Application, NESEA 2012"</f>
        <v>Proceedings - 2012 IEEE 3rd International Conference on Networked Embedded Systems for Every Application, NESEA 2012</v>
      </c>
      <c r="B12606" s="8" t="str">
        <f>"9781467347235"</f>
        <v>9781467347235</v>
      </c>
      <c r="C12606" s="8" t="s">
        <v>9</v>
      </c>
    </row>
    <row r="12607" spans="1:3" x14ac:dyDescent="0.25">
      <c r="A12607" s="8" t="str">
        <f>"Proceedings - 2012 IEEE 4th International Conference on Technology for Education, T4E 2012"</f>
        <v>Proceedings - 2012 IEEE 4th International Conference on Technology for Education, T4E 2012</v>
      </c>
      <c r="B12607" s="8" t="str">
        <f>"9780769547596"</f>
        <v>9780769547596</v>
      </c>
      <c r="C12607" s="8" t="s">
        <v>9</v>
      </c>
    </row>
    <row r="12608" spans="1:3" x14ac:dyDescent="0.25">
      <c r="A12608" s="8" t="str">
        <f>"Proceedings - 2012 IEEE 4th International Symposium on Plant Growth Modeling, Simulation, Visualization and Applications, PMA 2012"</f>
        <v>Proceedings - 2012 IEEE 4th International Symposium on Plant Growth Modeling, Simulation, Visualization and Applications, PMA 2012</v>
      </c>
      <c r="B12608" s="8" t="str">
        <f>"9781467300681"</f>
        <v>9781467300681</v>
      </c>
      <c r="C12608" s="8" t="s">
        <v>9</v>
      </c>
    </row>
    <row r="12609" spans="1:3" x14ac:dyDescent="0.25">
      <c r="A12609" s="8" t="str">
        <f>"Proceedings - 2012 IEEE 5th International Conference on Cloud Computing, CLOUD 2012"</f>
        <v>Proceedings - 2012 IEEE 5th International Conference on Cloud Computing, CLOUD 2012</v>
      </c>
      <c r="B12609" s="8" t="str">
        <f>"9780769547558"</f>
        <v>9780769547558</v>
      </c>
      <c r="C12609" s="8" t="s">
        <v>9</v>
      </c>
    </row>
    <row r="12610" spans="1:3" x14ac:dyDescent="0.25">
      <c r="A12610" s="8" t="str">
        <f>"Proceedings - 2012 IEEE 6th International Conference on Self-Adaptive and Self-Organizing Systems Workshops, SASOW 2012"</f>
        <v>Proceedings - 2012 IEEE 6th International Conference on Self-Adaptive and Self-Organizing Systems Workshops, SASOW 2012</v>
      </c>
      <c r="B12610" s="8" t="str">
        <f>"9780769548951"</f>
        <v>9780769548951</v>
      </c>
      <c r="C12610" s="8" t="s">
        <v>9</v>
      </c>
    </row>
    <row r="12611" spans="1:3" x14ac:dyDescent="0.25">
      <c r="A12611" s="8" t="str">
        <f>"Proceedings - 2012 IEEE 7th International Conference on Global Software Engineering Workshops, ICGSEW 2012"</f>
        <v>Proceedings - 2012 IEEE 7th International Conference on Global Software Engineering Workshops, ICGSEW 2012</v>
      </c>
      <c r="B12611" s="8" t="str">
        <f>"9780769547886"</f>
        <v>9780769547886</v>
      </c>
      <c r="C12611" s="8" t="s">
        <v>9</v>
      </c>
    </row>
    <row r="12612" spans="1:3" x14ac:dyDescent="0.25">
      <c r="A12612" s="8" t="str">
        <f>"Proceedings - 2012 IEEE 7th International Conference on Global Software Engineering, ICGSE 2012"</f>
        <v>Proceedings - 2012 IEEE 7th International Conference on Global Software Engineering, ICGSE 2012</v>
      </c>
      <c r="B12612" s="8" t="str">
        <f>"9780769547879"</f>
        <v>9780769547879</v>
      </c>
      <c r="C12612" s="8" t="s">
        <v>9</v>
      </c>
    </row>
    <row r="12613" spans="1:3" x14ac:dyDescent="0.25">
      <c r="A12613" s="8" t="str">
        <f>"Proceedings - 2012 IEEE 7th International Conference on Networking, Architecture and Storage, NAS 2012"</f>
        <v>Proceedings - 2012 IEEE 7th International Conference on Networking, Architecture and Storage, NAS 2012</v>
      </c>
      <c r="B12613" s="8" t="str">
        <f>"9780769547220"</f>
        <v>9780769547220</v>
      </c>
      <c r="C12613" s="8" t="s">
        <v>9</v>
      </c>
    </row>
    <row r="12614" spans="1:3" x14ac:dyDescent="0.25">
      <c r="A12614" s="8" t="str">
        <f>"Proceedings - 2012 IEEE 8th International Colloquium on Signal Processing and Its Applications, CSPA 2012"</f>
        <v>Proceedings - 2012 IEEE 8th International Colloquium on Signal Processing and Its Applications, CSPA 2012</v>
      </c>
      <c r="B12614" s="8" t="str">
        <f>"9781467309615"</f>
        <v>9781467309615</v>
      </c>
      <c r="C12614" s="8" t="s">
        <v>9</v>
      </c>
    </row>
    <row r="12615" spans="1:3" x14ac:dyDescent="0.25">
      <c r="A12615" s="8" t="str">
        <f>"Proceedings - 2012 IEEE 8th International Conference on Intelligent Computer Communication and Processing, ICCP 2012"</f>
        <v>Proceedings - 2012 IEEE 8th International Conference on Intelligent Computer Communication and Processing, ICCP 2012</v>
      </c>
      <c r="B12615" s="8" t="str">
        <f>"9781467329514"</f>
        <v>9781467329514</v>
      </c>
      <c r="C12615" s="8" t="s">
        <v>9</v>
      </c>
    </row>
    <row r="12616" spans="1:3" x14ac:dyDescent="0.25">
      <c r="A12616" s="8" t="str">
        <f>"Proceedings - 2012 IEEE 8th World Congress on Services, SERVICES 2012"</f>
        <v>Proceedings - 2012 IEEE 8th World Congress on Services, SERVICES 2012</v>
      </c>
      <c r="B12616" s="8" t="str">
        <f>"9780769547565"</f>
        <v>9780769547565</v>
      </c>
      <c r="C12616" s="8" t="s">
        <v>9</v>
      </c>
    </row>
    <row r="12617" spans="1:3" x14ac:dyDescent="0.25">
      <c r="A12617" s="8" t="str">
        <f>"Proceedings - 2012 IEEE 9th International Conference on Advanced Video and Signal-Based Surveillance, AVSS 2012"</f>
        <v>Proceedings - 2012 IEEE 9th International Conference on Advanced Video and Signal-Based Surveillance, AVSS 2012</v>
      </c>
      <c r="B12617" s="8" t="str">
        <f>"9780769547978"</f>
        <v>9780769547978</v>
      </c>
      <c r="C12617" s="8" t="s">
        <v>9</v>
      </c>
    </row>
    <row r="12618" spans="1:3" x14ac:dyDescent="0.25">
      <c r="A12618" s="8" t="str">
        <f>"Proceedings - 2012 IEEE 9th International Conference on Services Computing, SCC 2012"</f>
        <v>Proceedings - 2012 IEEE 9th International Conference on Services Computing, SCC 2012</v>
      </c>
      <c r="B12618" s="8" t="str">
        <f>"9780769547534"</f>
        <v>9780769547534</v>
      </c>
      <c r="C12618" s="8" t="s">
        <v>9</v>
      </c>
    </row>
    <row r="12619" spans="1:3" x14ac:dyDescent="0.25">
      <c r="A12619" s="8" t="str">
        <f>"Proceedings - 2012 IEEE Asia Pacific Cloud Computing Congress, APCloudCC 2012"</f>
        <v>Proceedings - 2012 IEEE Asia Pacific Cloud Computing Congress, APCloudCC 2012</v>
      </c>
      <c r="B12619" s="8" t="str">
        <f>"9781467329040"</f>
        <v>9781467329040</v>
      </c>
      <c r="C12619" s="8" t="s">
        <v>9</v>
      </c>
    </row>
    <row r="12620" spans="1:3" x14ac:dyDescent="0.25">
      <c r="A12620" s="8" t="str">
        <f>"Proceedings - 2012 IEEE Asian Solid-State Circuits Conference, A-SSCC"</f>
        <v>Proceedings - 2012 IEEE Asian Solid-State Circuits Conference, A-SSCC</v>
      </c>
      <c r="B12620" s="8" t="str">
        <f>"-"</f>
        <v>-</v>
      </c>
      <c r="C12620" s="8" t="s">
        <v>9</v>
      </c>
    </row>
    <row r="12621" spans="1:3" x14ac:dyDescent="0.25">
      <c r="A12621" s="8" t="str">
        <f>"Proceedings - 2012 IEEE Asia-Pacific Services Computing Conference, APSCC 2012"</f>
        <v>Proceedings - 2012 IEEE Asia-Pacific Services Computing Conference, APSCC 2012</v>
      </c>
      <c r="B12621" s="8" t="str">
        <f>"9780769548975"</f>
        <v>9780769548975</v>
      </c>
      <c r="C12621" s="8" t="s">
        <v>9</v>
      </c>
    </row>
    <row r="12622" spans="1:3" x14ac:dyDescent="0.25">
      <c r="A12622" s="8" t="str">
        <f>"Proceedings - 2012 IEEE Computer Society Annual Symposium on VLSI, ISVLSI 2012"</f>
        <v>Proceedings - 2012 IEEE Computer Society Annual Symposium on VLSI, ISVLSI 2012</v>
      </c>
      <c r="B12622" s="8" t="str">
        <f>"9780769547671"</f>
        <v>9780769547671</v>
      </c>
      <c r="C12622" s="8" t="s">
        <v>9</v>
      </c>
    </row>
    <row r="12623" spans="1:3" x14ac:dyDescent="0.25">
      <c r="A12623" s="8" t="str">
        <f>"Proceedings - 2012 IEEE Control and System Graduate Research Colloquium, ICSGRC 2012"</f>
        <v>Proceedings - 2012 IEEE Control and System Graduate Research Colloquium, ICSGRC 2012</v>
      </c>
      <c r="B12623" s="8" t="str">
        <f>"9781467320368"</f>
        <v>9781467320368</v>
      </c>
      <c r="C12623" s="8" t="s">
        <v>9</v>
      </c>
    </row>
    <row r="12624" spans="1:3" x14ac:dyDescent="0.25">
      <c r="A12624" s="8" t="str">
        <f>"Proceedings - 2012 IEEE Global Humanitarian Technology Conference, GHTC 2012"</f>
        <v>Proceedings - 2012 IEEE Global Humanitarian Technology Conference, GHTC 2012</v>
      </c>
      <c r="B12624" s="8" t="str">
        <f>"9780769548494"</f>
        <v>9780769548494</v>
      </c>
      <c r="C12624" s="8" t="s">
        <v>9</v>
      </c>
    </row>
    <row r="12625" spans="1:3" x14ac:dyDescent="0.25">
      <c r="A12625" s="8" t="str">
        <f>"Proceedings - 2012 IEEE Int. Conf. on Green Computing and Communications, GreenCom 2012, Conf. on Internet of Things, iThings 2012 and Conf. on Cyber, Physical and Social Computing, CPSCom 2012"</f>
        <v>Proceedings - 2012 IEEE Int. Conf. on Green Computing and Communications, GreenCom 2012, Conf. on Internet of Things, iThings 2012 and Conf. on Cyber, Physical and Social Computing, CPSCom 2012</v>
      </c>
      <c r="B12625" s="8" t="str">
        <f>"9780769548654"</f>
        <v>9780769548654</v>
      </c>
      <c r="C12625" s="8" t="s">
        <v>9</v>
      </c>
    </row>
    <row r="12626" spans="1:3" x14ac:dyDescent="0.25">
      <c r="A12626" s="8" t="str">
        <f>"Proceedings - 2012 IEEE International Conference on Bioinformatics and Biomedicine Workshops, BIBMW 2012"</f>
        <v>Proceedings - 2012 IEEE International Conference on Bioinformatics and Biomedicine Workshops, BIBMW 2012</v>
      </c>
      <c r="B12626" s="8" t="str">
        <f>"9781467327466"</f>
        <v>9781467327466</v>
      </c>
      <c r="C12626" s="8" t="s">
        <v>9</v>
      </c>
    </row>
    <row r="12627" spans="1:3" x14ac:dyDescent="0.25">
      <c r="A12627" s="8" t="str">
        <f>"Proceedings - 2012 IEEE International Conference on Bioinformatics and Biomedicine, BIBM 2012"</f>
        <v>Proceedings - 2012 IEEE International Conference on Bioinformatics and Biomedicine, BIBM 2012</v>
      </c>
      <c r="B12627" s="8" t="str">
        <f>"9781467325585"</f>
        <v>9781467325585</v>
      </c>
      <c r="C12627" s="8" t="s">
        <v>9</v>
      </c>
    </row>
    <row r="12628" spans="1:3" x14ac:dyDescent="0.25">
      <c r="A12628" s="8" t="str">
        <f>"Proceedings - 2012 IEEE International Conference on Cluster Computing Workshops, Cluster Workshops 2012"</f>
        <v>Proceedings - 2012 IEEE International Conference on Cluster Computing Workshops, Cluster Workshops 2012</v>
      </c>
      <c r="B12628" s="8" t="str">
        <f>"-"</f>
        <v>-</v>
      </c>
      <c r="C12628" s="8" t="s">
        <v>9</v>
      </c>
    </row>
    <row r="12629" spans="1:3" x14ac:dyDescent="0.25">
      <c r="A12629" s="8" t="str">
        <f>"Proceedings - 2012 IEEE International Conference on Cluster Computing, CLUSTER 2012"</f>
        <v>Proceedings - 2012 IEEE International Conference on Cluster Computing, CLUSTER 2012</v>
      </c>
      <c r="B12629" s="8" t="str">
        <f>"-"</f>
        <v>-</v>
      </c>
      <c r="C12629" s="8" t="s">
        <v>9</v>
      </c>
    </row>
    <row r="12630" spans="1:3" x14ac:dyDescent="0.25">
      <c r="A12630" s="8" t="str">
        <f>"Proceedings - 2012 IEEE International Conference on Control System, Computing and Engineering, ICCSCE 2012"</f>
        <v>Proceedings - 2012 IEEE International Conference on Control System, Computing and Engineering, ICCSCE 2012</v>
      </c>
      <c r="B12630" s="8" t="str">
        <f>"9781467331432"</f>
        <v>9781467331432</v>
      </c>
      <c r="C12630" s="8" t="s">
        <v>9</v>
      </c>
    </row>
    <row r="12631" spans="1:3" x14ac:dyDescent="0.25">
      <c r="A12631" s="8" t="str">
        <f>"Proceedings - 2012 IEEE International Conference on Cyber Technology in Automation, Control, and Intelligent Systems, CYBER 2012"</f>
        <v>Proceedings - 2012 IEEE International Conference on Cyber Technology in Automation, Control, and Intelligent Systems, CYBER 2012</v>
      </c>
      <c r="B12631" s="8" t="str">
        <f>"9781467314213"</f>
        <v>9781467314213</v>
      </c>
      <c r="C12631" s="8" t="s">
        <v>9</v>
      </c>
    </row>
    <row r="12632" spans="1:3" x14ac:dyDescent="0.25">
      <c r="A12632" s="8" t="str">
        <f>"Proceedings - 2012 IEEE International Conference on Granular Computing, GrC 2012"</f>
        <v>Proceedings - 2012 IEEE International Conference on Granular Computing, GrC 2012</v>
      </c>
      <c r="B12632" s="8" t="str">
        <f>"9781467323093"</f>
        <v>9781467323093</v>
      </c>
      <c r="C12632" s="8" t="s">
        <v>9</v>
      </c>
    </row>
    <row r="12633" spans="1:3" x14ac:dyDescent="0.25">
      <c r="A12633" s="8" t="str">
        <f>"Proceedings - 2012 IEEE International Conference on Intelligent Control, Automatic Detection and High-End Equipment, ICADE 2012"</f>
        <v>Proceedings - 2012 IEEE International Conference on Intelligent Control, Automatic Detection and High-End Equipment, ICADE 2012</v>
      </c>
      <c r="B12633" s="8" t="str">
        <f>"9781467313322"</f>
        <v>9781467313322</v>
      </c>
      <c r="C12633" s="8" t="s">
        <v>9</v>
      </c>
    </row>
    <row r="12634" spans="1:3" x14ac:dyDescent="0.25">
      <c r="A12634" s="8" t="str">
        <f>"Proceedings - 2012 IEEE International Conference on Software Science, Technology and Engineering, SWSTE 2012"</f>
        <v>Proceedings - 2012 IEEE International Conference on Software Science, Technology and Engineering, SWSTE 2012</v>
      </c>
      <c r="B12634" s="8" t="str">
        <f>"9780769547169"</f>
        <v>9780769547169</v>
      </c>
      <c r="C12634" s="8" t="s">
        <v>9</v>
      </c>
    </row>
    <row r="12635" spans="1:3" x14ac:dyDescent="0.25">
      <c r="A12635" s="8" t="str">
        <f>"Proceedings - 2012 IEEE International Conference on Technology Enhanced Education, ICTEE 2012"</f>
        <v>Proceedings - 2012 IEEE International Conference on Technology Enhanced Education, ICTEE 2012</v>
      </c>
      <c r="B12635" s="8" t="str">
        <f>"9781457707261"</f>
        <v>9781457707261</v>
      </c>
      <c r="C12635" s="8" t="s">
        <v>9</v>
      </c>
    </row>
    <row r="12636" spans="1:3" x14ac:dyDescent="0.25">
      <c r="A12636" s="8" t="str">
        <f>"Proceedings - 2012 IEEE International Symposium on Multimedia, ISM 2012"</f>
        <v>Proceedings - 2012 IEEE International Symposium on Multimedia, ISM 2012</v>
      </c>
      <c r="B12636" s="8" t="str">
        <f>"9780769548753"</f>
        <v>9780769548753</v>
      </c>
      <c r="C12636" s="8" t="s">
        <v>9</v>
      </c>
    </row>
    <row r="12637" spans="1:3" x14ac:dyDescent="0.25">
      <c r="A12637" s="8" t="str">
        <f>"Proceedings - 2012 IEEE International Symposium on Policies for Distributed Systems and Networks, POLICY 2012"</f>
        <v>Proceedings - 2012 IEEE International Symposium on Policies for Distributed Systems and Networks, POLICY 2012</v>
      </c>
      <c r="B12637" s="8" t="str">
        <f>"9780769547350"</f>
        <v>9780769547350</v>
      </c>
      <c r="C12637" s="8" t="s">
        <v>9</v>
      </c>
    </row>
    <row r="12638" spans="1:3" x14ac:dyDescent="0.25">
      <c r="A12638" s="8" t="str">
        <f>"Proceedings - 2012 IEEE International Symposium on Workload Characterization, IISWC 2012"</f>
        <v>Proceedings - 2012 IEEE International Symposium on Workload Characterization, IISWC 2012</v>
      </c>
      <c r="B12638" s="8" t="str">
        <f>"9781457720642"</f>
        <v>9781457720642</v>
      </c>
      <c r="C12638" s="8" t="s">
        <v>9</v>
      </c>
    </row>
    <row r="12639" spans="1:3" x14ac:dyDescent="0.25">
      <c r="A12639" s="8" t="str">
        <f>"Proceedings - 2012 IEEE Symposium on Electrical and Electronics Engineering, EEESYM 2012"</f>
        <v>Proceedings - 2012 IEEE Symposium on Electrical and Electronics Engineering, EEESYM 2012</v>
      </c>
      <c r="B12639" s="8" t="str">
        <f>"9781467323659"</f>
        <v>9781467323659</v>
      </c>
      <c r="C12639" s="8" t="s">
        <v>9</v>
      </c>
    </row>
    <row r="12640" spans="1:3" x14ac:dyDescent="0.25">
      <c r="A12640" s="8" t="str">
        <f>"Proceedings - 2012 IEEE Symposium on Haptic Audio-Visual Environments and Games, HAVE 2012"</f>
        <v>Proceedings - 2012 IEEE Symposium on Haptic Audio-Visual Environments and Games, HAVE 2012</v>
      </c>
      <c r="B12640" s="8" t="str">
        <f>"9781467315661"</f>
        <v>9781467315661</v>
      </c>
      <c r="C12640" s="8" t="s">
        <v>9</v>
      </c>
    </row>
    <row r="12641" spans="1:3" x14ac:dyDescent="0.25">
      <c r="A12641" s="8" t="str">
        <f>"Proceedings - 2012 IEEE Symposium on Robotics and Applications, ISRA 2012"</f>
        <v>Proceedings - 2012 IEEE Symposium on Robotics and Applications, ISRA 2012</v>
      </c>
      <c r="B12641" s="8" t="str">
        <f>"9781467322072"</f>
        <v>9781467322072</v>
      </c>
      <c r="C12641" s="8" t="s">
        <v>9</v>
      </c>
    </row>
    <row r="12642" spans="1:3" x14ac:dyDescent="0.25">
      <c r="A12642" s="8" t="str">
        <f>"Proceedings - 2012 IEEE/ACIS 11th International Conference on Computer and Information Science, ICIS 2012"</f>
        <v>Proceedings - 2012 IEEE/ACIS 11th International Conference on Computer and Information Science, ICIS 2012</v>
      </c>
      <c r="B12642" s="8" t="str">
        <f>"9780769546940"</f>
        <v>9780769546940</v>
      </c>
      <c r="C12642" s="8" t="s">
        <v>9</v>
      </c>
    </row>
    <row r="12643" spans="1:3" x14ac:dyDescent="0.25">
      <c r="A12643" s="8" t="str">
        <f>"Proceedings - 2012 IEEE/ACM 3rd International Conference on Cyber-Physical Systems, ICCPS 2012"</f>
        <v>Proceedings - 2012 IEEE/ACM 3rd International Conference on Cyber-Physical Systems, ICCPS 2012</v>
      </c>
      <c r="B12643" s="8" t="str">
        <f>"9780769546957"</f>
        <v>9780769546957</v>
      </c>
      <c r="C12643" s="8" t="s">
        <v>9</v>
      </c>
    </row>
    <row r="12644" spans="1:3" x14ac:dyDescent="0.25">
      <c r="A12644" s="8" t="str">
        <f>"Proceedings - 2012 IEEE/ACM 45th International Symposium on Microarchitecture Workshops, MICROW 2012"</f>
        <v>Proceedings - 2012 IEEE/ACM 45th International Symposium on Microarchitecture Workshops, MICROW 2012</v>
      </c>
      <c r="B12644" s="8" t="str">
        <f>"9780769549200"</f>
        <v>9780769549200</v>
      </c>
      <c r="C12644" s="8" t="s">
        <v>9</v>
      </c>
    </row>
    <row r="12645" spans="1:3" x14ac:dyDescent="0.25">
      <c r="A12645" s="8" t="str">
        <f>"Proceedings - 2012 IEEE/ACM 45th International Symposium on Microarchitecture, MICRO 2012"</f>
        <v>Proceedings - 2012 IEEE/ACM 45th International Symposium on Microarchitecture, MICRO 2012</v>
      </c>
      <c r="B12645" s="8" t="str">
        <f>"9780769549248"</f>
        <v>9780769549248</v>
      </c>
      <c r="C12645" s="8" t="s">
        <v>9</v>
      </c>
    </row>
    <row r="12646" spans="1:3" x14ac:dyDescent="0.25">
      <c r="A12646" s="8" t="str">
        <f>"Proceedings - 2012 IEEE/ACM 5th International Conference on Utility and Cloud Computing, UCC 2012"</f>
        <v>Proceedings - 2012 IEEE/ACM 5th International Conference on Utility and Cloud Computing, UCC 2012</v>
      </c>
      <c r="B12646" s="8" t="str">
        <f>"9780769548623"</f>
        <v>9780769548623</v>
      </c>
      <c r="C12646" s="8" t="s">
        <v>9</v>
      </c>
    </row>
    <row r="12647" spans="1:3" x14ac:dyDescent="0.25">
      <c r="A12647" s="8" t="str">
        <f>"Proceedings - 2012 IEEE/IPSJ 12th International Symposium on Applications and the Internet, SAINT 2012"</f>
        <v>Proceedings - 2012 IEEE/IPSJ 12th International Symposium on Applications and the Internet, SAINT 2012</v>
      </c>
      <c r="B12647" s="8" t="str">
        <f>"9780769547374"</f>
        <v>9780769547374</v>
      </c>
      <c r="C12647" s="8" t="s">
        <v>9</v>
      </c>
    </row>
    <row r="12648" spans="1:3" x14ac:dyDescent="0.25">
      <c r="A12648" s="8" t="str">
        <f>"Proceedings - 2012 IEEE/WIC/ACM International Conference on Intelligent Agent Technology, IAT 2012"</f>
        <v>Proceedings - 2012 IEEE/WIC/ACM International Conference on Intelligent Agent Technology, IAT 2012</v>
      </c>
      <c r="B12648" s="8" t="str">
        <f>"9780769548807"</f>
        <v>9780769548807</v>
      </c>
      <c r="C12648" s="8" t="s">
        <v>9</v>
      </c>
    </row>
    <row r="12649" spans="1:3" x14ac:dyDescent="0.25">
      <c r="A12649" s="8" t="str">
        <f>"Proceedings - 2012 IEEE/WIC/ACM International Conference on Web Intelligence, WI 2012"</f>
        <v>Proceedings - 2012 IEEE/WIC/ACM International Conference on Web Intelligence, WI 2012</v>
      </c>
      <c r="B12649" s="8" t="str">
        <f>"9780769548807"</f>
        <v>9780769548807</v>
      </c>
      <c r="C12649" s="8" t="s">
        <v>9</v>
      </c>
    </row>
    <row r="12650" spans="1:3" x14ac:dyDescent="0.25">
      <c r="A12650" s="8" t="str">
        <f>"Proceedings - 2012 International Conference on Advanced Computer Science Applications and Technologies, ACSAT 2012"</f>
        <v>Proceedings - 2012 International Conference on Advanced Computer Science Applications and Technologies, ACSAT 2012</v>
      </c>
      <c r="B12650" s="8" t="str">
        <f>"9780769549590"</f>
        <v>9780769549590</v>
      </c>
      <c r="C12650" s="8" t="s">
        <v>9</v>
      </c>
    </row>
    <row r="12651" spans="1:3" x14ac:dyDescent="0.25">
      <c r="A12651" s="8" t="str">
        <f>"Proceedings - 2012 International Conference on Advances in Computing and Communications, ICACC 2012"</f>
        <v>Proceedings - 2012 International Conference on Advances in Computing and Communications, ICACC 2012</v>
      </c>
      <c r="B12651" s="8" t="str">
        <f>"9780769547237"</f>
        <v>9780769547237</v>
      </c>
      <c r="C12651" s="8" t="s">
        <v>9</v>
      </c>
    </row>
    <row r="12652" spans="1:3" x14ac:dyDescent="0.25">
      <c r="A12652" s="8" t="str">
        <f>"Proceedings - 2012 International Conference on Asian Language Processing, IALP 2012"</f>
        <v>Proceedings - 2012 International Conference on Asian Language Processing, IALP 2012</v>
      </c>
      <c r="B12652" s="8" t="str">
        <f>"9780769548869"</f>
        <v>9780769548869</v>
      </c>
      <c r="C12652" s="8" t="s">
        <v>9</v>
      </c>
    </row>
    <row r="12653" spans="1:3" x14ac:dyDescent="0.25">
      <c r="A12653" s="8" t="str">
        <f>"Proceedings - 2012 International Conference on Biomedical Engineering and Biotechnology, iCBEB 2012"</f>
        <v>Proceedings - 2012 International Conference on Biomedical Engineering and Biotechnology, iCBEB 2012</v>
      </c>
      <c r="B12653" s="8" t="str">
        <f>"9780769547060"</f>
        <v>9780769547060</v>
      </c>
      <c r="C12653" s="8" t="s">
        <v>9</v>
      </c>
    </row>
    <row r="12654" spans="1:3" x14ac:dyDescent="0.25">
      <c r="A12654" s="8" t="str">
        <f>"Proceedings - 2012 International Conference on Communication, Information and Computing Technology, ICCICT 2012"</f>
        <v>Proceedings - 2012 International Conference on Communication, Information and Computing Technology, ICCICT 2012</v>
      </c>
      <c r="B12654" s="8" t="str">
        <f>"9781457720789"</f>
        <v>9781457720789</v>
      </c>
      <c r="C12654" s="8" t="s">
        <v>9</v>
      </c>
    </row>
    <row r="12655" spans="1:3" x14ac:dyDescent="0.25">
      <c r="A12655" s="8" t="str">
        <f>"Proceedings - 2012 International Conference on Computer Distributed Control and Intelligent Environmental Monitoring, CDCIEM 2012"</f>
        <v>Proceedings - 2012 International Conference on Computer Distributed Control and Intelligent Environmental Monitoring, CDCIEM 2012</v>
      </c>
      <c r="B12655" s="8" t="str">
        <f>"9780769546391"</f>
        <v>9780769546391</v>
      </c>
      <c r="C12655" s="8" t="s">
        <v>9</v>
      </c>
    </row>
    <row r="12656" spans="1:3" x14ac:dyDescent="0.25">
      <c r="A12656" s="8" t="str">
        <f>"Proceedings - 2012 International Conference on Computer Science and Electronics Engineering, ICCSEE 2012"</f>
        <v>Proceedings - 2012 International Conference on Computer Science and Electronics Engineering, ICCSEE 2012</v>
      </c>
      <c r="B12656" s="8" t="str">
        <f>"9780769546476"</f>
        <v>9780769546476</v>
      </c>
      <c r="C12656" s="8" t="s">
        <v>9</v>
      </c>
    </row>
    <row r="12657" spans="1:3" x14ac:dyDescent="0.25">
      <c r="A12657" s="8" t="str">
        <f>"Proceedings - 2012 International Conference on Computer Science and Information Processing, CSIP 2012"</f>
        <v>Proceedings - 2012 International Conference on Computer Science and Information Processing, CSIP 2012</v>
      </c>
      <c r="B12657" s="8" t="str">
        <f>"9781467314114"</f>
        <v>9781467314114</v>
      </c>
      <c r="C12657" s="8" t="s">
        <v>9</v>
      </c>
    </row>
    <row r="12658" spans="1:3" x14ac:dyDescent="0.25">
      <c r="A12658" s="8" t="str">
        <f>"Proceedings - 2012 International Conference on Computer Science and Service System, CSSS 2012"</f>
        <v>Proceedings - 2012 International Conference on Computer Science and Service System, CSSS 2012</v>
      </c>
      <c r="B12658" s="8" t="str">
        <f>"9780769547190"</f>
        <v>9780769547190</v>
      </c>
      <c r="C12658" s="8" t="s">
        <v>9</v>
      </c>
    </row>
    <row r="12659" spans="1:3" x14ac:dyDescent="0.25">
      <c r="A12659" s="8" t="str">
        <f>"Proceedings - 2012 International Conference on Computing, Measurement, Control and Sensor Network, CMCSN 2012"</f>
        <v>Proceedings - 2012 International Conference on Computing, Measurement, Control and Sensor Network, CMCSN 2012</v>
      </c>
      <c r="B12659" s="8" t="str">
        <f>"9780769547381"</f>
        <v>9780769547381</v>
      </c>
      <c r="C12659" s="8" t="s">
        <v>9</v>
      </c>
    </row>
    <row r="12660" spans="1:3" x14ac:dyDescent="0.25">
      <c r="A12660" s="8" t="str">
        <f>"Proceedings - 2012 International Conference on Connected Vehicles and Expo, ICCVE 2012"</f>
        <v>Proceedings - 2012 International Conference on Connected Vehicles and Expo, ICCVE 2012</v>
      </c>
      <c r="B12660" s="8" t="str">
        <f>"9780769549002"</f>
        <v>9780769549002</v>
      </c>
      <c r="C12660" s="8" t="s">
        <v>9</v>
      </c>
    </row>
    <row r="12661" spans="1:3" x14ac:dyDescent="0.25">
      <c r="A12661" s="8" t="str">
        <f>"Proceedings - 2012 International Conference on Control Engineering and Communication Technology, ICCECT 2012"</f>
        <v>Proceedings - 2012 International Conference on Control Engineering and Communication Technology, ICCECT 2012</v>
      </c>
      <c r="B12661" s="8" t="str">
        <f>"9780769548814"</f>
        <v>9780769548814</v>
      </c>
      <c r="C12661" s="8" t="s">
        <v>9</v>
      </c>
    </row>
    <row r="12662" spans="1:3" x14ac:dyDescent="0.25">
      <c r="A12662" s="8" t="str">
        <f>"Proceedings - 2012 International Conference on Data Science and Engineering, ICDSE 2012"</f>
        <v>Proceedings - 2012 International Conference on Data Science and Engineering, ICDSE 2012</v>
      </c>
      <c r="B12662" s="8" t="str">
        <f>"9781467321488"</f>
        <v>9781467321488</v>
      </c>
      <c r="C12662" s="8" t="s">
        <v>9</v>
      </c>
    </row>
    <row r="12663" spans="1:3" x14ac:dyDescent="0.25">
      <c r="A12663" s="8" t="str">
        <f>"Proceedings - 2012 International Conference on Embedded Computer Systems: Architectures, Modeling and Simulation, IC-SAMOS 2012"</f>
        <v>Proceedings - 2012 International Conference on Embedded Computer Systems: Architectures, Modeling and Simulation, IC-SAMOS 2012</v>
      </c>
      <c r="B12663" s="8" t="str">
        <f>"9781467322973"</f>
        <v>9781467322973</v>
      </c>
      <c r="C12663" s="8" t="s">
        <v>9</v>
      </c>
    </row>
    <row r="12664" spans="1:3" x14ac:dyDescent="0.25">
      <c r="A12664" s="8" t="str">
        <f>"Proceedings - 2012 International Conference on Emerging Technologies, ICET 2012"</f>
        <v>Proceedings - 2012 International Conference on Emerging Technologies, ICET 2012</v>
      </c>
      <c r="B12664" s="8" t="str">
        <f>"9781467344517"</f>
        <v>9781467344517</v>
      </c>
      <c r="C12664" s="8" t="s">
        <v>9</v>
      </c>
    </row>
    <row r="12665" spans="1:3" x14ac:dyDescent="0.25">
      <c r="A12665" s="8" t="str">
        <f>"Proceedings - 2012 International Conference on Information Retrieval and Knowledge Management, CAMP'12"</f>
        <v>Proceedings - 2012 International Conference on Information Retrieval and Knowledge Management, CAMP'12</v>
      </c>
      <c r="B12665" s="8" t="str">
        <f>"9781467310901"</f>
        <v>9781467310901</v>
      </c>
      <c r="C12665" s="8" t="s">
        <v>2054</v>
      </c>
    </row>
    <row r="12666" spans="1:3" x14ac:dyDescent="0.25">
      <c r="A12666" s="8" t="str">
        <f>"Proceedings - 2012 International Conference on Intelligent Systems Design and Engineering Applications, ISDEA 2012"</f>
        <v>Proceedings - 2012 International Conference on Intelligent Systems Design and Engineering Applications, ISDEA 2012</v>
      </c>
      <c r="B12666" s="8" t="str">
        <f>"9780769546087"</f>
        <v>9780769546087</v>
      </c>
      <c r="C12666" s="8" t="s">
        <v>9</v>
      </c>
    </row>
    <row r="12667" spans="1:3" x14ac:dyDescent="0.25">
      <c r="A12667" s="8" t="str">
        <f>"Proceedings - 2012 International Conference on Management of e-Commerce and e-Government, ICMeCG 2012"</f>
        <v>Proceedings - 2012 International Conference on Management of e-Commerce and e-Government, ICMeCG 2012</v>
      </c>
      <c r="B12667" s="8" t="str">
        <f>"-"</f>
        <v>-</v>
      </c>
      <c r="C12667" s="8" t="s">
        <v>9</v>
      </c>
    </row>
    <row r="12668" spans="1:3" x14ac:dyDescent="0.25">
      <c r="A12668" s="8" t="str">
        <f>"Proceedings - 2012 International Conference on Offshore and Marine Technology: Science and Innovation, NAVTEC 2012"</f>
        <v>Proceedings - 2012 International Conference on Offshore and Marine Technology: Science and Innovation, NAVTEC 2012</v>
      </c>
      <c r="B12668" s="8" t="str">
        <f>"9780769547466"</f>
        <v>9780769547466</v>
      </c>
      <c r="C12668" s="8" t="s">
        <v>9</v>
      </c>
    </row>
    <row r="12669" spans="1:3" x14ac:dyDescent="0.25">
      <c r="A12669" s="8" t="str">
        <f>"Proceedings - 2012 International Joint Conference on Service Sciences, Service Innovation in Emerging Economy: Cross-Disciplinary and Cross-Cultural Perspective, IJCSS 2012"</f>
        <v>Proceedings - 2012 International Joint Conference on Service Sciences, Service Innovation in Emerging Economy: Cross-Disciplinary and Cross-Cultural Perspective, IJCSS 2012</v>
      </c>
      <c r="B12669" s="8" t="str">
        <f>"9780769547312"</f>
        <v>9780769547312</v>
      </c>
      <c r="C12669" s="8" t="s">
        <v>9</v>
      </c>
    </row>
    <row r="12670" spans="1:3" x14ac:dyDescent="0.25">
      <c r="A12670" s="8" t="str">
        <f>"Proceedings - 2012 International Symposium on Biometrics and Security Technologies, ISBAST 2012"</f>
        <v>Proceedings - 2012 International Symposium on Biometrics and Security Technologies, ISBAST 2012</v>
      </c>
      <c r="B12670" s="8" t="str">
        <f>"9780769546964"</f>
        <v>9780769546964</v>
      </c>
      <c r="C12670" s="8" t="s">
        <v>9</v>
      </c>
    </row>
    <row r="12671" spans="1:3" x14ac:dyDescent="0.25">
      <c r="A12671" s="8" t="str">
        <f>"Proceedings - 2012 International Symposium on Cloud and Services Computing, ISCOS 2012"</f>
        <v>Proceedings - 2012 International Symposium on Cloud and Services Computing, ISCOS 2012</v>
      </c>
      <c r="B12671" s="8" t="str">
        <f>"9780769549316"</f>
        <v>9780769549316</v>
      </c>
      <c r="C12671" s="8" t="s">
        <v>9</v>
      </c>
    </row>
    <row r="12672" spans="1:3" x14ac:dyDescent="0.25">
      <c r="A12672" s="8" t="str">
        <f>"Proceedings - 2012 International Symposium on Computer, Consumer and Control, IS3C 2012"</f>
        <v>Proceedings - 2012 International Symposium on Computer, Consumer and Control, IS3C 2012</v>
      </c>
      <c r="B12672" s="8" t="str">
        <f>"9780769546551"</f>
        <v>9780769546551</v>
      </c>
      <c r="C12672" s="8" t="s">
        <v>9</v>
      </c>
    </row>
    <row r="12673" spans="1:3" x14ac:dyDescent="0.25">
      <c r="A12673" s="8" t="str">
        <f>"Proceedings - 2012 International Symposium on Electronic System Design, ISED 2012"</f>
        <v>Proceedings - 2012 International Symposium on Electronic System Design, ISED 2012</v>
      </c>
      <c r="B12673" s="8" t="str">
        <f>"9780769549026"</f>
        <v>9780769549026</v>
      </c>
      <c r="C12673" s="8" t="s">
        <v>9</v>
      </c>
    </row>
    <row r="12674" spans="1:3" x14ac:dyDescent="0.25">
      <c r="A12674" s="8" t="str">
        <f>"Proceedings - 2012 International Symposium on Instrumentation and Measurement, Sensor Network and Automation, IMSNA 2012"</f>
        <v>Proceedings - 2012 International Symposium on Instrumentation and Measurement, Sensor Network and Automation, IMSNA 2012</v>
      </c>
      <c r="B12674" s="8" t="str">
        <f>"9781467324670"</f>
        <v>9781467324670</v>
      </c>
      <c r="C12674" s="8" t="s">
        <v>9</v>
      </c>
    </row>
    <row r="12675" spans="1:3" x14ac:dyDescent="0.25">
      <c r="A12675" s="8" t="str">
        <f>"Proceedings - 2012 International Symposium on Ubiquitous Virtual Reality, ISUVR 2012"</f>
        <v>Proceedings - 2012 International Symposium on Ubiquitous Virtual Reality, ISUVR 2012</v>
      </c>
      <c r="B12675" s="8" t="str">
        <f>"9780769547664"</f>
        <v>9780769547664</v>
      </c>
      <c r="C12675" s="8" t="s">
        <v>9</v>
      </c>
    </row>
    <row r="12676" spans="1:3" x14ac:dyDescent="0.25">
      <c r="A12676" s="8" t="str">
        <f>"Proceedings - 2012 SC Companion: High Performance Computing, Networking Storage and Analysis, SCC 2012"</f>
        <v>Proceedings - 2012 SC Companion: High Performance Computing, Networking Storage and Analysis, SCC 2012</v>
      </c>
      <c r="B12676" s="8" t="str">
        <f>"9780769549569"</f>
        <v>9780769549569</v>
      </c>
      <c r="C12676" s="8" t="s">
        <v>9</v>
      </c>
    </row>
    <row r="12677" spans="1:3" x14ac:dyDescent="0.25">
      <c r="A12677" s="8" t="str">
        <f>"Proceedings - 2012 Technologies Applied to Electronics Teaching, TAEE 2012"</f>
        <v>Proceedings - 2012 Technologies Applied to Electronics Teaching, TAEE 2012</v>
      </c>
      <c r="B12677" s="8" t="str">
        <f>"9781467324861"</f>
        <v>9781467324861</v>
      </c>
      <c r="C12677" s="8" t="s">
        <v>9</v>
      </c>
    </row>
    <row r="12678" spans="1:3" x14ac:dyDescent="0.25">
      <c r="A12678" s="8" t="str">
        <f>"Proceedings - 2012 Workshop on Dependable Transportation Systems/Recent Advances in Software Dependability, WDTS-RASD 2012"</f>
        <v>Proceedings - 2012 Workshop on Dependable Transportation Systems/Recent Advances in Software Dependability, WDTS-RASD 2012</v>
      </c>
      <c r="B12678" s="8" t="str">
        <f>"9780769549330"</f>
        <v>9780769549330</v>
      </c>
      <c r="C12678" s="8" t="s">
        <v>9</v>
      </c>
    </row>
    <row r="12679" spans="1:3" x14ac:dyDescent="0.25">
      <c r="A12679" s="8" t="str">
        <f>"Proceedings - 2012 Workshop on Fault Diagnosis and Tolerance in Cryptography, FDTC 2012"</f>
        <v>Proceedings - 2012 Workshop on Fault Diagnosis and Tolerance in Cryptography, FDTC 2012</v>
      </c>
      <c r="B12679" s="8" t="str">
        <f>"9780769548340"</f>
        <v>9780769548340</v>
      </c>
      <c r="C12679" s="8" t="s">
        <v>9</v>
      </c>
    </row>
    <row r="12680" spans="1:3" x14ac:dyDescent="0.25">
      <c r="A12680" s="8" t="str">
        <f>"Proceedings - 2013 10th Web Information System and Application Conference, WISA 2013"</f>
        <v>Proceedings - 2013 10th Web Information System and Application Conference, WISA 2013</v>
      </c>
      <c r="B12680" s="8" t="str">
        <f>"9780769551340"</f>
        <v>9780769551340</v>
      </c>
      <c r="C12680" s="8" t="s">
        <v>9</v>
      </c>
    </row>
    <row r="12681" spans="1:3" x14ac:dyDescent="0.25">
      <c r="A12681" s="8" t="str">
        <f>"Proceedings - 2013 12th International Conference on Machine Learning and Applications, ICMLA 2013"</f>
        <v>Proceedings - 2013 12th International Conference on Machine Learning and Applications, ICMLA 2013</v>
      </c>
      <c r="B12681" s="8" t="str">
        <f>"9780769551449"</f>
        <v>9780769551449</v>
      </c>
      <c r="C12681" s="8" t="s">
        <v>9</v>
      </c>
    </row>
    <row r="12682" spans="1:3" x14ac:dyDescent="0.25">
      <c r="A12682" s="8" t="str">
        <f>"Proceedings - 2013 12th International Conference on Optical Communications and Networks, ICOCN 2013"</f>
        <v>Proceedings - 2013 12th International Conference on Optical Communications and Networks, ICOCN 2013</v>
      </c>
      <c r="B12682" s="8" t="str">
        <f>"9781479913862"</f>
        <v>9781479913862</v>
      </c>
      <c r="C12682" s="8" t="s">
        <v>9</v>
      </c>
    </row>
    <row r="12683" spans="1:3" x14ac:dyDescent="0.25">
      <c r="A12683" s="8" t="str">
        <f>"Proceedings - 2013 12th Mexican International Conference on Artificial Intelligence, MICAI 2013"</f>
        <v>Proceedings - 2013 12th Mexican International Conference on Artificial Intelligence, MICAI 2013</v>
      </c>
      <c r="B12683" s="8" t="str">
        <f>"9781479926053"</f>
        <v>9781479926053</v>
      </c>
      <c r="C12683" s="8" t="s">
        <v>9</v>
      </c>
    </row>
    <row r="12684" spans="1:3" x14ac:dyDescent="0.25">
      <c r="A12684" s="8" t="str">
        <f>"Proceedings - 2013 14th International Conference on Electronic Packaging Technology, ICEPT 2013"</f>
        <v>Proceedings - 2013 14th International Conference on Electronic Packaging Technology, ICEPT 2013</v>
      </c>
      <c r="B12684" s="8" t="str">
        <f>"9781479904983"</f>
        <v>9781479904983</v>
      </c>
      <c r="C12684" s="8" t="s">
        <v>9</v>
      </c>
    </row>
    <row r="12685" spans="1:3" x14ac:dyDescent="0.25">
      <c r="A12685" s="8" t="str">
        <f>"Proceedings - 2013 15th Symposium on Virtual and Augmented Reality, SVR 2013"</f>
        <v>Proceedings - 2013 15th Symposium on Virtual and Augmented Reality, SVR 2013</v>
      </c>
      <c r="B12685" s="8" t="str">
        <f>"9780769550015"</f>
        <v>9780769550015</v>
      </c>
      <c r="C12685" s="8" t="s">
        <v>9</v>
      </c>
    </row>
    <row r="12686" spans="1:3" x14ac:dyDescent="0.25">
      <c r="A12686" s="8" t="str">
        <f>"Proceedings - 2013 18th IEEE European Test Symposium, ETS 2013"</f>
        <v>Proceedings - 2013 18th IEEE European Test Symposium, ETS 2013</v>
      </c>
      <c r="B12686" s="8" t="str">
        <f>"9781467363778"</f>
        <v>9781467363778</v>
      </c>
      <c r="C12686" s="8" t="s">
        <v>9</v>
      </c>
    </row>
    <row r="12687" spans="1:3" x14ac:dyDescent="0.25">
      <c r="A12687" s="8" t="str">
        <f>"Proceedings - 2013 1st International Conference of the Portuguese Society for Engineering Education, CISPEE 2013"</f>
        <v>Proceedings - 2013 1st International Conference of the Portuguese Society for Engineering Education, CISPEE 2013</v>
      </c>
      <c r="B12687" s="8" t="str">
        <f>"9781479912216"</f>
        <v>9781479912216</v>
      </c>
      <c r="C12687" s="8" t="s">
        <v>9</v>
      </c>
    </row>
    <row r="12688" spans="1:3" x14ac:dyDescent="0.25">
      <c r="A12688" s="8" t="str">
        <f>"Proceedings - 2013 1st International Conference on Emerging Trends and Applications in Computer Science, ICETACS 2013"</f>
        <v>Proceedings - 2013 1st International Conference on Emerging Trends and Applications in Computer Science, ICETACS 2013</v>
      </c>
      <c r="B12688" s="8" t="str">
        <f>"9781467352505"</f>
        <v>9781467352505</v>
      </c>
      <c r="C12688" s="8" t="s">
        <v>9</v>
      </c>
    </row>
    <row r="12689" spans="1:3" x14ac:dyDescent="0.25">
      <c r="A12689" s="8" t="str">
        <f>"Proceedings - 2013 1st International Symposium on Computing and Networking, CANDAR 2013"</f>
        <v>Proceedings - 2013 1st International Symposium on Computing and Networking, CANDAR 2013</v>
      </c>
      <c r="B12689" s="8" t="str">
        <f>"9781479927951"</f>
        <v>9781479927951</v>
      </c>
      <c r="C12689" s="8" t="s">
        <v>9</v>
      </c>
    </row>
    <row r="12690" spans="1:3" x14ac:dyDescent="0.25">
      <c r="A12690" s="8" t="str">
        <f>"Proceedings - 2013 27th Brazilian Symposium on Software Engineering, SBES 2013"</f>
        <v>Proceedings - 2013 27th Brazilian Symposium on Software Engineering, SBES 2013</v>
      </c>
      <c r="B12690" s="8" t="str">
        <f>"9780769551654"</f>
        <v>9780769551654</v>
      </c>
      <c r="C12690" s="8" t="s">
        <v>9</v>
      </c>
    </row>
    <row r="12691" spans="1:3" x14ac:dyDescent="0.25">
      <c r="A12691" s="8" t="str">
        <f>"Proceedings - 2013 2nd European Workshop on Software Defined Networks, EWSDN 2013"</f>
        <v>Proceedings - 2013 2nd European Workshop on Software Defined Networks, EWSDN 2013</v>
      </c>
      <c r="B12691" s="8" t="str">
        <f>"9781479924332"</f>
        <v>9781479924332</v>
      </c>
      <c r="C12691" s="8" t="s">
        <v>9</v>
      </c>
    </row>
    <row r="12692" spans="1:3" x14ac:dyDescent="0.25">
      <c r="A12692" s="8" t="str">
        <f>"Proceedings - 2013 2nd Experiment@ International Conference, exp.at 2013"</f>
        <v>Proceedings - 2013 2nd Experiment@ International Conference, exp.at 2013</v>
      </c>
      <c r="B12692" s="8" t="str">
        <f>"9781479927418"</f>
        <v>9781479927418</v>
      </c>
      <c r="C12692" s="8" t="s">
        <v>9</v>
      </c>
    </row>
    <row r="12693" spans="1:3" x14ac:dyDescent="0.25">
      <c r="A12693" s="8" t="str">
        <f>"Proceedings - 2013 2nd GENI Research and Educational Experiment Workshop, GREE 2013"</f>
        <v>Proceedings - 2013 2nd GENI Research and Educational Experiment Workshop, GREE 2013</v>
      </c>
      <c r="B12693" s="8" t="str">
        <f>"9780769550039"</f>
        <v>9780769550039</v>
      </c>
      <c r="C12693" s="8" t="s">
        <v>9</v>
      </c>
    </row>
    <row r="12694" spans="1:3" x14ac:dyDescent="0.25">
      <c r="A12694" s="8" t="str">
        <f>"Proceedings - 2013 2nd International Symposium on Instrumentation and Measurement, Sensor Network and Automation, IMSNA 2013"</f>
        <v>Proceedings - 2013 2nd International Symposium on Instrumentation and Measurement, Sensor Network and Automation, IMSNA 2013</v>
      </c>
      <c r="B12694" s="8" t="str">
        <f>"9781479927166"</f>
        <v>9781479927166</v>
      </c>
      <c r="C12694" s="8" t="s">
        <v>9</v>
      </c>
    </row>
    <row r="12695" spans="1:3" x14ac:dyDescent="0.25">
      <c r="A12695" s="8" t="str">
        <f>"Proceedings - 2013 2nd Mediterranean Conference on Embedded Computing, MECO 2013"</f>
        <v>Proceedings - 2013 2nd Mediterranean Conference on Embedded Computing, MECO 2013</v>
      </c>
      <c r="B12695" s="8" t="str">
        <f>"9789940943615"</f>
        <v>9789940943615</v>
      </c>
      <c r="C12695" s="8" t="s">
        <v>9</v>
      </c>
    </row>
    <row r="12696" spans="1:3" x14ac:dyDescent="0.25">
      <c r="A12696" s="8" t="str">
        <f>"Proceedings - 2013 3rd International Conference on Advances in Computing and Communications, ICACC 2013"</f>
        <v>Proceedings - 2013 3rd International Conference on Advances in Computing and Communications, ICACC 2013</v>
      </c>
      <c r="B12696" s="8" t="str">
        <f>"9780769550336"</f>
        <v>9780769550336</v>
      </c>
      <c r="C12696" s="8" t="s">
        <v>9</v>
      </c>
    </row>
    <row r="12697" spans="1:3" x14ac:dyDescent="0.25">
      <c r="A12697" s="8" t="str">
        <f>"Proceedings - 2013 3rd International Workshop on Pattern Recognition in Neuroimaging, PRNI 2013"</f>
        <v>Proceedings - 2013 3rd International Workshop on Pattern Recognition in Neuroimaging, PRNI 2013</v>
      </c>
      <c r="B12697" s="8" t="str">
        <f>"9780769550619"</f>
        <v>9780769550619</v>
      </c>
      <c r="C12697" s="8" t="s">
        <v>9</v>
      </c>
    </row>
    <row r="12698" spans="1:3" x14ac:dyDescent="0.25">
      <c r="A12698" s="8" t="str">
        <f>"Proceedings - 2013 3rd International Workshop on Replication in Empirical Software Engineering Research, RESER 2013"</f>
        <v>Proceedings - 2013 3rd International Workshop on Replication in Empirical Software Engineering Research, RESER 2013</v>
      </c>
      <c r="B12698" s="8" t="str">
        <f>"9780769551210"</f>
        <v>9780769551210</v>
      </c>
      <c r="C12698" s="8" t="s">
        <v>9</v>
      </c>
    </row>
    <row r="12699" spans="1:3" x14ac:dyDescent="0.25">
      <c r="A12699" s="8" t="str">
        <f>"Proceedings - 2013 3rd Workshop on Data-Flow Execution Models for Extreme Scale Computing, DFM 2013"</f>
        <v>Proceedings - 2013 3rd Workshop on Data-Flow Execution Models for Extreme Scale Computing, DFM 2013</v>
      </c>
      <c r="B12699" s="8" t="str">
        <f>"9781479952472"</f>
        <v>9781479952472</v>
      </c>
      <c r="C12699" s="8" t="s">
        <v>105</v>
      </c>
    </row>
    <row r="12700" spans="1:3" x14ac:dyDescent="0.25">
      <c r="A12700" s="8" t="str">
        <f>"Proceedings - 2013 4th Global Congress on Intelligent Systems, GCIS 2013"</f>
        <v>Proceedings - 2013 4th Global Congress on Intelligent Systems, GCIS 2013</v>
      </c>
      <c r="B12700" s="8" t="str">
        <f>"9781479928859"</f>
        <v>9781479928859</v>
      </c>
      <c r="C12700" s="8" t="s">
        <v>9</v>
      </c>
    </row>
    <row r="12701" spans="1:3" x14ac:dyDescent="0.25">
      <c r="A12701" s="8" t="str">
        <f>"Proceedings - 2013 4th International Conference on Computing for Geospatial Research and Application, COM.Geo 2013"</f>
        <v>Proceedings - 2013 4th International Conference on Computing for Geospatial Research and Application, COM.Geo 2013</v>
      </c>
      <c r="B12701" s="8" t="str">
        <f>"9780769550121"</f>
        <v>9780769550121</v>
      </c>
      <c r="C12701" s="8" t="s">
        <v>9</v>
      </c>
    </row>
    <row r="12702" spans="1:3" x14ac:dyDescent="0.25">
      <c r="A12702" s="8" t="str">
        <f>"Proceedings - 2013 4th International Conference on Digital Manufacturing and Automation, ICDMA 2013"</f>
        <v>Proceedings - 2013 4th International Conference on Digital Manufacturing and Automation, ICDMA 2013</v>
      </c>
      <c r="B12702" s="8" t="str">
        <f>"9780769550169"</f>
        <v>9780769550169</v>
      </c>
      <c r="C12702" s="8" t="s">
        <v>9</v>
      </c>
    </row>
    <row r="12703" spans="1:3" x14ac:dyDescent="0.25">
      <c r="A12703" s="8" t="str">
        <f>"Proceedings - 2013 4th International Conference on e-Learning Best Practices in Management, Design and Development of e-Courses: Standards of Excellence and Creativity, ECONF 2013"</f>
        <v>Proceedings - 2013 4th International Conference on e-Learning Best Practices in Management, Design and Development of e-Courses: Standards of Excellence and Creativity, ECONF 2013</v>
      </c>
      <c r="B12703" s="8" t="str">
        <f>"9780769550367"</f>
        <v>9780769550367</v>
      </c>
      <c r="C12703" s="8" t="s">
        <v>9</v>
      </c>
    </row>
    <row r="12704" spans="1:3" x14ac:dyDescent="0.25">
      <c r="A12704" s="8" t="str">
        <f>"Proceedings - 2013 4th International Conference on Emerging Security Technologies, EST 2013"</f>
        <v>Proceedings - 2013 4th International Conference on Emerging Security Technologies, EST 2013</v>
      </c>
      <c r="B12704" s="8" t="str">
        <f>"9780769550770"</f>
        <v>9780769550770</v>
      </c>
      <c r="C12704" s="8" t="s">
        <v>9</v>
      </c>
    </row>
    <row r="12705" spans="1:3" x14ac:dyDescent="0.25">
      <c r="A12705" s="8" t="str">
        <f>"Proceedings - 2013 4th World Congress on Software Engineering, WCSE 2013"</f>
        <v>Proceedings - 2013 4th World Congress on Software Engineering, WCSE 2013</v>
      </c>
      <c r="B12705" s="8" t="str">
        <f>"9781479928828"</f>
        <v>9781479928828</v>
      </c>
      <c r="C12705" s="8" t="s">
        <v>9</v>
      </c>
    </row>
    <row r="12706" spans="1:3" x14ac:dyDescent="0.25">
      <c r="A12706" s="8" t="str">
        <f>"Proceedings - 2013 5th Conference on Measuring Technology and Mechatronics Automation, ICMTMA 2013"</f>
        <v>Proceedings - 2013 5th Conference on Measuring Technology and Mechatronics Automation, ICMTMA 2013</v>
      </c>
      <c r="B12706" s="8" t="str">
        <f>"9780769549323"</f>
        <v>9780769549323</v>
      </c>
      <c r="C12706" s="8" t="s">
        <v>9</v>
      </c>
    </row>
    <row r="12707" spans="1:3" x14ac:dyDescent="0.25">
      <c r="A12707" s="8" t="str">
        <f>"Proceedings - 2013 5th International Conference on Geo-Information Technologies for Natural Disaster Management, GiT4NDM 2013"</f>
        <v>Proceedings - 2013 5th International Conference on Geo-Information Technologies for Natural Disaster Management, GiT4NDM 2013</v>
      </c>
      <c r="B12707" s="8" t="str">
        <f>"9781479922680"</f>
        <v>9781479922680</v>
      </c>
      <c r="C12707" s="8" t="s">
        <v>105</v>
      </c>
    </row>
    <row r="12708" spans="1:3" x14ac:dyDescent="0.25">
      <c r="A12708" s="8" t="str">
        <f>"Proceedings - 2013 5th International Conference on Intelligent Human-Machine Systems and Cybernetics, IHMSC 2013"</f>
        <v>Proceedings - 2013 5th International Conference on Intelligent Human-Machine Systems and Cybernetics, IHMSC 2013</v>
      </c>
      <c r="B12708" s="8" t="str">
        <f>"9780769550114"</f>
        <v>9780769550114</v>
      </c>
      <c r="C12708" s="8" t="s">
        <v>9</v>
      </c>
    </row>
    <row r="12709" spans="1:3" x14ac:dyDescent="0.25">
      <c r="A12709" s="8" t="str">
        <f>"Proceedings - 2013 5th International Conference on Service Science and Innovation, ICSSI 2013"</f>
        <v>Proceedings - 2013 5th International Conference on Service Science and Innovation, ICSSI 2013</v>
      </c>
      <c r="B12709" s="8" t="str">
        <f>"9780769549859"</f>
        <v>9780769549859</v>
      </c>
      <c r="C12709" s="8" t="s">
        <v>9</v>
      </c>
    </row>
    <row r="12710" spans="1:3" x14ac:dyDescent="0.25">
      <c r="A12710" s="8" t="str">
        <f>"Proceedings - 2013 6th International Conference on Business Intelligence and Financial Engineering, BIFE 2013"</f>
        <v>Proceedings - 2013 6th International Conference on Business Intelligence and Financial Engineering, BIFE 2013</v>
      </c>
      <c r="B12710" s="8" t="str">
        <f>"9781479947775"</f>
        <v>9781479947775</v>
      </c>
      <c r="C12710" s="8" t="s">
        <v>105</v>
      </c>
    </row>
    <row r="12711" spans="1:3" x14ac:dyDescent="0.25">
      <c r="A12711" s="8" t="str">
        <f>"Proceedings - 2013 6th International Conference on Developments in eSystems Engineering, DeSE 2013"</f>
        <v>Proceedings - 2013 6th International Conference on Developments in eSystems Engineering, DeSE 2013</v>
      </c>
      <c r="B12711" s="8" t="str">
        <f>"9781479952649"</f>
        <v>9781479952649</v>
      </c>
      <c r="C12711" s="8" t="s">
        <v>105</v>
      </c>
    </row>
    <row r="12712" spans="1:3" x14ac:dyDescent="0.25">
      <c r="A12712" s="8" t="str">
        <f>"Proceedings - 2013 6th International Symposium on Resilient Control Systems, ISRCS 2013"</f>
        <v>Proceedings - 2013 6th International Symposium on Resilient Control Systems, ISRCS 2013</v>
      </c>
      <c r="B12712" s="8" t="str">
        <f>"9781479905034"</f>
        <v>9781479905034</v>
      </c>
      <c r="C12712" s="8" t="s">
        <v>9</v>
      </c>
    </row>
    <row r="12713" spans="1:3" x14ac:dyDescent="0.25">
      <c r="A12713" s="8" t="str">
        <f>"Proceedings - 2013 6th Robotics and Mechatronics Conference, RobMech 2013"</f>
        <v>Proceedings - 2013 6th Robotics and Mechatronics Conference, RobMech 2013</v>
      </c>
      <c r="B12713" s="8" t="str">
        <f>"9781479915187"</f>
        <v>9781479915187</v>
      </c>
      <c r="C12713" s="8" t="s">
        <v>9</v>
      </c>
    </row>
    <row r="12714" spans="1:3" x14ac:dyDescent="0.25">
      <c r="A12714" s="8" t="str">
        <f>"Proceedings - 2013 7th IEEE International Conference on e-Learning in Industrial Electronics, ICELIE 2013"</f>
        <v>Proceedings - 2013 7th IEEE International Conference on e-Learning in Industrial Electronics, ICELIE 2013</v>
      </c>
      <c r="B12714" s="8" t="str">
        <f>"9781479931811"</f>
        <v>9781479931811</v>
      </c>
      <c r="C12714" s="8" t="s">
        <v>9</v>
      </c>
    </row>
    <row r="12715" spans="1:3" x14ac:dyDescent="0.25">
      <c r="A12715" s="8" t="str">
        <f>"Proceedings - 2013 7th International Conference on Complex, Intelligent, and Software Intensive Systems, CISIS 2013"</f>
        <v>Proceedings - 2013 7th International Conference on Complex, Intelligent, and Software Intensive Systems, CISIS 2013</v>
      </c>
      <c r="B12715" s="8" t="str">
        <f>"9780769549927"</f>
        <v>9780769549927</v>
      </c>
      <c r="C12715" s="8" t="s">
        <v>9</v>
      </c>
    </row>
    <row r="12716" spans="1:3" x14ac:dyDescent="0.25">
      <c r="A12716" s="8" t="str">
        <f>"Proceedings - 2013 7th International Conference on Image and Graphics, ICIG 2013"</f>
        <v>Proceedings - 2013 7th International Conference on Image and Graphics, ICIG 2013</v>
      </c>
      <c r="B12716" s="8" t="str">
        <f>"9780769550503"</f>
        <v>9780769550503</v>
      </c>
      <c r="C12716" s="8" t="s">
        <v>9</v>
      </c>
    </row>
    <row r="12717" spans="1:3" x14ac:dyDescent="0.25">
      <c r="A12717" s="8" t="str">
        <f>"Proceedings - 2013 7th International Conference on Internet Computing for Engineering and Science, ICICSE 2013"</f>
        <v>Proceedings - 2013 7th International Conference on Internet Computing for Engineering and Science, ICICSE 2013</v>
      </c>
      <c r="B12717" s="8" t="str">
        <f>"9780769551180"</f>
        <v>9780769551180</v>
      </c>
      <c r="C12717" s="8" t="s">
        <v>9</v>
      </c>
    </row>
    <row r="12718" spans="1:3" x14ac:dyDescent="0.25">
      <c r="A12718" s="8" t="str">
        <f>"Proceedings - 2013 8th Annual ChinaGrid Conference, ChinaGrid 2013"</f>
        <v>Proceedings - 2013 8th Annual ChinaGrid Conference, ChinaGrid 2013</v>
      </c>
      <c r="B12718" s="8" t="str">
        <f>"9780769550589"</f>
        <v>9780769550589</v>
      </c>
      <c r="C12718" s="8" t="s">
        <v>9</v>
      </c>
    </row>
    <row r="12719" spans="1:3" x14ac:dyDescent="0.25">
      <c r="A12719" s="8" t="str">
        <f>"Proceedings - 2013 8th Asia Joint Conference on Information Security, AsiaJCIS 2013"</f>
        <v>Proceedings - 2013 8th Asia Joint Conference on Information Security, AsiaJCIS 2013</v>
      </c>
      <c r="B12719" s="8" t="str">
        <f>"9780769550756"</f>
        <v>9780769550756</v>
      </c>
      <c r="C12719" s="8" t="s">
        <v>9</v>
      </c>
    </row>
    <row r="12720" spans="1:3" x14ac:dyDescent="0.25">
      <c r="A12720" s="8" t="str">
        <f>"Proceedings - 2013 8th International Conference on Broadband, Wireless Computing, Communication and Applications, BWCCA 2013"</f>
        <v>Proceedings - 2013 8th International Conference on Broadband, Wireless Computing, Communication and Applications, BWCCA 2013</v>
      </c>
      <c r="B12720" s="8" t="str">
        <f>"9780769550930"</f>
        <v>9780769550930</v>
      </c>
      <c r="C12720" s="8" t="s">
        <v>9</v>
      </c>
    </row>
    <row r="12721" spans="1:3" x14ac:dyDescent="0.25">
      <c r="A12721" s="8" t="str">
        <f>"Proceedings - 2013 8th International Conference on Computer Engineering and Systems, ICCES 2013"</f>
        <v>Proceedings - 2013 8th International Conference on Computer Engineering and Systems, ICCES 2013</v>
      </c>
      <c r="B12721" s="8" t="str">
        <f>"9781479900800"</f>
        <v>9781479900800</v>
      </c>
      <c r="C12721" s="8" t="s">
        <v>9</v>
      </c>
    </row>
    <row r="12722" spans="1:3" x14ac:dyDescent="0.25">
      <c r="A12722" s="8" t="str">
        <f>"Proceedings - 2013 8th International Conference on P2P, Parallel, Grid, Cloud and Internet Computing, 3PGCIC 2013"</f>
        <v>Proceedings - 2013 8th International Conference on P2P, Parallel, Grid, Cloud and Internet Computing, 3PGCIC 2013</v>
      </c>
      <c r="B12722" s="8" t="str">
        <f>"9780769550947"</f>
        <v>9780769550947</v>
      </c>
      <c r="C12722" s="8" t="s">
        <v>9</v>
      </c>
    </row>
    <row r="12723" spans="1:3" x14ac:dyDescent="0.25">
      <c r="A12723" s="8" t="str">
        <f>"Proceedings - 2013 9th IEEE International Symposium on Diagnostics for Electric Machines, Power Electronics and Drives, SDEMPED 2013"</f>
        <v>Proceedings - 2013 9th IEEE International Symposium on Diagnostics for Electric Machines, Power Electronics and Drives, SDEMPED 2013</v>
      </c>
      <c r="B12723" s="8" t="str">
        <f>"9781479900251"</f>
        <v>9781479900251</v>
      </c>
      <c r="C12723" s="8" t="s">
        <v>9</v>
      </c>
    </row>
    <row r="12724" spans="1:3" x14ac:dyDescent="0.25">
      <c r="A12724" s="8" t="str">
        <f>"Proceedings - 2013 Brazilian Conference on Intelligent Systems, BRACIS 2013"</f>
        <v>Proceedings - 2013 Brazilian Conference on Intelligent Systems, BRACIS 2013</v>
      </c>
      <c r="B12724" s="8" t="str">
        <f>"9780769550923"</f>
        <v>9780769550923</v>
      </c>
      <c r="C12724" s="8" t="s">
        <v>9</v>
      </c>
    </row>
    <row r="12725" spans="1:3" x14ac:dyDescent="0.25">
      <c r="A12725" s="8" t="str">
        <f>"Proceedings - 2013 Chinese Automation Congress, CAC 2013"</f>
        <v>Proceedings - 2013 Chinese Automation Congress, CAC 2013</v>
      </c>
      <c r="B12725" s="8" t="str">
        <f>"9781479903337"</f>
        <v>9781479903337</v>
      </c>
      <c r="C12725" s="8" t="s">
        <v>9</v>
      </c>
    </row>
    <row r="12726" spans="1:3" x14ac:dyDescent="0.25">
      <c r="A12726" s="8" t="str">
        <f>"Proceedings - 2013 Conference on Technologies and Applications of Artificial Intelligence, TAAI 2013"</f>
        <v>Proceedings - 2013 Conference on Technologies and Applications of Artificial Intelligence, TAAI 2013</v>
      </c>
      <c r="B12726" s="8" t="str">
        <f>"9781479925285"</f>
        <v>9781479925285</v>
      </c>
      <c r="C12726" s="8" t="s">
        <v>9</v>
      </c>
    </row>
    <row r="12727" spans="1:3" x14ac:dyDescent="0.25">
      <c r="A12727" s="8" t="str">
        <f>"Proceedings - 2013 European Intelligence and Security Informatics Conference, EISIC 2013"</f>
        <v>Proceedings - 2013 European Intelligence and Security Informatics Conference, EISIC 2013</v>
      </c>
      <c r="B12727" s="8" t="str">
        <f>"9780769550626"</f>
        <v>9780769550626</v>
      </c>
      <c r="C12727" s="8" t="s">
        <v>9</v>
      </c>
    </row>
    <row r="12728" spans="1:3" x14ac:dyDescent="0.25">
      <c r="A12728" s="8" t="str">
        <f>"Proceedings - 2013 Extreme Scaling Workshop, XSW 2013"</f>
        <v>Proceedings - 2013 Extreme Scaling Workshop, XSW 2013</v>
      </c>
      <c r="B12728" s="8" t="str">
        <f>"9781479936915"</f>
        <v>9781479936915</v>
      </c>
      <c r="C12728" s="8" t="s">
        <v>9</v>
      </c>
    </row>
    <row r="12729" spans="1:3" x14ac:dyDescent="0.25">
      <c r="A12729" s="8" t="str">
        <f>"Proceedings - 2013 Humaine Association Conference on Affective Computing and Intelligent Interaction, ACII 2013"</f>
        <v>Proceedings - 2013 Humaine Association Conference on Affective Computing and Intelligent Interaction, ACII 2013</v>
      </c>
      <c r="B12729" s="8" t="str">
        <f>"9780769550480"</f>
        <v>9780769550480</v>
      </c>
      <c r="C12729" s="8" t="s">
        <v>9</v>
      </c>
    </row>
    <row r="12730" spans="1:3" x14ac:dyDescent="0.25">
      <c r="A12730" s="8" t="str">
        <f>"Proceedings - 2013 IEEE 10th International Conference on e-Business Engineering, ICEBE 2013"</f>
        <v>Proceedings - 2013 IEEE 10th International Conference on e-Business Engineering, ICEBE 2013</v>
      </c>
      <c r="B12730" s="8" t="str">
        <f>"9780769551111"</f>
        <v>9780769551111</v>
      </c>
      <c r="C12730" s="8" t="s">
        <v>9</v>
      </c>
    </row>
    <row r="12731" spans="1:3" x14ac:dyDescent="0.25">
      <c r="A12731" s="8" t="str">
        <f>"Proceedings - 2013 IEEE 12th International Symposium on Parallel and Distributed Computing, ISPDC 2013"</f>
        <v>Proceedings - 2013 IEEE 12th International Symposium on Parallel and Distributed Computing, ISPDC 2013</v>
      </c>
      <c r="B12731" s="8" t="str">
        <f>"9780769550183"</f>
        <v>9780769550183</v>
      </c>
      <c r="C12731" s="8" t="s">
        <v>9</v>
      </c>
    </row>
    <row r="12732" spans="1:3" x14ac:dyDescent="0.25">
      <c r="A12732" s="8" t="str">
        <f>"Proceedings - 2013 IEEE 13th International Conference on Advanced Learning Technologies, ICALT 2013"</f>
        <v>Proceedings - 2013 IEEE 13th International Conference on Advanced Learning Technologies, ICALT 2013</v>
      </c>
      <c r="B12732" s="8" t="str">
        <f>"9780769550091"</f>
        <v>9780769550091</v>
      </c>
      <c r="C12732" s="8" t="s">
        <v>9</v>
      </c>
    </row>
    <row r="12733" spans="1:3" x14ac:dyDescent="0.25">
      <c r="A12733" s="8" t="str">
        <f>"Proceedings - 2013 IEEE 3rd Eastern European Regional Conference on the Engineering of Computer Based Systems, ECBS-EERC 2013"</f>
        <v>Proceedings - 2013 IEEE 3rd Eastern European Regional Conference on the Engineering of Computer Based Systems, ECBS-EERC 2013</v>
      </c>
      <c r="B12733" s="8" t="str">
        <f>"9780769550640"</f>
        <v>9780769550640</v>
      </c>
      <c r="C12733" s="8" t="s">
        <v>9</v>
      </c>
    </row>
    <row r="12734" spans="1:3" x14ac:dyDescent="0.25">
      <c r="A12734" s="8" t="str">
        <f>"Proceedings - 2013 IEEE 3rd International Conference on Cloud and Green Computing, CGC 2013 and 2013 IEEE 3rd International Conference on Social Computing and Its Applications, SCA 2013"</f>
        <v>Proceedings - 2013 IEEE 3rd International Conference on Cloud and Green Computing, CGC 2013 and 2013 IEEE 3rd International Conference on Social Computing and Its Applications, SCA 2013</v>
      </c>
      <c r="B12734" s="8" t="str">
        <f>"9780769551142"</f>
        <v>9780769551142</v>
      </c>
      <c r="C12734" s="8" t="s">
        <v>9</v>
      </c>
    </row>
    <row r="12735" spans="1:3" x14ac:dyDescent="0.25">
      <c r="A12735" s="8" t="str">
        <f>"Proceedings - 2013 IEEE 3rd International Conference on System Engineering and Technology, ICSET 2013"</f>
        <v>Proceedings - 2013 IEEE 3rd International Conference on System Engineering and Technology, ICSET 2013</v>
      </c>
      <c r="B12735" s="8" t="str">
        <f>"9781479910304"</f>
        <v>9781479910304</v>
      </c>
      <c r="C12735" s="8" t="s">
        <v>9</v>
      </c>
    </row>
    <row r="12736" spans="1:3" x14ac:dyDescent="0.25">
      <c r="A12736" s="8" t="str">
        <f>"Proceedings - 2013 IEEE 4th Control and System Graduate Research Colloquium, ICSGRC 2013"</f>
        <v>Proceedings - 2013 IEEE 4th Control and System Graduate Research Colloquium, ICSGRC 2013</v>
      </c>
      <c r="B12736" s="8" t="str">
        <f>"9781479905522"</f>
        <v>9781479905522</v>
      </c>
      <c r="C12736" s="8" t="s">
        <v>9</v>
      </c>
    </row>
    <row r="12737" spans="1:3" x14ac:dyDescent="0.25">
      <c r="A12737" s="8" t="str">
        <f>"Proceedings - 2013 IEEE 5th International Conference on Technology for Education, T4E 2013"</f>
        <v>Proceedings - 2013 IEEE 5th International Conference on Technology for Education, T4E 2013</v>
      </c>
      <c r="B12737" s="8" t="str">
        <f>"9780769551418"</f>
        <v>9780769551418</v>
      </c>
      <c r="C12737" s="8" t="s">
        <v>9</v>
      </c>
    </row>
    <row r="12738" spans="1:3" x14ac:dyDescent="0.25">
      <c r="A12738" s="8" t="str">
        <f>"Proceedings - 2013 IEEE 7th International Conference on Semantic Computing, ICSC 2013"</f>
        <v>Proceedings - 2013 IEEE 7th International Conference on Semantic Computing, ICSC 2013</v>
      </c>
      <c r="B12738" s="8" t="str">
        <f>"9780769551197"</f>
        <v>9780769551197</v>
      </c>
      <c r="C12738" s="8" t="s">
        <v>9</v>
      </c>
    </row>
    <row r="12739" spans="1:3" x14ac:dyDescent="0.25">
      <c r="A12739" s="8" t="str">
        <f>"Proceedings - 2013 IEEE 7th International Symposium on Service-Oriented System Engineering, SOSE 2013"</f>
        <v>Proceedings - 2013 IEEE 7th International Symposium on Service-Oriented System Engineering, SOSE 2013</v>
      </c>
      <c r="B12739" s="8" t="str">
        <f>"9780769549446"</f>
        <v>9780769549446</v>
      </c>
      <c r="C12739" s="8" t="s">
        <v>9</v>
      </c>
    </row>
    <row r="12740" spans="1:3" x14ac:dyDescent="0.25">
      <c r="A12740" s="8" t="str">
        <f>"Proceedings - 2013 IEEE 8th International Conference on Global Software Engineering Workshops, ICGSEW 2013"</f>
        <v>Proceedings - 2013 IEEE 8th International Conference on Global Software Engineering Workshops, ICGSEW 2013</v>
      </c>
      <c r="B12740" s="8" t="str">
        <f>"9780769550558"</f>
        <v>9780769550558</v>
      </c>
      <c r="C12740" s="8" t="s">
        <v>9</v>
      </c>
    </row>
    <row r="12741" spans="1:3" x14ac:dyDescent="0.25">
      <c r="A12741" s="8" t="str">
        <f>"Proceedings - 2013 IEEE 8th International Conference on Networking, Architecture and Storage, NAS 2013"</f>
        <v>Proceedings - 2013 IEEE 8th International Conference on Networking, Architecture and Storage, NAS 2013</v>
      </c>
      <c r="B12741" s="8" t="str">
        <f>"9780769550343"</f>
        <v>9780769550343</v>
      </c>
      <c r="C12741" s="8" t="s">
        <v>9</v>
      </c>
    </row>
    <row r="12742" spans="1:3" x14ac:dyDescent="0.25">
      <c r="A12742" s="8" t="str">
        <f>"Proceedings - 2013 IEEE 9th International Colloquium on Signal Processing and its Applications, CSPA 2013"</f>
        <v>Proceedings - 2013 IEEE 9th International Colloquium on Signal Processing and its Applications, CSPA 2013</v>
      </c>
      <c r="B12742" s="8" t="str">
        <f>"9781467356091"</f>
        <v>9781467356091</v>
      </c>
      <c r="C12742" s="8" t="s">
        <v>9</v>
      </c>
    </row>
    <row r="12743" spans="1:3" x14ac:dyDescent="0.25">
      <c r="A12743" s="8" t="str">
        <f>"Proceedings - 2013 IEEE 9th International Conference on Intelligent Computer Communication and Processing, ICCP 2013"</f>
        <v>Proceedings - 2013 IEEE 9th International Conference on Intelligent Computer Communication and Processing, ICCP 2013</v>
      </c>
      <c r="B12743" s="8" t="str">
        <f>"9781479914937"</f>
        <v>9781479914937</v>
      </c>
      <c r="C12743" s="8" t="s">
        <v>9</v>
      </c>
    </row>
    <row r="12744" spans="1:3" x14ac:dyDescent="0.25">
      <c r="A12744" s="8" t="str">
        <f>"Proceedings - 2013 IEEE 9th World Congress on Services, SERVICES 2013"</f>
        <v>Proceedings - 2013 IEEE 9th World Congress on Services, SERVICES 2013</v>
      </c>
      <c r="B12744" s="8" t="str">
        <f>"9780768550244"</f>
        <v>9780768550244</v>
      </c>
      <c r="C12744" s="8" t="s">
        <v>9</v>
      </c>
    </row>
    <row r="12745" spans="1:3" x14ac:dyDescent="0.25">
      <c r="A12745" s="8" t="str">
        <f>"Proceedings - 2013 IEEE Conference on Sustainable Utilization and Development in Engineering and Technology, IEEE CSUDET 2013"</f>
        <v>Proceedings - 2013 IEEE Conference on Sustainable Utilization and Development in Engineering and Technology, IEEE CSUDET 2013</v>
      </c>
      <c r="B12745" s="8" t="str">
        <f>"9781467346917"</f>
        <v>9781467346917</v>
      </c>
      <c r="C12745" s="8" t="s">
        <v>9</v>
      </c>
    </row>
    <row r="12746" spans="1:3" x14ac:dyDescent="0.25">
      <c r="A12746" s="8" t="str">
        <f>"Proceedings - 2013 IEEE Conference on Systems, Process and Control, ICSPC 2013"</f>
        <v>Proceedings - 2013 IEEE Conference on Systems, Process and Control, ICSPC 2013</v>
      </c>
      <c r="B12746" s="8" t="str">
        <f>"9781479922093"</f>
        <v>9781479922093</v>
      </c>
      <c r="C12746" s="8" t="s">
        <v>9</v>
      </c>
    </row>
    <row r="12747" spans="1:3" x14ac:dyDescent="0.25">
      <c r="A12747" s="8" t="str">
        <f>"Proceedings - 2013 IEEE International Conference on Big Data, Big Data 2013"</f>
        <v>Proceedings - 2013 IEEE International Conference on Big Data, Big Data 2013</v>
      </c>
      <c r="B12747" s="8" t="str">
        <f>"9781479912926"</f>
        <v>9781479912926</v>
      </c>
      <c r="C12747" s="8" t="s">
        <v>9</v>
      </c>
    </row>
    <row r="12748" spans="1:3" x14ac:dyDescent="0.25">
      <c r="A12748" s="8" t="str">
        <f>"Proceedings - 2013 IEEE International Conference on Bioinformatics and Biomedicine, IEEE BIBM 2013"</f>
        <v>Proceedings - 2013 IEEE International Conference on Bioinformatics and Biomedicine, IEEE BIBM 2013</v>
      </c>
      <c r="B12748" s="8" t="str">
        <f>"9781479913091"</f>
        <v>9781479913091</v>
      </c>
      <c r="C12748" s="8" t="s">
        <v>9</v>
      </c>
    </row>
    <row r="12749" spans="1:3" x14ac:dyDescent="0.25">
      <c r="A12749" s="8" t="str">
        <f>"Proceedings - 2013 IEEE International Conference on Business Informatics, IEEE CBI 2013"</f>
        <v>Proceedings - 2013 IEEE International Conference on Business Informatics, IEEE CBI 2013</v>
      </c>
      <c r="B12749" s="8" t="str">
        <f>"9780768550725"</f>
        <v>9780768550725</v>
      </c>
      <c r="C12749" s="8" t="s">
        <v>9</v>
      </c>
    </row>
    <row r="12750" spans="1:3" x14ac:dyDescent="0.25">
      <c r="A12750" s="8" t="str">
        <f>"Proceedings - 2013 IEEE International Conference on Control System, Computing and Engineering, ICCSCE 2013"</f>
        <v>Proceedings - 2013 IEEE International Conference on Control System, Computing and Engineering, ICCSCE 2013</v>
      </c>
      <c r="B12750" s="8" t="str">
        <f>"9781479915088"</f>
        <v>9781479915088</v>
      </c>
      <c r="C12750" s="8" t="s">
        <v>9</v>
      </c>
    </row>
    <row r="12751" spans="1:3" x14ac:dyDescent="0.25">
      <c r="A12751" s="8" t="str">
        <f>"Proceedings - 2013 IEEE International Conference on Granular Computing, GrC 2013"</f>
        <v>Proceedings - 2013 IEEE International Conference on Granular Computing, GrC 2013</v>
      </c>
      <c r="B12751" s="8" t="str">
        <f>"9781479912810"</f>
        <v>9781479912810</v>
      </c>
      <c r="C12751" s="8" t="s">
        <v>9</v>
      </c>
    </row>
    <row r="12752" spans="1:3" x14ac:dyDescent="0.25">
      <c r="A12752" s="8" t="str">
        <f>"Proceedings - 2013 IEEE International Conference on Green Computing and Communications and IEEE Internet of Things and IEEE Cyber, Physical and Social Computing, GreenCom-iThings-CPSCom 2013"</f>
        <v>Proceedings - 2013 IEEE International Conference on Green Computing and Communications and IEEE Internet of Things and IEEE Cyber, Physical and Social Computing, GreenCom-iThings-CPSCom 2013</v>
      </c>
      <c r="B12752" s="8" t="str">
        <f>"9780769550466"</f>
        <v>9780769550466</v>
      </c>
      <c r="C12752" s="8" t="s">
        <v>9</v>
      </c>
    </row>
    <row r="12753" spans="1:3" x14ac:dyDescent="0.25">
      <c r="A12753" s="8" t="str">
        <f>"Proceedings - 2013 IEEE International Conference on Healthcare Informatics, ICHI 2013"</f>
        <v>Proceedings - 2013 IEEE International Conference on Healthcare Informatics, ICHI 2013</v>
      </c>
      <c r="B12753" s="8" t="str">
        <f>"9780769550893"</f>
        <v>9780769550893</v>
      </c>
      <c r="C12753" s="8" t="s">
        <v>9</v>
      </c>
    </row>
    <row r="12754" spans="1:3" x14ac:dyDescent="0.25">
      <c r="A12754" s="8" t="str">
        <f>"Proceedings - 2013 IEEE International Conference on Systems, Man, and Cybernetics, SMC 2013"</f>
        <v>Proceedings - 2013 IEEE International Conference on Systems, Man, and Cybernetics, SMC 2013</v>
      </c>
      <c r="B12754" s="8" t="str">
        <f>"9780769551548"</f>
        <v>9780769551548</v>
      </c>
      <c r="C12754" s="8" t="s">
        <v>9</v>
      </c>
    </row>
    <row r="12755" spans="1:3" x14ac:dyDescent="0.25">
      <c r="A12755" s="8" t="str">
        <f>"Proceedings - 2013 IEEE International Congress on Big Data, BigData 2013"</f>
        <v>Proceedings - 2013 IEEE International Congress on Big Data, BigData 2013</v>
      </c>
      <c r="B12755" s="8" t="str">
        <f>"9780768550060"</f>
        <v>9780768550060</v>
      </c>
      <c r="C12755" s="8" t="s">
        <v>9</v>
      </c>
    </row>
    <row r="12756" spans="1:3" x14ac:dyDescent="0.25">
      <c r="A12756" s="8" t="str">
        <f>"Proceedings - 2013 IEEE International Multi Conference on Automation, Computing, Control, Communication and Compressed Sensing, iMac4s 2013"</f>
        <v>Proceedings - 2013 IEEE International Multi Conference on Automation, Computing, Control, Communication and Compressed Sensing, iMac4s 2013</v>
      </c>
      <c r="B12756" s="8" t="str">
        <f>"9781467350891"</f>
        <v>9781467350891</v>
      </c>
      <c r="C12756" s="8" t="s">
        <v>9</v>
      </c>
    </row>
    <row r="12757" spans="1:3" x14ac:dyDescent="0.25">
      <c r="A12757" s="8" t="str">
        <f>"Proceedings - 2013 IEEE International Symposium on Assembly and Manufacturing, ISAM 2013"</f>
        <v>Proceedings - 2013 IEEE International Symposium on Assembly and Manufacturing, ISAM 2013</v>
      </c>
      <c r="B12757" s="8" t="str">
        <f>"9781479916573"</f>
        <v>9781479916573</v>
      </c>
      <c r="C12757" s="8" t="s">
        <v>9</v>
      </c>
    </row>
    <row r="12758" spans="1:3" x14ac:dyDescent="0.25">
      <c r="A12758" s="8" t="str">
        <f>"Proceedings - 2013 IEEE International Symposium on Multimedia, ISM 2013"</f>
        <v>Proceedings - 2013 IEEE International Symposium on Multimedia, ISM 2013</v>
      </c>
      <c r="B12758" s="8" t="str">
        <f>"9780769551401"</f>
        <v>9780769551401</v>
      </c>
      <c r="C12758" s="8" t="s">
        <v>9</v>
      </c>
    </row>
    <row r="12759" spans="1:3" x14ac:dyDescent="0.25">
      <c r="A12759" s="8" t="str">
        <f>"Proceedings - 2013 IEEE International Symposium on Workload Characterization, IISWC 2013"</f>
        <v>Proceedings - 2013 IEEE International Symposium on Workload Characterization, IISWC 2013</v>
      </c>
      <c r="B12759" s="8" t="str">
        <f>"9781479905539"</f>
        <v>9781479905539</v>
      </c>
      <c r="C12759" s="8" t="s">
        <v>9</v>
      </c>
    </row>
    <row r="12760" spans="1:3" x14ac:dyDescent="0.25">
      <c r="A12760" s="8" t="str">
        <f>"Proceedings - 2013 IEEE International Workshop on Intelligent Energy Systems, IWIES 2013"</f>
        <v>Proceedings - 2013 IEEE International Workshop on Intelligent Energy Systems, IWIES 2013</v>
      </c>
      <c r="B12760" s="8" t="str">
        <f>"9781479911356"</f>
        <v>9781479911356</v>
      </c>
      <c r="C12760" s="8" t="s">
        <v>9</v>
      </c>
    </row>
    <row r="12761" spans="1:3" x14ac:dyDescent="0.25">
      <c r="A12761" s="8" t="str">
        <f>"Proceedings - 2013 IEEE Latin American Robotics Symposium, LARS 2013"</f>
        <v>Proceedings - 2013 IEEE Latin American Robotics Symposium, LARS 2013</v>
      </c>
      <c r="B12761" s="8" t="str">
        <f>"9780769551395"</f>
        <v>9780769551395</v>
      </c>
      <c r="C12761" s="8" t="s">
        <v>9</v>
      </c>
    </row>
    <row r="12762" spans="1:3" x14ac:dyDescent="0.25">
      <c r="A12762" s="8" t="str">
        <f>"Proceedings - 2013 IEEE Workshop on Electrical Machines Design, Control and Diagnosis, WEMDCD 2013"</f>
        <v>Proceedings - 2013 IEEE Workshop on Electrical Machines Design, Control and Diagnosis, WEMDCD 2013</v>
      </c>
      <c r="B12762" s="8" t="str">
        <f>"9781467356589"</f>
        <v>9781467356589</v>
      </c>
      <c r="C12762" s="8" t="s">
        <v>9</v>
      </c>
    </row>
    <row r="12763" spans="1:3" x14ac:dyDescent="0.25">
      <c r="A12763" s="8" t="str">
        <f>"Proceedings - 2013 IEEE/ACM 6th International Conference on Utility and Cloud Computing, UCC 2013"</f>
        <v>Proceedings - 2013 IEEE/ACM 6th International Conference on Utility and Cloud Computing, UCC 2013</v>
      </c>
      <c r="B12763" s="8" t="str">
        <f>"9780769551524"</f>
        <v>9780769551524</v>
      </c>
      <c r="C12763" s="8" t="s">
        <v>9</v>
      </c>
    </row>
    <row r="12764" spans="1:3" x14ac:dyDescent="0.25">
      <c r="A12764" s="8" t="str">
        <f>"Proceedings - 2013 IEEE/WIC/ACM International Conference on Intelligent Agent Technology, IAT 2013"</f>
        <v>Proceedings - 2013 IEEE/WIC/ACM International Conference on Intelligent Agent Technology, IAT 2013</v>
      </c>
      <c r="B12764" s="8" t="str">
        <f>"9781479929023"</f>
        <v>9781479929023</v>
      </c>
      <c r="C12764" s="8" t="s">
        <v>9</v>
      </c>
    </row>
    <row r="12765" spans="1:3" x14ac:dyDescent="0.25">
      <c r="A12765" s="8" t="str">
        <f>"Proceedings - 2013 IEEE/WIC/ACM International Conference on Web Intelligence, WI 2013"</f>
        <v>Proceedings - 2013 IEEE/WIC/ACM International Conference on Web Intelligence, WI 2013</v>
      </c>
      <c r="B12765" s="8" t="str">
        <f>"9781479929023"</f>
        <v>9781479929023</v>
      </c>
      <c r="C12765" s="8" t="s">
        <v>9</v>
      </c>
    </row>
    <row r="12766" spans="1:3" x14ac:dyDescent="0.25">
      <c r="A12766" s="8" t="str">
        <f>"Proceedings - 2013 IEEE/WIC/ACM International Joint Conference on Web Intelligence and Intelligent Agent Technology - Workshops, WI-IATW 2013"</f>
        <v>Proceedings - 2013 IEEE/WIC/ACM International Joint Conference on Web Intelligence and Intelligent Agent Technology - Workshops, WI-IATW 2013</v>
      </c>
      <c r="B12766" s="8" t="str">
        <f>"9781479929023"</f>
        <v>9781479929023</v>
      </c>
      <c r="C12766" s="8" t="s">
        <v>9</v>
      </c>
    </row>
    <row r="12767" spans="1:3" x14ac:dyDescent="0.25">
      <c r="A12767" s="8" t="str">
        <f>"Proceedings - 2013 International Conference on 3D Vision, 3DV 2013"</f>
        <v>Proceedings - 2013 International Conference on 3D Vision, 3DV 2013</v>
      </c>
      <c r="B12767" s="8" t="str">
        <f>"9780769550671"</f>
        <v>9780769550671</v>
      </c>
      <c r="C12767" s="8" t="s">
        <v>9</v>
      </c>
    </row>
    <row r="12768" spans="1:3" x14ac:dyDescent="0.25">
      <c r="A12768" s="8" t="str">
        <f>"Proceedings - 2013 International Conference on Asian Language Processing, IALP 2013"</f>
        <v>Proceedings - 2013 International Conference on Asian Language Processing, IALP 2013</v>
      </c>
      <c r="B12768" s="8" t="str">
        <f>"9780769550633"</f>
        <v>9780769550633</v>
      </c>
      <c r="C12768" s="8" t="s">
        <v>9</v>
      </c>
    </row>
    <row r="12769" spans="1:3" x14ac:dyDescent="0.25">
      <c r="A12769" s="8" t="str">
        <f>"Proceedings - 2013 International Conference on Availability, Reliability and Security, ARES 2013"</f>
        <v>Proceedings - 2013 International Conference on Availability, Reliability and Security, ARES 2013</v>
      </c>
      <c r="B12769" s="8" t="str">
        <f>"9780769550084"</f>
        <v>9780769550084</v>
      </c>
      <c r="C12769" s="8" t="s">
        <v>9</v>
      </c>
    </row>
    <row r="12770" spans="1:3" x14ac:dyDescent="0.25">
      <c r="A12770" s="8" t="str">
        <f>"Proceedings - 2013 International Conference on Biometrics and Kansei Engineering, ICBAKE 2013"</f>
        <v>Proceedings - 2013 International Conference on Biometrics and Kansei Engineering, ICBAKE 2013</v>
      </c>
      <c r="B12770" s="8" t="str">
        <f>"9780769550190"</f>
        <v>9780769550190</v>
      </c>
      <c r="C12770" s="8" t="s">
        <v>9</v>
      </c>
    </row>
    <row r="12771" spans="1:3" x14ac:dyDescent="0.25">
      <c r="A12771" s="8" t="str">
        <f>"Proceedings - 2013 International Conference on Biometrics, ICB 2013"</f>
        <v>Proceedings - 2013 International Conference on Biometrics, ICB 2013</v>
      </c>
      <c r="B12771" s="8" t="str">
        <f>"9781479903108"</f>
        <v>9781479903108</v>
      </c>
      <c r="C12771" s="8" t="s">
        <v>9</v>
      </c>
    </row>
    <row r="12772" spans="1:3" x14ac:dyDescent="0.25">
      <c r="A12772" s="8" t="str">
        <f>"Proceedings - 2013 International Conference on Cloud and Service Computing, CSC 2013"</f>
        <v>Proceedings - 2013 International Conference on Cloud and Service Computing, CSC 2013</v>
      </c>
      <c r="B12772" s="8" t="str">
        <f>"9780769551579"</f>
        <v>9780769551579</v>
      </c>
      <c r="C12772" s="8" t="s">
        <v>9</v>
      </c>
    </row>
    <row r="12773" spans="1:3" x14ac:dyDescent="0.25">
      <c r="A12773" s="8" t="str">
        <f>"Proceedings - 2013 International Conference on Cloud and Ubiquitous Computing and Emerging Technologies, CUBE 2013"</f>
        <v>Proceedings - 2013 International Conference on Cloud and Ubiquitous Computing and Emerging Technologies, CUBE 2013</v>
      </c>
      <c r="B12773" s="8" t="str">
        <f>"9781479922345"</f>
        <v>9781479922345</v>
      </c>
      <c r="C12773" s="8" t="s">
        <v>9</v>
      </c>
    </row>
    <row r="12774" spans="1:3" x14ac:dyDescent="0.25">
      <c r="A12774" s="8" t="str">
        <f>"Proceedings - 2013 International Conference on Communication Systems and Network Technologies, CSNT 2013"</f>
        <v>Proceedings - 2013 International Conference on Communication Systems and Network Technologies, CSNT 2013</v>
      </c>
      <c r="B12774" s="8" t="str">
        <f>"-"</f>
        <v>-</v>
      </c>
      <c r="C12774" s="8" t="s">
        <v>9</v>
      </c>
    </row>
    <row r="12775" spans="1:3" x14ac:dyDescent="0.25">
      <c r="A12775" s="8" t="str">
        <f>"Proceedings - 2013 International Conference on Computational and Information Sciences, ICCIS 2013"</f>
        <v>Proceedings - 2013 International Conference on Computational and Information Sciences, ICCIS 2013</v>
      </c>
      <c r="B12775" s="8" t="str">
        <f>"9780769550046"</f>
        <v>9780769550046</v>
      </c>
      <c r="C12775" s="8" t="s">
        <v>9</v>
      </c>
    </row>
    <row r="12776" spans="1:3" x14ac:dyDescent="0.25">
      <c r="A12776" s="8" t="str">
        <f>"Proceedings - 2013 International Conference on Computer and Robot Vision, CRV 2013"</f>
        <v>Proceedings - 2013 International Conference on Computer and Robot Vision, CRV 2013</v>
      </c>
      <c r="B12776" s="8" t="str">
        <f>"9780769549835"</f>
        <v>9780769549835</v>
      </c>
      <c r="C12776" s="8" t="s">
        <v>9</v>
      </c>
    </row>
    <row r="12777" spans="1:3" x14ac:dyDescent="0.25">
      <c r="A12777" s="8" t="str">
        <f>"Proceedings - 2013 International Conference on Computer, Electrical and Electronics Engineering: 'Research Makes a Difference', ICCEEE 2013"</f>
        <v>Proceedings - 2013 International Conference on Computer, Electrical and Electronics Engineering: 'Research Makes a Difference', ICCEEE 2013</v>
      </c>
      <c r="B12777" s="8" t="str">
        <f>"9781467362313"</f>
        <v>9781467362313</v>
      </c>
      <c r="C12777" s="8" t="s">
        <v>9</v>
      </c>
    </row>
    <row r="12778" spans="1:3" x14ac:dyDescent="0.25">
      <c r="A12778" s="8" t="str">
        <f>"Proceedings - 2013 International Conference on Culture and Computing, Culture and Computing 2013"</f>
        <v>Proceedings - 2013 International Conference on Culture and Computing, Culture and Computing 2013</v>
      </c>
      <c r="B12778" s="8" t="str">
        <f>"9780769550473"</f>
        <v>9780769550473</v>
      </c>
      <c r="C12778" s="8" t="s">
        <v>9</v>
      </c>
    </row>
    <row r="12779" spans="1:3" x14ac:dyDescent="0.25">
      <c r="A12779" s="8" t="str">
        <f>"Proceedings - 2013 International Conference on Cyber-Enabled Distributed Computing and Knowledge Discovery, CyberC 2013"</f>
        <v>Proceedings - 2013 International Conference on Cyber-Enabled Distributed Computing and Knowledge Discovery, CyberC 2013</v>
      </c>
      <c r="B12779" s="8" t="str">
        <f>"9780768551067"</f>
        <v>9780768551067</v>
      </c>
      <c r="C12779" s="8" t="s">
        <v>9</v>
      </c>
    </row>
    <row r="12780" spans="1:3" x14ac:dyDescent="0.25">
      <c r="A12780" s="8" t="str">
        <f>"Proceedings - 2013 International Conference on Cyberworlds, CW 2013"</f>
        <v>Proceedings - 2013 International Conference on Cyberworlds, CW 2013</v>
      </c>
      <c r="B12780" s="8" t="str">
        <f>"9781479922451"</f>
        <v>9781479922451</v>
      </c>
      <c r="C12780" s="8" t="s">
        <v>9</v>
      </c>
    </row>
    <row r="12781" spans="1:3" x14ac:dyDescent="0.25">
      <c r="A12781" s="8" t="str">
        <f>"Proceedings - 2013 International Conference on Embedded Computer Systems: Architectures, Modeling and Simulation, IC-SAMOS 2013"</f>
        <v>Proceedings - 2013 International Conference on Embedded Computer Systems: Architectures, Modeling and Simulation, IC-SAMOS 2013</v>
      </c>
      <c r="B12781" s="8" t="str">
        <f>"9781479901036"</f>
        <v>9781479901036</v>
      </c>
      <c r="C12781" s="8" t="s">
        <v>9</v>
      </c>
    </row>
    <row r="12782" spans="1:3" x14ac:dyDescent="0.25">
      <c r="A12782" s="8" t="str">
        <f>"Proceedings - 2013 International Conference on Emerging Trends in Communication, Control, Signal Processing and Computing Applications, IEEE-C2SPCA 2013"</f>
        <v>Proceedings - 2013 International Conference on Emerging Trends in Communication, Control, Signal Processing and Computing Applications, IEEE-C2SPCA 2013</v>
      </c>
      <c r="B12782" s="8" t="str">
        <f>"9781479910854"</f>
        <v>9781479910854</v>
      </c>
      <c r="C12782" s="8" t="s">
        <v>9</v>
      </c>
    </row>
    <row r="12783" spans="1:3" x14ac:dyDescent="0.25">
      <c r="A12783" s="8" t="str">
        <f>"Proceedings - 2013 International Conference on Informatics and Creative Multimedia, ICICM 2013"</f>
        <v>Proceedings - 2013 International Conference on Informatics and Creative Multimedia, ICICM 2013</v>
      </c>
      <c r="B12783" s="8" t="str">
        <f>"9780769551333"</f>
        <v>9780769551333</v>
      </c>
      <c r="C12783" s="8" t="s">
        <v>9</v>
      </c>
    </row>
    <row r="12784" spans="1:3" x14ac:dyDescent="0.25">
      <c r="A12784" s="8" t="str">
        <f>"Proceedings - 2013 International Conference on Information Science and Cloud Computing Companion, ISCC-C 2013"</f>
        <v>Proceedings - 2013 International Conference on Information Science and Cloud Computing Companion, ISCC-C 2013</v>
      </c>
      <c r="B12784" s="8" t="str">
        <f>"9781479952458"</f>
        <v>9781479952458</v>
      </c>
      <c r="C12784" s="8" t="s">
        <v>105</v>
      </c>
    </row>
    <row r="12785" spans="1:3" x14ac:dyDescent="0.25">
      <c r="A12785" s="8" t="str">
        <f>"Proceedings - 2013 International Conference on Information Science and Cloud Computing, ISCC 2013"</f>
        <v>Proceedings - 2013 International Conference on Information Science and Cloud Computing, ISCC 2013</v>
      </c>
      <c r="B12785" s="8" t="str">
        <f>"9781479949670"</f>
        <v>9781479949670</v>
      </c>
      <c r="C12785" s="8" t="s">
        <v>105</v>
      </c>
    </row>
    <row r="12786" spans="1:3" x14ac:dyDescent="0.25">
      <c r="A12786" s="8" t="str">
        <f>"Proceedings - 2013 International Conference on Information Technology and Applications, ITA 2013"</f>
        <v>Proceedings - 2013 International Conference on Information Technology and Applications, ITA 2013</v>
      </c>
      <c r="B12786" s="8" t="str">
        <f>"9781479928767"</f>
        <v>9781479928767</v>
      </c>
      <c r="C12786" s="8" t="s">
        <v>9</v>
      </c>
    </row>
    <row r="12787" spans="1:3" x14ac:dyDescent="0.25">
      <c r="A12787" s="8" t="s">
        <v>2067</v>
      </c>
      <c r="B12787" s="8" t="str">
        <f>"9781479904259"</f>
        <v>9781479904259</v>
      </c>
      <c r="C12787" s="8" t="s">
        <v>9</v>
      </c>
    </row>
    <row r="12788" spans="1:3" x14ac:dyDescent="0.25">
      <c r="A12788" s="8" t="str">
        <f>"Proceedings - 2013 International Conference on Machine Intelligence Research and Advancement, ICMIRA 2013"</f>
        <v>Proceedings - 2013 International Conference on Machine Intelligence Research and Advancement, ICMIRA 2013</v>
      </c>
      <c r="B12788" s="8" t="str">
        <f>"9780769550138"</f>
        <v>9780769550138</v>
      </c>
      <c r="C12788" s="8" t="s">
        <v>105</v>
      </c>
    </row>
    <row r="12789" spans="1:3" x14ac:dyDescent="0.25">
      <c r="A12789" s="8" t="str">
        <f>"Proceedings - 2013 International Conference on Mechanical and Automation Engineering, MAEE 2013"</f>
        <v>Proceedings - 2013 International Conference on Mechanical and Automation Engineering, MAEE 2013</v>
      </c>
      <c r="B12789" s="8" t="str">
        <f>"9780769549750"</f>
        <v>9780769549750</v>
      </c>
      <c r="C12789" s="8" t="s">
        <v>9</v>
      </c>
    </row>
    <row r="12790" spans="1:3" x14ac:dyDescent="0.25">
      <c r="A12790" s="8" t="str">
        <f>"Proceedings - 2013 International Conference on Mechatronic Sciences, Electric Engineering and Computer, MEC 2013"</f>
        <v>Proceedings - 2013 International Conference on Mechatronic Sciences, Electric Engineering and Computer, MEC 2013</v>
      </c>
      <c r="B12790" s="8" t="str">
        <f>"9781479925650"</f>
        <v>9781479925650</v>
      </c>
      <c r="C12790" s="8" t="s">
        <v>105</v>
      </c>
    </row>
    <row r="12791" spans="1:3" x14ac:dyDescent="0.25">
      <c r="A12791" s="8" t="str">
        <f>"Proceedings - 2013 International Conference on Mechatronics, Electronics and Automotive Engineering, ICMEAE 2013"</f>
        <v>Proceedings - 2013 International Conference on Mechatronics, Electronics and Automotive Engineering, ICMEAE 2013</v>
      </c>
      <c r="B12791" s="8" t="str">
        <f>"9781479922536"</f>
        <v>9781479922536</v>
      </c>
      <c r="C12791" s="8" t="s">
        <v>9</v>
      </c>
    </row>
    <row r="12792" spans="1:3" x14ac:dyDescent="0.25">
      <c r="A12792" s="8" t="str">
        <f>"Proceedings - 2013 International Conference on MOBILe Wireless MiddleWARE, Operating Systems and Applications, Mobilware 2013"</f>
        <v>Proceedings - 2013 International Conference on MOBILe Wireless MiddleWARE, Operating Systems and Applications, Mobilware 2013</v>
      </c>
      <c r="B12792" s="8" t="str">
        <f>"9781936968947"</f>
        <v>9781936968947</v>
      </c>
      <c r="C12792" s="8" t="s">
        <v>9</v>
      </c>
    </row>
    <row r="12793" spans="1:3" x14ac:dyDescent="0.25">
      <c r="A12793" s="8" t="str">
        <f>"Proceedings - 2013 International Conference on Renewable Energy and Sustainable Energy, ICRESE 2013"</f>
        <v>Proceedings - 2013 International Conference on Renewable Energy and Sustainable Energy, ICRESE 2013</v>
      </c>
      <c r="B12793" s="8" t="str">
        <f>"9781479920754"</f>
        <v>9781479920754</v>
      </c>
      <c r="C12793" s="8" t="s">
        <v>105</v>
      </c>
    </row>
    <row r="12794" spans="1:3" x14ac:dyDescent="0.25">
      <c r="A12794" s="8" t="str">
        <f>"Proceedings - 2013 International Conference on Signal-Image Technology and Internet-Based Systems, SITIS 2013"</f>
        <v>Proceedings - 2013 International Conference on Signal-Image Technology and Internet-Based Systems, SITIS 2013</v>
      </c>
      <c r="B12794" s="8" t="str">
        <f>"9781479932115"</f>
        <v>9781479932115</v>
      </c>
      <c r="C12794" s="8" t="s">
        <v>9</v>
      </c>
    </row>
    <row r="12795" spans="1:3" x14ac:dyDescent="0.25">
      <c r="A12795" s="8" t="str">
        <f>"Proceedings - 2013 International Conference on Social Intelligence and Technology, SOCIETY 2013"</f>
        <v>Proceedings - 2013 International Conference on Social Intelligence and Technology, SOCIETY 2013</v>
      </c>
      <c r="B12795" s="8" t="str">
        <f>"-"</f>
        <v>-</v>
      </c>
      <c r="C12795" s="8" t="s">
        <v>9</v>
      </c>
    </row>
    <row r="12796" spans="1:3" x14ac:dyDescent="0.25">
      <c r="A12796" s="8" t="str">
        <f>"Proceedings - 2013 International Conference on Virtual Reality and Visualization, ICVRV 2013"</f>
        <v>Proceedings - 2013 International Conference on Virtual Reality and Visualization, ICVRV 2013</v>
      </c>
      <c r="B12796" s="8" t="str">
        <f>"9780769551500"</f>
        <v>9780769551500</v>
      </c>
      <c r="C12796" s="8" t="s">
        <v>9</v>
      </c>
    </row>
    <row r="12797" spans="1:3" x14ac:dyDescent="0.25">
      <c r="A12797" s="8" t="str">
        <f>"Proceedings - 2013 International Kharkov Symposium on Physics and Engineering of Microwaves, Millimeter and Submillimeter Waves, MSMW 2013"</f>
        <v>Proceedings - 2013 International Kharkov Symposium on Physics and Engineering of Microwaves, Millimeter and Submillimeter Waves, MSMW 2013</v>
      </c>
      <c r="B12797" s="8" t="str">
        <f>"9781479910663"</f>
        <v>9781479910663</v>
      </c>
      <c r="C12797" s="8" t="s">
        <v>9</v>
      </c>
    </row>
    <row r="12798" spans="1:3" x14ac:dyDescent="0.25">
      <c r="A12798" s="8" t="str">
        <f>"Proceedings - 2013 International Symposium on Biometrics and Security Technologies, ISBAST 2013"</f>
        <v>Proceedings - 2013 International Symposium on Biometrics and Security Technologies, ISBAST 2013</v>
      </c>
      <c r="B12798" s="8" t="str">
        <f>"9780769550107"</f>
        <v>9780769550107</v>
      </c>
      <c r="C12798" s="8" t="s">
        <v>9</v>
      </c>
    </row>
    <row r="12799" spans="1:3" x14ac:dyDescent="0.25">
      <c r="A12799" s="8" t="str">
        <f>"Proceedings - 2013 International Symposium on Computational and Business Intelligence, ISCBI 2013"</f>
        <v>Proceedings - 2013 International Symposium on Computational and Business Intelligence, ISCBI 2013</v>
      </c>
      <c r="B12799" s="8" t="str">
        <f>"9780769550664"</f>
        <v>9780769550664</v>
      </c>
      <c r="C12799" s="8" t="s">
        <v>9</v>
      </c>
    </row>
    <row r="12800" spans="1:3" x14ac:dyDescent="0.25">
      <c r="A12800" s="8" t="str">
        <f>"Proceedings - 2013 International Symposium on Theoretical Aspects of Software Engineering, TASE 2013"</f>
        <v>Proceedings - 2013 International Symposium on Theoretical Aspects of Software Engineering, TASE 2013</v>
      </c>
      <c r="B12800" s="8" t="str">
        <f>"9780768550534"</f>
        <v>9780768550534</v>
      </c>
      <c r="C12800" s="8" t="s">
        <v>9</v>
      </c>
    </row>
    <row r="12801" spans="1:3" x14ac:dyDescent="0.25">
      <c r="A12801" s="8" t="str">
        <f>"Proceedings - 2013 International Symposium on Ubiquitous Virtual Reality, ISUVR 2013"</f>
        <v>Proceedings - 2013 International Symposium on Ubiquitous Virtual Reality, ISUVR 2013</v>
      </c>
      <c r="B12801" s="8" t="str">
        <f>"9780769550848"</f>
        <v>9780769550848</v>
      </c>
      <c r="C12801" s="8" t="s">
        <v>9</v>
      </c>
    </row>
    <row r="12802" spans="1:3" x14ac:dyDescent="0.25">
      <c r="A12802" s="8" t="str">
        <f>"Proceedings - 2013 Learning and Teaching in Computing and Engineering, LaTiCE 2013"</f>
        <v>Proceedings - 2013 Learning and Teaching in Computing and Engineering, LaTiCE 2013</v>
      </c>
      <c r="B12802" s="8" t="str">
        <f>"9780769549606"</f>
        <v>9780769549606</v>
      </c>
      <c r="C12802" s="8" t="s">
        <v>9</v>
      </c>
    </row>
    <row r="12803" spans="1:3" x14ac:dyDescent="0.25">
      <c r="A12803" s="8" t="str">
        <f>"Proceedings - 2013 Mexican International Conference on Computer Science, ENC 2013"</f>
        <v>Proceedings - 2013 Mexican International Conference on Computer Science, ENC 2013</v>
      </c>
      <c r="B12803" s="8" t="str">
        <f>"9780769550879"</f>
        <v>9780769550879</v>
      </c>
      <c r="C12803" s="8" t="s">
        <v>9</v>
      </c>
    </row>
    <row r="12804" spans="1:3" x14ac:dyDescent="0.25">
      <c r="A12804" s="8" t="str">
        <f>"Proceedings - 2013 RIVF International Conference on Computing and Communication Technologies: Research, Innovation, and Vision for Future, RIVF 2013"</f>
        <v>Proceedings - 2013 RIVF International Conference on Computing and Communication Technologies: Research, Innovation, and Vision for Future, RIVF 2013</v>
      </c>
      <c r="B12804" s="8" t="str">
        <f>"9781479913503"</f>
        <v>9781479913503</v>
      </c>
      <c r="C12804" s="8" t="s">
        <v>9</v>
      </c>
    </row>
    <row r="12805" spans="1:3" x14ac:dyDescent="0.25">
      <c r="A12805" s="8" t="str">
        <f>"Proceedings - 2013 Symposium on Computing and Automation for Offshore Shipbuilding, NAVCOMP 2013"</f>
        <v>Proceedings - 2013 Symposium on Computing and Automation for Offshore Shipbuilding, NAVCOMP 2013</v>
      </c>
      <c r="B12805" s="8" t="str">
        <f>"9780769551234"</f>
        <v>9780769551234</v>
      </c>
      <c r="C12805" s="8" t="s">
        <v>9</v>
      </c>
    </row>
    <row r="12806" spans="1:3" x14ac:dyDescent="0.25">
      <c r="A12806" s="8" t="str">
        <f>"Proceedings - 2013 Texas Instruments India Educators' Conference, TIIEC 2013"</f>
        <v>Proceedings - 2013 Texas Instruments India Educators' Conference, TIIEC 2013</v>
      </c>
      <c r="B12806" s="8" t="str">
        <f>"9780769551463"</f>
        <v>9780769551463</v>
      </c>
      <c r="C12806" s="8" t="s">
        <v>9</v>
      </c>
    </row>
    <row r="12807" spans="1:3" x14ac:dyDescent="0.25">
      <c r="A12807" s="8" t="str">
        <f>"Proceedings - 2013 Tools and Methods of Program Analysis, TMPA 2013"</f>
        <v>Proceedings - 2013 Tools and Methods of Program Analysis, TMPA 2013</v>
      </c>
      <c r="B12807" s="8" t="str">
        <f>"9780986077319"</f>
        <v>9780986077319</v>
      </c>
      <c r="C12807" s="8" t="s">
        <v>105</v>
      </c>
    </row>
    <row r="12808" spans="1:3" x14ac:dyDescent="0.25">
      <c r="A12808" s="8" t="str">
        <f>"Proceedings - 2013 Wireless and Optical Communications Conference, WOCC 2013"</f>
        <v>Proceedings - 2013 Wireless and Optical Communications Conference, WOCC 2013</v>
      </c>
      <c r="B12808" s="8" t="str">
        <f>"9781467356992"</f>
        <v>9781467356992</v>
      </c>
      <c r="C12808" s="8" t="s">
        <v>9</v>
      </c>
    </row>
    <row r="12809" spans="1:3" x14ac:dyDescent="0.25">
      <c r="A12809" s="8" t="str">
        <f>"Proceedings - 2013 Workshop-School on Theoretical Computer Science, WEIT 2013"</f>
        <v>Proceedings - 2013 Workshop-School on Theoretical Computer Science, WEIT 2013</v>
      </c>
      <c r="B12809" s="8" t="str">
        <f>"9781479930579"</f>
        <v>9781479930579</v>
      </c>
      <c r="C12809" s="8" t="s">
        <v>9</v>
      </c>
    </row>
    <row r="12810" spans="1:3" x14ac:dyDescent="0.25">
      <c r="A12810" s="8" t="str">
        <f>"Proceedings - 2014 10th International Conference on Computational Intelligence and Security, CIS 2014"</f>
        <v>Proceedings - 2014 10th International Conference on Computational Intelligence and Security, CIS 2014</v>
      </c>
      <c r="B12810" s="8" t="str">
        <f>"9781479974344"</f>
        <v>9781479974344</v>
      </c>
      <c r="C12810" s="8" t="s">
        <v>105</v>
      </c>
    </row>
    <row r="12811" spans="1:3" x14ac:dyDescent="0.25">
      <c r="A12811" s="8" t="str">
        <f>"Proceedings - 2014 10th International Conference on Intelligent Information Hiding and Multimedia Signal Processing, IIH-MSP 2014"</f>
        <v>Proceedings - 2014 10th International Conference on Intelligent Information Hiding and Multimedia Signal Processing, IIH-MSP 2014</v>
      </c>
      <c r="B12811" s="8" t="str">
        <f>"9781479953905"</f>
        <v>9781479953905</v>
      </c>
      <c r="C12811" s="8" t="s">
        <v>105</v>
      </c>
    </row>
    <row r="12812" spans="1:3" x14ac:dyDescent="0.25">
      <c r="A12812" s="8" t="str">
        <f>"Proceedings - 2014 10th International Conference on Mobile Ad-Hoc and Sensor Networks, MSN 2014"</f>
        <v>Proceedings - 2014 10th International Conference on Mobile Ad-Hoc and Sensor Networks, MSN 2014</v>
      </c>
      <c r="B12812" s="8" t="str">
        <f>"9781479973941"</f>
        <v>9781479973941</v>
      </c>
      <c r="C12812" s="8" t="s">
        <v>105</v>
      </c>
    </row>
    <row r="12813" spans="1:3" x14ac:dyDescent="0.25">
      <c r="A12813" s="8" t="str">
        <f>"Proceedings - 2014 10th International Conference on Semantics, Knowledge and Grids, SKG 2014"</f>
        <v>Proceedings - 2014 10th International Conference on Semantics, Knowledge and Grids, SKG 2014</v>
      </c>
      <c r="B12813" s="8" t="str">
        <f>"9781479967155"</f>
        <v>9781479967155</v>
      </c>
      <c r="C12813" s="8" t="s">
        <v>105</v>
      </c>
    </row>
    <row r="12814" spans="1:3" x14ac:dyDescent="0.25">
      <c r="A12814" s="8" t="str">
        <f>"Proceedings - 2014 11th International Conference on Computer Graphics, Imaging and Visualization: New Techniques and Trends, CGiV 2014"</f>
        <v>Proceedings - 2014 11th International Conference on Computer Graphics, Imaging and Visualization: New Techniques and Trends, CGiV 2014</v>
      </c>
      <c r="B12814" s="8" t="str">
        <f>"9781479957200"</f>
        <v>9781479957200</v>
      </c>
      <c r="C12814" s="8" t="s">
        <v>105</v>
      </c>
    </row>
    <row r="12815" spans="1:3" x14ac:dyDescent="0.25">
      <c r="A12815" s="8" t="str">
        <f>"Proceedings - 2014 12th IEEE International Conference on Industrial Informatics, INDIN 2014"</f>
        <v>Proceedings - 2014 12th IEEE International Conference on Industrial Informatics, INDIN 2014</v>
      </c>
      <c r="B12815" s="8" t="str">
        <f>"9781479949052"</f>
        <v>9781479949052</v>
      </c>
      <c r="C12815" s="8" t="s">
        <v>105</v>
      </c>
    </row>
    <row r="12816" spans="1:3" x14ac:dyDescent="0.25">
      <c r="A12816" s="8" t="str">
        <f>"Proceedings - 2014 13th International Conference on Information Technology, ICIT 2014"</f>
        <v>Proceedings - 2014 13th International Conference on Information Technology, ICIT 2014</v>
      </c>
      <c r="B12816" s="8" t="str">
        <f>"9781479980840"</f>
        <v>9781479980840</v>
      </c>
      <c r="C12816" s="8" t="s">
        <v>105</v>
      </c>
    </row>
    <row r="12817" spans="1:3" x14ac:dyDescent="0.25">
      <c r="A12817" s="8" t="str">
        <f>"Proceedings - 2014 13th International Conference on Machine Learning and Applications, ICMLA 2014"</f>
        <v>Proceedings - 2014 13th International Conference on Machine Learning and Applications, ICMLA 2014</v>
      </c>
      <c r="B12817" s="8" t="str">
        <f>"9781479974153"</f>
        <v>9781479974153</v>
      </c>
      <c r="C12817" s="8" t="s">
        <v>105</v>
      </c>
    </row>
    <row r="12818" spans="1:3" x14ac:dyDescent="0.25">
      <c r="A12818" s="8" t="str">
        <f>"Proceedings - 2014 14th IEEE International Working Conference on Source Code Analysis and Manipulation, SCAM 2014"</f>
        <v>Proceedings - 2014 14th IEEE International Working Conference on Source Code Analysis and Manipulation, SCAM 2014</v>
      </c>
      <c r="B12818" s="8" t="str">
        <f>"9780769553047"</f>
        <v>9780769553047</v>
      </c>
      <c r="C12818" s="8" t="s">
        <v>105</v>
      </c>
    </row>
    <row r="12819" spans="1:3" x14ac:dyDescent="0.25">
      <c r="A12819" s="8" t="str">
        <f>"Proceedings - 2014 14th International Symposium on Problems of Redundancy in Information and Control Systems, REDUNDANCY 2014"</f>
        <v>Proceedings - 2014 14th International Symposium on Problems of Redundancy in Information and Control Systems, REDUNDANCY 2014</v>
      </c>
      <c r="B12819" s="8" t="str">
        <f>"9781479949007"</f>
        <v>9781479949007</v>
      </c>
      <c r="C12819" s="8" t="s">
        <v>105</v>
      </c>
    </row>
    <row r="12820" spans="1:3" x14ac:dyDescent="0.25">
      <c r="A12820" s="8" t="str">
        <f>"Proceedings - 2014 16th Symposium on Virtual and Augmented Reality, SVR 2014"</f>
        <v>Proceedings - 2014 16th Symposium on Virtual and Augmented Reality, SVR 2014</v>
      </c>
      <c r="B12820" s="8" t="str">
        <f>"9781479942619"</f>
        <v>9781479942619</v>
      </c>
      <c r="C12820" s="8" t="s">
        <v>105</v>
      </c>
    </row>
    <row r="12821" spans="1:3" x14ac:dyDescent="0.25">
      <c r="A12821" s="8" t="str">
        <f>"Proceedings - 2014 17th Euromicro Conference on Digital System Design, DSD 2014"</f>
        <v>Proceedings - 2014 17th Euromicro Conference on Digital System Design, DSD 2014</v>
      </c>
      <c r="B12821" s="8" t="str">
        <f>"9781479957934"</f>
        <v>9781479957934</v>
      </c>
      <c r="C12821" s="8" t="s">
        <v>105</v>
      </c>
    </row>
    <row r="12822" spans="1:3" x14ac:dyDescent="0.25">
      <c r="A12822" s="8" t="str">
        <f>"Proceedings - 2014 1st Workshop on Pattern Recognition Techniques for Indirect Immunofluorescence Images, I3A Workshop 2014"</f>
        <v>Proceedings - 2014 1st Workshop on Pattern Recognition Techniques for Indirect Immunofluorescence Images, I3A Workshop 2014</v>
      </c>
      <c r="B12822" s="8" t="str">
        <f>"9781479942527"</f>
        <v>9781479942527</v>
      </c>
      <c r="C12822" s="8" t="s">
        <v>105</v>
      </c>
    </row>
    <row r="12823" spans="1:3" x14ac:dyDescent="0.25">
      <c r="A12823" s="8" t="str">
        <f>"Proceedings - 2014 22nd Euromicro International Conference on Parallel, Distributed, and Network-Based Processing, PDP 2014"</f>
        <v>Proceedings - 2014 22nd Euromicro International Conference on Parallel, Distributed, and Network-Based Processing, PDP 2014</v>
      </c>
      <c r="B12823" s="8" t="str">
        <f>"9781479927289"</f>
        <v>9781479927289</v>
      </c>
      <c r="C12823" s="8" t="s">
        <v>9</v>
      </c>
    </row>
    <row r="12824" spans="1:3" x14ac:dyDescent="0.25">
      <c r="A12824" s="8" t="str">
        <f>"Proceedings - 2014 22nd International Conference on Geoinformatics, Geoinformatics 2014"</f>
        <v>Proceedings - 2014 22nd International Conference on Geoinformatics, Geoinformatics 2014</v>
      </c>
      <c r="B12824" s="8" t="str">
        <f>"9781479957149"</f>
        <v>9781479957149</v>
      </c>
      <c r="C12824" s="8" t="s">
        <v>105</v>
      </c>
    </row>
    <row r="12825" spans="1:3" x14ac:dyDescent="0.25">
      <c r="A12825" s="8" t="str">
        <f>"Proceedings - 2014 2nd International Symposium on Computational and Business Intelligence, ISCBI 2014"</f>
        <v>Proceedings - 2014 2nd International Symposium on Computational and Business Intelligence, ISCBI 2014</v>
      </c>
      <c r="B12825" s="8" t="str">
        <f>"9781479975525"</f>
        <v>9781479975525</v>
      </c>
      <c r="C12825" s="8" t="s">
        <v>105</v>
      </c>
    </row>
    <row r="12826" spans="1:3" x14ac:dyDescent="0.25">
      <c r="A12826" s="8" t="str">
        <f>"Proceedings - 2014 2nd International Symposium on Computing and Networking, CANDAR 2014"</f>
        <v>Proceedings - 2014 2nd International Symposium on Computing and Networking, CANDAR 2014</v>
      </c>
      <c r="B12826" s="8" t="str">
        <f>"9781479941520"</f>
        <v>9781479941520</v>
      </c>
      <c r="C12826" s="8" t="s">
        <v>105</v>
      </c>
    </row>
    <row r="12827" spans="1:3" x14ac:dyDescent="0.25">
      <c r="A12827" s="8" t="str">
        <f>"Proceedings - 2014 3rd European Workshop on Software-Defined Networks, EWSDN 2014"</f>
        <v>Proceedings - 2014 3rd European Workshop on Software-Defined Networks, EWSDN 2014</v>
      </c>
      <c r="B12827" s="8" t="str">
        <f>"9781479969197"</f>
        <v>9781479969197</v>
      </c>
      <c r="C12827" s="8" t="s">
        <v>105</v>
      </c>
    </row>
    <row r="12828" spans="1:3" x14ac:dyDescent="0.25">
      <c r="A12828" s="8" t="str">
        <f>"Proceedings - 2014 3rd International Conference on Reliability, Infocom Technologies and Optimization: Trends and Future Directions, ICRITO 2014"</f>
        <v>Proceedings - 2014 3rd International Conference on Reliability, Infocom Technologies and Optimization: Trends and Future Directions, ICRITO 2014</v>
      </c>
      <c r="B12828" s="8" t="str">
        <f>"9781479968961"</f>
        <v>9781479968961</v>
      </c>
      <c r="C12828" s="8" t="s">
        <v>105</v>
      </c>
    </row>
    <row r="12829" spans="1:3" x14ac:dyDescent="0.25">
      <c r="A12829" s="8" t="str">
        <f>"Proceedings - 2014 3rd International Conference on User Science and Engineering: Experience. Engineer. Engage, i-USEr 2014"</f>
        <v>Proceedings - 2014 3rd International Conference on User Science and Engineering: Experience. Engineer. Engage, i-USEr 2014</v>
      </c>
      <c r="B12829" s="8" t="str">
        <f>"9781479958122"</f>
        <v>9781479958122</v>
      </c>
      <c r="C12829" s="8" t="s">
        <v>105</v>
      </c>
    </row>
    <row r="12830" spans="1:3" x14ac:dyDescent="0.25">
      <c r="A12830" s="8" t="str">
        <f>"Proceedings - 2014 3rd Mediterranean Conference on Embedded Computing, MECO 2014 - Including ECyPS 2014"</f>
        <v>Proceedings - 2014 3rd Mediterranean Conference on Embedded Computing, MECO 2014 - Including ECyPS 2014</v>
      </c>
      <c r="B12830" s="8" t="str">
        <f>"9781479948260"</f>
        <v>9781479948260</v>
      </c>
      <c r="C12830" s="8" t="s">
        <v>105</v>
      </c>
    </row>
    <row r="12831" spans="1:3" x14ac:dyDescent="0.25">
      <c r="A12831" s="8" t="str">
        <f>"Proceedings - 2014 47th International Symposium on Microelectronics, IMAPS 2014"</f>
        <v>Proceedings - 2014 47th International Symposium on Microelectronics, IMAPS 2014</v>
      </c>
      <c r="B12831" s="8" t="str">
        <f>"9780990902805"</f>
        <v>9780990902805</v>
      </c>
      <c r="C12831" s="8" t="s">
        <v>93</v>
      </c>
    </row>
    <row r="12832" spans="1:3" x14ac:dyDescent="0.25">
      <c r="A12832" s="8" t="str">
        <f>"Proceedings - 2014 4th International Conference on Advances in Computing and Communications, ICACC 2014"</f>
        <v>Proceedings - 2014 4th International Conference on Advances in Computing and Communications, ICACC 2014</v>
      </c>
      <c r="B12832" s="8" t="str">
        <f>"9781479943647"</f>
        <v>9781479943647</v>
      </c>
      <c r="C12832" s="8" t="s">
        <v>105</v>
      </c>
    </row>
    <row r="12833" spans="1:3" x14ac:dyDescent="0.25">
      <c r="A12833" s="8" t="str">
        <f>"Proceedings - 2014 4th International Conference on Instrumentation and Measurement, Computer, Communication and Control, IMCCC 2014"</f>
        <v>Proceedings - 2014 4th International Conference on Instrumentation and Measurement, Computer, Communication and Control, IMCCC 2014</v>
      </c>
      <c r="B12833" s="8" t="str">
        <f>"9781479965755"</f>
        <v>9781479965755</v>
      </c>
      <c r="C12833" s="8" t="s">
        <v>105</v>
      </c>
    </row>
    <row r="12834" spans="1:3" x14ac:dyDescent="0.25">
      <c r="A12834" s="8" t="str">
        <f>"Proceedings - 2014 4th Workshop on Data-Flow Execution Models for Extreme Scale Computing, DFM 2014"</f>
        <v>Proceedings - 2014 4th Workshop on Data-Flow Execution Models for Extreme Scale Computing, DFM 2014</v>
      </c>
      <c r="B12834" s="8" t="str">
        <f>"9781479980956"</f>
        <v>9781479980956</v>
      </c>
      <c r="C12834" s="8" t="s">
        <v>105</v>
      </c>
    </row>
    <row r="12835" spans="1:3" x14ac:dyDescent="0.25">
      <c r="A12835" s="8" t="str">
        <f>"Proceedings - 2014 5th IEEE Control and System Graduate Research Colloquium, ICSGRC 2014"</f>
        <v>Proceedings - 2014 5th IEEE Control and System Graduate Research Colloquium, ICSGRC 2014</v>
      </c>
      <c r="B12835" s="8" t="str">
        <f>"9781479956920"</f>
        <v>9781479956920</v>
      </c>
      <c r="C12835" s="8" t="s">
        <v>105</v>
      </c>
    </row>
    <row r="12836" spans="1:3" x14ac:dyDescent="0.25">
      <c r="A12836" s="8" t="str">
        <f>"Proceedings - 2014 5th International Conference on Intelligent Systems Design and Engineering Applications, ISDEA 2014"</f>
        <v>Proceedings - 2014 5th International Conference on Intelligent Systems Design and Engineering Applications, ISDEA 2014</v>
      </c>
      <c r="B12836" s="8" t="str">
        <f>"9781479942619"</f>
        <v>9781479942619</v>
      </c>
      <c r="C12836" s="8" t="s">
        <v>105</v>
      </c>
    </row>
    <row r="12837" spans="1:3" x14ac:dyDescent="0.25">
      <c r="A12837" s="8" t="str">
        <f>"Proceedings - 2014 5th International Conference on Signal and Image Processing, ICSIP 2014"</f>
        <v>Proceedings - 2014 5th International Conference on Signal and Image Processing, ICSIP 2014</v>
      </c>
      <c r="B12837" s="8" t="str">
        <f>"9780769551005"</f>
        <v>9780769551005</v>
      </c>
      <c r="C12837" s="8" t="s">
        <v>9</v>
      </c>
    </row>
    <row r="12838" spans="1:3" x14ac:dyDescent="0.25">
      <c r="A12838" s="8" t="str">
        <f>"Proceedings - 2014 6th IEEE International Workshop on Managing Technical Debt, MTD 2014"</f>
        <v>Proceedings - 2014 6th IEEE International Workshop on Managing Technical Debt, MTD 2014</v>
      </c>
      <c r="B12838" s="8" t="str">
        <f>"9781479967919"</f>
        <v>9781479967919</v>
      </c>
      <c r="C12838" s="8" t="s">
        <v>105</v>
      </c>
    </row>
    <row r="12839" spans="1:3" x14ac:dyDescent="0.25">
      <c r="A12839" s="8" t="str">
        <f>"Proceedings - 2014 6th International Conference on Computational Intelligence and Communication Networks, CICN 2014"</f>
        <v>Proceedings - 2014 6th International Conference on Computational Intelligence and Communication Networks, CICN 2014</v>
      </c>
      <c r="B12839" s="8" t="str">
        <f>"9781479969296"</f>
        <v>9781479969296</v>
      </c>
      <c r="C12839" s="8" t="s">
        <v>105</v>
      </c>
    </row>
    <row r="12840" spans="1:3" x14ac:dyDescent="0.25">
      <c r="A12840" s="8" t="str">
        <f>"Proceedings - 2014 6th International Conference on Information Technology and Electrical Engineering: Leveraging Research and Technology Through University-Industry Collaboration, ICITEE 2014"</f>
        <v>Proceedings - 2014 6th International Conference on Information Technology and Electrical Engineering: Leveraging Research and Technology Through University-Industry Collaboration, ICITEE 2014</v>
      </c>
      <c r="B12840" s="8" t="str">
        <f>"9781479953035"</f>
        <v>9781479953035</v>
      </c>
      <c r="C12840" s="8" t="s">
        <v>105</v>
      </c>
    </row>
    <row r="12841" spans="1:3" x14ac:dyDescent="0.25">
      <c r="A12841" s="8" t="str">
        <f>"Proceedings - 2014 6th International Conference on Intelligent Human-Machine Systems and Cybernetics, IHMSC 2014"</f>
        <v>Proceedings - 2014 6th International Conference on Intelligent Human-Machine Systems and Cybernetics, IHMSC 2014</v>
      </c>
      <c r="B12841" s="8" t="str">
        <f>"-"</f>
        <v>-</v>
      </c>
      <c r="C12841" s="8" t="s">
        <v>105</v>
      </c>
    </row>
    <row r="12842" spans="1:3" x14ac:dyDescent="0.25">
      <c r="A12842" s="8" t="str">
        <f>"Proceedings - 2014 6th International Conference on Measuring Technology and Mechatronics Automation, ICMTMA 2014"</f>
        <v>Proceedings - 2014 6th International Conference on Measuring Technology and Mechatronics Automation, ICMTMA 2014</v>
      </c>
      <c r="B12842" s="8" t="str">
        <f>"9781479934348"</f>
        <v>9781479934348</v>
      </c>
      <c r="C12842" s="8" t="s">
        <v>9</v>
      </c>
    </row>
    <row r="12843" spans="1:3" x14ac:dyDescent="0.25">
      <c r="A12843" s="8" t="str">
        <f>"Proceedings - 2014 6th International Workshop on Empirical Software Engineering in Practice, IWESEP 2014"</f>
        <v>Proceedings - 2014 6th International Workshop on Empirical Software Engineering in Practice, IWESEP 2014</v>
      </c>
      <c r="B12843" s="8" t="str">
        <f>"9781479966660"</f>
        <v>9781479966660</v>
      </c>
      <c r="C12843" s="8" t="s">
        <v>105</v>
      </c>
    </row>
    <row r="12844" spans="1:3" x14ac:dyDescent="0.25">
      <c r="A12844" s="8" t="str">
        <f>"Proceedings - 2014 7th International Conference on BioMedical Engineering and Informatics, BMEI 2014"</f>
        <v>Proceedings - 2014 7th International Conference on BioMedical Engineering and Informatics, BMEI 2014</v>
      </c>
      <c r="B12844" s="8" t="str">
        <f>"9781479958382"</f>
        <v>9781479958382</v>
      </c>
      <c r="C12844" s="8" t="s">
        <v>105</v>
      </c>
    </row>
    <row r="12845" spans="1:3" x14ac:dyDescent="0.25">
      <c r="A12845" s="8" t="str">
        <f>"Proceedings - 2014 7th International Conference on BioMedical Engineering and Informatics, BMEI 2014"</f>
        <v>Proceedings - 2014 7th International Conference on BioMedical Engineering and Informatics, BMEI 2014</v>
      </c>
      <c r="B12845" s="8" t="str">
        <f>"9781479958382"</f>
        <v>9781479958382</v>
      </c>
      <c r="C12845" s="8" t="s">
        <v>105</v>
      </c>
    </row>
    <row r="12846" spans="1:3" x14ac:dyDescent="0.25">
      <c r="A12846" s="8" t="str">
        <f>"Proceedings - 2014 7th International Conference on Ubi-Media Computing and Workshops, U-MEDIA 2014"</f>
        <v>Proceedings - 2014 7th International Conference on Ubi-Media Computing and Workshops, U-MEDIA 2014</v>
      </c>
      <c r="B12846" s="8" t="str">
        <f>"9781479942664"</f>
        <v>9781479942664</v>
      </c>
      <c r="C12846" s="8" t="s">
        <v>105</v>
      </c>
    </row>
    <row r="12847" spans="1:3" x14ac:dyDescent="0.25">
      <c r="A12847" s="8" t="str">
        <f>"Proceedings - 2014 7th International Congress on Image and Signal Processing, CISP 2014"</f>
        <v>Proceedings - 2014 7th International Congress on Image and Signal Processing, CISP 2014</v>
      </c>
      <c r="B12847" s="8" t="str">
        <f>"9781479958351"</f>
        <v>9781479958351</v>
      </c>
      <c r="C12847" s="8" t="s">
        <v>105</v>
      </c>
    </row>
    <row r="12848" spans="1:3" x14ac:dyDescent="0.25">
      <c r="A12848" s="8" t="str">
        <f>"Proceedings - 2014 7th International Joint Conference on Computational Sciences and Optimization, CSO 2014"</f>
        <v>Proceedings - 2014 7th International Joint Conference on Computational Sciences and Optimization, CSO 2014</v>
      </c>
      <c r="B12848" s="8" t="str">
        <f>"9781479953721"</f>
        <v>9781479953721</v>
      </c>
      <c r="C12848" s="8" t="s">
        <v>105</v>
      </c>
    </row>
    <row r="12849" spans="1:3" x14ac:dyDescent="0.25">
      <c r="A12849" s="8" t="str">
        <f>"Proceedings - 2014 7th International Symposium on Computational Intelligence and Design, ISCID 2014"</f>
        <v>Proceedings - 2014 7th International Symposium on Computational Intelligence and Design, ISCID 2014</v>
      </c>
      <c r="B12849" s="8" t="str">
        <f>"-"</f>
        <v>-</v>
      </c>
      <c r="C12849" s="8" t="s">
        <v>105</v>
      </c>
    </row>
    <row r="12850" spans="1:3" x14ac:dyDescent="0.25">
      <c r="A12850" s="8" t="str">
        <f>"Proceedings - 2014 8th Brazilian Symposium on Software Components, Architectures and Reuse, SBCARS 2014"</f>
        <v>Proceedings - 2014 8th Brazilian Symposium on Software Components, Architectures and Reuse, SBCARS 2014</v>
      </c>
      <c r="B12850" s="8" t="str">
        <f>"9781479978601"</f>
        <v>9781479978601</v>
      </c>
      <c r="C12850" s="8" t="s">
        <v>105</v>
      </c>
    </row>
    <row r="12851" spans="1:3" x14ac:dyDescent="0.25">
      <c r="A12851" s="8" t="str">
        <f>"Proceedings - 2014 8th IEEE/ACM International Symposium on Networks-on-Chip, NoCS 2014"</f>
        <v>Proceedings - 2014 8th IEEE/ACM International Symposium on Networks-on-Chip, NoCS 2014</v>
      </c>
      <c r="B12851" s="8" t="str">
        <f>"9781479953479"</f>
        <v>9781479953479</v>
      </c>
      <c r="C12851" s="8" t="s">
        <v>105</v>
      </c>
    </row>
    <row r="12852" spans="1:3" x14ac:dyDescent="0.25">
      <c r="A12852" s="8" t="str">
        <f>"Proceedings - 2014 8th International Conference on Complex, Intelligent and Software Intensive Systems, CISIS 2014"</f>
        <v>Proceedings - 2014 8th International Conference on Complex, Intelligent and Software Intensive Systems, CISIS 2014</v>
      </c>
      <c r="B12852" s="8" t="str">
        <f>"9781479943258"</f>
        <v>9781479943258</v>
      </c>
      <c r="C12852" s="8" t="s">
        <v>105</v>
      </c>
    </row>
    <row r="12853" spans="1:3" x14ac:dyDescent="0.25">
      <c r="A12853" s="8" t="str">
        <f>"Proceedings - 2014 8th International Conference on Innovative Mobile and Internet Services in Ubiquitous Computing, IMIS 2014"</f>
        <v>Proceedings - 2014 8th International Conference on Innovative Mobile and Internet Services in Ubiquitous Computing, IMIS 2014</v>
      </c>
      <c r="B12853" s="8" t="str">
        <f>"9781479943319"</f>
        <v>9781479943319</v>
      </c>
      <c r="C12853" s="8" t="s">
        <v>105</v>
      </c>
    </row>
    <row r="12854" spans="1:3" x14ac:dyDescent="0.25">
      <c r="A12854" s="8" t="str">
        <f>"Proceedings - 2014 8th International Conference on Next Generation Mobile Applications, Services and Technologies, NGMAST 2014"</f>
        <v>Proceedings - 2014 8th International Conference on Next Generation Mobile Applications, Services and Technologies, NGMAST 2014</v>
      </c>
      <c r="B12854" s="8" t="str">
        <f>"9781479950737"</f>
        <v>9781479950737</v>
      </c>
      <c r="C12854" s="8" t="s">
        <v>105</v>
      </c>
    </row>
    <row r="12855" spans="1:3" x14ac:dyDescent="0.25">
      <c r="A12855" s="8" t="str">
        <f>"Proceedings - 2014 9th Asia Joint Conference on Information Security, AsiaJCIS 2014"</f>
        <v>Proceedings - 2014 9th Asia Joint Conference on Information Security, AsiaJCIS 2014</v>
      </c>
      <c r="B12855" s="8" t="str">
        <f>"9781479957330"</f>
        <v>9781479957330</v>
      </c>
      <c r="C12855" s="8" t="s">
        <v>105</v>
      </c>
    </row>
    <row r="12856" spans="1:3" x14ac:dyDescent="0.25">
      <c r="A12856" s="8" t="str">
        <f>"Proceedings - 2014 9th International Conference on Broadband and Wireless Computing, Communication and Applications, BWCCA 2014"</f>
        <v>Proceedings - 2014 9th International Conference on Broadband and Wireless Computing, Communication and Applications, BWCCA 2014</v>
      </c>
      <c r="B12856" s="8" t="str">
        <f>"9781479941735"</f>
        <v>9781479941735</v>
      </c>
      <c r="C12856" s="8" t="s">
        <v>105</v>
      </c>
    </row>
    <row r="12857" spans="1:3" x14ac:dyDescent="0.25">
      <c r="A12857" s="8" t="str">
        <f>"Proceedings - 2014 9th International Conference on P2P, Parallel, Grid, Cloud and Internet Computing, 3PGCIC 2014"</f>
        <v>Proceedings - 2014 9th International Conference on P2P, Parallel, Grid, Cloud and Internet Computing, 3PGCIC 2014</v>
      </c>
      <c r="B12857" s="8" t="str">
        <f>"9781479941711"</f>
        <v>9781479941711</v>
      </c>
      <c r="C12857" s="8" t="s">
        <v>105</v>
      </c>
    </row>
    <row r="12858" spans="1:3" x14ac:dyDescent="0.25">
      <c r="A12858" s="8" t="str">
        <f>"Proceedings - 2014 9th International Conference on the Quality of Information and Communications Technology, QUATIC 2014"</f>
        <v>Proceedings - 2014 9th International Conference on the Quality of Information and Communications Technology, QUATIC 2014</v>
      </c>
      <c r="B12858" s="8" t="str">
        <f>"9781479961337"</f>
        <v>9781479961337</v>
      </c>
      <c r="C12858" s="8" t="s">
        <v>105</v>
      </c>
    </row>
    <row r="12859" spans="1:3" x14ac:dyDescent="0.25">
      <c r="A12859" s="8" t="str">
        <f>"Proceedings - 2014 Agile Conference, AGILE 2014"</f>
        <v>Proceedings - 2014 Agile Conference, AGILE 2014</v>
      </c>
      <c r="B12859" s="8" t="str">
        <f>"9781479957989"</f>
        <v>9781479957989</v>
      </c>
      <c r="C12859" s="8" t="s">
        <v>105</v>
      </c>
    </row>
    <row r="12860" spans="1:3" x14ac:dyDescent="0.25">
      <c r="A12860" s="8" t="str">
        <f>"Proceedings - 2014 Annual Global Online Conference on Information and Computer Technology, GOCICT 2014"</f>
        <v>Proceedings - 2014 Annual Global Online Conference on Information and Computer Technology, GOCICT 2014</v>
      </c>
      <c r="B12860" s="8" t="str">
        <f>"9781479983117"</f>
        <v>9781479983117</v>
      </c>
      <c r="C12860" s="8" t="s">
        <v>105</v>
      </c>
    </row>
    <row r="12861" spans="1:3" x14ac:dyDescent="0.25">
      <c r="A12861" s="8" t="str">
        <f>"Proceedings - 2014 Brazilian Conference on Intelligent Systems, BRACIS 2014"</f>
        <v>Proceedings - 2014 Brazilian Conference on Intelligent Systems, BRACIS 2014</v>
      </c>
      <c r="B12861" s="8" t="str">
        <f>"9781479956180"</f>
        <v>9781479956180</v>
      </c>
      <c r="C12861" s="8" t="s">
        <v>105</v>
      </c>
    </row>
    <row r="12862" spans="1:3" x14ac:dyDescent="0.25">
      <c r="A12862" s="8" t="str">
        <f>"Proceedings - 2014 Electrical Power and Energy Conference, EPEC 2014"</f>
        <v>Proceedings - 2014 Electrical Power and Energy Conference, EPEC 2014</v>
      </c>
      <c r="B12862" s="8" t="str">
        <f>"9781479960385"</f>
        <v>9781479960385</v>
      </c>
      <c r="C12862" s="8" t="s">
        <v>105</v>
      </c>
    </row>
    <row r="12863" spans="1:3" x14ac:dyDescent="0.25">
      <c r="A12863" s="8" t="str">
        <f>"Proceedings - 2014 Electrical Power, Electronics, Communications, Control and Informatics Seminar, EECCIS 2014. In conjunction with the 1st Joint Conference UB-UTHM "</f>
        <v xml:space="preserve">Proceedings - 2014 Electrical Power, Electronics, Communications, Control and Informatics Seminar, EECCIS 2014. In conjunction with the 1st Joint Conference UB-UTHM </v>
      </c>
      <c r="B12863" s="8" t="str">
        <f>"9781479969470"</f>
        <v>9781479969470</v>
      </c>
      <c r="C12863" s="8" t="s">
        <v>105</v>
      </c>
    </row>
    <row r="12864" spans="1:3" x14ac:dyDescent="0.25">
      <c r="A12864" s="8" t="str">
        <f>"Proceedings - 2014 European Network Intelligence Conference, ENIC 2014"</f>
        <v>Proceedings - 2014 European Network Intelligence Conference, ENIC 2014</v>
      </c>
      <c r="B12864" s="8" t="str">
        <f>"9781479969142"</f>
        <v>9781479969142</v>
      </c>
      <c r="C12864" s="8" t="s">
        <v>105</v>
      </c>
    </row>
    <row r="12865" spans="1:3" x14ac:dyDescent="0.25">
      <c r="A12865" s="8" t="str">
        <f>"Proceedings - 2014 ICPR Workshop on Computer Vision for Analysis of Underwater Imagery, CVAUI 2014"</f>
        <v>Proceedings - 2014 ICPR Workshop on Computer Vision for Analysis of Underwater Imagery, CVAUI 2014</v>
      </c>
      <c r="B12865" s="8" t="str">
        <f>"9781479967131"</f>
        <v>9781479967131</v>
      </c>
      <c r="C12865" s="8" t="s">
        <v>105</v>
      </c>
    </row>
    <row r="12866" spans="1:3" x14ac:dyDescent="0.25">
      <c r="A12866" s="8" t="str">
        <f>"Proceedings - 2014 IEEE 10th International Colloquium on Signal Processing and Its Applications, CSPA 2014"</f>
        <v>Proceedings - 2014 IEEE 10th International Colloquium on Signal Processing and Its Applications, CSPA 2014</v>
      </c>
      <c r="B12866" s="8" t="str">
        <f>"9781479915323"</f>
        <v>9781479915323</v>
      </c>
      <c r="C12866" s="8" t="s">
        <v>9</v>
      </c>
    </row>
    <row r="12867" spans="1:3" x14ac:dyDescent="0.25">
      <c r="A12867" s="8" t="str">
        <f>"Proceedings - 2014 IEEE 10th International Conference on eScience, eScience 2014"</f>
        <v>Proceedings - 2014 IEEE 10th International Conference on eScience, eScience 2014</v>
      </c>
      <c r="B12867" s="8" t="str">
        <f>"-"</f>
        <v>-</v>
      </c>
      <c r="C12867" s="8" t="s">
        <v>105</v>
      </c>
    </row>
    <row r="12868" spans="1:3" x14ac:dyDescent="0.25">
      <c r="A12868" s="8" t="str">
        <f>"Proceedings - 2014 IEEE 10th International Conference on Intelligent Computer Communication and Processing, ICCP 2014"</f>
        <v>Proceedings - 2014 IEEE 10th International Conference on Intelligent Computer Communication and Processing, ICCP 2014</v>
      </c>
      <c r="B12868" s="8" t="str">
        <f>"9781479965687"</f>
        <v>9781479965687</v>
      </c>
      <c r="C12868" s="8" t="s">
        <v>105</v>
      </c>
    </row>
    <row r="12869" spans="1:3" x14ac:dyDescent="0.25">
      <c r="A12869" s="8" t="str">
        <f>"Proceedings - 2014 IEEE 10th World Congress on Services, SERVICES 2014"</f>
        <v>Proceedings - 2014 IEEE 10th World Congress on Services, SERVICES 2014</v>
      </c>
      <c r="B12869" s="8" t="str">
        <f>"9781479950690"</f>
        <v>9781479950690</v>
      </c>
      <c r="C12869" s="8" t="s">
        <v>105</v>
      </c>
    </row>
    <row r="12870" spans="1:3" x14ac:dyDescent="0.25">
      <c r="A12870" s="8" t="str">
        <f>"Proceedings - 2014 IEEE 12th International Conference on Solid-State and Integrated Circuit Technology, ICSICT 2014"</f>
        <v>Proceedings - 2014 IEEE 12th International Conference on Solid-State and Integrated Circuit Technology, ICSICT 2014</v>
      </c>
      <c r="B12870" s="8" t="str">
        <f>"9781479932962"</f>
        <v>9781479932962</v>
      </c>
      <c r="C12870" s="8" t="s">
        <v>105</v>
      </c>
    </row>
    <row r="12871" spans="1:3" x14ac:dyDescent="0.25">
      <c r="A12871" s="8" t="str">
        <f>"Proceedings - 2014 IEEE 13th International Conference on Trust, Security and Privacy in Computing and Communications, TrustCom 2014"</f>
        <v>Proceedings - 2014 IEEE 13th International Conference on Trust, Security and Privacy in Computing and Communications, TrustCom 2014</v>
      </c>
      <c r="B12871" s="8" t="str">
        <f>"9781479965137"</f>
        <v>9781479965137</v>
      </c>
      <c r="C12871" s="8" t="s">
        <v>105</v>
      </c>
    </row>
    <row r="12872" spans="1:3" x14ac:dyDescent="0.25">
      <c r="A12872" s="8" t="str">
        <f>"Proceedings - 2014 IEEE 13th International Symposium on Network Computing and Applications, NCA 2014"</f>
        <v>Proceedings - 2014 IEEE 13th International Symposium on Network Computing and Applications, NCA 2014</v>
      </c>
      <c r="B12872" s="8" t="str">
        <f>"9781479953936"</f>
        <v>9781479953936</v>
      </c>
      <c r="C12872" s="8" t="s">
        <v>105</v>
      </c>
    </row>
    <row r="12873" spans="1:3" x14ac:dyDescent="0.25">
      <c r="A12873" s="8" t="str">
        <f>"Proceedings - 2014 IEEE 15th International Symposium on High-Assurance Systems Engineering, HASE 2014"</f>
        <v>Proceedings - 2014 IEEE 15th International Symposium on High-Assurance Systems Engineering, HASE 2014</v>
      </c>
      <c r="B12873" s="8" t="str">
        <f>"9781479934652"</f>
        <v>9781479934652</v>
      </c>
      <c r="C12873" s="8" t="s">
        <v>9</v>
      </c>
    </row>
    <row r="12874" spans="1:3" x14ac:dyDescent="0.25">
      <c r="A12874" s="8" t="str">
        <f>"Proceedings - 2014 IEEE 22nd Annual Symposium on High-Performance Interconnects, HOTI 2014"</f>
        <v>Proceedings - 2014 IEEE 22nd Annual Symposium on High-Performance Interconnects, HOTI 2014</v>
      </c>
      <c r="B12874" s="8" t="str">
        <f>"9781479958603"</f>
        <v>9781479958603</v>
      </c>
      <c r="C12874" s="8" t="s">
        <v>105</v>
      </c>
    </row>
    <row r="12875" spans="1:3" x14ac:dyDescent="0.25">
      <c r="A12875" s="8" t="str">
        <f>"Proceedings - 2014 IEEE 22nd International Symposium on Field-Programmable Custom Computing Machines, FCCM 2014"</f>
        <v>Proceedings - 2014 IEEE 22nd International Symposium on Field-Programmable Custom Computing Machines, FCCM 2014</v>
      </c>
      <c r="B12875" s="8" t="str">
        <f>"9781479951116"</f>
        <v>9781479951116</v>
      </c>
      <c r="C12875" s="8" t="s">
        <v>105</v>
      </c>
    </row>
    <row r="12876" spans="1:3" x14ac:dyDescent="0.25">
      <c r="A12876" s="8" t="str">
        <f>"Proceedings - 2014 IEEE 3rd International Conference on Mobile Services, MS 2014"</f>
        <v>Proceedings - 2014 IEEE 3rd International Conference on Mobile Services, MS 2014</v>
      </c>
      <c r="B12876" s="8" t="str">
        <f>"9781479950607"</f>
        <v>9781479950607</v>
      </c>
      <c r="C12876" s="8" t="s">
        <v>105</v>
      </c>
    </row>
    <row r="12877" spans="1:3" x14ac:dyDescent="0.25">
      <c r="A12877" s="8" t="str">
        <f>"Proceedings - 2014 IEEE 8th International Conference on Self-Adaptive and Self-Organizing Systems Workshops, SASOW 2014"</f>
        <v>Proceedings - 2014 IEEE 8th International Conference on Self-Adaptive and Self-Organizing Systems Workshops, SASOW 2014</v>
      </c>
      <c r="B12877" s="8" t="str">
        <f>"9781479963782"</f>
        <v>9781479963782</v>
      </c>
      <c r="C12877" s="8" t="s">
        <v>105</v>
      </c>
    </row>
    <row r="12878" spans="1:3" x14ac:dyDescent="0.25">
      <c r="A12878" s="8" t="str">
        <f>"Proceedings - 2014 IEEE 8th International Symposium on Embedded Multicore/Manycore SoCs, MCSoC 2014"</f>
        <v>Proceedings - 2014 IEEE 8th International Symposium on Embedded Multicore/Manycore SoCs, MCSoC 2014</v>
      </c>
      <c r="B12878" s="8" t="str">
        <f>"9781479943050"</f>
        <v>9781479943050</v>
      </c>
      <c r="C12878" s="8" t="s">
        <v>105</v>
      </c>
    </row>
    <row r="12879" spans="1:3" x14ac:dyDescent="0.25">
      <c r="A12879" s="8" t="str">
        <f>"Proceedings - 2014 IEEE 8th International Symposium on the Maintenance and Evolution of Service-Oriented and Cloud-Based Systems, MESOCA 2014"</f>
        <v>Proceedings - 2014 IEEE 8th International Symposium on the Maintenance and Evolution of Service-Oriented and Cloud-Based Systems, MESOCA 2014</v>
      </c>
      <c r="B12879" s="8" t="str">
        <f>"9780769553061"</f>
        <v>9780769553061</v>
      </c>
      <c r="C12879" s="8" t="s">
        <v>105</v>
      </c>
    </row>
    <row r="12880" spans="1:3" x14ac:dyDescent="0.25">
      <c r="A12880" s="8" t="str">
        <f>"Proceedings - 2014 IEEE 9th International Conference on Global Software Engineering, ICGSE 2014"</f>
        <v>Proceedings - 2014 IEEE 9th International Conference on Global Software Engineering, ICGSE 2014</v>
      </c>
      <c r="B12880" s="8" t="str">
        <f>"9781479943616"</f>
        <v>9781479943616</v>
      </c>
      <c r="C12880" s="8" t="s">
        <v>105</v>
      </c>
    </row>
    <row r="12881" spans="1:3" x14ac:dyDescent="0.25">
      <c r="A12881" s="8" t="str">
        <f>"Proceedings - 2014 IEEE Computers, Communications and IT Applications Conference, ComComAp 2014"</f>
        <v>Proceedings - 2014 IEEE Computers, Communications and IT Applications Conference, ComComAp 2014</v>
      </c>
      <c r="B12881" s="8" t="str">
        <f>"9781479948116"</f>
        <v>9781479948116</v>
      </c>
      <c r="C12881" s="8" t="s">
        <v>105</v>
      </c>
    </row>
    <row r="12882" spans="1:3" x14ac:dyDescent="0.25">
      <c r="A12882" s="8" t="str">
        <f>"Proceedings - 2014 IEEE Conference on System, Process and Control, ICSPC 2014"</f>
        <v>Proceedings - 2014 IEEE Conference on System, Process and Control, ICSPC 2014</v>
      </c>
      <c r="B12882" s="8" t="str">
        <f>"9781479961061"</f>
        <v>9781479961061</v>
      </c>
      <c r="C12882" s="8" t="s">
        <v>105</v>
      </c>
    </row>
    <row r="12883" spans="1:3" x14ac:dyDescent="0.25">
      <c r="A12883" s="8" t="str">
        <f>"Proceedings - 2014 IEEE Global Conference on Wireless Computing and Networking, GCWCN 2014"</f>
        <v>Proceedings - 2014 IEEE Global Conference on Wireless Computing and Networking, GCWCN 2014</v>
      </c>
      <c r="B12883" s="8" t="str">
        <f>"9781479962983"</f>
        <v>9781479962983</v>
      </c>
      <c r="C12883" s="8" t="s">
        <v>105</v>
      </c>
    </row>
    <row r="12884" spans="1:3" x14ac:dyDescent="0.25">
      <c r="A12884" s="8" t="str">
        <f>"Proceedings - 2014 IEEE International Conference on Big Data, IEEE Big Data 2014"</f>
        <v>Proceedings - 2014 IEEE International Conference on Big Data, IEEE Big Data 2014</v>
      </c>
      <c r="B12884" s="8" t="str">
        <f>"9781479956654"</f>
        <v>9781479956654</v>
      </c>
      <c r="C12884" s="8" t="s">
        <v>105</v>
      </c>
    </row>
    <row r="12885" spans="1:3" x14ac:dyDescent="0.25">
      <c r="A12885" s="8" t="str">
        <f>"Proceedings - 2014 IEEE International Conference on Cloud Engineering, IC2E 2014"</f>
        <v>Proceedings - 2014 IEEE International Conference on Cloud Engineering, IC2E 2014</v>
      </c>
      <c r="B12885" s="8" t="str">
        <f>"9781479937660"</f>
        <v>9781479937660</v>
      </c>
      <c r="C12885" s="8" t="s">
        <v>105</v>
      </c>
    </row>
    <row r="12886" spans="1:3" x14ac:dyDescent="0.25">
      <c r="A12886" s="8" t="str">
        <f>"Proceedings - 2014 IEEE International Conference on Computer and Information Technology, CIT 2014"</f>
        <v>Proceedings - 2014 IEEE International Conference on Computer and Information Technology, CIT 2014</v>
      </c>
      <c r="B12886" s="8" t="str">
        <f>"9781479962389"</f>
        <v>9781479962389</v>
      </c>
      <c r="C12886" s="8" t="s">
        <v>105</v>
      </c>
    </row>
    <row r="12887" spans="1:3" x14ac:dyDescent="0.25">
      <c r="A12887" s="8" t="str">
        <f>"Proceedings - 2014 IEEE International Conference on Control Science and Systems Engineering, CCSSE 2014"</f>
        <v>Proceedings - 2014 IEEE International Conference on Control Science and Systems Engineering, CCSSE 2014</v>
      </c>
      <c r="B12887" s="8" t="str">
        <f>"9781479963966"</f>
        <v>9781479963966</v>
      </c>
      <c r="C12887" s="8" t="s">
        <v>105</v>
      </c>
    </row>
    <row r="12888" spans="1:3" x14ac:dyDescent="0.25">
      <c r="A12888" s="8" t="str">
        <f>"Proceedings - 2014 IEEE International Conference on Granular Computing, GrC 2014"</f>
        <v>Proceedings - 2014 IEEE International Conference on Granular Computing, GrC 2014</v>
      </c>
      <c r="B12888" s="8" t="str">
        <f>"9781479954643"</f>
        <v>9781479954643</v>
      </c>
      <c r="C12888" s="8" t="s">
        <v>105</v>
      </c>
    </row>
    <row r="12889" spans="1:3" x14ac:dyDescent="0.25">
      <c r="A12889" s="8" t="str">
        <f>"Proceedings - 2014 IEEE International Conference on Healthcare Informatics, ICHI 2014"</f>
        <v>Proceedings - 2014 IEEE International Conference on Healthcare Informatics, ICHI 2014</v>
      </c>
      <c r="B12889" s="8" t="str">
        <f>"9781479957019"</f>
        <v>9781479957019</v>
      </c>
      <c r="C12889" s="8" t="s">
        <v>105</v>
      </c>
    </row>
    <row r="12890" spans="1:3" x14ac:dyDescent="0.25">
      <c r="A12890" s="8" t="s">
        <v>2068</v>
      </c>
      <c r="B12890" s="8" t="str">
        <f>"9781479959679"</f>
        <v>9781479959679</v>
      </c>
      <c r="C12890" s="8" t="s">
        <v>105</v>
      </c>
    </row>
    <row r="12891" spans="1:3" x14ac:dyDescent="0.25">
      <c r="A12891" s="8" t="str">
        <f>"Proceedings - 2014 IEEE International Conference on Services Computing, SCC 2014"</f>
        <v>Proceedings - 2014 IEEE International Conference on Services Computing, SCC 2014</v>
      </c>
      <c r="B12891" s="8" t="str">
        <f>"9781479950669"</f>
        <v>9781479950669</v>
      </c>
      <c r="C12891" s="8" t="s">
        <v>105</v>
      </c>
    </row>
    <row r="12892" spans="1:3" x14ac:dyDescent="0.25">
      <c r="A12892" s="8" t="s">
        <v>2069</v>
      </c>
      <c r="B12892" s="8" t="str">
        <f>"9781479976461"</f>
        <v>9781479976461</v>
      </c>
      <c r="C12892" s="8" t="s">
        <v>105</v>
      </c>
    </row>
    <row r="12893" spans="1:3" x14ac:dyDescent="0.25">
      <c r="A12893" s="8" t="str">
        <f>"Proceedings - 2014 IEEE International Conference on Web Services, ICWS 2014"</f>
        <v>Proceedings - 2014 IEEE International Conference on Web Services, ICWS 2014</v>
      </c>
      <c r="B12893" s="8" t="str">
        <f>"9781479950546"</f>
        <v>9781479950546</v>
      </c>
      <c r="C12893" s="8" t="s">
        <v>105</v>
      </c>
    </row>
    <row r="12894" spans="1:3" x14ac:dyDescent="0.25">
      <c r="A12894" s="8" t="str">
        <f>"Proceedings - 2014 IEEE International Congress on Big Data, BigData Congress 2014"</f>
        <v>Proceedings - 2014 IEEE International Congress on Big Data, BigData Congress 2014</v>
      </c>
      <c r="B12894" s="8" t="str">
        <f>"9781479950577"</f>
        <v>9781479950577</v>
      </c>
      <c r="C12894" s="8" t="s">
        <v>105</v>
      </c>
    </row>
    <row r="12895" spans="1:3" x14ac:dyDescent="0.25">
      <c r="A12895" s="8" t="str">
        <f>"Proceedings - 2014 IEEE International Symposium on Multimedia, ISM 2014"</f>
        <v>Proceedings - 2014 IEEE International Symposium on Multimedia, ISM 2014</v>
      </c>
      <c r="B12895" s="8" t="str">
        <f>"9781479943111"</f>
        <v>9781479943111</v>
      </c>
      <c r="C12895" s="8" t="s">
        <v>105</v>
      </c>
    </row>
    <row r="12896" spans="1:3" x14ac:dyDescent="0.25">
      <c r="A12896" s="8" t="str">
        <f>"Proceedings - 2014 IEEE International Symposium on Parallel and Distributed Processing with Applications, ISPA 2014"</f>
        <v>Proceedings - 2014 IEEE International Symposium on Parallel and Distributed Processing with Applications, ISPA 2014</v>
      </c>
      <c r="B12896" s="8" t="str">
        <f>"9781479942930"</f>
        <v>9781479942930</v>
      </c>
      <c r="C12896" s="8" t="s">
        <v>105</v>
      </c>
    </row>
    <row r="12897" spans="1:3" x14ac:dyDescent="0.25">
      <c r="A12897" s="8" t="str">
        <f>"Proceedings - 2014 IEEE International Workshop on Intelligent Energy Systems, IWIES 2014"</f>
        <v>Proceedings - 2014 IEEE International Workshop on Intelligent Energy Systems, IWIES 2014</v>
      </c>
      <c r="B12897" s="8" t="str">
        <f>"9781479958573"</f>
        <v>9781479958573</v>
      </c>
      <c r="C12897" s="8" t="s">
        <v>105</v>
      </c>
    </row>
    <row r="12898" spans="1:3" x14ac:dyDescent="0.25">
      <c r="A12898" s="8" t="str">
        <f>"Proceedings - 2014 IEEE Joint Intelligence and Security Informatics Conference, JISIC 2014"</f>
        <v>Proceedings - 2014 IEEE Joint Intelligence and Security Informatics Conference, JISIC 2014</v>
      </c>
      <c r="B12898" s="8" t="str">
        <f>"9781479963645"</f>
        <v>9781479963645</v>
      </c>
      <c r="C12898" s="8" t="s">
        <v>105</v>
      </c>
    </row>
    <row r="12899" spans="1:3" x14ac:dyDescent="0.25">
      <c r="A12899" s="8" t="str">
        <f>"Proceedings - 2014 IEEE Workshop on Advanced Research and Technology in Industry Applications, WARTIA 2014"</f>
        <v>Proceedings - 2014 IEEE Workshop on Advanced Research and Technology in Industry Applications, WARTIA 2014</v>
      </c>
      <c r="B12899" s="8" t="str">
        <f>"9781479969890"</f>
        <v>9781479969890</v>
      </c>
      <c r="C12899" s="8" t="s">
        <v>105</v>
      </c>
    </row>
    <row r="12900" spans="1:3" x14ac:dyDescent="0.25">
      <c r="A12900" s="8" t="str">
        <f>"Proceedings - 2014 IEEE Workshop on Electronics, Computer and Applications, IWECA 2014"</f>
        <v>Proceedings - 2014 IEEE Workshop on Electronics, Computer and Applications, IWECA 2014</v>
      </c>
      <c r="B12900" s="8" t="str">
        <f>"9781479945658"</f>
        <v>9781479945658</v>
      </c>
      <c r="C12900" s="8" t="s">
        <v>9</v>
      </c>
    </row>
    <row r="12901" spans="1:3" x14ac:dyDescent="0.25">
      <c r="A12901" s="8" t="str">
        <f>"Proceedings - 2014 IEEE/ACM 7th International Conference on Utility and Cloud Computing, UCC 2014"</f>
        <v>Proceedings - 2014 IEEE/ACM 7th International Conference on Utility and Cloud Computing, UCC 2014</v>
      </c>
      <c r="B12901" s="8" t="str">
        <f>"9781479978816"</f>
        <v>9781479978816</v>
      </c>
      <c r="C12901" s="8" t="s">
        <v>105</v>
      </c>
    </row>
    <row r="12902" spans="1:3" x14ac:dyDescent="0.25">
      <c r="A12902" s="8" t="str">
        <f>"Proceedings - 2014 IEEE/WIC/ACM International Joint Conference on Web Intelligence and Intelligent Agent Technology - Workshops, WI-IAT 2014"</f>
        <v>Proceedings - 2014 IEEE/WIC/ACM International Joint Conference on Web Intelligence and Intelligent Agent Technology - Workshops, WI-IAT 2014</v>
      </c>
      <c r="B12902" s="8" t="str">
        <f>"-"</f>
        <v>-</v>
      </c>
      <c r="C12902" s="8" t="s">
        <v>105</v>
      </c>
    </row>
    <row r="12903" spans="1:3" x14ac:dyDescent="0.25">
      <c r="A12903" s="8" t="str">
        <f>"Proceedings - 2014 IIAI 3rd International Conference on Advanced Applied Informatics, IIAI-AAI 2014"</f>
        <v>Proceedings - 2014 IIAI 3rd International Conference on Advanced Applied Informatics, IIAI-AAI 2014</v>
      </c>
      <c r="B12903" s="8" t="str">
        <f>"-"</f>
        <v>-</v>
      </c>
      <c r="C12903" s="8" t="s">
        <v>105</v>
      </c>
    </row>
    <row r="12904" spans="1:3" x14ac:dyDescent="0.25">
      <c r="A12904" s="8" t="str">
        <f>"Proceedings - 2014 International Conference of Educational Innovation Through Technology, EITT 2014"</f>
        <v>Proceedings - 2014 International Conference of Educational Innovation Through Technology, EITT 2014</v>
      </c>
      <c r="B12904" s="8" t="str">
        <f>"9781479942312"</f>
        <v>9781479942312</v>
      </c>
      <c r="C12904" s="8" t="s">
        <v>105</v>
      </c>
    </row>
    <row r="12905" spans="1:3" x14ac:dyDescent="0.25">
      <c r="A12905" s="8" t="str">
        <f>"Proceedings - 2014 International Conference on 3D Vision, 3DV 2014"</f>
        <v>Proceedings - 2014 International Conference on 3D Vision, 3DV 2014</v>
      </c>
      <c r="B12905" s="8" t="str">
        <f>"9781479970018"</f>
        <v>9781479970018</v>
      </c>
      <c r="C12905" s="8" t="s">
        <v>105</v>
      </c>
    </row>
    <row r="12906" spans="1:3" x14ac:dyDescent="0.25">
      <c r="A12906" s="8" t="str">
        <f>"Proceedings - 2014 International Conference on Advanced Informatics: Concept, Theory and Application, ICAICTA 2014"</f>
        <v>Proceedings - 2014 International Conference on Advanced Informatics: Concept, Theory and Application, ICAICTA 2014</v>
      </c>
      <c r="B12906" s="8" t="str">
        <f>"9781479951000"</f>
        <v>9781479951000</v>
      </c>
      <c r="C12906" s="8" t="s">
        <v>105</v>
      </c>
    </row>
    <row r="12907" spans="1:3" x14ac:dyDescent="0.25">
      <c r="A12907" s="8" t="str">
        <f>"Proceedings - 2014 International Conference on Advanced Networking Distributed Systems and Applications, INDS 2014"</f>
        <v>Proceedings - 2014 International Conference on Advanced Networking Distributed Systems and Applications, INDS 2014</v>
      </c>
      <c r="B12907" s="8" t="str">
        <f>"9781479951789"</f>
        <v>9781479951789</v>
      </c>
      <c r="C12907" s="8" t="s">
        <v>105</v>
      </c>
    </row>
    <row r="12908" spans="1:3" x14ac:dyDescent="0.25">
      <c r="A12908" s="8" t="str">
        <f>"Proceedings - 2014 International Conference on Cloud and Autonomic Computing, ICCAC 2014"</f>
        <v>Proceedings - 2014 International Conference on Cloud and Autonomic Computing, ICCAC 2014</v>
      </c>
      <c r="B12908" s="8" t="str">
        <f>"9781479958412"</f>
        <v>9781479958412</v>
      </c>
      <c r="C12908" s="8" t="s">
        <v>105</v>
      </c>
    </row>
    <row r="12909" spans="1:3" x14ac:dyDescent="0.25">
      <c r="A12909" s="8" t="str">
        <f>"Proceedings - 2014 International Conference on Cloud Computing and Big Data, CCBD 2014"</f>
        <v>Proceedings - 2014 International Conference on Cloud Computing and Big Data, CCBD 2014</v>
      </c>
      <c r="B12909" s="8" t="str">
        <f>"9781479966219"</f>
        <v>9781479966219</v>
      </c>
      <c r="C12909" s="8" t="s">
        <v>105</v>
      </c>
    </row>
    <row r="12910" spans="1:3" x14ac:dyDescent="0.25">
      <c r="A12910" s="8" t="str">
        <f>"Proceedings - 2014 International Conference on Control, Decision and Information Technologies, CoDIT 2014"</f>
        <v>Proceedings - 2014 International Conference on Control, Decision and Information Technologies, CoDIT 2014</v>
      </c>
      <c r="B12910" s="8" t="str">
        <f>"9781479967735"</f>
        <v>9781479967735</v>
      </c>
      <c r="C12910" s="8" t="s">
        <v>105</v>
      </c>
    </row>
    <row r="12911" spans="1:3" x14ac:dyDescent="0.25">
      <c r="A12911" s="8" t="str">
        <f>"Proceedings - 2014 International Conference on Cyber-Enabled Distributed Computing and Knowledge Discovery, CyberC 2014"</f>
        <v>Proceedings - 2014 International Conference on Cyber-Enabled Distributed Computing and Knowledge Discovery, CyberC 2014</v>
      </c>
      <c r="B12911" s="8" t="str">
        <f>"9781479962358"</f>
        <v>9781479962358</v>
      </c>
      <c r="C12911" s="8" t="s">
        <v>105</v>
      </c>
    </row>
    <row r="12912" spans="1:3" x14ac:dyDescent="0.25">
      <c r="A12912" s="8" t="str">
        <f>"Proceedings - 2014 International Conference on Cyberworlds, CW 2014"</f>
        <v>Proceedings - 2014 International Conference on Cyberworlds, CW 2014</v>
      </c>
      <c r="B12912" s="8" t="str">
        <f>"9781479946778"</f>
        <v>9781479946778</v>
      </c>
      <c r="C12912" s="8" t="s">
        <v>105</v>
      </c>
    </row>
    <row r="12913" spans="1:3" x14ac:dyDescent="0.25">
      <c r="A12913" s="8" t="str">
        <f>"Proceedings - 2014 International Conference on Data Science and Engineering, ICDSE 2014"</f>
        <v>Proceedings - 2014 International Conference on Data Science and Engineering, ICDSE 2014</v>
      </c>
      <c r="B12913" s="8" t="str">
        <f>"9781479968701"</f>
        <v>9781479968701</v>
      </c>
      <c r="C12913" s="8" t="s">
        <v>105</v>
      </c>
    </row>
    <row r="12914" spans="1:3" x14ac:dyDescent="0.25">
      <c r="A12914" s="8" t="str">
        <f>"Proceedings - 2014 International Conference on Digital Home, ICDH 2014"</f>
        <v>Proceedings - 2014 International Conference on Digital Home, ICDH 2014</v>
      </c>
      <c r="B12914" s="8" t="str">
        <f>"9781479942848"</f>
        <v>9781479942848</v>
      </c>
      <c r="C12914" s="8" t="s">
        <v>105</v>
      </c>
    </row>
    <row r="12915" spans="1:3" x14ac:dyDescent="0.25">
      <c r="A12915" s="8" t="str">
        <f>"Proceedings - 2014 International Conference on Electrical Machines, ICEM 2014"</f>
        <v>Proceedings - 2014 International Conference on Electrical Machines, ICEM 2014</v>
      </c>
      <c r="B12915" s="8" t="str">
        <f>"9781479943890"</f>
        <v>9781479943890</v>
      </c>
      <c r="C12915" s="8" t="s">
        <v>105</v>
      </c>
    </row>
    <row r="12916" spans="1:3" x14ac:dyDescent="0.25">
      <c r="A12916" s="8" t="str">
        <f>"Proceedings - 2014 International Conference on Electromagnetics in Advanced Applications, ICEAA 2014"</f>
        <v>Proceedings - 2014 International Conference on Electromagnetics in Advanced Applications, ICEAA 2014</v>
      </c>
      <c r="B12916" s="8" t="str">
        <f>"9781467357104"</f>
        <v>9781467357104</v>
      </c>
      <c r="C12916" s="8" t="s">
        <v>105</v>
      </c>
    </row>
    <row r="12917" spans="1:3" x14ac:dyDescent="0.25">
      <c r="A12917" s="8" t="str">
        <f>"Proceedings - 2014 International Conference on Embedded and Ubiquitous Computing, EUC 2014"</f>
        <v>Proceedings - 2014 International Conference on Embedded and Ubiquitous Computing, EUC 2014</v>
      </c>
      <c r="B12917" s="8" t="str">
        <f>"9780769552491"</f>
        <v>9780769552491</v>
      </c>
      <c r="C12917" s="8" t="s">
        <v>105</v>
      </c>
    </row>
    <row r="12918" spans="1:3" x14ac:dyDescent="0.25">
      <c r="A12918" s="8" t="str">
        <f>"Proceedings - 2014 International Conference on Emerging Security Technologies, EST 2014"</f>
        <v>Proceedings - 2014 International Conference on Emerging Security Technologies, EST 2014</v>
      </c>
      <c r="B12918" s="8" t="str">
        <f>"9781479970070"</f>
        <v>9781479970070</v>
      </c>
      <c r="C12918" s="8" t="s">
        <v>105</v>
      </c>
    </row>
    <row r="12919" spans="1:3" x14ac:dyDescent="0.25">
      <c r="A12919" s="8" t="str">
        <f>"Proceedings - 2014 International Conference on Emerging Technologies, ICET 2014"</f>
        <v>Proceedings - 2014 International Conference on Emerging Technologies, ICET 2014</v>
      </c>
      <c r="B12919" s="8" t="str">
        <f>"9781479960880"</f>
        <v>9781479960880</v>
      </c>
      <c r="C12919" s="8" t="s">
        <v>105</v>
      </c>
    </row>
    <row r="12920" spans="1:3" x14ac:dyDescent="0.25">
      <c r="A12920" s="8" t="str">
        <f>"Proceedings - 2014 International Conference on Engineering and Telecommunication, EnT 2014"</f>
        <v>Proceedings - 2014 International Conference on Engineering and Telecommunication, EnT 2014</v>
      </c>
      <c r="B12920" s="8" t="str">
        <f>"9781479970124"</f>
        <v>9781479970124</v>
      </c>
      <c r="C12920" s="8" t="s">
        <v>105</v>
      </c>
    </row>
    <row r="12921" spans="1:3" x14ac:dyDescent="0.25">
      <c r="A12921" s="8" t="str">
        <f>"Proceedings - 2014 International Conference on Future Internet of Things and Cloud, FiCloud 2014"</f>
        <v>Proceedings - 2014 International Conference on Future Internet of Things and Cloud, FiCloud 2014</v>
      </c>
      <c r="B12921" s="8" t="str">
        <f>"9781479943586"</f>
        <v>9781479943586</v>
      </c>
      <c r="C12921" s="8" t="s">
        <v>105</v>
      </c>
    </row>
    <row r="12922" spans="1:3" x14ac:dyDescent="0.25">
      <c r="A12922" s="8" t="s">
        <v>2070</v>
      </c>
      <c r="B12922" s="8" t="str">
        <f>"9781479963225"</f>
        <v>9781479963225</v>
      </c>
      <c r="C12922" s="8" t="s">
        <v>105</v>
      </c>
    </row>
    <row r="12923" spans="1:3" x14ac:dyDescent="0.25">
      <c r="A12923" s="8" t="str">
        <f>"Proceedings - 2014 International Conference on Identification, Information and Knowledge in the Internet of Things, IIKI 2014"</f>
        <v>Proceedings - 2014 International Conference on Identification, Information and Knowledge in the Internet of Things, IIKI 2014</v>
      </c>
      <c r="B12923" s="8" t="str">
        <f>"9781479980031"</f>
        <v>9781479980031</v>
      </c>
      <c r="C12923" s="8" t="s">
        <v>105</v>
      </c>
    </row>
    <row r="12924" spans="1:3" x14ac:dyDescent="0.25">
      <c r="A12924" s="8" t="str">
        <f>"Proceedings - 2014 International Conference on Information Science, Electronics and Electrical Engineering, ISEEE 2014"</f>
        <v>Proceedings - 2014 International Conference on Information Science, Electronics and Electrical Engineering, ISEEE 2014</v>
      </c>
      <c r="B12924" s="8" t="str">
        <f>"-"</f>
        <v>-</v>
      </c>
      <c r="C12924" s="8" t="s">
        <v>105</v>
      </c>
    </row>
    <row r="12925" spans="1:3" x14ac:dyDescent="0.25">
      <c r="A12925" s="8" t="str">
        <f>"Proceedings - 2014 International Conference on Intelligent Computing Applications, ICICA 2014"</f>
        <v>Proceedings - 2014 International Conference on Intelligent Computing Applications, ICICA 2014</v>
      </c>
      <c r="B12925" s="8" t="str">
        <f>"9781479939664"</f>
        <v>9781479939664</v>
      </c>
      <c r="C12925" s="8" t="s">
        <v>105</v>
      </c>
    </row>
    <row r="12926" spans="1:3" x14ac:dyDescent="0.25">
      <c r="A12926" s="8" t="str">
        <f>"Proceedings - 2014 International Conference on Intelligent Environments, IE 2014"</f>
        <v>Proceedings - 2014 International Conference on Intelligent Environments, IE 2014</v>
      </c>
      <c r="B12926" s="8" t="str">
        <f>"9781479929474"</f>
        <v>9781479929474</v>
      </c>
      <c r="C12926" s="8" t="s">
        <v>105</v>
      </c>
    </row>
    <row r="12927" spans="1:3" x14ac:dyDescent="0.25">
      <c r="A12927" s="8" t="str">
        <f>"Proceedings - 2014 International Conference on Intelligent Networking and Collaborative Systems, IEEE INCoS 2014"</f>
        <v>Proceedings - 2014 International Conference on Intelligent Networking and Collaborative Systems, IEEE INCoS 2014</v>
      </c>
      <c r="B12927" s="8" t="str">
        <f>"9781479963867"</f>
        <v>9781479963867</v>
      </c>
      <c r="C12927" s="8" t="s">
        <v>105</v>
      </c>
    </row>
    <row r="12928" spans="1:3" x14ac:dyDescent="0.25">
      <c r="A12928" s="8" t="str">
        <f>"Proceedings - 2014 International Conference on Interactive Technologies and Games, iTAG 2014"</f>
        <v>Proceedings - 2014 International Conference on Interactive Technologies and Games, iTAG 2014</v>
      </c>
      <c r="B12928" s="8" t="str">
        <f>"9781479967957"</f>
        <v>9781479967957</v>
      </c>
      <c r="C12928" s="8" t="s">
        <v>105</v>
      </c>
    </row>
    <row r="12929" spans="1:3" x14ac:dyDescent="0.25">
      <c r="A12929" s="8" t="str">
        <f>"Proceedings - 2014 International Conference on Management of e-Commerce and e-Government, ICMeCG 2014"</f>
        <v>Proceedings - 2014 International Conference on Management of e-Commerce and e-Government, ICMeCG 2014</v>
      </c>
      <c r="B12929" s="8" t="str">
        <f>"9781479965434"</f>
        <v>9781479965434</v>
      </c>
      <c r="C12929" s="8" t="s">
        <v>105</v>
      </c>
    </row>
    <row r="12930" spans="1:3" x14ac:dyDescent="0.25">
      <c r="A12930" s="8" t="str">
        <f>"Proceedings - 2014 International Conference on Mathematics and Computers in Sciences and in Industry, MCSI 2014"</f>
        <v>Proceedings - 2014 International Conference on Mathematics and Computers in Sciences and in Industry, MCSI 2014</v>
      </c>
      <c r="B12930" s="8" t="str">
        <f>"9781479943241"</f>
        <v>9781479943241</v>
      </c>
      <c r="C12930" s="8" t="s">
        <v>105</v>
      </c>
    </row>
    <row r="12931" spans="1:3" x14ac:dyDescent="0.25">
      <c r="A12931" s="8" t="str">
        <f>"Proceedings - 2014 International Conference on Network-Based Information Systems, NBiS 2014"</f>
        <v>Proceedings - 2014 International Conference on Network-Based Information Systems, NBiS 2014</v>
      </c>
      <c r="B12931" s="8" t="str">
        <f>"9781479942268"</f>
        <v>9781479942268</v>
      </c>
      <c r="C12931" s="8" t="s">
        <v>105</v>
      </c>
    </row>
    <row r="12932" spans="1:3" x14ac:dyDescent="0.25">
      <c r="A12932" s="8" t="str">
        <f>"Proceedings - 2014 International Conference on Smart Green Technology in Electrical and Information Systems: Towards Greener Globe Through Smart Technology, ICSGTEIS 2014"</f>
        <v>Proceedings - 2014 International Conference on Smart Green Technology in Electrical and Information Systems: Towards Greener Globe Through Smart Technology, ICSGTEIS 2014</v>
      </c>
      <c r="B12932" s="8" t="str">
        <f>"9781479961276"</f>
        <v>9781479961276</v>
      </c>
      <c r="C12932" s="8" t="s">
        <v>105</v>
      </c>
    </row>
    <row r="12933" spans="1:3" x14ac:dyDescent="0.25">
      <c r="A12933" s="8" t="str">
        <f>"Proceedings - 2014 International Conference on Soft Computing and Machine Intelligence, ISCMI 2014"</f>
        <v>Proceedings - 2014 International Conference on Soft Computing and Machine Intelligence, ISCMI 2014</v>
      </c>
      <c r="B12933" s="8" t="str">
        <f>"9781479942312"</f>
        <v>9781479942312</v>
      </c>
      <c r="C12933" s="8" t="s">
        <v>105</v>
      </c>
    </row>
    <row r="12934" spans="1:3" x14ac:dyDescent="0.25">
      <c r="A12934" s="8" t="str">
        <f>"Proceedings - 2014 International Conference on Wireless Communication and Sensor Network, WCSN 2014"</f>
        <v>Proceedings - 2014 International Conference on Wireless Communication and Sensor Network, WCSN 2014</v>
      </c>
      <c r="B12934" s="8" t="str">
        <f>"9781479970919"</f>
        <v>9781479970919</v>
      </c>
      <c r="C12934" s="8" t="s">
        <v>105</v>
      </c>
    </row>
    <row r="12935" spans="1:3" x14ac:dyDescent="0.25">
      <c r="A12935" s="8" t="str">
        <f>"Proceedings - 2014 International Power Electronics and Application Conference and Exposition, IEEE PEAC 2014"</f>
        <v>Proceedings - 2014 International Power Electronics and Application Conference and Exposition, IEEE PEAC 2014</v>
      </c>
      <c r="B12935" s="8" t="str">
        <f>"9781479967674"</f>
        <v>9781479967674</v>
      </c>
      <c r="C12935" s="8" t="s">
        <v>105</v>
      </c>
    </row>
    <row r="12936" spans="1:3" x14ac:dyDescent="0.25">
      <c r="A12936" s="8" t="str">
        <f>"Proceedings - 2014 International Symposium on Biometrics and Security Technologies, ISBAST 2014"</f>
        <v>Proceedings - 2014 International Symposium on Biometrics and Security Technologies, ISBAST 2014</v>
      </c>
      <c r="B12936" s="8" t="str">
        <f>"9781479964444"</f>
        <v>9781479964444</v>
      </c>
      <c r="C12936" s="8" t="s">
        <v>105</v>
      </c>
    </row>
    <row r="12937" spans="1:3" x14ac:dyDescent="0.25">
      <c r="A12937" s="8" t="str">
        <f>"Proceedings - 2014 International Symposium on Theoretical Aspects of Software Engineering, TASE 2014"</f>
        <v>Proceedings - 2014 International Symposium on Theoretical Aspects of Software Engineering, TASE 2014</v>
      </c>
      <c r="B12937" s="8" t="str">
        <f>"9781479950294"</f>
        <v>9781479950294</v>
      </c>
      <c r="C12937" s="8" t="s">
        <v>105</v>
      </c>
    </row>
    <row r="12938" spans="1:3" x14ac:dyDescent="0.25">
      <c r="A12938" s="8" t="str">
        <f>"Proceedings - 2014 International Workshop on Advanced Information Systems for Enterprises, IWAISE 2014"</f>
        <v>Proceedings - 2014 International Workshop on Advanced Information Systems for Enterprises, IWAISE 2014</v>
      </c>
      <c r="B12938" s="8" t="str">
        <f>"9781479943005"</f>
        <v>9781479943005</v>
      </c>
      <c r="C12938" s="8" t="s">
        <v>105</v>
      </c>
    </row>
    <row r="12939" spans="1:3" x14ac:dyDescent="0.25">
      <c r="A12939" s="8" t="str">
        <f>"Proceedings - 2014 International Workshop on Secure Internet of Things, SIoT 2014"</f>
        <v>Proceedings - 2014 International Workshop on Secure Internet of Things, SIoT 2014</v>
      </c>
      <c r="B12939" s="8" t="str">
        <f>"9781479979073"</f>
        <v>9781479979073</v>
      </c>
      <c r="C12939" s="8" t="s">
        <v>105</v>
      </c>
    </row>
    <row r="12940" spans="1:3" x14ac:dyDescent="0.25">
      <c r="A12940" s="8" t="str">
        <f>"Proceedings - 2014 Joint Conference of the International Workshop on Software Measurement, IWSM 2014 and the International Conference on Software Process and Product Measurement, Mensura 2014"</f>
        <v>Proceedings - 2014 Joint Conference of the International Workshop on Software Measurement, IWSM 2014 and the International Conference on Software Process and Product Measurement, Mensura 2014</v>
      </c>
      <c r="B12940" s="8" t="str">
        <f>"9781479941742"</f>
        <v>9781479941742</v>
      </c>
      <c r="C12940" s="8" t="s">
        <v>105</v>
      </c>
    </row>
    <row r="12941" spans="1:3" x14ac:dyDescent="0.25">
      <c r="A12941" s="8" t="str">
        <f>"Proceedings - 2014 National Wireless Research Collaboration Symposium: Rapidly Transitioning Wireless Spectrum-Using Research to Deployable Innovations, NWRCS 2014"</f>
        <v>Proceedings - 2014 National Wireless Research Collaboration Symposium: Rapidly Transitioning Wireless Spectrum-Using Research to Deployable Innovations, NWRCS 2014</v>
      </c>
      <c r="B12941" s="8" t="str">
        <f>"9781479950140"</f>
        <v>9781479950140</v>
      </c>
      <c r="C12941" s="8" t="s">
        <v>105</v>
      </c>
    </row>
    <row r="12942" spans="1:3" x14ac:dyDescent="0.25">
      <c r="A12942" s="8" t="str">
        <f>"Proceedings - 2014 Power Systems Computation Conference, PSCC 2014"</f>
        <v>Proceedings - 2014 Power Systems Computation Conference, PSCC 2014</v>
      </c>
      <c r="B12942" s="8" t="str">
        <f>"9788393580132"</f>
        <v>9788393580132</v>
      </c>
      <c r="C12942" s="8" t="s">
        <v>105</v>
      </c>
    </row>
    <row r="12943" spans="1:3" x14ac:dyDescent="0.25">
      <c r="A12943" s="8" t="str">
        <f>"Proceedings - 2014 Summer Topicals Meeting Series, SUM 2014"</f>
        <v>Proceedings - 2014 Summer Topicals Meeting Series, SUM 2014</v>
      </c>
      <c r="B12943" s="8" t="str">
        <f>"9781479927678"</f>
        <v>9781479927678</v>
      </c>
      <c r="C12943" s="8" t="s">
        <v>105</v>
      </c>
    </row>
    <row r="12944" spans="1:3" x14ac:dyDescent="0.25">
      <c r="A12944" s="8" t="str">
        <f>"Proceedings - 2014 Symposium on Computer Applications and Communications, SCAC 2014"</f>
        <v>Proceedings - 2014 Symposium on Computer Applications and Communications, SCAC 2014</v>
      </c>
      <c r="B12944" s="8" t="str">
        <f>"9780769553191"</f>
        <v>9780769553191</v>
      </c>
      <c r="C12944" s="8" t="s">
        <v>105</v>
      </c>
    </row>
    <row r="12945" spans="1:3" x14ac:dyDescent="0.25">
      <c r="A12945" s="8" t="str">
        <f>"Proceedings - 2014 TRON Symposium, TRONSHOW 2014"</f>
        <v>Proceedings - 2014 TRON Symposium, TRONSHOW 2014</v>
      </c>
      <c r="B12945" s="8" t="str">
        <f>"9784893623157"</f>
        <v>9784893623157</v>
      </c>
      <c r="C12945" s="8" t="s">
        <v>105</v>
      </c>
    </row>
    <row r="12946" spans="1:3" x14ac:dyDescent="0.25">
      <c r="A12946" s="8" t="str">
        <f>"Proceedings - 2014 Workshop on Fault Diagnosis and Tolerance in Cryptography, FDTC 2014"</f>
        <v>Proceedings - 2014 Workshop on Fault Diagnosis and Tolerance in Cryptography, FDTC 2014</v>
      </c>
      <c r="B12946" s="8" t="str">
        <f>"9781479962921"</f>
        <v>9781479962921</v>
      </c>
      <c r="C12946" s="8" t="s">
        <v>105</v>
      </c>
    </row>
    <row r="12947" spans="1:3" x14ac:dyDescent="0.25">
      <c r="A12947" s="8" t="str">
        <f>"Proceedings - 2014 World Congress on Computing and Communication Technologies, WCCCT 2014"</f>
        <v>Proceedings - 2014 World Congress on Computing and Communication Technologies, WCCCT 2014</v>
      </c>
      <c r="B12947" s="8" t="str">
        <f>"9781479928767"</f>
        <v>9781479928767</v>
      </c>
      <c r="C12947" s="8" t="s">
        <v>9</v>
      </c>
    </row>
    <row r="12948" spans="1:3" x14ac:dyDescent="0.25">
      <c r="A12948" s="8" t="str">
        <f>"Proceedings - 2014 World Ubiquitous Science Congress: 2014 IEEE 12th International Conference on Dependable, Autonomic and Secure Computing, DASC 2014"</f>
        <v>Proceedings - 2014 World Ubiquitous Science Congress: 2014 IEEE 12th International Conference on Dependable, Autonomic and Secure Computing, DASC 2014</v>
      </c>
      <c r="B12948" s="8" t="str">
        <f>"9781479950799"</f>
        <v>9781479950799</v>
      </c>
      <c r="C12948" s="8" t="s">
        <v>105</v>
      </c>
    </row>
    <row r="12949" spans="1:3" x14ac:dyDescent="0.25">
      <c r="A12949" s="8" t="str">
        <f>"Proceedings - 2015 10th IEEE International Conference on Design and Technology of Integrated Systems in Nanoscale Era, DTIS 2015"</f>
        <v>Proceedings - 2015 10th IEEE International Conference on Design and Technology of Integrated Systems in Nanoscale Era, DTIS 2015</v>
      </c>
      <c r="B12949" s="8" t="str">
        <f>"9781479919994"</f>
        <v>9781479919994</v>
      </c>
      <c r="C12949" s="8" t="s">
        <v>105</v>
      </c>
    </row>
    <row r="12950" spans="1:3" x14ac:dyDescent="0.25">
      <c r="A12950" s="8" t="str">
        <f>"Proceedings - 2015 20th IEEE European Test Symposium, ETS 2014"</f>
        <v>Proceedings - 2015 20th IEEE European Test Symposium, ETS 2014</v>
      </c>
      <c r="B12950" s="8" t="str">
        <f>"9781479976034"</f>
        <v>9781479976034</v>
      </c>
      <c r="C12950" s="8" t="s">
        <v>105</v>
      </c>
    </row>
    <row r="12951" spans="1:3" x14ac:dyDescent="0.25">
      <c r="A12951" s="8" t="str">
        <f>"Proceedings - 2015 20th International Conference on Control Systems and Computer Science, CSCS 2015"</f>
        <v>Proceedings - 2015 20th International Conference on Control Systems and Computer Science, CSCS 2015</v>
      </c>
      <c r="B12951" s="8" t="str">
        <f>"9781479917792"</f>
        <v>9781479917792</v>
      </c>
      <c r="C12951" s="8" t="s">
        <v>105</v>
      </c>
    </row>
    <row r="12952" spans="1:3" x14ac:dyDescent="0.25">
      <c r="A12952" s="8" t="str">
        <f>"Proceedings - 2015 2nd International Conference on Emerging Information Technology and Engineering Solutions, EITES 2015"</f>
        <v>Proceedings - 2015 2nd International Conference on Emerging Information Technology and Engineering Solutions, EITES 2015</v>
      </c>
      <c r="B12952" s="8" t="str">
        <f>"9781479918379"</f>
        <v>9781479918379</v>
      </c>
      <c r="C12952" s="8" t="s">
        <v>105</v>
      </c>
    </row>
    <row r="12953" spans="1:3" x14ac:dyDescent="0.25">
      <c r="A12953" s="8" t="str">
        <f>"Proceedings - 2015 2nd International Conference on Information Science and Control Engineering, ICISCE 2015"</f>
        <v>Proceedings - 2015 2nd International Conference on Information Science and Control Engineering, ICISCE 2015</v>
      </c>
      <c r="B12953" s="8" t="str">
        <f>"9781467368506"</f>
        <v>9781467368506</v>
      </c>
      <c r="C12953" s="8" t="s">
        <v>105</v>
      </c>
    </row>
    <row r="12954" spans="1:3" x14ac:dyDescent="0.25">
      <c r="A12954" s="8" t="str">
        <f>"Proceedings - 2015 3rd IEEE International Conference on Mobile Cloud Computing, Services, and Engineering, MobileCloud 2015"</f>
        <v>Proceedings - 2015 3rd IEEE International Conference on Mobile Cloud Computing, Services, and Engineering, MobileCloud 2015</v>
      </c>
      <c r="B12954" s="8" t="str">
        <f>"9781479989775"</f>
        <v>9781479989775</v>
      </c>
      <c r="C12954" s="8" t="s">
        <v>105</v>
      </c>
    </row>
    <row r="12955" spans="1:3" x14ac:dyDescent="0.25">
      <c r="A12955" s="8" t="str">
        <f>"Proceedings - 2015 5th International Conference on Communication Systems and Network Technologies, CSNT 2015"</f>
        <v>Proceedings - 2015 5th International Conference on Communication Systems and Network Technologies, CSNT 2015</v>
      </c>
      <c r="B12955" s="8" t="str">
        <f>"9781479917976"</f>
        <v>9781479917976</v>
      </c>
      <c r="C12955" s="8" t="s">
        <v>105</v>
      </c>
    </row>
    <row r="12956" spans="1:3" x14ac:dyDescent="0.25">
      <c r="A12956" s="8" t="str">
        <f>"Proceedings - 2015 6th IEEE International Workshop on Advances in Sensors and Interfaces, IWASI 2015"</f>
        <v>Proceedings - 2015 6th IEEE International Workshop on Advances in Sensors and Interfaces, IWASI 2015</v>
      </c>
      <c r="B12956" s="8" t="str">
        <f>"9781479989805"</f>
        <v>9781479989805</v>
      </c>
      <c r="C12956" s="8" t="s">
        <v>105</v>
      </c>
    </row>
    <row r="12957" spans="1:3" x14ac:dyDescent="0.25">
      <c r="A12957" s="8" t="str">
        <f>"Proceedings - 2015 8th International Conference on Human System Interaction, HSI 2015"</f>
        <v>Proceedings - 2015 8th International Conference on Human System Interaction, HSI 2015</v>
      </c>
      <c r="B12957" s="8" t="str">
        <f>"9781467369367"</f>
        <v>9781467369367</v>
      </c>
      <c r="C12957" s="8" t="s">
        <v>105</v>
      </c>
    </row>
    <row r="12958" spans="1:3" x14ac:dyDescent="0.25">
      <c r="A12958" s="8" t="str">
        <f>"Proceedings - 2015 9th International Workshop on Interconnection Network Architectures: On-Chip, Multi-Chip, INA-OCMC 2015"</f>
        <v>Proceedings - 2015 9th International Workshop on Interconnection Network Architectures: On-Chip, Multi-Chip, INA-OCMC 2015</v>
      </c>
      <c r="B12958" s="8" t="str">
        <f>"9781479918706"</f>
        <v>9781479918706</v>
      </c>
      <c r="C12958" s="8" t="s">
        <v>105</v>
      </c>
    </row>
    <row r="12959" spans="1:3" x14ac:dyDescent="0.25">
      <c r="A12959" s="8" t="str">
        <f>"Proceedings - 2015 IEEE 12th International Symposium on Autonomous Decentralized Systems, ISADS 2015"</f>
        <v>Proceedings - 2015 IEEE 12th International Symposium on Autonomous Decentralized Systems, ISADS 2015</v>
      </c>
      <c r="B12959" s="8" t="str">
        <f>"9781479982615"</f>
        <v>9781479982615</v>
      </c>
      <c r="C12959" s="8" t="s">
        <v>105</v>
      </c>
    </row>
    <row r="12960" spans="1:3" x14ac:dyDescent="0.25">
      <c r="A12960" s="8" t="str">
        <f>"Proceedings - 2015 IEEE 23rd Annual International Symposium on Field-Programmable Custom Computing Machines, FCCM 2015"</f>
        <v>Proceedings - 2015 IEEE 23rd Annual International Symposium on Field-Programmable Custom Computing Machines, FCCM 2015</v>
      </c>
      <c r="B12960" s="8" t="str">
        <f>"9781479999699"</f>
        <v>9781479999699</v>
      </c>
      <c r="C12960" s="8" t="s">
        <v>105</v>
      </c>
    </row>
    <row r="12961" spans="1:3" x14ac:dyDescent="0.25">
      <c r="A12961" s="8" t="str">
        <f>"Proceedings - 2015 IEEE 24th International Conference on Enabling Technologies: Infrastructures for Collaborative Enterprises, WETICE 2015"</f>
        <v>Proceedings - 2015 IEEE 24th International Conference on Enabling Technologies: Infrastructures for Collaborative Enterprises, WETICE 2015</v>
      </c>
      <c r="B12961" s="8" t="str">
        <f>"9781467376921"</f>
        <v>9781467376921</v>
      </c>
      <c r="C12961" s="8" t="s">
        <v>105</v>
      </c>
    </row>
    <row r="12962" spans="1:3" x14ac:dyDescent="0.25">
      <c r="A12962" s="8" t="str">
        <f>"Proceedings - 2015 IEEE 24th North Atlantic Test Workshop, NATW 2015"</f>
        <v>Proceedings - 2015 IEEE 24th North Atlantic Test Workshop, NATW 2015</v>
      </c>
      <c r="B12962" s="8" t="str">
        <f>"9781467374170"</f>
        <v>9781467374170</v>
      </c>
      <c r="C12962" s="8" t="s">
        <v>105</v>
      </c>
    </row>
    <row r="12963" spans="1:3" x14ac:dyDescent="0.25">
      <c r="A12963" s="8" t="str">
        <f>"Proceedings - 2015 IEEE 2nd International Conference on Cybernetics, CYBCONF 2015"</f>
        <v>Proceedings - 2015 IEEE 2nd International Conference on Cybernetics, CYBCONF 2015</v>
      </c>
      <c r="B12963" s="8" t="str">
        <f>"9781479983223"</f>
        <v>9781479983223</v>
      </c>
      <c r="C12963" s="8" t="s">
        <v>105</v>
      </c>
    </row>
    <row r="12964" spans="1:3" x14ac:dyDescent="0.25">
      <c r="A12964" s="8" t="str">
        <f>"Proceedings - 2015 IEEE 35th International Conference on Distributed Computing Systems Workshops, ICDCSW 2015"</f>
        <v>Proceedings - 2015 IEEE 35th International Conference on Distributed Computing Systems Workshops, ICDCSW 2015</v>
      </c>
      <c r="B12964" s="8" t="str">
        <f>"9781467373036"</f>
        <v>9781467373036</v>
      </c>
      <c r="C12964" s="8" t="s">
        <v>105</v>
      </c>
    </row>
    <row r="12965" spans="1:3" x14ac:dyDescent="0.25">
      <c r="A12965" s="8" t="str">
        <f>"Proceedings - 2015 IEEE 4th Portuguese Meeting on Bioengineering, ENBENG 2015"</f>
        <v>Proceedings - 2015 IEEE 4th Portuguese Meeting on Bioengineering, ENBENG 2015</v>
      </c>
      <c r="B12965" s="8" t="str">
        <f>"9781479982691"</f>
        <v>9781479982691</v>
      </c>
      <c r="C12965" s="8" t="s">
        <v>105</v>
      </c>
    </row>
    <row r="12966" spans="1:3" x14ac:dyDescent="0.25">
      <c r="A12966" s="8" t="str">
        <f>"Proceedings - 2015 IEEE International Conference on Autonomous Robot Systems and Competitions, ICARSC 2015"</f>
        <v>Proceedings - 2015 IEEE International Conference on Autonomous Robot Systems and Competitions, ICARSC 2015</v>
      </c>
      <c r="B12966" s="8" t="str">
        <f>"9781467369909"</f>
        <v>9781467369909</v>
      </c>
      <c r="C12966" s="8" t="s">
        <v>105</v>
      </c>
    </row>
    <row r="12967" spans="1:3" x14ac:dyDescent="0.25">
      <c r="A12967" s="8" t="str">
        <f>"Proceedings - 2015 IEEE International Conference on Cloud Engineering, IC2E 2015"</f>
        <v>Proceedings - 2015 IEEE International Conference on Cloud Engineering, IC2E 2015</v>
      </c>
      <c r="B12967" s="8" t="str">
        <f>"9781479982189"</f>
        <v>9781479982189</v>
      </c>
      <c r="C12967" s="8" t="s">
        <v>105</v>
      </c>
    </row>
    <row r="12968" spans="1:3" x14ac:dyDescent="0.25">
      <c r="A12968" s="8" t="str">
        <f>"Proceedings - 2015 IEEE International Conference on Computational Intelligence and Communication Technology, CICT 2015"</f>
        <v>Proceedings - 2015 IEEE International Conference on Computational Intelligence and Communication Technology, CICT 2015</v>
      </c>
      <c r="B12968" s="8" t="str">
        <f>"9781479960224"</f>
        <v>9781479960224</v>
      </c>
      <c r="C12968" s="8" t="s">
        <v>105</v>
      </c>
    </row>
    <row r="12969" spans="1:3" x14ac:dyDescent="0.25">
      <c r="A12969" s="8" t="str">
        <f>"Proceedings - 2015 IEEE International Conference on Mechatronics, ICM 2015"</f>
        <v>Proceedings - 2015 IEEE International Conference on Mechatronics, ICM 2015</v>
      </c>
      <c r="B12969" s="8" t="str">
        <f>"9781479936335"</f>
        <v>9781479936335</v>
      </c>
      <c r="C12969" s="8" t="s">
        <v>105</v>
      </c>
    </row>
    <row r="12970" spans="1:3" x14ac:dyDescent="0.25">
      <c r="A12970" s="8" t="str">
        <f>"Proceedings - 2015 IEEE International Conference on Multimedia Big Data, BigMM 2015"</f>
        <v>Proceedings - 2015 IEEE International Conference on Multimedia Big Data, BigMM 2015</v>
      </c>
      <c r="B12970" s="8" t="str">
        <f>"9781479986880"</f>
        <v>9781479986880</v>
      </c>
      <c r="C12970" s="8" t="s">
        <v>105</v>
      </c>
    </row>
    <row r="12971" spans="1:3" x14ac:dyDescent="0.25">
      <c r="A12971" s="8" t="str">
        <f>"Proceedings - 2015 IEEE Region 10 Symposium, TENSYMP 2015"</f>
        <v>Proceedings - 2015 IEEE Region 10 Symposium, TENSYMP 2015</v>
      </c>
      <c r="B12971" s="8" t="str">
        <f>"9781479917822"</f>
        <v>9781479917822</v>
      </c>
      <c r="C12971" s="8" t="s">
        <v>105</v>
      </c>
    </row>
    <row r="12972" spans="1:3" x14ac:dyDescent="0.25">
      <c r="A12972" s="8" t="str">
        <f>"Proceedings - 2015 IEEE RIVF International Conference on Computing and Communication Technologies: Research, Innovation, and Vision for Future, IEEE RIVF 2015"</f>
        <v>Proceedings - 2015 IEEE RIVF International Conference on Computing and Communication Technologies: Research, Innovation, and Vision for Future, IEEE RIVF 2015</v>
      </c>
      <c r="B12972" s="8" t="str">
        <f>"9781479980437"</f>
        <v>9781479980437</v>
      </c>
      <c r="C12972" s="8" t="s">
        <v>105</v>
      </c>
    </row>
    <row r="12973" spans="1:3" x14ac:dyDescent="0.25">
      <c r="A12973" s="8" t="str">
        <f>"Proceedings - 2015 IEEE Winter Conference on Applications of Computer Vision Workshops, WACVW 2015"</f>
        <v>Proceedings - 2015 IEEE Winter Conference on Applications of Computer Vision Workshops, WACVW 2015</v>
      </c>
      <c r="B12973" s="8" t="str">
        <f>"9781479966820"</f>
        <v>9781479966820</v>
      </c>
      <c r="C12973" s="8" t="s">
        <v>105</v>
      </c>
    </row>
    <row r="12974" spans="1:3" x14ac:dyDescent="0.25">
      <c r="A12974" s="8" t="str">
        <f>"Proceedings - 2015 IEEE Winter Conference on Applications of Computer Vision, WACV 2015"</f>
        <v>Proceedings - 2015 IEEE Winter Conference on Applications of Computer Vision, WACV 2015</v>
      </c>
      <c r="B12974" s="8" t="str">
        <f>"9781479966820"</f>
        <v>9781479966820</v>
      </c>
      <c r="C12974" s="8" t="s">
        <v>105</v>
      </c>
    </row>
    <row r="12975" spans="1:3" x14ac:dyDescent="0.25">
      <c r="A12975" s="8" t="str">
        <f>"Proceedings - 2015 IEEE/ACM 15th International Symposium on Cluster, Cloud, and Grid Computing, CCGrid 2015"</f>
        <v>Proceedings - 2015 IEEE/ACM 15th International Symposium on Cluster, Cloud, and Grid Computing, CCGrid 2015</v>
      </c>
      <c r="B12975" s="8" t="str">
        <f>"9781479980062"</f>
        <v>9781479980062</v>
      </c>
      <c r="C12975" s="8" t="s">
        <v>105</v>
      </c>
    </row>
    <row r="12976" spans="1:3" x14ac:dyDescent="0.25">
      <c r="A12976" s="8" t="str">
        <f>"Proceedings - 2015 International Conference on Cognitive Computing and Information Processing, CCIP 2015"</f>
        <v>Proceedings - 2015 International Conference on Cognitive Computing and Information Processing, CCIP 2015</v>
      </c>
      <c r="B12976" s="8" t="str">
        <f>"9781479971718"</f>
        <v>9781479971718</v>
      </c>
      <c r="C12976" s="8" t="s">
        <v>105</v>
      </c>
    </row>
    <row r="12977" spans="1:3" x14ac:dyDescent="0.25">
      <c r="A12977" s="8" t="str">
        <f>"Proceedings - 2015 International Conference on Communication, Information and Computing Technology, ICCICT 2015"</f>
        <v>Proceedings - 2015 International Conference on Communication, Information and Computing Technology, ICCICT 2015</v>
      </c>
      <c r="B12977" s="8" t="str">
        <f>"9781479955220"</f>
        <v>9781479955220</v>
      </c>
      <c r="C12977" s="8" t="s">
        <v>105</v>
      </c>
    </row>
    <row r="12978" spans="1:3" x14ac:dyDescent="0.25">
      <c r="A12978" s="8" t="str">
        <f>"Proceedings - 2015 International Conference on Learning and Teaching in Computing and Engineering, LaTiCE 2015"</f>
        <v>Proceedings - 2015 International Conference on Learning and Teaching in Computing and Engineering, LaTiCE 2015</v>
      </c>
      <c r="B12978" s="8" t="str">
        <f>"9781479999675"</f>
        <v>9781479999675</v>
      </c>
      <c r="C12978" s="8" t="s">
        <v>105</v>
      </c>
    </row>
    <row r="12979" spans="1:3" x14ac:dyDescent="0.25">
      <c r="A12979" s="8" t="str">
        <f>"Proceedings - 2015 International Conference on Platform Technology and Service, PlatCon 2015"</f>
        <v>Proceedings - 2015 International Conference on Platform Technology and Service, PlatCon 2015</v>
      </c>
      <c r="B12979" s="8" t="str">
        <f>"9781479918881"</f>
        <v>9781479918881</v>
      </c>
      <c r="C12979" s="8" t="s">
        <v>105</v>
      </c>
    </row>
    <row r="12980" spans="1:3" x14ac:dyDescent="0.25">
      <c r="A12980" s="8" t="str">
        <f>"Proceedings - 2015 Workshop on Exploiting Silicon Photonics for Energy-Efficient High Performance Computing, SiPhotonics 2015"</f>
        <v>Proceedings - 2015 Workshop on Exploiting Silicon Photonics for Energy-Efficient High Performance Computing, SiPhotonics 2015</v>
      </c>
      <c r="B12980" s="8" t="str">
        <f>"9781479980932"</f>
        <v>9781479980932</v>
      </c>
      <c r="C12980" s="8" t="s">
        <v>105</v>
      </c>
    </row>
    <row r="12981" spans="1:3" x14ac:dyDescent="0.25">
      <c r="A12981" s="8" t="str">
        <f>"Proceedings - 20th Anniversary IEEE International SOC Conference"</f>
        <v>Proceedings - 20th Anniversary IEEE International SOC Conference</v>
      </c>
      <c r="B12981" s="8" t="str">
        <f>"9781424415922"</f>
        <v>9781424415922</v>
      </c>
      <c r="C12981" s="8" t="s">
        <v>9</v>
      </c>
    </row>
    <row r="12982" spans="1:3" x14ac:dyDescent="0.25">
      <c r="A12982" s="8" t="str">
        <f>"Proceedings - 20th Eurographics UK Conference, EGUK 2002"</f>
        <v>Proceedings - 20th Eurographics UK Conference, EGUK 2002</v>
      </c>
      <c r="B12982" s="8" t="str">
        <f>"9780769515182"</f>
        <v>9780769515182</v>
      </c>
      <c r="C12982" s="8" t="s">
        <v>105</v>
      </c>
    </row>
    <row r="12983" spans="1:3" x14ac:dyDescent="0.25">
      <c r="A12983" s="8" t="str">
        <f>"Proceedings - 20th Euromicro International Conference on Parallel, Distributed and Network-Based Processing, PDP 2012"</f>
        <v>Proceedings - 20th Euromicro International Conference on Parallel, Distributed and Network-Based Processing, PDP 2012</v>
      </c>
      <c r="B12983" s="8" t="str">
        <f>"9780769546339"</f>
        <v>9780769546339</v>
      </c>
      <c r="C12983" s="8" t="s">
        <v>9</v>
      </c>
    </row>
    <row r="12984" spans="1:3" x14ac:dyDescent="0.25">
      <c r="A12984" s="8" t="str">
        <f>"Proceedings - 20th IEEE/11th NASA Goddard Conference on Mass Storage Systems and Technologies, MSST 2003"</f>
        <v>Proceedings - 20th IEEE/11th NASA Goddard Conference on Mass Storage Systems and Technologies, MSST 2003</v>
      </c>
      <c r="B12984" s="8" t="str">
        <f>"9780769519142"</f>
        <v>9780769519142</v>
      </c>
      <c r="C12984" s="8" t="s">
        <v>105</v>
      </c>
    </row>
    <row r="12985" spans="1:3" x14ac:dyDescent="0.25">
      <c r="A12985" s="8" t="str">
        <f>"Proceedings - 21st Annual International IEEE Symposium on Field-Programmable Custom Computing Machines, FCCM 2013"</f>
        <v>Proceedings - 21st Annual International IEEE Symposium on Field-Programmable Custom Computing Machines, FCCM 2013</v>
      </c>
      <c r="B12985" s="8" t="str">
        <f>"-"</f>
        <v>-</v>
      </c>
      <c r="C12985" s="8" t="s">
        <v>9</v>
      </c>
    </row>
    <row r="12986" spans="1:3" x14ac:dyDescent="0.25">
      <c r="A12986" s="8" t="str">
        <f>"Proceedings - 21st Brazilian Symposium on Computer Graphics and Image Processing, SIBGRAPI 2008"</f>
        <v>Proceedings - 21st Brazilian Symposium on Computer Graphics and Image Processing, SIBGRAPI 2008</v>
      </c>
      <c r="B12986" s="8" t="str">
        <f>"9780769533582"</f>
        <v>9780769533582</v>
      </c>
      <c r="C12986" s="8" t="s">
        <v>9</v>
      </c>
    </row>
    <row r="12987" spans="1:3" x14ac:dyDescent="0.25">
      <c r="A12987" s="8" t="str">
        <f>"Proceedings - 21st Conference on High Energy Physics, IFAE 2009"</f>
        <v>Proceedings - 21st Conference on High Energy Physics, IFAE 2009</v>
      </c>
      <c r="B12987" s="8" t="str">
        <f>"-"</f>
        <v>-</v>
      </c>
      <c r="C12987" s="8" t="s">
        <v>2071</v>
      </c>
    </row>
    <row r="12988" spans="1:3" x14ac:dyDescent="0.25">
      <c r="A12988" s="8" t="str">
        <f>"Proceedings - 21st IEEE/ACM International Conference on Automated Software Engineering, ASE 2006"</f>
        <v>Proceedings - 21st IEEE/ACM International Conference on Automated Software Engineering, ASE 2006</v>
      </c>
      <c r="B12988" s="8" t="str">
        <f>"9780769525792"</f>
        <v>9780769525792</v>
      </c>
      <c r="C12988" s="8" t="s">
        <v>9</v>
      </c>
    </row>
    <row r="12989" spans="1:3" x14ac:dyDescent="0.25">
      <c r="A12989" s="8" t="str">
        <f>"Proceedings - 21st International Conference on Advanced Information Networking and Applications Workshops/Symposia, AINAW'07"</f>
        <v>Proceedings - 21st International Conference on Advanced Information Networking and Applications Workshops/Symposia, AINAW'07</v>
      </c>
      <c r="B12989" s="8" t="str">
        <f>"9780769528472"</f>
        <v>9780769528472</v>
      </c>
      <c r="C12989" s="8" t="s">
        <v>9</v>
      </c>
    </row>
    <row r="12990" spans="1:3" x14ac:dyDescent="0.25">
      <c r="A12990" s="8" t="str">
        <f>"Proceedings - 21st International Conference on Field Programmable Logic and Applications, FPL 2011"</f>
        <v>Proceedings - 21st International Conference on Field Programmable Logic and Applications, FPL 2011</v>
      </c>
      <c r="B12990" s="8" t="str">
        <f>"9780769545295"</f>
        <v>9780769545295</v>
      </c>
      <c r="C12990" s="8" t="s">
        <v>9</v>
      </c>
    </row>
    <row r="12991" spans="1:3" x14ac:dyDescent="0.25">
      <c r="A12991" s="8" t="str">
        <f>"Proceedings - 21st International Parallel and Distributed Processing Symposium, IPDPS 2007; Abstracts and CD-ROM"</f>
        <v>Proceedings - 21st International Parallel and Distributed Processing Symposium, IPDPS 2007; Abstracts and CD-ROM</v>
      </c>
      <c r="B12991" s="8" t="str">
        <f>"9781424409105"</f>
        <v>9781424409105</v>
      </c>
      <c r="C12991" s="8" t="s">
        <v>9</v>
      </c>
    </row>
    <row r="12992" spans="1:3" x14ac:dyDescent="0.25">
      <c r="A12992" s="8" t="str">
        <f>"Proceedings - 21st International Workshop on Database and Expert Systems Applications, DEXA 2010"</f>
        <v>Proceedings - 21st International Workshop on Database and Expert Systems Applications, DEXA 2010</v>
      </c>
      <c r="B12992" s="8" t="str">
        <f>"9780769541747"</f>
        <v>9780769541747</v>
      </c>
      <c r="C12992" s="8" t="s">
        <v>9</v>
      </c>
    </row>
    <row r="12993" spans="1:3" x14ac:dyDescent="0.25">
      <c r="A12993" s="8" t="str">
        <f>"Proceedings - 21st ISSAT International Conference on Reliability and Quality in Design"</f>
        <v>Proceedings - 21st ISSAT International Conference on Reliability and Quality in Design</v>
      </c>
      <c r="B12993" s="8" t="str">
        <f>"9780991057627"</f>
        <v>9780991057627</v>
      </c>
      <c r="C12993" s="8" t="s">
        <v>1339</v>
      </c>
    </row>
    <row r="12994" spans="1:3" x14ac:dyDescent="0.25">
      <c r="A12994" s="8" t="str">
        <f>"Proceedings - 22nd Conference on Software Engineering Education and Training, CSEET 2009"</f>
        <v>Proceedings - 22nd Conference on Software Engineering Education and Training, CSEET 2009</v>
      </c>
      <c r="B12994" s="8" t="str">
        <f>"9780769535395"</f>
        <v>9780769535395</v>
      </c>
      <c r="C12994" s="8" t="s">
        <v>9</v>
      </c>
    </row>
    <row r="12995" spans="1:3" x14ac:dyDescent="0.25">
      <c r="A12995" s="8" t="str">
        <f>"Proceedings - 22nd European Conference on Modelling and Simulation, ECMS 2008"</f>
        <v>Proceedings - 22nd European Conference on Modelling and Simulation, ECMS 2008</v>
      </c>
      <c r="B12995" s="8" t="str">
        <f>"9780955301858"</f>
        <v>9780955301858</v>
      </c>
      <c r="C12995" s="8" t="s">
        <v>1391</v>
      </c>
    </row>
    <row r="12996" spans="1:3" x14ac:dyDescent="0.25">
      <c r="A12996" s="8" t="str">
        <f>"Proceedings - 22nd International Conference on Field Programmable Logic and Applications, FPL 2012"</f>
        <v>Proceedings - 22nd International Conference on Field Programmable Logic and Applications, FPL 2012</v>
      </c>
      <c r="B12996" s="8" t="str">
        <f>"9781467322560"</f>
        <v>9781467322560</v>
      </c>
      <c r="C12996" s="8" t="s">
        <v>9</v>
      </c>
    </row>
    <row r="12997" spans="1:3" x14ac:dyDescent="0.25">
      <c r="A12997" s="8" t="str">
        <f>"Proceedings - 22nd International Symposium on Computer Architecture and High Performance Computing Workshops, SBAC-PADW 2010, 1st Workshop on Applications for Multi and Many Core Architectures, WAMMCA"</f>
        <v>Proceedings - 22nd International Symposium on Computer Architecture and High Performance Computing Workshops, SBAC-PADW 2010, 1st Workshop on Applications for Multi and Many Core Architectures, WAMMCA</v>
      </c>
      <c r="B12997" s="8" t="str">
        <f>"9780769542768"</f>
        <v>9780769542768</v>
      </c>
      <c r="C12997" s="8" t="s">
        <v>9</v>
      </c>
    </row>
    <row r="12998" spans="1:3" x14ac:dyDescent="0.25">
      <c r="A12998" s="8" t="str">
        <f>"Proceedings - 22nd International Symposium on Computer Architecture and High Performance Computing, SBAC-PAD 2010"</f>
        <v>Proceedings - 22nd International Symposium on Computer Architecture and High Performance Computing, SBAC-PAD 2010</v>
      </c>
      <c r="B12998" s="8" t="str">
        <f>"9780769542164"</f>
        <v>9780769542164</v>
      </c>
      <c r="C12998" s="8" t="s">
        <v>9</v>
      </c>
    </row>
    <row r="12999" spans="1:3" x14ac:dyDescent="0.25">
      <c r="A12999" s="8" t="str">
        <f>"Proceedings - 23rd Australasian Computer Science Conference, ACSC 2000"</f>
        <v>Proceedings - 23rd Australasian Computer Science Conference, ACSC 2000</v>
      </c>
      <c r="B12999" s="8" t="str">
        <f>"9780769505183"</f>
        <v>9780769505183</v>
      </c>
      <c r="C12999" s="8" t="s">
        <v>105</v>
      </c>
    </row>
    <row r="13000" spans="1:3" x14ac:dyDescent="0.25">
      <c r="A13000" s="8" t="str">
        <f>"Proceedings - 23rd Conference on Graphics, Patterns and Images Tutorials, SIBGRAPI-T 2010"</f>
        <v>Proceedings - 23rd Conference on Graphics, Patterns and Images Tutorials, SIBGRAPI-T 2010</v>
      </c>
      <c r="B13000" s="8" t="str">
        <f>"9780769542331"</f>
        <v>9780769542331</v>
      </c>
      <c r="C13000" s="8" t="s">
        <v>9</v>
      </c>
    </row>
    <row r="13001" spans="1:3" x14ac:dyDescent="0.25">
      <c r="A13001" s="8" t="str">
        <f>"Proceedings - 23rd European Conference on Modelling and Simulation, ECMS 2009"</f>
        <v>Proceedings - 23rd European Conference on Modelling and Simulation, ECMS 2009</v>
      </c>
      <c r="B13001" s="8" t="str">
        <f>"9780955301889"</f>
        <v>9780955301889</v>
      </c>
      <c r="C13001" s="8" t="s">
        <v>1391</v>
      </c>
    </row>
    <row r="13002" spans="1:3" x14ac:dyDescent="0.25">
      <c r="A13002" s="8" t="str">
        <f>"Proceedings - 23rd IEEE International Symposium on Software Reliability Engineering Workshops, ISSREW 2012"</f>
        <v>Proceedings - 23rd IEEE International Symposium on Software Reliability Engineering Workshops, ISSREW 2012</v>
      </c>
      <c r="B13002" s="8" t="str">
        <f>"9780769549286"</f>
        <v>9780769549286</v>
      </c>
      <c r="C13002" s="8" t="s">
        <v>9</v>
      </c>
    </row>
    <row r="13003" spans="1:3" x14ac:dyDescent="0.25">
      <c r="A13003" s="8" t="str">
        <f>"Proceedings - 23rd International Conference on Distributed Computing Systems Workshops, ICDCSW 2003"</f>
        <v>Proceedings - 23rd International Conference on Distributed Computing Systems Workshops, ICDCSW 2003</v>
      </c>
      <c r="B13003" s="8" t="str">
        <f>"9780769519210"</f>
        <v>9780769519210</v>
      </c>
      <c r="C13003" s="8" t="s">
        <v>105</v>
      </c>
    </row>
    <row r="13004" spans="1:3" x14ac:dyDescent="0.25">
      <c r="A13004" s="8" t="str">
        <f>"Proceedings - 23rd SIBGRAPI Conference on Graphics, Patterns and Images, SIBGRAPI 2010"</f>
        <v>Proceedings - 23rd SIBGRAPI Conference on Graphics, Patterns and Images, SIBGRAPI 2010</v>
      </c>
      <c r="B13004" s="8" t="str">
        <f>"9780769542300"</f>
        <v>9780769542300</v>
      </c>
      <c r="C13004" s="8" t="s">
        <v>9</v>
      </c>
    </row>
    <row r="13005" spans="1:3" x14ac:dyDescent="0.25">
      <c r="A13005" s="8" t="str">
        <f>"Proceedings - 24th Australasian Computer Science Conference, ACSC 2001"</f>
        <v>Proceedings - 24th Australasian Computer Science Conference, ACSC 2001</v>
      </c>
      <c r="B13005" s="8" t="str">
        <f>"9780769509631"</f>
        <v>9780769509631</v>
      </c>
      <c r="C13005" s="8" t="s">
        <v>105</v>
      </c>
    </row>
    <row r="13006" spans="1:3" x14ac:dyDescent="0.25">
      <c r="A13006" s="8" t="str">
        <f>"Proceedings - 24th Brazilian Symposium on Software Engineering, SBES 2010"</f>
        <v>Proceedings - 24th Brazilian Symposium on Software Engineering, SBES 2010</v>
      </c>
      <c r="B13006" s="8" t="str">
        <f>"9780769542737"</f>
        <v>9780769542737</v>
      </c>
      <c r="C13006" s="8" t="s">
        <v>9</v>
      </c>
    </row>
    <row r="13007" spans="1:3" x14ac:dyDescent="0.25">
      <c r="A13007" s="8" t="str">
        <f>"Proceedings - 24th British National Conference on Databases, BNCOD 2007"</f>
        <v>Proceedings - 24th British National Conference on Databases, BNCOD 2007</v>
      </c>
      <c r="B13007" s="8" t="str">
        <f>"9780769529127"</f>
        <v>9780769529127</v>
      </c>
      <c r="C13007" s="8" t="s">
        <v>9</v>
      </c>
    </row>
    <row r="13008" spans="1:3" x14ac:dyDescent="0.25">
      <c r="A13008" s="8" t="str">
        <f>"Proceedings - 24th European Conference on Modelling and Simulation, ECMS 2010"</f>
        <v>Proceedings - 24th European Conference on Modelling and Simulation, ECMS 2010</v>
      </c>
      <c r="B13008" s="8" t="str">
        <f>"9780956494405"</f>
        <v>9780956494405</v>
      </c>
      <c r="C13008" s="8" t="s">
        <v>1391</v>
      </c>
    </row>
    <row r="13009" spans="1:3" x14ac:dyDescent="0.25">
      <c r="A13009" s="8" t="str">
        <f>"Proceedings - 24th IEEE Conference on Mass Storage Systems and Technologies, MSST 2007"</f>
        <v>Proceedings - 24th IEEE Conference on Mass Storage Systems and Technologies, MSST 2007</v>
      </c>
      <c r="B13009" s="8" t="str">
        <f>"9780769530253"</f>
        <v>9780769530253</v>
      </c>
      <c r="C13009" s="8" t="s">
        <v>9</v>
      </c>
    </row>
    <row r="13010" spans="1:3" x14ac:dyDescent="0.25">
      <c r="A13010" s="8" t="str">
        <f>"Proceedings - 24th SIBGRAPI Conference on Graphics, Patterns and Images"</f>
        <v>Proceedings - 24th SIBGRAPI Conference on Graphics, Patterns and Images</v>
      </c>
      <c r="B13010" s="8" t="str">
        <f>"9780769545486"</f>
        <v>9780769545486</v>
      </c>
      <c r="C13010" s="8" t="s">
        <v>9</v>
      </c>
    </row>
    <row r="13011" spans="1:3" x14ac:dyDescent="0.25">
      <c r="A13011" s="8" t="str">
        <f>"Proceedings - 24th SIBGRAPI Conference on Graphics, Patterns, and Images Tutorials, SIBGRAPI-T 2011"</f>
        <v>Proceedings - 24th SIBGRAPI Conference on Graphics, Patterns, and Images Tutorials, SIBGRAPI-T 2011</v>
      </c>
      <c r="B13011" s="8" t="str">
        <f>"9780769545493"</f>
        <v>9780769545493</v>
      </c>
      <c r="C13011" s="8" t="s">
        <v>9</v>
      </c>
    </row>
    <row r="13012" spans="1:3" x14ac:dyDescent="0.25">
      <c r="A13012" s="8" t="str">
        <f>"Proceedings - 25th Brazilian Symposium on Software Engineering, SBES 2011"</f>
        <v>Proceedings - 25th Brazilian Symposium on Software Engineering, SBES 2011</v>
      </c>
      <c r="B13012" s="8" t="str">
        <f>"9780769546032"</f>
        <v>9780769546032</v>
      </c>
      <c r="C13012" s="8" t="s">
        <v>9</v>
      </c>
    </row>
    <row r="13013" spans="1:3" x14ac:dyDescent="0.25">
      <c r="A13013" s="8" t="str">
        <f>"Proceedings - 25th European Conference on Modelling and Simulation, ECMS 2011"</f>
        <v>Proceedings - 25th European Conference on Modelling and Simulation, ECMS 2011</v>
      </c>
      <c r="B13013" s="8" t="str">
        <f>"9780956494429"</f>
        <v>9780956494429</v>
      </c>
      <c r="C13013" s="8" t="s">
        <v>1391</v>
      </c>
    </row>
    <row r="13014" spans="1:3" x14ac:dyDescent="0.25">
      <c r="A13014" s="8" t="str">
        <f>"Proceedings - 25th IEEE International Conference on Advanced Information Networking and Applications Workshops, WAINA 2011"</f>
        <v>Proceedings - 25th IEEE International Conference on Advanced Information Networking and Applications Workshops, WAINA 2011</v>
      </c>
      <c r="B13014" s="8" t="str">
        <f>"9780769543383"</f>
        <v>9780769543383</v>
      </c>
      <c r="C13014" s="8" t="s">
        <v>9</v>
      </c>
    </row>
    <row r="13015" spans="1:3" x14ac:dyDescent="0.25">
      <c r="A13015" s="8" t="str">
        <f>"Proceedings - 25th IEEE International Parallel and Distributed Processing Symposium, IPDPS 2011"</f>
        <v>Proceedings - 25th IEEE International Parallel and Distributed Processing Symposium, IPDPS 2011</v>
      </c>
      <c r="B13015" s="8" t="str">
        <f>"9780769543857"</f>
        <v>9780769543857</v>
      </c>
      <c r="C13015" s="8" t="s">
        <v>9</v>
      </c>
    </row>
    <row r="13016" spans="1:3" x14ac:dyDescent="0.25">
      <c r="A13016" s="8" t="str">
        <f>"Proceedings - 25th Linear Accelerator Conference, LINAC 2010"</f>
        <v>Proceedings - 25th Linear Accelerator Conference, LINAC 2010</v>
      </c>
      <c r="B13016" s="8" t="str">
        <f>"-"</f>
        <v>-</v>
      </c>
      <c r="C13016" s="8" t="s">
        <v>1359</v>
      </c>
    </row>
    <row r="13017" spans="1:3" x14ac:dyDescent="0.25">
      <c r="A13017" s="8" t="str">
        <f>"Proceedings - 26th European Conference on Modelling and Simulation, ECMS 2012"</f>
        <v>Proceedings - 26th European Conference on Modelling and Simulation, ECMS 2012</v>
      </c>
      <c r="B13017" s="8" t="str">
        <f>"9780956494443"</f>
        <v>9780956494443</v>
      </c>
      <c r="C13017" s="8" t="s">
        <v>1391</v>
      </c>
    </row>
    <row r="13018" spans="1:3" x14ac:dyDescent="0.25">
      <c r="A13018" s="8" t="str">
        <f>"Proceedings - 26th IEEE International Conference on Advanced Information Networking and Applications Workshops, WAINA 2012"</f>
        <v>Proceedings - 26th IEEE International Conference on Advanced Information Networking and Applications Workshops, WAINA 2012</v>
      </c>
      <c r="B13018" s="8" t="str">
        <f>"9780769546520"</f>
        <v>9780769546520</v>
      </c>
      <c r="C13018" s="8" t="s">
        <v>9</v>
      </c>
    </row>
    <row r="13019" spans="1:3" x14ac:dyDescent="0.25">
      <c r="A13019" s="8" t="str">
        <f>"Proceedings - 26th SIBGRAPI - Conference on Graphics, Patterns and Images Tutorials, SIBGRAPI-T 2013"</f>
        <v>Proceedings - 26th SIBGRAPI - Conference on Graphics, Patterns and Images Tutorials, SIBGRAPI-T 2013</v>
      </c>
      <c r="B13019" s="8" t="str">
        <f>"9781479941766"</f>
        <v>9781479941766</v>
      </c>
      <c r="C13019" s="8" t="s">
        <v>105</v>
      </c>
    </row>
    <row r="13020" spans="1:3" x14ac:dyDescent="0.25">
      <c r="A13020" s="8" t="str">
        <f>"Proceedings - 27th Annual NASA Goddard / IEEE Software Engineering Workshop, SEW 2002"</f>
        <v>Proceedings - 27th Annual NASA Goddard / IEEE Software Engineering Workshop, SEW 2002</v>
      </c>
      <c r="B13020" s="8" t="str">
        <f>"9780769518558"</f>
        <v>9780769518558</v>
      </c>
      <c r="C13020" s="8" t="s">
        <v>105</v>
      </c>
    </row>
    <row r="13021" spans="1:3" x14ac:dyDescent="0.25">
      <c r="A13021" s="8" t="str">
        <f>"Proceedings - 27th European Conference on Modelling and Simulation, ECMS 2013"</f>
        <v>Proceedings - 27th European Conference on Modelling and Simulation, ECMS 2013</v>
      </c>
      <c r="B13021" s="8" t="str">
        <f>"9780956494467"</f>
        <v>9780956494467</v>
      </c>
      <c r="C13021" s="8" t="s">
        <v>1391</v>
      </c>
    </row>
    <row r="13022" spans="1:3" x14ac:dyDescent="0.25">
      <c r="A13022" s="8" t="str">
        <f>"Proceedings - 27th International Conference on Advanced Information Networking and Applications Workshops, WAINA 2013"</f>
        <v>Proceedings - 27th International Conference on Advanced Information Networking and Applications Workshops, WAINA 2013</v>
      </c>
      <c r="B13022" s="8" t="str">
        <f>"9780769549521"</f>
        <v>9780769549521</v>
      </c>
      <c r="C13022" s="8" t="s">
        <v>9</v>
      </c>
    </row>
    <row r="13023" spans="1:3" x14ac:dyDescent="0.25">
      <c r="A13023" s="8" t="str">
        <f>"Proceedings - 27th International Conference on Software Engineering, ICSE05"</f>
        <v>Proceedings - 27th International Conference on Software Engineering, ICSE05</v>
      </c>
      <c r="B13023" s="8" t="str">
        <f>"-"</f>
        <v>-</v>
      </c>
      <c r="C13023" s="8" t="s">
        <v>21</v>
      </c>
    </row>
    <row r="13024" spans="1:3" x14ac:dyDescent="0.25">
      <c r="A13024" s="8" t="str">
        <f>"Proceedings - 27th International Symposium on Ballistics, BALLISTICS 2013"</f>
        <v>Proceedings - 27th International Symposium on Ballistics, BALLISTICS 2013</v>
      </c>
      <c r="B13024" s="8" t="str">
        <f>"-"</f>
        <v>-</v>
      </c>
      <c r="C13024" s="8" t="s">
        <v>757</v>
      </c>
    </row>
    <row r="13025" spans="1:3" x14ac:dyDescent="0.25">
      <c r="A13025" s="8" t="str">
        <f>"Proceedings - 28th Annual NASA/IEEE Software Engineering Workshop, SEW 2003"</f>
        <v>Proceedings - 28th Annual NASA/IEEE Software Engineering Workshop, SEW 2003</v>
      </c>
      <c r="B13025" s="8" t="str">
        <f>"9780769520674"</f>
        <v>9780769520674</v>
      </c>
      <c r="C13025" s="8" t="s">
        <v>105</v>
      </c>
    </row>
    <row r="13026" spans="1:3" x14ac:dyDescent="0.25">
      <c r="A13026" s="8" t="str">
        <f>"Proceedings - 28th Brazilian Symposium on Software Engineering, SBES 2014"</f>
        <v>Proceedings - 28th Brazilian Symposium on Software Engineering, SBES 2014</v>
      </c>
      <c r="B13026" s="8" t="str">
        <f>"9781479942237"</f>
        <v>9781479942237</v>
      </c>
      <c r="C13026" s="8" t="s">
        <v>105</v>
      </c>
    </row>
    <row r="13027" spans="1:3" x14ac:dyDescent="0.25">
      <c r="A13027" s="8" t="str">
        <f>"Proceedings - 28th European Conference on Modelling and Simulation, ECMS 2014"</f>
        <v>Proceedings - 28th European Conference on Modelling and Simulation, ECMS 2014</v>
      </c>
      <c r="B13027" s="8" t="str">
        <f>"9780956494481"</f>
        <v>9780956494481</v>
      </c>
      <c r="C13027" s="8" t="s">
        <v>1391</v>
      </c>
    </row>
    <row r="13028" spans="1:3" x14ac:dyDescent="0.25">
      <c r="A13028" s="8" t="str">
        <f>"Proceedings - 28th International Conference on Ground Control in Mining, ICGCM"</f>
        <v>Proceedings - 28th International Conference on Ground Control in Mining, ICGCM</v>
      </c>
      <c r="B13028" s="8" t="str">
        <f>"9780978938338"</f>
        <v>9780978938338</v>
      </c>
      <c r="C13028" s="8" t="s">
        <v>1446</v>
      </c>
    </row>
    <row r="13029" spans="1:3" x14ac:dyDescent="0.25">
      <c r="A13029" s="8" t="str">
        <f>"Proceedings - 28th International PLEA Conference on Sustainable Architecture + Urban Design: Opportunities, Limits and Needs - Towards an Environmentally Responsible Architecture, PLEA 2012"</f>
        <v>Proceedings - 28th International PLEA Conference on Sustainable Architecture + Urban Design: Opportunities, Limits and Needs - Towards an Environmentally Responsible Architecture, PLEA 2012</v>
      </c>
      <c r="B13029" s="8" t="str">
        <f>"9786124057892"</f>
        <v>9786124057892</v>
      </c>
      <c r="C13029" s="8" t="s">
        <v>1961</v>
      </c>
    </row>
    <row r="13030" spans="1:3" x14ac:dyDescent="0.25">
      <c r="A13030" s="8" t="str">
        <f>"Proceedings - 29th European Conference on Modelling and Simulation, ECMS 2015"</f>
        <v>Proceedings - 29th European Conference on Modelling and Simulation, ECMS 2015</v>
      </c>
      <c r="B13030" s="8" t="str">
        <f>"9780993244001"</f>
        <v>9780993244001</v>
      </c>
      <c r="C13030" s="8" t="s">
        <v>1391</v>
      </c>
    </row>
    <row r="13031" spans="1:3" x14ac:dyDescent="0.25">
      <c r="A13031" s="8" t="str">
        <f>"Proceedings - 29th International Conference on Ground Control in Mining, ICGCM"</f>
        <v>Proceedings - 29th International Conference on Ground Control in Mining, ICGCM</v>
      </c>
      <c r="B13031" s="8" t="str">
        <f>"9780978938338"</f>
        <v>9780978938338</v>
      </c>
      <c r="C13031" s="8" t="s">
        <v>1446</v>
      </c>
    </row>
    <row r="13032" spans="1:3" x14ac:dyDescent="0.25">
      <c r="A13032" s="8" t="str">
        <f>"Proceedings - 29th Southern Biomedical Engineering Conference, SBEC 2013"</f>
        <v>Proceedings - 29th Southern Biomedical Engineering Conference, SBEC 2013</v>
      </c>
      <c r="B13032" s="8" t="str">
        <f>"9780769550329"</f>
        <v>9780769550329</v>
      </c>
      <c r="C13032" s="8" t="s">
        <v>9</v>
      </c>
    </row>
    <row r="13033" spans="1:3" x14ac:dyDescent="0.25">
      <c r="A13033" s="8" t="str">
        <f>"Proceedings - 2nd 2008 International Symposium on Intelligent Information Technology Application Workshop, IITA 2008 Workshop"</f>
        <v>Proceedings - 2nd 2008 International Symposium on Intelligent Information Technology Application Workshop, IITA 2008 Workshop</v>
      </c>
      <c r="B13033" s="8" t="str">
        <f>"9780769535050"</f>
        <v>9780769535050</v>
      </c>
      <c r="C13033" s="8" t="s">
        <v>9</v>
      </c>
    </row>
    <row r="13034" spans="1:3" x14ac:dyDescent="0.25">
      <c r="A13034" s="8" t="str">
        <f>"Proceedings - 2nd ACM and IEEE International Conference on Formal Methods and Models for Co-Design, MEMOCODE'04"</f>
        <v>Proceedings - 2nd ACM and IEEE International Conference on Formal Methods and Models for Co-Design, MEMOCODE'04</v>
      </c>
      <c r="B13034" s="8" t="str">
        <f>"9780780385092"</f>
        <v>9780780385092</v>
      </c>
      <c r="C13034" s="8" t="s">
        <v>9</v>
      </c>
    </row>
    <row r="13035" spans="1:3" x14ac:dyDescent="0.25">
      <c r="A13035" s="8" t="str">
        <f>"Proceedings - 2nd Advanced Technologies for Enhanced Quality of Life, ATEQUAL 2010"</f>
        <v>Proceedings - 2nd Advanced Technologies for Enhanced Quality of Life, ATEQUAL 2010</v>
      </c>
      <c r="B13035" s="8" t="str">
        <f>"9780769542805"</f>
        <v>9780769542805</v>
      </c>
      <c r="C13035" s="8" t="s">
        <v>9</v>
      </c>
    </row>
    <row r="13036" spans="1:3" x14ac:dyDescent="0.25">
      <c r="A13036" s="8" t="str">
        <f>"Proceedings - 2nd Annual Siberian Russian Student Workshop on Electron Devices and Materials, SREDM 2001"</f>
        <v>Proceedings - 2nd Annual Siberian Russian Student Workshop on Electron Devices and Materials, SREDM 2001</v>
      </c>
      <c r="B13036" s="8" t="str">
        <f>"9785778203471"</f>
        <v>9785778203471</v>
      </c>
      <c r="C13036" s="8" t="s">
        <v>105</v>
      </c>
    </row>
    <row r="13037" spans="1:3" x14ac:dyDescent="0.25">
      <c r="A13037" s="8" t="str">
        <f>"Proceedings - 2nd Asia International Conference on Modelling and Simulation, AMS 2008"</f>
        <v>Proceedings - 2nd Asia International Conference on Modelling and Simulation, AMS 2008</v>
      </c>
      <c r="B13037" s="8" t="str">
        <f>"9780769531366"</f>
        <v>9780769531366</v>
      </c>
      <c r="C13037" s="8" t="s">
        <v>9</v>
      </c>
    </row>
    <row r="13038" spans="1:3" x14ac:dyDescent="0.25">
      <c r="A13038" s="8" t="str">
        <f>"Proceedings - 2nd Asia-Pacific Conference on Quality Software, APAQS 2001"</f>
        <v>Proceedings - 2nd Asia-Pacific Conference on Quality Software, APAQS 2001</v>
      </c>
      <c r="B13038" s="8" t="str">
        <f>"9780769512877"</f>
        <v>9780769512877</v>
      </c>
      <c r="C13038" s="8" t="s">
        <v>105</v>
      </c>
    </row>
    <row r="13039" spans="1:3" x14ac:dyDescent="0.25">
      <c r="A13039" s="8" t="str">
        <f>"Proceedings - 2nd Australasian User Interface Conference, AUIC 2001"</f>
        <v>Proceedings - 2nd Australasian User Interface Conference, AUIC 2001</v>
      </c>
      <c r="B13039" s="8" t="str">
        <f>"9780769509693"</f>
        <v>9780769509693</v>
      </c>
      <c r="C13039" s="8" t="s">
        <v>105</v>
      </c>
    </row>
    <row r="13040" spans="1:3" x14ac:dyDescent="0.25">
      <c r="A13040" s="8" t="str">
        <f>"Proceedings - 2nd Canadian Conference on Computer and Robot Vision, CRV 2005"</f>
        <v>Proceedings - 2nd Canadian Conference on Computer and Robot Vision, CRV 2005</v>
      </c>
      <c r="B13040" s="8" t="str">
        <f>"9780769523194"</f>
        <v>9780769523194</v>
      </c>
      <c r="C13040" s="8" t="s">
        <v>105</v>
      </c>
    </row>
    <row r="13041" spans="1:3" x14ac:dyDescent="0.25">
      <c r="A13041" s="8" t="str">
        <f>"Proceedings - 2nd Cybercrime and Trustworthy Computing Workshop, CTC 2010"</f>
        <v>Proceedings - 2nd Cybercrime and Trustworthy Computing Workshop, CTC 2010</v>
      </c>
      <c r="B13041" s="8" t="str">
        <f>"9780769541860"</f>
        <v>9780769541860</v>
      </c>
      <c r="C13041" s="8" t="s">
        <v>9</v>
      </c>
    </row>
    <row r="13042" spans="1:3" x14ac:dyDescent="0.25">
      <c r="A13042" s="8" t="str">
        <f>"Proceedings - 2nd IAPR Asian Conference on Pattern Recognition, ACPR 2013"</f>
        <v>Proceedings - 2nd IAPR Asian Conference on Pattern Recognition, ACPR 2013</v>
      </c>
      <c r="B13042" s="8" t="str">
        <f>"9781479921904"</f>
        <v>9781479921904</v>
      </c>
      <c r="C13042" s="8" t="s">
        <v>9</v>
      </c>
    </row>
    <row r="13043" spans="1:3" x14ac:dyDescent="0.25">
      <c r="A13043" s="8" t="str">
        <f>"Proceedings - 2nd IEEE and ACM International Symposium on Mixed and Augmented Reality, ISMAR 2003"</f>
        <v>Proceedings - 2nd IEEE and ACM International Symposium on Mixed and Augmented Reality, ISMAR 2003</v>
      </c>
      <c r="B13043" s="8" t="str">
        <f>"-"</f>
        <v>-</v>
      </c>
      <c r="C13043" s="8" t="s">
        <v>105</v>
      </c>
    </row>
    <row r="13044" spans="1:3" x14ac:dyDescent="0.25">
      <c r="A13044" s="8" t="str">
        <f>"Proceedings - 2nd IEEE International Conference on Advanced Computer Control, ICACC 2010"</f>
        <v>Proceedings - 2nd IEEE International Conference on Advanced Computer Control, ICACC 2010</v>
      </c>
      <c r="B13044" s="8" t="str">
        <f>"9781424458462"</f>
        <v>9781424458462</v>
      </c>
      <c r="C13044" s="8" t="s">
        <v>9</v>
      </c>
    </row>
    <row r="13045" spans="1:3" x14ac:dyDescent="0.25">
      <c r="A13045" s="8" t="str">
        <f>"Proceedings - 2nd IEEE International Conference on Cloud Computing Technology and Science, CloudCom 2010"</f>
        <v>Proceedings - 2nd IEEE International Conference on Cloud Computing Technology and Science, CloudCom 2010</v>
      </c>
      <c r="B13045" s="8" t="str">
        <f>"9780769543024"</f>
        <v>9780769543024</v>
      </c>
      <c r="C13045" s="8" t="s">
        <v>9</v>
      </c>
    </row>
    <row r="13046" spans="1:3" x14ac:dyDescent="0.25">
      <c r="A13046" s="8" t="str">
        <f>"Proceedings - 2nd IEEE International Conference on Cognitive Informatics, ICCI 2003"</f>
        <v>Proceedings - 2nd IEEE International Conference on Cognitive Informatics, ICCI 2003</v>
      </c>
      <c r="B13046" s="8" t="str">
        <f>"9780769519869"</f>
        <v>9780769519869</v>
      </c>
      <c r="C13046" s="8" t="s">
        <v>105</v>
      </c>
    </row>
    <row r="13047" spans="1:3" x14ac:dyDescent="0.25">
      <c r="A13047" s="8" t="str">
        <f>"Proceedings - 2nd IEEE International Conference on Cyber-Physical Systems, Networks, and Applications, CPSNA 2014"</f>
        <v>Proceedings - 2nd IEEE International Conference on Cyber-Physical Systems, Networks, and Applications, CPSNA 2014</v>
      </c>
      <c r="B13047" s="8" t="str">
        <f>"9781479953875"</f>
        <v>9781479953875</v>
      </c>
      <c r="C13047" s="8" t="s">
        <v>105</v>
      </c>
    </row>
    <row r="13048" spans="1:3" x14ac:dyDescent="0.25">
      <c r="A13048" s="8" t="str">
        <f>"Proceedings - 2nd IEEE International Conference on Digital Game and Intelligent Toy Enhanced Learning, DIGITEL 2008"</f>
        <v>Proceedings - 2nd IEEE International Conference on Digital Game and Intelligent Toy Enhanced Learning, DIGITEL 2008</v>
      </c>
      <c r="B13048" s="8" t="str">
        <f>"9780769534091"</f>
        <v>9780769534091</v>
      </c>
      <c r="C13048" s="8" t="s">
        <v>9</v>
      </c>
    </row>
    <row r="13049" spans="1:3" x14ac:dyDescent="0.25">
      <c r="A13049" s="8" t="str">
        <f>"Proceedings - 2nd IEEE International Conference on Self-Adaptive and Self-Organizing Systems Workshops, SASOW 2008"</f>
        <v>Proceedings - 2nd IEEE International Conference on Self-Adaptive and Self-Organizing Systems Workshops, SASOW 2008</v>
      </c>
      <c r="B13049" s="8" t="str">
        <f>"9780769535531"</f>
        <v>9780769535531</v>
      </c>
      <c r="C13049" s="8" t="s">
        <v>9</v>
      </c>
    </row>
    <row r="13050" spans="1:3" x14ac:dyDescent="0.25">
      <c r="A13050" s="8" t="str">
        <f>"Proceedings - 2nd IEEE International Conference on Self-Adaptive and Self-Organizing Systems, SASO 2008"</f>
        <v>Proceedings - 2nd IEEE International Conference on Self-Adaptive and Self-Organizing Systems, SASO 2008</v>
      </c>
      <c r="B13050" s="8" t="str">
        <f>"9780769534046"</f>
        <v>9780769534046</v>
      </c>
      <c r="C13050" s="8" t="s">
        <v>9</v>
      </c>
    </row>
    <row r="13051" spans="1:3" x14ac:dyDescent="0.25">
      <c r="A13051" s="8" t="str">
        <f>"Proceedings - 2nd IEEE International Symposium on Dependable, Autonomic and Secure Computing, DASC 2006"</f>
        <v>Proceedings - 2nd IEEE International Symposium on Dependable, Autonomic and Secure Computing, DASC 2006</v>
      </c>
      <c r="B13051" s="8" t="str">
        <f>"9780769525396"</f>
        <v>9780769525396</v>
      </c>
      <c r="C13051" s="8" t="s">
        <v>9</v>
      </c>
    </row>
    <row r="13052" spans="1:3" x14ac:dyDescent="0.25">
      <c r="A13052" s="8" t="str">
        <f>"Proceedings - 2nd IEEE International Symposium on Network Computing and Applications, NCA 2003"</f>
        <v>Proceedings - 2nd IEEE International Symposium on Network Computing and Applications, NCA 2003</v>
      </c>
      <c r="B13052" s="8" t="str">
        <f>"9780769519388"</f>
        <v>9780769519388</v>
      </c>
      <c r="C13052" s="8" t="s">
        <v>105</v>
      </c>
    </row>
    <row r="13053" spans="1:3" x14ac:dyDescent="0.25">
      <c r="A13053" s="8" t="str">
        <f>"Proceedings - 2nd IEEE International Workshop on Haptic, Audio and Visual Environments and their Applications, HAVE 2003"</f>
        <v>Proceedings - 2nd IEEE International Workshop on Haptic, Audio and Visual Environments and their Applications, HAVE 2003</v>
      </c>
      <c r="B13053" s="8" t="str">
        <f>"9780780381087"</f>
        <v>9780780381087</v>
      </c>
      <c r="C13053" s="8" t="s">
        <v>105</v>
      </c>
    </row>
    <row r="13054" spans="1:3" x14ac:dyDescent="0.25">
      <c r="A13054" s="8" t="str">
        <f>"Proceedings - 2nd IEEE International Workshop on Wireless and Mobile Technologies in Education"</f>
        <v>Proceedings - 2nd IEEE International Workshop on Wireless and Mobile Technologies in Education</v>
      </c>
      <c r="B13054" s="8" t="str">
        <f>"9780769519890"</f>
        <v>9780769519890</v>
      </c>
      <c r="C13054" s="8" t="s">
        <v>9</v>
      </c>
    </row>
    <row r="13055" spans="1:3" x14ac:dyDescent="0.25">
      <c r="A13055" s="8" t="str">
        <f>"Proceedings - 2nd IEEE Working Conference on Software Visualization, VISSOFT 2014"</f>
        <v>Proceedings - 2nd IEEE Working Conference on Software Visualization, VISSOFT 2014</v>
      </c>
      <c r="B13055" s="8" t="str">
        <f>"9780769553054"</f>
        <v>9780769553054</v>
      </c>
      <c r="C13055" s="8" t="s">
        <v>105</v>
      </c>
    </row>
    <row r="13056" spans="1:3" x14ac:dyDescent="0.25">
      <c r="A13056" s="8" t="str">
        <f>"Proceedings - 2nd IEEE Workshop on Internet Applications, WIAPP 2001"</f>
        <v>Proceedings - 2nd IEEE Workshop on Internet Applications, WIAPP 2001</v>
      </c>
      <c r="B13056" s="8" t="str">
        <f>"9780769511375"</f>
        <v>9780769511375</v>
      </c>
      <c r="C13056" s="8" t="s">
        <v>105</v>
      </c>
    </row>
    <row r="13057" spans="1:3" x14ac:dyDescent="0.25">
      <c r="A13057" s="8" t="str">
        <f>"Proceedings - 2nd IFIP/IEEE International Symposium on Theoretical Aspects of Software Engineering, TASE 2008"</f>
        <v>Proceedings - 2nd IFIP/IEEE International Symposium on Theoretical Aspects of Software Engineering, TASE 2008</v>
      </c>
      <c r="B13057" s="8" t="str">
        <f>"9780769532493"</f>
        <v>9780769532493</v>
      </c>
      <c r="C13057" s="8" t="s">
        <v>9</v>
      </c>
    </row>
    <row r="13058" spans="1:3" x14ac:dyDescent="0.25">
      <c r="A13058" s="8" t="str">
        <f>"Proceedings - 2nd IIAI International Conference on Advanced Applied Informatics, IIAI-AAI 2013"</f>
        <v>Proceedings - 2nd IIAI International Conference on Advanced Applied Informatics, IIAI-AAI 2013</v>
      </c>
      <c r="B13058" s="8" t="str">
        <f>"9780769550718"</f>
        <v>9780769550718</v>
      </c>
      <c r="C13058" s="8" t="s">
        <v>9</v>
      </c>
    </row>
    <row r="13059" spans="1:3" x14ac:dyDescent="0.25">
      <c r="A13059" s="8" t="str">
        <f>"Proceedings - 2nd Int. Conf. Emerging Security Inf., Systems and Technologies, SECURWARE 2008, Includes DEPEND 2008: 1st Int. Workshop on Dependability and Security in Complex and Critical Inf. Sys."</f>
        <v>Proceedings - 2nd Int. Conf. Emerging Security Inf., Systems and Technologies, SECURWARE 2008, Includes DEPEND 2008: 1st Int. Workshop on Dependability and Security in Complex and Critical Inf. Sys.</v>
      </c>
      <c r="B13059" s="8" t="str">
        <f>"9780769533292"</f>
        <v>9780769533292</v>
      </c>
      <c r="C13059" s="8" t="s">
        <v>9</v>
      </c>
    </row>
    <row r="13060" spans="1:3" x14ac:dyDescent="0.25">
      <c r="A13060" s="8" t="str">
        <f>"Proceedings - 2nd Int. Conf. Sensor Technol. Appl., SENSORCOMM 2008, Includes: MESH 2008 Conf. Mesh Networks; ENOPT 2008 Energy Optim. Wireless Sensors Networks, UNWAT 2008 Under Water Sensors Systems"</f>
        <v>Proceedings - 2nd Int. Conf. Sensor Technol. Appl., SENSORCOMM 2008, Includes: MESH 2008 Conf. Mesh Networks; ENOPT 2008 Energy Optim. Wireless Sensors Networks, UNWAT 2008 Under Water Sensors Systems</v>
      </c>
      <c r="B13060" s="8" t="str">
        <f>"9780769533308"</f>
        <v>9780769533308</v>
      </c>
      <c r="C13060" s="8" t="s">
        <v>9</v>
      </c>
    </row>
    <row r="13061" spans="1:3" x14ac:dyDescent="0.25">
      <c r="A13061" s="8" t="str">
        <f>"Proceedings - 2nd International Annual Workshop on Digital Forensics and Incident Analysis, WDFIA 2007"</f>
        <v>Proceedings - 2nd International Annual Workshop on Digital Forensics and Incident Analysis, WDFIA 2007</v>
      </c>
      <c r="B13061" s="8" t="str">
        <f>"9780769529417"</f>
        <v>9780769529417</v>
      </c>
      <c r="C13061" s="8" t="s">
        <v>9</v>
      </c>
    </row>
    <row r="13062" spans="1:3" x14ac:dyDescent="0.25">
      <c r="A13062" s="8" t="str">
        <f>"Proceedings - 2nd International Conference on Advanced Computing, Networking and Security, ADCONS 2013"</f>
        <v>Proceedings - 2nd International Conference on Advanced Computing, Networking and Security, ADCONS 2013</v>
      </c>
      <c r="B13062" s="8" t="str">
        <f>"9780768551272"</f>
        <v>9780768551272</v>
      </c>
      <c r="C13062" s="8" t="s">
        <v>9</v>
      </c>
    </row>
    <row r="13063" spans="1:3" x14ac:dyDescent="0.25">
      <c r="A13063" s="8" t="str">
        <f>"Proceedings - 2nd International Conference on Advances in Future Internet, AFIN 2010"</f>
        <v>Proceedings - 2nd International Conference on Advances in Future Internet, AFIN 2010</v>
      </c>
      <c r="B13063" s="8" t="str">
        <f>"9780769540917"</f>
        <v>9780769540917</v>
      </c>
      <c r="C13063" s="8" t="s">
        <v>9</v>
      </c>
    </row>
    <row r="13064" spans="1:3" x14ac:dyDescent="0.25">
      <c r="A13064" s="8" t="str">
        <f>"Proceedings - 2nd International Conference on Advances in Recent Technologies in Communication and Computing, ARTCom 2010"</f>
        <v>Proceedings - 2nd International Conference on Advances in Recent Technologies in Communication and Computing, ARTCom 2010</v>
      </c>
      <c r="B13064" s="8" t="str">
        <f>"9780769542010"</f>
        <v>9780769542010</v>
      </c>
      <c r="C13064" s="8" t="s">
        <v>9</v>
      </c>
    </row>
    <row r="13065" spans="1:3" x14ac:dyDescent="0.25">
      <c r="A13065" s="8" t="str">
        <f>"Proceedings - 2nd International Conference on Advances in System Simulation, SIMUL 2010"</f>
        <v>Proceedings - 2nd International Conference on Advances in System Simulation, SIMUL 2010</v>
      </c>
      <c r="B13065" s="8" t="str">
        <f>"9780769541426"</f>
        <v>9780769541426</v>
      </c>
      <c r="C13065" s="8" t="s">
        <v>9</v>
      </c>
    </row>
    <row r="13066" spans="1:3" x14ac:dyDescent="0.25">
      <c r="A13066" s="8" t="str">
        <f>"Proceedings - 2nd International Conference on Advances in System Testing and Validation Lifecycle, VALID 2010"</f>
        <v>Proceedings - 2nd International Conference on Advances in System Testing and Validation Lifecycle, VALID 2010</v>
      </c>
      <c r="B13066" s="8" t="str">
        <f>"9780769541464"</f>
        <v>9780769541464</v>
      </c>
      <c r="C13066" s="8" t="s">
        <v>9</v>
      </c>
    </row>
    <row r="13067" spans="1:3" x14ac:dyDescent="0.25">
      <c r="A13067" s="8" t="str">
        <f>"Proceedings - 2nd International Conference on Artificial Intelligence, Modelling, and Simulation, AIMS 2014"</f>
        <v>Proceedings - 2nd International Conference on Artificial Intelligence, Modelling, and Simulation, AIMS 2014</v>
      </c>
      <c r="B13067" s="8" t="str">
        <f>"9781479975990"</f>
        <v>9781479975990</v>
      </c>
      <c r="C13067" s="8" t="s">
        <v>105</v>
      </c>
    </row>
    <row r="13068" spans="1:3" x14ac:dyDescent="0.25">
      <c r="A13068" s="8" t="str">
        <f>"Proceedings - 2nd International Conference on Cloud and Green Computing and 2nd International Conference on Social Computing and Its Applications, CGC/SCA 2012"</f>
        <v>Proceedings - 2nd International Conference on Cloud and Green Computing and 2nd International Conference on Social Computing and Its Applications, CGC/SCA 2012</v>
      </c>
      <c r="B13068" s="8" t="str">
        <f>"9780769548647"</f>
        <v>9780769548647</v>
      </c>
      <c r="C13068" s="8" t="s">
        <v>9</v>
      </c>
    </row>
    <row r="13069" spans="1:3" x14ac:dyDescent="0.25">
      <c r="A13069" s="8" t="str">
        <f>"Proceedings - 2nd International Conference on Computational Intelligence, Communication Systems and Networks, CICSyN 2010"</f>
        <v>Proceedings - 2nd International Conference on Computational Intelligence, Communication Systems and Networks, CICSyN 2010</v>
      </c>
      <c r="B13069" s="8" t="str">
        <f>"9780769541587"</f>
        <v>9780769541587</v>
      </c>
      <c r="C13069" s="8" t="s">
        <v>9</v>
      </c>
    </row>
    <row r="13070" spans="1:3" x14ac:dyDescent="0.25">
      <c r="A13070" s="8" t="str">
        <f>"Proceedings - 2nd International Conference on Computational Intelligence, Modelling and Simulation, CIMSim 2010"</f>
        <v>Proceedings - 2nd International Conference on Computational Intelligence, Modelling and Simulation, CIMSim 2010</v>
      </c>
      <c r="B13070" s="8" t="str">
        <f>"9780769542621"</f>
        <v>9780769542621</v>
      </c>
      <c r="C13070" s="8" t="s">
        <v>9</v>
      </c>
    </row>
    <row r="13071" spans="1:3" x14ac:dyDescent="0.25">
      <c r="A13071" s="8" t="str">
        <f>"Proceedings - 2nd International Conference on Development and Learning, ICDL 2002"</f>
        <v>Proceedings - 2nd International Conference on Development and Learning, ICDL 2002</v>
      </c>
      <c r="B13071" s="8" t="str">
        <f>"9780769514598"</f>
        <v>9780769514598</v>
      </c>
      <c r="C13071" s="8" t="s">
        <v>105</v>
      </c>
    </row>
    <row r="13072" spans="1:3" x14ac:dyDescent="0.25">
      <c r="A13072" s="8" t="str">
        <f>"Proceedings - 2nd International Conference on Emerging Applications of Information Technology, EAIT 2011"</f>
        <v>Proceedings - 2nd International Conference on Emerging Applications of Information Technology, EAIT 2011</v>
      </c>
      <c r="B13072" s="8" t="str">
        <f>"9780769543291"</f>
        <v>9780769543291</v>
      </c>
      <c r="C13072" s="8" t="s">
        <v>9</v>
      </c>
    </row>
    <row r="13073" spans="1:3" x14ac:dyDescent="0.25">
      <c r="A13073" s="8" t="str">
        <f>"Proceedings - 2nd International Conference on Emerging Technologies 2006, ICET 2006"</f>
        <v>Proceedings - 2nd International Conference on Emerging Technologies 2006, ICET 2006</v>
      </c>
      <c r="B13073" s="8" t="str">
        <f>"9781424405039"</f>
        <v>9781424405039</v>
      </c>
      <c r="C13073" s="8" t="s">
        <v>9</v>
      </c>
    </row>
    <row r="13074" spans="1:3" x14ac:dyDescent="0.25">
      <c r="A13074" s="8" t="str">
        <f>"Proceedings - 2nd International Conference on Engineering and Industries, ICEI 2011"</f>
        <v>Proceedings - 2nd International Conference on Engineering and Industries, ICEI 2011</v>
      </c>
      <c r="B13074" s="8" t="str">
        <f>"9788988678404"</f>
        <v>9788988678404</v>
      </c>
      <c r="C13074" s="8" t="s">
        <v>9</v>
      </c>
    </row>
    <row r="13075" spans="1:3" x14ac:dyDescent="0.25">
      <c r="A13075" s="8" t="str">
        <f>"Proceedings - 2nd International Conference on Enterprise Systems, ES 2014"</f>
        <v>Proceedings - 2nd International Conference on Enterprise Systems, ES 2014</v>
      </c>
      <c r="B13075" s="8" t="str">
        <f>"9781479955541"</f>
        <v>9781479955541</v>
      </c>
      <c r="C13075" s="8" t="s">
        <v>105</v>
      </c>
    </row>
    <row r="13076" spans="1:3" x14ac:dyDescent="0.25">
      <c r="A13076" s="8" t="str">
        <f>"Proceedings - 2nd International Conference on Evolving Internet, Internet 2010, 1st International Conference on Access Networks, Services and Technologies, Access 2010"</f>
        <v>Proceedings - 2nd International Conference on Evolving Internet, Internet 2010, 1st International Conference on Access Networks, Services and Technologies, Access 2010</v>
      </c>
      <c r="B13076" s="8" t="str">
        <f>"9780769541853"</f>
        <v>9780769541853</v>
      </c>
      <c r="C13076" s="8" t="s">
        <v>9</v>
      </c>
    </row>
    <row r="13077" spans="1:3" x14ac:dyDescent="0.25">
      <c r="A13077" s="8" t="str">
        <f>"Proceedings - 2nd International Conference on Genetic and Evolutionary Computing, WGEC 2008"</f>
        <v>Proceedings - 2nd International Conference on Genetic and Evolutionary Computing, WGEC 2008</v>
      </c>
      <c r="B13077" s="8" t="str">
        <f>"9780769533346"</f>
        <v>9780769533346</v>
      </c>
      <c r="C13077" s="8" t="s">
        <v>9</v>
      </c>
    </row>
    <row r="13078" spans="1:3" x14ac:dyDescent="0.25">
      <c r="A13078" s="8" t="str">
        <f>"Proceedings - 2nd International Conference on Information Technology and Computer Science, ITCS 2010"</f>
        <v>Proceedings - 2nd International Conference on Information Technology and Computer Science, ITCS 2010</v>
      </c>
      <c r="B13078" s="8" t="str">
        <f>"9780769540740"</f>
        <v>9780769540740</v>
      </c>
      <c r="C13078" s="8" t="s">
        <v>9</v>
      </c>
    </row>
    <row r="13079" spans="1:3" x14ac:dyDescent="0.25">
      <c r="A13079" s="8" t="str">
        <f>"Proceedings - 2nd International Conference on Intelligent Networking and Collaborative Systems, INCOS 2010"</f>
        <v>Proceedings - 2nd International Conference on Intelligent Networking and Collaborative Systems, INCOS 2010</v>
      </c>
      <c r="B13079" s="8" t="str">
        <f>"9780769542782"</f>
        <v>9780769542782</v>
      </c>
      <c r="C13079" s="8" t="s">
        <v>9</v>
      </c>
    </row>
    <row r="13080" spans="1:3" x14ac:dyDescent="0.25">
      <c r="A13080" s="8" t="str">
        <f>"Proceedings - 2nd International Conference on Knowledge and Systems Engineering, KSE 2010"</f>
        <v>Proceedings - 2nd International Conference on Knowledge and Systems Engineering, KSE 2010</v>
      </c>
      <c r="B13080" s="8" t="str">
        <f>"9780769542133"</f>
        <v>9780769542133</v>
      </c>
      <c r="C13080" s="8" t="s">
        <v>9</v>
      </c>
    </row>
    <row r="13081" spans="1:3" x14ac:dyDescent="0.25">
      <c r="A13081" s="8" t="str">
        <f>"Proceedings - 2nd International Conference on Network Applications, Protocols and Services, NETAPPS 2010"</f>
        <v>Proceedings - 2nd International Conference on Network Applications, Protocols and Services, NETAPPS 2010</v>
      </c>
      <c r="B13081" s="8" t="str">
        <f>"9780769541778"</f>
        <v>9780769541778</v>
      </c>
      <c r="C13081" s="8" t="s">
        <v>9</v>
      </c>
    </row>
    <row r="13082" spans="1:3" x14ac:dyDescent="0.25">
      <c r="A13082" s="8" t="str">
        <f>"Proceedings - 2nd International Conference on Networking and Distributed Computing, ICNDC 2011"</f>
        <v>Proceedings - 2nd International Conference on Networking and Distributed Computing, ICNDC 2011</v>
      </c>
      <c r="B13082" s="8" t="str">
        <f>"9780769544274"</f>
        <v>9780769544274</v>
      </c>
      <c r="C13082" s="8" t="s">
        <v>9</v>
      </c>
    </row>
    <row r="13083" spans="1:3" x14ac:dyDescent="0.25">
      <c r="A13083" s="8" t="str">
        <f>"Proceedings - 2nd International Conference on Next Generation Information Technology, ICNIT 2011"</f>
        <v>Proceedings - 2nd International Conference on Next Generation Information Technology, ICNIT 2011</v>
      </c>
      <c r="B13083" s="8" t="str">
        <f>"9788988678381"</f>
        <v>9788988678381</v>
      </c>
      <c r="C13083" s="8" t="s">
        <v>9</v>
      </c>
    </row>
    <row r="13084" spans="1:3" x14ac:dyDescent="0.25">
      <c r="A13084" s="8" t="str">
        <f>"Proceedings - 2nd International Conference on Peer-to-Peer Computing, P2P 2002"</f>
        <v>Proceedings - 2nd International Conference on Peer-to-Peer Computing, P2P 2002</v>
      </c>
      <c r="B13084" s="8" t="str">
        <f>"9780769518107"</f>
        <v>9780769518107</v>
      </c>
      <c r="C13084" s="8" t="s">
        <v>105</v>
      </c>
    </row>
    <row r="13085" spans="1:3" x14ac:dyDescent="0.25">
      <c r="A13085" s="8" t="str">
        <f>"Proceedings - 2nd International Conference on Software Testing, Verification, and Validation, ICST 2009"</f>
        <v>Proceedings - 2nd International Conference on Software Testing, Verification, and Validation, ICST 2009</v>
      </c>
      <c r="B13085" s="8" t="str">
        <f>"9780769536019"</f>
        <v>9780769536019</v>
      </c>
      <c r="C13085" s="8" t="s">
        <v>9</v>
      </c>
    </row>
    <row r="13086" spans="1:3" x14ac:dyDescent="0.25">
      <c r="A13086" s="8" t="str">
        <f>"Proceedings - 2nd International Conference on WEB Delivering of Music, WEDELMUSIC 2002"</f>
        <v>Proceedings - 2nd International Conference on WEB Delivering of Music, WEDELMUSIC 2002</v>
      </c>
      <c r="B13086" s="8" t="str">
        <f>"9780769516233"</f>
        <v>9780769516233</v>
      </c>
      <c r="C13086" s="8" t="s">
        <v>105</v>
      </c>
    </row>
    <row r="13087" spans="1:3" x14ac:dyDescent="0.25">
      <c r="A13087" s="8" t="str">
        <f>"Proceedings - 2nd International Multi-Symposiums on Computer and Computational Sciences, IMSCCS'07"</f>
        <v>Proceedings - 2nd International Multi-Symposiums on Computer and Computational Sciences, IMSCCS'07</v>
      </c>
      <c r="B13087" s="8" t="str">
        <f>"9780769530390"</f>
        <v>9780769530390</v>
      </c>
      <c r="C13087" s="8" t="s">
        <v>9</v>
      </c>
    </row>
    <row r="13088" spans="1:3" x14ac:dyDescent="0.25">
      <c r="A13088" s="8" t="str">
        <f>"Proceedings - 2nd International Symposium on 3D Data Processing, Visualization, and Transmission. 3DPVT 2004"</f>
        <v>Proceedings - 2nd International Symposium on 3D Data Processing, Visualization, and Transmission. 3DPVT 2004</v>
      </c>
      <c r="B13088" s="8" t="str">
        <f>"9780769522234"</f>
        <v>9780769522234</v>
      </c>
      <c r="C13088" s="8" t="s">
        <v>9</v>
      </c>
    </row>
    <row r="13089" spans="1:3" x14ac:dyDescent="0.25">
      <c r="A13089" s="8" t="str">
        <f>"Proceedings - 2nd International Symposium on Data, Privacy, and E-Commerce, ISDPE 2010"</f>
        <v>Proceedings - 2nd International Symposium on Data, Privacy, and E-Commerce, ISDPE 2010</v>
      </c>
      <c r="B13089" s="8" t="str">
        <f>"9780769542034"</f>
        <v>9780769542034</v>
      </c>
      <c r="C13089" s="8" t="s">
        <v>9</v>
      </c>
    </row>
    <row r="13090" spans="1:3" x14ac:dyDescent="0.25">
      <c r="A13090" s="8" t="str">
        <f>"Proceedings - 2nd International Symposium on Environmentally Conscious Design and Inverse Manufacturing"</f>
        <v>Proceedings - 2nd International Symposium on Environmentally Conscious Design and Inverse Manufacturing</v>
      </c>
      <c r="B13090" s="8" t="str">
        <f>"9780769512662"</f>
        <v>9780769512662</v>
      </c>
      <c r="C13090" s="8" t="s">
        <v>105</v>
      </c>
    </row>
    <row r="13091" spans="1:3" x14ac:dyDescent="0.25">
      <c r="A13091" s="8" t="str">
        <f>"Proceedings - 2nd International Symposium on Intelligent Information Technology and Security Informatics, IITSI 2009"</f>
        <v>Proceedings - 2nd International Symposium on Intelligent Information Technology and Security Informatics, IITSI 2009</v>
      </c>
      <c r="B13091" s="8" t="str">
        <f>"9780769535791"</f>
        <v>9780769535791</v>
      </c>
      <c r="C13091" s="8" t="s">
        <v>9</v>
      </c>
    </row>
    <row r="13092" spans="1:3" x14ac:dyDescent="0.25">
      <c r="A13092" s="8" t="str">
        <f>"Proceedings - 2nd International Symposium on Parallel and Distributed Computing, ISPDC 2003"</f>
        <v>Proceedings - 2nd International Symposium on Parallel and Distributed Computing, ISPDC 2003</v>
      </c>
      <c r="B13092" s="8" t="str">
        <f>"9780769520698"</f>
        <v>9780769520698</v>
      </c>
      <c r="C13092" s="8" t="s">
        <v>105</v>
      </c>
    </row>
    <row r="13093" spans="1:3" x14ac:dyDescent="0.25">
      <c r="A13093" s="8" t="str">
        <f>"Proceedings - 2nd International Symposium on Search Based Software Engineering, SSBSE 2010"</f>
        <v>Proceedings - 2nd International Symposium on Search Based Software Engineering, SSBSE 2010</v>
      </c>
      <c r="B13093" s="8" t="str">
        <f>"9780769541952"</f>
        <v>9780769541952</v>
      </c>
      <c r="C13093" s="8" t="s">
        <v>9</v>
      </c>
    </row>
    <row r="13094" spans="1:3" x14ac:dyDescent="0.25">
      <c r="A13094" s="8" t="str">
        <f>"Proceedings - 2nd International Workshop on Autonomous Decentralized System, IWADS 2002"</f>
        <v>Proceedings - 2nd International Workshop on Autonomous Decentralized System, IWADS 2002</v>
      </c>
      <c r="B13094" s="8" t="str">
        <f>"9780780376243"</f>
        <v>9780780376243</v>
      </c>
      <c r="C13094" s="8" t="s">
        <v>105</v>
      </c>
    </row>
    <row r="13095" spans="1:3" x14ac:dyDescent="0.25">
      <c r="A13095" s="8" t="str">
        <f>"Proceedings - 2nd International Workshop on Engineering Management for Applied Technology, EMAT 2001"</f>
        <v>Proceedings - 2nd International Workshop on Engineering Management for Applied Technology, EMAT 2001</v>
      </c>
      <c r="B13095" s="8" t="str">
        <f>"9780769513249"</f>
        <v>9780769513249</v>
      </c>
      <c r="C13095" s="8" t="s">
        <v>105</v>
      </c>
    </row>
    <row r="13096" spans="1:3" x14ac:dyDescent="0.25">
      <c r="A13096" s="8" t="str">
        <f>"Proceedings - 2nd International Workshop on High-Performance Reconfigurable Computing Technology and Applications, HPRCTA 2008 - Held in Conjunction with SC08"</f>
        <v>Proceedings - 2nd International Workshop on High-Performance Reconfigurable Computing Technology and Applications, HPRCTA 2008 - Held in Conjunction with SC08</v>
      </c>
      <c r="B13096" s="8" t="str">
        <f>"9781424428267"</f>
        <v>9781424428267</v>
      </c>
      <c r="C13096" s="8" t="s">
        <v>9</v>
      </c>
    </row>
    <row r="13097" spans="1:3" x14ac:dyDescent="0.25">
      <c r="A13097" s="8" t="str">
        <f>"Proceedings - 2nd International Workshop on Near Field Communication, NFC 2010"</f>
        <v>Proceedings - 2nd International Workshop on Near Field Communication, NFC 2010</v>
      </c>
      <c r="B13097" s="8" t="str">
        <f>"9780769539980"</f>
        <v>9780769539980</v>
      </c>
      <c r="C13097" s="8" t="s">
        <v>9</v>
      </c>
    </row>
    <row r="13098" spans="1:3" x14ac:dyDescent="0.25">
      <c r="A13098" s="8" t="str">
        <f>"Proceedings - 2nd International Workshop on Rapid Continuous Software Engineering, RCoSE 2015"</f>
        <v>Proceedings - 2nd International Workshop on Rapid Continuous Software Engineering, RCoSE 2015</v>
      </c>
      <c r="B13098" s="8" t="str">
        <f>"9781479919345"</f>
        <v>9781479919345</v>
      </c>
      <c r="C13098" s="8" t="s">
        <v>105</v>
      </c>
    </row>
    <row r="13099" spans="1:3" x14ac:dyDescent="0.25">
      <c r="A13099" s="8" t="str">
        <f>"Proceedings - 2nd International Workshop on Requirements Engineering and Testing, RET 2015"</f>
        <v>Proceedings - 2nd International Workshop on Requirements Engineering and Testing, RET 2015</v>
      </c>
      <c r="B13099" s="8" t="str">
        <f>"9781479919345"</f>
        <v>9781479919345</v>
      </c>
      <c r="C13099" s="8" t="s">
        <v>105</v>
      </c>
    </row>
    <row r="13100" spans="1:3" x14ac:dyDescent="0.25">
      <c r="A13100" s="8" t="str">
        <f>"Proceedings - 2nd International Workshop on User Interfaces to Data Intensive Systems, UIDIS 2001"</f>
        <v>Proceedings - 2nd International Workshop on User Interfaces to Data Intensive Systems, UIDIS 2001</v>
      </c>
      <c r="B13100" s="8" t="str">
        <f>"9780769508344"</f>
        <v>9780769508344</v>
      </c>
      <c r="C13100" s="8" t="s">
        <v>105</v>
      </c>
    </row>
    <row r="13101" spans="1:3" x14ac:dyDescent="0.25">
      <c r="A13101" s="8" t="str">
        <f>"Proceedings - 2nd Joint 3DIM/3DPVT Conference: 3D Imaging, Modeling, Processing, Visualization and Transmission, 3DIMPVT 2012"</f>
        <v>Proceedings - 2nd Joint 3DIM/3DPVT Conference: 3D Imaging, Modeling, Processing, Visualization and Transmission, 3DIMPVT 2012</v>
      </c>
      <c r="B13101" s="8" t="str">
        <f>"9780769548739"</f>
        <v>9780769548739</v>
      </c>
      <c r="C13101" s="8" t="s">
        <v>9</v>
      </c>
    </row>
    <row r="13102" spans="1:3" x14ac:dyDescent="0.25">
      <c r="A13102" s="8" t="str">
        <f>"Proceedings - 2nd Joint IEEE International Workshop on Visual Surveillance and Performance Evaluation of Tracking and Surveillance, VS-PETS"</f>
        <v>Proceedings - 2nd Joint IEEE International Workshop on Visual Surveillance and Performance Evaluation of Tracking and Surveillance, VS-PETS</v>
      </c>
      <c r="B13102" s="8" t="str">
        <f>"-"</f>
        <v>-</v>
      </c>
      <c r="C13102" s="8" t="s">
        <v>9</v>
      </c>
    </row>
    <row r="13103" spans="1:3" x14ac:dyDescent="0.25">
      <c r="A13103" s="8" t="s">
        <v>2072</v>
      </c>
      <c r="B13103" s="8" t="str">
        <f>"9781479967117"</f>
        <v>9781479967117</v>
      </c>
      <c r="C13103" s="8" t="s">
        <v>105</v>
      </c>
    </row>
    <row r="13104" spans="1:3" x14ac:dyDescent="0.25">
      <c r="A13104" s="8" t="str">
        <f>"Proceedings - 2nd Vaagdevi International Conference on Information Technology for Real World Problems, VCON 2010"</f>
        <v>Proceedings - 2nd Vaagdevi International Conference on Information Technology for Real World Problems, VCON 2010</v>
      </c>
      <c r="B13104" s="8" t="str">
        <f>"9780769543260"</f>
        <v>9780769543260</v>
      </c>
      <c r="C13104" s="8" t="s">
        <v>9</v>
      </c>
    </row>
    <row r="13105" spans="1:3" x14ac:dyDescent="0.25">
      <c r="A13105" s="8" t="str">
        <f>"Proceedings - 2nd Workshop on Architecture and Multi-Core Applications, WAMCA 2011"</f>
        <v>Proceedings - 2nd Workshop on Architecture and Multi-Core Applications, WAMCA 2011</v>
      </c>
      <c r="B13105" s="8" t="str">
        <f>"9780769546131"</f>
        <v>9780769546131</v>
      </c>
      <c r="C13105" s="8" t="s">
        <v>9</v>
      </c>
    </row>
    <row r="13106" spans="1:3" x14ac:dyDescent="0.25">
      <c r="A13106" s="8" t="str">
        <f>"Proceedings - 2nd Workshop on Digital Media and its Application in Museum and Heritage, DMAMH 2007"</f>
        <v>Proceedings - 2nd Workshop on Digital Media and its Application in Museum and Heritage, DMAMH 2007</v>
      </c>
      <c r="B13106" s="8" t="str">
        <f>"9780769530659"</f>
        <v>9780769530659</v>
      </c>
      <c r="C13106" s="8" t="s">
        <v>9</v>
      </c>
    </row>
    <row r="13107" spans="1:3" x14ac:dyDescent="0.25">
      <c r="A13107" s="8" t="str">
        <f>"Proceedings - 2nd Workshop on Socio-Technical Aspects in Security and Trust, STAST 2012, Co-located with 25th IEEE Computer Security Foundations Symposium, CSF 2012"</f>
        <v>Proceedings - 2nd Workshop on Socio-Technical Aspects in Security and Trust, STAST 2012, Co-located with 25th IEEE Computer Security Foundations Symposium, CSF 2012</v>
      </c>
      <c r="B13107" s="8" t="str">
        <f>"9780769548227"</f>
        <v>9780769548227</v>
      </c>
      <c r="C13107" s="8" t="s">
        <v>9</v>
      </c>
    </row>
    <row r="13108" spans="1:3" x14ac:dyDescent="0.25">
      <c r="A13108" s="8" t="str">
        <f>"Proceedings - 30th International Conference on Software Maintenance and Evolution, ICSME 2014"</f>
        <v>Proceedings - 30th International Conference on Software Maintenance and Evolution, ICSME 2014</v>
      </c>
      <c r="B13108" s="8" t="str">
        <f>"9780769553030"</f>
        <v>9780769553030</v>
      </c>
      <c r="C13108" s="8" t="s">
        <v>105</v>
      </c>
    </row>
    <row r="13109" spans="1:3" x14ac:dyDescent="0.25">
      <c r="A13109" s="8" t="str">
        <f>"Proceedings - 32nd Annual International ACM SIGIR Conference on Research and Development in Information Retrieval, SIGIR 2009"</f>
        <v>Proceedings - 32nd Annual International ACM SIGIR Conference on Research and Development in Information Retrieval, SIGIR 2009</v>
      </c>
      <c r="B13109" s="8" t="str">
        <f>"9781605584836"</f>
        <v>9781605584836</v>
      </c>
      <c r="C13109" s="8" t="s">
        <v>21</v>
      </c>
    </row>
    <row r="13110" spans="1:3" x14ac:dyDescent="0.25">
      <c r="A13110" s="8" t="str">
        <f>"Proceedings - 32nd Brazilian Symposium on Computer Networks and Distributed Systems, SBRC 2014"</f>
        <v>Proceedings - 32nd Brazilian Symposium on Computer Networks and Distributed Systems, SBRC 2014</v>
      </c>
      <c r="B13110" s="8" t="str">
        <f>"9781479956128"</f>
        <v>9781479956128</v>
      </c>
      <c r="C13110" s="8" t="s">
        <v>105</v>
      </c>
    </row>
    <row r="13111" spans="1:3" x14ac:dyDescent="0.25">
      <c r="A13111" s="8" t="str">
        <f>"Proceedings - 32nd Euromicro Conference on Software Engineering and Advanced Applications, SEAA"</f>
        <v>Proceedings - 32nd Euromicro Conference on Software Engineering and Advanced Applications, SEAA</v>
      </c>
      <c r="B13111" s="8" t="str">
        <f>"9780769525945"</f>
        <v>9780769525945</v>
      </c>
      <c r="C13111" s="8" t="s">
        <v>9</v>
      </c>
    </row>
    <row r="13112" spans="1:3" x14ac:dyDescent="0.25">
      <c r="A13112" s="8" t="str">
        <f>"Proceedings - 32nd IEEE International Conference on Distributed Computing Systems Workshops, ICDCSW 2012"</f>
        <v>Proceedings - 32nd IEEE International Conference on Distributed Computing Systems Workshops, ICDCSW 2012</v>
      </c>
      <c r="B13112" s="8" t="str">
        <f>"-"</f>
        <v>-</v>
      </c>
      <c r="C13112" s="8" t="s">
        <v>9</v>
      </c>
    </row>
    <row r="13113" spans="1:3" x14ac:dyDescent="0.25">
      <c r="A13113" s="8" t="str">
        <f>"Proceedings - 33rd Annual IEEE Software Engineering Workshop, SEW-33 2009"</f>
        <v>Proceedings - 33rd Annual IEEE Software Engineering Workshop, SEW-33 2009</v>
      </c>
      <c r="B13113" s="8" t="str">
        <f>"9780769540139"</f>
        <v>9780769540139</v>
      </c>
      <c r="C13113" s="8" t="s">
        <v>9</v>
      </c>
    </row>
    <row r="13114" spans="1:3" x14ac:dyDescent="0.25">
      <c r="A13114" s="8" t="str">
        <f>"Proceedings - 34th Annual Conference of the IEEE Industrial Electronics Society, IECON 2008"</f>
        <v>Proceedings - 34th Annual Conference of the IEEE Industrial Electronics Society, IECON 2008</v>
      </c>
      <c r="B13114" s="8" t="str">
        <f>"9781424417667"</f>
        <v>9781424417667</v>
      </c>
      <c r="C13114" s="8" t="s">
        <v>9</v>
      </c>
    </row>
    <row r="13115" spans="1:3" x14ac:dyDescent="0.25">
      <c r="A13115" s="8" t="str">
        <f>"Proceedings - 36th EUROMICRO Conference on Software Engineering and Advanced Applications, SEAA 2010"</f>
        <v>Proceedings - 36th EUROMICRO Conference on Software Engineering and Advanced Applications, SEAA 2010</v>
      </c>
      <c r="B13115" s="8" t="str">
        <f>"9780769541709"</f>
        <v>9780769541709</v>
      </c>
      <c r="C13115" s="8" t="s">
        <v>9</v>
      </c>
    </row>
    <row r="13116" spans="1:3" x14ac:dyDescent="0.25">
      <c r="A13116" s="8" t="str">
        <f>"Proceedings - 37th EUROMICRO Conference on Software Engineering and Advanced Applications, SEAA 2011"</f>
        <v>Proceedings - 37th EUROMICRO Conference on Software Engineering and Advanced Applications, SEAA 2011</v>
      </c>
      <c r="B13116" s="8" t="str">
        <f>"9780769544885"</f>
        <v>9780769544885</v>
      </c>
      <c r="C13116" s="8" t="s">
        <v>9</v>
      </c>
    </row>
    <row r="13117" spans="1:3" x14ac:dyDescent="0.25">
      <c r="A13117" s="8" t="str">
        <f>"Proceedings - 38th EUROMICRO Conference on Software Engineering and Advanced Applications, SEAA 2012"</f>
        <v>Proceedings - 38th EUROMICRO Conference on Software Engineering and Advanced Applications, SEAA 2012</v>
      </c>
      <c r="B13117" s="8" t="str">
        <f>"9780769547909"</f>
        <v>9780769547909</v>
      </c>
      <c r="C13117" s="8" t="s">
        <v>9</v>
      </c>
    </row>
    <row r="13118" spans="1:3" x14ac:dyDescent="0.25">
      <c r="A13118" s="8" t="str">
        <f>"Proceedings - 38th International Symposium on Multiparticle Dynamics, ISMD 2008"</f>
        <v>Proceedings - 38th International Symposium on Multiparticle Dynamics, ISMD 2008</v>
      </c>
      <c r="B13118" s="8" t="str">
        <f>"-"</f>
        <v>-</v>
      </c>
      <c r="C13118" s="8" t="s">
        <v>1279</v>
      </c>
    </row>
    <row r="13119" spans="1:3" x14ac:dyDescent="0.25">
      <c r="A13119" s="8" t="str">
        <f>"Proceedings - 39th Euromicro Conference Series on Software Engineering and Advanced Applications, SEAA 2013"</f>
        <v>Proceedings - 39th Euromicro Conference Series on Software Engineering and Advanced Applications, SEAA 2013</v>
      </c>
      <c r="B13119" s="8" t="str">
        <f>"9780769550916"</f>
        <v>9780769550916</v>
      </c>
      <c r="C13119" s="8" t="s">
        <v>9</v>
      </c>
    </row>
    <row r="13120" spans="1:3" x14ac:dyDescent="0.25">
      <c r="A13120" s="8" t="str">
        <f>"Proceedings - 3rd Annual International Workshop on Active Middleware Services"</f>
        <v>Proceedings - 3rd Annual International Workshop on Active Middleware Services</v>
      </c>
      <c r="B13120" s="8" t="str">
        <f>"9780769515281"</f>
        <v>9780769515281</v>
      </c>
      <c r="C13120" s="8" t="s">
        <v>105</v>
      </c>
    </row>
    <row r="13121" spans="1:3" x14ac:dyDescent="0.25">
      <c r="A13121" s="8" t="str">
        <f>"Proceedings - 3rd Asia-Pacific Trusted Infrastructure Technologies Conference, APTC 2008"</f>
        <v>Proceedings - 3rd Asia-Pacific Trusted Infrastructure Technologies Conference, APTC 2008</v>
      </c>
      <c r="B13121" s="8" t="str">
        <f>"9780769533636"</f>
        <v>9780769533636</v>
      </c>
      <c r="C13121" s="8" t="s">
        <v>9</v>
      </c>
    </row>
    <row r="13122" spans="1:3" x14ac:dyDescent="0.25">
      <c r="A13122" s="8" t="str">
        <f>"Proceedings - 3rd IEEE International Conference on Advanced Learning Technologies, ICALT 2003"</f>
        <v>Proceedings - 3rd IEEE International Conference on Advanced Learning Technologies, ICALT 2003</v>
      </c>
      <c r="B13122" s="8" t="str">
        <f>"9780769519678"</f>
        <v>9780769519678</v>
      </c>
      <c r="C13122" s="8" t="s">
        <v>9</v>
      </c>
    </row>
    <row r="13123" spans="1:3" x14ac:dyDescent="0.25">
      <c r="A13123" s="8" t="str">
        <f>"Proceedings - 3rd IEEE International Conference on Intelligent Networking and Collaborative Systems, INCoS 2011"</f>
        <v>Proceedings - 3rd IEEE International Conference on Intelligent Networking and Collaborative Systems, INCoS 2011</v>
      </c>
      <c r="B13123" s="8" t="str">
        <f>"9780769545790"</f>
        <v>9780769545790</v>
      </c>
      <c r="C13123" s="8" t="s">
        <v>9</v>
      </c>
    </row>
    <row r="13124" spans="1:3" x14ac:dyDescent="0.25">
      <c r="A13124" s="8" t="str">
        <f>"Proceedings - 3rd IEEE International Conference on Software Engineering and Formal Methods, SEFM 2005"</f>
        <v>Proceedings - 3rd IEEE International Conference on Software Engineering and Formal Methods, SEFM 2005</v>
      </c>
      <c r="B13124" s="8" t="str">
        <f>"9780769524351"</f>
        <v>9780769524351</v>
      </c>
      <c r="C13124" s="8" t="s">
        <v>9</v>
      </c>
    </row>
    <row r="13125" spans="1:3" x14ac:dyDescent="0.25">
      <c r="A13125" s="8" t="str">
        <f>"Proceedings - 3rd IEEE International Symposium on Object-Oriented Real-Time Distributed Computing, ISORC 2000"</f>
        <v>Proceedings - 3rd IEEE International Symposium on Object-Oriented Real-Time Distributed Computing, ISORC 2000</v>
      </c>
      <c r="B13125" s="8" t="str">
        <f>"9780769506074"</f>
        <v>9780769506074</v>
      </c>
      <c r="C13125" s="8" t="s">
        <v>105</v>
      </c>
    </row>
    <row r="13126" spans="1:3" x14ac:dyDescent="0.25">
      <c r="A13126" s="8" t="str">
        <f>"Proceedings - 3rd IEEE International Workshop on Haptic, Audio and Visual Environments and their Applications - HAVE 2004"</f>
        <v>Proceedings - 3rd IEEE International Workshop on Haptic, Audio and Visual Environments and their Applications - HAVE 2004</v>
      </c>
      <c r="B13126" s="8" t="str">
        <f>"9780780388178"</f>
        <v>9780780388178</v>
      </c>
      <c r="C13126" s="8" t="s">
        <v>105</v>
      </c>
    </row>
    <row r="13127" spans="1:3" x14ac:dyDescent="0.25">
      <c r="A13127" s="8" t="str">
        <f>"Proceedings - 3rd IEEE International Workshop on System-on-Chip for Real-Time Applications, IWSOC 2003"</f>
        <v>Proceedings - 3rd IEEE International Workshop on System-on-Chip for Real-Time Applications, IWSOC 2003</v>
      </c>
      <c r="B13127" s="8" t="str">
        <f>"9780769519449"</f>
        <v>9780769519449</v>
      </c>
      <c r="C13127" s="8" t="s">
        <v>105</v>
      </c>
    </row>
    <row r="13128" spans="1:3" x14ac:dyDescent="0.25">
      <c r="A13128" s="8" t="str">
        <f>"Proceedings - 3rd IEEE International Workshop on Visual Surveillance, VS 2000"</f>
        <v>Proceedings - 3rd IEEE International Workshop on Visual Surveillance, VS 2000</v>
      </c>
      <c r="B13128" s="8" t="str">
        <f>"9780769506982"</f>
        <v>9780769506982</v>
      </c>
      <c r="C13128" s="8" t="s">
        <v>105</v>
      </c>
    </row>
    <row r="13129" spans="1:3" x14ac:dyDescent="0.25">
      <c r="A13129" s="8" t="str">
        <f>"Proceedings - 3rd IEEE Symposium on Application-Specific Systems and Software Engineering Technology"</f>
        <v>Proceedings - 3rd IEEE Symposium on Application-Specific Systems and Software Engineering Technology</v>
      </c>
      <c r="B13129" s="8" t="str">
        <f>"9780769505596"</f>
        <v>9780769505596</v>
      </c>
      <c r="C13129" s="8" t="s">
        <v>105</v>
      </c>
    </row>
    <row r="13130" spans="1:3" x14ac:dyDescent="0.25">
      <c r="A13130" s="8" t="str">
        <f>"Proceedings - 3rd IEEE Symposium on BioInformatics and BioEngineering, BIBE 2003"</f>
        <v>Proceedings - 3rd IEEE Symposium on BioInformatics and BioEngineering, BIBE 2003</v>
      </c>
      <c r="B13130" s="8" t="str">
        <f>"9780769519074"</f>
        <v>9780769519074</v>
      </c>
      <c r="C13130" s="8" t="s">
        <v>105</v>
      </c>
    </row>
    <row r="13131" spans="1:3" x14ac:dyDescent="0.25">
      <c r="A13131" s="8" t="str">
        <f>"Proceedings - 3rd IEEE Workshop on Mobile Computing Systems and Applications, WMCSA 2000"</f>
        <v>Proceedings - 3rd IEEE Workshop on Mobile Computing Systems and Applications, WMCSA 2000</v>
      </c>
      <c r="B13131" s="8" t="str">
        <f>"9780769508160"</f>
        <v>9780769508160</v>
      </c>
      <c r="C13131" s="8" t="s">
        <v>105</v>
      </c>
    </row>
    <row r="13132" spans="1:3" x14ac:dyDescent="0.25">
      <c r="A13132" s="8" t="str">
        <f>"Proceedings - 3rd International Annual Workshop on Digital Forensics and Incidents Analysis, WDFIA 2008"</f>
        <v>Proceedings - 3rd International Annual Workshop on Digital Forensics and Incidents Analysis, WDFIA 2008</v>
      </c>
      <c r="B13132" s="8" t="str">
        <f>"9780769533629"</f>
        <v>9780769533629</v>
      </c>
      <c r="C13132" s="8" t="s">
        <v>9</v>
      </c>
    </row>
    <row r="13133" spans="1:3" x14ac:dyDescent="0.25">
      <c r="A13133" s="8" t="str">
        <f>"Proceedings - 3rd International Conference on Advanced Computer Science Applications and Technologies, ACSAT 2014"</f>
        <v>Proceedings - 3rd International Conference on Advanced Computer Science Applications and Technologies, ACSAT 2014</v>
      </c>
      <c r="B13133" s="8" t="str">
        <f>"9781479918454"</f>
        <v>9781479918454</v>
      </c>
      <c r="C13133" s="8" t="s">
        <v>105</v>
      </c>
    </row>
    <row r="13134" spans="1:3" x14ac:dyDescent="0.25">
      <c r="A13134" s="8" t="str">
        <f>"Proceedings - 3rd International Conference on Advances in Circuits, Electronics and Micro-Electronics, CENICS 2010"</f>
        <v>Proceedings - 3rd International Conference on Advances in Circuits, Electronics and Micro-Electronics, CENICS 2010</v>
      </c>
      <c r="B13134" s="8" t="str">
        <f>"9780769540894"</f>
        <v>9780769540894</v>
      </c>
      <c r="C13134" s="8" t="s">
        <v>9</v>
      </c>
    </row>
    <row r="13135" spans="1:3" x14ac:dyDescent="0.25">
      <c r="A13135" s="8" t="str">
        <f>"Proceedings - 3rd International Conference on Advances in Human-Oriented and Personalized Mechanisms, Technologies and Services, CENTRIC 2010"</f>
        <v>Proceedings - 3rd International Conference on Advances in Human-Oriented and Personalized Mechanisms, Technologies and Services, CENTRIC 2010</v>
      </c>
      <c r="B13135" s="8" t="str">
        <f>"9780769541419"</f>
        <v>9780769541419</v>
      </c>
      <c r="C13135" s="8" t="s">
        <v>9</v>
      </c>
    </row>
    <row r="13136" spans="1:3" x14ac:dyDescent="0.25">
      <c r="A13136" s="8" t="str">
        <f>"Proceedings - 3rd International Conference on Advances in Mesh Networks, MESH 2010"</f>
        <v>Proceedings - 3rd International Conference on Advances in Mesh Networks, MESH 2010</v>
      </c>
      <c r="B13136" s="8" t="str">
        <f>"9780769540924"</f>
        <v>9780769540924</v>
      </c>
      <c r="C13136" s="8" t="s">
        <v>9</v>
      </c>
    </row>
    <row r="13137" spans="1:3" x14ac:dyDescent="0.25">
      <c r="A13137" s="8" t="str">
        <f>"Proceedings - 3rd International Conference on Automated Production of Cross Media Content for Multi-Channel Distribution, AXMEDIS 2007"</f>
        <v>Proceedings - 3rd International Conference on Automated Production of Cross Media Content for Multi-Channel Distribution, AXMEDIS 2007</v>
      </c>
      <c r="B13137" s="8" t="str">
        <f>"9780769530307"</f>
        <v>9780769530307</v>
      </c>
      <c r="C13137" s="8" t="s">
        <v>9</v>
      </c>
    </row>
    <row r="13138" spans="1:3" x14ac:dyDescent="0.25">
      <c r="A13138" s="8" t="str">
        <f>"Proceedings - 3rd International Conference on Autonomic Computing, ICAC 2006"</f>
        <v>Proceedings - 3rd International Conference on Autonomic Computing, ICAC 2006</v>
      </c>
      <c r="B13138" s="8" t="str">
        <f>"-"</f>
        <v>-</v>
      </c>
      <c r="C13138" s="8" t="s">
        <v>9</v>
      </c>
    </row>
    <row r="13139" spans="1:3" x14ac:dyDescent="0.25">
      <c r="A13139" s="8" t="str">
        <f>"Proceedings - 3rd International Conference on Broadband Communications, Informatics and Biomedical Applications, BroadCom 2008"</f>
        <v>Proceedings - 3rd International Conference on Broadband Communications, Informatics and Biomedical Applications, BroadCom 2008</v>
      </c>
      <c r="B13139" s="8" t="str">
        <f>"9780769534534"</f>
        <v>9780769534534</v>
      </c>
      <c r="C13139" s="8" t="s">
        <v>9</v>
      </c>
    </row>
    <row r="13140" spans="1:3" x14ac:dyDescent="0.25">
      <c r="A13140" s="8" t="str">
        <f>"Proceedings - 3rd International Conference on Business Intelligence and Financial Engineering, BIFE 2010"</f>
        <v>Proceedings - 3rd International Conference on Business Intelligence and Financial Engineering, BIFE 2010</v>
      </c>
      <c r="B13140" s="8" t="str">
        <f>"9780769541167"</f>
        <v>9780769541167</v>
      </c>
      <c r="C13140" s="8" t="s">
        <v>9</v>
      </c>
    </row>
    <row r="13141" spans="1:3" x14ac:dyDescent="0.25">
      <c r="A13141" s="8" t="str">
        <f>"Proceedings - 3rd International Conference on Computational Intelligence, Communication Systems and Networks, CICSyN 2011"</f>
        <v>Proceedings - 3rd International Conference on Computational Intelligence, Communication Systems and Networks, CICSyN 2011</v>
      </c>
      <c r="B13141" s="8" t="str">
        <f>"9780769544823"</f>
        <v>9780769544823</v>
      </c>
      <c r="C13141" s="8" t="s">
        <v>9</v>
      </c>
    </row>
    <row r="13142" spans="1:3" x14ac:dyDescent="0.25">
      <c r="A13142" s="8" t="str">
        <f>"Proceedings - 3rd International Conference on Computer Technology in Russia and in the Former Soviet Union, SoRuCom 2014"</f>
        <v>Proceedings - 3rd International Conference on Computer Technology in Russia and in the Former Soviet Union, SoRuCom 2014</v>
      </c>
      <c r="B13142" s="8" t="str">
        <f>"9781479917990"</f>
        <v>9781479917990</v>
      </c>
      <c r="C13142" s="8" t="s">
        <v>105</v>
      </c>
    </row>
    <row r="13143" spans="1:3" x14ac:dyDescent="0.25">
      <c r="A13143" s="8" t="str">
        <f>"Proceedings - 3rd International Conference on Convergence and Hybrid Information Technology, ICCIT 2008"</f>
        <v>Proceedings - 3rd International Conference on Convergence and Hybrid Information Technology, ICCIT 2008</v>
      </c>
      <c r="B13143" s="8" t="str">
        <f>"9780769534077"</f>
        <v>9780769534077</v>
      </c>
      <c r="C13143" s="8" t="s">
        <v>9</v>
      </c>
    </row>
    <row r="13144" spans="1:3" x14ac:dyDescent="0.25">
      <c r="A13144" s="8" t="str">
        <f>"Proceedings - 3rd International Conference on Data Mining and Intelligent Information Technology Applications, ICMIA 2011"</f>
        <v>Proceedings - 3rd International Conference on Data Mining and Intelligent Information Technology Applications, ICMIA 2011</v>
      </c>
      <c r="B13144" s="8" t="str">
        <f>"9788988678480"</f>
        <v>9788988678480</v>
      </c>
      <c r="C13144" s="8" t="s">
        <v>9</v>
      </c>
    </row>
    <row r="13145" spans="1:3" x14ac:dyDescent="0.25">
      <c r="A13145" s="8" t="str">
        <f>"Proceedings - 3rd International Conference on Dependability, DEPEND 2010"</f>
        <v>Proceedings - 3rd International Conference on Dependability, DEPEND 2010</v>
      </c>
      <c r="B13145" s="8" t="str">
        <f>"9780769540900"</f>
        <v>9780769540900</v>
      </c>
      <c r="C13145" s="8" t="s">
        <v>9</v>
      </c>
    </row>
    <row r="13146" spans="1:3" x14ac:dyDescent="0.25">
      <c r="A13146" s="8" t="str">
        <f>"Proceedings - 3rd International Conference on Developments in eSystems Engineering, DeSE 2010"</f>
        <v>Proceedings - 3rd International Conference on Developments in eSystems Engineering, DeSE 2010</v>
      </c>
      <c r="B13146" s="8" t="str">
        <f>"9780769541600"</f>
        <v>9780769541600</v>
      </c>
      <c r="C13146" s="8" t="s">
        <v>9</v>
      </c>
    </row>
    <row r="13147" spans="1:3" x14ac:dyDescent="0.25">
      <c r="A13147" s="8" t="str">
        <f>"Proceedings - 3rd International Conference on Digital Interactive Media in Entertainment and Arts, DIMEA 2008"</f>
        <v>Proceedings - 3rd International Conference on Digital Interactive Media in Entertainment and Arts, DIMEA 2008</v>
      </c>
      <c r="B13147" s="8" t="str">
        <f>"9781605582481"</f>
        <v>9781605582481</v>
      </c>
      <c r="C13147" s="8" t="s">
        <v>21</v>
      </c>
    </row>
    <row r="13148" spans="1:3" x14ac:dyDescent="0.25">
      <c r="A13148" s="8" t="str">
        <f>"Proceedings - 3rd International Conference on Emerging Intelligent Data and Web Technologies, EIDWT 2012"</f>
        <v>Proceedings - 3rd International Conference on Emerging Intelligent Data and Web Technologies, EIDWT 2012</v>
      </c>
      <c r="B13148" s="8" t="str">
        <f>"9780769547343"</f>
        <v>9780769547343</v>
      </c>
      <c r="C13148" s="8" t="s">
        <v>9</v>
      </c>
    </row>
    <row r="13149" spans="1:3" x14ac:dyDescent="0.25">
      <c r="A13149" s="8" t="str">
        <f>"Proceedings - 3rd International Conference on Emerging Security Technologies, EST 2012"</f>
        <v>Proceedings - 3rd International Conference on Emerging Security Technologies, EST 2012</v>
      </c>
      <c r="B13149" s="8" t="str">
        <f>"9780769547916"</f>
        <v>9780769547916</v>
      </c>
      <c r="C13149" s="8" t="s">
        <v>9</v>
      </c>
    </row>
    <row r="13150" spans="1:3" x14ac:dyDescent="0.25">
      <c r="A13150" s="8" t="str">
        <f>"Proceedings - 3rd International Conference on Emerging Technologies, ICET 2007"</f>
        <v>Proceedings - 3rd International Conference on Emerging Technologies, ICET 2007</v>
      </c>
      <c r="B13150" s="8" t="str">
        <f>"9781424414932"</f>
        <v>9781424414932</v>
      </c>
      <c r="C13150" s="8" t="s">
        <v>9</v>
      </c>
    </row>
    <row r="13151" spans="1:3" x14ac:dyDescent="0.25">
      <c r="A13151" s="8" t="str">
        <f>"Proceedings - 3rd International Conference on Emerging Trends in Engineering and Technology, ICETET 2010"</f>
        <v>Proceedings - 3rd International Conference on Emerging Trends in Engineering and Technology, ICETET 2010</v>
      </c>
      <c r="B13151" s="8" t="str">
        <f>"9780769542461"</f>
        <v>9780769542461</v>
      </c>
      <c r="C13151" s="8" t="s">
        <v>9</v>
      </c>
    </row>
    <row r="13152" spans="1:3" x14ac:dyDescent="0.25">
      <c r="A13152" s="8" t="str">
        <f>"Proceedings - 3rd International Conference on Game Development in Computer Science Education, GDCSE 2008"</f>
        <v>Proceedings - 3rd International Conference on Game Development in Computer Science Education, GDCSE 2008</v>
      </c>
      <c r="B13152" s="8" t="str">
        <f>"9781605580579"</f>
        <v>9781605580579</v>
      </c>
      <c r="C13152" s="8" t="s">
        <v>21</v>
      </c>
    </row>
    <row r="13153" spans="1:3" x14ac:dyDescent="0.25">
      <c r="A13153" s="8" t="str">
        <f>"Proceedings - 3rd International Conference on Grid and Pervasive Computing Symposia/Workshops, GPC 2008"</f>
        <v>Proceedings - 3rd International Conference on Grid and Pervasive Computing Symposia/Workshops, GPC 2008</v>
      </c>
      <c r="B13153" s="8" t="str">
        <f>"9780769531779"</f>
        <v>9780769531779</v>
      </c>
      <c r="C13153" s="8" t="s">
        <v>9</v>
      </c>
    </row>
    <row r="13154" spans="1:3" x14ac:dyDescent="0.25">
      <c r="A13154" s="8" t="str">
        <f>"Proceedings - 3rd International Conference on Information Management, Innovation Management and Industrial Engineering, ICIII 2010"</f>
        <v>Proceedings - 3rd International Conference on Information Management, Innovation Management and Industrial Engineering, ICIII 2010</v>
      </c>
      <c r="B13154" s="8" t="str">
        <f>"9780769542799"</f>
        <v>9780769542799</v>
      </c>
      <c r="C13154" s="8" t="s">
        <v>9</v>
      </c>
    </row>
    <row r="13155" spans="1:3" x14ac:dyDescent="0.25">
      <c r="A13155" s="8" t="str">
        <f>"Proceedings - 3rd International Conference on Information Sciences and Interaction Sciences, ICIS 2010"</f>
        <v>Proceedings - 3rd International Conference on Information Sciences and Interaction Sciences, ICIS 2010</v>
      </c>
      <c r="B13155" s="8" t="str">
        <f>"9781424473854"</f>
        <v>9781424473854</v>
      </c>
      <c r="C13155" s="8" t="s">
        <v>9</v>
      </c>
    </row>
    <row r="13156" spans="1:3" x14ac:dyDescent="0.25">
      <c r="A13156" s="8" t="str">
        <f>"Proceedings - 3rd International Conference on Information Security and Intelligent Control, ISIC 2012"</f>
        <v>Proceedings - 3rd International Conference on Information Security and Intelligent Control, ISIC 2012</v>
      </c>
      <c r="B13156" s="8" t="str">
        <f>"9781467325882"</f>
        <v>9781467325882</v>
      </c>
      <c r="C13156" s="8" t="s">
        <v>9</v>
      </c>
    </row>
    <row r="13157" spans="1:3" x14ac:dyDescent="0.25">
      <c r="A13157" s="8" t="str">
        <f>"Proceedings - 3rd International Conference on Information Technology and Applications, ICITA 2005"</f>
        <v>Proceedings - 3rd International Conference on Information Technology and Applications, ICITA 2005</v>
      </c>
      <c r="B13157" s="8" t="str">
        <f>"9780769523163"</f>
        <v>9780769523163</v>
      </c>
      <c r="C13157" s="8" t="s">
        <v>9</v>
      </c>
    </row>
    <row r="13158" spans="1:3" x14ac:dyDescent="0.25">
      <c r="A13158" s="8" t="str">
        <f>"Proceedings - 3rd International Conference on Innovations in Bio-Inspired Computing and Applications, IBICA 2012"</f>
        <v>Proceedings - 3rd International Conference on Innovations in Bio-Inspired Computing and Applications, IBICA 2012</v>
      </c>
      <c r="B13158" s="8" t="str">
        <f>"-"</f>
        <v>-</v>
      </c>
      <c r="C13158" s="8" t="s">
        <v>9</v>
      </c>
    </row>
    <row r="13159" spans="1:3" x14ac:dyDescent="0.25">
      <c r="A13159" s="8" t="str">
        <f>"Proceedings - 3rd International Conference on Intelligent Information Hiding and Multimedia Signal Processing, IIHMSP 2007"</f>
        <v>Proceedings - 3rd International Conference on Intelligent Information Hiding and Multimedia Signal Processing, IIHMSP 2007</v>
      </c>
      <c r="B13159" s="8" t="str">
        <f>"9780769529943"</f>
        <v>9780769529943</v>
      </c>
      <c r="C13159" s="8" t="s">
        <v>9</v>
      </c>
    </row>
    <row r="13160" spans="1:3" x14ac:dyDescent="0.25">
      <c r="A13160" s="8" t="str">
        <f>"Proceedings - 3rd International Conference on Intelligent Networks and Intelligent Systems, ICINIS 2010"</f>
        <v>Proceedings - 3rd International Conference on Intelligent Networks and Intelligent Systems, ICINIS 2010</v>
      </c>
      <c r="B13160" s="8" t="str">
        <f>"9780769542492"</f>
        <v>9780769542492</v>
      </c>
      <c r="C13160" s="8" t="s">
        <v>9</v>
      </c>
    </row>
    <row r="13161" spans="1:3" x14ac:dyDescent="0.25">
      <c r="A13161" s="8" t="str">
        <f>"Proceedings - 3rd International Conference on Intelligent Systems Modelling and Simulation, ISMS 2012"</f>
        <v>Proceedings - 3rd International Conference on Intelligent Systems Modelling and Simulation, ISMS 2012</v>
      </c>
      <c r="B13161" s="8" t="str">
        <f>"9780769546681"</f>
        <v>9780769546681</v>
      </c>
      <c r="C13161" s="8" t="s">
        <v>9</v>
      </c>
    </row>
    <row r="13162" spans="1:3" x14ac:dyDescent="0.25">
      <c r="A13162" s="8" t="str">
        <f>"Proceedings - 3rd International Conference on Internet and Web Applications and Services, ICIW 2008"</f>
        <v>Proceedings - 3rd International Conference on Internet and Web Applications and Services, ICIW 2008</v>
      </c>
      <c r="B13162" s="8" t="str">
        <f>"9780769531632"</f>
        <v>9780769531632</v>
      </c>
      <c r="C13162" s="8" t="s">
        <v>9</v>
      </c>
    </row>
    <row r="13163" spans="1:3" x14ac:dyDescent="0.25">
      <c r="A13163" s="8" t="str">
        <f>"Proceedings - 3rd International Conference on Measuring Technology and Mechatronics Automation, ICMTMA 2011"</f>
        <v>Proceedings - 3rd International Conference on Measuring Technology and Mechatronics Automation, ICMTMA 2011</v>
      </c>
      <c r="B13163" s="8" t="str">
        <f>"9780769542966"</f>
        <v>9780769542966</v>
      </c>
      <c r="C13163" s="8" t="s">
        <v>9</v>
      </c>
    </row>
    <row r="13164" spans="1:3" x14ac:dyDescent="0.25">
      <c r="A13164" s="8" t="str">
        <f>"Proceedings - 3rd International Conference on Multimedia Information Networking and Security, MINES 2011"</f>
        <v>Proceedings - 3rd International Conference on Multimedia Information Networking and Security, MINES 2011</v>
      </c>
      <c r="B13164" s="8" t="str">
        <f>"9780769545592"</f>
        <v>9780769545592</v>
      </c>
      <c r="C13164" s="8" t="s">
        <v>9</v>
      </c>
    </row>
    <row r="13165" spans="1:3" x14ac:dyDescent="0.25">
      <c r="A13165" s="8" t="str">
        <f>"Proceedings - 3rd International Conference on Peer-to-Peer Computing, P2P 2003"</f>
        <v>Proceedings - 3rd International Conference on Peer-to-Peer Computing, P2P 2003</v>
      </c>
      <c r="B13165" s="8" t="str">
        <f>"9780769520230"</f>
        <v>9780769520230</v>
      </c>
      <c r="C13165" s="8" t="s">
        <v>105</v>
      </c>
    </row>
    <row r="13166" spans="1:3" x14ac:dyDescent="0.25">
      <c r="A13166" s="8" t="str">
        <f>"Proceedings - 3rd International Conference on SImilarity Search and APplications, SISAP 2010"</f>
        <v>Proceedings - 3rd International Conference on SImilarity Search and APplications, SISAP 2010</v>
      </c>
      <c r="B13166" s="8" t="str">
        <f>"9781450304207"</f>
        <v>9781450304207</v>
      </c>
      <c r="C13166" s="8" t="s">
        <v>21</v>
      </c>
    </row>
    <row r="13167" spans="1:3" x14ac:dyDescent="0.25">
      <c r="A13167" s="8" t="str">
        <f>"Proceedings - 3rd International Conference on WEB Delivering of Music, WEDELMUSIC 2003"</f>
        <v>Proceedings - 3rd International Conference on WEB Delivering of Music, WEDELMUSIC 2003</v>
      </c>
      <c r="B13167" s="8" t="str">
        <f>"9780769519357"</f>
        <v>9780769519357</v>
      </c>
      <c r="C13167" s="8" t="s">
        <v>105</v>
      </c>
    </row>
    <row r="13168" spans="1:3" x14ac:dyDescent="0.25">
      <c r="A13168" s="8" t="str">
        <f>"Proceedings - 3rd International Symposium on Electrical and Electronics Engineering, ISEEE 2010"</f>
        <v>Proceedings - 3rd International Symposium on Electrical and Electronics Engineering, ISEEE 2010</v>
      </c>
      <c r="B13168" s="8" t="str">
        <f>"9781424484096"</f>
        <v>9781424484096</v>
      </c>
      <c r="C13168" s="8" t="s">
        <v>9</v>
      </c>
    </row>
    <row r="13169" spans="1:3" x14ac:dyDescent="0.25">
      <c r="A13169" s="8" t="str">
        <f>"Proceedings - 3rd International Symposium on Information Processing, ISIP 2010"</f>
        <v>Proceedings - 3rd International Symposium on Information Processing, ISIP 2010</v>
      </c>
      <c r="B13169" s="8" t="str">
        <f>"9780769542614"</f>
        <v>9780769542614</v>
      </c>
      <c r="C13169" s="8" t="s">
        <v>9</v>
      </c>
    </row>
    <row r="13170" spans="1:3" x14ac:dyDescent="0.25">
      <c r="A13170" s="8" t="str">
        <f>"Proceedings - 3rd International Symposium on Information Science and Engineering, ISISE 2010"</f>
        <v>Proceedings - 3rd International Symposium on Information Science and Engineering, ISISE 2010</v>
      </c>
      <c r="B13170" s="8" t="str">
        <f>"9780769543604"</f>
        <v>9780769543604</v>
      </c>
      <c r="C13170" s="8" t="s">
        <v>9</v>
      </c>
    </row>
    <row r="13171" spans="1:3" x14ac:dyDescent="0.25">
      <c r="A13171" s="8" t="str">
        <f>"Proceedings - 3rd International Symposium on Parallel Architectures, Algorithms and Programming, PAAP 2010"</f>
        <v>Proceedings - 3rd International Symposium on Parallel Architectures, Algorithms and Programming, PAAP 2010</v>
      </c>
      <c r="B13171" s="8" t="str">
        <f>"9780769543123"</f>
        <v>9780769543123</v>
      </c>
      <c r="C13171" s="8" t="s">
        <v>9</v>
      </c>
    </row>
    <row r="13172" spans="1:3" x14ac:dyDescent="0.25">
      <c r="A13172" s="8" t="str">
        <f>"Proceedings - 3rd International Symposium on Voronoi Diagrams in Science and Engineering 2006, ISVD 2006"</f>
        <v>Proceedings - 3rd International Symposium on Voronoi Diagrams in Science and Engineering 2006, ISVD 2006</v>
      </c>
      <c r="B13172" s="8" t="str">
        <f>"-"</f>
        <v>-</v>
      </c>
      <c r="C13172" s="8" t="s">
        <v>9</v>
      </c>
    </row>
    <row r="13173" spans="1:3" x14ac:dyDescent="0.25">
      <c r="A13173" s="8" t="str">
        <f>"Proceedings - 3rd International Workshop on Advanced Issues of E-Commerce and Web-Based Information Systems, WECWIS 2001"</f>
        <v>Proceedings - 3rd International Workshop on Advanced Issues of E-Commerce and Web-Based Information Systems, WECWIS 2001</v>
      </c>
      <c r="B13173" s="8" t="str">
        <f>"9780769512242"</f>
        <v>9780769512242</v>
      </c>
      <c r="C13173" s="8" t="s">
        <v>105</v>
      </c>
    </row>
    <row r="13174" spans="1:3" x14ac:dyDescent="0.25">
      <c r="A13174" s="8" t="str">
        <f>"Proceedings - 3rd International Workshop on High-Performance Reconfigurable Computing Technology and Applications, HPRCTA'09, held in Conjunction with SC09"</f>
        <v>Proceedings - 3rd International Workshop on High-Performance Reconfigurable Computing Technology and Applications, HPRCTA'09, held in Conjunction with SC09</v>
      </c>
      <c r="B13174" s="8" t="str">
        <f>"9781605587219"</f>
        <v>9781605587219</v>
      </c>
      <c r="C13174" s="8" t="s">
        <v>21</v>
      </c>
    </row>
    <row r="13175" spans="1:3" x14ac:dyDescent="0.25">
      <c r="A13175" s="8" t="str">
        <f>"Proceedings - 3rd International Workshop on Near Field Communication, NFC 2011"</f>
        <v>Proceedings - 3rd International Workshop on Near Field Communication, NFC 2011</v>
      </c>
      <c r="B13175" s="8" t="str">
        <f>"9780769543277"</f>
        <v>9780769543277</v>
      </c>
      <c r="C13175" s="8" t="s">
        <v>9</v>
      </c>
    </row>
    <row r="13176" spans="1:3" x14ac:dyDescent="0.25">
      <c r="A13176" s="8" t="str">
        <f>"Proceedings - 3rd International Workshop on Policies for Distributed Systems and Networks, POLICY 2002"</f>
        <v>Proceedings - 3rd International Workshop on Policies for Distributed Systems and Networks, POLICY 2002</v>
      </c>
      <c r="B13176" s="8" t="str">
        <f>"9780769516110"</f>
        <v>9780769516110</v>
      </c>
      <c r="C13176" s="8" t="s">
        <v>9</v>
      </c>
    </row>
    <row r="13177" spans="1:3" x14ac:dyDescent="0.25">
      <c r="A13177" s="8" t="str">
        <f>"Proceedings - 3rd International Workshop on Security, Privacy and Trust in Pervasive and Ubiquitous Computing, SecPerU 2007"</f>
        <v>Proceedings - 3rd International Workshop on Security, Privacy and Trust in Pervasive and Ubiquitous Computing, SecPerU 2007</v>
      </c>
      <c r="B13177" s="8" t="str">
        <f>"9780769528632"</f>
        <v>9780769528632</v>
      </c>
      <c r="C13177" s="8" t="s">
        <v>9</v>
      </c>
    </row>
    <row r="13178" spans="1:3" x14ac:dyDescent="0.25">
      <c r="A13178" s="8" t="str">
        <f>"Proceedings - 3rd International Workshop on Semantic Media Adaptation and Personalization, SMAP 2008"</f>
        <v>Proceedings - 3rd International Workshop on Semantic Media Adaptation and Personalization, SMAP 2008</v>
      </c>
      <c r="B13178" s="8" t="str">
        <f>"9780769534442"</f>
        <v>9780769534442</v>
      </c>
      <c r="C13178" s="8" t="s">
        <v>9</v>
      </c>
    </row>
    <row r="13179" spans="1:3" x14ac:dyDescent="0.25">
      <c r="A13179" s="8" t="str">
        <f>"Proceedings - 3rd International Workshop on Web Site Evolution, WSE 2001"</f>
        <v>Proceedings - 3rd International Workshop on Web Site Evolution, WSE 2001</v>
      </c>
      <c r="B13179" s="8" t="str">
        <f>"9780769513997"</f>
        <v>9780769513997</v>
      </c>
      <c r="C13179" s="8" t="s">
        <v>105</v>
      </c>
    </row>
    <row r="13180" spans="1:3" x14ac:dyDescent="0.25">
      <c r="A13180" s="8" t="str">
        <f>"Proceedings - 3rd Joint EuroHaptics Conference and Symposium on Haptic Interfaces for Virtual Environment and Teleoperator Systems, World Haptics 2009"</f>
        <v>Proceedings - 3rd Joint EuroHaptics Conference and Symposium on Haptic Interfaces for Virtual Environment and Teleoperator Systems, World Haptics 2009</v>
      </c>
      <c r="B13180" s="8" t="str">
        <f>"9781424438587"</f>
        <v>9781424438587</v>
      </c>
      <c r="C13180" s="8" t="s">
        <v>9</v>
      </c>
    </row>
    <row r="13181" spans="1:3" x14ac:dyDescent="0.25">
      <c r="A13181" s="8" t="str">
        <f>"Proceedings - 3rd Workshop on Applications for Multi-Core Architecture, WAMCA 2012"</f>
        <v>Proceedings - 3rd Workshop on Applications for Multi-Core Architecture, WAMCA 2012</v>
      </c>
      <c r="B13181" s="8" t="str">
        <f>"-"</f>
        <v>-</v>
      </c>
      <c r="C13181" s="8" t="s">
        <v>9</v>
      </c>
    </row>
    <row r="13182" spans="1:3" x14ac:dyDescent="0.25">
      <c r="A13182" s="8" t="str">
        <f>"Proceedings - 3rd Workshop on Omnidirectional Vision, OMNIVIS 2002"</f>
        <v>Proceedings - 3rd Workshop on Omnidirectional Vision, OMNIVIS 2002</v>
      </c>
      <c r="B13182" s="8" t="str">
        <f>"9780769516295"</f>
        <v>9780769516295</v>
      </c>
      <c r="C13182" s="8" t="s">
        <v>105</v>
      </c>
    </row>
    <row r="13183" spans="1:3" x14ac:dyDescent="0.25">
      <c r="A13183" s="8" t="str">
        <f>"Proceedings - 40th Euromicro Conference Series on Software Engineering and Advanced Applications, SEAA 2014"</f>
        <v>Proceedings - 40th Euromicro Conference Series on Software Engineering and Advanced Applications, SEAA 2014</v>
      </c>
      <c r="B13183" s="8" t="str">
        <f>"9781479957941"</f>
        <v>9781479957941</v>
      </c>
      <c r="C13183" s="8" t="s">
        <v>105</v>
      </c>
    </row>
    <row r="13184" spans="1:3" x14ac:dyDescent="0.25">
      <c r="A13184" s="8" t="str">
        <f>"Proceedings - 40th International Computer Music Conference, ICMC 2014 and 11th Sound and Music Computing Conference, SMC 2014 - Music Technology Meets Philosophy: From Digital Echos to Virtual Ethos"</f>
        <v>Proceedings - 40th International Computer Music Conference, ICMC 2014 and 11th Sound and Music Computing Conference, SMC 2014 - Music Technology Meets Philosophy: From Digital Echos to Virtual Ethos</v>
      </c>
      <c r="B13184" s="8" t="str">
        <f>"9789604661374"</f>
        <v>9789604661374</v>
      </c>
      <c r="C13184" s="8" t="s">
        <v>2073</v>
      </c>
    </row>
    <row r="13185" spans="1:3" x14ac:dyDescent="0.25">
      <c r="A13185" s="8" t="str">
        <f>"Proceedings - 41st IEEE International Symposium on Multiple-Valued Logic, ISMVL 2011"</f>
        <v>Proceedings - 41st IEEE International Symposium on Multiple-Valued Logic, ISMVL 2011</v>
      </c>
      <c r="B13185" s="8" t="str">
        <f>"9780769544052"</f>
        <v>9780769544052</v>
      </c>
      <c r="C13185" s="8" t="s">
        <v>9</v>
      </c>
    </row>
    <row r="13186" spans="1:3" x14ac:dyDescent="0.25">
      <c r="A13186" s="8" t="str">
        <f>"Proceedings - 43rd Annual Conference on Information Sciences and Systems, CISS 2009"</f>
        <v>Proceedings - 43rd Annual Conference on Information Sciences and Systems, CISS 2009</v>
      </c>
      <c r="B13186" s="8" t="str">
        <f>"9781424427345"</f>
        <v>9781424427345</v>
      </c>
      <c r="C13186" s="8" t="s">
        <v>9</v>
      </c>
    </row>
    <row r="13187" spans="1:3" x14ac:dyDescent="0.25">
      <c r="A13187" s="8" t="str">
        <f>"Proceedings - 44th Annual IEEE/IFIP International Conference on Dependable Systems and Networks, DSN 2014"</f>
        <v>Proceedings - 44th Annual IEEE/IFIP International Conference on Dependable Systems and Networks, DSN 2014</v>
      </c>
      <c r="B13187" s="8" t="str">
        <f>"9781479922338"</f>
        <v>9781479922338</v>
      </c>
      <c r="C13187" s="8" t="s">
        <v>105</v>
      </c>
    </row>
    <row r="13188" spans="1:3" x14ac:dyDescent="0.25">
      <c r="A13188" s="8" t="str">
        <f>"Proceedings - 4th Advanced International Conference on Telecommunications, AICT 2008"</f>
        <v>Proceedings - 4th Advanced International Conference on Telecommunications, AICT 2008</v>
      </c>
      <c r="B13188" s="8" t="str">
        <f>"9780769531625"</f>
        <v>9780769531625</v>
      </c>
      <c r="C13188" s="8" t="s">
        <v>9</v>
      </c>
    </row>
    <row r="13189" spans="1:3" x14ac:dyDescent="0.25">
      <c r="A13189" s="8" t="str">
        <f>"Proceedings - 4th Annual Communication Networks and Services Research Conference, CNSR 2006"</f>
        <v>Proceedings - 4th Annual Communication Networks and Services Research Conference, CNSR 2006</v>
      </c>
      <c r="B13189" s="8" t="str">
        <f>"-"</f>
        <v>-</v>
      </c>
      <c r="C13189" s="8" t="s">
        <v>9</v>
      </c>
    </row>
    <row r="13190" spans="1:3" x14ac:dyDescent="0.25">
      <c r="A13190" s="8" t="str">
        <f>"Proceedings - 4th Annual European Conference on Computer Network Defense, EC2ND 2008"</f>
        <v>Proceedings - 4th Annual European Conference on Computer Network Defense, EC2ND 2008</v>
      </c>
      <c r="B13190" s="8" t="str">
        <f>"9780769534794"</f>
        <v>9780769534794</v>
      </c>
      <c r="C13190" s="8" t="s">
        <v>9</v>
      </c>
    </row>
    <row r="13191" spans="1:3" x14ac:dyDescent="0.25">
      <c r="A13191" s="8" t="str">
        <f>"Proceedings - 4th Annual International Workshop on Active Middleware Services, AMS 2002"</f>
        <v>Proceedings - 4th Annual International Workshop on Active Middleware Services, AMS 2002</v>
      </c>
      <c r="B13191" s="8" t="str">
        <f>"9780769517216"</f>
        <v>9780769517216</v>
      </c>
      <c r="C13191" s="8" t="s">
        <v>105</v>
      </c>
    </row>
    <row r="13192" spans="1:3" x14ac:dyDescent="0.25">
      <c r="A13192" s="8" t="str">
        <f>"Proceedings - 4th Brazilian Symposium on Software Components, Architectures and Reuse, SBCARS 2010"</f>
        <v>Proceedings - 4th Brazilian Symposium on Software Components, Architectures and Reuse, SBCARS 2010</v>
      </c>
      <c r="B13192" s="8" t="str">
        <f>"9780769542591"</f>
        <v>9780769542591</v>
      </c>
      <c r="C13192" s="8" t="s">
        <v>9</v>
      </c>
    </row>
    <row r="13193" spans="1:3" x14ac:dyDescent="0.25">
      <c r="A13193" s="8" t="str">
        <f>"Proceedings - 4th Conference of the European Society for Fuzzy Logic and Technology and 11th French Days on Fuzzy Logic and Applications, EUSFLAT-LFA 2005 Joint Conference"</f>
        <v>Proceedings - 4th Conference of the European Society for Fuzzy Logic and Technology and 11th French Days on Fuzzy Logic and Applications, EUSFLAT-LFA 2005 Joint Conference</v>
      </c>
      <c r="B13193" s="8" t="str">
        <f>"9788476538722"</f>
        <v>9788476538722</v>
      </c>
      <c r="C13193" s="8" t="s">
        <v>2074</v>
      </c>
    </row>
    <row r="13194" spans="1:3" x14ac:dyDescent="0.25">
      <c r="A13194" s="8" t="str">
        <f>"Proceedings - 4th Cybercrime and Trustworthy Computing Workshop, CTC 2013"</f>
        <v>Proceedings - 4th Cybercrime and Trustworthy Computing Workshop, CTC 2013</v>
      </c>
      <c r="B13194" s="8" t="str">
        <f>"9781479930753"</f>
        <v>9781479930753</v>
      </c>
      <c r="C13194" s="8" t="s">
        <v>9</v>
      </c>
    </row>
    <row r="13195" spans="1:3" x14ac:dyDescent="0.25">
      <c r="A13195" s="8" t="s">
        <v>2075</v>
      </c>
      <c r="B13195" s="8" t="str">
        <f>"9781479967193"</f>
        <v>9781479967193</v>
      </c>
      <c r="C13195" s="8" t="s">
        <v>105</v>
      </c>
    </row>
    <row r="13196" spans="1:3" x14ac:dyDescent="0.25">
      <c r="A13196" s="8" t="str">
        <f>"Proceedings - 4th IEEE International Conference on Computer and Communication Technology, ICCCT 2013"</f>
        <v>Proceedings - 4th IEEE International Conference on Computer and Communication Technology, ICCCT 2013</v>
      </c>
      <c r="B13196" s="8" t="str">
        <f>"9781479915729"</f>
        <v>9781479915729</v>
      </c>
      <c r="C13196" s="8" t="s">
        <v>9</v>
      </c>
    </row>
    <row r="13197" spans="1:3" x14ac:dyDescent="0.25">
      <c r="A13197" s="8" t="str">
        <f>"Proceedings - 4th IEEE International Conference on Control System, Computing and Engineering, ICCSCE 2014"</f>
        <v>Proceedings - 4th IEEE International Conference on Control System, Computing and Engineering, ICCSCE 2014</v>
      </c>
      <c r="B13197" s="8" t="str">
        <f>"9781479956869"</f>
        <v>9781479956869</v>
      </c>
      <c r="C13197" s="8" t="s">
        <v>105</v>
      </c>
    </row>
    <row r="13198" spans="1:3" x14ac:dyDescent="0.25">
      <c r="A13198" s="8" t="str">
        <f>"Proceedings - 4th IEEE International Conference on Emerging Technologies 2008, ICET 2008"</f>
        <v>Proceedings - 4th IEEE International Conference on Emerging Technologies 2008, ICET 2008</v>
      </c>
      <c r="B13198" s="8" t="str">
        <f>"9781424422111"</f>
        <v>9781424422111</v>
      </c>
      <c r="C13198" s="8" t="s">
        <v>9</v>
      </c>
    </row>
    <row r="13199" spans="1:3" x14ac:dyDescent="0.25">
      <c r="A13199" s="8" t="str">
        <f>"Proceedings - 4th IEEE International Conference on eScience, eScience 2008"</f>
        <v>Proceedings - 4th IEEE International Conference on eScience, eScience 2008</v>
      </c>
      <c r="B13199" s="8" t="str">
        <f>"9780769535357"</f>
        <v>9780769535357</v>
      </c>
      <c r="C13199" s="8" t="s">
        <v>9</v>
      </c>
    </row>
    <row r="13200" spans="1:3" x14ac:dyDescent="0.25">
      <c r="A13200" s="8" t="str">
        <f>"Proceedings - 4th IEEE International Conference on Multimodal Interfaces, ICMI 2002"</f>
        <v>Proceedings - 4th IEEE International Conference on Multimodal Interfaces, ICMI 2002</v>
      </c>
      <c r="B13200" s="8" t="str">
        <f>"9780769518343"</f>
        <v>9780769518343</v>
      </c>
      <c r="C13200" s="8" t="s">
        <v>105</v>
      </c>
    </row>
    <row r="13201" spans="1:3" x14ac:dyDescent="0.25">
      <c r="A13201" s="8" t="str">
        <f>"Proceedings - 4th IEEE International Conference on Software Engineering and Formal Methods, SEFM 2006"</f>
        <v>Proceedings - 4th IEEE International Conference on Software Engineering and Formal Methods, SEFM 2006</v>
      </c>
      <c r="B13201" s="8" t="str">
        <f>"9780769526782"</f>
        <v>9780769526782</v>
      </c>
      <c r="C13201" s="8" t="s">
        <v>9</v>
      </c>
    </row>
    <row r="13202" spans="1:3" x14ac:dyDescent="0.25">
      <c r="A13202" s="8" t="str">
        <f>"Proceedings - 4th IEEE International Conference on Software Testing, Verification, and Validation Workshops, ICSTW 2011"</f>
        <v>Proceedings - 4th IEEE International Conference on Software Testing, Verification, and Validation Workshops, ICSTW 2011</v>
      </c>
      <c r="B13202" s="8" t="str">
        <f>"9780769543451"</f>
        <v>9780769543451</v>
      </c>
      <c r="C13202" s="8" t="s">
        <v>9</v>
      </c>
    </row>
    <row r="13203" spans="1:3" x14ac:dyDescent="0.25">
      <c r="A13203" s="8" t="str">
        <f>"Proceedings - 4th IEEE International Conference on Software Testing, Verification, and Validation, ICST 2011"</f>
        <v>Proceedings - 4th IEEE International Conference on Software Testing, Verification, and Validation, ICST 2011</v>
      </c>
      <c r="B13203" s="8" t="str">
        <f>"9780769543420"</f>
        <v>9780769543420</v>
      </c>
      <c r="C13203" s="8" t="s">
        <v>9</v>
      </c>
    </row>
    <row r="13204" spans="1:3" x14ac:dyDescent="0.25">
      <c r="A13204" s="8" t="str">
        <f>"Proceedings - 4th IEEE International Conference on Space Mission Challenges for Information Technology, SMC-IT 2011"</f>
        <v>Proceedings - 4th IEEE International Conference on Space Mission Challenges for Information Technology, SMC-IT 2011</v>
      </c>
      <c r="B13204" s="8" t="str">
        <f>"9780769544465"</f>
        <v>9780769544465</v>
      </c>
      <c r="C13204" s="8" t="s">
        <v>9</v>
      </c>
    </row>
    <row r="13205" spans="1:3" x14ac:dyDescent="0.25">
      <c r="A13205" s="8" t="str">
        <f>"Proceedings - 4th IEEE International Conference on Wireless and Mobile Computing, Networking and Communication, WiMob 2008"</f>
        <v>Proceedings - 4th IEEE International Conference on Wireless and Mobile Computing, Networking and Communication, WiMob 2008</v>
      </c>
      <c r="B13205" s="8" t="str">
        <f>"9780769533933"</f>
        <v>9780769533933</v>
      </c>
      <c r="C13205" s="8" t="s">
        <v>9</v>
      </c>
    </row>
    <row r="13206" spans="1:3" x14ac:dyDescent="0.25">
      <c r="A13206" s="8" t="str">
        <f>"Proceedings - 4th IEEE International Symposium on Electronic Design, Test and Applications, DELTA 2008"</f>
        <v>Proceedings - 4th IEEE International Symposium on Electronic Design, Test and Applications, DELTA 2008</v>
      </c>
      <c r="B13206" s="8" t="str">
        <f>"9780769531106"</f>
        <v>9780769531106</v>
      </c>
      <c r="C13206" s="8" t="s">
        <v>9</v>
      </c>
    </row>
    <row r="13207" spans="1:3" x14ac:dyDescent="0.25">
      <c r="A13207" s="8" t="str">
        <f>"Proceedings - 4th IEEE International Workshop on System-on-Chip for Real-Time Applications, IWSOC 2004"</f>
        <v>Proceedings - 4th IEEE International Workshop on System-on-Chip for Real-Time Applications, IWSOC 2004</v>
      </c>
      <c r="B13207" s="8" t="str">
        <f>"9780769521824"</f>
        <v>9780769521824</v>
      </c>
      <c r="C13207" s="8" t="s">
        <v>9</v>
      </c>
    </row>
    <row r="13208" spans="1:3" x14ac:dyDescent="0.25">
      <c r="A13208" s="8" t="str">
        <f>"Proceedings - 4th IEEE Workshop on Mobile Computing Systems and Applications, WMCSA 2002"</f>
        <v>Proceedings - 4th IEEE Workshop on Mobile Computing Systems and Applications, WMCSA 2002</v>
      </c>
      <c r="B13208" s="8" t="str">
        <f>"9780769516479"</f>
        <v>9780769516479</v>
      </c>
      <c r="C13208" s="8" t="s">
        <v>105</v>
      </c>
    </row>
    <row r="13209" spans="1:3" x14ac:dyDescent="0.25">
      <c r="A13209" s="8" t="str">
        <f>"Proceedings - 4th International Conference Medical Information Visualisation: BioMedical Visualisation, MediViz 2007"</f>
        <v>Proceedings - 4th International Conference Medical Information Visualisation: BioMedical Visualisation, MediViz 2007</v>
      </c>
      <c r="B13209" s="8" t="str">
        <f>"9780769529042"</f>
        <v>9780769529042</v>
      </c>
      <c r="C13209" s="8" t="s">
        <v>9</v>
      </c>
    </row>
    <row r="13210" spans="1:3" x14ac:dyDescent="0.25">
      <c r="A13210" s="8" t="str">
        <f>"Proceedings - 4th International Conference on Automated Solutions for Cross Media Content and Multi-Channel Distribution, Axmedis 2008"</f>
        <v>Proceedings - 4th International Conference on Automated Solutions for Cross Media Content and Multi-Channel Distribution, Axmedis 2008</v>
      </c>
      <c r="B13210" s="8" t="str">
        <f>"9780769534060"</f>
        <v>9780769534060</v>
      </c>
      <c r="C13210" s="8" t="s">
        <v>9</v>
      </c>
    </row>
    <row r="13211" spans="1:3" x14ac:dyDescent="0.25">
      <c r="A13211" s="8" t="str">
        <f>"Proceedings - 4th International Conference on Autonomic and Autonomous Systems, ICAS 2008"</f>
        <v>Proceedings - 4th International Conference on Autonomic and Autonomous Systems, ICAS 2008</v>
      </c>
      <c r="B13211" s="8" t="str">
        <f>"9780769530932"</f>
        <v>9780769530932</v>
      </c>
      <c r="C13211" s="8" t="s">
        <v>9</v>
      </c>
    </row>
    <row r="13212" spans="1:3" x14ac:dyDescent="0.25">
      <c r="A13212" s="8" t="str">
        <f>"Proceedings - 4th International Conference on Computational and Information Sciences, ICCIS 2012"</f>
        <v>Proceedings - 4th International Conference on Computational and Information Sciences, ICCIS 2012</v>
      </c>
      <c r="B13212" s="8" t="str">
        <f>"9780769547893"</f>
        <v>9780769547893</v>
      </c>
      <c r="C13212" s="8" t="s">
        <v>9</v>
      </c>
    </row>
    <row r="13213" spans="1:3" x14ac:dyDescent="0.25">
      <c r="A13213" s="8" t="str">
        <f>"Proceedings - 4th International Conference on Computational Intelligence and Communication Networks, CICN 2012"</f>
        <v>Proceedings - 4th International Conference on Computational Intelligence and Communication Networks, CICN 2012</v>
      </c>
      <c r="B13213" s="8" t="str">
        <f>"-"</f>
        <v>-</v>
      </c>
      <c r="C13213" s="8" t="s">
        <v>9</v>
      </c>
    </row>
    <row r="13214" spans="1:3" x14ac:dyDescent="0.25">
      <c r="A13214" s="8" t="str">
        <f>"Proceedings - 4th International Conference on Developments in eSystems Engineering, DeSE 2011"</f>
        <v>Proceedings - 4th International Conference on Developments in eSystems Engineering, DeSE 2011</v>
      </c>
      <c r="B13214" s="8" t="str">
        <f>"-"</f>
        <v>-</v>
      </c>
      <c r="C13214" s="8" t="s">
        <v>9</v>
      </c>
    </row>
    <row r="13215" spans="1:3" x14ac:dyDescent="0.25">
      <c r="A13215" s="8" t="str">
        <f>"Proceedings - 4th International Conference on Digital Home, ICDH 2012"</f>
        <v>Proceedings - 4th International Conference on Digital Home, ICDH 2012</v>
      </c>
      <c r="B13215" s="8" t="str">
        <f>"-"</f>
        <v>-</v>
      </c>
      <c r="C13215" s="8" t="s">
        <v>9</v>
      </c>
    </row>
    <row r="13216" spans="1:3" x14ac:dyDescent="0.25">
      <c r="A13216" s="8" t="str">
        <f>"Proceedings - 4th International Conference on Emerging Applications of Information Technology, EAIT 2014"</f>
        <v>Proceedings - 4th International Conference on Emerging Applications of Information Technology, EAIT 2014</v>
      </c>
      <c r="B13216" s="8" t="str">
        <f>"9781479942725"</f>
        <v>9781479942725</v>
      </c>
      <c r="C13216" s="8" t="s">
        <v>105</v>
      </c>
    </row>
    <row r="13217" spans="1:3" x14ac:dyDescent="0.25">
      <c r="A13217" s="8" t="str">
        <f>"Proceedings - 4th International Conference on Emerging Intelligent Data and Web Technologies, EIDWT 2013"</f>
        <v>Proceedings - 4th International Conference on Emerging Intelligent Data and Web Technologies, EIDWT 2013</v>
      </c>
      <c r="B13217" s="8" t="str">
        <f>"9780769550442"</f>
        <v>9780769550442</v>
      </c>
      <c r="C13217" s="8" t="s">
        <v>9</v>
      </c>
    </row>
    <row r="13218" spans="1:3" x14ac:dyDescent="0.25">
      <c r="A13218" s="8" t="str">
        <f>"Proceedings - 4th International Conference on Emerging Security Information, Systems and Technologies, SECURWARE 2010"</f>
        <v>Proceedings - 4th International Conference on Emerging Security Information, Systems and Technologies, SECURWARE 2010</v>
      </c>
      <c r="B13218" s="8" t="str">
        <f>"9780769540955"</f>
        <v>9780769540955</v>
      </c>
      <c r="C13218" s="8" t="s">
        <v>9</v>
      </c>
    </row>
    <row r="13219" spans="1:3" x14ac:dyDescent="0.25">
      <c r="A13219" s="8" t="str">
        <f>"Proceedings - 4th International Conference on Genetic and Evolutionary Computing, ICGEC 2010"</f>
        <v>Proceedings - 4th International Conference on Genetic and Evolutionary Computing, ICGEC 2010</v>
      </c>
      <c r="B13219" s="8" t="str">
        <f>"9780769542812"</f>
        <v>9780769542812</v>
      </c>
      <c r="C13219" s="8" t="s">
        <v>9</v>
      </c>
    </row>
    <row r="13220" spans="1:3" x14ac:dyDescent="0.25">
      <c r="A13220" s="8" t="str">
        <f>"Proceedings - 4th International Conference on Information and Computing, ICIC 2011"</f>
        <v>Proceedings - 4th International Conference on Information and Computing, ICIC 2011</v>
      </c>
      <c r="B13220" s="8" t="str">
        <f>"9780769543789"</f>
        <v>9780769543789</v>
      </c>
      <c r="C13220" s="8" t="s">
        <v>9</v>
      </c>
    </row>
    <row r="13221" spans="1:3" x14ac:dyDescent="0.25">
      <c r="A13221" s="8" t="str">
        <f>"Proceedings - 4th International Conference on Intelligent Computation Technology and Automation, ICICTA 2011"</f>
        <v>Proceedings - 4th International Conference on Intelligent Computation Technology and Automation, ICICTA 2011</v>
      </c>
      <c r="B13221" s="8" t="str">
        <f>"9780769543536"</f>
        <v>9780769543536</v>
      </c>
      <c r="C13221" s="8" t="s">
        <v>9</v>
      </c>
    </row>
    <row r="13222" spans="1:3" x14ac:dyDescent="0.25">
      <c r="A13222" s="8" t="str">
        <f>"Proceedings - 4th International Conference on Intelligent Sensing and Information Processing, ICISIP 2006"</f>
        <v>Proceedings - 4th International Conference on Intelligent Sensing and Information Processing, ICISIP 2006</v>
      </c>
      <c r="B13222" s="8" t="str">
        <f>"9781424406111"</f>
        <v>9781424406111</v>
      </c>
      <c r="C13222" s="8" t="s">
        <v>9</v>
      </c>
    </row>
    <row r="13223" spans="1:3" x14ac:dyDescent="0.25">
      <c r="A13223" s="8" t="str">
        <f>"Proceedings - 4th International Conference on Interaction Sciences: IT, Human and Digital Content, ICIS 2011"</f>
        <v>Proceedings - 4th International Conference on Interaction Sciences: IT, Human and Digital Content, ICIS 2011</v>
      </c>
      <c r="B13223" s="8" t="str">
        <f>"9788988678442"</f>
        <v>9788988678442</v>
      </c>
      <c r="C13223" s="8" t="s">
        <v>9</v>
      </c>
    </row>
    <row r="13224" spans="1:3" x14ac:dyDescent="0.25">
      <c r="A13224" s="8" t="str">
        <f>"Proceedings - 4th International Conference on Internet Computing for Science and Engineering, ICICSE 2009"</f>
        <v>Proceedings - 4th International Conference on Internet Computing for Science and Engineering, ICICSE 2009</v>
      </c>
      <c r="B13224" s="8" t="str">
        <f>"9780769540276"</f>
        <v>9780769540276</v>
      </c>
      <c r="C13224" s="8" t="s">
        <v>9</v>
      </c>
    </row>
    <row r="13225" spans="1:3" x14ac:dyDescent="0.25">
      <c r="A13225" s="8" t="str">
        <f>"Proceedings - 4th International Conference on Knowledge and Systems Engineering, KSE 2012"</f>
        <v>Proceedings - 4th International Conference on Knowledge and Systems Engineering, KSE 2012</v>
      </c>
      <c r="B13225" s="8" t="str">
        <f>"9780769547602"</f>
        <v>9780769547602</v>
      </c>
      <c r="C13225" s="8" t="s">
        <v>9</v>
      </c>
    </row>
    <row r="13226" spans="1:3" x14ac:dyDescent="0.25">
      <c r="A13226" s="8" t="str">
        <f>"Proceedings - 4th International Conference on Mobile Ad-hoc and Sensor Networks, MSN 2008"</f>
        <v>Proceedings - 4th International Conference on Mobile Ad-hoc and Sensor Networks, MSN 2008</v>
      </c>
      <c r="B13226" s="8" t="str">
        <f>"9780769534572"</f>
        <v>9780769534572</v>
      </c>
      <c r="C13226" s="8" t="s">
        <v>9</v>
      </c>
    </row>
    <row r="13227" spans="1:3" x14ac:dyDescent="0.25">
      <c r="A13227" s="8" t="str">
        <f>"Proceedings - 4th International Conference on MultiAgent Systems, ICMAS 2000"</f>
        <v>Proceedings - 4th International Conference on MultiAgent Systems, ICMAS 2000</v>
      </c>
      <c r="B13227" s="8" t="str">
        <f>"9780769506258"</f>
        <v>9780769506258</v>
      </c>
      <c r="C13227" s="8" t="s">
        <v>105</v>
      </c>
    </row>
    <row r="13228" spans="1:3" x14ac:dyDescent="0.25">
      <c r="A13228" s="8" t="str">
        <f>"Proceedings - 4th International Conference on Natural Computation, ICNC 2008"</f>
        <v>Proceedings - 4th International Conference on Natural Computation, ICNC 2008</v>
      </c>
      <c r="B13228" s="8" t="str">
        <f>"9780769533049"</f>
        <v>9780769533049</v>
      </c>
      <c r="C13228" s="8" t="s">
        <v>9</v>
      </c>
    </row>
    <row r="13229" spans="1:3" x14ac:dyDescent="0.25">
      <c r="A13229" s="8" t="str">
        <f>"Proceedings - 4th International Conference on Networked Computing and Advanced Information Management, NCM 2008"</f>
        <v>Proceedings - 4th International Conference on Networked Computing and Advanced Information Management, NCM 2008</v>
      </c>
      <c r="B13229" s="8" t="str">
        <f>"9780769533223"</f>
        <v>9780769533223</v>
      </c>
      <c r="C13229" s="8" t="s">
        <v>9</v>
      </c>
    </row>
    <row r="13230" spans="1:3" x14ac:dyDescent="0.25">
      <c r="A13230" s="8" t="str">
        <f>"Proceedings - 4th International Conference on Networking and Services, ICNS 2008"</f>
        <v>Proceedings - 4th International Conference on Networking and Services, ICNS 2008</v>
      </c>
      <c r="B13230" s="8" t="str">
        <f>"9780769530949"</f>
        <v>9780769530949</v>
      </c>
      <c r="C13230" s="8" t="s">
        <v>9</v>
      </c>
    </row>
    <row r="13231" spans="1:3" x14ac:dyDescent="0.25">
      <c r="A13231" s="8" t="str">
        <f>"Proceedings - 4th International Conference on Peer-to-Peer Computing, P2P2004"</f>
        <v>Proceedings - 4th International Conference on Peer-to-Peer Computing, P2P2004</v>
      </c>
      <c r="B13231" s="8" t="str">
        <f>"9780769521565"</f>
        <v>9780769521565</v>
      </c>
      <c r="C13231" s="8" t="s">
        <v>9</v>
      </c>
    </row>
    <row r="13232" spans="1:3" x14ac:dyDescent="0.25">
      <c r="A13232" s="8" t="str">
        <f>"Proceedings - 4th International Conference on Sensor Technologies and Applications, SENSORCOMM 2010"</f>
        <v>Proceedings - 4th International Conference on Sensor Technologies and Applications, SENSORCOMM 2010</v>
      </c>
      <c r="B13232" s="8" t="str">
        <f>"9780769540962"</f>
        <v>9780769540962</v>
      </c>
      <c r="C13232" s="8" t="s">
        <v>9</v>
      </c>
    </row>
    <row r="13233" spans="1:3" x14ac:dyDescent="0.25">
      <c r="A13233" s="8" t="str">
        <f>"Proceedings - 4th International Conference on SImilarity Search and APplications, SISAP 2011"</f>
        <v>Proceedings - 4th International Conference on SImilarity Search and APplications, SISAP 2011</v>
      </c>
      <c r="B13233" s="8" t="str">
        <f>"9781450307956"</f>
        <v>9781450307956</v>
      </c>
      <c r="C13233" s="8" t="s">
        <v>21</v>
      </c>
    </row>
    <row r="13234" spans="1:3" x14ac:dyDescent="0.25">
      <c r="A13234" s="8" t="str">
        <f>"Proceedings - 4th International Conference on the Quantitative Evaluation of Systems, QEST 2007"</f>
        <v>Proceedings - 4th International Conference on the Quantitative Evaluation of Systems, QEST 2007</v>
      </c>
      <c r="B13234" s="8" t="str">
        <f>"9780769528830"</f>
        <v>9780769528830</v>
      </c>
      <c r="C13234" s="8" t="s">
        <v>9</v>
      </c>
    </row>
    <row r="13235" spans="1:3" x14ac:dyDescent="0.25">
      <c r="A13235" s="8" t="str">
        <f>"Proceedings - 4th International Conference on Ubi-Media Computing, U-Media 2011"</f>
        <v>Proceedings - 4th International Conference on Ubi-Media Computing, U-Media 2011</v>
      </c>
      <c r="B13235" s="8" t="str">
        <f>"9780769544939"</f>
        <v>9780769544939</v>
      </c>
      <c r="C13235" s="8" t="s">
        <v>9</v>
      </c>
    </row>
    <row r="13236" spans="1:3" x14ac:dyDescent="0.25">
      <c r="A13236" s="8" t="s">
        <v>2076</v>
      </c>
      <c r="B13236" s="8" t="str">
        <f>"9780769521039"</f>
        <v>9780769521039</v>
      </c>
      <c r="C13236" s="8" t="s">
        <v>105</v>
      </c>
    </row>
    <row r="13237" spans="1:3" x14ac:dyDescent="0.25">
      <c r="A13237" s="8" t="str">
        <f>"Proceedings - 4th International Congress on Image and Signal Processing, CISP 2011"</f>
        <v>Proceedings - 4th International Congress on Image and Signal Processing, CISP 2011</v>
      </c>
      <c r="B13237" s="8" t="str">
        <f>"9781424493067"</f>
        <v>9781424493067</v>
      </c>
      <c r="C13237" s="8" t="s">
        <v>9</v>
      </c>
    </row>
    <row r="13238" spans="1:3" x14ac:dyDescent="0.25">
      <c r="A13238" s="8" t="str">
        <f>"Proceedings - 4th International Joint Conference on Computational Sciences and Optimization, CSO 2011"</f>
        <v>Proceedings - 4th International Joint Conference on Computational Sciences and Optimization, CSO 2011</v>
      </c>
      <c r="B13238" s="8" t="str">
        <f>"9780769543352"</f>
        <v>9780769543352</v>
      </c>
      <c r="C13238" s="8" t="s">
        <v>9</v>
      </c>
    </row>
    <row r="13239" spans="1:3" x14ac:dyDescent="0.25">
      <c r="A13239" s="8" t="str">
        <f>"Proceedings - 4th International Symposium on Electronic System Design, ISED 2013"</f>
        <v>Proceedings - 4th International Symposium on Electronic System Design, ISED 2013</v>
      </c>
      <c r="B13239" s="8" t="str">
        <f>"9780769551432"</f>
        <v>9780769551432</v>
      </c>
      <c r="C13239" s="8" t="s">
        <v>9</v>
      </c>
    </row>
    <row r="13240" spans="1:3" x14ac:dyDescent="0.25">
      <c r="A13240" s="8" t="str">
        <f>"Proceedings - 4th International Workshop on Chaos-Fractals Theories and Applications, IWCFTA 2011"</f>
        <v>Proceedings - 4th International Workshop on Chaos-Fractals Theories and Applications, IWCFTA 2011</v>
      </c>
      <c r="B13240" s="8" t="str">
        <f>"9780769545608"</f>
        <v>9780769545608</v>
      </c>
      <c r="C13240" s="8" t="s">
        <v>9</v>
      </c>
    </row>
    <row r="13241" spans="1:3" x14ac:dyDescent="0.25">
      <c r="A13241" s="8" t="str">
        <f>"Proceedings - 4th International Workshop on Near Field Communication, NFC 2012"</f>
        <v>Proceedings - 4th International Workshop on Near Field Communication, NFC 2012</v>
      </c>
      <c r="B13241" s="8" t="str">
        <f>"9780769546780"</f>
        <v>9780769546780</v>
      </c>
      <c r="C13241" s="8" t="s">
        <v>9</v>
      </c>
    </row>
    <row r="13242" spans="1:3" x14ac:dyDescent="0.25">
      <c r="A13242" s="8" t="str">
        <f>"Proceedings - 4th International Workshop on Web Site Evolution, WSE 2002"</f>
        <v>Proceedings - 4th International Workshop on Web Site Evolution, WSE 2002</v>
      </c>
      <c r="B13242" s="8" t="str">
        <f>"9780769518046"</f>
        <v>9780769518046</v>
      </c>
      <c r="C13242" s="8" t="s">
        <v>105</v>
      </c>
    </row>
    <row r="13243" spans="1:3" x14ac:dyDescent="0.25">
      <c r="A13243" s="8" t="str">
        <f>"Proceedings - 4th Pacific-Rim Symposium on Image and Video Technology, PSIVT 2010"</f>
        <v>Proceedings - 4th Pacific-Rim Symposium on Image and Video Technology, PSIVT 2010</v>
      </c>
      <c r="B13243" s="8" t="str">
        <f>"9780769542850"</f>
        <v>9780769542850</v>
      </c>
      <c r="C13243" s="8" t="s">
        <v>9</v>
      </c>
    </row>
    <row r="13244" spans="1:3" x14ac:dyDescent="0.25">
      <c r="A13244" s="8" t="str">
        <f>"Proceedings - 4th Workshop on Socio-Technical Aspects in Security and Trust, STAST 2014 - Co-located with 27th IEEE Computer Security Foundations Symposium, CSF 2014 in the Vienna Summer of Logic 2014"</f>
        <v>Proceedings - 4th Workshop on Socio-Technical Aspects in Security and Trust, STAST 2014 - Co-located with 27th IEEE Computer Security Foundations Symposium, CSF 2014 in the Vienna Summer of Logic 2014</v>
      </c>
      <c r="B13244" s="8" t="str">
        <f>"9781479979011"</f>
        <v>9781479979011</v>
      </c>
      <c r="C13244" s="8" t="s">
        <v>105</v>
      </c>
    </row>
    <row r="13245" spans="1:3" x14ac:dyDescent="0.25">
      <c r="A13245" s="8" t="str">
        <f>"Proceedings - 5th Annual ChinaGrid Conference, ChinaGrid 2010"</f>
        <v>Proceedings - 5th Annual ChinaGrid Conference, ChinaGrid 2010</v>
      </c>
      <c r="B13245" s="8" t="str">
        <f>"9780769541068"</f>
        <v>9780769541068</v>
      </c>
      <c r="C13245" s="8" t="s">
        <v>9</v>
      </c>
    </row>
    <row r="13246" spans="1:3" x14ac:dyDescent="0.25">
      <c r="A13246" s="8" t="str">
        <f>"Proceedings - 5th Australasian Computer Architecture Conference, ACAC 2000"</f>
        <v>Proceedings - 5th Australasian Computer Architecture Conference, ACAC 2000</v>
      </c>
      <c r="B13246" s="8" t="str">
        <f>"9780769505121"</f>
        <v>9780769505121</v>
      </c>
      <c r="C13246" s="8" t="s">
        <v>105</v>
      </c>
    </row>
    <row r="13247" spans="1:3" x14ac:dyDescent="0.25">
      <c r="A13247" s="8" t="str">
        <f>"Proceedings - 5th Brazilian Symposium on Software Components, Architectures and Reuse, SBCARS 2011"</f>
        <v>Proceedings - 5th Brazilian Symposium on Software Components, Architectures and Reuse, SBCARS 2011</v>
      </c>
      <c r="B13247" s="8" t="str">
        <f>"9780769546261"</f>
        <v>9780769546261</v>
      </c>
      <c r="C13247" s="8" t="s">
        <v>9</v>
      </c>
    </row>
    <row r="13248" spans="1:3" x14ac:dyDescent="0.25">
      <c r="A13248" s="8" t="str">
        <f>"Proceedings - 5th Cybercrime and Trustworthy Computing Conference, CTC 2014"</f>
        <v>Proceedings - 5th Cybercrime and Trustworthy Computing Conference, CTC 2014</v>
      </c>
      <c r="B13248" s="8" t="str">
        <f>"9781479988259"</f>
        <v>9781479988259</v>
      </c>
      <c r="C13248" s="8" t="s">
        <v>105</v>
      </c>
    </row>
    <row r="13249" spans="1:3" x14ac:dyDescent="0.25">
      <c r="A13249" s="8" t="str">
        <f>"Proceedings - 5th IEEE International Conference on Advanced Learning Technologies, ICALT 2005"</f>
        <v>Proceedings - 5th IEEE International Conference on Advanced Learning Technologies, ICALT 2005</v>
      </c>
      <c r="B13249" s="8" t="str">
        <f>"-"</f>
        <v>-</v>
      </c>
      <c r="C13249" s="8" t="s">
        <v>9</v>
      </c>
    </row>
    <row r="13250" spans="1:3" x14ac:dyDescent="0.25">
      <c r="A13250" s="8" t="str">
        <f>"Proceedings - 5th IEEE International Conference on Computer and Communication Technology, ICCCT 2014"</f>
        <v>Proceedings - 5th IEEE International Conference on Computer and Communication Technology, ICCCT 2014</v>
      </c>
      <c r="B13250" s="8" t="str">
        <f>"9781479967575"</f>
        <v>9781479967575</v>
      </c>
      <c r="C13250" s="8" t="s">
        <v>105</v>
      </c>
    </row>
    <row r="13251" spans="1:3" x14ac:dyDescent="0.25">
      <c r="A13251" s="8" t="str">
        <f>"Proceedings - 5th IEEE International Conference on Semantic Computing, ICSC 2011"</f>
        <v>Proceedings - 5th IEEE International Conference on Semantic Computing, ICSC 2011</v>
      </c>
      <c r="B13251" s="8" t="str">
        <f>"9780769544922"</f>
        <v>9780769544922</v>
      </c>
      <c r="C13251" s="8" t="s">
        <v>9</v>
      </c>
    </row>
    <row r="13252" spans="1:3" x14ac:dyDescent="0.25">
      <c r="A13252" s="8" t="str">
        <f>"Proceedings - 5th IEEE International Conference on Software Engineering and Formal Methods, SEFM 2007"</f>
        <v>Proceedings - 5th IEEE International Conference on Software Engineering and Formal Methods, SEFM 2007</v>
      </c>
      <c r="B13252" s="8" t="str">
        <f>"9780769528847"</f>
        <v>9780769528847</v>
      </c>
      <c r="C13252" s="8" t="s">
        <v>9</v>
      </c>
    </row>
    <row r="13253" spans="1:3" x14ac:dyDescent="0.25">
      <c r="A13253" s="8" t="str">
        <f>"Proceedings - 5th IEEE International Conference on Space Mission Challenges for Information Technology, SMC-IT 2014"</f>
        <v>Proceedings - 5th IEEE International Conference on Space Mission Challenges for Information Technology, SMC-IT 2014</v>
      </c>
      <c r="B13253" s="8" t="str">
        <f>"9781479956203"</f>
        <v>9781479956203</v>
      </c>
      <c r="C13253" s="8" t="s">
        <v>105</v>
      </c>
    </row>
    <row r="13254" spans="1:3" x14ac:dyDescent="0.25">
      <c r="A13254" s="8" t="str">
        <f>"Proceedings - 5th IEEE International Conference on Wireless, Mobile, and Ubiquitous Technologies in Education, WMUTE 2008"</f>
        <v>Proceedings - 5th IEEE International Conference on Wireless, Mobile, and Ubiquitous Technologies in Education, WMUTE 2008</v>
      </c>
      <c r="B13254" s="8" t="str">
        <f>"9780769531083"</f>
        <v>9780769531083</v>
      </c>
      <c r="C13254" s="8" t="s">
        <v>9</v>
      </c>
    </row>
    <row r="13255" spans="1:3" x14ac:dyDescent="0.25">
      <c r="A13255" s="8" t="str">
        <f>"Proceedings - 5th IEEE International Symposium on Electronic Design, Test and Applications, DELTA 2010"</f>
        <v>Proceedings - 5th IEEE International Symposium on Electronic Design, Test and Applications, DELTA 2010</v>
      </c>
      <c r="B13255" s="8" t="str">
        <f>"9780769539782"</f>
        <v>9780769539782</v>
      </c>
      <c r="C13255" s="8" t="s">
        <v>9</v>
      </c>
    </row>
    <row r="13256" spans="1:3" x14ac:dyDescent="0.25">
      <c r="A13256" s="8" t="str">
        <f>"Proceedings - 5th IEEE International Symposium on Object-Oriented Real-Time Distributed Computing, ISORC 2002"</f>
        <v>Proceedings - 5th IEEE International Symposium on Object-Oriented Real-Time Distributed Computing, ISORC 2002</v>
      </c>
      <c r="B13256" s="8" t="str">
        <f>"9780769515588"</f>
        <v>9780769515588</v>
      </c>
      <c r="C13256" s="8" t="s">
        <v>105</v>
      </c>
    </row>
    <row r="13257" spans="1:3" x14ac:dyDescent="0.25">
      <c r="A13257" s="8" t="str">
        <f>"Proceedings - 5th IEEE International Symposium on Service-Oriented System Engineering, SOSE 2010"</f>
        <v>Proceedings - 5th IEEE International Symposium on Service-Oriented System Engineering, SOSE 2010</v>
      </c>
      <c r="B13257" s="8" t="str">
        <f>"9780769540818"</f>
        <v>9780769540818</v>
      </c>
      <c r="C13257" s="8" t="s">
        <v>9</v>
      </c>
    </row>
    <row r="13258" spans="1:3" x14ac:dyDescent="0.25">
      <c r="A13258" s="8" t="str">
        <f>"Proceedings - 5th IEEE International Workshop on Storage Network Architecture and Parallel I/Os, SNAPI 2008"</f>
        <v>Proceedings - 5th IEEE International Workshop on Storage Network Architecture and Parallel I/Os, SNAPI 2008</v>
      </c>
      <c r="B13258" s="8" t="str">
        <f>"9780769534084"</f>
        <v>9780769534084</v>
      </c>
      <c r="C13258" s="8" t="s">
        <v>9</v>
      </c>
    </row>
    <row r="13259" spans="1:3" x14ac:dyDescent="0.25">
      <c r="A13259" s="8" t="str">
        <f>"Proceedings - 5th IEEE International Workshop on Web Site Evolution: Architecture, WSE 2003"</f>
        <v>Proceedings - 5th IEEE International Workshop on Web Site Evolution: Architecture, WSE 2003</v>
      </c>
      <c r="B13259" s="8" t="str">
        <f>"9780769520162"</f>
        <v>9780769520162</v>
      </c>
      <c r="C13259" s="8" t="s">
        <v>105</v>
      </c>
    </row>
    <row r="13260" spans="1:3" x14ac:dyDescent="0.25">
      <c r="A13260" s="8" t="str">
        <f>"Proceedings - 5th IEEE Workshop on Mobile Computing Systems and Applications, WMCSA 2003"</f>
        <v>Proceedings - 5th IEEE Workshop on Mobile Computing Systems and Applications, WMCSA 2003</v>
      </c>
      <c r="B13260" s="8" t="str">
        <f>"9780769519951"</f>
        <v>9780769519951</v>
      </c>
      <c r="C13260" s="8" t="s">
        <v>105</v>
      </c>
    </row>
    <row r="13261" spans="1:3" x14ac:dyDescent="0.25">
      <c r="A13261" s="8" t="str">
        <f>"Proceedings - 5th IEEE/ACIS Int. Conf. on Comput. and Info. Sci., ICIS 2006. In conjunction with 1st IEEE/ACIS, Int. Workshop Component-Based Software Eng., Softw. Archi. and Reuse, COMSAR 2006"</f>
        <v>Proceedings - 5th IEEE/ACIS Int. Conf. on Comput. and Info. Sci., ICIS 2006. In conjunction with 1st IEEE/ACIS, Int. Workshop Component-Based Software Eng., Softw. Archi. and Reuse, COMSAR 2006</v>
      </c>
      <c r="B13261" s="8" t="str">
        <f>"-"</f>
        <v>-</v>
      </c>
      <c r="C13261" s="8" t="s">
        <v>9</v>
      </c>
    </row>
    <row r="13262" spans="1:3" x14ac:dyDescent="0.25">
      <c r="A13262" s="8" t="str">
        <f>"Proceedings - 5th International Conference BioMedical Visualization, Information Visualization in Medical and Biomedical Informatics, MediVis 2008"</f>
        <v>Proceedings - 5th International Conference BioMedical Visualization, Information Visualization in Medical and Biomedical Informatics, MediVis 2008</v>
      </c>
      <c r="B13262" s="8" t="str">
        <f>"9780769532844"</f>
        <v>9780769532844</v>
      </c>
      <c r="C13262" s="8" t="s">
        <v>9</v>
      </c>
    </row>
    <row r="13263" spans="1:3" x14ac:dyDescent="0.25">
      <c r="A13263" s="8" t="str">
        <f>"Proceedings - 5th International Conference on Algorithms and Architectures for Parallel Processing, ICA3PP 2002"</f>
        <v>Proceedings - 5th International Conference on Algorithms and Architectures for Parallel Processing, ICA3PP 2002</v>
      </c>
      <c r="B13263" s="8" t="str">
        <f>"9780769515120"</f>
        <v>9780769515120</v>
      </c>
      <c r="C13263" s="8" t="s">
        <v>105</v>
      </c>
    </row>
    <row r="13264" spans="1:3" x14ac:dyDescent="0.25">
      <c r="A13264" s="8" t="str">
        <f>"Proceedings - 5th International Conference on Computational Intelligence and Communication Networks, CICN 2013"</f>
        <v>Proceedings - 5th International Conference on Computational Intelligence and Communication Networks, CICN 2013</v>
      </c>
      <c r="B13264" s="8" t="str">
        <f>"9780768550695"</f>
        <v>9780768550695</v>
      </c>
      <c r="C13264" s="8" t="s">
        <v>9</v>
      </c>
    </row>
    <row r="13265" spans="1:3" x14ac:dyDescent="0.25">
      <c r="A13265" s="8" t="str">
        <f>"Proceedings - 5th International Conference on Computational Intelligence and Multimedia Applications, ICCIMA 2003"</f>
        <v>Proceedings - 5th International Conference on Computational Intelligence and Multimedia Applications, ICCIMA 2003</v>
      </c>
      <c r="B13265" s="8" t="str">
        <f>"9780769519579"</f>
        <v>9780769519579</v>
      </c>
      <c r="C13265" s="8" t="s">
        <v>105</v>
      </c>
    </row>
    <row r="13266" spans="1:3" x14ac:dyDescent="0.25">
      <c r="A13266" s="8" t="str">
        <f>"Proceedings - 5th International Conference on Computational Intelligence, Communication Systems, and Networks, CICSyN 2013"</f>
        <v>Proceedings - 5th International Conference on Computational Intelligence, Communication Systems, and Networks, CICSyN 2013</v>
      </c>
      <c r="B13266" s="8" t="str">
        <f>"9780769550428"</f>
        <v>9780769550428</v>
      </c>
      <c r="C13266" s="8" t="s">
        <v>9</v>
      </c>
    </row>
    <row r="13267" spans="1:3" x14ac:dyDescent="0.25">
      <c r="A13267" s="8" t="str">
        <f>"Proceedings - 5th International Conference on Computer and Communication Engineering: Emerging Technologies via Comp-Unication Convergence, ICCCE 2014"</f>
        <v>Proceedings - 5th International Conference on Computer and Communication Engineering: Emerging Technologies via Comp-Unication Convergence, ICCCE 2014</v>
      </c>
      <c r="B13267" s="8" t="str">
        <f>"9781479976355"</f>
        <v>9781479976355</v>
      </c>
      <c r="C13267" s="8" t="s">
        <v>105</v>
      </c>
    </row>
    <row r="13268" spans="1:3" x14ac:dyDescent="0.25">
      <c r="A13268" s="8" t="str">
        <f>"Proceedings - 5th International Conference on Computing for Geospatial Research and Application, COM.Geo 2014"</f>
        <v>Proceedings - 5th International Conference on Computing for Geospatial Research and Application, COM.Geo 2014</v>
      </c>
      <c r="B13268" s="8" t="str">
        <f>"9781479943210"</f>
        <v>9781479943210</v>
      </c>
      <c r="C13268" s="8" t="s">
        <v>105</v>
      </c>
    </row>
    <row r="13269" spans="1:3" x14ac:dyDescent="0.25">
      <c r="A13269" s="8" t="str">
        <f>"Proceedings - 5th International Conference on Frontier of Computer Science and Technology, FCST 2010"</f>
        <v>Proceedings - 5th International Conference on Frontier of Computer Science and Technology, FCST 2010</v>
      </c>
      <c r="B13269" s="8" t="str">
        <f>"9780769541396"</f>
        <v>9780769541396</v>
      </c>
      <c r="C13269" s="8" t="s">
        <v>9</v>
      </c>
    </row>
    <row r="13270" spans="1:3" x14ac:dyDescent="0.25">
      <c r="A13270" s="8" t="str">
        <f>"Proceedings - 5th International Conference on Fuzzy Systems and Knowledge Discovery, FSKD 2008"</f>
        <v>Proceedings - 5th International Conference on Fuzzy Systems and Knowledge Discovery, FSKD 2008</v>
      </c>
      <c r="B13270" s="8" t="str">
        <f>"9780769533056"</f>
        <v>9780769533056</v>
      </c>
      <c r="C13270" s="8" t="s">
        <v>9</v>
      </c>
    </row>
    <row r="13271" spans="1:3" x14ac:dyDescent="0.25">
      <c r="A13271" s="8" t="str">
        <f>"Proceedings - 5th International Conference on Global Software Engineering, ICGSE 2010"</f>
        <v>Proceedings - 5th International Conference on Global Software Engineering, ICGSE 2010</v>
      </c>
      <c r="B13271" s="8" t="str">
        <f>"9780769541228"</f>
        <v>9780769541228</v>
      </c>
      <c r="C13271" s="8" t="s">
        <v>9</v>
      </c>
    </row>
    <row r="13272" spans="1:3" x14ac:dyDescent="0.25">
      <c r="A13272" s="8" t="str">
        <f>"Proceedings - 5th International Conference on Intelligent Networking and Collaborative Systems, INCoS 2013"</f>
        <v>Proceedings - 5th International Conference on Intelligent Networking and Collaborative Systems, INCoS 2013</v>
      </c>
      <c r="B13272" s="8" t="str">
        <f>"9780769549880"</f>
        <v>9780769549880</v>
      </c>
      <c r="C13272" s="8" t="s">
        <v>9</v>
      </c>
    </row>
    <row r="13273" spans="1:3" x14ac:dyDescent="0.25">
      <c r="A13273" s="8" t="str">
        <f>"Proceedings - 5th International Conference on Intelligent Networks and Intelligent Systems, ICINIS 2012"</f>
        <v>Proceedings - 5th International Conference on Intelligent Networks and Intelligent Systems, ICINIS 2012</v>
      </c>
      <c r="B13273" s="8" t="str">
        <f>"9780769548555"</f>
        <v>9780769548555</v>
      </c>
      <c r="C13273" s="8" t="s">
        <v>9</v>
      </c>
    </row>
    <row r="13274" spans="1:3" x14ac:dyDescent="0.25">
      <c r="A13274" s="8" t="str">
        <f>"Proceedings - 5th International Conference on Intelligent Systems Design and Applications 2005, ISDA '05"</f>
        <v>Proceedings - 5th International Conference on Intelligent Systems Design and Applications 2005, ISDA '05</v>
      </c>
      <c r="B13274" s="8" t="str">
        <f>"-"</f>
        <v>-</v>
      </c>
      <c r="C13274" s="8" t="s">
        <v>9</v>
      </c>
    </row>
    <row r="13275" spans="1:3" x14ac:dyDescent="0.25">
      <c r="A13275" s="8" t="str">
        <f>"Proceedings - 5th International Conference on Internet Computing for Science and Engineering, ICICSE 2010"</f>
        <v>Proceedings - 5th International Conference on Internet Computing for Science and Engineering, ICICSE 2010</v>
      </c>
      <c r="B13275" s="8" t="str">
        <f>"9780769543390"</f>
        <v>9780769543390</v>
      </c>
      <c r="C13275" s="8" t="s">
        <v>9</v>
      </c>
    </row>
    <row r="13276" spans="1:3" x14ac:dyDescent="0.25">
      <c r="A13276" s="8" t="str">
        <f>"Proceedings - 5th International Conference on Machine Learning and Applications, ICMLA 2006"</f>
        <v>Proceedings - 5th International Conference on Machine Learning and Applications, ICMLA 2006</v>
      </c>
      <c r="B13276" s="8" t="str">
        <f>"9780769527352"</f>
        <v>9780769527352</v>
      </c>
      <c r="C13276" s="8" t="s">
        <v>9</v>
      </c>
    </row>
    <row r="13277" spans="1:3" x14ac:dyDescent="0.25">
      <c r="A13277" s="8" t="str">
        <f>"Proceedings - 5th International Conference on New Trends in Information Science and Service Science, NISS 2011"</f>
        <v>Proceedings - 5th International Conference on New Trends in Information Science and Service Science, NISS 2011</v>
      </c>
      <c r="B13277" s="8" t="str">
        <f>"9788988678626"</f>
        <v>9788988678626</v>
      </c>
      <c r="C13277" s="8" t="s">
        <v>9</v>
      </c>
    </row>
    <row r="13278" spans="1:3" x14ac:dyDescent="0.25">
      <c r="A13278" s="8" t="str">
        <f>"Proceedings - 5th International Conference on Signal Image Technology and Internet Based Systems, SITIS 2009"</f>
        <v>Proceedings - 5th International Conference on Signal Image Technology and Internet Based Systems, SITIS 2009</v>
      </c>
      <c r="B13278" s="8" t="str">
        <f>"9780769539591"</f>
        <v>9780769539591</v>
      </c>
      <c r="C13278" s="8" t="s">
        <v>9</v>
      </c>
    </row>
    <row r="13279" spans="1:3" x14ac:dyDescent="0.25">
      <c r="A13279" s="8" t="str">
        <f>"Proceedings - 5th International Conference on Software Engineering Advances, ICSEA 2010"</f>
        <v>Proceedings - 5th International Conference on Software Engineering Advances, ICSEA 2010</v>
      </c>
      <c r="B13279" s="8" t="str">
        <f>"9780769541440"</f>
        <v>9780769541440</v>
      </c>
      <c r="C13279" s="8" t="s">
        <v>9</v>
      </c>
    </row>
    <row r="13280" spans="1:3" x14ac:dyDescent="0.25">
      <c r="A13280" s="8" t="str">
        <f>"Proceedings - 5th International Conference on Systems and Networks Communications, ICSNC 2010"</f>
        <v>Proceedings - 5th International Conference on Systems and Networks Communications, ICSNC 2010</v>
      </c>
      <c r="B13280" s="8" t="str">
        <f>"9780769541457"</f>
        <v>9780769541457</v>
      </c>
      <c r="C13280" s="8" t="s">
        <v>9</v>
      </c>
    </row>
    <row r="13281" spans="1:3" x14ac:dyDescent="0.25">
      <c r="A13281" s="8" t="str">
        <f>"Proceedings - 5th International Conference on the Quantitative Evaluation of Systems, QEST 2008"</f>
        <v>Proceedings - 5th International Conference on the Quantitative Evaluation of Systems, QEST 2008</v>
      </c>
      <c r="B13281" s="8" t="str">
        <f>"9780769533605"</f>
        <v>9780769533605</v>
      </c>
      <c r="C13281" s="8" t="s">
        <v>9</v>
      </c>
    </row>
    <row r="13282" spans="1:3" x14ac:dyDescent="0.25">
      <c r="A13282" s="8" t="str">
        <f>"Proceedings - 5th International Conference on Theoretical Aspects of Software Engineering, TASE 2011"</f>
        <v>Proceedings - 5th International Conference on Theoretical Aspects of Software Engineering, TASE 2011</v>
      </c>
      <c r="B13282" s="8" t="str">
        <f>"9780769545066"</f>
        <v>9780769545066</v>
      </c>
      <c r="C13282" s="8" t="s">
        <v>9</v>
      </c>
    </row>
    <row r="13283" spans="1:3" x14ac:dyDescent="0.25">
      <c r="A13283" s="8" t="str">
        <f>"Proceedings - 5th International Conference on Wireless Communications, Networking and Mobile Computing, WiCOM 2009"</f>
        <v>Proceedings - 5th International Conference on Wireless Communications, Networking and Mobile Computing, WiCOM 2009</v>
      </c>
      <c r="B13283" s="8" t="str">
        <f>"9781424436934"</f>
        <v>9781424436934</v>
      </c>
      <c r="C13283" s="8" t="s">
        <v>9</v>
      </c>
    </row>
    <row r="13284" spans="1:3" x14ac:dyDescent="0.25">
      <c r="A13284" s="8" t="str">
        <f>"Proceedings - 5th International Multi-Conference on Computing in the Global Information Technology, ICCGI 2010"</f>
        <v>Proceedings - 5th International Multi-Conference on Computing in the Global Information Technology, ICCGI 2010</v>
      </c>
      <c r="B13284" s="8" t="str">
        <f>"9780769541815"</f>
        <v>9780769541815</v>
      </c>
      <c r="C13284" s="8" t="s">
        <v>9</v>
      </c>
    </row>
    <row r="13285" spans="1:3" x14ac:dyDescent="0.25">
      <c r="A13285" s="8" t="str">
        <f>"Proceedings - 5th International Symposium on Autonomous Decentralized Systems, ISADS 2001"</f>
        <v>Proceedings - 5th International Symposium on Autonomous Decentralized Systems, ISADS 2001</v>
      </c>
      <c r="B13285" s="8" t="str">
        <f>"9780769510651"</f>
        <v>9780769510651</v>
      </c>
      <c r="C13285" s="8" t="s">
        <v>105</v>
      </c>
    </row>
    <row r="13286" spans="1:3" x14ac:dyDescent="0.25">
      <c r="A13286" s="8" t="str">
        <f>"Proceedings - 5th International Symposium on Quality Electronic Design, ISQED 2004"</f>
        <v>Proceedings - 5th International Symposium on Quality Electronic Design, ISQED 2004</v>
      </c>
      <c r="B13286" s="8" t="str">
        <f>"9780769520933"</f>
        <v>9780769520933</v>
      </c>
      <c r="C13286" s="8" t="s">
        <v>9</v>
      </c>
    </row>
    <row r="13287" spans="1:3" x14ac:dyDescent="0.25">
      <c r="A13287" s="8" t="str">
        <f>"Proceedings - 5th International Workshop on Enterprise Networking and Computing in Healthcare Industry, HealthCom 2003"</f>
        <v>Proceedings - 5th International Workshop on Enterprise Networking and Computing in Healthcare Industry, HealthCom 2003</v>
      </c>
      <c r="B13287" s="8" t="str">
        <f>"9780780379602"</f>
        <v>9780780379602</v>
      </c>
      <c r="C13287" s="8" t="s">
        <v>105</v>
      </c>
    </row>
    <row r="13288" spans="1:3" x14ac:dyDescent="0.25">
      <c r="A13288" s="8" t="str">
        <f>"Proceedings - 5th Latin-American Symposium on Dependable Computing Workshops, LADCW 2011"</f>
        <v>Proceedings - 5th Latin-American Symposium on Dependable Computing Workshops, LADCW 2011</v>
      </c>
      <c r="B13288" s="8" t="str">
        <f>"9780769543949"</f>
        <v>9780769543949</v>
      </c>
      <c r="C13288" s="8" t="s">
        <v>9</v>
      </c>
    </row>
    <row r="13289" spans="1:3" x14ac:dyDescent="0.25">
      <c r="A13289" s="8" t="str">
        <f>"Proceedings - 5th Working IEEE/IFIP Conference on Software Architecture, WICSA 2005"</f>
        <v>Proceedings - 5th Working IEEE/IFIP Conference on Software Architecture, WICSA 2005</v>
      </c>
      <c r="B13289" s="8" t="str">
        <f>"-"</f>
        <v>-</v>
      </c>
      <c r="C13289" s="8" t="s">
        <v>9</v>
      </c>
    </row>
    <row r="13290" spans="1:3" x14ac:dyDescent="0.25">
      <c r="A13290" s="8" t="str">
        <f>"Proceedings - 5th World Wireless Congress"</f>
        <v>Proceedings - 5th World Wireless Congress</v>
      </c>
      <c r="B13290" s="8" t="str">
        <f>"-"</f>
        <v>-</v>
      </c>
      <c r="C13290" s="8" t="s">
        <v>953</v>
      </c>
    </row>
    <row r="13291" spans="1:3" x14ac:dyDescent="0.25">
      <c r="A13291" s="8" t="str">
        <f>"Proceedings - 6th ACIS International Conference on Software Engineering Research, Management and Applications, SERA 2008"</f>
        <v>Proceedings - 6th ACIS International Conference on Software Engineering Research, Management and Applications, SERA 2008</v>
      </c>
      <c r="B13291" s="8" t="str">
        <f>"9780769533025"</f>
        <v>9780769533025</v>
      </c>
      <c r="C13291" s="8" t="s">
        <v>9</v>
      </c>
    </row>
    <row r="13292" spans="1:3" x14ac:dyDescent="0.25">
      <c r="A13292" s="8" t="str">
        <f>"Proceedings - 6th ACM and IEEE International Conference on Formal Methods and Models for Co-Design, MEMOCODE'08"</f>
        <v>Proceedings - 6th ACM and IEEE International Conference on Formal Methods and Models for Co-Design, MEMOCODE'08</v>
      </c>
      <c r="B13292" s="8" t="str">
        <f>"9781424424177"</f>
        <v>9781424424177</v>
      </c>
      <c r="C13292" s="8" t="s">
        <v>9</v>
      </c>
    </row>
    <row r="13293" spans="1:3" x14ac:dyDescent="0.25">
      <c r="A13293" s="8" t="str">
        <f>"Proceedings - 6th Annual Conference on Privacy, Security and Trust, PST 2008"</f>
        <v>Proceedings - 6th Annual Conference on Privacy, Security and Trust, PST 2008</v>
      </c>
      <c r="B13293" s="8" t="str">
        <f>"9780769533902"</f>
        <v>9780769533902</v>
      </c>
      <c r="C13293" s="8" t="s">
        <v>9</v>
      </c>
    </row>
    <row r="13294" spans="1:3" x14ac:dyDescent="0.25">
      <c r="A13294" s="8" t="str">
        <f>"Proceedings - 6th Asia International Conference on Mathematical Modelling and Computer Simulation, AMS 2012"</f>
        <v>Proceedings - 6th Asia International Conference on Mathematical Modelling and Computer Simulation, AMS 2012</v>
      </c>
      <c r="B13294" s="8" t="str">
        <f>"9780769547305"</f>
        <v>9780769547305</v>
      </c>
      <c r="C13294" s="8" t="s">
        <v>9</v>
      </c>
    </row>
    <row r="13295" spans="1:3" x14ac:dyDescent="0.25">
      <c r="A13295" s="8" t="str">
        <f>"Proceedings - 6th IEEE International Conference and Workshop on the Engineering of Autonomic and Autonomous Systems, EASe 2009"</f>
        <v>Proceedings - 6th IEEE International Conference and Workshop on the Engineering of Autonomic and Autonomous Systems, EASe 2009</v>
      </c>
      <c r="B13295" s="8" t="str">
        <f>"9780769536231"</f>
        <v>9780769536231</v>
      </c>
      <c r="C13295" s="8" t="s">
        <v>9</v>
      </c>
    </row>
    <row r="13296" spans="1:3" x14ac:dyDescent="0.25">
      <c r="A13296" s="8" t="str">
        <f>"Proceedings - 6th IEEE International Conference on e-Science Workshops, e-ScienceW 2010"</f>
        <v>Proceedings - 6th IEEE International Conference on e-Science Workshops, e-ScienceW 2010</v>
      </c>
      <c r="B13296" s="8" t="str">
        <f>"9780769542959"</f>
        <v>9780769542959</v>
      </c>
      <c r="C13296" s="8" t="s">
        <v>9</v>
      </c>
    </row>
    <row r="13297" spans="1:3" x14ac:dyDescent="0.25">
      <c r="A13297" s="8" t="str">
        <f>"Proceedings - 6th IEEE International Conference on Networking, Architecture, and Storage, NAS 2011"</f>
        <v>Proceedings - 6th IEEE International Conference on Networking, Architecture, and Storage, NAS 2011</v>
      </c>
      <c r="B13297" s="8" t="str">
        <f>"9780769545097"</f>
        <v>9780769545097</v>
      </c>
      <c r="C13297" s="8" t="s">
        <v>9</v>
      </c>
    </row>
    <row r="13298" spans="1:3" x14ac:dyDescent="0.25">
      <c r="A13298" s="8" t="str">
        <f>"Proceedings - 6th IEEE International Conference on Software Engineering and Formal Methods, SEFM 2008"</f>
        <v>Proceedings - 6th IEEE International Conference on Software Engineering and Formal Methods, SEFM 2008</v>
      </c>
      <c r="B13298" s="8" t="str">
        <f>"9780769534374"</f>
        <v>9780769534374</v>
      </c>
      <c r="C13298" s="8" t="s">
        <v>9</v>
      </c>
    </row>
    <row r="13299" spans="1:3" x14ac:dyDescent="0.25">
      <c r="A13299" s="8" t="str">
        <f>"Proceedings - 6th IEEE International Symposium on a World of Wireless Mobile and Multimedia Networks, WoWMoM 2005"</f>
        <v>Proceedings - 6th IEEE International Symposium on a World of Wireless Mobile and Multimedia Networks, WoWMoM 2005</v>
      </c>
      <c r="B13299" s="8" t="str">
        <f>"9780769523422"</f>
        <v>9780769523422</v>
      </c>
      <c r="C13299" s="8" t="s">
        <v>9</v>
      </c>
    </row>
    <row r="13300" spans="1:3" x14ac:dyDescent="0.25">
      <c r="A13300" s="8" t="str">
        <f>"Proceedings - 6th IEEE International Symposium on Network Computing and Applications, NCA 2007"</f>
        <v>Proceedings - 6th IEEE International Symposium on Network Computing and Applications, NCA 2007</v>
      </c>
      <c r="B13300" s="8" t="str">
        <f>"9780769529226"</f>
        <v>9780769529226</v>
      </c>
      <c r="C13300" s="8" t="s">
        <v>9</v>
      </c>
    </row>
    <row r="13301" spans="1:3" x14ac:dyDescent="0.25">
      <c r="A13301" s="8" t="str">
        <f>"Proceedings - 6th IEEE International Symposium on Service-Oriented System Engineering, SOSE 2011"</f>
        <v>Proceedings - 6th IEEE International Symposium on Service-Oriented System Engineering, SOSE 2011</v>
      </c>
      <c r="B13301" s="8" t="str">
        <f>"9781467304108"</f>
        <v>9781467304108</v>
      </c>
      <c r="C13301" s="8" t="s">
        <v>9</v>
      </c>
    </row>
    <row r="13302" spans="1:3" x14ac:dyDescent="0.25">
      <c r="A13302" s="8" t="str">
        <f>"Proceedings - 6th IEEE Workshop on Signal Propagation on Interconnects, SPI"</f>
        <v>Proceedings - 6th IEEE Workshop on Signal Propagation on Interconnects, SPI</v>
      </c>
      <c r="B13302" s="8" t="str">
        <f>"9780780398214"</f>
        <v>9780780398214</v>
      </c>
      <c r="C13302" s="8" t="s">
        <v>9</v>
      </c>
    </row>
    <row r="13303" spans="1:3" x14ac:dyDescent="0.25">
      <c r="A13303" s="8" t="str">
        <f>"Proceedings - 6th IEEE/ACIS International Conference on Computer and Information Science, ICIS 2007; 1st IEEE/ACIS International Workshop on e-Activity, IWEA 2007"</f>
        <v>Proceedings - 6th IEEE/ACIS International Conference on Computer and Information Science, ICIS 2007; 1st IEEE/ACIS International Workshop on e-Activity, IWEA 2007</v>
      </c>
      <c r="B13303" s="8" t="str">
        <f>"9780769528410"</f>
        <v>9780769528410</v>
      </c>
      <c r="C13303" s="8" t="s">
        <v>9</v>
      </c>
    </row>
    <row r="13304" spans="1:3" x14ac:dyDescent="0.25">
      <c r="A13304" s="8" t="str">
        <f>"Proceedings - 6th Indian Conference on Computer Vision, Graphics and Image Processing, ICVGIP 2008"</f>
        <v>Proceedings - 6th Indian Conference on Computer Vision, Graphics and Image Processing, ICVGIP 2008</v>
      </c>
      <c r="B13304" s="8" t="str">
        <f>"9780769534763"</f>
        <v>9780769534763</v>
      </c>
      <c r="C13304" s="8" t="s">
        <v>9</v>
      </c>
    </row>
    <row r="13305" spans="1:3" x14ac:dyDescent="0.25">
      <c r="A13305" s="8" t="str">
        <f>"Proceedings - 6th International Conference on Computational Intelligence, Communication Systems and Networks, CICSyN 2014"</f>
        <v>Proceedings - 6th International Conference on Computational Intelligence, Communication Systems and Networks, CICSyN 2014</v>
      </c>
      <c r="B13305" s="8" t="str">
        <f>"9781479950768"</f>
        <v>9781479950768</v>
      </c>
      <c r="C13305" s="8" t="s">
        <v>105</v>
      </c>
    </row>
    <row r="13306" spans="1:3" x14ac:dyDescent="0.25">
      <c r="A13306" s="8" t="str">
        <f>"Proceedings - 6th International Conference on Computer Information Systems and Industrial Management Applications, CISIM 2007"</f>
        <v>Proceedings - 6th International Conference on Computer Information Systems and Industrial Management Applications, CISIM 2007</v>
      </c>
      <c r="B13306" s="8" t="str">
        <f>"9780769528946"</f>
        <v>9780769528946</v>
      </c>
      <c r="C13306" s="8" t="s">
        <v>9</v>
      </c>
    </row>
    <row r="13307" spans="1:3" x14ac:dyDescent="0.25">
      <c r="A13307" s="8" t="str">
        <f>"Proceedings - 6th International Conference on Computer Sciences and Convergence Information Technology, ICCIT 2011"</f>
        <v>Proceedings - 6th International Conference on Computer Sciences and Convergence Information Technology, ICCIT 2011</v>
      </c>
      <c r="B13307" s="8" t="str">
        <f>"9788988678541"</f>
        <v>9788988678541</v>
      </c>
      <c r="C13307" s="8" t="s">
        <v>9</v>
      </c>
    </row>
    <row r="13308" spans="1:3" x14ac:dyDescent="0.25">
      <c r="A13308" s="8" t="str">
        <f>"Proceedings - 6th International Conference on Creating, Connecting and Collaborating through Computing, C5 2008"</f>
        <v>Proceedings - 6th International Conference on Creating, Connecting and Collaborating through Computing, C5 2008</v>
      </c>
      <c r="B13308" s="8" t="str">
        <f>"9780769531151"</f>
        <v>9780769531151</v>
      </c>
      <c r="C13308" s="8" t="s">
        <v>9</v>
      </c>
    </row>
    <row r="13309" spans="1:3" x14ac:dyDescent="0.25">
      <c r="A13309" s="8" t="str">
        <f>"Proceedings - 6th International Conference on Image and Graphics, ICIG 2011"</f>
        <v>Proceedings - 6th International Conference on Image and Graphics, ICIG 2011</v>
      </c>
      <c r="B13309" s="8" t="str">
        <f>"9780769545417"</f>
        <v>9780769545417</v>
      </c>
      <c r="C13309" s="8" t="s">
        <v>9</v>
      </c>
    </row>
    <row r="13310" spans="1:3" x14ac:dyDescent="0.25">
      <c r="A13310" s="8" t="str">
        <f>"Proceedings - 6th International Conference on Innovative Mobile and Internet Services in Ubiquitous Computing, IMIS 2012"</f>
        <v>Proceedings - 6th International Conference on Innovative Mobile and Internet Services in Ubiquitous Computing, IMIS 2012</v>
      </c>
      <c r="B13310" s="8" t="str">
        <f>"9780769546841"</f>
        <v>9780769546841</v>
      </c>
      <c r="C13310" s="8" t="s">
        <v>9</v>
      </c>
    </row>
    <row r="13311" spans="1:3" x14ac:dyDescent="0.25">
      <c r="A13311" s="8" t="str">
        <f>"Proceedings - 6th International Conference on Internet Computing for Science and Engineering, ICICSE 2012"</f>
        <v>Proceedings - 6th International Conference on Internet Computing for Science and Engineering, ICICSE 2012</v>
      </c>
      <c r="B13311" s="8" t="str">
        <f>"9780769547053"</f>
        <v>9780769547053</v>
      </c>
      <c r="C13311" s="8" t="s">
        <v>9</v>
      </c>
    </row>
    <row r="13312" spans="1:3" x14ac:dyDescent="0.25">
      <c r="A13312" s="8" t="str">
        <f>"Proceedings - 6th International Conference on IT Security Incident Management and IT Forensics, IMF 2011"</f>
        <v>Proceedings - 6th International Conference on IT Security Incident Management and IT Forensics, IMF 2011</v>
      </c>
      <c r="B13312" s="8" t="str">
        <f>"9780769544038"</f>
        <v>9780769544038</v>
      </c>
      <c r="C13312" s="8" t="s">
        <v>9</v>
      </c>
    </row>
    <row r="13313" spans="1:3" x14ac:dyDescent="0.25">
      <c r="A13313" s="8" t="str">
        <f>"Proceedings - 6th International Conference on Machine Learning and Applications, ICMLA 2007"</f>
        <v>Proceedings - 6th International Conference on Machine Learning and Applications, ICMLA 2007</v>
      </c>
      <c r="B13313" s="8" t="str">
        <f>"9780769530697"</f>
        <v>9780769530697</v>
      </c>
      <c r="C13313" s="8" t="s">
        <v>9</v>
      </c>
    </row>
    <row r="13314" spans="1:3" x14ac:dyDescent="0.25">
      <c r="A13314" s="8" t="str">
        <f>"Proceedings - 6th International Conference on Multimedia, Computer Graphics and Broadcasting, MulGraB 2014"</f>
        <v>Proceedings - 6th International Conference on Multimedia, Computer Graphics and Broadcasting, MulGraB 2014</v>
      </c>
      <c r="B13314" s="8" t="str">
        <f>"9781479977642"</f>
        <v>9781479977642</v>
      </c>
      <c r="C13314" s="8" t="s">
        <v>105</v>
      </c>
    </row>
    <row r="13315" spans="1:3" x14ac:dyDescent="0.25">
      <c r="A13315" s="8" t="str">
        <f>"Proceedings - 6th International Conference on Next Generation Mobile Applications, Services, and Technologies, NGMAST 2012"</f>
        <v>Proceedings - 6th International Conference on Next Generation Mobile Applications, Services, and Technologies, NGMAST 2012</v>
      </c>
      <c r="B13315" s="8" t="str">
        <f>"9780769548036"</f>
        <v>9780769548036</v>
      </c>
      <c r="C13315" s="8" t="s">
        <v>9</v>
      </c>
    </row>
    <row r="13316" spans="1:3" x14ac:dyDescent="0.25">
      <c r="A13316" s="8" t="str">
        <f>"Proceedings - 6th International Conference on Semantics, Knowledge and Grid, SKG 2010"</f>
        <v>Proceedings - 6th International Conference on Semantics, Knowledge and Grid, SKG 2010</v>
      </c>
      <c r="B13316" s="8" t="str">
        <f>"9780769541891"</f>
        <v>9780769541891</v>
      </c>
      <c r="C13316" s="8" t="s">
        <v>9</v>
      </c>
    </row>
    <row r="13317" spans="1:3" x14ac:dyDescent="0.25">
      <c r="A13317" s="8" t="str">
        <f>"Proceedings - 6th International Conference on Wireless and Mobile Communications, ICWMC 2010"</f>
        <v>Proceedings - 6th International Conference on Wireless and Mobile Communications, ICWMC 2010</v>
      </c>
      <c r="B13317" s="8" t="str">
        <f>"9780769541822"</f>
        <v>9780769541822</v>
      </c>
      <c r="C13317" s="8" t="s">
        <v>9</v>
      </c>
    </row>
    <row r="13318" spans="1:3" x14ac:dyDescent="0.25">
      <c r="A13318" s="8" t="str">
        <f>"Proceedings - 6th International Symposium on Computational Intelligence and Design, ISCID 2013"</f>
        <v>Proceedings - 6th International Symposium on Computational Intelligence and Design, ISCID 2013</v>
      </c>
      <c r="B13318" s="8" t="str">
        <f>"9780769550794"</f>
        <v>9780769550794</v>
      </c>
      <c r="C13318" s="8" t="s">
        <v>9</v>
      </c>
    </row>
    <row r="13319" spans="1:3" x14ac:dyDescent="0.25">
      <c r="A13319" s="8" t="str">
        <f>"Proceedings - 6th International Symposium on Heating, Ventilating and Air Conditioning, ISHVAC 2009"</f>
        <v>Proceedings - 6th International Symposium on Heating, Ventilating and Air Conditioning, ISHVAC 2009</v>
      </c>
      <c r="B13319" s="8" t="str">
        <f>"9789628513895"</f>
        <v>9789628513895</v>
      </c>
      <c r="C13319" s="8" t="s">
        <v>343</v>
      </c>
    </row>
    <row r="13320" spans="1:3" x14ac:dyDescent="0.25">
      <c r="A13320" s="8" t="str">
        <f>"Proceedings - 6th International Symposium on Parallel Computing in Electrical Engineering, PARELEC 2011"</f>
        <v>Proceedings - 6th International Symposium on Parallel Computing in Electrical Engineering, PARELEC 2011</v>
      </c>
      <c r="B13320" s="8" t="str">
        <f>"9780769543970"</f>
        <v>9780769543970</v>
      </c>
      <c r="C13320" s="8" t="s">
        <v>9</v>
      </c>
    </row>
    <row r="13321" spans="1:3" x14ac:dyDescent="0.25">
      <c r="A13321" s="8" t="str">
        <f>"Proceedings - 6th International Workshop on Discrete Event Systems, WODES 2002"</f>
        <v>Proceedings - 6th International Workshop on Discrete Event Systems, WODES 2002</v>
      </c>
      <c r="B13321" s="8" t="str">
        <f>"9780769516837"</f>
        <v>9780769516837</v>
      </c>
      <c r="C13321" s="8" t="s">
        <v>105</v>
      </c>
    </row>
    <row r="13322" spans="1:3" x14ac:dyDescent="0.25">
      <c r="A13322" s="8" t="str">
        <f>"Proceedings - 6th International Workshop on Enterprise Networking and Computing in Healthcare Industry, Healthcom 2004"</f>
        <v>Proceedings - 6th International Workshop on Enterprise Networking and Computing in Healthcare Industry, Healthcom 2004</v>
      </c>
      <c r="B13322" s="8" t="str">
        <f>"9780780384538"</f>
        <v>9780780384538</v>
      </c>
      <c r="C13322" s="8" t="s">
        <v>105</v>
      </c>
    </row>
    <row r="13323" spans="1:3" x14ac:dyDescent="0.25">
      <c r="A13323" s="8" t="str">
        <f>"Proceedings - 6th International Workshop on Groupware, CRIWG 2000"</f>
        <v>Proceedings - 6th International Workshop on Groupware, CRIWG 2000</v>
      </c>
      <c r="B13323" s="8" t="str">
        <f>"9780769508283"</f>
        <v>9780769508283</v>
      </c>
      <c r="C13323" s="8" t="s">
        <v>105</v>
      </c>
    </row>
    <row r="13324" spans="1:3" x14ac:dyDescent="0.25">
      <c r="A13324" s="8" t="str">
        <f>"Proceedings - 6th Latin-American Symposium on Dependable Computing, LADC 2013"</f>
        <v>Proceedings - 6th Latin-American Symposium on Dependable Computing, LADC 2013</v>
      </c>
      <c r="B13324" s="8" t="str">
        <f>"9780769549620"</f>
        <v>9780769549620</v>
      </c>
      <c r="C13324" s="8" t="s">
        <v>9</v>
      </c>
    </row>
    <row r="13325" spans="1:3" x14ac:dyDescent="0.25">
      <c r="A13325" s="8" t="str">
        <f>"Proceedings - 6th Russian-Korean International Symposium on Science and Technology, KORUS 2002"</f>
        <v>Proceedings - 6th Russian-Korean International Symposium on Science and Technology, KORUS 2002</v>
      </c>
      <c r="B13325" s="8" t="str">
        <f>"9780780374270"</f>
        <v>9780780374270</v>
      </c>
      <c r="C13325" s="8" t="s">
        <v>105</v>
      </c>
    </row>
    <row r="13326" spans="1:3" x14ac:dyDescent="0.25">
      <c r="A13326" s="8" t="str">
        <f>"Proceedings - 6th Workshop on Positioning, Navigation and Communication, WPNC 2009"</f>
        <v>Proceedings - 6th Workshop on Positioning, Navigation and Communication, WPNC 2009</v>
      </c>
      <c r="B13326" s="8" t="str">
        <f>"9781424432936"</f>
        <v>9781424432936</v>
      </c>
      <c r="C13326" s="8" t="s">
        <v>9</v>
      </c>
    </row>
    <row r="13327" spans="1:3" x14ac:dyDescent="0.25">
      <c r="A13327" s="8" t="str">
        <f>"Proceedings - 6th World Wireless Congress, WWC"</f>
        <v>Proceedings - 6th World Wireless Congress, WWC</v>
      </c>
      <c r="B13327" s="8" t="str">
        <f>"-"</f>
        <v>-</v>
      </c>
      <c r="C13327" s="8" t="s">
        <v>953</v>
      </c>
    </row>
    <row r="13328" spans="1:3" x14ac:dyDescent="0.25">
      <c r="A13328" s="8" t="str">
        <f>"Proceedings - 7th ACIS International Conference on Software Engineering Research, Management and Applications, SERA09"</f>
        <v>Proceedings - 7th ACIS International Conference on Software Engineering Research, Management and Applications, SERA09</v>
      </c>
      <c r="B13328" s="8" t="str">
        <f>"9780769539034"</f>
        <v>9780769539034</v>
      </c>
      <c r="C13328" s="8" t="s">
        <v>9</v>
      </c>
    </row>
    <row r="13329" spans="1:3" x14ac:dyDescent="0.25">
      <c r="A13329" s="8" t="str">
        <f>"Proceedings - 7th Asia and South Pacific Design Automation Conference, 15th International Conference on VLSI Design, ASP-DAC/VLSI Design 2002"</f>
        <v>Proceedings - 7th Asia and South Pacific Design Automation Conference, 15th International Conference on VLSI Design, ASP-DAC/VLSI Design 2002</v>
      </c>
      <c r="B13329" s="8" t="str">
        <f>"9780769514413"</f>
        <v>9780769514413</v>
      </c>
      <c r="C13329" s="8" t="s">
        <v>105</v>
      </c>
    </row>
    <row r="13330" spans="1:3" x14ac:dyDescent="0.25">
      <c r="A13330" s="8" t="str">
        <f>"Proceedings - 7th Australian Communications Theory Workshop, 2006"</f>
        <v>Proceedings - 7th Australian Communications Theory Workshop, 2006</v>
      </c>
      <c r="B13330" s="8" t="str">
        <f>"-"</f>
        <v>-</v>
      </c>
      <c r="C13330" s="8" t="s">
        <v>9</v>
      </c>
    </row>
    <row r="13331" spans="1:3" x14ac:dyDescent="0.25">
      <c r="A13331" s="8" t="str">
        <f>"Proceedings - 7th Brazilian Symposium on Software Components, Architectures and Reuse, SBCARs 2013 - In Conjunction with CBSoft 2013 - 4th Brazilian Conference on Software: Theory and Practice"</f>
        <v>Proceedings - 7th Brazilian Symposium on Software Components, Architectures and Reuse, SBCARs 2013 - In Conjunction with CBSoft 2013 - 4th Brazilian Conference on Software: Theory and Practice</v>
      </c>
      <c r="B13331" s="8" t="str">
        <f>"9780769551562"</f>
        <v>9780769551562</v>
      </c>
      <c r="C13331" s="8" t="s">
        <v>9</v>
      </c>
    </row>
    <row r="13332" spans="1:3" x14ac:dyDescent="0.25">
      <c r="A13332" s="8" t="str">
        <f>"Proceedings - 7th ChinaGrid Annual Conference, ChinaGrid 2012"</f>
        <v>Proceedings - 7th ChinaGrid Annual Conference, ChinaGrid 2012</v>
      </c>
      <c r="B13332" s="8" t="str">
        <f>"9780769548166"</f>
        <v>9780769548166</v>
      </c>
      <c r="C13332" s="8" t="s">
        <v>9</v>
      </c>
    </row>
    <row r="13333" spans="1:3" x14ac:dyDescent="0.25">
      <c r="A13333" s="8" t="str">
        <f>"Proceedings - 7th Computer Information Systems and Industrial Management Applications, CISIM 2008"</f>
        <v>Proceedings - 7th Computer Information Systems and Industrial Management Applications, CISIM 2008</v>
      </c>
      <c r="B13333" s="8" t="str">
        <f>"9780769531847"</f>
        <v>9780769531847</v>
      </c>
      <c r="C13333" s="8" t="s">
        <v>9</v>
      </c>
    </row>
    <row r="13334" spans="1:3" x14ac:dyDescent="0.25">
      <c r="A13334" s="8" t="str">
        <f>"Proceedings - 7th European Dependable Computing Conference, EDCC-7"</f>
        <v>Proceedings - 7th European Dependable Computing Conference, EDCC-7</v>
      </c>
      <c r="B13334" s="8" t="str">
        <f>"9780769531380"</f>
        <v>9780769531380</v>
      </c>
      <c r="C13334" s="8" t="s">
        <v>9</v>
      </c>
    </row>
    <row r="13335" spans="1:3" x14ac:dyDescent="0.25">
      <c r="A13335" s="8" t="str">
        <f>"Proceedings - 7th IEEE International Conference on e-Science Workshops, eScienceW 2011"</f>
        <v>Proceedings - 7th IEEE International Conference on e-Science Workshops, eScienceW 2011</v>
      </c>
      <c r="B13335" s="8" t="str">
        <f>"9780769545981"</f>
        <v>9780769545981</v>
      </c>
      <c r="C13335" s="8" t="s">
        <v>9</v>
      </c>
    </row>
    <row r="13336" spans="1:3" x14ac:dyDescent="0.25">
      <c r="A13336" s="8" t="str">
        <f>"Proceedings - 7th IEEE International Symposium on Mixed and Augmented Reality 2008, ISMAR 2008"</f>
        <v>Proceedings - 7th IEEE International Symposium on Mixed and Augmented Reality 2008, ISMAR 2008</v>
      </c>
      <c r="B13336" s="8" t="str">
        <f>"9781424428403"</f>
        <v>9781424428403</v>
      </c>
      <c r="C13336" s="8" t="s">
        <v>9</v>
      </c>
    </row>
    <row r="13337" spans="1:3" x14ac:dyDescent="0.25">
      <c r="A13337" s="8" t="str">
        <f>"Proceedings - 7th IEEE/ACIS International Conference on Computer and Information Science, IEEE/ACIS ICIS 2008, In conjunction with 2nd IEEE/ACIS Int. Workshop on e-Activity, IEEE/ACIS IWEA 2008"</f>
        <v>Proceedings - 7th IEEE/ACIS International Conference on Computer and Information Science, IEEE/ACIS ICIS 2008, In conjunction with 2nd IEEE/ACIS Int. Workshop on e-Activity, IEEE/ACIS IWEA 2008</v>
      </c>
      <c r="B13337" s="8" t="str">
        <f>"9780769531311"</f>
        <v>9780769531311</v>
      </c>
      <c r="C13337" s="8" t="s">
        <v>9</v>
      </c>
    </row>
    <row r="13338" spans="1:3" x14ac:dyDescent="0.25">
      <c r="A13338" s="8" t="str">
        <f>"Proceedings - 7th International Conference on Advanced Software Engineering and Its Applications, ASEA 2014"</f>
        <v>Proceedings - 7th International Conference on Advanced Software Engineering and Its Applications, ASEA 2014</v>
      </c>
      <c r="B13338" s="8" t="str">
        <f>"9781479977697"</f>
        <v>9781479977697</v>
      </c>
      <c r="C13338" s="8" t="s">
        <v>105</v>
      </c>
    </row>
    <row r="13339" spans="1:3" x14ac:dyDescent="0.25">
      <c r="A13339" s="8" t="str">
        <f>"Proceedings - 7th International Conference on Application of Concurrency to System Design, ACSD 2007"</f>
        <v>Proceedings - 7th International Conference on Application of Concurrency to System Design, ACSD 2007</v>
      </c>
      <c r="B13339" s="8" t="str">
        <f>"9780769529028"</f>
        <v>9780769529028</v>
      </c>
      <c r="C13339" s="8" t="s">
        <v>9</v>
      </c>
    </row>
    <row r="13340" spans="1:3" x14ac:dyDescent="0.25">
      <c r="A13340" s="8" t="str">
        <f>"Proceedings - 7th International Conference on Composition-Based Software Systems, ICCBSS 2008"</f>
        <v>Proceedings - 7th International Conference on Composition-Based Software Systems, ICCBSS 2008</v>
      </c>
      <c r="B13340" s="8" t="str">
        <f>"9780769530918"</f>
        <v>9780769530918</v>
      </c>
      <c r="C13340" s="8" t="s">
        <v>9</v>
      </c>
    </row>
    <row r="13341" spans="1:3" x14ac:dyDescent="0.25">
      <c r="A13341" s="8" t="str">
        <f>"Proceedings - 7th International Conference on Control and Automation, CA 2014"</f>
        <v>Proceedings - 7th International Conference on Control and Automation, CA 2014</v>
      </c>
      <c r="B13341" s="8" t="str">
        <f>"9781479982066"</f>
        <v>9781479982066</v>
      </c>
      <c r="C13341" s="8" t="s">
        <v>105</v>
      </c>
    </row>
    <row r="13342" spans="1:3" x14ac:dyDescent="0.25">
      <c r="A13342" s="8" t="str">
        <f>"Proceedings - 7th International Conference on Database Systems for Advanced Applications, DASFAA 2001"</f>
        <v>Proceedings - 7th International Conference on Database Systems for Advanced Applications, DASFAA 2001</v>
      </c>
      <c r="B13342" s="8" t="str">
        <f>"9780769509969"</f>
        <v>9780769509969</v>
      </c>
      <c r="C13342" s="8" t="s">
        <v>105</v>
      </c>
    </row>
    <row r="13343" spans="1:3" x14ac:dyDescent="0.25">
      <c r="A13343" s="8" t="str">
        <f>"Proceedings - 7th International Conference on Digital Content, Multimedia Technology and Its Applications, IDCTA 2011"</f>
        <v>Proceedings - 7th International Conference on Digital Content, Multimedia Technology and Its Applications, IDCTA 2011</v>
      </c>
      <c r="B13343" s="8" t="str">
        <f>"9788988678466"</f>
        <v>9788988678466</v>
      </c>
      <c r="C13343" s="8" t="s">
        <v>9</v>
      </c>
    </row>
    <row r="13344" spans="1:3" x14ac:dyDescent="0.25">
      <c r="A13344" s="8" t="str">
        <f>"Proceedings - 7th International Conference on Grid and Cooperative Computing, GCC 2008"</f>
        <v>Proceedings - 7th International Conference on Grid and Cooperative Computing, GCC 2008</v>
      </c>
      <c r="B13344" s="8" t="str">
        <f>"9780769534497"</f>
        <v>9780769534497</v>
      </c>
      <c r="C13344" s="8" t="s">
        <v>9</v>
      </c>
    </row>
    <row r="13345" spans="1:3" x14ac:dyDescent="0.25">
      <c r="A13345" s="8" t="str">
        <f>"Proceedings - 7th International Conference on Hybrid Intelligent Systems, HIS 2007"</f>
        <v>Proceedings - 7th International Conference on Hybrid Intelligent Systems, HIS 2007</v>
      </c>
      <c r="B13345" s="8" t="str">
        <f>"9780769529462"</f>
        <v>9780769529462</v>
      </c>
      <c r="C13345" s="8" t="s">
        <v>9</v>
      </c>
    </row>
    <row r="13346" spans="1:3" x14ac:dyDescent="0.25">
      <c r="A13346" s="8" t="str">
        <f>"Proceedings - 7th International Conference on Information Processing and Management, ICIPM 2011"</f>
        <v>Proceedings - 7th International Conference on Information Processing and Management, ICIPM 2011</v>
      </c>
      <c r="B13346" s="8" t="str">
        <f>"9788988678442"</f>
        <v>9788988678442</v>
      </c>
      <c r="C13346" s="8" t="s">
        <v>9</v>
      </c>
    </row>
    <row r="13347" spans="1:3" x14ac:dyDescent="0.25">
      <c r="A13347" s="8" t="str">
        <f>"Proceedings - 7th International Conference on Innovative Mobile and Internet Services in Ubiquitous Computing, IMIS 2013"</f>
        <v>Proceedings - 7th International Conference on Innovative Mobile and Internet Services in Ubiquitous Computing, IMIS 2013</v>
      </c>
      <c r="B13347" s="8" t="str">
        <f>"9780769549743"</f>
        <v>9780769549743</v>
      </c>
      <c r="C13347" s="8" t="s">
        <v>9</v>
      </c>
    </row>
    <row r="13348" spans="1:3" x14ac:dyDescent="0.25">
      <c r="A13348" s="8" t="str">
        <f>"Proceedings - 7th International Conference on Intelligent Computation Technology and Automation, ICICTA 2014"</f>
        <v>Proceedings - 7th International Conference on Intelligent Computation Technology and Automation, ICICTA 2014</v>
      </c>
      <c r="B13348" s="8" t="str">
        <f>"9781479966363"</f>
        <v>9781479966363</v>
      </c>
      <c r="C13348" s="8" t="s">
        <v>105</v>
      </c>
    </row>
    <row r="13349" spans="1:3" x14ac:dyDescent="0.25">
      <c r="A13349" s="8" t="str">
        <f>"Proceedings - 7th International Conference on Intelligent Information Hiding and Multimedia Signal Processing, IIHMSP 2011"</f>
        <v>Proceedings - 7th International Conference on Intelligent Information Hiding and Multimedia Signal Processing, IIHMSP 2011</v>
      </c>
      <c r="B13349" s="8" t="str">
        <f>"9780769545172"</f>
        <v>9780769545172</v>
      </c>
      <c r="C13349" s="8" t="s">
        <v>9</v>
      </c>
    </row>
    <row r="13350" spans="1:3" x14ac:dyDescent="0.25">
      <c r="A13350" s="8" t="str">
        <f>"Proceedings - 7th International Conference on IT Security Incident Management and IT Forensics, IMF 2013"</f>
        <v>Proceedings - 7th International Conference on IT Security Incident Management and IT Forensics, IMF 2013</v>
      </c>
      <c r="B13350" s="8" t="str">
        <f>"9780769549552"</f>
        <v>9780769549552</v>
      </c>
      <c r="C13350" s="8" t="s">
        <v>9</v>
      </c>
    </row>
    <row r="13351" spans="1:3" x14ac:dyDescent="0.25">
      <c r="A13351" s="8" t="str">
        <f>"Proceedings - 7th International Conference on Machine Learning and Applications, ICMLA 2008"</f>
        <v>Proceedings - 7th International Conference on Machine Learning and Applications, ICMLA 2008</v>
      </c>
      <c r="B13351" s="8" t="str">
        <f>"9780769534954"</f>
        <v>9780769534954</v>
      </c>
      <c r="C13351" s="8" t="s">
        <v>9</v>
      </c>
    </row>
    <row r="13352" spans="1:3" x14ac:dyDescent="0.25">
      <c r="A13352" s="8" t="str">
        <f>"Proceedings - 7th International Conference on Mobile Business, ICMB 2008, Creativity and Convergence"</f>
        <v>Proceedings - 7th International Conference on Mobile Business, ICMB 2008, Creativity and Convergence</v>
      </c>
      <c r="B13352" s="8" t="str">
        <f>"9780769532608"</f>
        <v>9780769532608</v>
      </c>
      <c r="C13352" s="8" t="s">
        <v>9</v>
      </c>
    </row>
    <row r="13353" spans="1:3" x14ac:dyDescent="0.25">
      <c r="A13353" s="8" t="str">
        <f>"Proceedings - 7th International Conference on Networked Computing and Advanced Information Management, NCM 2011"</f>
        <v>Proceedings - 7th International Conference on Networked Computing and Advanced Information Management, NCM 2011</v>
      </c>
      <c r="B13353" s="8" t="str">
        <f>"9788988678367"</f>
        <v>9788988678367</v>
      </c>
      <c r="C13353" s="8" t="s">
        <v>9</v>
      </c>
    </row>
    <row r="13354" spans="1:3" x14ac:dyDescent="0.25">
      <c r="A13354" s="8" t="str">
        <f>"Proceedings - 7th International Conference on Networked Computing, INC2011"</f>
        <v>Proceedings - 7th International Conference on Networked Computing, INC2011</v>
      </c>
      <c r="B13354" s="8" t="str">
        <f>"9788988678428"</f>
        <v>9788988678428</v>
      </c>
      <c r="C13354" s="8" t="s">
        <v>9</v>
      </c>
    </row>
    <row r="13355" spans="1:3" x14ac:dyDescent="0.25">
      <c r="A13355" s="8" t="str">
        <f>"Proceedings - 7th International Conference on Networking, ICN 2008"</f>
        <v>Proceedings - 7th International Conference on Networking, ICN 2008</v>
      </c>
      <c r="B13355" s="8" t="str">
        <f>"9780769531069"</f>
        <v>9780769531069</v>
      </c>
      <c r="C13355" s="8" t="s">
        <v>9</v>
      </c>
    </row>
    <row r="13356" spans="1:3" x14ac:dyDescent="0.25">
      <c r="A13356" s="8" t="str">
        <f>"Proceedings - 7th International Conference on Real-Time Computing Systems and Applications, RTCSA 2000"</f>
        <v>Proceedings - 7th International Conference on Real-Time Computing Systems and Applications, RTCSA 2000</v>
      </c>
      <c r="B13356" s="8" t="str">
        <f>"9780769509303"</f>
        <v>9780769509303</v>
      </c>
      <c r="C13356" s="8" t="s">
        <v>105</v>
      </c>
    </row>
    <row r="13357" spans="1:3" x14ac:dyDescent="0.25">
      <c r="A13357" s="8" t="str">
        <f>"Proceedings - 7th International Conference on Semantics, Knowledge, and Grids, SKG 2011"</f>
        <v>Proceedings - 7th International Conference on Semantics, Knowledge, and Grids, SKG 2011</v>
      </c>
      <c r="B13357" s="8" t="str">
        <f>"9780769545158"</f>
        <v>9780769545158</v>
      </c>
      <c r="C13357" s="8" t="s">
        <v>9</v>
      </c>
    </row>
    <row r="13358" spans="1:3" x14ac:dyDescent="0.25">
      <c r="A13358" s="8" t="str">
        <f>"Proceedings - 7th International Conference on Signal Image Technology and Internet-Based Systems, SITIS 2011"</f>
        <v>Proceedings - 7th International Conference on Signal Image Technology and Internet-Based Systems, SITIS 2011</v>
      </c>
      <c r="B13358" s="8" t="str">
        <f>"9780769546353"</f>
        <v>9780769546353</v>
      </c>
      <c r="C13358" s="8" t="s">
        <v>9</v>
      </c>
    </row>
    <row r="13359" spans="1:3" x14ac:dyDescent="0.25">
      <c r="A13359" s="8" t="str">
        <f>"Proceedings - 7th International Conference on Signal Processing, Image Processing and Pattern Recognition, SIP 2014"</f>
        <v>Proceedings - 7th International Conference on Signal Processing, Image Processing and Pattern Recognition, SIP 2014</v>
      </c>
      <c r="B13359" s="8" t="str">
        <f>"9781479977697"</f>
        <v>9781479977697</v>
      </c>
      <c r="C13359" s="8" t="s">
        <v>105</v>
      </c>
    </row>
    <row r="13360" spans="1:3" x14ac:dyDescent="0.25">
      <c r="A13360" s="8" t="str">
        <f>"Proceedings - 7th International Conference on Software Security and Reliability Companion, SERE-C 2013"</f>
        <v>Proceedings - 7th International Conference on Software Security and Reliability Companion, SERE-C 2013</v>
      </c>
      <c r="B13360" s="8" t="str">
        <f>"-"</f>
        <v>-</v>
      </c>
      <c r="C13360" s="8" t="s">
        <v>9</v>
      </c>
    </row>
    <row r="13361" spans="1:3" x14ac:dyDescent="0.25">
      <c r="A13361" s="8" t="str">
        <f>"Proceedings - 7th International Conference on Software Security and Reliability, SERE 2013"</f>
        <v>Proceedings - 7th International Conference on Software Security and Reliability, SERE 2013</v>
      </c>
      <c r="B13361" s="8" t="str">
        <f>"-"</f>
        <v>-</v>
      </c>
      <c r="C13361" s="8" t="s">
        <v>9</v>
      </c>
    </row>
    <row r="13362" spans="1:3" x14ac:dyDescent="0.25">
      <c r="A13362" s="8" t="str">
        <f>"Proceedings - 7th International Conference on the Quality of Information and Communications Technology, QUATIC 2010"</f>
        <v>Proceedings - 7th International Conference on the Quality of Information and Communications Technology, QUATIC 2010</v>
      </c>
      <c r="B13362" s="8" t="str">
        <f>"9780769542416"</f>
        <v>9780769542416</v>
      </c>
      <c r="C13362" s="8" t="s">
        <v>9</v>
      </c>
    </row>
    <row r="13363" spans="1:3" x14ac:dyDescent="0.25">
      <c r="A13363" s="8" t="str">
        <f>"Proceedings - 7th International Conference on the Quantitative Evaluation of Systems, QEST 2010"</f>
        <v>Proceedings - 7th International Conference on the Quantitative Evaluation of Systems, QEST 2010</v>
      </c>
      <c r="B13363" s="8" t="str">
        <f>"9780769541884"</f>
        <v>9780769541884</v>
      </c>
      <c r="C13363" s="8" t="s">
        <v>21</v>
      </c>
    </row>
    <row r="13364" spans="1:3" x14ac:dyDescent="0.25">
      <c r="A13364" s="8" t="str">
        <f>"Proceedings - 7th International Conference on u- and e-Service, Science and Technology, UNESST 2014"</f>
        <v>Proceedings - 7th International Conference on u- and e-Service, Science and Technology, UNESST 2014</v>
      </c>
      <c r="B13364" s="8" t="str">
        <f>"9781479977673"</f>
        <v>9781479977673</v>
      </c>
      <c r="C13364" s="8" t="s">
        <v>105</v>
      </c>
    </row>
    <row r="13365" spans="1:3" x14ac:dyDescent="0.25">
      <c r="A13365" s="8" t="str">
        <f>"Proceedings - 7th International Congress on Environmental Modelling and Software: Bold Visions for Environmental Modeling, iEMSs 2014"</f>
        <v>Proceedings - 7th International Congress on Environmental Modelling and Software: Bold Visions for Environmental Modeling, iEMSs 2014</v>
      </c>
      <c r="B13365" s="8" t="str">
        <f>"-"</f>
        <v>-</v>
      </c>
      <c r="C13365" s="8" t="s">
        <v>1896</v>
      </c>
    </row>
    <row r="13366" spans="1:3" x14ac:dyDescent="0.25">
      <c r="A13366" s="8" t="str">
        <f>"Proceedings - 7th International Workshop on Groupware, CRIWG 2001"</f>
        <v>Proceedings - 7th International Workshop on Groupware, CRIWG 2001</v>
      </c>
      <c r="B13366" s="8" t="str">
        <f>"9780769513515"</f>
        <v>9780769513515</v>
      </c>
      <c r="C13366" s="8" t="s">
        <v>105</v>
      </c>
    </row>
    <row r="13367" spans="1:3" x14ac:dyDescent="0.25">
      <c r="A13367" s="8" t="str">
        <f>"Proceedings - 7th International Workshop on Model-based Methodologies for Pervasive and Embedded Software, MOMPES 2010"</f>
        <v>Proceedings - 7th International Workshop on Model-based Methodologies for Pervasive and Embedded Software, MOMPES 2010</v>
      </c>
      <c r="B13367" s="8" t="str">
        <f>"9781450301237"</f>
        <v>9781450301237</v>
      </c>
      <c r="C13367" s="8" t="s">
        <v>21</v>
      </c>
    </row>
    <row r="13368" spans="1:3" x14ac:dyDescent="0.25">
      <c r="A13368" s="8" t="str">
        <f>"Proceedings - 8th EUROSIM Congress on Modelling and Simulation, EUROSIM 2013"</f>
        <v>Proceedings - 8th EUROSIM Congress on Modelling and Simulation, EUROSIM 2013</v>
      </c>
      <c r="B13368" s="8" t="str">
        <f>"9780769550732"</f>
        <v>9780769550732</v>
      </c>
      <c r="C13368" s="8" t="s">
        <v>105</v>
      </c>
    </row>
    <row r="13369" spans="1:3" x14ac:dyDescent="0.25">
      <c r="A13369" s="8" t="str">
        <f>"Proceedings - 8th IEEE European Conference on Web Services, ECOWS 2010"</f>
        <v>Proceedings - 8th IEEE European Conference on Web Services, ECOWS 2010</v>
      </c>
      <c r="B13369" s="8" t="str">
        <f>"9780769543109"</f>
        <v>9780769543109</v>
      </c>
      <c r="C13369" s="8" t="s">
        <v>9</v>
      </c>
    </row>
    <row r="13370" spans="1:3" x14ac:dyDescent="0.25">
      <c r="A13370" s="8" t="str">
        <f>"Proceedings - 8th IEEE International Conference and Workshops on Engineering of Autonomic and Autonomous Systems, EASe 2011"</f>
        <v>Proceedings - 8th IEEE International Conference and Workshops on Engineering of Autonomic and Autonomous Systems, EASe 2011</v>
      </c>
      <c r="B13370" s="8" t="str">
        <f>"9780769543802"</f>
        <v>9780769543802</v>
      </c>
      <c r="C13370" s="8" t="s">
        <v>9</v>
      </c>
    </row>
    <row r="13371" spans="1:3" x14ac:dyDescent="0.25">
      <c r="A13371" s="8" t="str">
        <f>"Proceedings - 8th IEEE International Conference on Computer and Information Technology Workshops, CIT Workshops 2008"</f>
        <v>Proceedings - 8th IEEE International Conference on Computer and Information Technology Workshops, CIT Workshops 2008</v>
      </c>
      <c r="B13371" s="8" t="str">
        <f>"9780769533391"</f>
        <v>9780769533391</v>
      </c>
      <c r="C13371" s="8" t="s">
        <v>9</v>
      </c>
    </row>
    <row r="13372" spans="1:3" x14ac:dyDescent="0.25">
      <c r="A13372" s="8" t="str">
        <f>"Proceedings - 8th IEEE International Conference on Mobile Ad-hoc and Sensor Systems, MASS 2011"</f>
        <v>Proceedings - 8th IEEE International Conference on Mobile Ad-hoc and Sensor Systems, MASS 2011</v>
      </c>
      <c r="B13372" s="8" t="str">
        <f>"9780769544694"</f>
        <v>9780769544694</v>
      </c>
      <c r="C13372" s="8" t="s">
        <v>9</v>
      </c>
    </row>
    <row r="13373" spans="1:3" x14ac:dyDescent="0.25">
      <c r="A13373" s="8" t="str">
        <f>"Proceedings - 8th IEEE International Working Conference on Source Code Analysis and Manipulation, SCAM 2008"</f>
        <v>Proceedings - 8th IEEE International Working Conference on Source Code Analysis and Manipulation, SCAM 2008</v>
      </c>
      <c r="B13373" s="8" t="str">
        <f>"9780769533537"</f>
        <v>9780769533537</v>
      </c>
      <c r="C13373" s="8" t="s">
        <v>9</v>
      </c>
    </row>
    <row r="13374" spans="1:3" x14ac:dyDescent="0.25">
      <c r="A13374" s="8" t="str">
        <f>"Proceedings - 8th IEEE Workshop on Mobile Computing Systems and Applications, HOTMOBILE 2007"</f>
        <v>Proceedings - 8th IEEE Workshop on Mobile Computing Systems and Applications, HOTMOBILE 2007</v>
      </c>
      <c r="B13374" s="8" t="str">
        <f>"9780769530017"</f>
        <v>9780769530017</v>
      </c>
      <c r="C13374" s="8" t="s">
        <v>9</v>
      </c>
    </row>
    <row r="13375" spans="1:3" x14ac:dyDescent="0.25">
      <c r="A13375" s="8" t="str">
        <f>"Proceedings - 8th IEEE Workshop on Signal Propagation on Interconnects"</f>
        <v>Proceedings - 8th IEEE Workshop on Signal Propagation on Interconnects</v>
      </c>
      <c r="B13375" s="8" t="str">
        <f>"9780780384705"</f>
        <v>9780780384705</v>
      </c>
      <c r="C13375" s="8" t="s">
        <v>105</v>
      </c>
    </row>
    <row r="13376" spans="1:3" x14ac:dyDescent="0.25">
      <c r="A13376" s="8" t="str">
        <f>"Proceedings - 8th International Conference on Concrete Pavements: Innovations for Concrete Pavement: Technology Transfer for the Next Generation"</f>
        <v>Proceedings - 8th International Conference on Concrete Pavements: Innovations for Concrete Pavement: Technology Transfer for the Next Generation</v>
      </c>
      <c r="B13376" s="8" t="str">
        <f>"9780984065820"</f>
        <v>9780984065820</v>
      </c>
      <c r="C13376" s="8" t="s">
        <v>1605</v>
      </c>
    </row>
    <row r="13377" spans="1:3" x14ac:dyDescent="0.25">
      <c r="A13377" s="8" t="str">
        <f>"Proceedings - 8th International Conference on Database Systems for Advanced Applications, DASFAA 2003"</f>
        <v>Proceedings - 8th International Conference on Database Systems for Advanced Applications, DASFAA 2003</v>
      </c>
      <c r="B13377" s="8" t="str">
        <f>"9780769518954"</f>
        <v>9780769518954</v>
      </c>
      <c r="C13377" s="8" t="s">
        <v>105</v>
      </c>
    </row>
    <row r="13378" spans="1:3" x14ac:dyDescent="0.25">
      <c r="A13378" s="8" t="str">
        <f>"Proceedings - 8th International Conference on Future Generation Communication and Networking, FGCN 2014"</f>
        <v>Proceedings - 8th International Conference on Future Generation Communication and Networking, FGCN 2014</v>
      </c>
      <c r="B13378" s="8" t="str">
        <f>"9781479977802"</f>
        <v>9781479977802</v>
      </c>
      <c r="C13378" s="8" t="s">
        <v>105</v>
      </c>
    </row>
    <row r="13379" spans="1:3" x14ac:dyDescent="0.25">
      <c r="A13379" s="8" t="str">
        <f>"Proceedings - 8th International Conference on Hybrid Intelligent Systems, HIS 2008"</f>
        <v>Proceedings - 8th International Conference on Hybrid Intelligent Systems, HIS 2008</v>
      </c>
      <c r="B13379" s="8" t="str">
        <f>"9780769533261"</f>
        <v>9780769533261</v>
      </c>
      <c r="C13379" s="8" t="s">
        <v>9</v>
      </c>
    </row>
    <row r="13380" spans="1:3" x14ac:dyDescent="0.25">
      <c r="A13380" s="8" t="str">
        <f>"Proceedings - 8th International Conference on Intelligent Environments, IE 2012"</f>
        <v>Proceedings - 8th International Conference on Intelligent Environments, IE 2012</v>
      </c>
      <c r="B13380" s="8" t="str">
        <f>"9780769547411"</f>
        <v>9780769547411</v>
      </c>
      <c r="C13380" s="8" t="s">
        <v>9</v>
      </c>
    </row>
    <row r="13381" spans="1:3" x14ac:dyDescent="0.25">
      <c r="A13381" s="8" t="str">
        <f>"Proceedings - 8th International Conference on Intelligent Systems Design and Applications, ISDA 2008"</f>
        <v>Proceedings - 8th International Conference on Intelligent Systems Design and Applications, ISDA 2008</v>
      </c>
      <c r="B13381" s="8" t="str">
        <f>"9780769533827"</f>
        <v>9780769533827</v>
      </c>
      <c r="C13381" s="8" t="s">
        <v>9</v>
      </c>
    </row>
    <row r="13382" spans="1:3" x14ac:dyDescent="0.25">
      <c r="A13382" s="8" t="str">
        <f>"Proceedings - 8th International Conference on Software Security and Reliability - Companion, SERE-C 2014"</f>
        <v>Proceedings - 8th International Conference on Software Security and Reliability - Companion, SERE-C 2014</v>
      </c>
      <c r="B13382" s="8" t="str">
        <f>"9781479958436"</f>
        <v>9781479958436</v>
      </c>
      <c r="C13382" s="8" t="s">
        <v>105</v>
      </c>
    </row>
    <row r="13383" spans="1:3" x14ac:dyDescent="0.25">
      <c r="A13383" s="8" t="str">
        <f>"Proceedings - 8th International Conference on Software Security and Reliability, SERE 2014"</f>
        <v>Proceedings - 8th International Conference on Software Security and Reliability, SERE 2014</v>
      </c>
      <c r="B13383" s="8" t="str">
        <f>"9781479942961"</f>
        <v>9781479942961</v>
      </c>
      <c r="C13383" s="8" t="s">
        <v>105</v>
      </c>
    </row>
    <row r="13384" spans="1:3" x14ac:dyDescent="0.25">
      <c r="A13384" s="8" t="str">
        <f>"Proceedings - 8th International Conference on Web Engineering, ICWE 2008"</f>
        <v>Proceedings - 8th International Conference on Web Engineering, ICWE 2008</v>
      </c>
      <c r="B13384" s="8" t="str">
        <f>"9780769532615"</f>
        <v>9780769532615</v>
      </c>
      <c r="C13384" s="8" t="s">
        <v>9</v>
      </c>
    </row>
    <row r="13385" spans="1:3" x14ac:dyDescent="0.25">
      <c r="A13385" s="8" t="str">
        <f>"Proceedings - 8th International Symposium on Signal Processing and its Applications, ISSPA 2005"</f>
        <v>Proceedings - 8th International Symposium on Signal Processing and its Applications, ISSPA 2005</v>
      </c>
      <c r="B13385" s="8" t="str">
        <f>"9780780392434"</f>
        <v>9780780392434</v>
      </c>
      <c r="C13385" s="8" t="s">
        <v>9</v>
      </c>
    </row>
    <row r="13386" spans="1:3" x14ac:dyDescent="0.25">
      <c r="A13386" s="8" t="str">
        <f>"Proceedings - 8th International Workshop on Applications and Services in Wireless Networks, ASWN 2008"</f>
        <v>Proceedings - 8th International Workshop on Applications and Services in Wireless Networks, ASWN 2008</v>
      </c>
      <c r="B13386" s="8" t="str">
        <f>"9780769533896"</f>
        <v>9780769533896</v>
      </c>
      <c r="C13386" s="8" t="s">
        <v>9</v>
      </c>
    </row>
    <row r="13387" spans="1:3" x14ac:dyDescent="0.25">
      <c r="A13387" s="8" t="str">
        <f>"Proceedings - 8th International Workshop on Cooperative and Human Aspects of Software Engineering, CHASE 2015"</f>
        <v>Proceedings - 8th International Workshop on Cooperative and Human Aspects of Software Engineering, CHASE 2015</v>
      </c>
      <c r="B13387" s="8" t="str">
        <f>"9781479919345"</f>
        <v>9781479919345</v>
      </c>
      <c r="C13387" s="8" t="s">
        <v>105</v>
      </c>
    </row>
    <row r="13388" spans="1:3" x14ac:dyDescent="0.25">
      <c r="A13388" s="8" t="str">
        <f>"Proceedings - 8th International Workshop on Search-Based Software Testing, SBST 2015"</f>
        <v>Proceedings - 8th International Workshop on Search-Based Software Testing, SBST 2015</v>
      </c>
      <c r="B13388" s="8" t="str">
        <f>"9781479919345"</f>
        <v>9781479919345</v>
      </c>
      <c r="C13388" s="8" t="s">
        <v>105</v>
      </c>
    </row>
    <row r="13389" spans="1:3" x14ac:dyDescent="0.25">
      <c r="A13389" s="8" t="str">
        <f>"Proceedings - 8th International Workshop on Semantic and Social Media Adaptation and Personalization, SMAP 2013"</f>
        <v>Proceedings - 8th International Workshop on Semantic and Social Media Adaptation and Personalization, SMAP 2013</v>
      </c>
      <c r="B13389" s="8" t="str">
        <f>"9780769551326"</f>
        <v>9780769551326</v>
      </c>
      <c r="C13389" s="8" t="s">
        <v>9</v>
      </c>
    </row>
    <row r="13390" spans="1:3" x14ac:dyDescent="0.25">
      <c r="A13390" s="8" t="str">
        <f>"Proceedings - 8th Symposium on String Processing and Information Retrieval, SPIRE 2001"</f>
        <v>Proceedings - 8th Symposium on String Processing and Information Retrieval, SPIRE 2001</v>
      </c>
      <c r="B13390" s="8" t="str">
        <f>"9780769511924"</f>
        <v>9780769511924</v>
      </c>
      <c r="C13390" s="8" t="s">
        <v>105</v>
      </c>
    </row>
    <row r="13391" spans="1:3" x14ac:dyDescent="0.25">
      <c r="A13391" s="8" t="str">
        <f>"Proceedings - 9th Annual IEEE International Conference and Workshop on the Engineering of Computer-Based Systems, ECBS 2002"</f>
        <v>Proceedings - 9th Annual IEEE International Conference and Workshop on the Engineering of Computer-Based Systems, ECBS 2002</v>
      </c>
      <c r="B13391" s="8" t="str">
        <f>"9780769515496"</f>
        <v>9780769515496</v>
      </c>
      <c r="C13391" s="8" t="s">
        <v>105</v>
      </c>
    </row>
    <row r="13392" spans="1:3" x14ac:dyDescent="0.25">
      <c r="A13392" s="8" t="str">
        <f>"Proceedings - 9th Annual IEEE Symposium on Field-Programmable Custom Computing Machines, FCCM 2001"</f>
        <v>Proceedings - 9th Annual IEEE Symposium on Field-Programmable Custom Computing Machines, FCCM 2001</v>
      </c>
      <c r="B13392" s="8" t="str">
        <f>"9780769526676"</f>
        <v>9780769526676</v>
      </c>
      <c r="C13392" s="8" t="s">
        <v>105</v>
      </c>
    </row>
    <row r="13393" spans="1:3" x14ac:dyDescent="0.25">
      <c r="A13393" s="8" t="s">
        <v>2077</v>
      </c>
      <c r="B13393" s="8" t="str">
        <f>"-"</f>
        <v>-</v>
      </c>
      <c r="C13393" s="8" t="s">
        <v>1266</v>
      </c>
    </row>
    <row r="13394" spans="1:3" x14ac:dyDescent="0.25">
      <c r="A13394" s="8" t="str">
        <f>"Proceedings - 9th Brazilian Symposium on Collaborative Systems, SBSC 2012"</f>
        <v>Proceedings - 9th Brazilian Symposium on Collaborative Systems, SBSC 2012</v>
      </c>
      <c r="B13394" s="8" t="str">
        <f>"9780769548906"</f>
        <v>9780769548906</v>
      </c>
      <c r="C13394" s="8" t="s">
        <v>9</v>
      </c>
    </row>
    <row r="13395" spans="1:3" x14ac:dyDescent="0.25">
      <c r="A13395" s="8" t="str">
        <f>"Proceedings - 9th Euromicro Workshop on Parallel and Distributed Processing, PDP 2001"</f>
        <v>Proceedings - 9th Euromicro Workshop on Parallel and Distributed Processing, PDP 2001</v>
      </c>
      <c r="B13395" s="8" t="str">
        <f>"9780769509877"</f>
        <v>9780769509877</v>
      </c>
      <c r="C13395" s="8" t="s">
        <v>105</v>
      </c>
    </row>
    <row r="13396" spans="1:3" x14ac:dyDescent="0.25">
      <c r="A13396" s="8" t="str">
        <f>"Proceedings - 9th European Dependable Computing Conference, EDCC 2012"</f>
        <v>Proceedings - 9th European Dependable Computing Conference, EDCC 2012</v>
      </c>
      <c r="B13396" s="8" t="str">
        <f>"9780769546711"</f>
        <v>9780769546711</v>
      </c>
      <c r="C13396" s="8" t="s">
        <v>21</v>
      </c>
    </row>
    <row r="13397" spans="1:3" x14ac:dyDescent="0.25">
      <c r="A13397" s="8" t="str">
        <f>"Proceedings - 9th IEEE European Conference on Web Services, ECOWS 2011"</f>
        <v>Proceedings - 9th IEEE European Conference on Web Services, ECOWS 2011</v>
      </c>
      <c r="B13397" s="8" t="str">
        <f>"9780769545363"</f>
        <v>9780769545363</v>
      </c>
      <c r="C13397" s="8" t="s">
        <v>9</v>
      </c>
    </row>
    <row r="13398" spans="1:3" x14ac:dyDescent="0.25">
      <c r="A13398" s="8" t="str">
        <f>"Proceedings - 9th IEEE International Conference on E-Business Engineering, ICEBE 2012"</f>
        <v>Proceedings - 9th IEEE International Conference on E-Business Engineering, ICEBE 2012</v>
      </c>
      <c r="B13398" s="8" t="str">
        <f>"9780769548098"</f>
        <v>9780769548098</v>
      </c>
      <c r="C13398" s="8" t="s">
        <v>9</v>
      </c>
    </row>
    <row r="13399" spans="1:3" x14ac:dyDescent="0.25">
      <c r="A13399" s="8" t="str">
        <f>"Proceedings - 9th IEEE International Conference on Networking, Architecture, and Storage, NAS 2014"</f>
        <v>Proceedings - 9th IEEE International Conference on Networking, Architecture, and Storage, NAS 2014</v>
      </c>
      <c r="B13399" s="8" t="str">
        <f>"9781479940875"</f>
        <v>9781479940875</v>
      </c>
      <c r="C13399" s="8" t="s">
        <v>105</v>
      </c>
    </row>
    <row r="13400" spans="1:3" x14ac:dyDescent="0.25">
      <c r="A13400" s="8" t="str">
        <f>"Proceedings - 9th IEEE International On-Line Testing Symposium, IOLTS 2003"</f>
        <v>Proceedings - 9th IEEE International On-Line Testing Symposium, IOLTS 2003</v>
      </c>
      <c r="B13400" s="8" t="str">
        <f>"9780769519685"</f>
        <v>9780769519685</v>
      </c>
      <c r="C13400" s="8" t="s">
        <v>105</v>
      </c>
    </row>
    <row r="13401" spans="1:3" x14ac:dyDescent="0.25">
      <c r="A13401" s="8" t="str">
        <f>"Proceedings - 9th IEEE International Symposium on Multimedia, ISM 2007"</f>
        <v>Proceedings - 9th IEEE International Symposium on Multimedia, ISM 2007</v>
      </c>
      <c r="B13401" s="8" t="str">
        <f>"9780769530581"</f>
        <v>9780769530581</v>
      </c>
      <c r="C13401" s="8" t="s">
        <v>9</v>
      </c>
    </row>
    <row r="13402" spans="1:3" x14ac:dyDescent="0.25">
      <c r="A13402" s="8" t="str">
        <f>"Proceedings - 9th IEEE International Symposium on Parallel and Distributed Processing with Applications Workshops, ISPAW 2011 - ICASE 2011, SGH 2011, GSDP 2011"</f>
        <v>Proceedings - 9th IEEE International Symposium on Parallel and Distributed Processing with Applications Workshops, ISPAW 2011 - ICASE 2011, SGH 2011, GSDP 2011</v>
      </c>
      <c r="B13402" s="8" t="str">
        <f>"9780769544298"</f>
        <v>9780769544298</v>
      </c>
      <c r="C13402" s="8" t="s">
        <v>9</v>
      </c>
    </row>
    <row r="13403" spans="1:3" x14ac:dyDescent="0.25">
      <c r="A13403" s="8" t="str">
        <f>"Proceedings - 9th IEEE International Symposium on Parallel and Distributed Processing with Applications, ISPA 2011"</f>
        <v>Proceedings - 9th IEEE International Symposium on Parallel and Distributed Processing with Applications, ISPA 2011</v>
      </c>
      <c r="B13403" s="8" t="str">
        <f>"9780769544281"</f>
        <v>9780769544281</v>
      </c>
      <c r="C13403" s="8" t="s">
        <v>9</v>
      </c>
    </row>
    <row r="13404" spans="1:3" x14ac:dyDescent="0.25">
      <c r="A13404" s="8" t="str">
        <f>"Proceedings - 9th IEEE International Symposium on Service-Oriented System Engineering, IEEE SOSE 2015"</f>
        <v>Proceedings - 9th IEEE International Symposium on Service-Oriented System Engineering, IEEE SOSE 2015</v>
      </c>
      <c r="B13404" s="8" t="str">
        <f>"9781479983551"</f>
        <v>9781479983551</v>
      </c>
      <c r="C13404" s="8" t="s">
        <v>105</v>
      </c>
    </row>
    <row r="13405" spans="1:3" x14ac:dyDescent="0.25">
      <c r="A13405" s="8" t="str">
        <f>"Proceedings - 9th IEEE International Symposium on Web Site Evolution, WSE 2007"</f>
        <v>Proceedings - 9th IEEE International Symposium on Web Site Evolution, WSE 2007</v>
      </c>
      <c r="B13405" s="8" t="str">
        <f>"9781424414505"</f>
        <v>9781424414505</v>
      </c>
      <c r="C13405" s="8" t="s">
        <v>9</v>
      </c>
    </row>
    <row r="13406" spans="1:3" x14ac:dyDescent="0.25">
      <c r="A13406" s="8" t="str">
        <f>"Proceedings - 9th IEEE Workshop on Signal Propagation on Interconnects, SPI 2005"</f>
        <v>Proceedings - 9th IEEE Workshop on Signal Propagation on Interconnects, SPI 2005</v>
      </c>
      <c r="B13406" s="8" t="str">
        <f>"-"</f>
        <v>-</v>
      </c>
      <c r="C13406" s="8" t="s">
        <v>9</v>
      </c>
    </row>
    <row r="13407" spans="1:3" x14ac:dyDescent="0.25">
      <c r="A13407" s="8" t="str">
        <f>"Proceedings - 9th IEEE/ACIS International Conference on Computer and Information Science, ICIS 2010"</f>
        <v>Proceedings - 9th IEEE/ACIS International Conference on Computer and Information Science, ICIS 2010</v>
      </c>
      <c r="B13407" s="8" t="str">
        <f>"9780769541471"</f>
        <v>9780769541471</v>
      </c>
      <c r="C13407" s="8" t="s">
        <v>9</v>
      </c>
    </row>
    <row r="13408" spans="1:3" x14ac:dyDescent="0.25">
      <c r="A13408" s="8" t="str">
        <f>"Proceedings - 9th International Conference on Availability, Reliability and Security, ARES 2014"</f>
        <v>Proceedings - 9th International Conference on Availability, Reliability and Security, ARES 2014</v>
      </c>
      <c r="B13408" s="8" t="str">
        <f>"9781479942237"</f>
        <v>9781479942237</v>
      </c>
      <c r="C13408" s="8" t="s">
        <v>105</v>
      </c>
    </row>
    <row r="13409" spans="1:3" x14ac:dyDescent="0.25">
      <c r="A13409" s="8" t="str">
        <f>"Proceedings - 9th International Conference on Computational Intelligence and Security, CIS 2013"</f>
        <v>Proceedings - 9th International Conference on Computational Intelligence and Security, CIS 2013</v>
      </c>
      <c r="B13409" s="8" t="str">
        <f>"9781479925483"</f>
        <v>9781479925483</v>
      </c>
      <c r="C13409" s="8" t="s">
        <v>9</v>
      </c>
    </row>
    <row r="13410" spans="1:3" x14ac:dyDescent="0.25">
      <c r="A13410" s="8" t="str">
        <f>"Proceedings - 9th International Conference on Creating, Connecting and Collaborating through Computing, C5 2011"</f>
        <v>Proceedings - 9th International Conference on Creating, Connecting and Collaborating through Computing, C5 2011</v>
      </c>
      <c r="B13410" s="8" t="str">
        <f>"9780769543635"</f>
        <v>9780769543635</v>
      </c>
      <c r="C13410" s="8" t="s">
        <v>9</v>
      </c>
    </row>
    <row r="13411" spans="1:3" x14ac:dyDescent="0.25">
      <c r="A13411" s="8" t="str">
        <f>"Proceedings - 9th International Conference on Grid and Cloud Computing, GCC 2010"</f>
        <v>Proceedings - 9th International Conference on Grid and Cloud Computing, GCC 2010</v>
      </c>
      <c r="B13411" s="8" t="str">
        <f>"9780769543130"</f>
        <v>9780769543130</v>
      </c>
      <c r="C13411" s="8" t="s">
        <v>9</v>
      </c>
    </row>
    <row r="13412" spans="1:3" x14ac:dyDescent="0.25">
      <c r="A13412" s="8" t="str">
        <f>"Proceedings - 9th International Conference on Information Technology, ICIT 2006"</f>
        <v>Proceedings - 9th International Conference on Information Technology, ICIT 2006</v>
      </c>
      <c r="B13412" s="8" t="str">
        <f>"9780769526355"</f>
        <v>9780769526355</v>
      </c>
      <c r="C13412" s="8" t="s">
        <v>9</v>
      </c>
    </row>
    <row r="13413" spans="1:3" x14ac:dyDescent="0.25">
      <c r="A13413" s="8" t="str">
        <f>"Proceedings - 9th International Conference on Intelligent Environments, IE 2013"</f>
        <v>Proceedings - 9th International Conference on Intelligent Environments, IE 2013</v>
      </c>
      <c r="B13413" s="8" t="str">
        <f>"-"</f>
        <v>-</v>
      </c>
      <c r="C13413" s="8" t="s">
        <v>9</v>
      </c>
    </row>
    <row r="13414" spans="1:3" x14ac:dyDescent="0.25">
      <c r="A13414" s="8" t="str">
        <f>"Proceedings - 9th International Conference on Machine Learning and Applications, ICMLA 2010"</f>
        <v>Proceedings - 9th International Conference on Machine Learning and Applications, ICMLA 2010</v>
      </c>
      <c r="B13414" s="8" t="str">
        <f>"9780769543000"</f>
        <v>9780769543000</v>
      </c>
      <c r="C13414" s="8" t="s">
        <v>9</v>
      </c>
    </row>
    <row r="13415" spans="1:3" x14ac:dyDescent="0.25">
      <c r="A13415" s="8" t="s">
        <v>2078</v>
      </c>
      <c r="B13415" s="8" t="str">
        <f>"-"</f>
        <v>-</v>
      </c>
      <c r="C13415" s="8" t="s">
        <v>2079</v>
      </c>
    </row>
    <row r="13416" spans="1:3" x14ac:dyDescent="0.25">
      <c r="A13416" s="8" t="str">
        <f>"Proceedings - 9th International Symposium on Distributed Computing and Applications to Business, Engineering and Science, DCABES 2010"</f>
        <v>Proceedings - 9th International Symposium on Distributed Computing and Applications to Business, Engineering and Science, DCABES 2010</v>
      </c>
      <c r="B13416" s="8" t="str">
        <f>"9780769541105"</f>
        <v>9780769541105</v>
      </c>
      <c r="C13416" s="8" t="s">
        <v>9</v>
      </c>
    </row>
    <row r="13417" spans="1:3" x14ac:dyDescent="0.25">
      <c r="A13417" s="8" t="str">
        <f>"Proceedings - 9th International Symposium on Symbolic and Numeric Algorithms for Scientific Computing, SYNASC 2007"</f>
        <v>Proceedings - 9th International Symposium on Symbolic and Numeric Algorithms for Scientific Computing, SYNASC 2007</v>
      </c>
      <c r="B13417" s="8" t="str">
        <f>"9780769530789"</f>
        <v>9780769530789</v>
      </c>
      <c r="C13417" s="8" t="s">
        <v>9</v>
      </c>
    </row>
    <row r="13418" spans="1:3" x14ac:dyDescent="0.25">
      <c r="A13418" s="8" t="str">
        <f>"Proceedings - 9th International Workshop on Discrete Event Systems, WODES' 08"</f>
        <v>Proceedings - 9th International Workshop on Discrete Event Systems, WODES' 08</v>
      </c>
      <c r="B13418" s="8" t="str">
        <f>"9781424425921"</f>
        <v>9781424425921</v>
      </c>
      <c r="C13418" s="8" t="s">
        <v>9</v>
      </c>
    </row>
    <row r="13419" spans="1:3" x14ac:dyDescent="0.25">
      <c r="A13419" s="8" t="str">
        <f>"Proceedings - 9th International Workshop on Semantic and Social Media Adaptation and Personalization, SMAP 2014"</f>
        <v>Proceedings - 9th International Workshop on Semantic and Social Media Adaptation and Personalization, SMAP 2014</v>
      </c>
      <c r="B13419" s="8" t="str">
        <f>"9781479968138"</f>
        <v>9781479968138</v>
      </c>
      <c r="C13419" s="8" t="s">
        <v>105</v>
      </c>
    </row>
    <row r="13420" spans="1:3" x14ac:dyDescent="0.25">
      <c r="A13420" s="8" t="str">
        <f>"Proceedings - 9th Latin American Web Congress, LA-WEB 2014"</f>
        <v>Proceedings - 9th Latin American Web Congress, LA-WEB 2014</v>
      </c>
      <c r="B13420" s="8" t="str">
        <f>"9781479969531"</f>
        <v>9781479969531</v>
      </c>
      <c r="C13420" s="8" t="s">
        <v>105</v>
      </c>
    </row>
    <row r="13421" spans="1:3" x14ac:dyDescent="0.25">
      <c r="A13421" s="8" t="str">
        <f>"Proceedings - 9th RoEduNet IEEE International Conference, RoEduNet 2010"</f>
        <v>Proceedings - 9th RoEduNet IEEE International Conference, RoEduNet 2010</v>
      </c>
      <c r="B13421" s="8" t="str">
        <f>"9781424473359"</f>
        <v>9781424473359</v>
      </c>
      <c r="C13421" s="8" t="s">
        <v>9</v>
      </c>
    </row>
    <row r="13422" spans="1:3" x14ac:dyDescent="0.25">
      <c r="A13422" s="8" t="str">
        <f>"Proceedings - 9th Russian-Korean International Symposium on Science and Technology, KORUS-2005"</f>
        <v>Proceedings - 9th Russian-Korean International Symposium on Science and Technology, KORUS-2005</v>
      </c>
      <c r="B13422" s="8" t="str">
        <f>"-"</f>
        <v>-</v>
      </c>
      <c r="C13422" s="8" t="s">
        <v>9</v>
      </c>
    </row>
    <row r="13423" spans="1:3" x14ac:dyDescent="0.25">
      <c r="A13423" s="8" t="str">
        <f>"Proceedings - 9th Web Information Systems and Applications Conference, WISA 2012"</f>
        <v>Proceedings - 9th Web Information Systems and Applications Conference, WISA 2012</v>
      </c>
      <c r="B13423" s="8" t="str">
        <f>"-"</f>
        <v>-</v>
      </c>
      <c r="C13423" s="8" t="s">
        <v>9</v>
      </c>
    </row>
    <row r="13424" spans="1:3" x14ac:dyDescent="0.25">
      <c r="A13424" s="8" t="str">
        <f>"Proceedings - 9th Working IEEE/IFIP Conference on Software Architecture, WICSA 2011"</f>
        <v>Proceedings - 9th Working IEEE/IFIP Conference on Software Architecture, WICSA 2011</v>
      </c>
      <c r="B13424" s="8" t="str">
        <f>"9780769543512"</f>
        <v>9780769543512</v>
      </c>
      <c r="C13424" s="8" t="s">
        <v>9</v>
      </c>
    </row>
    <row r="13425" spans="1:3" x14ac:dyDescent="0.25">
      <c r="A13425" s="8" t="str">
        <f>"Proceedings - Academia/Industry Working Conference on Research Challenges 2000: Next Generation Enterprises: Virtual Organizations and Mobile/Pervasive Technologies, AIWORC 2000"</f>
        <v>Proceedings - Academia/Industry Working Conference on Research Challenges 2000: Next Generation Enterprises: Virtual Organizations and Mobile/Pervasive Technologies, AIWORC 2000</v>
      </c>
      <c r="B13425" s="8" t="str">
        <f>"9780769506289"</f>
        <v>9780769506289</v>
      </c>
      <c r="C13425" s="8" t="s">
        <v>105</v>
      </c>
    </row>
    <row r="13426" spans="1:3" x14ac:dyDescent="0.25">
      <c r="A13426" s="8" t="str">
        <f>"Proceedings - Advanced Industrial Conference on Telecommunications/Service Assurance with Partial and Intermittent Resources Conference/E-Learning on Telecommunications Workshop AICT/SAPIR/ELETE 2005"</f>
        <v>Proceedings - Advanced Industrial Conference on Telecommunications/Service Assurance with Partial and Intermittent Resources Conference/E-Learning on Telecommunications Workshop AICT/SAPIR/ELETE 2005</v>
      </c>
      <c r="B13426" s="8" t="str">
        <f>"-"</f>
        <v>-</v>
      </c>
      <c r="C13426" s="8" t="s">
        <v>9</v>
      </c>
    </row>
    <row r="13427" spans="1:3" x14ac:dyDescent="0.25">
      <c r="A13427" s="8" t="str">
        <f>"Proceedings - Advances in Electrical and Electronics Engineering - IAENG Special Edition of the World Congress on Engineering and Computer Science 2008, WCECS 2008"</f>
        <v>Proceedings - Advances in Electrical and Electronics Engineering - IAENG Special Edition of the World Congress on Engineering and Computer Science 2008, WCECS 2008</v>
      </c>
      <c r="B13427" s="8" t="str">
        <f>"9780769535555"</f>
        <v>9780769535555</v>
      </c>
      <c r="C13427" s="8" t="s">
        <v>9</v>
      </c>
    </row>
    <row r="13428" spans="1:3" x14ac:dyDescent="0.25">
      <c r="A13428" s="8" t="str">
        <f>"Proceedings - African Conference on Software Engineering and Applied Computing, ACSEAC 2012"</f>
        <v>Proceedings - African Conference on Software Engineering and Applied Computing, ACSEAC 2012</v>
      </c>
      <c r="B13428" s="8" t="str">
        <f>"9780769549095"</f>
        <v>9780769549095</v>
      </c>
      <c r="C13428" s="8" t="s">
        <v>9</v>
      </c>
    </row>
    <row r="13429" spans="1:3" x14ac:dyDescent="0.25">
      <c r="A13429" s="8" t="str">
        <f>"Proceedings - AGILE 2007"</f>
        <v>Proceedings - AGILE 2007</v>
      </c>
      <c r="B13429" s="8" t="str">
        <f>"9780769528724"</f>
        <v>9780769528724</v>
      </c>
      <c r="C13429" s="8" t="s">
        <v>9</v>
      </c>
    </row>
    <row r="13430" spans="1:3" x14ac:dyDescent="0.25">
      <c r="A13430" s="8" t="str">
        <f>"Proceedings - Agile 2008 Conference"</f>
        <v>Proceedings - Agile 2008 Conference</v>
      </c>
      <c r="B13430" s="8" t="str">
        <f>"9780769533216"</f>
        <v>9780769533216</v>
      </c>
      <c r="C13430" s="8" t="s">
        <v>9</v>
      </c>
    </row>
    <row r="13431" spans="1:3" x14ac:dyDescent="0.25">
      <c r="A13431" s="8" t="str">
        <f>"Proceedings - AGILE 2013"</f>
        <v>Proceedings - AGILE 2013</v>
      </c>
      <c r="B13431" s="8" t="str">
        <f>"9780769550763"</f>
        <v>9780769550763</v>
      </c>
      <c r="C13431" s="8" t="s">
        <v>9</v>
      </c>
    </row>
    <row r="13432" spans="1:3" x14ac:dyDescent="0.25">
      <c r="A13432" s="8" t="str">
        <f>"Proceedings - AGILE Conference, 2006"</f>
        <v>Proceedings - AGILE Conference, 2006</v>
      </c>
      <c r="B13432" s="8" t="str">
        <f>"-"</f>
        <v>-</v>
      </c>
      <c r="C13432" s="8" t="s">
        <v>9</v>
      </c>
    </row>
    <row r="13433" spans="1:3" x14ac:dyDescent="0.25">
      <c r="A13433" s="8" t="str">
        <f>"Proceedings - AGILE Confernce 2005"</f>
        <v>Proceedings - AGILE Confernce 2005</v>
      </c>
      <c r="B13433" s="8" t="str">
        <f>"-"</f>
        <v>-</v>
      </c>
      <c r="C13433" s="8" t="s">
        <v>9</v>
      </c>
    </row>
    <row r="13434" spans="1:3" x14ac:dyDescent="0.25">
      <c r="A13434" s="8" t="str">
        <f>"Proceedings - Agile India 2012, AgileIndia 2012"</f>
        <v>Proceedings - Agile India 2012, AgileIndia 2012</v>
      </c>
      <c r="B13434" s="8" t="str">
        <f>"9780769546575"</f>
        <v>9780769546575</v>
      </c>
      <c r="C13434" s="8" t="s">
        <v>9</v>
      </c>
    </row>
    <row r="13435" spans="1:3" x14ac:dyDescent="0.25">
      <c r="A13435" s="8" t="str">
        <f>"Proceedings - ALPIT 2007 6th International Conference on Advanced Language Processing and Web Information Technology"</f>
        <v>Proceedings - ALPIT 2007 6th International Conference on Advanced Language Processing and Web Information Technology</v>
      </c>
      <c r="B13435" s="8" t="str">
        <f>"9780769529301"</f>
        <v>9780769529301</v>
      </c>
      <c r="C13435" s="8" t="s">
        <v>9</v>
      </c>
    </row>
    <row r="13436" spans="1:3" x14ac:dyDescent="0.25">
      <c r="A13436" s="8" t="str">
        <f>"Proceedings - ALPIT 2008, 7th International Conference on Advanced Language Processing and Web Information Technology"</f>
        <v>Proceedings - ALPIT 2008, 7th International Conference on Advanced Language Processing and Web Information Technology</v>
      </c>
      <c r="B13436" s="8" t="str">
        <f>"9780769532738"</f>
        <v>9780769532738</v>
      </c>
      <c r="C13436" s="8" t="s">
        <v>9</v>
      </c>
    </row>
    <row r="13437" spans="1:3" x14ac:dyDescent="0.25">
      <c r="A13437" s="8" t="str">
        <f>"Proceedings - AMS 2011: Asia Modelling Symposium 2011 - 5th Asia International Conference on Mathematical Modelling and Computer Simulation"</f>
        <v>Proceedings - AMS 2011: Asia Modelling Symposium 2011 - 5th Asia International Conference on Mathematical Modelling and Computer Simulation</v>
      </c>
      <c r="B13437" s="8" t="str">
        <f>"9780769544144"</f>
        <v>9780769544144</v>
      </c>
      <c r="C13437" s="8" t="s">
        <v>9</v>
      </c>
    </row>
    <row r="13438" spans="1:3" x14ac:dyDescent="0.25">
      <c r="A13438" s="8" t="str">
        <f>"Proceedings - Annual Stability Conference, Structural Stability Research Council"</f>
        <v>Proceedings - Annual Stability Conference, Structural Stability Research Council</v>
      </c>
      <c r="B13438" s="8" t="str">
        <f>"-"</f>
        <v>-</v>
      </c>
      <c r="C13438" s="8" t="s">
        <v>2060</v>
      </c>
    </row>
    <row r="13439" spans="1:3" x14ac:dyDescent="0.25">
      <c r="A13439" s="8" t="str">
        <f>"Proceedings - Annual Technical Session, Structural Stability Research Council"</f>
        <v>Proceedings - Annual Technical Session, Structural Stability Research Council</v>
      </c>
      <c r="B13439" s="8" t="str">
        <f>"-"</f>
        <v>-</v>
      </c>
      <c r="C13439" s="8" t="s">
        <v>2060</v>
      </c>
    </row>
    <row r="13440" spans="1:3" x14ac:dyDescent="0.25">
      <c r="A13440" s="8" t="str">
        <f>"Proceedings - APCHI-ERGOFUTURE 2010"</f>
        <v>Proceedings - APCHI-ERGOFUTURE 2010</v>
      </c>
      <c r="B13440" s="8" t="str">
        <f>"9786028566858"</f>
        <v>9786028566858</v>
      </c>
      <c r="C13440" s="8" t="s">
        <v>2080</v>
      </c>
    </row>
    <row r="13441" spans="1:3" x14ac:dyDescent="0.25">
      <c r="A13441" s="8" t="str">
        <f>"Proceedings - APGV 2005: 2nd Symposium on Applied Perception in Graphics and Visualization"</f>
        <v>Proceedings - APGV 2005: 2nd Symposium on Applied Perception in Graphics and Visualization</v>
      </c>
      <c r="B13441" s="8" t="str">
        <f>"9781595931399"</f>
        <v>9781595931399</v>
      </c>
      <c r="C13441" s="8" t="s">
        <v>21</v>
      </c>
    </row>
    <row r="13442" spans="1:3" x14ac:dyDescent="0.25">
      <c r="A13442" s="8" t="str">
        <f>"Proceedings - APGV 2006: Symposium on Applied Perception in Graphics and Visualization"</f>
        <v>Proceedings - APGV 2006: Symposium on Applied Perception in Graphics and Visualization</v>
      </c>
      <c r="B13442" s="8" t="str">
        <f>"9781595934291"</f>
        <v>9781595934291</v>
      </c>
      <c r="C13442" s="8" t="s">
        <v>21</v>
      </c>
    </row>
    <row r="13443" spans="1:3" x14ac:dyDescent="0.25">
      <c r="A13443" s="8" t="str">
        <f>"Proceedings - APGV 2009: Symposium on Applied Perception in Graphics and Visualization"</f>
        <v>Proceedings - APGV 2009: Symposium on Applied Perception in Graphics and Visualization</v>
      </c>
      <c r="B13443" s="8" t="str">
        <f>"9781605587431"</f>
        <v>9781605587431</v>
      </c>
      <c r="C13443" s="8" t="s">
        <v>21</v>
      </c>
    </row>
    <row r="13444" spans="1:3" x14ac:dyDescent="0.25">
      <c r="A13444" s="8" t="str">
        <f>"Proceedings - APGV 2010: Symposium on Applied Perception in Graphics and Visualization"</f>
        <v>Proceedings - APGV 2010: Symposium on Applied Perception in Graphics and Visualization</v>
      </c>
      <c r="B13444" s="8" t="str">
        <f>"9781450302487"</f>
        <v>9781450302487</v>
      </c>
      <c r="C13444" s="8" t="s">
        <v>21</v>
      </c>
    </row>
    <row r="13445" spans="1:3" x14ac:dyDescent="0.25">
      <c r="A13445" s="8" t="str">
        <f>"Proceedings - APGV 2011: ACM SIGGRAPH Symposium on Applied Perception in Graphics and Visualization"</f>
        <v>Proceedings - APGV 2011: ACM SIGGRAPH Symposium on Applied Perception in Graphics and Visualization</v>
      </c>
      <c r="B13445" s="8" t="str">
        <f>"9781450308892"</f>
        <v>9781450308892</v>
      </c>
      <c r="C13445" s="8" t="s">
        <v>21</v>
      </c>
    </row>
    <row r="13446" spans="1:3" x14ac:dyDescent="0.25">
      <c r="A13446" s="8" t="str">
        <f>"Proceedings - Asia Modelling Symposium 2013: 7th Asia International Conference on Mathematical Modelling and Computer Simulation, AMS 2013"</f>
        <v>Proceedings - Asia Modelling Symposium 2013: 7th Asia International Conference on Mathematical Modelling and Computer Simulation, AMS 2013</v>
      </c>
      <c r="B13446" s="8" t="str">
        <f>"9780769551012"</f>
        <v>9780769551012</v>
      </c>
      <c r="C13446" s="8" t="s">
        <v>9</v>
      </c>
    </row>
    <row r="13447" spans="1:3" x14ac:dyDescent="0.25">
      <c r="A13447" s="8" t="str">
        <f>"Proceedings - Asia Modelling Symposium 2014: 8th Asia International Conference on Mathematical Modelling and Computer Simulation, AMS 2014"</f>
        <v>Proceedings - Asia Modelling Symposium 2014: 8th Asia International Conference on Mathematical Modelling and Computer Simulation, AMS 2014</v>
      </c>
      <c r="B13447" s="8" t="str">
        <f>"9781479964871"</f>
        <v>9781479964871</v>
      </c>
      <c r="C13447" s="8" t="s">
        <v>105</v>
      </c>
    </row>
    <row r="13448" spans="1:3" x14ac:dyDescent="0.25">
      <c r="A13448" s="8" t="str">
        <f>"Proceedings - Asian Conference on Membrane Computing, ACMC 2014"</f>
        <v>Proceedings - Asian Conference on Membrane Computing, ACMC 2014</v>
      </c>
      <c r="B13448" s="8" t="str">
        <f>"9781479980123"</f>
        <v>9781479980123</v>
      </c>
      <c r="C13448" s="8" t="s">
        <v>105</v>
      </c>
    </row>
    <row r="13449" spans="1:3" x14ac:dyDescent="0.25">
      <c r="A13449" s="8" t="str">
        <f>"Proceedings - Asia-Pacific Conference on Environmental Electromagnetics, CEEM'2009"</f>
        <v>Proceedings - Asia-Pacific Conference on Environmental Electromagnetics, CEEM'2009</v>
      </c>
      <c r="B13449" s="8" t="str">
        <f>"9781424443444"</f>
        <v>9781424443444</v>
      </c>
      <c r="C13449" s="8" t="s">
        <v>9</v>
      </c>
    </row>
    <row r="13450" spans="1:3" x14ac:dyDescent="0.25">
      <c r="A13450" s="8" t="str">
        <f>"Proceedings - Asia-Pacific Conference on Power Electronics and Design, APPED 2010"</f>
        <v>Proceedings - Asia-Pacific Conference on Power Electronics and Design, APPED 2010</v>
      </c>
      <c r="B13450" s="8" t="str">
        <f>"9780769540450"</f>
        <v>9780769540450</v>
      </c>
      <c r="C13450" s="8" t="s">
        <v>9</v>
      </c>
    </row>
    <row r="13451" spans="1:3" x14ac:dyDescent="0.25">
      <c r="A13451" s="8" t="str">
        <f>"Proceedings - ASPE 2010 Annual Meeting"</f>
        <v>Proceedings - ASPE 2010 Annual Meeting</v>
      </c>
      <c r="B13451" s="8" t="str">
        <f>"9781887706568"</f>
        <v>9781887706568</v>
      </c>
      <c r="C13451" s="8" t="s">
        <v>2081</v>
      </c>
    </row>
    <row r="13452" spans="1:3" x14ac:dyDescent="0.25">
      <c r="A13452" s="8" t="str">
        <f>"Proceedings - ASPE 2011 Annual Meeting"</f>
        <v>Proceedings - ASPE 2011 Annual Meeting</v>
      </c>
      <c r="B13452" s="8" t="str">
        <f>"9781887706582"</f>
        <v>9781887706582</v>
      </c>
      <c r="C13452" s="8" t="s">
        <v>2081</v>
      </c>
    </row>
    <row r="13453" spans="1:3" x14ac:dyDescent="0.25">
      <c r="A13453" s="8" t="str">
        <f>"Proceedings - ASPE 2011 Spring Topical Meeting: Structured and Freeform Surfaces"</f>
        <v>Proceedings - ASPE 2011 Spring Topical Meeting: Structured and Freeform Surfaces</v>
      </c>
      <c r="B13453" s="8" t="str">
        <f>"9781887706575"</f>
        <v>9781887706575</v>
      </c>
      <c r="C13453" s="8" t="s">
        <v>2081</v>
      </c>
    </row>
    <row r="13454" spans="1:3" x14ac:dyDescent="0.25">
      <c r="A13454" s="8" t="str">
        <f>"Proceedings - ASPE 2012 Annual Meeting"</f>
        <v>Proceedings - ASPE 2012 Annual Meeting</v>
      </c>
      <c r="B13454" s="8" t="str">
        <f>"-"</f>
        <v>-</v>
      </c>
      <c r="C13454" s="8" t="s">
        <v>2081</v>
      </c>
    </row>
    <row r="13455" spans="1:3" x14ac:dyDescent="0.25">
      <c r="A13455" s="8" t="str">
        <f>"Proceedings - ASPE 2012 Summer Topical Meeting: Precision Engineering and Mechatronics Supporting the Semiconductor Industry"</f>
        <v>Proceedings - ASPE 2012 Summer Topical Meeting: Precision Engineering and Mechatronics Supporting the Semiconductor Industry</v>
      </c>
      <c r="B13455" s="8" t="str">
        <f>"9781887706605"</f>
        <v>9781887706605</v>
      </c>
      <c r="C13455" s="8" t="s">
        <v>2081</v>
      </c>
    </row>
    <row r="13456" spans="1:3" x14ac:dyDescent="0.25">
      <c r="A13456" s="8" t="str">
        <f>"Proceedings - ASPE 2013 Spring Topical Meeting MIT Laboratory for Manufacturing and Productivity Annual Summit: Precision Control for Advanced Manufacturing Systems"</f>
        <v>Proceedings - ASPE 2013 Spring Topical Meeting MIT Laboratory for Manufacturing and Productivity Annual Summit: Precision Control for Advanced Manufacturing Systems</v>
      </c>
      <c r="B13456" s="8" t="str">
        <f>"9781887706629"</f>
        <v>9781887706629</v>
      </c>
      <c r="C13456" s="8" t="s">
        <v>2081</v>
      </c>
    </row>
    <row r="13457" spans="1:3" x14ac:dyDescent="0.25">
      <c r="A13457" s="8" t="str">
        <f>"Proceedings - ASPE 2014 Annual Meeting"</f>
        <v>Proceedings - ASPE 2014 Annual Meeting</v>
      </c>
      <c r="B13457" s="8" t="str">
        <f>"9781887706667"</f>
        <v>9781887706667</v>
      </c>
      <c r="C13457" s="8" t="s">
        <v>2081</v>
      </c>
    </row>
    <row r="13458" spans="1:3" x14ac:dyDescent="0.25">
      <c r="A13458" s="8" t="str">
        <f>"Proceedings - ASPE 2015 Spring Topical Meeting: Achieving Precision Tolerances in Additive Manufacturing"</f>
        <v>Proceedings - ASPE 2015 Spring Topical Meeting: Achieving Precision Tolerances in Additive Manufacturing</v>
      </c>
      <c r="B13458" s="8" t="str">
        <f>"9781887706674"</f>
        <v>9781887706674</v>
      </c>
      <c r="C13458" s="8" t="s">
        <v>2081</v>
      </c>
    </row>
    <row r="13459" spans="1:3" x14ac:dyDescent="0.25">
      <c r="A13459" s="8" t="str">
        <f>"Proceedings - ASPE Spring Topical Meeting on Challenges at the Intersection of Precision Engineering and Vacuum Technology, ASPE 2006"</f>
        <v>Proceedings - ASPE Spring Topical Meeting on Challenges at the Intersection of Precision Engineering and Vacuum Technology, ASPE 2006</v>
      </c>
      <c r="B13459" s="8" t="str">
        <f>"9781887706407"</f>
        <v>9781887706407</v>
      </c>
      <c r="C13459" s="8" t="s">
        <v>2081</v>
      </c>
    </row>
    <row r="13460" spans="1:3" x14ac:dyDescent="0.25">
      <c r="A13460" s="8" t="str">
        <f>"Proceedings - ASPE Spring Topical Meeting on Control of Precision Systems, ASPE 2010"</f>
        <v>Proceedings - ASPE Spring Topical Meeting on Control of Precision Systems, ASPE 2010</v>
      </c>
      <c r="B13460" s="8" t="str">
        <f>"9781887706537"</f>
        <v>9781887706537</v>
      </c>
      <c r="C13460" s="8" t="s">
        <v>2081</v>
      </c>
    </row>
    <row r="13461" spans="1:3" x14ac:dyDescent="0.25">
      <c r="A13461" s="8" t="str">
        <f>"Proceedings - ASPE Spring Topical Meeting on Mechanical Metrology and Measurement Uncertainty, ASPE 2009"</f>
        <v>Proceedings - ASPE Spring Topical Meeting on Mechanical Metrology and Measurement Uncertainty, ASPE 2009</v>
      </c>
      <c r="B13461" s="8" t="str">
        <f>"9781887706490"</f>
        <v>9781887706490</v>
      </c>
      <c r="C13461" s="8" t="s">
        <v>2081</v>
      </c>
    </row>
    <row r="13462" spans="1:3" x14ac:dyDescent="0.25">
      <c r="A13462" s="8" t="str">
        <f>"Proceedings - ASPE Spring Topical Meeting on Precision Mechanical Design and Mechatronics for Sub-50nm Semiconductor Equipment, ASPE 2008"</f>
        <v>Proceedings - ASPE Spring Topical Meeting on Precision Mechanical Design and Mechatronics for Sub-50nm Semiconductor Equipment, ASPE 2008</v>
      </c>
      <c r="B13462" s="8" t="str">
        <f>"9781887706469"</f>
        <v>9781887706469</v>
      </c>
      <c r="C13462" s="8" t="s">
        <v>2081</v>
      </c>
    </row>
    <row r="13463" spans="1:3" x14ac:dyDescent="0.25">
      <c r="A13463" s="8" t="str">
        <f>"Proceedings - ASPE Spring Topical Meeting on Precision Micro/Nano Scale Polymer Based Component and Device Fabrication, ASPE 2005"</f>
        <v>Proceedings - ASPE Spring Topical Meeting on Precision Micro/Nano Scale Polymer Based Component and Device Fabrication, ASPE 2005</v>
      </c>
      <c r="B13463" s="8" t="str">
        <f>"9781887706377"</f>
        <v>9781887706377</v>
      </c>
      <c r="C13463" s="8" t="s">
        <v>2081</v>
      </c>
    </row>
    <row r="13464" spans="1:3" x14ac:dyDescent="0.25">
      <c r="A13464" s="8" t="str">
        <f>"Proceedings - ASPE Spring Topical Meeting on Vibration Assisted Machining Technology, ASPE 2007"</f>
        <v>Proceedings - ASPE Spring Topical Meeting on Vibration Assisted Machining Technology, ASPE 2007</v>
      </c>
      <c r="B13464" s="8" t="str">
        <f>"9781887706421"</f>
        <v>9781887706421</v>
      </c>
      <c r="C13464" s="8" t="s">
        <v>2081</v>
      </c>
    </row>
    <row r="13465" spans="1:3" x14ac:dyDescent="0.25">
      <c r="A13465" s="8" t="str">
        <f>"Proceedings - ASPE Summer Topical Meeting on Precision Bearings and Spindles, ASPE 2007"</f>
        <v>Proceedings - ASPE Summer Topical Meeting on Precision Bearings and Spindles, ASPE 2007</v>
      </c>
      <c r="B13465" s="8" t="str">
        <f>"9781887706438"</f>
        <v>9781887706438</v>
      </c>
      <c r="C13465" s="8" t="s">
        <v>2081</v>
      </c>
    </row>
    <row r="13466" spans="1:3" x14ac:dyDescent="0.25">
      <c r="A13466" s="8" t="str">
        <f>"Proceedings - ASPE Summer Topical Meeting on Precision Interferometric Metrology, ASPE 2005"</f>
        <v>Proceedings - ASPE Summer Topical Meeting on Precision Interferometric Metrology, ASPE 2005</v>
      </c>
      <c r="B13466" s="8" t="str">
        <f>"9781887706384"</f>
        <v>9781887706384</v>
      </c>
      <c r="C13466" s="8" t="s">
        <v>2081</v>
      </c>
    </row>
    <row r="13467" spans="1:3" x14ac:dyDescent="0.25">
      <c r="A13467" s="8" t="str">
        <f>"Proceedings - ASPE Summer Topical Meeting on Precision Interferometric Metrology, ASPE 2010"</f>
        <v>Proceedings - ASPE Summer Topical Meeting on Precision Interferometric Metrology, ASPE 2010</v>
      </c>
      <c r="B13467" s="8" t="str">
        <f>"9781887706544"</f>
        <v>9781887706544</v>
      </c>
      <c r="C13467" s="8" t="s">
        <v>2081</v>
      </c>
    </row>
    <row r="13468" spans="1:3" x14ac:dyDescent="0.25">
      <c r="A13468" s="8" t="str">
        <f>"Proceedings - ASPE Summer Topical Meeting on the Economies of Precision Engineering, ASPE 2009"</f>
        <v>Proceedings - ASPE Summer Topical Meeting on the Economies of Precision Engineering, ASPE 2009</v>
      </c>
      <c r="B13468" s="8" t="str">
        <f>"9781887706506"</f>
        <v>9781887706506</v>
      </c>
      <c r="C13468" s="8" t="s">
        <v>2081</v>
      </c>
    </row>
    <row r="13469" spans="1:3" x14ac:dyDescent="0.25">
      <c r="A13469" s="8" t="str">
        <f>"Proceedings - BIBE 2005: 5th IEEE Symposium on Bioinformatics and Bioengineering"</f>
        <v>Proceedings - BIBE 2005: 5th IEEE Symposium on Bioinformatics and Bioengineering</v>
      </c>
      <c r="B13469" s="8" t="str">
        <f>"-"</f>
        <v>-</v>
      </c>
      <c r="C13469" s="8" t="s">
        <v>9</v>
      </c>
    </row>
    <row r="13470" spans="1:3" x14ac:dyDescent="0.25">
      <c r="A13470" s="8" t="str">
        <f>"Proceedings - BSN 2006: International Workshop on Wearable and Implantable Body Sensor Networks"</f>
        <v>Proceedings - BSN 2006: International Workshop on Wearable and Implantable Body Sensor Networks</v>
      </c>
      <c r="B13470" s="8" t="str">
        <f>"-"</f>
        <v>-</v>
      </c>
      <c r="C13470" s="8" t="s">
        <v>9</v>
      </c>
    </row>
    <row r="13471" spans="1:3" x14ac:dyDescent="0.25">
      <c r="A13471" s="8" t="str">
        <f>"Proceedings - BSN 2012: 9th International Workshop on Wearable and Implantable Body Sensor Networks"</f>
        <v>Proceedings - BSN 2012: 9th International Workshop on Wearable and Implantable Body Sensor Networks</v>
      </c>
      <c r="B13471" s="8" t="str">
        <f>"9780769546988"</f>
        <v>9780769546988</v>
      </c>
      <c r="C13471" s="8" t="s">
        <v>9</v>
      </c>
    </row>
    <row r="13472" spans="1:3" x14ac:dyDescent="0.25">
      <c r="A13472" s="8" t="str">
        <f>"Proceedings - CAe 2011: International Symposium on Computational Aesthetics in Graphics, Visualization, and Imaging"</f>
        <v>Proceedings - CAe 2011: International Symposium on Computational Aesthetics in Graphics, Visualization, and Imaging</v>
      </c>
      <c r="B13472" s="8" t="str">
        <f>"9781450309080"</f>
        <v>9781450309080</v>
      </c>
      <c r="C13472" s="8" t="s">
        <v>21</v>
      </c>
    </row>
    <row r="13473" spans="1:3" x14ac:dyDescent="0.25">
      <c r="A13473" s="8" t="str">
        <f>"Proceedings - CARTS International 2013: The 33rd Symposium for Passive Electronic Components"</f>
        <v>Proceedings - CARTS International 2013: The 33rd Symposium for Passive Electronic Components</v>
      </c>
      <c r="B13473" s="8" t="str">
        <f>"-"</f>
        <v>-</v>
      </c>
      <c r="C13473" s="8" t="s">
        <v>1715</v>
      </c>
    </row>
    <row r="13474" spans="1:3" x14ac:dyDescent="0.25">
      <c r="A13474" s="8" t="str">
        <f>"Proceedings - CCGrid 2003: 3rd IEEE/ACM International Symposium on Cluster Computing and the Grid"</f>
        <v>Proceedings - CCGrid 2003: 3rd IEEE/ACM International Symposium on Cluster Computing and the Grid</v>
      </c>
      <c r="B13474" s="8" t="str">
        <f>"9780769519197"</f>
        <v>9780769519197</v>
      </c>
      <c r="C13474" s="8" t="s">
        <v>9</v>
      </c>
    </row>
    <row r="13475" spans="1:3" x14ac:dyDescent="0.25">
      <c r="A13475" s="8" t="str">
        <f>"Proceedings - Challenges of Large Applications in Distributed Environments, CLADE 2005"</f>
        <v>Proceedings - Challenges of Large Applications in Distributed Environments, CLADE 2005</v>
      </c>
      <c r="B13475" s="8" t="str">
        <f>"-"</f>
        <v>-</v>
      </c>
      <c r="C13475" s="8" t="s">
        <v>9</v>
      </c>
    </row>
    <row r="13476" spans="1:3" x14ac:dyDescent="0.25">
      <c r="A13476" s="8" t="str">
        <f>"Proceedings - Challenges of Large Applications in Distributed Environments, CLADE 2006"</f>
        <v>Proceedings - Challenges of Large Applications in Distributed Environments, CLADE 2006</v>
      </c>
      <c r="B13476" s="8" t="str">
        <f>"-"</f>
        <v>-</v>
      </c>
      <c r="C13476" s="8" t="s">
        <v>9</v>
      </c>
    </row>
    <row r="13477" spans="1:3" x14ac:dyDescent="0.25">
      <c r="A13477" s="8" t="str">
        <f>"Proceedings - Chamonix 2009 Workshop on LHC Performance"</f>
        <v>Proceedings - Chamonix 2009 Workshop on LHC Performance</v>
      </c>
      <c r="B13477" s="8" t="str">
        <f>"-"</f>
        <v>-</v>
      </c>
      <c r="C13477" s="8" t="s">
        <v>259</v>
      </c>
    </row>
    <row r="13478" spans="1:3" x14ac:dyDescent="0.25">
      <c r="A13478" s="8" t="str">
        <f>"Proceedings - Chamonix 2011 Workshop on LHC Performance"</f>
        <v>Proceedings - Chamonix 2011 Workshop on LHC Performance</v>
      </c>
      <c r="B13478" s="8" t="str">
        <f>"9789290833642"</f>
        <v>9789290833642</v>
      </c>
      <c r="C13478" s="8" t="s">
        <v>259</v>
      </c>
    </row>
    <row r="13479" spans="1:3" x14ac:dyDescent="0.25">
      <c r="A13479" s="8" t="str">
        <f>"Proceedings - Chamonix 2012 Workshop on LHC Performance"</f>
        <v>Proceedings - Chamonix 2012 Workshop on LHC Performance</v>
      </c>
      <c r="B13479" s="8" t="str">
        <f>"9789290833789"</f>
        <v>9789290833789</v>
      </c>
      <c r="C13479" s="8" t="s">
        <v>259</v>
      </c>
    </row>
    <row r="13480" spans="1:3" x14ac:dyDescent="0.25">
      <c r="A13480" s="8" t="str">
        <f>"Proceedings - CIMSim 2011: 3rd International Conference on Computational Intelligence, Modelling and Simulation"</f>
        <v>Proceedings - CIMSim 2011: 3rd International Conference on Computational Intelligence, Modelling and Simulation</v>
      </c>
      <c r="B13480" s="8" t="str">
        <f>"9780769545622"</f>
        <v>9780769545622</v>
      </c>
      <c r="C13480" s="8" t="s">
        <v>9</v>
      </c>
    </row>
    <row r="13481" spans="1:3" x14ac:dyDescent="0.25">
      <c r="A13481" s="8" t="str">
        <f>"Proceedings - CIS Workshops 2007, 2007 International Conference on Computational Intelligence and Security Workshops"</f>
        <v>Proceedings - CIS Workshops 2007, 2007 International Conference on Computational Intelligence and Security Workshops</v>
      </c>
      <c r="B13481" s="8" t="str">
        <f>"9780769530734"</f>
        <v>9780769530734</v>
      </c>
      <c r="C13481" s="8" t="s">
        <v>105</v>
      </c>
    </row>
    <row r="13482" spans="1:3" x14ac:dyDescent="0.25">
      <c r="A13482" s="8" t="str">
        <f>"Proceedings - CISIS 2008: 2nd International Conference on Complex, Intelligent and Software Intensive Systems"</f>
        <v>Proceedings - CISIS 2008: 2nd International Conference on Complex, Intelligent and Software Intensive Systems</v>
      </c>
      <c r="B13482" s="8" t="str">
        <f>"9780769531090"</f>
        <v>9780769531090</v>
      </c>
      <c r="C13482" s="8" t="s">
        <v>9</v>
      </c>
    </row>
    <row r="13483" spans="1:3" x14ac:dyDescent="0.25">
      <c r="A13483" s="8" t="str">
        <f>"Proceedings - CNSR 2007: Fifth Annual Conference on Communication Networks and Services Research"</f>
        <v>Proceedings - CNSR 2007: Fifth Annual Conference on Communication Networks and Services Research</v>
      </c>
      <c r="B13483" s="8" t="str">
        <f>"9780769528359"</f>
        <v>9780769528359</v>
      </c>
      <c r="C13483" s="8" t="s">
        <v>9</v>
      </c>
    </row>
    <row r="13484" spans="1:3" x14ac:dyDescent="0.25">
      <c r="A13484" s="8" t="str">
        <f>"Proceedings - Computational Aesthetics 2013, CAE 2013 - Part of Expressive 2013"</f>
        <v>Proceedings - Computational Aesthetics 2013, CAE 2013 - Part of Expressive 2013</v>
      </c>
      <c r="B13484" s="8" t="str">
        <f>"9781450322034"</f>
        <v>9781450322034</v>
      </c>
      <c r="C13484" s="8" t="s">
        <v>21</v>
      </c>
    </row>
    <row r="13485" spans="1:3" x14ac:dyDescent="0.25">
      <c r="A13485" s="8" t="str">
        <f>"Proceedings - Computer Graphics, Imaging and Visualisation, Modern Techniques and Applications, CGIV"</f>
        <v>Proceedings - Computer Graphics, Imaging and Visualisation, Modern Techniques and Applications, CGIV</v>
      </c>
      <c r="B13485" s="8" t="str">
        <f>"9780769533599"</f>
        <v>9780769533599</v>
      </c>
      <c r="C13485" s="8" t="s">
        <v>9</v>
      </c>
    </row>
    <row r="13486" spans="1:3" x14ac:dyDescent="0.25">
      <c r="A13486" s="8" t="str">
        <f>"Proceedings - Computer Graphics, Imaging and Visualisation: Techniques and Applications, CGIV'06"</f>
        <v>Proceedings - Computer Graphics, Imaging and Visualisation: Techniques and Applications, CGIV'06</v>
      </c>
      <c r="B13486" s="8" t="str">
        <f>"-"</f>
        <v>-</v>
      </c>
      <c r="C13486" s="8" t="s">
        <v>9</v>
      </c>
    </row>
    <row r="13487" spans="1:3" x14ac:dyDescent="0.25">
      <c r="A13487" s="8" t="str">
        <f>"Proceedings - CQR 2015: 2015 IEEE International Workshop Technical Committee on Communications Quality and Reliability"</f>
        <v>Proceedings - CQR 2015: 2015 IEEE International Workshop Technical Committee on Communications Quality and Reliability</v>
      </c>
      <c r="B13487" s="8" t="str">
        <f>"9781479985753"</f>
        <v>9781479985753</v>
      </c>
      <c r="C13487" s="8" t="s">
        <v>105</v>
      </c>
    </row>
    <row r="13488" spans="1:3" x14ac:dyDescent="0.25">
      <c r="A13488" s="8" t="str">
        <f>"Proceedings - CSERC 2014: Computer Science Education Research Conference"</f>
        <v>Proceedings - CSERC 2014: Computer Science Education Research Conference</v>
      </c>
      <c r="B13488" s="8" t="str">
        <f>"9781450333474"</f>
        <v>9781450333474</v>
      </c>
      <c r="C13488" s="8" t="s">
        <v>1235</v>
      </c>
    </row>
    <row r="13489" spans="1:3" x14ac:dyDescent="0.25">
      <c r="A13489" s="8" t="str">
        <f>"Proceedings - CSPA 2010: 2010 6th International Colloquium on Signal Processing and Its Applications"</f>
        <v>Proceedings - CSPA 2010: 2010 6th International Colloquium on Signal Processing and Its Applications</v>
      </c>
      <c r="B13489" s="8" t="str">
        <f>"9781424471225"</f>
        <v>9781424471225</v>
      </c>
      <c r="C13489" s="8" t="s">
        <v>9</v>
      </c>
    </row>
    <row r="13490" spans="1:3" x14ac:dyDescent="0.25">
      <c r="A13490" s="8" t="str">
        <f>"Proceedings - Cybersecurity Applications and Technology Conference for Homeland Security, CATCH 2009"</f>
        <v>Proceedings - Cybersecurity Applications and Technology Conference for Homeland Security, CATCH 2009</v>
      </c>
      <c r="B13490" s="8" t="str">
        <f>"9780769535685"</f>
        <v>9780769535685</v>
      </c>
      <c r="C13490" s="8" t="s">
        <v>9</v>
      </c>
    </row>
    <row r="13491" spans="1:3" x14ac:dyDescent="0.25">
      <c r="A13491" s="8" t="str">
        <f>"Proceedings - DARPA Active Networks Conference and Exposition, DANCE 2002"</f>
        <v>Proceedings - DARPA Active Networks Conference and Exposition, DANCE 2002</v>
      </c>
      <c r="B13491" s="8" t="str">
        <f>"9780769515649"</f>
        <v>9780769515649</v>
      </c>
      <c r="C13491" s="8" t="s">
        <v>105</v>
      </c>
    </row>
    <row r="13492" spans="1:3" x14ac:dyDescent="0.25">
      <c r="A13492" s="8" t="str">
        <f>"Proceedings - DARPA Information Survivability Conference and Exposition II, DISCEX 2001"</f>
        <v>Proceedings - DARPA Information Survivability Conference and Exposition II, DISCEX 2001</v>
      </c>
      <c r="B13492" s="8" t="str">
        <f>"-"</f>
        <v>-</v>
      </c>
      <c r="C13492" s="8" t="s">
        <v>105</v>
      </c>
    </row>
    <row r="13493" spans="1:3" x14ac:dyDescent="0.25">
      <c r="A13493" s="8" t="str">
        <f>"Proceedings - DARPA Information Survivability Conference and Exposition, DISCEX 2000"</f>
        <v>Proceedings - DARPA Information Survivability Conference and Exposition, DISCEX 2000</v>
      </c>
      <c r="B13493" s="8" t="str">
        <f>"-"</f>
        <v>-</v>
      </c>
    </row>
    <row r="13494" spans="1:3" x14ac:dyDescent="0.25">
      <c r="A13494" s="8" t="str">
        <f>"Proceedings - DARPA Information Survivability Conference and Exposition, DISCEX 2003"</f>
        <v>Proceedings - DARPA Information Survivability Conference and Exposition, DISCEX 2003</v>
      </c>
      <c r="B13494" s="8" t="str">
        <f>"-"</f>
        <v>-</v>
      </c>
      <c r="C13494" s="8" t="s">
        <v>105</v>
      </c>
    </row>
    <row r="13495" spans="1:3" x14ac:dyDescent="0.25">
      <c r="A13495" s="8" t="str">
        <f>"Proceedings - DASC 2007: Third IEEE International Symposium on Dependable, Autonomic and Secure Computing"</f>
        <v>Proceedings - DASC 2007: Third IEEE International Symposium on Dependable, Autonomic and Secure Computing</v>
      </c>
      <c r="B13495" s="8" t="str">
        <f>"9780769529851"</f>
        <v>9780769529851</v>
      </c>
      <c r="C13495" s="8" t="s">
        <v>9</v>
      </c>
    </row>
    <row r="13496" spans="1:3" x14ac:dyDescent="0.25">
      <c r="A13496" s="8" t="str">
        <f>"Proceedings - Department of Defense High Performance Computing Modernization Program Users Group Conference, UGC 2004"</f>
        <v>Proceedings - Department of Defense High Performance Computing Modernization Program Users Group Conference, UGC 2004</v>
      </c>
      <c r="B13496" s="8" t="str">
        <f>"9780769522593"</f>
        <v>9780769522593</v>
      </c>
      <c r="C13496" s="8" t="s">
        <v>9</v>
      </c>
    </row>
    <row r="13497" spans="1:3" x14ac:dyDescent="0.25">
      <c r="A13497" s="8" t="str">
        <f>"Proceedings - Design, Automation and Test in Europe Conference and Exhibition"</f>
        <v>Proceedings - Design, Automation and Test in Europe Conference and Exhibition</v>
      </c>
      <c r="B13497" s="8" t="str">
        <f>"9780769520858"</f>
        <v>9780769520858</v>
      </c>
      <c r="C13497" s="8" t="s">
        <v>9</v>
      </c>
    </row>
    <row r="13498" spans="1:3" x14ac:dyDescent="0.25">
      <c r="A13498" s="8" t="str">
        <f>"Proceedings - DEXA 2008, 19th International Conference on Database and Expert Systems Applications"</f>
        <v>Proceedings - DEXA 2008, 19th International Conference on Database and Expert Systems Applications</v>
      </c>
      <c r="B13498" s="8" t="str">
        <f>"9780769532998"</f>
        <v>9780769532998</v>
      </c>
      <c r="C13498" s="8" t="s">
        <v>9</v>
      </c>
    </row>
    <row r="13499" spans="1:3" x14ac:dyDescent="0.25">
      <c r="A13499" s="8" t="str">
        <f>"Proceedings - DigiPro 2014"</f>
        <v>Proceedings - DigiPro 2014</v>
      </c>
      <c r="B13499" s="8" t="str">
        <f>"9781450330442"</f>
        <v>9781450330442</v>
      </c>
      <c r="C13499" s="8" t="s">
        <v>1235</v>
      </c>
    </row>
    <row r="13500" spans="1:3" x14ac:dyDescent="0.25">
      <c r="A13500" s="8" t="str">
        <f>"Proceedings - Digital Image Computing Techniques and Applications: 9th Biennial Conference of the Australian Pattern Recognition Society, DICTA 2007"</f>
        <v>Proceedings - Digital Image Computing Techniques and Applications: 9th Biennial Conference of the Australian Pattern Recognition Society, DICTA 2007</v>
      </c>
      <c r="B13500" s="8" t="str">
        <f>"9780769530673"</f>
        <v>9780769530673</v>
      </c>
      <c r="C13500" s="8" t="s">
        <v>105</v>
      </c>
    </row>
    <row r="13501" spans="1:3" x14ac:dyDescent="0.25">
      <c r="A13501" s="8" t="str">
        <f>"Proceedings - Digital Image Computing: Techniques and Applications, DICTA 2008"</f>
        <v>Proceedings - Digital Image Computing: Techniques and Applications, DICTA 2008</v>
      </c>
      <c r="B13501" s="8" t="str">
        <f>"9780769534565"</f>
        <v>9780769534565</v>
      </c>
      <c r="C13501" s="8" t="s">
        <v>9</v>
      </c>
    </row>
    <row r="13502" spans="1:3" x14ac:dyDescent="0.25">
      <c r="A13502" s="8" t="str">
        <f>"Proceedings - Digital Production Symposium 2012, DigiPro 2012"</f>
        <v>Proceedings - Digital Production Symposium 2012, DigiPro 2012</v>
      </c>
      <c r="B13502" s="8" t="str">
        <f>"9781450316491"</f>
        <v>9781450316491</v>
      </c>
      <c r="C13502" s="8" t="s">
        <v>21</v>
      </c>
    </row>
    <row r="13503" spans="1:3" x14ac:dyDescent="0.25">
      <c r="A13503" s="8" t="str">
        <f>"Proceedings - Digital Production Symposium 2013, DigiPro 2013"</f>
        <v>Proceedings - Digital Production Symposium 2013, DigiPro 2013</v>
      </c>
      <c r="B13503" s="8" t="str">
        <f>"9781450321365"</f>
        <v>9781450321365</v>
      </c>
      <c r="C13503" s="8" t="s">
        <v>21</v>
      </c>
    </row>
    <row r="13504" spans="1:3" x14ac:dyDescent="0.25">
      <c r="A13504" s="8" t="str">
        <f>"Proceedings - DIGITEL 2007: First IEEE International Workshop on Digital Game and Intelligent Toy Enhanced Learning"</f>
        <v>Proceedings - DIGITEL 2007: First IEEE International Workshop on Digital Game and Intelligent Toy Enhanced Learning</v>
      </c>
      <c r="B13504" s="8" t="str">
        <f>"9780769528014"</f>
        <v>9780769528014</v>
      </c>
      <c r="C13504" s="8" t="s">
        <v>9</v>
      </c>
    </row>
    <row r="13505" spans="1:3" x14ac:dyDescent="0.25">
      <c r="A13505" s="8" t="str">
        <f>"Proceedings - DIS 2006: IEEE Workshop on Distributed Intelligent Systems - Collective Intelligence and Its Applications"</f>
        <v>Proceedings - DIS 2006: IEEE Workshop on Distributed Intelligent Systems - Collective Intelligence and Its Applications</v>
      </c>
      <c r="B13505" s="8" t="str">
        <f>"-"</f>
        <v>-</v>
      </c>
      <c r="C13505" s="8" t="s">
        <v>9</v>
      </c>
    </row>
    <row r="13506" spans="1:3" x14ac:dyDescent="0.25">
      <c r="A13506" s="8" t="str">
        <f>"Proceedings - DOA 2000: International Symposium on Distributed Objects and Applications"</f>
        <v>Proceedings - DOA 2000: International Symposium on Distributed Objects and Applications</v>
      </c>
      <c r="B13506" s="8" t="str">
        <f>"9780769508191"</f>
        <v>9780769508191</v>
      </c>
      <c r="C13506" s="8" t="s">
        <v>105</v>
      </c>
    </row>
    <row r="13507" spans="1:3" x14ac:dyDescent="0.25">
      <c r="A13507" s="8" t="str">
        <f>"Proceedings - DSD'2005: 8th Euromicro Conference on Digital System Design - Architectures, Methods and Tools"</f>
        <v>Proceedings - DSD'2005: 8th Euromicro Conference on Digital System Design - Architectures, Methods and Tools</v>
      </c>
      <c r="B13507" s="8" t="str">
        <f>"-"</f>
        <v>-</v>
      </c>
      <c r="C13507" s="8" t="s">
        <v>9</v>
      </c>
    </row>
    <row r="13508" spans="1:3" x14ac:dyDescent="0.25">
      <c r="A13508" s="8" t="str">
        <f>"Proceedings - DSSNS 2006: Second IEEE Workshop on Dependability and Security in Sensor Networks and Systems"</f>
        <v>Proceedings - DSSNS 2006: Second IEEE Workshop on Dependability and Security in Sensor Networks and Systems</v>
      </c>
      <c r="B13508" s="8" t="str">
        <f>"-"</f>
        <v>-</v>
      </c>
      <c r="C13508" s="8" t="s">
        <v>9</v>
      </c>
    </row>
    <row r="13509" spans="1:3" x14ac:dyDescent="0.25">
      <c r="A13509" s="8" t="str">
        <f>"Proceedings - ECCC Creep Conference: Creep and Fracture in High Temperature Components - Design and Life Assessment Issues"</f>
        <v>Proceedings - ECCC Creep Conference: Creep and Fracture in High Temperature Components - Design and Life Assessment Issues</v>
      </c>
      <c r="B13509" s="8" t="str">
        <f>"-"</f>
        <v>-</v>
      </c>
      <c r="C13509" s="8" t="s">
        <v>757</v>
      </c>
    </row>
    <row r="13510" spans="1:3" x14ac:dyDescent="0.25">
      <c r="A13510" s="8" t="str">
        <f>"Proceedings - ECUMN 2007: Fourth European Conference on Universal Multiservice Networks"</f>
        <v>Proceedings - ECUMN 2007: Fourth European Conference on Universal Multiservice Networks</v>
      </c>
      <c r="B13510" s="8" t="str">
        <f>"9780769527680"</f>
        <v>9780769527680</v>
      </c>
      <c r="C13510" s="8" t="s">
        <v>9</v>
      </c>
    </row>
    <row r="13511" spans="1:3" x14ac:dyDescent="0.25">
      <c r="A13511" s="8" t="str">
        <f>"Proceedings - Eighth IEEE International Symposium on Distributed Simulation and Real-Time Applications, DS-RT 2004"</f>
        <v>Proceedings - Eighth IEEE International Symposium on Distributed Simulation and Real-Time Applications, DS-RT 2004</v>
      </c>
      <c r="B13511" s="8" t="str">
        <f>"9780769522326"</f>
        <v>9780769522326</v>
      </c>
      <c r="C13511" s="8" t="s">
        <v>9</v>
      </c>
    </row>
    <row r="13512" spans="1:3" x14ac:dyDescent="0.25">
      <c r="A13512" s="8" t="str">
        <f>"Proceedings - Eighth IEEE International Symposium on Object-Oriented Real-Time Distributed Computing, ISORC 2005"</f>
        <v>Proceedings - Eighth IEEE International Symposium on Object-Oriented Real-Time Distributed Computing, ISORC 2005</v>
      </c>
      <c r="B13512" s="8" t="str">
        <f>"-"</f>
        <v>-</v>
      </c>
      <c r="C13512" s="8" t="s">
        <v>9</v>
      </c>
    </row>
    <row r="13513" spans="1:3" x14ac:dyDescent="0.25">
      <c r="A13513" s="8" t="str">
        <f>"Proceedings - Eighth IEEE International Workshop on Policies for Distributed Systems and Networks, POLICY 2007"</f>
        <v>Proceedings - Eighth IEEE International Workshop on Policies for Distributed Systems and Networks, POLICY 2007</v>
      </c>
      <c r="B13513" s="8" t="str">
        <f>"9780769527673"</f>
        <v>9780769527673</v>
      </c>
      <c r="C13513" s="8" t="s">
        <v>9</v>
      </c>
    </row>
    <row r="13514" spans="1:3" x14ac:dyDescent="0.25">
      <c r="A13514" s="8" t="str">
        <f>"Proceedings - Eighth International Conference on High-Performance Computing in Asia-Pacific Region, HPC Asia 2005"</f>
        <v>Proceedings - Eighth International Conference on High-Performance Computing in Asia-Pacific Region, HPC Asia 2005</v>
      </c>
      <c r="B13514" s="8" t="str">
        <f>"-"</f>
        <v>-</v>
      </c>
      <c r="C13514" s="8" t="s">
        <v>9</v>
      </c>
    </row>
    <row r="13515" spans="1:3" x14ac:dyDescent="0.25">
      <c r="A13515" s="8" t="str">
        <f>"Proceedings - Eighth International Symposium on Autonomous Decentralized Systems, ISADS 2007"</f>
        <v>Proceedings - Eighth International Symposium on Autonomous Decentralized Systems, ISADS 2007</v>
      </c>
      <c r="B13515" s="8" t="str">
        <f>"9780769528045"</f>
        <v>9780769528045</v>
      </c>
      <c r="C13515" s="8" t="s">
        <v>9</v>
      </c>
    </row>
    <row r="13516" spans="1:3" x14ac:dyDescent="0.25">
      <c r="A13516" s="8" t="str">
        <f>"Proceedings - Eighth International Symposium on Quality Electronic Design, ISQED 2007"</f>
        <v>Proceedings - Eighth International Symposium on Quality Electronic Design, ISQED 2007</v>
      </c>
      <c r="B13516" s="8" t="str">
        <f>"9780769527956"</f>
        <v>9780769527956</v>
      </c>
      <c r="C13516" s="8" t="s">
        <v>9</v>
      </c>
    </row>
    <row r="13517" spans="1:3" x14ac:dyDescent="0.25">
      <c r="A13517" s="8" t="str">
        <f>"Proceedings - Eighth International Workshop on Discrete Event Systems, WODES 2006"</f>
        <v>Proceedings - Eighth International Workshop on Discrete Event Systems, WODES 2006</v>
      </c>
      <c r="B13517" s="8" t="str">
        <f>"9781424400539"</f>
        <v>9781424400539</v>
      </c>
      <c r="C13517" s="8" t="s">
        <v>9</v>
      </c>
    </row>
    <row r="13518" spans="1:3" x14ac:dyDescent="0.25">
      <c r="A13518" s="8" t="str">
        <f>"Proceedings - Eighth Workshop on Interaction between Compilers and Computer Architectures, INTERACT-8 2004"</f>
        <v>Proceedings - Eighth Workshop on Interaction between Compilers and Computer Architectures, INTERACT-8 2004</v>
      </c>
      <c r="B13518" s="8" t="str">
        <f>"9780769520612"</f>
        <v>9780769520612</v>
      </c>
      <c r="C13518" s="8" t="s">
        <v>9</v>
      </c>
    </row>
    <row r="13519" spans="1:3" x14ac:dyDescent="0.25">
      <c r="A13519" s="8" t="str">
        <f>"Proceedings - Electrical Insulation Conference and Electrical Manufacturing Expo, 2005"</f>
        <v>Proceedings - Electrical Insulation Conference and Electrical Manufacturing Expo, 2005</v>
      </c>
      <c r="B13519" s="8" t="str">
        <f>"-"</f>
        <v>-</v>
      </c>
      <c r="C13519" s="8" t="s">
        <v>9</v>
      </c>
    </row>
    <row r="13520" spans="1:3" x14ac:dyDescent="0.25">
      <c r="A13520" s="8" t="str">
        <f>"Proceedings - Electronics, Robotics and Automotive Mechanics Conference, CERMA 2006"</f>
        <v>Proceedings - Electronics, Robotics and Automotive Mechanics Conference, CERMA 2006</v>
      </c>
      <c r="B13520" s="8" t="str">
        <f>"9780769525693"</f>
        <v>9780769525693</v>
      </c>
      <c r="C13520" s="8" t="s">
        <v>9</v>
      </c>
    </row>
    <row r="13521" spans="1:3" x14ac:dyDescent="0.25">
      <c r="A13521" s="8" t="str">
        <f>"Proceedings - Electronics, Robotics and Automotive Mechanics Conference, CERMA 2008"</f>
        <v>Proceedings - Electronics, Robotics and Automotive Mechanics Conference, CERMA 2008</v>
      </c>
      <c r="B13521" s="8" t="str">
        <f>"-"</f>
        <v>-</v>
      </c>
      <c r="C13521" s="8" t="s">
        <v>9</v>
      </c>
    </row>
    <row r="13522" spans="1:3" x14ac:dyDescent="0.25">
      <c r="A13522" s="8" t="str">
        <f>"Proceedings - Eleventh IEEE European Test Symposium, ETS 2006"</f>
        <v>Proceedings - Eleventh IEEE European Test Symposium, ETS 2006</v>
      </c>
      <c r="B13522" s="8" t="str">
        <f>"-"</f>
        <v>-</v>
      </c>
      <c r="C13522" s="8" t="s">
        <v>9</v>
      </c>
    </row>
    <row r="13523" spans="1:3" x14ac:dyDescent="0.25">
      <c r="A13523" s="8" t="str">
        <f>"Proceedings - EMAP 2005: 2005 International Symposium on Electronics Materials and Packaging"</f>
        <v>Proceedings - EMAP 2005: 2005 International Symposium on Electronics Materials and Packaging</v>
      </c>
      <c r="B13523" s="8" t="str">
        <f>"-"</f>
        <v>-</v>
      </c>
      <c r="C13523" s="8" t="s">
        <v>9</v>
      </c>
    </row>
    <row r="13524" spans="1:3" x14ac:dyDescent="0.25">
      <c r="A13524" s="8" t="str">
        <f>"Proceedings - EMS 2008, European Modelling Symposium, 2nd UKSim European Symposium on Computer Modelling and Simulation"</f>
        <v>Proceedings - EMS 2008, European Modelling Symposium, 2nd UKSim European Symposium on Computer Modelling and Simulation</v>
      </c>
      <c r="B13524" s="8" t="str">
        <f>"9780769533254"</f>
        <v>9780769533254</v>
      </c>
      <c r="C13524" s="8" t="s">
        <v>9</v>
      </c>
    </row>
    <row r="13525" spans="1:3" x14ac:dyDescent="0.25">
      <c r="A13525" s="8" t="str">
        <f>"Proceedings - Ergo Future 2006, International Symposium on Past, Present and Future Ergonomics, Occupational Safety and Health"</f>
        <v>Proceedings - Ergo Future 2006, International Symposium on Past, Present and Future Ergonomics, Occupational Safety and Health</v>
      </c>
      <c r="B13525" s="8" t="str">
        <f>"9789791516815"</f>
        <v>9789791516815</v>
      </c>
      <c r="C13525" s="8" t="s">
        <v>2080</v>
      </c>
    </row>
    <row r="13526" spans="1:3" x14ac:dyDescent="0.25">
      <c r="A13526" s="8" t="str">
        <f>"Proceedings - e-Science 2007, 3rd IEEE International Conference on e-Science and Grid Computing"</f>
        <v>Proceedings - e-Science 2007, 3rd IEEE International Conference on e-Science and Grid Computing</v>
      </c>
      <c r="B13526" s="8" t="str">
        <f>"9780769530642"</f>
        <v>9780769530642</v>
      </c>
      <c r="C13526" s="8" t="s">
        <v>105</v>
      </c>
    </row>
    <row r="13527" spans="1:3" x14ac:dyDescent="0.25">
      <c r="A13527" s="8" t="str">
        <f>"Proceedings - EST 2010 - 2010 International Conference on Emerging Security Technologies, ROBOSEC 2010 - Robots and Security, LAB-RS 2010 - Learning and Adaptive Behavior in Robotic Systems"</f>
        <v>Proceedings - EST 2010 - 2010 International Conference on Emerging Security Technologies, ROBOSEC 2010 - Robots and Security, LAB-RS 2010 - Learning and Adaptive Behavior in Robotic Systems</v>
      </c>
      <c r="B13527" s="8" t="str">
        <f>"9780769541754"</f>
        <v>9780769541754</v>
      </c>
      <c r="C13527" s="8" t="s">
        <v>9</v>
      </c>
    </row>
    <row r="13528" spans="1:3" x14ac:dyDescent="0.25">
      <c r="A13528" s="8" t="str">
        <f>"Proceedings - Euromicro Conference on Parellel, Distribeted and Network-based Proceeding"</f>
        <v>Proceedings - Euromicro Conference on Parellel, Distribeted and Network-based Proceeding</v>
      </c>
      <c r="B13528" s="8" t="str">
        <f>"9780769520834"</f>
        <v>9780769520834</v>
      </c>
      <c r="C13528" s="8" t="s">
        <v>9</v>
      </c>
    </row>
    <row r="13529" spans="1:3" x14ac:dyDescent="0.25">
      <c r="A13529" s="8" t="str">
        <f>"Proceedings - Euromicro Symposium on Digital System Design, DSD 2003"</f>
        <v>Proceedings - Euromicro Symposium on Digital System Design, DSD 2003</v>
      </c>
      <c r="B13529" s="8" t="str">
        <f>"9780769520032"</f>
        <v>9780769520032</v>
      </c>
      <c r="C13529" s="8" t="s">
        <v>105</v>
      </c>
    </row>
    <row r="13530" spans="1:3" x14ac:dyDescent="0.25">
      <c r="A13530" s="8" t="str">
        <f>"Proceedings - Euromicro Symposium on Digital System Design: Architectures, Methods and Tools, DSD 2002"</f>
        <v>Proceedings - Euromicro Symposium on Digital System Design: Architectures, Methods and Tools, DSD 2002</v>
      </c>
      <c r="B13530" s="8" t="str">
        <f>"9780769517902"</f>
        <v>9780769517902</v>
      </c>
      <c r="C13530" s="8" t="s">
        <v>105</v>
      </c>
    </row>
    <row r="13531" spans="1:3" x14ac:dyDescent="0.25">
      <c r="A13531" s="8" t="str">
        <f>"Proceedings - Euromicro Symposium on Digital Systems Design: Architectures, Methods and Tools, DSD 2001"</f>
        <v>Proceedings - Euromicro Symposium on Digital Systems Design: Architectures, Methods and Tools, DSD 2001</v>
      </c>
      <c r="B13531" s="8" t="str">
        <f>"9780769512396"</f>
        <v>9780769512396</v>
      </c>
      <c r="C13531" s="8" t="s">
        <v>105</v>
      </c>
    </row>
    <row r="13532" spans="1:3" x14ac:dyDescent="0.25">
      <c r="A13532" s="8" t="str">
        <f>"Proceedings - European Conference on Computer Network Defense, EC2ND 2010"</f>
        <v>Proceedings - European Conference on Computer Network Defense, EC2ND 2010</v>
      </c>
      <c r="B13532" s="8" t="str">
        <f>"9780769543116"</f>
        <v>9780769543116</v>
      </c>
      <c r="C13532" s="8" t="s">
        <v>9</v>
      </c>
    </row>
    <row r="13533" spans="1:3" x14ac:dyDescent="0.25">
      <c r="A13533" s="8" t="str">
        <f>"Proceedings - European Conference on Heat Treatment and 21st IFHTSE Congress"</f>
        <v>Proceedings - European Conference on Heat Treatment and 21st IFHTSE Congress</v>
      </c>
      <c r="B13533" s="8" t="str">
        <f>"-"</f>
        <v>-</v>
      </c>
      <c r="C13533" s="8" t="s">
        <v>2082</v>
      </c>
    </row>
    <row r="13534" spans="1:3" x14ac:dyDescent="0.25">
      <c r="A13534" s="8" t="str">
        <f>"Proceedings - European Metallurgical Conference, EMC 2005"</f>
        <v>Proceedings - European Metallurgical Conference, EMC 2005</v>
      </c>
      <c r="B13534" s="8" t="str">
        <f>"-"</f>
        <v>-</v>
      </c>
      <c r="C13534" s="8" t="s">
        <v>2083</v>
      </c>
    </row>
    <row r="13535" spans="1:3" x14ac:dyDescent="0.25">
      <c r="A13535" s="8" t="str">
        <f>"Proceedings - European Metallurgical Conference, EMC 2007"</f>
        <v>Proceedings - European Metallurgical Conference, EMC 2007</v>
      </c>
      <c r="B13535" s="8" t="str">
        <f>"-"</f>
        <v>-</v>
      </c>
      <c r="C13535" s="8" t="s">
        <v>2083</v>
      </c>
    </row>
    <row r="13536" spans="1:3" x14ac:dyDescent="0.25">
      <c r="A13536" s="8" t="str">
        <f>"Proceedings - European Metallurgical Conference, EMC 2009"</f>
        <v>Proceedings - European Metallurgical Conference, EMC 2009</v>
      </c>
      <c r="B13536" s="8" t="str">
        <f>"-"</f>
        <v>-</v>
      </c>
      <c r="C13536" s="8" t="s">
        <v>1831</v>
      </c>
    </row>
    <row r="13537" spans="1:3" x14ac:dyDescent="0.25">
      <c r="A13537" s="8" t="str">
        <f>"Proceedings - European Metallurgical Conference, EMC 2011"</f>
        <v>Proceedings - European Metallurgical Conference, EMC 2011</v>
      </c>
      <c r="B13537" s="8" t="str">
        <f>"-"</f>
        <v>-</v>
      </c>
      <c r="C13537" s="8" t="s">
        <v>1831</v>
      </c>
    </row>
    <row r="13538" spans="1:3" x14ac:dyDescent="0.25">
      <c r="A13538" s="8" t="str">
        <f>"Proceedings - European Workshop on Software Defined Networks, EWSDN 2012"</f>
        <v>Proceedings - European Workshop on Software Defined Networks, EWSDN 2012</v>
      </c>
      <c r="B13538" s="8" t="str">
        <f>"9780769548708"</f>
        <v>9780769548708</v>
      </c>
      <c r="C13538" s="8" t="s">
        <v>9</v>
      </c>
    </row>
    <row r="13539" spans="1:3" x14ac:dyDescent="0.25">
      <c r="A13539" s="8" t="str">
        <f>"Proceedings - Fifteenth IEEE International Conference and Workshops on the Engineering of Computer-Based Systems, ECBS 2008"</f>
        <v>Proceedings - Fifteenth IEEE International Conference and Workshops on the Engineering of Computer-Based Systems, ECBS 2008</v>
      </c>
      <c r="B13539" s="8" t="str">
        <f>"9780769531410"</f>
        <v>9780769531410</v>
      </c>
      <c r="C13539" s="8" t="s">
        <v>105</v>
      </c>
    </row>
    <row r="13540" spans="1:3" x14ac:dyDescent="0.25">
      <c r="A13540" s="8" t="str">
        <f>"Proceedings - Fifth ACM and IEEE International Conference on Formal Methods and Models for Co-Design, MEMOCODE'07"</f>
        <v>Proceedings - Fifth ACM and IEEE International Conference on Formal Methods and Models for Co-Design, MEMOCODE'07</v>
      </c>
      <c r="B13540" s="8" t="str">
        <f>"9781424410507"</f>
        <v>9781424410507</v>
      </c>
      <c r="C13540" s="8" t="s">
        <v>9</v>
      </c>
    </row>
    <row r="13541" spans="1:3" x14ac:dyDescent="0.25">
      <c r="A13541" s="8" t="str">
        <f>"Proceedings - Fifth Annual IEEE International Conference on Pervasive Computing and Communications Workshops, PerCom Workshops 2007"</f>
        <v>Proceedings - Fifth Annual IEEE International Conference on Pervasive Computing and Communications Workshops, PerCom Workshops 2007</v>
      </c>
      <c r="B13541" s="8" t="str">
        <f>"9780769527888"</f>
        <v>9780769527888</v>
      </c>
      <c r="C13541" s="8" t="s">
        <v>9</v>
      </c>
    </row>
    <row r="13542" spans="1:3" x14ac:dyDescent="0.25">
      <c r="A13542" s="8" t="str">
        <f>"Proceedings - Fifth Annual IEEE International Conference on Pervasive Computing and Communications, PerCom 2007"</f>
        <v>Proceedings - Fifth Annual IEEE International Conference on Pervasive Computing and Communications, PerCom 2007</v>
      </c>
      <c r="B13542" s="8" t="str">
        <f>"9780769527871"</f>
        <v>9780769527871</v>
      </c>
      <c r="C13542" s="8" t="s">
        <v>9</v>
      </c>
    </row>
    <row r="13543" spans="1:3" x14ac:dyDescent="0.25">
      <c r="A13543" s="8" t="str">
        <f>"Proceedings - Fifth IEEE International Conference on Peer-to-Peer Computing, P2P 2005"</f>
        <v>Proceedings - Fifth IEEE International Conference on Peer-to-Peer Computing, P2P 2005</v>
      </c>
      <c r="B13543" s="8" t="str">
        <f>"-"</f>
        <v>-</v>
      </c>
      <c r="C13543" s="8" t="s">
        <v>9</v>
      </c>
    </row>
    <row r="13544" spans="1:3" x14ac:dyDescent="0.25">
      <c r="A13544" s="8" t="str">
        <f>"Proceedings - Fifth IEEE International Symposium on Network Computing and Applications, NCA 2006"</f>
        <v>Proceedings - Fifth IEEE International Symposium on Network Computing and Applications, NCA 2006</v>
      </c>
      <c r="B13544" s="8" t="str">
        <f>"-"</f>
        <v>-</v>
      </c>
      <c r="C13544" s="8" t="s">
        <v>9</v>
      </c>
    </row>
    <row r="13545" spans="1:3" x14ac:dyDescent="0.25">
      <c r="A13545" s="8" t="str">
        <f>"Proceedings - Fifth IEEE International Workshop on Policies for Distributed Systems and Networks, POLICY 2004"</f>
        <v>Proceedings - Fifth IEEE International Workshop on Policies for Distributed Systems and Networks, POLICY 2004</v>
      </c>
      <c r="B13545" s="8" t="str">
        <f>"9780769521411"</f>
        <v>9780769521411</v>
      </c>
      <c r="C13545" s="8" t="s">
        <v>9</v>
      </c>
    </row>
    <row r="13546" spans="1:3" x14ac:dyDescent="0.25">
      <c r="A13546" s="8" t="str">
        <f>"Proceedings - Fifth IEEE International Workshop on Source Code Analysis and Manipulation, SCAM 2005"</f>
        <v>Proceedings - Fifth IEEE International Workshop on Source Code Analysis and Manipulation, SCAM 2005</v>
      </c>
      <c r="B13546" s="8" t="str">
        <f>"-"</f>
        <v>-</v>
      </c>
      <c r="C13546" s="8" t="s">
        <v>9</v>
      </c>
    </row>
    <row r="13547" spans="1:3" x14ac:dyDescent="0.25">
      <c r="A13547" s="8" t="str">
        <f>"Proceedings - Fifth International Conference on Commercial-off-the-Shelf (COTS)-Based Software Systems"</f>
        <v>Proceedings - Fifth International Conference on Commercial-off-the-Shelf (COTS)-Based Software Systems</v>
      </c>
      <c r="B13547" s="8" t="str">
        <f>"-"</f>
        <v>-</v>
      </c>
      <c r="C13547" s="8" t="s">
        <v>9</v>
      </c>
    </row>
    <row r="13548" spans="1:3" x14ac:dyDescent="0.25">
      <c r="A13548" s="8" t="str">
        <f>"Proceedings - Fifth International Conference on Computer and Information Technology, CIT 2005"</f>
        <v>Proceedings - Fifth International Conference on Computer and Information Technology, CIT 2005</v>
      </c>
      <c r="B13548" s="8" t="str">
        <f>"-"</f>
        <v>-</v>
      </c>
      <c r="C13548" s="8" t="s">
        <v>9</v>
      </c>
    </row>
    <row r="13549" spans="1:3" x14ac:dyDescent="0.25">
      <c r="A13549" s="8" t="str">
        <f>"Proceedings - Fifth International Conference on Coordinated and Multiple Views in Exploratory Visualization, CMV 2007"</f>
        <v>Proceedings - Fifth International Conference on Coordinated and Multiple Views in Exploratory Visualization, CMV 2007</v>
      </c>
      <c r="B13549" s="8" t="str">
        <f>"9780769529035"</f>
        <v>9780769529035</v>
      </c>
      <c r="C13549" s="8" t="s">
        <v>9</v>
      </c>
    </row>
    <row r="13550" spans="1:3" x14ac:dyDescent="0.25">
      <c r="A13550" s="8" t="str">
        <f>"Proceedings - Fifth International Conference on Creating, Connecting and Collaborating through Computing, C5 2007"</f>
        <v>Proceedings - Fifth International Conference on Creating, Connecting and Collaborating through Computing, C5 2007</v>
      </c>
      <c r="B13550" s="8" t="str">
        <f>"9780769528069"</f>
        <v>9780769528069</v>
      </c>
      <c r="C13550" s="8" t="s">
        <v>9</v>
      </c>
    </row>
    <row r="13551" spans="1:3" x14ac:dyDescent="0.25">
      <c r="A13551" s="8" t="str">
        <f>"Proceedings - Fifth International Conference on Grid and Cooperative Computing, GCC 2006"</f>
        <v>Proceedings - Fifth International Conference on Grid and Cooperative Computing, GCC 2006</v>
      </c>
      <c r="B13551" s="8" t="str">
        <f>"9780769526942"</f>
        <v>9780769526942</v>
      </c>
      <c r="C13551" s="8" t="s">
        <v>9</v>
      </c>
    </row>
    <row r="13552" spans="1:3" x14ac:dyDescent="0.25">
      <c r="A13552" s="8" t="str">
        <f>"Proceedings - Fifth International Conference on Grid and Cooperative Computing, GCC 2006 - Workshops"</f>
        <v>Proceedings - Fifth International Conference on Grid and Cooperative Computing, GCC 2006 - Workshops</v>
      </c>
      <c r="B13552" s="8" t="str">
        <f>"9780769526959"</f>
        <v>9780769526959</v>
      </c>
      <c r="C13552" s="8" t="s">
        <v>9</v>
      </c>
    </row>
    <row r="13553" spans="1:3" x14ac:dyDescent="0.25">
      <c r="A13553" s="8" t="str">
        <f>"Proceedings - Fifth International Symposium on Parallel and Distributed Computing, ISPDC 2006"</f>
        <v>Proceedings - Fifth International Symposium on Parallel and Distributed Computing, ISPDC 2006</v>
      </c>
      <c r="B13553" s="8" t="str">
        <f>"9780769526386"</f>
        <v>9780769526386</v>
      </c>
      <c r="C13553" s="8" t="s">
        <v>9</v>
      </c>
    </row>
    <row r="13554" spans="1:3" x14ac:dyDescent="0.25">
      <c r="A13554" s="8" t="str">
        <f>"Proceedings - Fifth International Workshop on System-on-Chip for Real-Time Applications, IWSOC 2005"</f>
        <v>Proceedings - Fifth International Workshop on System-on-Chip for Real-Time Applications, IWSOC 2005</v>
      </c>
      <c r="B13554" s="8" t="str">
        <f>"-"</f>
        <v>-</v>
      </c>
      <c r="C13554" s="8" t="s">
        <v>9</v>
      </c>
    </row>
    <row r="13555" spans="1:3" x14ac:dyDescent="0.25">
      <c r="A13555" s="8" t="str">
        <f>"Proceedings - Fifth Mexican International Conference on Artificial Intelligence, MICAI 2006"</f>
        <v>Proceedings - Fifth Mexican International Conference on Artificial Intelligence, MICAI 2006</v>
      </c>
      <c r="B13555" s="8" t="str">
        <f>"9780769527222"</f>
        <v>9780769527222</v>
      </c>
      <c r="C13555" s="8" t="s">
        <v>9</v>
      </c>
    </row>
    <row r="13556" spans="1:3" x14ac:dyDescent="0.25">
      <c r="A13556" s="8" t="str">
        <f>"Proceedings - First IEEE International Workshop on Critical Infrastructure Protection, IWCIP 2005"</f>
        <v>Proceedings - First IEEE International Workshop on Critical Infrastructure Protection, IWCIP 2005</v>
      </c>
      <c r="B13556" s="8" t="str">
        <f>"-"</f>
        <v>-</v>
      </c>
      <c r="C13556" s="8" t="s">
        <v>9</v>
      </c>
    </row>
    <row r="13557" spans="1:3" x14ac:dyDescent="0.25">
      <c r="A13557" s="8" t="str">
        <f>"Proceedings - First IEEE International Workshop on Electronic Contracting, WEC 2004"</f>
        <v>Proceedings - First IEEE International Workshop on Electronic Contracting, WEC 2004</v>
      </c>
      <c r="B13557" s="8" t="str">
        <f>"9780769521848"</f>
        <v>9780769521848</v>
      </c>
      <c r="C13557" s="8" t="s">
        <v>9</v>
      </c>
    </row>
    <row r="13558" spans="1:3" x14ac:dyDescent="0.25">
      <c r="A13558" s="8" t="str">
        <f>"Proceedings - First International Conference on Automated Production of Cross Media Content for Multi-channel Distribution, AXMEDIS 2005"</f>
        <v>Proceedings - First International Conference on Automated Production of Cross Media Content for Multi-channel Distribution, AXMEDIS 2005</v>
      </c>
      <c r="B13558" s="8" t="str">
        <f>"-"</f>
        <v>-</v>
      </c>
      <c r="C13558" s="8" t="s">
        <v>9</v>
      </c>
    </row>
    <row r="13559" spans="1:3" x14ac:dyDescent="0.25">
      <c r="A13559" s="8" t="str">
        <f>"Proceedings - First International Conference on Availability, Reliability and Security, ARES 2006"</f>
        <v>Proceedings - First International Conference on Availability, Reliability and Security, ARES 2006</v>
      </c>
      <c r="B13559" s="8" t="str">
        <f>"-"</f>
        <v>-</v>
      </c>
      <c r="C13559" s="8" t="s">
        <v>9</v>
      </c>
    </row>
    <row r="13560" spans="1:3" x14ac:dyDescent="0.25">
      <c r="A13560" s="8" t="str">
        <f>"Proceedings - First International Conference on Broadband Networks, BroadNets 2004"</f>
        <v>Proceedings - First International Conference on Broadband Networks, BroadNets 2004</v>
      </c>
      <c r="B13560" s="8" t="str">
        <f>"9780769522210"</f>
        <v>9780769522210</v>
      </c>
      <c r="C13560" s="8" t="s">
        <v>9</v>
      </c>
    </row>
    <row r="13561" spans="1:3" x14ac:dyDescent="0.25">
      <c r="A13561" s="8" t="str">
        <f>"Proceedings - First International Conference on Distributed Frameworks for Multimedia Applications 2005, DFMA '05"</f>
        <v>Proceedings - First International Conference on Distributed Frameworks for Multimedia Applications 2005, DFMA '05</v>
      </c>
      <c r="B13561" s="8" t="str">
        <f>"-"</f>
        <v>-</v>
      </c>
      <c r="C13561" s="8" t="s">
        <v>9</v>
      </c>
    </row>
    <row r="13562" spans="1:3" x14ac:dyDescent="0.25">
      <c r="A13562" s="8" t="str">
        <f>"Proceedings - First International Conference on e-Science and Grid Computing, e-Science 2005"</f>
        <v>Proceedings - First International Conference on e-Science and Grid Computing, e-Science 2005</v>
      </c>
      <c r="B13562" s="8" t="str">
        <f>"-"</f>
        <v>-</v>
      </c>
      <c r="C13562" s="8" t="s">
        <v>9</v>
      </c>
    </row>
    <row r="13563" spans="1:3" x14ac:dyDescent="0.25">
      <c r="A13563" s="8" t="str">
        <f>"Proceedings - First International Conference on e-Science and Grid Computing, e-Science 2005"</f>
        <v>Proceedings - First International Conference on e-Science and Grid Computing, e-Science 2005</v>
      </c>
      <c r="B13563" s="8" t="str">
        <f>"-"</f>
        <v>-</v>
      </c>
      <c r="C13563" s="8" t="s">
        <v>9</v>
      </c>
    </row>
    <row r="13564" spans="1:3" x14ac:dyDescent="0.25">
      <c r="A13564" s="8" t="str">
        <f>"Proceedings - First International Conference on Quality of Service in Heterogeneous Wired/Wireless Networks, QShine 2004"</f>
        <v>Proceedings - First International Conference on Quality of Service in Heterogeneous Wired/Wireless Networks, QShine 2004</v>
      </c>
      <c r="B13564" s="8" t="str">
        <f>"9780769522333"</f>
        <v>9780769522333</v>
      </c>
      <c r="C13564" s="8" t="s">
        <v>9</v>
      </c>
    </row>
    <row r="13565" spans="1:3" x14ac:dyDescent="0.25">
      <c r="A13565" s="8" t="str">
        <f>"Proceedings - First International Conference on Security and Privacy for Emerging Areas in Communications Networks, SecureComm 2005"</f>
        <v>Proceedings - First International Conference on Security and Privacy for Emerging Areas in Communications Networks, SecureComm 2005</v>
      </c>
      <c r="B13565" s="8" t="str">
        <f>"-"</f>
        <v>-</v>
      </c>
      <c r="C13565" s="8" t="s">
        <v>9</v>
      </c>
    </row>
    <row r="13566" spans="1:3" x14ac:dyDescent="0.25">
      <c r="A13566" s="8" t="str">
        <f>"Proceedings - First International Conference on Semantics, Knowledge and Grid, SKG 2005"</f>
        <v>Proceedings - First International Conference on Semantics, Knowledge and Grid, SKG 2005</v>
      </c>
      <c r="B13566" s="8" t="str">
        <f>"-"</f>
        <v>-</v>
      </c>
      <c r="C13566" s="8" t="s">
        <v>9</v>
      </c>
    </row>
    <row r="13567" spans="1:3" x14ac:dyDescent="0.25">
      <c r="A13567" s="8" t="str">
        <f>"Proceedings - First International Conference on the Quantitative Evaluation of Systems, QEST 2004"</f>
        <v>Proceedings - First International Conference on the Quantitative Evaluation of Systems, QEST 2004</v>
      </c>
      <c r="B13567" s="8" t="str">
        <f>"9780769521855"</f>
        <v>9780769521855</v>
      </c>
      <c r="C13567" s="8" t="s">
        <v>9</v>
      </c>
    </row>
    <row r="13568" spans="1:3" x14ac:dyDescent="0.25">
      <c r="A13568" s="8" t="str">
        <f>"Proceedings - First International Conference on Wireless Internet, WICON 2005"</f>
        <v>Proceedings - First International Conference on Wireless Internet, WICON 2005</v>
      </c>
      <c r="B13568" s="8" t="str">
        <f>"-"</f>
        <v>-</v>
      </c>
      <c r="C13568" s="8" t="s">
        <v>9</v>
      </c>
    </row>
    <row r="13569" spans="1:3" x14ac:dyDescent="0.25">
      <c r="A13569" s="8" t="str">
        <f>"Proceedings - First International Oilfield Corrosion Symposium; Managing Corrosion in Oil and Gas Production: Fluids, Chemicals, Materials, and More"</f>
        <v>Proceedings - First International Oilfield Corrosion Symposium; Managing Corrosion in Oil and Gas Production: Fluids, Chemicals, Materials, and More</v>
      </c>
      <c r="B13569" s="8" t="str">
        <f>"-"</f>
        <v>-</v>
      </c>
      <c r="C13569" s="8" t="s">
        <v>671</v>
      </c>
    </row>
    <row r="13570" spans="1:3" x14ac:dyDescent="0.25">
      <c r="A13570" s="8" t="str">
        <f>"Proceedings - First International Workshop on Advanced Architectures and Algorithms for Internet Delivery and Applications, AAA-IDEA 2005"</f>
        <v>Proceedings - First International Workshop on Advanced Architectures and Algorithms for Internet Delivery and Applications, AAA-IDEA 2005</v>
      </c>
      <c r="B13570" s="8" t="str">
        <f>"-"</f>
        <v>-</v>
      </c>
      <c r="C13570" s="8" t="s">
        <v>9</v>
      </c>
    </row>
    <row r="13571" spans="1:3" x14ac:dyDescent="0.25">
      <c r="A13571" s="8" t="str">
        <f>"Proceedings - First International Workshop on Document Image Analysis for Libraries - DIAL 2004"</f>
        <v>Proceedings - First International Workshop on Document Image Analysis for Libraries - DIAL 2004</v>
      </c>
      <c r="B13571" s="8" t="str">
        <f>"9780769520889"</f>
        <v>9780769520889</v>
      </c>
      <c r="C13571" s="8" t="s">
        <v>9</v>
      </c>
    </row>
    <row r="13572" spans="1:3" x14ac:dyDescent="0.25">
      <c r="A13572" s="8" t="str">
        <f>"Proceedings - First International Workshop on Rational, Robust, and Secure Negotiation Mechanisms in Multi-Agent Systems, RRS 2005"</f>
        <v>Proceedings - First International Workshop on Rational, Robust, and Secure Negotiation Mechanisms in Multi-Agent Systems, RRS 2005</v>
      </c>
      <c r="B13572" s="8" t="str">
        <f>"-"</f>
        <v>-</v>
      </c>
      <c r="C13572" s="8" t="s">
        <v>9</v>
      </c>
    </row>
    <row r="13573" spans="1:3" x14ac:dyDescent="0.25">
      <c r="A13573" s="8" t="str">
        <f>"Proceedings - First International Workshop on Similarity Search and Applications, SISAP 2008"</f>
        <v>Proceedings - First International Workshop on Similarity Search and Applications, SISAP 2008</v>
      </c>
      <c r="B13573" s="8" t="str">
        <f>"9780769531014"</f>
        <v>9780769531014</v>
      </c>
      <c r="C13573" s="8" t="s">
        <v>105</v>
      </c>
    </row>
    <row r="13574" spans="1:3" x14ac:dyDescent="0.25">
      <c r="A13574" s="8" t="str">
        <f>"Proceedings - First International Workshop on Systematic Approaches to Digital Forensic Engineering"</f>
        <v>Proceedings - First International Workshop on Systematic Approaches to Digital Forensic Engineering</v>
      </c>
      <c r="B13574" s="8" t="str">
        <f>"-"</f>
        <v>-</v>
      </c>
      <c r="C13574" s="8" t="s">
        <v>9</v>
      </c>
    </row>
    <row r="13575" spans="1:3" x14ac:dyDescent="0.25">
      <c r="A13575" s="8" t="str">
        <f>"Proceedings - First NASA/ESA Conference on Adaptive Hardware and Systems, AHS 2006"</f>
        <v>Proceedings - First NASA/ESA Conference on Adaptive Hardware and Systems, AHS 2006</v>
      </c>
      <c r="B13575" s="8" t="str">
        <f>"-"</f>
        <v>-</v>
      </c>
      <c r="C13575" s="8" t="s">
        <v>9</v>
      </c>
    </row>
    <row r="13576" spans="1:3" x14ac:dyDescent="0.25">
      <c r="A13576" s="8" t="str">
        <f>"Proceedings - Formal Methods in Computer Aided Design, FMCAD 2007"</f>
        <v>Proceedings - Formal Methods in Computer Aided Design, FMCAD 2007</v>
      </c>
      <c r="B13576" s="8" t="str">
        <f>"9780769530239"</f>
        <v>9780769530239</v>
      </c>
      <c r="C13576" s="8" t="s">
        <v>9</v>
      </c>
    </row>
    <row r="13577" spans="1:3" x14ac:dyDescent="0.25">
      <c r="A13577" s="8" t="str">
        <f>"Proceedings - Fourth ACM and IEEE International Conference on Formal Methods and Models for Co-Design, MEMOCODE'06"</f>
        <v>Proceedings - Fourth ACM and IEEE International Conference on Formal Methods and Models for Co-Design, MEMOCODE'06</v>
      </c>
      <c r="B13577" s="8" t="str">
        <f>"9781424404216"</f>
        <v>9781424404216</v>
      </c>
      <c r="C13577" s="8" t="s">
        <v>9</v>
      </c>
    </row>
    <row r="13578" spans="1:3" x14ac:dyDescent="0.25">
      <c r="A13578" s="8" t="str">
        <f>"Proceedings - Fourth Annual ACIS International Conference on Computer and Information Science, ICIS 2005"</f>
        <v>Proceedings - Fourth Annual ACIS International Conference on Computer and Information Science, ICIS 2005</v>
      </c>
      <c r="B13578" s="8" t="str">
        <f>"-"</f>
        <v>-</v>
      </c>
      <c r="C13578" s="8" t="s">
        <v>9</v>
      </c>
    </row>
    <row r="13579" spans="1:3" x14ac:dyDescent="0.25">
      <c r="A13579" s="8" t="str">
        <f>"Proceedings - Fourth Annual IEEE International Conference on Pervasive Computing and Communications Workshops, PerCom Workshops 2006"</f>
        <v>Proceedings - Fourth Annual IEEE International Conference on Pervasive Computing and Communications Workshops, PerCom Workshops 2006</v>
      </c>
      <c r="B13579" s="8" t="str">
        <f>"-"</f>
        <v>-</v>
      </c>
      <c r="C13579" s="8" t="s">
        <v>9</v>
      </c>
    </row>
    <row r="13580" spans="1:3" x14ac:dyDescent="0.25">
      <c r="A13580" s="8" t="str">
        <f>"Proceedings - Fourth Annual IEEE International Conference on Pervasive Computing and Communications, PerCom 2006"</f>
        <v>Proceedings - Fourth Annual IEEE International Conference on Pervasive Computing and Communications, PerCom 2006</v>
      </c>
      <c r="B13580" s="8" t="str">
        <f>"-"</f>
        <v>-</v>
      </c>
      <c r="C13580" s="8" t="s">
        <v>9</v>
      </c>
    </row>
    <row r="13581" spans="1:3" x14ac:dyDescent="0.25">
      <c r="A13581" s="8" t="str">
        <f>"Proceedings - Fourth Asia-Pacific Conference on Environmental Electromagnetics, CEEM'2006"</f>
        <v>Proceedings - Fourth Asia-Pacific Conference on Environmental Electromagnetics, CEEM'2006</v>
      </c>
      <c r="B13581" s="8" t="str">
        <f>"9781424401833"</f>
        <v>9781424401833</v>
      </c>
      <c r="C13581" s="8" t="s">
        <v>9</v>
      </c>
    </row>
    <row r="13582" spans="1:3" x14ac:dyDescent="0.25">
      <c r="A13582" s="8" t="str">
        <f>"Proceedings - Fourth Canadian Conference on Computer and Robot Vision, CRV 2007"</f>
        <v>Proceedings - Fourth Canadian Conference on Computer and Robot Vision, CRV 2007</v>
      </c>
      <c r="B13582" s="8" t="str">
        <f>"9780769527864"</f>
        <v>9780769527864</v>
      </c>
      <c r="C13582" s="8" t="s">
        <v>9</v>
      </c>
    </row>
    <row r="13583" spans="1:3" x14ac:dyDescent="0.25">
      <c r="A13583" s="8" t="str">
        <f>"Proceedings - Fourth IEEE and ACM International Symposium on Symposium on Mixed and Augmented Reality, ISMAR 2005"</f>
        <v>Proceedings - Fourth IEEE and ACM International Symposium on Symposium on Mixed and Augmented Reality, ISMAR 2005</v>
      </c>
      <c r="B13583" s="8" t="str">
        <f>"-"</f>
        <v>-</v>
      </c>
      <c r="C13583" s="8" t="s">
        <v>9</v>
      </c>
    </row>
    <row r="13584" spans="1:3" x14ac:dyDescent="0.25">
      <c r="A13584" s="8" t="str">
        <f>"Proceedings - Fourth IEEE International Conference on Data Mining, ICDM 2004"</f>
        <v>Proceedings - Fourth IEEE International Conference on Data Mining, ICDM 2004</v>
      </c>
      <c r="B13584" s="8" t="str">
        <f>"9780769521428"</f>
        <v>9780769521428</v>
      </c>
      <c r="C13584" s="8" t="s">
        <v>9</v>
      </c>
    </row>
    <row r="13585" spans="1:3" x14ac:dyDescent="0.25">
      <c r="A13585" s="8" t="str">
        <f>"Proceedings - Fourth IEEE International Symposium on Network Computing and Applications, NCA 2005"</f>
        <v>Proceedings - Fourth IEEE International Symposium on Network Computing and Applications, NCA 2005</v>
      </c>
      <c r="B13585" s="8" t="str">
        <f>"-"</f>
        <v>-</v>
      </c>
      <c r="C13585" s="8" t="s">
        <v>9</v>
      </c>
    </row>
    <row r="13586" spans="1:3" x14ac:dyDescent="0.25">
      <c r="A13586" s="8" t="str">
        <f>"Proceedings - Fourth IEEE International Workshop on Engineering of Autonomic and Autonomous Systems, EASe 2007"</f>
        <v>Proceedings - Fourth IEEE International Workshop on Engineering of Autonomic and Autonomous Systems, EASe 2007</v>
      </c>
      <c r="B13586" s="8" t="str">
        <f>"9780769528090"</f>
        <v>9780769528090</v>
      </c>
      <c r="C13586" s="8" t="s">
        <v>9</v>
      </c>
    </row>
    <row r="13587" spans="1:3" x14ac:dyDescent="0.25">
      <c r="A13587" s="8" t="str">
        <f>"Proceedings - Fourth IEEE International Workshop on Information Assurance, IWIA 2006"</f>
        <v>Proceedings - Fourth IEEE International Workshop on Information Assurance, IWIA 2006</v>
      </c>
      <c r="B13587" s="8" t="str">
        <f>"-"</f>
        <v>-</v>
      </c>
      <c r="C13587" s="8" t="s">
        <v>9</v>
      </c>
    </row>
    <row r="13588" spans="1:3" x14ac:dyDescent="0.25">
      <c r="A13588" s="8" t="str">
        <f>"Proceedings - Fourth IEEE International Workshop on Source Code Analysis and Manipulation"</f>
        <v>Proceedings - Fourth IEEE International Workshop on Source Code Analysis and Manipulation</v>
      </c>
      <c r="B13588" s="8" t="str">
        <f>"9780769521442"</f>
        <v>9780769521442</v>
      </c>
      <c r="C13588" s="8" t="s">
        <v>9</v>
      </c>
    </row>
    <row r="13589" spans="1:3" x14ac:dyDescent="0.25">
      <c r="A13589" s="8" t="str">
        <f>"Proceedings - Fourth IEEE International Workshop on Wireless, Mobile and Ubiquitous Technology in Education, WMUTE 2006"</f>
        <v>Proceedings - Fourth IEEE International Workshop on Wireless, Mobile and Ubiquitous Technology in Education, WMUTE 2006</v>
      </c>
      <c r="B13589" s="8" t="str">
        <f>"9780769527239"</f>
        <v>9780769527239</v>
      </c>
      <c r="C13589" s="8" t="s">
        <v>9</v>
      </c>
    </row>
    <row r="13590" spans="1:3" x14ac:dyDescent="0.25">
      <c r="A13590" s="8" t="str">
        <f>"Proceedings - Fourth IEEE Symposium on Bioinformatics and Bioengineering, BIBE 2004"</f>
        <v>Proceedings - Fourth IEEE Symposium on Bioinformatics and Bioengineering, BIBE 2004</v>
      </c>
      <c r="B13590" s="8" t="str">
        <f>"9780769521732"</f>
        <v>9780769521732</v>
      </c>
      <c r="C13590" s="8" t="s">
        <v>9</v>
      </c>
    </row>
    <row r="13591" spans="1:3" x14ac:dyDescent="0.25">
      <c r="A13591" s="8" t="str">
        <f>"Proceedings - Fourth IEEE Workshop on Automatic Identification Advanced Technologies, AUTO ID 2005"</f>
        <v>Proceedings - Fourth IEEE Workshop on Automatic Identification Advanced Technologies, AUTO ID 2005</v>
      </c>
      <c r="B13591" s="8" t="str">
        <f>"-"</f>
        <v>-</v>
      </c>
      <c r="C13591" s="8" t="s">
        <v>9</v>
      </c>
    </row>
    <row r="13592" spans="1:3" x14ac:dyDescent="0.25">
      <c r="A13592" s="8" t="str">
        <f>"Proceedings - Fourth International Conference on Application of Concurrency to System Design, ACSD 2004"</f>
        <v>Proceedings - Fourth International Conference on Application of Concurrency to System Design, ACSD 2004</v>
      </c>
      <c r="B13592" s="8" t="str">
        <f>"9780769520773"</f>
        <v>9780769520773</v>
      </c>
      <c r="C13592" s="8" t="s">
        <v>9</v>
      </c>
    </row>
    <row r="13593" spans="1:3" x14ac:dyDescent="0.25">
      <c r="A13593" s="8" t="str">
        <f>"Proceedings - Fourth International Conference on Coordinated and Multiple Views in Exploratory Visualization, CMV 2006"</f>
        <v>Proceedings - Fourth International Conference on Coordinated and Multiple Views in Exploratory Visualization, CMV 2006</v>
      </c>
      <c r="B13593" s="8" t="str">
        <f>"-"</f>
        <v>-</v>
      </c>
      <c r="C13593" s="8" t="s">
        <v>9</v>
      </c>
    </row>
    <row r="13594" spans="1:3" x14ac:dyDescent="0.25">
      <c r="A13594" s="8" t="str">
        <f>"Proceedings - Fourth International Conference on Creating, Connecting and Collaborating through Computing, C5 2006"</f>
        <v>Proceedings - Fourth International Conference on Creating, Connecting and Collaborating through Computing, C5 2006</v>
      </c>
      <c r="B13594" s="8" t="str">
        <f>"9780769525631"</f>
        <v>9780769525631</v>
      </c>
      <c r="C13594" s="8" t="s">
        <v>9</v>
      </c>
    </row>
    <row r="13595" spans="1:3" x14ac:dyDescent="0.25">
      <c r="A13595" s="8" t="str">
        <f>"Proceedings - Fourth International Conference on Fuzzy Systems and Knowledge Discovery, FSKD 2007"</f>
        <v>Proceedings - Fourth International Conference on Fuzzy Systems and Knowledge Discovery, FSKD 2007</v>
      </c>
      <c r="B13595" s="8" t="str">
        <f>"9780769528748"</f>
        <v>9780769528748</v>
      </c>
      <c r="C13595" s="8" t="s">
        <v>105</v>
      </c>
    </row>
    <row r="13596" spans="1:3" x14ac:dyDescent="0.25">
      <c r="A13596" s="8" t="str">
        <f>"Proceedings - Fourth International Conference on Quality Software, QSIC 2004"</f>
        <v>Proceedings - Fourth International Conference on Quality Software, QSIC 2004</v>
      </c>
      <c r="B13596" s="8" t="str">
        <f>"9780769522074"</f>
        <v>9780769522074</v>
      </c>
      <c r="C13596" s="8" t="s">
        <v>9</v>
      </c>
    </row>
    <row r="13597" spans="1:3" x14ac:dyDescent="0.25">
      <c r="A13597" s="8" t="str">
        <f>"Proceedings - Fourth International Conference on Software Engineering Research, Management and Applications, SERA 2006"</f>
        <v>Proceedings - Fourth International Conference on Software Engineering Research, Management and Applications, SERA 2006</v>
      </c>
      <c r="B13597" s="8" t="str">
        <f>"9780769526560"</f>
        <v>9780769526560</v>
      </c>
      <c r="C13597" s="8" t="s">
        <v>9</v>
      </c>
    </row>
    <row r="13598" spans="1:3" x14ac:dyDescent="0.25">
      <c r="A13598" s="8" t="str">
        <f>"Proceedings - Fourth International Symposium on Environmentally Conscious Design and Inverse Manufacturing, Eco Design 2005"</f>
        <v>Proceedings - Fourth International Symposium on Environmentally Conscious Design and Inverse Manufacturing, Eco Design 2005</v>
      </c>
      <c r="B13598" s="8" t="str">
        <f>"-"</f>
        <v>-</v>
      </c>
      <c r="C13598" s="8" t="s">
        <v>9</v>
      </c>
    </row>
    <row r="13599" spans="1:3" x14ac:dyDescent="0.25">
      <c r="A13599" s="8" t="str">
        <f>"Proceedings - Fourth International Workshop on Model-Based Methodologies for Pervasive and Embedded Software, MOMPES 2007"</f>
        <v>Proceedings - Fourth International Workshop on Model-Based Methodologies for Pervasive and Embedded Software, MOMPES 2007</v>
      </c>
      <c r="B13599" s="8" t="str">
        <f>"9780769527697"</f>
        <v>9780769527697</v>
      </c>
      <c r="C13599" s="8" t="s">
        <v>9</v>
      </c>
    </row>
    <row r="13600" spans="1:3" x14ac:dyDescent="0.25">
      <c r="A13600" s="8" t="str">
        <f>"Proceedings - Fourth Working IEEE/IFIP Conference on Software Architecture (WICSA 2004)"</f>
        <v>Proceedings - Fourth Working IEEE/IFIP Conference on Software Architecture (WICSA 2004)</v>
      </c>
      <c r="B13600" s="8" t="str">
        <f>"9780769521725"</f>
        <v>9780769521725</v>
      </c>
      <c r="C13600" s="8" t="s">
        <v>9</v>
      </c>
    </row>
    <row r="13601" spans="1:3" x14ac:dyDescent="0.25">
      <c r="A13601" s="8" t="str">
        <f>"Proceedings - Geometric Modeling and Processing 2004"</f>
        <v>Proceedings - Geometric Modeling and Processing 2004</v>
      </c>
      <c r="B13601" s="8" t="str">
        <f>"9780769520780"</f>
        <v>9780769520780</v>
      </c>
      <c r="C13601" s="8" t="s">
        <v>9</v>
      </c>
    </row>
    <row r="13602" spans="1:3" x14ac:dyDescent="0.25">
      <c r="A13602" s="8" t="str">
        <f>"Proceedings - Geometric Modeling and Processing: Theory and Applications, GMP 2002"</f>
        <v>Proceedings - Geometric Modeling and Processing: Theory and Applications, GMP 2002</v>
      </c>
      <c r="B13602" s="8" t="str">
        <f>"9780769516745"</f>
        <v>9780769516745</v>
      </c>
      <c r="C13602" s="8" t="s">
        <v>105</v>
      </c>
    </row>
    <row r="13603" spans="1:3" x14ac:dyDescent="0.25">
      <c r="A13603" s="8" t="str">
        <f>"Proceedings - GRAPHITE 2005 - 3rd International Conference on Computer Graphics and Interactive Techniques in Australasia and Southeast Asia"</f>
        <v>Proceedings - GRAPHITE 2005 - 3rd International Conference on Computer Graphics and Interactive Techniques in Australasia and Southeast Asia</v>
      </c>
      <c r="B13603" s="8" t="str">
        <f>"-"</f>
        <v>-</v>
      </c>
      <c r="C13603" s="8" t="s">
        <v>21</v>
      </c>
    </row>
    <row r="13604" spans="1:3" x14ac:dyDescent="0.25">
      <c r="A13604" s="8" t="str">
        <f>"Proceedings - GRAPHITE 2006: 4th International Conference on Computer Graphics and Interactive Techniques in Australasia and Southeast Asia"</f>
        <v>Proceedings - GRAPHITE 2006: 4th International Conference on Computer Graphics and Interactive Techniques in Australasia and Southeast Asia</v>
      </c>
      <c r="B13604" s="8" t="str">
        <f>"9781595935649"</f>
        <v>9781595935649</v>
      </c>
      <c r="C13604" s="8" t="s">
        <v>21</v>
      </c>
    </row>
    <row r="13605" spans="1:3" x14ac:dyDescent="0.25">
      <c r="A13605" s="8" t="str">
        <f>"Proceedings - GRAPHITE 2007, 5th International Conference on Computer Graphics and Interactive Techniques in Australasia and Southeast Asia"</f>
        <v>Proceedings - GRAPHITE 2007, 5th International Conference on Computer Graphics and Interactive Techniques in Australasia and Southeast Asia</v>
      </c>
      <c r="B13605" s="8" t="str">
        <f>"9781595939128"</f>
        <v>9781595939128</v>
      </c>
      <c r="C13605" s="8" t="s">
        <v>21</v>
      </c>
    </row>
    <row r="13606" spans="1:3" x14ac:dyDescent="0.25">
      <c r="A13606" s="8" t="str">
        <f>"Proceedings - High-Performance Graphics 2013, HPG 2013"</f>
        <v>Proceedings - High-Performance Graphics 2013, HPG 2013</v>
      </c>
      <c r="B13606" s="8" t="str">
        <f>"9781450321358"</f>
        <v>9781450321358</v>
      </c>
      <c r="C13606" s="8" t="s">
        <v>21</v>
      </c>
    </row>
    <row r="13607" spans="1:3" x14ac:dyDescent="0.25">
      <c r="A13607" s="8" t="str">
        <f>"Proceedings - HIS 2005: Fifth International Conference on Hybrid Intelligent Systems"</f>
        <v>Proceedings - HIS 2005: Fifth International Conference on Hybrid Intelligent Systems</v>
      </c>
      <c r="B13607" s="8" t="str">
        <f>"-"</f>
        <v>-</v>
      </c>
      <c r="C13607" s="8" t="s">
        <v>9</v>
      </c>
    </row>
    <row r="13608" spans="1:3" x14ac:dyDescent="0.25">
      <c r="A13608" s="8" t="str">
        <f>"Proceedings - HIS'04: 4th International Conference on Hybrid Intelligent Systems"</f>
        <v>Proceedings - HIS'04: 4th International Conference on Hybrid Intelligent Systems</v>
      </c>
      <c r="B13608" s="8" t="str">
        <f>"9780769522913"</f>
        <v>9780769522913</v>
      </c>
      <c r="C13608" s="8" t="s">
        <v>9</v>
      </c>
    </row>
    <row r="13609" spans="1:3" x14ac:dyDescent="0.25">
      <c r="A13609" s="8" t="str">
        <f>"Proceedings - HPCMP Users Group Conference, UGC 2006"</f>
        <v>Proceedings - HPCMP Users Group Conference, UGC 2006</v>
      </c>
      <c r="B13609" s="8" t="str">
        <f>"9780769527970"</f>
        <v>9780769527970</v>
      </c>
      <c r="C13609" s="8" t="s">
        <v>9</v>
      </c>
    </row>
    <row r="13610" spans="1:3" x14ac:dyDescent="0.25">
      <c r="A13610" s="8" t="str">
        <f>"Proceedings - HPG 2011: ACM SIGGRAPH Symposium on High Performance Graphics"</f>
        <v>Proceedings - HPG 2011: ACM SIGGRAPH Symposium on High Performance Graphics</v>
      </c>
      <c r="B13610" s="8" t="str">
        <f>"9781450308960"</f>
        <v>9781450308960</v>
      </c>
      <c r="C13610" s="8" t="s">
        <v>21</v>
      </c>
    </row>
    <row r="13611" spans="1:3" x14ac:dyDescent="0.25">
      <c r="A13611" s="8" t="str">
        <f>"Proceedings - I3D 2007, ACM SIGGRAPH Symposium on Interactive 3D Graphics and Games"</f>
        <v>Proceedings - I3D 2007, ACM SIGGRAPH Symposium on Interactive 3D Graphics and Games</v>
      </c>
      <c r="B13611" s="8" t="str">
        <f>"9781595936288"</f>
        <v>9781595936288</v>
      </c>
      <c r="C13611" s="8" t="s">
        <v>21</v>
      </c>
    </row>
    <row r="13612" spans="1:3" x14ac:dyDescent="0.25">
      <c r="A13612" s="8" t="str">
        <f>"Proceedings - I3D 2012: ACM SIGGRAPH Symposium on Interactive 3D Graphics and Games"</f>
        <v>Proceedings - I3D 2012: ACM SIGGRAPH Symposium on Interactive 3D Graphics and Games</v>
      </c>
      <c r="B13612" s="8" t="str">
        <f>"9781450311946"</f>
        <v>9781450311946</v>
      </c>
      <c r="C13612" s="8" t="s">
        <v>21</v>
      </c>
    </row>
    <row r="13613" spans="1:3" x14ac:dyDescent="0.25">
      <c r="A13613" s="8" t="str">
        <f>"Proceedings - IAS 2007 3rd Internationl Symposium on Information Assurance and Security"</f>
        <v>Proceedings - IAS 2007 3rd Internationl Symposium on Information Assurance and Security</v>
      </c>
      <c r="B13613" s="8" t="str">
        <f>"9780769528762"</f>
        <v>9780769528762</v>
      </c>
      <c r="C13613" s="8" t="s">
        <v>9</v>
      </c>
    </row>
    <row r="13614" spans="1:3" x14ac:dyDescent="0.25">
      <c r="A13614" s="8" t="str">
        <f>"Proceedings - ICACSIS 2014: 2014 International Conference on Advanced Computer Science and Information Systems"</f>
        <v>Proceedings - ICACSIS 2014: 2014 International Conference on Advanced Computer Science and Information Systems</v>
      </c>
      <c r="B13614" s="8" t="str">
        <f>"9781479980758"</f>
        <v>9781479980758</v>
      </c>
      <c r="C13614" s="8" t="s">
        <v>105</v>
      </c>
    </row>
    <row r="13615" spans="1:3" x14ac:dyDescent="0.25">
      <c r="A13615" s="8" t="str">
        <f>"Proceedings - ICCBSS 2007: Sixth International IEEE Conference on Commercial-off-the-Shelf (COTS)-Based Software Systems"</f>
        <v>Proceedings - ICCBSS 2007: Sixth International IEEE Conference on Commercial-off-the-Shelf (COTS)-Based Software Systems</v>
      </c>
      <c r="B13615" s="8" t="str">
        <f>"9780769527857"</f>
        <v>9780769527857</v>
      </c>
      <c r="C13615" s="8" t="s">
        <v>9</v>
      </c>
    </row>
    <row r="13616" spans="1:3" x14ac:dyDescent="0.25">
      <c r="A13616" s="8" t="str">
        <f>"Proceedings - ICCE 2008: 16th International Conference on Computers in Education"</f>
        <v>Proceedings - ICCE 2008: 16th International Conference on Computers in Education</v>
      </c>
      <c r="B13616" s="8" t="str">
        <f>"9789868473522"</f>
        <v>9789868473522</v>
      </c>
      <c r="C13616" s="8" t="s">
        <v>1278</v>
      </c>
    </row>
    <row r="13617" spans="1:3" x14ac:dyDescent="0.25">
      <c r="A13617" s="8" t="str">
        <f>"Proceedings - ICCES 2012: 2012 International Conference on Computer Engineering and Systems"</f>
        <v>Proceedings - ICCES 2012: 2012 International Conference on Computer Engineering and Systems</v>
      </c>
      <c r="B13617" s="8" t="str">
        <f>"9781467329613"</f>
        <v>9781467329613</v>
      </c>
      <c r="C13617" s="8" t="s">
        <v>9</v>
      </c>
    </row>
    <row r="13618" spans="1:3" x14ac:dyDescent="0.25">
      <c r="A13618" s="8" t="str">
        <f>"Proceedings - ICCES'2011: 2011 International Conference on Computer Engineering and Systems"</f>
        <v>Proceedings - ICCES'2011: 2011 International Conference on Computer Engineering and Systems</v>
      </c>
      <c r="B13618" s="8" t="str">
        <f>"9781457701283"</f>
        <v>9781457701283</v>
      </c>
      <c r="C13618" s="8" t="s">
        <v>9</v>
      </c>
    </row>
    <row r="13619" spans="1:3" x14ac:dyDescent="0.25">
      <c r="A13619" s="8" t="str">
        <f>"Proceedings - ICEBE 2005: IEEE International Conference on e-Business Engineering"</f>
        <v>Proceedings - ICEBE 2005: IEEE International Conference on e-Business Engineering</v>
      </c>
      <c r="B13619" s="8" t="str">
        <f>"-"</f>
        <v>-</v>
      </c>
      <c r="C13619" s="8" t="s">
        <v>9</v>
      </c>
    </row>
    <row r="13620" spans="1:3" x14ac:dyDescent="0.25">
      <c r="A13620" s="8" t="str">
        <f>"Proceedings - ICEBE 2007: IEEE International Conference on e-Business Engineering - Workshops: SOAIC 2007; SOSE 2007; SOKM 2007"</f>
        <v>Proceedings - ICEBE 2007: IEEE International Conference on e-Business Engineering - Workshops: SOAIC 2007; SOSE 2007; SOKM 2007</v>
      </c>
      <c r="B13620" s="8" t="str">
        <f>"9780769530031"</f>
        <v>9780769530031</v>
      </c>
      <c r="C13620" s="8" t="s">
        <v>9</v>
      </c>
    </row>
    <row r="13621" spans="1:3" x14ac:dyDescent="0.25">
      <c r="A13621" s="8" t="str">
        <f>"Proceedings - ICELIE 2009, 3rd IEEE International Conference on e-Learning in Industrial Electronics"</f>
        <v>Proceedings - ICELIE 2009, 3rd IEEE International Conference on e-Learning in Industrial Electronics</v>
      </c>
      <c r="B13621" s="8" t="str">
        <f>"9781424446544"</f>
        <v>9781424446544</v>
      </c>
      <c r="C13621" s="8" t="s">
        <v>9</v>
      </c>
    </row>
    <row r="13622" spans="1:3" x14ac:dyDescent="0.25">
      <c r="A13622" s="8" t="str">
        <f>"Proceedings - ICELIE 2010, 4th IEEE International Conference on E-Learning in Industrial Electronics"</f>
        <v>Proceedings - ICELIE 2010, 4th IEEE International Conference on E-Learning in Industrial Electronics</v>
      </c>
      <c r="B13622" s="8" t="str">
        <f>"9781424472529"</f>
        <v>9781424472529</v>
      </c>
      <c r="C13622" s="8" t="s">
        <v>9</v>
      </c>
    </row>
    <row r="13623" spans="1:3" x14ac:dyDescent="0.25">
      <c r="A13623" s="8" t="str">
        <f>"Proceedings - ICETEEEM 2012, International Conference on Emerging Trends in Electrical Engineering and Energy Management"</f>
        <v>Proceedings - ICETEEEM 2012, International Conference on Emerging Trends in Electrical Engineering and Energy Management</v>
      </c>
      <c r="B13623" s="8" t="str">
        <f>"9781467346337"</f>
        <v>9781467346337</v>
      </c>
      <c r="C13623" s="8" t="s">
        <v>9</v>
      </c>
    </row>
    <row r="13624" spans="1:3" x14ac:dyDescent="0.25">
      <c r="A13624" s="8" t="str">
        <f>"Proceedings - ICIDT 2012, 8th International Conference on Information Science and Digital Content Technology"</f>
        <v>Proceedings - ICIDT 2012, 8th International Conference on Information Science and Digital Content Technology</v>
      </c>
      <c r="B13624" s="8" t="str">
        <f>"9788988678695"</f>
        <v>9788988678695</v>
      </c>
      <c r="C13624" s="8" t="s">
        <v>9</v>
      </c>
    </row>
    <row r="13625" spans="1:3" x14ac:dyDescent="0.25">
      <c r="A13625" s="8" t="str">
        <f>"Proceedings - ICMLA 2005: Fourth International Conference on Machine Learning and Applications"</f>
        <v>Proceedings - ICMLA 2005: Fourth International Conference on Machine Learning and Applications</v>
      </c>
      <c r="B13625" s="8" t="str">
        <f>"-"</f>
        <v>-</v>
      </c>
      <c r="C13625" s="8" t="s">
        <v>9</v>
      </c>
    </row>
    <row r="13626" spans="1:3" x14ac:dyDescent="0.25">
      <c r="A13626" s="8" t="str">
        <f>"Proceedings - ICOCN 2012: 2012 11th International Conference on Optical Communications and Networks"</f>
        <v>Proceedings - ICOCN 2012: 2012 11th International Conference on Optical Communications and Networks</v>
      </c>
      <c r="B13626" s="8" t="str">
        <f>"9781467349574"</f>
        <v>9781467349574</v>
      </c>
      <c r="C13626" s="8" t="s">
        <v>9</v>
      </c>
    </row>
    <row r="13627" spans="1:3" x14ac:dyDescent="0.25">
      <c r="A13627" s="8" t="str">
        <f>"Proceedings - ICPC 2007: 15th IEEE International Conference on Program Comprehension"</f>
        <v>Proceedings - ICPC 2007: 15th IEEE International Conference on Program Comprehension</v>
      </c>
      <c r="B13627" s="8" t="str">
        <f>"9780769528601"</f>
        <v>9780769528601</v>
      </c>
      <c r="C13627" s="8" t="s">
        <v>9</v>
      </c>
    </row>
    <row r="13628" spans="1:3" x14ac:dyDescent="0.25">
      <c r="A13628" s="8" t="str">
        <f>"Proceedings - ICPERE 2014: 2nd IEEE Conference on Power Engineering and Renewable Energy 2014"</f>
        <v>Proceedings - ICPERE 2014: 2nd IEEE Conference on Power Engineering and Renewable Energy 2014</v>
      </c>
      <c r="B13628" s="8" t="str">
        <f>"9781479964024"</f>
        <v>9781479964024</v>
      </c>
      <c r="C13628" s="8" t="s">
        <v>105</v>
      </c>
    </row>
    <row r="13629" spans="1:3" x14ac:dyDescent="0.25">
      <c r="A13629" s="8" t="str">
        <f>"Proceedings - ICSE 2007 Workshops 5th International Workshop on Dynamic Analysis, WODA 2007"</f>
        <v>Proceedings - ICSE 2007 Workshops 5th International Workshop on Dynamic Analysis, WODA 2007</v>
      </c>
      <c r="B13629" s="8" t="str">
        <f>"9780769529639"</f>
        <v>9780769529639</v>
      </c>
      <c r="C13629" s="8" t="s">
        <v>9</v>
      </c>
    </row>
    <row r="13630" spans="1:3" x14ac:dyDescent="0.25">
      <c r="A13630" s="8" t="str">
        <f>"Proceedings - ICSE 2007 Workshops: 5th International Workshop on Software Quality, WoSQ 2007"</f>
        <v>Proceedings - ICSE 2007 Workshops: 5th International Workshop on Software Quality, WoSQ 2007</v>
      </c>
      <c r="B13630" s="8" t="str">
        <f>"9780769529592"</f>
        <v>9780769529592</v>
      </c>
      <c r="C13630" s="8" t="s">
        <v>9</v>
      </c>
    </row>
    <row r="13631" spans="1:3" x14ac:dyDescent="0.25">
      <c r="A13631" s="8" t="str">
        <f>"Proceedings - ICSE 2007 Workshops: First International Workshop on Assessment of Contemporary Modularization Techniques, ACoM'07"</f>
        <v>Proceedings - ICSE 2007 Workshops: First International Workshop on Assessment of Contemporary Modularization Techniques, ACoM'07</v>
      </c>
      <c r="B13631" s="8" t="str">
        <f>"9780769529677"</f>
        <v>9780769529677</v>
      </c>
      <c r="C13631" s="8" t="s">
        <v>9</v>
      </c>
    </row>
    <row r="13632" spans="1:3" x14ac:dyDescent="0.25">
      <c r="A13632" s="8" t="str">
        <f>"Proceedings - ICSE 2007 Workshops: First International Workshop on Software Engineering for Pervasive Computing Applications, Systems, and Environments, SEPCASE'07"</f>
        <v>Proceedings - ICSE 2007 Workshops: First International Workshop on Software Engineering for Pervasive Computing Applications, Systems, and Environments, SEPCASE'07</v>
      </c>
      <c r="B13632" s="8" t="str">
        <f>"9780769529707"</f>
        <v>9780769529707</v>
      </c>
      <c r="C13632" s="8" t="s">
        <v>9</v>
      </c>
    </row>
    <row r="13633" spans="1:3" x14ac:dyDescent="0.25">
      <c r="A13633" s="8" t="str">
        <f>"Proceedings - ICSE 2007 Workshops: Fourth International Workshop on Mining Software Repositories, MSR 2007"</f>
        <v>Proceedings - ICSE 2007 Workshops: Fourth International Workshop on Mining Software Repositories, MSR 2007</v>
      </c>
      <c r="B13633" s="8" t="str">
        <f>"9780769529509"</f>
        <v>9780769529509</v>
      </c>
      <c r="C13633" s="8" t="s">
        <v>9</v>
      </c>
    </row>
    <row r="13634" spans="1:3" x14ac:dyDescent="0.25">
      <c r="A13634" s="8" t="str">
        <f>"Proceedings - ICSE 2007 Workshops: Fourth International Workshop on Software Engineering for Automotive Systems, SEAS'07"</f>
        <v>Proceedings - ICSE 2007 Workshops: Fourth International Workshop on Software Engineering for Automotive Systems, SEAS'07</v>
      </c>
      <c r="B13634" s="8" t="str">
        <f>"9780769529684"</f>
        <v>9780769529684</v>
      </c>
      <c r="C13634" s="8" t="s">
        <v>9</v>
      </c>
    </row>
    <row r="13635" spans="1:3" x14ac:dyDescent="0.25">
      <c r="A13635" s="8" t="str">
        <f>"Proceedings - ICSE 2007 Workshops: International Workshop on Modeling in Software Engineering, MISE'07"</f>
        <v>Proceedings - ICSE 2007 Workshops: International Workshop on Modeling in Software Engineering, MISE'07</v>
      </c>
      <c r="B13635" s="8" t="str">
        <f>"9780769529530"</f>
        <v>9780769529530</v>
      </c>
      <c r="C13635" s="8" t="s">
        <v>9</v>
      </c>
    </row>
    <row r="13636" spans="1:3" x14ac:dyDescent="0.25">
      <c r="A13636" s="8" t="str">
        <f>"Proceedings - ICSE 2007 Workshops: International Workshop on Software Engineering for Adaptive and Self-Managing Systems, SEAMS 2007"</f>
        <v>Proceedings - ICSE 2007 Workshops: International Workshop on Software Engineering for Adaptive and Self-Managing Systems, SEAMS 2007</v>
      </c>
      <c r="B13636" s="8" t="str">
        <f>"9780769529738"</f>
        <v>9780769529738</v>
      </c>
      <c r="C13636" s="8" t="s">
        <v>9</v>
      </c>
    </row>
    <row r="13637" spans="1:3" x14ac:dyDescent="0.25">
      <c r="A13637" s="8" t="str">
        <f>"Proceedings - ICSE 2007 Workshops: International Workshop on Systems Development in SOA Environments, SDSOA'07"</f>
        <v>Proceedings - ICSE 2007 Workshops: International Workshop on Systems Development in SOA Environments, SDSOA'07</v>
      </c>
      <c r="B13637" s="8" t="str">
        <f>"9780769529608"</f>
        <v>9780769529608</v>
      </c>
      <c r="C13637" s="8" t="s">
        <v>9</v>
      </c>
    </row>
    <row r="13638" spans="1:3" x14ac:dyDescent="0.25">
      <c r="A13638" s="8" t="str">
        <f>"Proceedings - ICSE 2007 Workshops: Second International Workshop on Incorporating COTS Software into Software Systems: Tools and Techniques, IWICSS'07"</f>
        <v>Proceedings - ICSE 2007 Workshops: Second International Workshop on Incorporating COTS Software into Software Systems: Tools and Techniques, IWICSS'07</v>
      </c>
      <c r="B13638" s="8" t="str">
        <f>"9780769529660"</f>
        <v>9780769529660</v>
      </c>
      <c r="C13638" s="8" t="s">
        <v>9</v>
      </c>
    </row>
    <row r="13639" spans="1:3" x14ac:dyDescent="0.25">
      <c r="A13639" s="8" t="str">
        <f>"Proceedings - ICSE 2007 Workshops: Second International Workshop on Realising Evidence-Based Software Engineering, REBSE'07"</f>
        <v>Proceedings - ICSE 2007 Workshops: Second International Workshop on Realising Evidence-Based Software Engineering, REBSE'07</v>
      </c>
      <c r="B13639" s="8" t="str">
        <f>"9780769529622"</f>
        <v>9780769529622</v>
      </c>
      <c r="C13639" s="8" t="s">
        <v>9</v>
      </c>
    </row>
    <row r="13640" spans="1:3" x14ac:dyDescent="0.25">
      <c r="A13640" s="8" t="str">
        <f>"Proceedings - ICSE 2007 Workshops: Sixth International Workshop on Scenarios and State Machines, SCESM'07"</f>
        <v>Proceedings - ICSE 2007 Workshops: Sixth International Workshop on Scenarios and State Machines, SCESM'07</v>
      </c>
      <c r="B13640" s="8" t="str">
        <f>"9780769529585"</f>
        <v>9780769529585</v>
      </c>
      <c r="C13640" s="8" t="s">
        <v>9</v>
      </c>
    </row>
    <row r="13641" spans="1:3" x14ac:dyDescent="0.25">
      <c r="A13641" s="8" t="str">
        <f>"Proceedings - ICSE 2007 Workshops: Third International Workshop on Predictor Models in Software Engineering, PROMISE'07"</f>
        <v>Proceedings - ICSE 2007 Workshops: Third International Workshop on Predictor Models in Software Engineering, PROMISE'07</v>
      </c>
      <c r="B13641" s="8" t="str">
        <f>"9780769529547"</f>
        <v>9780769529547</v>
      </c>
      <c r="C13641" s="8" t="s">
        <v>9</v>
      </c>
    </row>
    <row r="13642" spans="1:3" x14ac:dyDescent="0.25">
      <c r="A13642" s="8" t="str">
        <f>"Proceedings - ICSE 2007 Workshops: Third International Workshop on Software Engineering for High Performance Computing Applications, SE-HPC'07"</f>
        <v>Proceedings - ICSE 2007 Workshops: Third International Workshop on Software Engineering for High Performance Computing Applications, SE-HPC'07</v>
      </c>
      <c r="B13642" s="8" t="str">
        <f>"9780769529691"</f>
        <v>9780769529691</v>
      </c>
      <c r="C13642" s="8" t="s">
        <v>9</v>
      </c>
    </row>
    <row r="13643" spans="1:3" x14ac:dyDescent="0.25">
      <c r="A13643" s="8" t="str">
        <f>"Proceedings - ICSE 2007 Workshops: Third International Workshop on Software Engineering for Secure Systems, SESS'07"</f>
        <v>Proceedings - ICSE 2007 Workshops: Third International Workshop on Software Engineering for Secure Systems, SESS'07</v>
      </c>
      <c r="B13643" s="8" t="str">
        <f>"9780769529523"</f>
        <v>9780769529523</v>
      </c>
      <c r="C13643" s="8" t="s">
        <v>9</v>
      </c>
    </row>
    <row r="13644" spans="1:3" x14ac:dyDescent="0.25">
      <c r="A13644" s="8" t="str">
        <f>"Proceedings - ICSE 2007 Workshops:Second Workshop on SHAring and Reusing architectural Knowledge Architecture, Rationale, and Design Intent, SHARK-ADI'07"</f>
        <v>Proceedings - ICSE 2007 Workshops:Second Workshop on SHAring and Reusing architectural Knowledge Architecture, Rationale, and Design Intent, SHARK-ADI'07</v>
      </c>
      <c r="B13644" s="8" t="str">
        <f>"9780769529516"</f>
        <v>9780769529516</v>
      </c>
      <c r="C13644" s="8" t="s">
        <v>9</v>
      </c>
    </row>
    <row r="13645" spans="1:3" x14ac:dyDescent="0.25">
      <c r="A13645" s="8" t="str">
        <f>"Proceedings - ICSEng 2011: International Conference on Systems Engineering"</f>
        <v>Proceedings - ICSEng 2011: International Conference on Systems Engineering</v>
      </c>
      <c r="B13645" s="8" t="str">
        <f>"9780769544953"</f>
        <v>9780769544953</v>
      </c>
      <c r="C13645" s="8" t="s">
        <v>9</v>
      </c>
    </row>
    <row r="13646" spans="1:3" x14ac:dyDescent="0.25">
      <c r="A13646" s="8" t="str">
        <f>"Proceedings - ICSGRC 2010: 2010 IEEE Control and System Graduate Research Colloquium"</f>
        <v>Proceedings - ICSGRC 2010: 2010 IEEE Control and System Graduate Research Colloquium</v>
      </c>
      <c r="B13646" s="8" t="str">
        <f>"9781424472406"</f>
        <v>9781424472406</v>
      </c>
      <c r="C13646" s="8" t="s">
        <v>9</v>
      </c>
    </row>
    <row r="13647" spans="1:3" x14ac:dyDescent="0.25">
      <c r="A13647" s="8" t="str">
        <f>"Proceedings - ICSSSM'06: 2006 International Conference on Service Systems and Service Management"</f>
        <v>Proceedings - ICSSSM'06: 2006 International Conference on Service Systems and Service Management</v>
      </c>
      <c r="B13647" s="8" t="str">
        <f>"9781424404513"</f>
        <v>9781424404513</v>
      </c>
      <c r="C13647" s="8" t="s">
        <v>9</v>
      </c>
    </row>
    <row r="13648" spans="1:3" x14ac:dyDescent="0.25">
      <c r="A13648" s="8" t="str">
        <f>"Proceedings - ICSSSM'07: 2007 International Conference on Service Systems and Service Management"</f>
        <v>Proceedings - ICSSSM'07: 2007 International Conference on Service Systems and Service Management</v>
      </c>
      <c r="B13648" s="8" t="str">
        <f>"9781424408856"</f>
        <v>9781424408856</v>
      </c>
      <c r="C13648" s="8" t="s">
        <v>9</v>
      </c>
    </row>
    <row r="13649" spans="1:3" x14ac:dyDescent="0.25">
      <c r="A13649" s="8" t="str">
        <f>"Proceedings - ICWS 2006: 2006 IEEE International Conference on Web Services"</f>
        <v>Proceedings - ICWS 2006: 2006 IEEE International Conference on Web Services</v>
      </c>
      <c r="B13649" s="8" t="str">
        <f>"9780769526690"</f>
        <v>9780769526690</v>
      </c>
      <c r="C13649" s="8" t="s">
        <v>9</v>
      </c>
    </row>
    <row r="13650" spans="1:3" x14ac:dyDescent="0.25">
      <c r="A13650" s="8" t="str">
        <f>"Proceedings - IDEAS Workshop on Medical Information Systems: The Digital Hospital, IDEAS'04-DH"</f>
        <v>Proceedings - IDEAS Workshop on Medical Information Systems: The Digital Hospital, IDEAS'04-DH</v>
      </c>
      <c r="B13650" s="8" t="str">
        <f>"9780769522890"</f>
        <v>9780769522890</v>
      </c>
      <c r="C13650" s="8" t="s">
        <v>9</v>
      </c>
    </row>
    <row r="13651" spans="1:3" x14ac:dyDescent="0.25">
      <c r="A13651" s="8" t="str">
        <f>"Proceedings - IDPHA 2014: Interdisciplinary Design of Pervasive Healthcare Applications"</f>
        <v>Proceedings - IDPHA 2014: Interdisciplinary Design of Pervasive Healthcare Applications</v>
      </c>
      <c r="B13651" s="8" t="str">
        <f>"-"</f>
        <v>-</v>
      </c>
      <c r="C13651" s="8" t="s">
        <v>1504</v>
      </c>
    </row>
    <row r="13652" spans="1:3" x14ac:dyDescent="0.25">
      <c r="A13652" s="8" t="str">
        <f>"Proceedings - IDT'07 The 2nd International Design and Test Workshop"</f>
        <v>Proceedings - IDT'07 The 2nd International Design and Test Workshop</v>
      </c>
      <c r="B13652" s="8" t="str">
        <f>"9781424418251"</f>
        <v>9781424418251</v>
      </c>
      <c r="C13652" s="8" t="s">
        <v>105</v>
      </c>
    </row>
    <row r="13653" spans="1:3" x14ac:dyDescent="0.25">
      <c r="A13653" s="8" t="str">
        <f>"Proceedings - IEEE / ACM SIGGRAPH Symposium on Volume Visualization and Graphics 2002, VolVis 2002"</f>
        <v>Proceedings - IEEE / ACM SIGGRAPH Symposium on Volume Visualization and Graphics 2002, VolVis 2002</v>
      </c>
      <c r="B13653" s="8" t="str">
        <f>"9780780376410"</f>
        <v>9780780376410</v>
      </c>
      <c r="C13653" s="8" t="s">
        <v>105</v>
      </c>
    </row>
    <row r="13654" spans="1:3" x14ac:dyDescent="0.25">
      <c r="A13654" s="8" t="str">
        <f>"Proceedings - IEEE 10th International Conference on Mobile Ad-Hoc and Sensor Systems, MASS 2013"</f>
        <v>Proceedings - IEEE 10th International Conference on Mobile Ad-Hoc and Sensor Systems, MASS 2013</v>
      </c>
      <c r="B13654" s="8" t="str">
        <f>"9780768551043"</f>
        <v>9780768551043</v>
      </c>
      <c r="C13654" s="8" t="s">
        <v>9</v>
      </c>
    </row>
    <row r="13655" spans="1:3" x14ac:dyDescent="0.25">
      <c r="A13655" s="8" t="str">
        <f>"Proceedings - IEEE 10th International Conference on Services Computing, SCC 2013"</f>
        <v>Proceedings - IEEE 10th International Conference on Services Computing, SCC 2013</v>
      </c>
      <c r="B13655" s="8" t="str">
        <f>"9780768550268"</f>
        <v>9780768550268</v>
      </c>
      <c r="C13655" s="8" t="s">
        <v>9</v>
      </c>
    </row>
    <row r="13656" spans="1:3" x14ac:dyDescent="0.25">
      <c r="A13656" s="8" t="str">
        <f>"Proceedings - IEEE 10th International Conference on Ubiquitous Intelligence and Computing, UIC 2013 and IEEE 10th International Conference on Autonomic and Trusted Computing, ATC 2013"</f>
        <v>Proceedings - IEEE 10th International Conference on Ubiquitous Intelligence and Computing, UIC 2013 and IEEE 10th International Conference on Autonomic and Trusted Computing, ATC 2013</v>
      </c>
      <c r="B13656" s="8" t="str">
        <f>"9781479924813"</f>
        <v>9781479924813</v>
      </c>
      <c r="C13656" s="8" t="s">
        <v>9</v>
      </c>
    </row>
    <row r="13657" spans="1:3" x14ac:dyDescent="0.25">
      <c r="A13657" s="8" t="str">
        <f>"Proceedings - IEEE 11th International Symposium on Network Computing and Applications, NCA 2012"</f>
        <v>Proceedings - IEEE 11th International Symposium on Network Computing and Applications, NCA 2012</v>
      </c>
      <c r="B13657" s="8" t="str">
        <f>"-"</f>
        <v>-</v>
      </c>
      <c r="C13657" s="8" t="s">
        <v>9</v>
      </c>
    </row>
    <row r="13658" spans="1:3" x14ac:dyDescent="0.25">
      <c r="A13658" s="8" t="str">
        <f>"Proceedings - IEEE 12th International Symposium on Network Computing and Applications, NCA 2013"</f>
        <v>Proceedings - IEEE 12th International Symposium on Network Computing and Applications, NCA 2013</v>
      </c>
      <c r="B13658" s="8" t="str">
        <f>"9780768550436"</f>
        <v>9780768550436</v>
      </c>
      <c r="C13658" s="8" t="s">
        <v>9</v>
      </c>
    </row>
    <row r="13659" spans="1:3" x14ac:dyDescent="0.25">
      <c r="A13659" s="8" t="str">
        <f>"Proceedings - IEEE 13th International Conference on Data Mining Workshops, ICDMW 2013"</f>
        <v>Proceedings - IEEE 13th International Conference on Data Mining Workshops, ICDMW 2013</v>
      </c>
      <c r="B13659" s="8" t="str">
        <f>"-"</f>
        <v>-</v>
      </c>
      <c r="C13659" s="8" t="s">
        <v>9</v>
      </c>
    </row>
    <row r="13660" spans="1:3" x14ac:dyDescent="0.25">
      <c r="A13660" s="8" t="str">
        <f>"Proceedings - IEEE 13th International Symposium on Parallel and Distributed Computing, ISPDC 2014"</f>
        <v>Proceedings - IEEE 13th International Symposium on Parallel and Distributed Computing, ISPDC 2014</v>
      </c>
      <c r="B13660" s="8" t="str">
        <f>"9780769552651"</f>
        <v>9780769552651</v>
      </c>
      <c r="C13660" s="8" t="s">
        <v>105</v>
      </c>
    </row>
    <row r="13661" spans="1:3" x14ac:dyDescent="0.25">
      <c r="A13661" s="8" t="str">
        <f>"Proceedings - IEEE 14th International Conference on Advanced Learning Technologies, ICALT 2014"</f>
        <v>Proceedings - IEEE 14th International Conference on Advanced Learning Technologies, ICALT 2014</v>
      </c>
      <c r="B13661" s="8" t="str">
        <f>"9781479940387"</f>
        <v>9781479940387</v>
      </c>
      <c r="C13661" s="8" t="s">
        <v>105</v>
      </c>
    </row>
    <row r="13662" spans="1:3" x14ac:dyDescent="0.25">
      <c r="A13662" s="8" t="str">
        <f>"Proceedings - IEEE 14th International Conference on Bioinformatics and Bioengineering, BIBE 2014"</f>
        <v>Proceedings - IEEE 14th International Conference on Bioinformatics and Bioengineering, BIBE 2014</v>
      </c>
      <c r="B13662" s="8" t="str">
        <f>"9781479975013"</f>
        <v>9781479975013</v>
      </c>
      <c r="C13662" s="8" t="s">
        <v>105</v>
      </c>
    </row>
    <row r="13663" spans="1:3" x14ac:dyDescent="0.25">
      <c r="A13663" s="8" t="str">
        <f>"Proceedings - IEEE 14th International Symposium on Parallel and Distributed Computing, ISPDC 2015"</f>
        <v>Proceedings - IEEE 14th International Symposium on Parallel and Distributed Computing, ISPDC 2015</v>
      </c>
      <c r="B13663" s="8" t="str">
        <f>"9781467371483"</f>
        <v>9781467371483</v>
      </c>
      <c r="C13663" s="8" t="s">
        <v>105</v>
      </c>
    </row>
    <row r="13664" spans="1:3" x14ac:dyDescent="0.25">
      <c r="A13664" s="8" t="str">
        <f>"Proceedings - IEEE 17th International Symposium on Object/Component/Service-Oriented Real-Time Distributed Computing, ISORC 2014"</f>
        <v>Proceedings - IEEE 17th International Symposium on Object/Component/Service-Oriented Real-Time Distributed Computing, ISORC 2014</v>
      </c>
      <c r="B13664" s="8" t="str">
        <f>"9781479944309"</f>
        <v>9781479944309</v>
      </c>
      <c r="C13664" s="8" t="s">
        <v>105</v>
      </c>
    </row>
    <row r="13665" spans="1:3" x14ac:dyDescent="0.25">
      <c r="A13665" s="8" t="str">
        <f>"Proceedings - IEEE 2002 Symposia on Human Centric Computing Languages and Environments, HCC 2002"</f>
        <v>Proceedings - IEEE 2002 Symposia on Human Centric Computing Languages and Environments, HCC 2002</v>
      </c>
      <c r="B13665" s="8" t="str">
        <f>"9780769516448"</f>
        <v>9780769516448</v>
      </c>
      <c r="C13665" s="8" t="s">
        <v>9</v>
      </c>
    </row>
    <row r="13666" spans="1:3" x14ac:dyDescent="0.25">
      <c r="A13666" s="8" t="str">
        <f>"Proceedings - IEEE 2005 International Conference on Emerging Technologies, ICET 2005"</f>
        <v>Proceedings - IEEE 2005 International Conference on Emerging Technologies, ICET 2005</v>
      </c>
      <c r="B13666" s="8" t="str">
        <f>"-"</f>
        <v>-</v>
      </c>
      <c r="C13666" s="8" t="s">
        <v>9</v>
      </c>
    </row>
    <row r="13667" spans="1:3" x14ac:dyDescent="0.25">
      <c r="A13667" s="8" t="str">
        <f>"Proceedings - IEEE 2011 10th International Conference on Electronic Measurement and Instruments, ICEMI 2011"</f>
        <v>Proceedings - IEEE 2011 10th International Conference on Electronic Measurement and Instruments, ICEMI 2011</v>
      </c>
      <c r="B13667" s="8" t="str">
        <f>"9781424481590"</f>
        <v>9781424481590</v>
      </c>
      <c r="C13667" s="8" t="s">
        <v>9</v>
      </c>
    </row>
    <row r="13668" spans="1:3" x14ac:dyDescent="0.25">
      <c r="A13668" s="8" t="str">
        <f>"Proceedings - IEEE 20th International Conference on Web Services, ICWS 2013"</f>
        <v>Proceedings - IEEE 20th International Conference on Web Services, ICWS 2013</v>
      </c>
      <c r="B13668" s="8" t="str">
        <f>"9780768550251"</f>
        <v>9780768550251</v>
      </c>
      <c r="C13668" s="8" t="s">
        <v>9</v>
      </c>
    </row>
    <row r="13669" spans="1:3" x14ac:dyDescent="0.25">
      <c r="A13669" s="8" t="str">
        <f>"Proceedings - IEEE 21st Annual Symposium on High-Performance Interconnects, HOTI 2013"</f>
        <v>Proceedings - IEEE 21st Annual Symposium on High-Performance Interconnects, HOTI 2013</v>
      </c>
      <c r="B13669" s="8" t="str">
        <f>"9780768551036"</f>
        <v>9780768551036</v>
      </c>
      <c r="C13669" s="8" t="s">
        <v>9</v>
      </c>
    </row>
    <row r="13670" spans="1:3" x14ac:dyDescent="0.25">
      <c r="A13670" s="8" t="str">
        <f>"Proceedings - IEEE 25th International Symposium on Software Reliability Engineering Workshops, ISSREW 2014"</f>
        <v>Proceedings - IEEE 25th International Symposium on Software Reliability Engineering Workshops, ISSREW 2014</v>
      </c>
      <c r="B13670" s="8" t="str">
        <f>"9781479973774"</f>
        <v>9781479973774</v>
      </c>
      <c r="C13670" s="8" t="s">
        <v>105</v>
      </c>
    </row>
    <row r="13671" spans="1:3" x14ac:dyDescent="0.25">
      <c r="A13671" s="8" t="str">
        <f>"Proceedings - IEEE 27th International Parallel and Distributed Processing Symposium Workshops and PhD Forum, IPDPSW 2013"</f>
        <v>Proceedings - IEEE 27th International Parallel and Distributed Processing Symposium Workshops and PhD Forum, IPDPSW 2013</v>
      </c>
      <c r="B13671" s="8" t="str">
        <f>"-"</f>
        <v>-</v>
      </c>
      <c r="C13671" s="8" t="s">
        <v>9</v>
      </c>
    </row>
    <row r="13672" spans="1:3" x14ac:dyDescent="0.25">
      <c r="A13672" s="8" t="str">
        <f>"Proceedings - IEEE 27th International Parallel and Distributed Processing Symposium, IPDPS 2013"</f>
        <v>Proceedings - IEEE 27th International Parallel and Distributed Processing Symposium, IPDPS 2013</v>
      </c>
      <c r="B13672" s="8" t="str">
        <f>"-"</f>
        <v>-</v>
      </c>
      <c r="C13672" s="8" t="s">
        <v>9</v>
      </c>
    </row>
    <row r="13673" spans="1:3" x14ac:dyDescent="0.25">
      <c r="A13673" s="8" t="str">
        <f>"Proceedings - IEEE 29th International Conference on Advanced Information Networking and Applications Workshops, WAINA 2015"</f>
        <v>Proceedings - IEEE 29th International Conference on Advanced Information Networking and Applications Workshops, WAINA 2015</v>
      </c>
      <c r="B13673" s="8" t="str">
        <f>"9781479917747"</f>
        <v>9781479917747</v>
      </c>
      <c r="C13673" s="8" t="s">
        <v>105</v>
      </c>
    </row>
    <row r="13674" spans="1:3" x14ac:dyDescent="0.25">
      <c r="A13674" s="8" t="str">
        <f>"Proceedings - IEEE 2nd Symposium on Network Cloud Computing and Applications, NCCA 2012"</f>
        <v>Proceedings - IEEE 2nd Symposium on Network Cloud Computing and Applications, NCCA 2012</v>
      </c>
      <c r="B13674" s="8" t="str">
        <f>"9780769549439"</f>
        <v>9780769549439</v>
      </c>
      <c r="C13674" s="8" t="s">
        <v>9</v>
      </c>
    </row>
    <row r="13675" spans="1:3" x14ac:dyDescent="0.25">
      <c r="A13675" s="8" t="str">
        <f>"Proceedings - IEEE 38th Annual International Computers, Software and Applications Conference Workshops, COMPSACW 2014"</f>
        <v>Proceedings - IEEE 38th Annual International Computers, Software and Applications Conference Workshops, COMPSACW 2014</v>
      </c>
      <c r="B13675" s="8" t="str">
        <f>"9781479935789"</f>
        <v>9781479935789</v>
      </c>
      <c r="C13675" s="8" t="s">
        <v>105</v>
      </c>
    </row>
    <row r="13676" spans="1:3" x14ac:dyDescent="0.25">
      <c r="A13676" s="8" t="str">
        <f>"Proceedings - IEEE 3rd Symposium on Network Cloud Computing and Applications, NCCA 2014"</f>
        <v>Proceedings - IEEE 3rd Symposium on Network Cloud Computing and Applications, NCCA 2014</v>
      </c>
      <c r="B13676" s="8" t="str">
        <f>"9780769551685"</f>
        <v>9780769551685</v>
      </c>
      <c r="C13676" s="8" t="s">
        <v>9</v>
      </c>
    </row>
    <row r="13677" spans="1:3" x14ac:dyDescent="0.25">
      <c r="A13677" s="8" t="str">
        <f>"Proceedings - IEEE 5th International Conference on Advanced Video and Signal Based Surveillance, AVSS 2008"</f>
        <v>Proceedings - IEEE 5th International Conference on Advanced Video and Signal Based Surveillance, AVSS 2008</v>
      </c>
      <c r="B13677" s="8" t="str">
        <f>"9780769533414"</f>
        <v>9780769533414</v>
      </c>
      <c r="C13677" s="8" t="s">
        <v>9</v>
      </c>
    </row>
    <row r="13678" spans="1:3" x14ac:dyDescent="0.25">
      <c r="A13678" s="8" t="str">
        <f>"Proceedings - IEEE 5th International Conference on Software Testing, Verification and Validation, ICST 2012"</f>
        <v>Proceedings - IEEE 5th International Conference on Software Testing, Verification and Validation, ICST 2012</v>
      </c>
      <c r="B13678" s="8" t="str">
        <f>"9780769546704"</f>
        <v>9780769546704</v>
      </c>
      <c r="C13678" s="8" t="s">
        <v>9</v>
      </c>
    </row>
    <row r="13679" spans="1:3" x14ac:dyDescent="0.25">
      <c r="A13679" s="8" t="str">
        <f>"Proceedings - IEEE 5th International Symposium on Multimedia Software Engineering, ISMSE 2003"</f>
        <v>Proceedings - IEEE 5th International Symposium on Multimedia Software Engineering, ISMSE 2003</v>
      </c>
      <c r="B13679" s="8" t="str">
        <f>"9780769520315"</f>
        <v>9780769520315</v>
      </c>
      <c r="C13679" s="8" t="s">
        <v>105</v>
      </c>
    </row>
    <row r="13680" spans="1:3" x14ac:dyDescent="0.25">
      <c r="A13680" s="8" t="str">
        <f>"Proceedings - IEEE 6th International Conference on Semantic Computing, ICSC 2012"</f>
        <v>Proceedings - IEEE 6th International Conference on Semantic Computing, ICSC 2012</v>
      </c>
      <c r="B13680" s="8" t="str">
        <f>"9780769548593"</f>
        <v>9780769548593</v>
      </c>
      <c r="C13680" s="8" t="s">
        <v>9</v>
      </c>
    </row>
    <row r="13681" spans="1:3" x14ac:dyDescent="0.25">
      <c r="A13681" s="8" t="str">
        <f>"Proceedings - IEEE 6th International Conference on Service-Oriented Computing and Applications, SOCA 2013"</f>
        <v>Proceedings - IEEE 6th International Conference on Service-Oriented Computing and Applications, SOCA 2013</v>
      </c>
      <c r="B13681" s="8" t="str">
        <f>"9781479927012"</f>
        <v>9781479927012</v>
      </c>
      <c r="C13681" s="8" t="s">
        <v>9</v>
      </c>
    </row>
    <row r="13682" spans="1:3" x14ac:dyDescent="0.25">
      <c r="A13682" s="8" t="str">
        <f>"Proceedings - IEEE 6th International Conference on Software Testing, Verification and Validation Workshops, ICSTW 2013"</f>
        <v>Proceedings - IEEE 6th International Conference on Software Testing, Verification and Validation Workshops, ICSTW 2013</v>
      </c>
      <c r="B13682" s="8" t="str">
        <f>"-"</f>
        <v>-</v>
      </c>
      <c r="C13682" s="8" t="s">
        <v>9</v>
      </c>
    </row>
    <row r="13683" spans="1:3" x14ac:dyDescent="0.25">
      <c r="A13683" s="8" t="str">
        <f>"Proceedings - IEEE 6th International Conference on Software Testing, Verification and Validation, ICST 2013"</f>
        <v>Proceedings - IEEE 6th International Conference on Software Testing, Verification and Validation, ICST 2013</v>
      </c>
      <c r="B13683" s="8" t="str">
        <f>"-"</f>
        <v>-</v>
      </c>
      <c r="C13683" s="8" t="s">
        <v>9</v>
      </c>
    </row>
    <row r="13684" spans="1:3" x14ac:dyDescent="0.25">
      <c r="A13684" s="8" t="str">
        <f>"Proceedings - IEEE 6th International Conference on Technology for Education, T4E 2014"</f>
        <v>Proceedings - IEEE 6th International Conference on Technology for Education, T4E 2014</v>
      </c>
      <c r="B13684" s="8" t="str">
        <f>"9781479964895"</f>
        <v>9781479964895</v>
      </c>
      <c r="C13684" s="8" t="s">
        <v>105</v>
      </c>
    </row>
    <row r="13685" spans="1:3" x14ac:dyDescent="0.25">
      <c r="A13685" s="8" t="str">
        <f>"Proceedings - IEEE 6th International Symposium on Embedded Multicore SoCs, MCSoC 2012"</f>
        <v>Proceedings - IEEE 6th International Symposium on Embedded Multicore SoCs, MCSoC 2012</v>
      </c>
      <c r="B13685" s="8" t="str">
        <f>"-"</f>
        <v>-</v>
      </c>
      <c r="C13685" s="8" t="s">
        <v>9</v>
      </c>
    </row>
    <row r="13686" spans="1:3" x14ac:dyDescent="0.25">
      <c r="A13686" s="8" t="str">
        <f>"Proceedings - IEEE 6th International Symposium on Theoretical Aspects of Software Engineering, TASE 2012"</f>
        <v>Proceedings - IEEE 6th International Symposium on Theoretical Aspects of Software Engineering, TASE 2012</v>
      </c>
      <c r="B13686" s="8" t="str">
        <f>"9780769547510"</f>
        <v>9780769547510</v>
      </c>
      <c r="C13686" s="8" t="s">
        <v>9</v>
      </c>
    </row>
    <row r="13687" spans="1:3" x14ac:dyDescent="0.25">
      <c r="A13687" s="8" t="str">
        <f>"Proceedings - IEEE 7th International Conference on Self-Adaptation and Self-Organizing Systems Workshops, SASOW 2013"</f>
        <v>Proceedings - IEEE 7th International Conference on Self-Adaptation and Self-Organizing Systems Workshops, SASOW 2013</v>
      </c>
      <c r="B13687" s="8" t="str">
        <f>"9781479950867"</f>
        <v>9781479950867</v>
      </c>
      <c r="C13687" s="8" t="s">
        <v>9</v>
      </c>
    </row>
    <row r="13688" spans="1:3" x14ac:dyDescent="0.25">
      <c r="A13688" s="8" t="str">
        <f>"Proceedings - IEEE 7th International Conference on Service-Oriented Computing and Applications, SOCA 2014"</f>
        <v>Proceedings - IEEE 7th International Conference on Service-Oriented Computing and Applications, SOCA 2014</v>
      </c>
      <c r="B13688" s="8" t="str">
        <f>"9781479968336"</f>
        <v>9781479968336</v>
      </c>
      <c r="C13688" s="8" t="s">
        <v>105</v>
      </c>
    </row>
    <row r="13689" spans="1:3" x14ac:dyDescent="0.25">
      <c r="A13689" s="8" t="str">
        <f>"Proceedings - IEEE 7th International Symposium on Embedded Multicore/Manycore System-on-Chip, MCSoC 2013"</f>
        <v>Proceedings - IEEE 7th International Symposium on Embedded Multicore/Manycore System-on-Chip, MCSoC 2013</v>
      </c>
      <c r="B13689" s="8" t="str">
        <f>"9780768550862"</f>
        <v>9780768550862</v>
      </c>
      <c r="C13689" s="8" t="s">
        <v>9</v>
      </c>
    </row>
    <row r="13690" spans="1:3" x14ac:dyDescent="0.25">
      <c r="A13690" s="8" t="str">
        <f>"Proceedings - IEEE 8th International Conference on Global Software Engineering, ICGSE 2013"</f>
        <v>Proceedings - IEEE 8th International Conference on Global Software Engineering, ICGSE 2013</v>
      </c>
      <c r="B13690" s="8" t="str">
        <f>"9780768550572"</f>
        <v>9780768550572</v>
      </c>
      <c r="C13690" s="8" t="s">
        <v>9</v>
      </c>
    </row>
    <row r="13691" spans="1:3" x14ac:dyDescent="0.25">
      <c r="A13691" s="8" t="str">
        <f>"Proceedings - IEEE 9th International Conference on Computer and Information Technology, CIT 2009"</f>
        <v>Proceedings - IEEE 9th International Conference on Computer and Information Technology, CIT 2009</v>
      </c>
      <c r="B13691" s="8" t="str">
        <f>"9780769538365"</f>
        <v>9780769538365</v>
      </c>
      <c r="C13691" s="8" t="s">
        <v>9</v>
      </c>
    </row>
    <row r="13692" spans="1:3" x14ac:dyDescent="0.25">
      <c r="A13692" s="8" t="str">
        <f>"Proceedings - IEEE 9th International Conference on Dependable, Autonomic and Secure Computing, DASC 2011"</f>
        <v>Proceedings - IEEE 9th International Conference on Dependable, Autonomic and Secure Computing, DASC 2011</v>
      </c>
      <c r="B13692" s="8" t="str">
        <f>"9780769546124"</f>
        <v>9780769546124</v>
      </c>
      <c r="C13692" s="8" t="s">
        <v>9</v>
      </c>
    </row>
    <row r="13693" spans="1:3" x14ac:dyDescent="0.25">
      <c r="A13693" s="8" t="str">
        <f>"Proceedings - IEEE 9th International Conference on e-Science, e-Science 2013"</f>
        <v>Proceedings - IEEE 9th International Conference on e-Science, e-Science 2013</v>
      </c>
      <c r="B13693" s="8" t="str">
        <f>"9780768550831"</f>
        <v>9780768550831</v>
      </c>
      <c r="C13693" s="8" t="s">
        <v>9</v>
      </c>
    </row>
    <row r="13694" spans="1:3" x14ac:dyDescent="0.25">
      <c r="A13694" s="8" t="str">
        <f>"Proceedings - IEEE 9th International Conference on Mobile Ad-Hoc and Sensor Networks, MSN 2013"</f>
        <v>Proceedings - IEEE 9th International Conference on Mobile Ad-Hoc and Sensor Networks, MSN 2013</v>
      </c>
      <c r="B13694" s="8" t="str">
        <f>"9780768551593"</f>
        <v>9780768551593</v>
      </c>
      <c r="C13694" s="8" t="s">
        <v>9</v>
      </c>
    </row>
    <row r="13695" spans="1:3" x14ac:dyDescent="0.25">
      <c r="A13695" s="8" t="str">
        <f>"Proceedings - IEEE 9th International Conference on Ubiquitous Intelligence and Computing and IEEE 9th International Conference on Autonomic and Trusted Computing, UIC-ATC 2012"</f>
        <v>Proceedings - IEEE 9th International Conference on Ubiquitous Intelligence and Computing and IEEE 9th International Conference on Autonomic and Trusted Computing, UIC-ATC 2012</v>
      </c>
      <c r="B13695" s="8" t="str">
        <f>"-"</f>
        <v>-</v>
      </c>
      <c r="C13695" s="8" t="s">
        <v>9</v>
      </c>
    </row>
    <row r="13696" spans="1:3" x14ac:dyDescent="0.25">
      <c r="A13696" s="8" t="str">
        <f>"Proceedings - IEEE and ACM International Symposium on Augmented Reality, ISAR 2000"</f>
        <v>Proceedings - IEEE and ACM International Symposium on Augmented Reality, ISAR 2000</v>
      </c>
      <c r="B13696" s="8" t="str">
        <f>"9780769508467"</f>
        <v>9780769508467</v>
      </c>
      <c r="C13696" s="8" t="s">
        <v>105</v>
      </c>
    </row>
    <row r="13697" spans="1:3" x14ac:dyDescent="0.25">
      <c r="A13697" s="8" t="str">
        <f>"Proceedings - IEEE Annual Symposium on VLSI, ISVLSI 2010"</f>
        <v>Proceedings - IEEE Annual Symposium on VLSI, ISVLSI 2010</v>
      </c>
      <c r="B13697" s="8" t="str">
        <f>"9780769540764"</f>
        <v>9780769540764</v>
      </c>
      <c r="C13697" s="8" t="s">
        <v>9</v>
      </c>
    </row>
    <row r="13698" spans="1:3" x14ac:dyDescent="0.25">
      <c r="A13698" s="8" t="str">
        <f>"Proceedings - IEEE COMNETSAT 2014: 2014 IEEE International Conference on Communication, Network and Satellite"</f>
        <v>Proceedings - IEEE COMNETSAT 2014: 2014 IEEE International Conference on Communication, Network and Satellite</v>
      </c>
      <c r="B13698" s="8" t="str">
        <f>"9781479951918"</f>
        <v>9781479951918</v>
      </c>
      <c r="C13698" s="8" t="s">
        <v>105</v>
      </c>
    </row>
    <row r="13699" spans="1:3" x14ac:dyDescent="0.25">
      <c r="A13699" s="8" t="str">
        <f>"Proceedings - IEEE Computer Society Annual Symposium on Emerging VLSI Technologies and Architectures 2006"</f>
        <v>Proceedings - IEEE Computer Society Annual Symposium on Emerging VLSI Technologies and Architectures 2006</v>
      </c>
      <c r="B13699" s="8" t="str">
        <f>"-"</f>
        <v>-</v>
      </c>
      <c r="C13699" s="8" t="s">
        <v>9</v>
      </c>
    </row>
    <row r="13700" spans="1:3" x14ac:dyDescent="0.25">
      <c r="A13700" s="8" t="str">
        <f>"Proceedings - IEEE Computer Society Annual Symposium on VLSI - New Frontiers in VLSI"</f>
        <v>Proceedings - IEEE Computer Society Annual Symposium on VLSI - New Frontiers in VLSI</v>
      </c>
      <c r="B13700" s="8" t="str">
        <f>"9780769523651"</f>
        <v>9780769523651</v>
      </c>
      <c r="C13700" s="8" t="s">
        <v>9</v>
      </c>
    </row>
    <row r="13701" spans="1:3" x14ac:dyDescent="0.25">
      <c r="A13701" s="8" t="str">
        <f>"Proceedings - IEEE Computer Society Annual Symposium on VLSI: Emerging Trends in VLSI Systems Design"</f>
        <v>Proceedings - IEEE Computer Society Annual Symposium on VLSI: Emerging Trends in VLSI Systems Design</v>
      </c>
      <c r="B13701" s="8" t="str">
        <f>"9780769520971"</f>
        <v>9780769520971</v>
      </c>
      <c r="C13701" s="8" t="s">
        <v>9</v>
      </c>
    </row>
    <row r="13702" spans="1:3" x14ac:dyDescent="0.25">
      <c r="A13702" s="8" t="str">
        <f>"Proceedings - IEEE Computer Society Annual Symposium on VLSI: Emerging VLSI Technologies and Architectures"</f>
        <v>Proceedings - IEEE Computer Society Annual Symposium on VLSI: Emerging VLSI Technologies and Architectures</v>
      </c>
      <c r="B13702" s="8" t="str">
        <f>"9780769528960"</f>
        <v>9780769528960</v>
      </c>
      <c r="C13702" s="8" t="s">
        <v>9</v>
      </c>
    </row>
    <row r="13703" spans="1:3" x14ac:dyDescent="0.25">
      <c r="A13703" s="8" t="str">
        <f>"Proceedings - IEEE Computer Society Annual Symposium on VLSI: Trends in VLSI Technology and Design, ISVLSI 2008"</f>
        <v>Proceedings - IEEE Computer Society Annual Symposium on VLSI: Trends in VLSI Technology and Design, ISVLSI 2008</v>
      </c>
      <c r="B13703" s="8" t="str">
        <f>"9780769531700"</f>
        <v>9780769531700</v>
      </c>
      <c r="C13703" s="8" t="s">
        <v>9</v>
      </c>
    </row>
    <row r="13704" spans="1:3" x14ac:dyDescent="0.25">
      <c r="A13704" s="8" t="str">
        <f>"Proceedings - IEEE Computer Society Bioinformatics Conference, CSB 2002"</f>
        <v>Proceedings - IEEE Computer Society Bioinformatics Conference, CSB 2002</v>
      </c>
      <c r="B13704" s="8" t="str">
        <f>"9780769516530"</f>
        <v>9780769516530</v>
      </c>
      <c r="C13704" s="8" t="s">
        <v>105</v>
      </c>
    </row>
    <row r="13705" spans="1:3" x14ac:dyDescent="0.25">
      <c r="A13705" s="8" t="str">
        <f>"Proceedings - IEEE Computer Society Workshop on VLSI 2000: System Design for a System-on-Chip Era, IWV 2000"</f>
        <v>Proceedings - IEEE Computer Society Workshop on VLSI 2000: System Design for a System-on-Chip Era, IWV 2000</v>
      </c>
      <c r="B13705" s="8" t="str">
        <f>"9780769505343"</f>
        <v>9780769505343</v>
      </c>
      <c r="C13705" s="8" t="s">
        <v>105</v>
      </c>
    </row>
    <row r="13706" spans="1:3" x14ac:dyDescent="0.25">
      <c r="A13706" s="8" t="str">
        <f>"Proceedings - IEEE Computer Society Workshop on VLSI, WVLSI 2001"</f>
        <v>Proceedings - IEEE Computer Society Workshop on VLSI, WVLSI 2001</v>
      </c>
      <c r="B13706" s="8" t="str">
        <f>"9780769510569"</f>
        <v>9780769510569</v>
      </c>
      <c r="C13706" s="8" t="s">
        <v>105</v>
      </c>
    </row>
    <row r="13707" spans="1:3" x14ac:dyDescent="0.25">
      <c r="A13707" s="8" t="str">
        <f>"Proceedings - IEEE Conference on Advanced Video and Signal Based Surveillance, AVSS 2003"</f>
        <v>Proceedings - IEEE Conference on Advanced Video and Signal Based Surveillance, AVSS 2003</v>
      </c>
      <c r="B13707" s="8" t="str">
        <f>"9780769519715"</f>
        <v>9780769519715</v>
      </c>
      <c r="C13707" s="8" t="s">
        <v>105</v>
      </c>
    </row>
    <row r="13708" spans="1:3" x14ac:dyDescent="0.25">
      <c r="A13708" s="8" t="str">
        <f>"Proceedings - IEEE CS Security and Privacy Workshops, SPW 2012"</f>
        <v>Proceedings - IEEE CS Security and Privacy Workshops, SPW 2012</v>
      </c>
      <c r="B13708" s="8" t="str">
        <f>"9780769547404"</f>
        <v>9780769547404</v>
      </c>
      <c r="C13708" s="8" t="s">
        <v>9</v>
      </c>
    </row>
    <row r="13709" spans="1:3" x14ac:dyDescent="0.25">
      <c r="A13709" s="8" t="str">
        <f>"Proceedings - IEEE CS Security and Privacy Workshops, SPW 2013"</f>
        <v>Proceedings - IEEE CS Security and Privacy Workshops, SPW 2013</v>
      </c>
      <c r="B13709" s="8" t="str">
        <f>"9780769550176"</f>
        <v>9780769550176</v>
      </c>
      <c r="C13709" s="8" t="s">
        <v>9</v>
      </c>
    </row>
    <row r="13710" spans="1:3" x14ac:dyDescent="0.25">
      <c r="A13710" s="8" t="str">
        <f>"Proceedings - IEEE International Conference on Advanced Learning Technologies, ICALT 2001"</f>
        <v>Proceedings - IEEE International Conference on Advanced Learning Technologies, ICALT 2001</v>
      </c>
      <c r="B13710" s="8" t="str">
        <f>"9780769510132"</f>
        <v>9780769510132</v>
      </c>
      <c r="C13710" s="8" t="s">
        <v>9</v>
      </c>
    </row>
    <row r="13711" spans="1:3" x14ac:dyDescent="0.25">
      <c r="A13711" s="8" t="str">
        <f>"Proceedings - IEEE International Conference on Advanced Learning Technologies, ICALT 2004"</f>
        <v>Proceedings - IEEE International Conference on Advanced Learning Technologies, ICALT 2004</v>
      </c>
      <c r="B13711" s="8" t="str">
        <f>"9780769521817"</f>
        <v>9780769521817</v>
      </c>
      <c r="C13711" s="8" t="s">
        <v>9</v>
      </c>
    </row>
    <row r="13712" spans="1:3" x14ac:dyDescent="0.25">
      <c r="A13712" s="8" t="str">
        <f>"Proceedings - IEEE International Conference on Advanced Video and Signal Based Surveillance, AVSS 2010"</f>
        <v>Proceedings - IEEE International Conference on Advanced Video and Signal Based Surveillance, AVSS 2010</v>
      </c>
      <c r="B13712" s="8" t="str">
        <f>"9780769542645"</f>
        <v>9780769542645</v>
      </c>
      <c r="C13712" s="8" t="s">
        <v>9</v>
      </c>
    </row>
    <row r="13713" spans="1:3" x14ac:dyDescent="0.25">
      <c r="A13713" s="8" t="str">
        <f>"Proceedings - IEEE International Conference on Bioinformatics and Biomedicine, BIBM 2008"</f>
        <v>Proceedings - IEEE International Conference on Bioinformatics and Biomedicine, BIBM 2008</v>
      </c>
      <c r="B13713" s="8" t="str">
        <f>"9780769534527"</f>
        <v>9780769534527</v>
      </c>
      <c r="C13713" s="8" t="s">
        <v>9</v>
      </c>
    </row>
    <row r="13714" spans="1:3" x14ac:dyDescent="0.25">
      <c r="A13714" s="8" t="str">
        <f>"Proceedings - IEEE International Conference on Data Mining Workshops, ICDM Workshops 2008"</f>
        <v>Proceedings - IEEE International Conference on Data Mining Workshops, ICDM Workshops 2008</v>
      </c>
      <c r="B13714" s="8" t="str">
        <f>"9780769535036"</f>
        <v>9780769535036</v>
      </c>
      <c r="C13714" s="8" t="s">
        <v>9</v>
      </c>
    </row>
    <row r="13715" spans="1:3" x14ac:dyDescent="0.25">
      <c r="A13715" s="8" t="str">
        <f>"Proceedings - IEEE International Conference on Distributed Computing in Sensor Systems, DCOSS 2012"</f>
        <v>Proceedings - IEEE International Conference on Distributed Computing in Sensor Systems, DCOSS 2012</v>
      </c>
      <c r="B13715" s="8" t="str">
        <f>"9780769547077"</f>
        <v>9780769547077</v>
      </c>
      <c r="C13715" s="8" t="s">
        <v>9</v>
      </c>
    </row>
    <row r="13716" spans="1:3" x14ac:dyDescent="0.25">
      <c r="A13716" s="8" t="str">
        <f>"Proceedings - IEEE International Conference on Distributed Computing in Sensor Systems, DCoSS 2013"</f>
        <v>Proceedings - IEEE International Conference on Distributed Computing in Sensor Systems, DCoSS 2013</v>
      </c>
      <c r="B13716" s="8" t="str">
        <f>"-"</f>
        <v>-</v>
      </c>
      <c r="C13716" s="8" t="s">
        <v>9</v>
      </c>
    </row>
    <row r="13717" spans="1:3" x14ac:dyDescent="0.25">
      <c r="A13717" s="8" t="str">
        <f>"Proceedings - IEEE International Conference on e-Business Engineering, ICEBE 2006"</f>
        <v>Proceedings - IEEE International Conference on e-Business Engineering, ICEBE 2006</v>
      </c>
      <c r="B13717" s="8" t="str">
        <f>"9780769526454"</f>
        <v>9780769526454</v>
      </c>
      <c r="C13717" s="8" t="s">
        <v>9</v>
      </c>
    </row>
    <row r="13718" spans="1:3" x14ac:dyDescent="0.25">
      <c r="A13718" s="8" t="str">
        <f>"Proceedings - IEEE International Conference on e-Business Engineering, ICEBE 2009; IEEE Int. Workshops - AiR 2009; SOAIC 2009; SOKMBI 2009; ASOC 2009"</f>
        <v>Proceedings - IEEE International Conference on e-Business Engineering, ICEBE 2009; IEEE Int. Workshops - AiR 2009; SOAIC 2009; SOKMBI 2009; ASOC 2009</v>
      </c>
      <c r="B13718" s="8" t="str">
        <f>"9780769538426"</f>
        <v>9780769538426</v>
      </c>
      <c r="C13718" s="8" t="s">
        <v>9</v>
      </c>
    </row>
    <row r="13719" spans="1:3" x14ac:dyDescent="0.25">
      <c r="A13719" s="8" t="str">
        <f>"Proceedings - IEEE International Conference on E-Business Engineering, ICEBE 2010"</f>
        <v>Proceedings - IEEE International Conference on E-Business Engineering, ICEBE 2010</v>
      </c>
      <c r="B13719" s="8" t="str">
        <f>"9780769542270"</f>
        <v>9780769542270</v>
      </c>
      <c r="C13719" s="8" t="s">
        <v>9</v>
      </c>
    </row>
    <row r="13720" spans="1:3" x14ac:dyDescent="0.25">
      <c r="A13720" s="8" t="str">
        <f>"Proceedings - IEEE International Conference on E-Commerce Technology, CEC 2004"</f>
        <v>Proceedings - IEEE International Conference on E-Commerce Technology, CEC 2004</v>
      </c>
      <c r="B13720" s="8" t="str">
        <f>"9780769520988"</f>
        <v>9780769520988</v>
      </c>
      <c r="C13720" s="8" t="s">
        <v>9</v>
      </c>
    </row>
    <row r="13721" spans="1:3" x14ac:dyDescent="0.25">
      <c r="A13721" s="8" t="str">
        <f>"Proceedings - IEEE International Conference on E-Commerce, CEC 2003"</f>
        <v>Proceedings - IEEE International Conference on E-Commerce, CEC 2003</v>
      </c>
      <c r="B13721" s="8" t="str">
        <f>"9780769519692"</f>
        <v>9780769519692</v>
      </c>
      <c r="C13721" s="8" t="s">
        <v>105</v>
      </c>
    </row>
    <row r="13722" spans="1:3" x14ac:dyDescent="0.25">
      <c r="A13722" s="8" t="str">
        <f>"Proceedings - IEEE International Conference on Semantic Computing 2008, ICSC 2008"</f>
        <v>Proceedings - IEEE International Conference on Semantic Computing 2008, ICSC 2008</v>
      </c>
      <c r="B13722" s="8" t="str">
        <f>"9780769532790"</f>
        <v>9780769532790</v>
      </c>
      <c r="C13722" s="8" t="s">
        <v>9</v>
      </c>
    </row>
    <row r="13723" spans="1:3" x14ac:dyDescent="0.25">
      <c r="A13723" s="8" t="str">
        <f>"Proceedings - IEEE International Conference on Sensor Networks, Ubiquitous, and Trustworthy Computing"</f>
        <v>Proceedings - IEEE International Conference on Sensor Networks, Ubiquitous, and Trustworthy Computing</v>
      </c>
      <c r="B13723" s="8" t="str">
        <f>"9780769525532"</f>
        <v>9780769525532</v>
      </c>
      <c r="C13723" s="8" t="s">
        <v>9</v>
      </c>
    </row>
    <row r="13724" spans="1:3" x14ac:dyDescent="0.25">
      <c r="A13724" s="8" t="str">
        <f>"Proceedings - IEEE International Conference on Sensor Networks, Ubiquitous, and Trustworthy Computing"</f>
        <v>Proceedings - IEEE International Conference on Sensor Networks, Ubiquitous, and Trustworthy Computing</v>
      </c>
      <c r="B13724" s="8" t="str">
        <f>"9780769531588"</f>
        <v>9780769531588</v>
      </c>
      <c r="C13724" s="8" t="s">
        <v>9</v>
      </c>
    </row>
    <row r="13725" spans="1:3" x14ac:dyDescent="0.25">
      <c r="A13725" s="8" t="str">
        <f>"Proceedings - IEEE International Conference on Service-Oriented Computing and Applications, SOCA 2007"</f>
        <v>Proceedings - IEEE International Conference on Service-Oriented Computing and Applications, SOCA 2007</v>
      </c>
      <c r="B13725" s="8" t="str">
        <f>"9780769528618"</f>
        <v>9780769528618</v>
      </c>
      <c r="C13725" s="8" t="s">
        <v>9</v>
      </c>
    </row>
    <row r="13726" spans="1:3" x14ac:dyDescent="0.25">
      <c r="A13726" s="8" t="str">
        <f>"Proceedings - IEEE International Conference on Shape Modeling and Applications 2006, SMI 2006"</f>
        <v>Proceedings - IEEE International Conference on Shape Modeling and Applications 2006, SMI 2006</v>
      </c>
      <c r="B13726" s="8" t="str">
        <f>"-"</f>
        <v>-</v>
      </c>
      <c r="C13726" s="8" t="s">
        <v>9</v>
      </c>
    </row>
    <row r="13727" spans="1:3" x14ac:dyDescent="0.25">
      <c r="A13727" s="8" t="str">
        <f>"Proceedings - IEEE International Conference on Shape Modeling and Applications 2007, SMI'07"</f>
        <v>Proceedings - IEEE International Conference on Shape Modeling and Applications 2007, SMI'07</v>
      </c>
      <c r="B13727" s="8" t="str">
        <f>"9780769528151"</f>
        <v>9780769528151</v>
      </c>
      <c r="C13727" s="8" t="s">
        <v>9</v>
      </c>
    </row>
    <row r="13728" spans="1:3" x14ac:dyDescent="0.25">
      <c r="A13728" s="8" t="str">
        <f>"Proceedings - IEEE International Conference on Software - Science, Technology and Engineering 2005, SwSTE '05"</f>
        <v>Proceedings - IEEE International Conference on Software - Science, Technology and Engineering 2005, SwSTE '05</v>
      </c>
      <c r="B13728" s="8" t="str">
        <f>"-"</f>
        <v>-</v>
      </c>
      <c r="C13728" s="8" t="s">
        <v>9</v>
      </c>
    </row>
    <row r="13729" spans="1:3" x14ac:dyDescent="0.25">
      <c r="A13729" s="8" t="str">
        <f>"Proceedings - IEEE International Conference on Software - Science, Technology and Engineering, SwSTE'07"</f>
        <v>Proceedings - IEEE International Conference on Software - Science, Technology and Engineering, SwSTE'07</v>
      </c>
      <c r="B13729" s="8" t="str">
        <f>"9780769530215"</f>
        <v>9780769530215</v>
      </c>
      <c r="C13729" s="8" t="s">
        <v>9</v>
      </c>
    </row>
    <row r="13730" spans="1:3" x14ac:dyDescent="0.25">
      <c r="A13730" s="8" t="str">
        <f>"Proceedings - IEEE International Conference on Technology for Education, T4E 2011"</f>
        <v>Proceedings - IEEE International Conference on Technology for Education, T4E 2011</v>
      </c>
      <c r="B13730" s="8" t="str">
        <f>"9780769545349"</f>
        <v>9780769545349</v>
      </c>
      <c r="C13730" s="8" t="s">
        <v>9</v>
      </c>
    </row>
    <row r="13731" spans="1:3" x14ac:dyDescent="0.25">
      <c r="A13731" s="8" t="str">
        <f>"Proceedings - IEEE International Conference on Video and Signal Based Surveillance 2006, AVSS 2006"</f>
        <v>Proceedings - IEEE International Conference on Video and Signal Based Surveillance 2006, AVSS 2006</v>
      </c>
      <c r="B13731" s="8" t="str">
        <f>"9780769526881"</f>
        <v>9780769526881</v>
      </c>
      <c r="C13731" s="8" t="s">
        <v>9</v>
      </c>
    </row>
    <row r="13732" spans="1:3" x14ac:dyDescent="0.25">
      <c r="A13732" s="8" t="str">
        <f>"Proceedings - IEEE International Conference on Web Services"</f>
        <v>Proceedings - IEEE International Conference on Web Services</v>
      </c>
      <c r="B13732" s="8" t="str">
        <f>"9780769521671"</f>
        <v>9780769521671</v>
      </c>
      <c r="C13732" s="8" t="s">
        <v>9</v>
      </c>
    </row>
    <row r="13733" spans="1:3" x14ac:dyDescent="0.25">
      <c r="A13733" s="8" t="str">
        <f>"Proceedings - IEEE International Conference on Web Services, ICWS 2004"</f>
        <v>Proceedings - IEEE International Conference on Web Services, ICWS 2004</v>
      </c>
      <c r="B13733" s="8" t="str">
        <f>"9780769521671"</f>
        <v>9780769521671</v>
      </c>
      <c r="C13733" s="8" t="s">
        <v>9</v>
      </c>
    </row>
    <row r="13734" spans="1:3" x14ac:dyDescent="0.25">
      <c r="A13734" s="8" t="str">
        <f>"Proceedings - IEEE International SOC Conference"</f>
        <v>Proceedings - IEEE International SOC Conference</v>
      </c>
      <c r="B13734" s="8" t="str">
        <f>"9780780384453"</f>
        <v>9780780384453</v>
      </c>
      <c r="C13734" s="8" t="s">
        <v>105</v>
      </c>
    </row>
    <row r="13735" spans="1:3" x14ac:dyDescent="0.25">
      <c r="A13735" s="8" t="str">
        <f>"Proceedings - IEEE International SOC Conference"</f>
        <v>Proceedings - IEEE International SOC Conference</v>
      </c>
      <c r="B13735" s="8" t="str">
        <f>"9780780392649"</f>
        <v>9780780392649</v>
      </c>
      <c r="C13735" s="8" t="s">
        <v>9</v>
      </c>
    </row>
    <row r="13736" spans="1:3" x14ac:dyDescent="0.25">
      <c r="A13736" s="8" t="str">
        <f>"Proceedings - IEEE International SOC Conference, SOCC 2003"</f>
        <v>Proceedings - IEEE International SOC Conference, SOCC 2003</v>
      </c>
      <c r="B13736" s="8" t="str">
        <f>"9780780381827"</f>
        <v>9780780381827</v>
      </c>
      <c r="C13736" s="8" t="s">
        <v>105</v>
      </c>
    </row>
    <row r="13737" spans="1:3" x14ac:dyDescent="0.25">
      <c r="A13737" s="8" t="str">
        <f>"Proceedings - IEEE International SOC Conference, SOCC 2009"</f>
        <v>Proceedings - IEEE International SOC Conference, SOCC 2009</v>
      </c>
      <c r="B13737" s="8" t="str">
        <f>"9781424452200"</f>
        <v>9781424452200</v>
      </c>
      <c r="C13737" s="8" t="s">
        <v>9</v>
      </c>
    </row>
    <row r="13738" spans="1:3" x14ac:dyDescent="0.25">
      <c r="A13738" s="8" t="str">
        <f>"Proceedings - IEEE International SOC Conference, SOCC 2010"</f>
        <v>Proceedings - IEEE International SOC Conference, SOCC 2010</v>
      </c>
      <c r="B13738" s="8" t="str">
        <f>"9781424466832"</f>
        <v>9781424466832</v>
      </c>
      <c r="C13738" s="8" t="s">
        <v>9</v>
      </c>
    </row>
    <row r="13739" spans="1:3" x14ac:dyDescent="0.25">
      <c r="A13739" s="8" t="str">
        <f>"Proceedings - IEEE International Symposium on Bio-Informatics and Biomedical Engineering, BIBE 2000"</f>
        <v>Proceedings - IEEE International Symposium on Bio-Informatics and Biomedical Engineering, BIBE 2000</v>
      </c>
      <c r="B13739" s="8" t="str">
        <f>"9780769508627"</f>
        <v>9780769508627</v>
      </c>
      <c r="C13739" s="8" t="s">
        <v>105</v>
      </c>
    </row>
    <row r="13740" spans="1:3" x14ac:dyDescent="0.25">
      <c r="A13740" s="8" t="str">
        <f>"Proceedings - IEEE International Symposium on Field-Programmable Custom Computing Machines, FCCM 2011"</f>
        <v>Proceedings - IEEE International Symposium on Field-Programmable Custom Computing Machines, FCCM 2011</v>
      </c>
      <c r="B13740" s="8" t="str">
        <f>"9780769543017"</f>
        <v>9780769543017</v>
      </c>
      <c r="C13740" s="8" t="s">
        <v>9</v>
      </c>
    </row>
    <row r="13741" spans="1:3" x14ac:dyDescent="0.25">
      <c r="A13741" s="8" t="str">
        <f>"Proceedings - IEEE International Workshop on Design and Test of Nano Devices, Circuits and Systems, NDCS 2008"</f>
        <v>Proceedings - IEEE International Workshop on Design and Test of Nano Devices, Circuits and Systems, NDCS 2008</v>
      </c>
      <c r="B13741" s="8" t="str">
        <f>"9780769533797"</f>
        <v>9780769533797</v>
      </c>
      <c r="C13741" s="8" t="s">
        <v>9</v>
      </c>
    </row>
    <row r="13742" spans="1:3" x14ac:dyDescent="0.25">
      <c r="A13742" s="8" t="str">
        <f>"Proceedings - IEEE International Workshop on Wireless and Mobile Technologies in Education, WMTE 2002"</f>
        <v>Proceedings - IEEE International Workshop on Wireless and Mobile Technologies in Education, WMTE 2002</v>
      </c>
      <c r="B13742" s="8" t="str">
        <f>"9780769517063"</f>
        <v>9780769517063</v>
      </c>
      <c r="C13742" s="8" t="s">
        <v>9</v>
      </c>
    </row>
    <row r="13743" spans="1:3" x14ac:dyDescent="0.25">
      <c r="A13743" s="8" t="str">
        <f>"Proceedings - IEEE International Workshop on Wireless and Mobile Technologies in Education, WMTE 2005"</f>
        <v>Proceedings - IEEE International Workshop on Wireless and Mobile Technologies in Education, WMTE 2005</v>
      </c>
      <c r="B13743" s="8" t="str">
        <f>"-"</f>
        <v>-</v>
      </c>
      <c r="C13743" s="8" t="s">
        <v>9</v>
      </c>
    </row>
    <row r="13744" spans="1:3" x14ac:dyDescent="0.25">
      <c r="A13744" s="8" t="str">
        <f>"Proceedings - IEEE John Vincent Atanasoff 2006 International Symposium on Modern Computing, JVA 2006"</f>
        <v>Proceedings - IEEE John Vincent Atanasoff 2006 International Symposium on Modern Computing, JVA 2006</v>
      </c>
      <c r="B13744" s="8" t="str">
        <f>"9780769526430"</f>
        <v>9780769526430</v>
      </c>
      <c r="C13744" s="8" t="s">
        <v>9</v>
      </c>
    </row>
    <row r="13745" spans="1:3" x14ac:dyDescent="0.25">
      <c r="A13745" s="8" t="str">
        <f>"Proceedings - IEEE Pacific Rim International Symposium on Dependable Computing"</f>
        <v>Proceedings - IEEE Pacific Rim International Symposium on Dependable Computing</v>
      </c>
      <c r="B13745" s="8" t="str">
        <f>"9780769520766"</f>
        <v>9780769520766</v>
      </c>
      <c r="C13745" s="8" t="s">
        <v>9</v>
      </c>
    </row>
    <row r="13746" spans="1:3" x14ac:dyDescent="0.25">
      <c r="A13746" s="8" t="str">
        <f>"Proceedings - IEEE Real-Time and Embedded Technology and Applications Symposium"</f>
        <v>Proceedings - IEEE Real-Time and Embedded Technology and Applications Symposium</v>
      </c>
      <c r="B13746" s="8" t="str">
        <f>"9780769521480"</f>
        <v>9780769521480</v>
      </c>
      <c r="C13746" s="8" t="s">
        <v>105</v>
      </c>
    </row>
    <row r="13747" spans="1:3" x14ac:dyDescent="0.25">
      <c r="A13747" s="8" t="str">
        <f>"Proceedings - IEEE Sixth International Symposium on Multimedia Software Engineering, MSE 2004"</f>
        <v>Proceedings - IEEE Sixth International Symposium on Multimedia Software Engineering, MSE 2004</v>
      </c>
      <c r="B13747" s="8" t="str">
        <f>"9780769522173"</f>
        <v>9780769522173</v>
      </c>
      <c r="C13747" s="8" t="s">
        <v>9</v>
      </c>
    </row>
    <row r="13748" spans="1:3" x14ac:dyDescent="0.25">
      <c r="A13748" s="8" t="str">
        <f>"Proceedings - IEEE Symposium on Field Programmable Custom Computing Machines, FCCM 2009"</f>
        <v>Proceedings - IEEE Symposium on Field Programmable Custom Computing Machines, FCCM 2009</v>
      </c>
      <c r="B13748" s="8" t="str">
        <f>"9780769537160"</f>
        <v>9780769537160</v>
      </c>
      <c r="C13748" s="8" t="s">
        <v>9</v>
      </c>
    </row>
    <row r="13749" spans="1:3" x14ac:dyDescent="0.25">
      <c r="A13749" s="8" t="str">
        <f>"Proceedings - IEEE Symposium on Field-Programmable Custom Computing Machines, FCCM 2010"</f>
        <v>Proceedings - IEEE Symposium on Field-Programmable Custom Computing Machines, FCCM 2010</v>
      </c>
      <c r="B13749" s="8" t="str">
        <f>"9780769540566"</f>
        <v>9780769540566</v>
      </c>
      <c r="C13749" s="8" t="s">
        <v>9</v>
      </c>
    </row>
    <row r="13750" spans="1:3" x14ac:dyDescent="0.25">
      <c r="A13750" s="8" t="str">
        <f>"Proceedings - IEEE Symposium on Security and Privacy"</f>
        <v>Proceedings - IEEE Symposium on Security and Privacy</v>
      </c>
      <c r="B13750" s="8" t="str">
        <f>"9780769521367"</f>
        <v>9780769521367</v>
      </c>
      <c r="C13750" s="8" t="s">
        <v>9</v>
      </c>
    </row>
    <row r="13751" spans="1:3" x14ac:dyDescent="0.25">
      <c r="A13751" s="8" t="str">
        <f>"Proceedings - IEEE Symposium on Visual Languages and Human-Centric Computing, VL/HCC 2006"</f>
        <v>Proceedings - IEEE Symposium on Visual Languages and Human-Centric Computing, VL/HCC 2006</v>
      </c>
      <c r="B13751" s="8" t="str">
        <f>"9780769525860"</f>
        <v>9780769525860</v>
      </c>
      <c r="C13751" s="8" t="s">
        <v>9</v>
      </c>
    </row>
    <row r="13752" spans="1:3" x14ac:dyDescent="0.25">
      <c r="A13752" s="8" t="str">
        <f>"Proceedings - IEEE Symposium on Visual Languages and Human-Centric Computing, VL/HCC 2007"</f>
        <v>Proceedings - IEEE Symposium on Visual Languages and Human-Centric Computing, VL/HCC 2007</v>
      </c>
      <c r="B13752" s="8" t="str">
        <f>"9780769529875"</f>
        <v>9780769529875</v>
      </c>
      <c r="C13752" s="8" t="s">
        <v>9</v>
      </c>
    </row>
    <row r="13753" spans="1:3" x14ac:dyDescent="0.25">
      <c r="A13753" s="8" t="str">
        <f>"Proceedings - IEEE Symposium on Volume Visualization and Graphics 2004. VolVis 2004"</f>
        <v>Proceedings - IEEE Symposium on Volume Visualization and Graphics 2004. VolVis 2004</v>
      </c>
      <c r="B13753" s="8" t="str">
        <f>"9780780387812"</f>
        <v>9780780387812</v>
      </c>
      <c r="C13753" s="8" t="s">
        <v>105</v>
      </c>
    </row>
    <row r="13754" spans="1:3" x14ac:dyDescent="0.25">
      <c r="A13754" s="8" t="str">
        <f>"Proceedings - IEEE Workshop on Applications of Computer Vision, WACV 2007"</f>
        <v>Proceedings - IEEE Workshop on Applications of Computer Vision, WACV 2007</v>
      </c>
      <c r="B13754" s="8" t="str">
        <f>"9780769527949"</f>
        <v>9780769527949</v>
      </c>
      <c r="C13754" s="8" t="s">
        <v>9</v>
      </c>
    </row>
    <row r="13755" spans="1:3" x14ac:dyDescent="0.25">
      <c r="A13755" s="8" t="str">
        <f>"Proceedings - IEEE Workshop on Content-Based Access of Image and Video Libraries, CBAIVL 2001"</f>
        <v>Proceedings - IEEE Workshop on Content-Based Access of Image and Video Libraries, CBAIVL 2001</v>
      </c>
      <c r="B13755" s="8" t="str">
        <f>"9780769513546"</f>
        <v>9780769513546</v>
      </c>
      <c r="C13755" s="8" t="s">
        <v>105</v>
      </c>
    </row>
    <row r="13756" spans="1:3" x14ac:dyDescent="0.25">
      <c r="A13756" s="8" t="str">
        <f>"Proceedings - IEEE Workshop on Detection and Recognition of Events in Video, EVENT 2001"</f>
        <v>Proceedings - IEEE Workshop on Detection and Recognition of Events in Video, EVENT 2001</v>
      </c>
      <c r="B13756" s="8" t="str">
        <f>"9780769512938"</f>
        <v>9780769512938</v>
      </c>
      <c r="C13756" s="8" t="s">
        <v>105</v>
      </c>
    </row>
    <row r="13757" spans="1:3" x14ac:dyDescent="0.25">
      <c r="A13757" s="8" t="str">
        <f>"Proceedings - IEEE Workshop on Knowledge Media Networking, KMN 2002"</f>
        <v>Proceedings - IEEE Workshop on Knowledge Media Networking, KMN 2002</v>
      </c>
      <c r="B13757" s="8" t="str">
        <f>"9780769517780"</f>
        <v>9780769517780</v>
      </c>
      <c r="C13757" s="8" t="s">
        <v>105</v>
      </c>
    </row>
    <row r="13758" spans="1:3" x14ac:dyDescent="0.25">
      <c r="A13758" s="8" t="str">
        <f>"Proceedings - IEEE Workshop on Motion and Video Computing, MOTION 2005"</f>
        <v>Proceedings - IEEE Workshop on Motion and Video Computing, MOTION 2005</v>
      </c>
      <c r="B13758" s="8" t="str">
        <f>"9780769522715"</f>
        <v>9780769522715</v>
      </c>
      <c r="C13758" s="8" t="s">
        <v>9</v>
      </c>
    </row>
    <row r="13759" spans="1:3" x14ac:dyDescent="0.25">
      <c r="A13759" s="8" t="str">
        <f>"Proceedings - IEEE Workshop on Omnidirectional Vision, OMNIVIS 2000"</f>
        <v>Proceedings - IEEE Workshop on Omnidirectional Vision, OMNIVIS 2000</v>
      </c>
      <c r="B13759" s="8" t="str">
        <f>"9780769507040"</f>
        <v>9780769507040</v>
      </c>
      <c r="C13759" s="8" t="s">
        <v>105</v>
      </c>
    </row>
    <row r="13760" spans="1:3" x14ac:dyDescent="0.25">
      <c r="A13760" s="8" t="str">
        <f>"Proceedings - IEEE Workshop on Software Technologies for Future Embedded Systems, WSTFES 2003"</f>
        <v>Proceedings - IEEE Workshop on Software Technologies for Future Embedded Systems, WSTFES 2003</v>
      </c>
      <c r="B13760" s="8" t="str">
        <f>"9780769519371"</f>
        <v>9780769519371</v>
      </c>
      <c r="C13760" s="8" t="s">
        <v>105</v>
      </c>
    </row>
    <row r="13761" spans="1:3" x14ac:dyDescent="0.25">
      <c r="A13761" s="8" t="str">
        <f>"Proceedings - IEEE Workshop on Stereo and Multi-Baseline Vision, SMBV 2001"</f>
        <v>Proceedings - IEEE Workshop on Stereo and Multi-Baseline Vision, SMBV 2001</v>
      </c>
      <c r="B13761" s="8" t="str">
        <f>"9780769513270"</f>
        <v>9780769513270</v>
      </c>
      <c r="C13761" s="8" t="s">
        <v>105</v>
      </c>
    </row>
    <row r="13762" spans="1:3" x14ac:dyDescent="0.25">
      <c r="A13762" s="8" t="str">
        <f>"Proceedings - IEEE Workshop on Variational and Level Set Methods in Computer Vision, VLSM 2001"</f>
        <v>Proceedings - IEEE Workshop on Variational and Level Set Methods in Computer Vision, VLSM 2001</v>
      </c>
      <c r="B13762" s="8" t="str">
        <f>"9780769512785"</f>
        <v>9780769512785</v>
      </c>
      <c r="C13762" s="8" t="s">
        <v>105</v>
      </c>
    </row>
    <row r="13763" spans="1:3" x14ac:dyDescent="0.25">
      <c r="A13763" s="8" t="str">
        <f>"Proceedings - IEEE/IFIP International Conference on Embedded and Ubiquitous Computing, EUC 2010"</f>
        <v>Proceedings - IEEE/IFIP International Conference on Embedded and Ubiquitous Computing, EUC 2010</v>
      </c>
      <c r="B13763" s="8" t="str">
        <f>"9780769543222"</f>
        <v>9780769543222</v>
      </c>
      <c r="C13763" s="8" t="s">
        <v>9</v>
      </c>
    </row>
    <row r="13764" spans="1:3" x14ac:dyDescent="0.25">
      <c r="A13764" s="8" t="str">
        <f>"Proceedings - IEEE/WIC International Conference on Intelligent Agent Technology, IAT'03"</f>
        <v>Proceedings - IEEE/WIC International Conference on Intelligent Agent Technology, IAT'03</v>
      </c>
      <c r="B13764" s="8" t="str">
        <f>"9780769519319"</f>
        <v>9780769519319</v>
      </c>
      <c r="C13764" s="8" t="s">
        <v>9</v>
      </c>
    </row>
    <row r="13765" spans="1:3" x14ac:dyDescent="0.25">
      <c r="A13765" s="8" t="str">
        <f>"Proceedings - IEEE/WIC/ACM International Conference on Intelligent Agent Technology. IAT 2004"</f>
        <v>Proceedings - IEEE/WIC/ACM International Conference on Intelligent Agent Technology. IAT 2004</v>
      </c>
      <c r="B13765" s="8" t="str">
        <f>"9780769521015"</f>
        <v>9780769521015</v>
      </c>
      <c r="C13765" s="8" t="s">
        <v>9</v>
      </c>
    </row>
    <row r="13766" spans="1:3" x14ac:dyDescent="0.25">
      <c r="A13766" s="8" t="str">
        <f>"Proceedings - IEEE/WIC/ACM International Conference on Web Intelligence, WI 2004"</f>
        <v>Proceedings - IEEE/WIC/ACM International Conference on Web Intelligence, WI 2004</v>
      </c>
      <c r="B13766" s="8" t="str">
        <f>"9780769521008"</f>
        <v>9780769521008</v>
      </c>
      <c r="C13766" s="8" t="s">
        <v>9</v>
      </c>
    </row>
    <row r="13767" spans="1:3" x14ac:dyDescent="0.25">
      <c r="A13767" s="8" t="str">
        <f>"Proceedings - IEEE-EMBS International Conference on Biomedical and Health Informatics: Global Grand Challenge of Health Informatics, BHI 2012"</f>
        <v>Proceedings - IEEE-EMBS International Conference on Biomedical and Health Informatics: Global Grand Challenge of Health Informatics, BHI 2012</v>
      </c>
      <c r="B13767" s="8" t="str">
        <f>"9781457721779"</f>
        <v>9781457721779</v>
      </c>
      <c r="C13767" s="8" t="s">
        <v>9</v>
      </c>
    </row>
    <row r="13768" spans="1:3" x14ac:dyDescent="0.25">
      <c r="A13768" s="8" t="str">
        <f>"Proceedings - IMAPS International Conference and Exhibition on High Temperature Electronics, HiTEC 2012"</f>
        <v>Proceedings - IMAPS International Conference and Exhibition on High Temperature Electronics, HiTEC 2012</v>
      </c>
      <c r="B13768" s="8" t="str">
        <f>"-"</f>
        <v>-</v>
      </c>
      <c r="C13768" s="8" t="s">
        <v>93</v>
      </c>
    </row>
    <row r="13769" spans="1:3" x14ac:dyDescent="0.25">
      <c r="A13769" s="8" t="str">
        <f>"Proceedings - IMAPS/ACerS 8th International Conference and Exhibition on Ceramic Interconnect and Ceramic Microsystems Technologies, CICMT 2012"</f>
        <v>Proceedings - IMAPS/ACerS 8th International Conference and Exhibition on Ceramic Interconnect and Ceramic Microsystems Technologies, CICMT 2012</v>
      </c>
      <c r="B13769" s="8" t="str">
        <f>"-"</f>
        <v>-</v>
      </c>
      <c r="C13769" s="8" t="s">
        <v>2066</v>
      </c>
    </row>
    <row r="13770" spans="1:3" x14ac:dyDescent="0.25">
      <c r="A13770" s="8" t="str">
        <f>"Proceedings - IMVIP 2008, 2008 International Machine Vision and Image Processing Conference"</f>
        <v>Proceedings - IMVIP 2008, 2008 International Machine Vision and Image Processing Conference</v>
      </c>
      <c r="B13770" s="8" t="str">
        <f>"9780769533322"</f>
        <v>9780769533322</v>
      </c>
      <c r="C13770" s="8" t="s">
        <v>9</v>
      </c>
    </row>
    <row r="13771" spans="1:3" x14ac:dyDescent="0.25">
      <c r="A13771" s="8" t="str">
        <f>"Proceedings - INMIC 2003: IEEE 7th International Multi Topic Conference"</f>
        <v>Proceedings - INMIC 2003: IEEE 7th International Multi Topic Conference</v>
      </c>
      <c r="B13771" s="8" t="str">
        <f>"9780780381834"</f>
        <v>9780780381834</v>
      </c>
      <c r="C13771" s="8" t="s">
        <v>105</v>
      </c>
    </row>
    <row r="13772" spans="1:3" x14ac:dyDescent="0.25">
      <c r="A13772" s="8" t="str">
        <f>"Proceedings - Institute of Corrosion, UK Corrosion 2003"</f>
        <v>Proceedings - Institute of Corrosion, UK Corrosion 2003</v>
      </c>
      <c r="B13772" s="8" t="str">
        <f>"-"</f>
        <v>-</v>
      </c>
      <c r="C13772" s="8" t="s">
        <v>2084</v>
      </c>
    </row>
    <row r="13773" spans="1:3" x14ac:dyDescent="0.25">
      <c r="A13773" s="8" t="str">
        <f>"Proceedings - International Brazilian Conference on Tribology"</f>
        <v>Proceedings - International Brazilian Conference on Tribology</v>
      </c>
      <c r="B13773" s="8" t="str">
        <f>"-"</f>
        <v>-</v>
      </c>
      <c r="C13773" s="8" t="s">
        <v>872</v>
      </c>
    </row>
    <row r="13774" spans="1:3" x14ac:dyDescent="0.25">
      <c r="A13774" s="8" t="str">
        <f>"Proceedings - International Conference on 2014 Applications and Innovations in Mobile Computing, AIMoC 2014"</f>
        <v>Proceedings - International Conference on 2014 Applications and Innovations in Mobile Computing, AIMoC 2014</v>
      </c>
      <c r="B13774" s="8" t="str">
        <f>"9781479938803"</f>
        <v>9781479938803</v>
      </c>
      <c r="C13774" s="8" t="s">
        <v>9</v>
      </c>
    </row>
    <row r="13775" spans="1:3" x14ac:dyDescent="0.25">
      <c r="A13775" s="8" t="str">
        <f>"Proceedings - International Conference on 2015 Applications and Innovations in Mobile Computing, AIMoC 2015"</f>
        <v>Proceedings - International Conference on 2015 Applications and Innovations in Mobile Computing, AIMoC 2015</v>
      </c>
      <c r="B13775" s="8" t="str">
        <f>"9781479918485"</f>
        <v>9781479918485</v>
      </c>
      <c r="C13775" s="8" t="s">
        <v>105</v>
      </c>
    </row>
    <row r="13776" spans="1:3" x14ac:dyDescent="0.25">
      <c r="A13776" s="8" t="str">
        <f>"Proceedings - International Conference on Advanced Computer Control, ICACC 2009"</f>
        <v>Proceedings - International Conference on Advanced Computer Control, ICACC 2009</v>
      </c>
      <c r="B13776" s="8" t="str">
        <f>"9780769535166"</f>
        <v>9780769535166</v>
      </c>
      <c r="C13776" s="8" t="s">
        <v>9</v>
      </c>
    </row>
    <row r="13777" spans="1:3" x14ac:dyDescent="0.25">
      <c r="A13777" s="8" t="str">
        <f>"Proceedings - International Conference on Advanced Engineering Computing and Applications in Sciences, ADVCOMP 2007"</f>
        <v>Proceedings - International Conference on Advanced Engineering Computing and Applications in Sciences, ADVCOMP 2007</v>
      </c>
      <c r="B13777" s="8" t="str">
        <f>"9780769529929"</f>
        <v>9780769529929</v>
      </c>
      <c r="C13777" s="8" t="s">
        <v>9</v>
      </c>
    </row>
    <row r="13778" spans="1:3" x14ac:dyDescent="0.25">
      <c r="A13778" s="8" t="str">
        <f>"Proceedings - International Conference on Advanced Information Networking and Application (AINA)"</f>
        <v>Proceedings - International Conference on Advanced Information Networking and Application (AINA)</v>
      </c>
      <c r="B13778" s="8" t="str">
        <f>"9780769520513"</f>
        <v>9780769520513</v>
      </c>
      <c r="C13778" s="8" t="s">
        <v>9</v>
      </c>
    </row>
    <row r="13779" spans="1:3" x14ac:dyDescent="0.25">
      <c r="A13779" s="8" t="str">
        <f>"Proceedings - International Conference on Advances in Electronics and Micro-electronics, ENICS 2008"</f>
        <v>Proceedings - International Conference on Advances in Electronics and Micro-electronics, ENICS 2008</v>
      </c>
      <c r="B13779" s="8" t="str">
        <f>"9780769533704"</f>
        <v>9780769533704</v>
      </c>
      <c r="C13779" s="8" t="s">
        <v>9</v>
      </c>
    </row>
    <row r="13780" spans="1:3" x14ac:dyDescent="0.25">
      <c r="A13780" s="8" t="str">
        <f>"Proceedings - International Conference on Artificial Intelligence and Computational Intelligence, AICI 2010"</f>
        <v>Proceedings - International Conference on Artificial Intelligence and Computational Intelligence, AICI 2010</v>
      </c>
      <c r="B13780" s="8" t="str">
        <f>"9780769542256"</f>
        <v>9780769542256</v>
      </c>
      <c r="C13780" s="8" t="s">
        <v>9</v>
      </c>
    </row>
    <row r="13781" spans="1:3" x14ac:dyDescent="0.25">
      <c r="A13781" s="8" t="str">
        <f>"Proceedings - International Conference on Autonomic Computing"</f>
        <v>Proceedings - International Conference on Autonomic Computing</v>
      </c>
      <c r="B13781" s="8" t="str">
        <f>"9780769521145"</f>
        <v>9780769521145</v>
      </c>
      <c r="C13781" s="8" t="s">
        <v>9</v>
      </c>
    </row>
    <row r="13782" spans="1:3" x14ac:dyDescent="0.25">
      <c r="A13782" s="8" t="str">
        <f>"Proceedings - International Conference on Availability, Reliability and Security, ARES 2009"</f>
        <v>Proceedings - International Conference on Availability, Reliability and Security, ARES 2009</v>
      </c>
      <c r="B13782" s="8" t="str">
        <f>"9780769535647"</f>
        <v>9780769535647</v>
      </c>
      <c r="C13782" s="8" t="s">
        <v>9</v>
      </c>
    </row>
    <row r="13783" spans="1:3" x14ac:dyDescent="0.25">
      <c r="A13783" s="8" t="str">
        <f>"Proceedings - International Conference on Biocomputation, Bioinformatics, and Biomedical Technologies, BIOTECHNO 2008"</f>
        <v>Proceedings - International Conference on Biocomputation, Bioinformatics, and Biomedical Technologies, BIOTECHNO 2008</v>
      </c>
      <c r="B13783" s="8" t="str">
        <f>"9780769531915"</f>
        <v>9780769531915</v>
      </c>
      <c r="C13783" s="8" t="s">
        <v>9</v>
      </c>
    </row>
    <row r="13784" spans="1:3" x14ac:dyDescent="0.25">
      <c r="A13784" s="8" t="str">
        <f>"Proceedings - International Conference on Cloud Computing and Social Networking 2012: Cloud Computing and Social Networking for Smart and Productive Society, ICCCSN 2012"</f>
        <v>Proceedings - International Conference on Cloud Computing and Social Networking 2012: Cloud Computing and Social Networking for Smart and Productive Society, ICCCSN 2012</v>
      </c>
      <c r="B13784" s="8" t="str">
        <f>"9781467318167"</f>
        <v>9781467318167</v>
      </c>
      <c r="C13784" s="8" t="s">
        <v>9</v>
      </c>
    </row>
    <row r="13785" spans="1:3" x14ac:dyDescent="0.25">
      <c r="A13785" s="8" t="str">
        <f>"Proceedings - International Conference on Communication Systems and Network Technologies, CSNT 2012"</f>
        <v>Proceedings - International Conference on Communication Systems and Network Technologies, CSNT 2012</v>
      </c>
      <c r="B13785" s="8" t="str">
        <f>"9780769546926"</f>
        <v>9780769546926</v>
      </c>
      <c r="C13785" s="8" t="s">
        <v>9</v>
      </c>
    </row>
    <row r="13786" spans="1:3" x14ac:dyDescent="0.25">
      <c r="A13786" s="8" t="str">
        <f>"Proceedings - International Conference on Communication Theory, Reliability, and Quality of Service, CTRQ 2008"</f>
        <v>Proceedings - International Conference on Communication Theory, Reliability, and Quality of Service, CTRQ 2008</v>
      </c>
      <c r="B13786" s="8" t="str">
        <f>"9780769531908"</f>
        <v>9780769531908</v>
      </c>
      <c r="C13786" s="8" t="s">
        <v>9</v>
      </c>
    </row>
    <row r="13787" spans="1:3" x14ac:dyDescent="0.25">
      <c r="A13787" s="8" t="str">
        <f>"Proceedings - International Conference on Computational Aspects of Social Networks, CASoN'10"</f>
        <v>Proceedings - International Conference on Computational Aspects of Social Networks, CASoN'10</v>
      </c>
      <c r="B13787" s="8" t="str">
        <f>"9780769542027"</f>
        <v>9780769542027</v>
      </c>
      <c r="C13787" s="8" t="s">
        <v>9</v>
      </c>
    </row>
    <row r="13788" spans="1:3" x14ac:dyDescent="0.25">
      <c r="A13788" s="8" t="str">
        <f>"Proceedings - International Conference on Computational Intelligence and Multimedia Applications, ICCIMA 2007"</f>
        <v>Proceedings - International Conference on Computational Intelligence and Multimedia Applications, ICCIMA 2007</v>
      </c>
      <c r="B13788" s="8" t="str">
        <f>"9780769530505"</f>
        <v>9780769530505</v>
      </c>
      <c r="C13788" s="8" t="s">
        <v>9</v>
      </c>
    </row>
    <row r="13789" spans="1:3" x14ac:dyDescent="0.25">
      <c r="A13789" s="8" t="str">
        <f>"Proceedings - International Conference on Computational Intelligence for Modelling, Control and Automation, CIMCA 2005 and International Conference on Intelligent Agents, Web Technologies and Internet"</f>
        <v>Proceedings - International Conference on Computational Intelligence for Modelling, Control and Automation, CIMCA 2005 and International Conference on Intelligent Agents, Web Technologies and Internet</v>
      </c>
      <c r="B13789" s="8" t="str">
        <f>"-"</f>
        <v>-</v>
      </c>
      <c r="C13789" s="8" t="s">
        <v>9</v>
      </c>
    </row>
    <row r="13790" spans="1:3" x14ac:dyDescent="0.25">
      <c r="A13790" s="8" t="str">
        <f>"Proceedings - International Conference on Computer Distributed Control and Intelligent Environmental Monitoring, CDCIEM 2011"</f>
        <v>Proceedings - International Conference on Computer Distributed Control and Intelligent Environmental Monitoring, CDCIEM 2011</v>
      </c>
      <c r="B13790" s="8" t="str">
        <f>"9780769543505"</f>
        <v>9780769543505</v>
      </c>
      <c r="C13790" s="8" t="s">
        <v>9</v>
      </c>
    </row>
    <row r="13791" spans="1:3" x14ac:dyDescent="0.25">
      <c r="A13791" s="8" t="str">
        <f>"Proceedings - International Conference on Computer Graphics, Imaging and Visuualization, CGIV 2004"</f>
        <v>Proceedings - International Conference on Computer Graphics, Imaging and Visuualization, CGIV 2004</v>
      </c>
      <c r="B13791" s="8" t="str">
        <f>"9780769521787"</f>
        <v>9780769521787</v>
      </c>
      <c r="C13791" s="8" t="s">
        <v>9</v>
      </c>
    </row>
    <row r="13792" spans="1:3" x14ac:dyDescent="0.25">
      <c r="A13792" s="8" t="str">
        <f>"Proceedings - International Conference on Computer Science and Software Engineering, CSSE 2008"</f>
        <v>Proceedings - International Conference on Computer Science and Software Engineering, CSSE 2008</v>
      </c>
      <c r="B13792" s="8" t="str">
        <f>"9780769533360"</f>
        <v>9780769533360</v>
      </c>
      <c r="C13792" s="8" t="s">
        <v>9</v>
      </c>
    </row>
    <row r="13793" spans="1:3" x14ac:dyDescent="0.25">
      <c r="A13793" s="8" t="str">
        <f>"Proceedings - International Conference on Computer Science and Software Engineering, CSSE 2008"</f>
        <v>Proceedings - International Conference on Computer Science and Software Engineering, CSSE 2008</v>
      </c>
      <c r="B13793" s="8" t="str">
        <f>"9780769533360"</f>
        <v>9780769533360</v>
      </c>
      <c r="C13793" s="8" t="s">
        <v>9</v>
      </c>
    </row>
    <row r="13794" spans="1:3" x14ac:dyDescent="0.25">
      <c r="A13794" s="8" t="str">
        <f>"Proceedings - International Conference on Computer Science and Software Engineering, CSSE 2008"</f>
        <v>Proceedings - International Conference on Computer Science and Software Engineering, CSSE 2008</v>
      </c>
      <c r="B13794" s="8" t="str">
        <f>"9780769533360"</f>
        <v>9780769533360</v>
      </c>
      <c r="C13794" s="8" t="s">
        <v>9</v>
      </c>
    </row>
    <row r="13795" spans="1:3" x14ac:dyDescent="0.25">
      <c r="A13795" s="8" t="str">
        <f>"Proceedings - International Conference on Computer Science and Software Engineering, CSSE 2008"</f>
        <v>Proceedings - International Conference on Computer Science and Software Engineering, CSSE 2008</v>
      </c>
      <c r="B13795" s="8" t="str">
        <f>"9780769533360"</f>
        <v>9780769533360</v>
      </c>
      <c r="C13795" s="8" t="s">
        <v>9</v>
      </c>
    </row>
    <row r="13796" spans="1:3" x14ac:dyDescent="0.25">
      <c r="A13796" s="8" t="str">
        <f>"Proceedings - International Conference on Computer Science and Software Engineering, CSSE 2008"</f>
        <v>Proceedings - International Conference on Computer Science and Software Engineering, CSSE 2008</v>
      </c>
      <c r="B13796" s="8" t="str">
        <f>"9780769533360"</f>
        <v>9780769533360</v>
      </c>
      <c r="C13796" s="8" t="s">
        <v>9</v>
      </c>
    </row>
    <row r="13797" spans="1:3" x14ac:dyDescent="0.25">
      <c r="A13797" s="8" t="str">
        <f>"Proceedings - International Conference on Computers in Education, ICCE 2002"</f>
        <v>Proceedings - International Conference on Computers in Education, ICCE 2002</v>
      </c>
      <c r="B13797" s="8" t="str">
        <f>"9780769515090"</f>
        <v>9780769515090</v>
      </c>
      <c r="C13797" s="8" t="s">
        <v>105</v>
      </c>
    </row>
    <row r="13798" spans="1:3" x14ac:dyDescent="0.25">
      <c r="A13798" s="8" t="str">
        <f>"Proceedings - International Conference on Computing: Theory and Applications, ICCTA 2007"</f>
        <v>Proceedings - International Conference on Computing: Theory and Applications, ICCTA 2007</v>
      </c>
      <c r="B13798" s="8" t="str">
        <f>"9780769527703"</f>
        <v>9780769527703</v>
      </c>
      <c r="C13798" s="8" t="s">
        <v>9</v>
      </c>
    </row>
    <row r="13799" spans="1:3" x14ac:dyDescent="0.25">
      <c r="A13799" s="8" t="str">
        <f>"Proceedings - International Conference on Coordinated and Multiple Views in Exploratory Visualization, CMV 2003, Associated and co-located with International Conference on Information Visualization, IV 2003"</f>
        <v>Proceedings - International Conference on Coordinated and Multiple Views in Exploratory Visualization, CMV 2003, Associated and co-located with International Conference on Information Visualization, IV 2003</v>
      </c>
      <c r="B13799" s="8" t="str">
        <f>"9780769520018"</f>
        <v>9780769520018</v>
      </c>
      <c r="C13799" s="8" t="s">
        <v>105</v>
      </c>
    </row>
    <row r="13800" spans="1:3" x14ac:dyDescent="0.25">
      <c r="A13800" s="8" t="str">
        <f>"Proceedings - International Conference on Dependability of Computer Systems, DepCoS - RELCOMEX 2007"</f>
        <v>Proceedings - International Conference on Dependability of Computer Systems, DepCoS - RELCOMEX 2007</v>
      </c>
      <c r="B13800" s="8" t="str">
        <f>"9780769528502"</f>
        <v>9780769528502</v>
      </c>
      <c r="C13800" s="8" t="s">
        <v>9</v>
      </c>
    </row>
    <row r="13801" spans="1:3" x14ac:dyDescent="0.25">
      <c r="A13801" s="8" t="str">
        <f>"Proceedings - International Conference on Developments in eSystems Engineering, DeSE 2009"</f>
        <v>Proceedings - International Conference on Developments in eSystems Engineering, DeSE 2009</v>
      </c>
      <c r="B13801" s="8" t="str">
        <f>"9780769539126"</f>
        <v>9780769539126</v>
      </c>
      <c r="C13801" s="8" t="s">
        <v>9</v>
      </c>
    </row>
    <row r="13802" spans="1:3" x14ac:dyDescent="0.25">
      <c r="A13802" s="8" t="str">
        <f>"Proceedings - International Conference on eHealth, Telemedicine, and Social Medicine, eTELEMED 2009"</f>
        <v>Proceedings - International Conference on eHealth, Telemedicine, and Social Medicine, eTELEMED 2009</v>
      </c>
      <c r="B13802" s="8" t="str">
        <f>"9780769535326"</f>
        <v>9780769535326</v>
      </c>
      <c r="C13802" s="8" t="s">
        <v>9</v>
      </c>
    </row>
    <row r="13803" spans="1:3" x14ac:dyDescent="0.25">
      <c r="A13803" s="8" t="str">
        <f>"Proceedings - International Conference on Electrical and Control Engineering, ICECE 2010"</f>
        <v>Proceedings - International Conference on Electrical and Control Engineering, ICECE 2010</v>
      </c>
      <c r="B13803" s="8" t="str">
        <f>"9780769540313"</f>
        <v>9780769540313</v>
      </c>
      <c r="C13803" s="8" t="s">
        <v>9</v>
      </c>
    </row>
    <row r="13804" spans="1:3" x14ac:dyDescent="0.25">
      <c r="A13804" s="8" t="str">
        <f>"Proceedings - International Conference on Electronic Systems, Signal Processing, and Computing Technologies, ICESC 2014"</f>
        <v>Proceedings - International Conference on Electronic Systems, Signal Processing, and Computing Technologies, ICESC 2014</v>
      </c>
      <c r="B13804" s="8" t="str">
        <f>"9781479921027"</f>
        <v>9781479921027</v>
      </c>
      <c r="C13804" s="8" t="s">
        <v>9</v>
      </c>
    </row>
    <row r="13805" spans="1:3" x14ac:dyDescent="0.25">
      <c r="A13805" s="8" t="str">
        <f>"Proceedings - International Conference on Electronics, Communications and Computers, CONIELECOMP"</f>
        <v>Proceedings - International Conference on Electronics, Communications and Computers, CONIELECOMP</v>
      </c>
      <c r="B13805" s="8" t="str">
        <f>"9780769520742"</f>
        <v>9780769520742</v>
      </c>
      <c r="C13805" s="8" t="s">
        <v>9</v>
      </c>
    </row>
    <row r="13806" spans="1:3" x14ac:dyDescent="0.25">
      <c r="A13806" s="8" t="str">
        <f>"Proceedings - International Conference on Embedded Computer Systems: Architectures, Modeling and Simulation, SAMOS 2014"</f>
        <v>Proceedings - International Conference on Embedded Computer Systems: Architectures, Modeling and Simulation, SAMOS 2014</v>
      </c>
      <c r="B13806" s="8" t="str">
        <f>"9781479937707"</f>
        <v>9781479937707</v>
      </c>
      <c r="C13806" s="8" t="s">
        <v>105</v>
      </c>
    </row>
    <row r="13807" spans="1:3" x14ac:dyDescent="0.25">
      <c r="A13807" s="8" t="str">
        <f>"Proceedings - International Conference on Future Power and Energy Engineering, ICFPEE 2010"</f>
        <v>Proceedings - International Conference on Future Power and Energy Engineering, ICFPEE 2010</v>
      </c>
      <c r="B13807" s="8" t="str">
        <f>"9780769540733"</f>
        <v>9780769540733</v>
      </c>
      <c r="C13807" s="8" t="s">
        <v>9</v>
      </c>
    </row>
    <row r="13808" spans="1:3" x14ac:dyDescent="0.25">
      <c r="A13808" s="8" t="str">
        <f>"Proceedings - International Conference on Global Software Engineering, ICGSE 2007"</f>
        <v>Proceedings - International Conference on Global Software Engineering, ICGSE 2007</v>
      </c>
      <c r="B13808" s="8" t="str">
        <f>"9780769529202"</f>
        <v>9780769529202</v>
      </c>
      <c r="C13808" s="8" t="s">
        <v>9</v>
      </c>
    </row>
    <row r="13809" spans="1:3" x14ac:dyDescent="0.25">
      <c r="A13809" s="8" t="s">
        <v>2085</v>
      </c>
      <c r="B13809" s="8" t="str">
        <f>"9781479901456"</f>
        <v>9781479901456</v>
      </c>
      <c r="C13809" s="8" t="s">
        <v>9</v>
      </c>
    </row>
    <row r="13810" spans="1:3" x14ac:dyDescent="0.25">
      <c r="A13810" s="8" t="str">
        <f>"Proceedings - International Conference on Image Analysis and Processing, ICIAP 1999"</f>
        <v>Proceedings - International Conference on Image Analysis and Processing, ICIAP 1999</v>
      </c>
      <c r="B13810" s="8" t="str">
        <f>"9780769500409"</f>
        <v>9780769500409</v>
      </c>
      <c r="C13810" s="8" t="s">
        <v>9</v>
      </c>
    </row>
    <row r="13811" spans="1:3" x14ac:dyDescent="0.25">
      <c r="A13811" s="8" t="str">
        <f>"Proceedings - International Conference on Industrial Automation, Information and Communications Technology, IAICT 2014"</f>
        <v>Proceedings - International Conference on Industrial Automation, Information and Communications Technology, IAICT 2014</v>
      </c>
      <c r="B13811" s="8" t="str">
        <f>"9781479949090"</f>
        <v>9781479949090</v>
      </c>
      <c r="C13811" s="8" t="s">
        <v>105</v>
      </c>
    </row>
    <row r="13812" spans="1:3" x14ac:dyDescent="0.25">
      <c r="A13812" s="8" t="str">
        <f>"Proceedings - International Conference on Informatics Education and Research for Knowledge-Circulating Society, ICKS 2008"</f>
        <v>Proceedings - International Conference on Informatics Education and Research for Knowledge-Circulating Society, ICKS 2008</v>
      </c>
      <c r="B13812" s="8" t="str">
        <f>"9780769531281"</f>
        <v>9780769531281</v>
      </c>
      <c r="C13812" s="8" t="s">
        <v>9</v>
      </c>
    </row>
    <row r="13813" spans="1:3" x14ac:dyDescent="0.25">
      <c r="A13813" s="8" t="str">
        <f>"Proceedings - International Conference on Informatics Research for Development of Knowledge Society Infrastructure, ICKS 2004"</f>
        <v>Proceedings - International Conference on Informatics Research for Development of Knowledge Society Infrastructure, ICKS 2004</v>
      </c>
      <c r="B13813" s="8" t="str">
        <f>"9780769521503"</f>
        <v>9780769521503</v>
      </c>
      <c r="C13813" s="8" t="s">
        <v>9</v>
      </c>
    </row>
    <row r="13814" spans="1:3" x14ac:dyDescent="0.25">
      <c r="A13814" s="8" t="str">
        <f>"Proceedings - International Conference on Information Technology: Coding and Computing, ITCC 2000"</f>
        <v>Proceedings - International Conference on Information Technology: Coding and Computing, ITCC 2000</v>
      </c>
      <c r="B13814" s="8" t="str">
        <f>"9780769505404"</f>
        <v>9780769505404</v>
      </c>
      <c r="C13814" s="8" t="s">
        <v>105</v>
      </c>
    </row>
    <row r="13815" spans="1:3" x14ac:dyDescent="0.25">
      <c r="A13815" s="8" t="str">
        <f>"Proceedings - International Conference on Information Technology: Coding and Computing, ITCC 2002"</f>
        <v>Proceedings - International Conference on Information Technology: Coding and Computing, ITCC 2002</v>
      </c>
      <c r="B13815" s="8" t="str">
        <f>"9780769515069"</f>
        <v>9780769515069</v>
      </c>
      <c r="C13815" s="8" t="s">
        <v>105</v>
      </c>
    </row>
    <row r="13816" spans="1:3" x14ac:dyDescent="0.25">
      <c r="A13816" s="8" t="str">
        <f>"Proceedings - International Conference on Information Technology: New Generations, ITNG 2008"</f>
        <v>Proceedings - International Conference on Information Technology: New Generations, ITNG 2008</v>
      </c>
      <c r="B13816" s="8" t="str">
        <f>"9780769530994"</f>
        <v>9780769530994</v>
      </c>
      <c r="C13816" s="8" t="s">
        <v>105</v>
      </c>
    </row>
    <row r="13817" spans="1:3" x14ac:dyDescent="0.25">
      <c r="A13817" s="8" t="str">
        <f>"Proceedings - International Conference on Information Technology-New Generations, ITNG 2007"</f>
        <v>Proceedings - International Conference on Information Technology-New Generations, ITNG 2007</v>
      </c>
      <c r="B13817" s="8" t="str">
        <f>"9780769527765"</f>
        <v>9780769527765</v>
      </c>
      <c r="C13817" s="8" t="s">
        <v>9</v>
      </c>
    </row>
    <row r="13818" spans="1:3" x14ac:dyDescent="0.25">
      <c r="A13818" s="8" t="str">
        <f>"Proceedings - International Conference on Information, Process, and Knowledge Management, eKNOW 2009"</f>
        <v>Proceedings - International Conference on Information, Process, and Knowledge Management, eKNOW 2009</v>
      </c>
      <c r="B13818" s="8" t="str">
        <f>"9780769535319"</f>
        <v>9780769535319</v>
      </c>
      <c r="C13818" s="8" t="s">
        <v>9</v>
      </c>
    </row>
    <row r="13819" spans="1:3" x14ac:dyDescent="0.25">
      <c r="A13819" s="8" t="str">
        <f>"Proceedings - International Conference on Instrumentation, Communication, Information Technology and Biomedical Engineering 2011, ICICI-BME 2011"</f>
        <v>Proceedings - International Conference on Instrumentation, Communication, Information Technology and Biomedical Engineering 2011, ICICI-BME 2011</v>
      </c>
      <c r="B13819" s="8" t="str">
        <f>"9781457711657"</f>
        <v>9781457711657</v>
      </c>
      <c r="C13819" s="8" t="s">
        <v>9</v>
      </c>
    </row>
    <row r="13820" spans="1:3" x14ac:dyDescent="0.25">
      <c r="A13820" s="8" t="str">
        <f>"Proceedings - International Conference on Intelligent Computation Technology and Automation, ICICTA 2008"</f>
        <v>Proceedings - International Conference on Intelligent Computation Technology and Automation, ICICTA 2008</v>
      </c>
      <c r="B13820" s="8" t="str">
        <f>"9780769533575"</f>
        <v>9780769533575</v>
      </c>
      <c r="C13820" s="8" t="s">
        <v>9</v>
      </c>
    </row>
    <row r="13821" spans="1:3" x14ac:dyDescent="0.25">
      <c r="A13821" s="8" t="str">
        <f>"Proceedings - International Conference on Machine Vision, ICMV 2007"</f>
        <v>Proceedings - International Conference on Machine Vision, ICMV 2007</v>
      </c>
      <c r="B13821" s="8" t="str">
        <f>"9781424416257"</f>
        <v>9781424416257</v>
      </c>
      <c r="C13821" s="8" t="s">
        <v>9</v>
      </c>
    </row>
    <row r="13822" spans="1:3" x14ac:dyDescent="0.25">
      <c r="A13822" s="8" t="str">
        <f>"Proceedings - International Conference on Management and Service Science, MASS 2009"</f>
        <v>Proceedings - International Conference on Management and Service Science, MASS 2009</v>
      </c>
      <c r="B13822" s="8" t="str">
        <f>"9781424446391"</f>
        <v>9781424446391</v>
      </c>
      <c r="C13822" s="8" t="s">
        <v>9</v>
      </c>
    </row>
    <row r="13823" spans="1:3" x14ac:dyDescent="0.25">
      <c r="A13823" s="8" t="str">
        <f>"Proceedings - International Conference on Management of e-Commerce and e-Government, ICMeCG 2008"</f>
        <v>Proceedings - International Conference on Management of e-Commerce and e-Government, ICMeCG 2008</v>
      </c>
      <c r="B13823" s="8" t="str">
        <f>"9780769533667"</f>
        <v>9780769533667</v>
      </c>
      <c r="C13823" s="8" t="s">
        <v>9</v>
      </c>
    </row>
    <row r="13824" spans="1:3" x14ac:dyDescent="0.25">
      <c r="A13824" s="8" t="str">
        <f>"Proceedings - International Conference on Medical Information Visualisation - BioMedical Visualisation, MediVis 2006"</f>
        <v>Proceedings - International Conference on Medical Information Visualisation - BioMedical Visualisation, MediVis 2006</v>
      </c>
      <c r="B13824" s="8" t="str">
        <f>"9780769526034"</f>
        <v>9780769526034</v>
      </c>
      <c r="C13824" s="8" t="s">
        <v>9</v>
      </c>
    </row>
    <row r="13825" spans="1:3" x14ac:dyDescent="0.25">
      <c r="A13825" s="8" t="str">
        <f>"Proceedings - International Conference on MEMS, NANO and Smart Systems, ICMENS 2003"</f>
        <v>Proceedings - International Conference on MEMS, NANO and Smart Systems, ICMENS 2003</v>
      </c>
      <c r="B13825" s="8" t="str">
        <f>"9780769519470"</f>
        <v>9780769519470</v>
      </c>
      <c r="C13825" s="8" t="s">
        <v>105</v>
      </c>
    </row>
    <row r="13826" spans="1:3" x14ac:dyDescent="0.25">
      <c r="A13826" s="8" t="str">
        <f>"Proceedings - International Conference on Mobile Ubiquitous Computing, Systems, Services and Technologies, UBICOMM 2007"</f>
        <v>Proceedings - International Conference on Mobile Ubiquitous Computing, Systems, Services and Technologies, UBICOMM 2007</v>
      </c>
      <c r="B13826" s="8" t="str">
        <f>"9780769529936"</f>
        <v>9780769529936</v>
      </c>
      <c r="C13826" s="8" t="s">
        <v>9</v>
      </c>
    </row>
    <row r="13827" spans="1:3" x14ac:dyDescent="0.25">
      <c r="A13827" s="8" t="str">
        <f>"Proceedings - International Conference on Mobile, Hybrid, and On-line Learning, eLmL 2009"</f>
        <v>Proceedings - International Conference on Mobile, Hybrid, and On-line Learning, eLmL 2009</v>
      </c>
      <c r="B13827" s="8" t="str">
        <f>"9780769535289"</f>
        <v>9780769535289</v>
      </c>
      <c r="C13827" s="8" t="s">
        <v>9</v>
      </c>
    </row>
    <row r="13828" spans="1:3" x14ac:dyDescent="0.25">
      <c r="A13828" s="8" t="str">
        <f>"Proceedings - International Conference on Networked Systems, NetSys 2013"</f>
        <v>Proceedings - International Conference on Networked Systems, NetSys 2013</v>
      </c>
      <c r="B13828" s="8" t="str">
        <f>"9780769549507"</f>
        <v>9780769549507</v>
      </c>
      <c r="C13828" s="8" t="s">
        <v>9</v>
      </c>
    </row>
    <row r="13829" spans="1:3" x14ac:dyDescent="0.25">
      <c r="A13829" s="8" t="str">
        <f>"Proceedings - International Conference on Networked Systems, NetSys 2015"</f>
        <v>Proceedings - International Conference on Networked Systems, NetSys 2015</v>
      </c>
      <c r="B13829" s="8" t="str">
        <f>"9781479958047"</f>
        <v>9781479958047</v>
      </c>
      <c r="C13829" s="8" t="s">
        <v>105</v>
      </c>
    </row>
    <row r="13830" spans="1:3" x14ac:dyDescent="0.25">
      <c r="A13830" s="8" t="str">
        <f>"Proceedings - International Conference on Networks Security, Wireless Communications and Trusted Computing, NSWCTC 2009"</f>
        <v>Proceedings - International Conference on Networks Security, Wireless Communications and Trusted Computing, NSWCTC 2009</v>
      </c>
      <c r="B13830" s="8" t="str">
        <f>"9780769536101"</f>
        <v>9780769536101</v>
      </c>
      <c r="C13830" s="8" t="s">
        <v>9</v>
      </c>
    </row>
    <row r="13831" spans="1:3" x14ac:dyDescent="0.25">
      <c r="A13831" s="8" t="str">
        <f>"Proceedings - International Conference on Next Generation Web Services Practices, NWeSP 2005"</f>
        <v>Proceedings - International Conference on Next Generation Web Services Practices, NWeSP 2005</v>
      </c>
      <c r="B13831" s="8" t="str">
        <f>"-"</f>
        <v>-</v>
      </c>
      <c r="C13831" s="8" t="s">
        <v>9</v>
      </c>
    </row>
    <row r="13832" spans="1:3" x14ac:dyDescent="0.25">
      <c r="A13832" s="8" t="str">
        <f>"Proceedings - International Conference on Next Generation Web Services Practices, NWeSP 2008"</f>
        <v>Proceedings - International Conference on Next Generation Web Services Practices, NWeSP 2008</v>
      </c>
      <c r="B13832" s="8" t="str">
        <f>"9780769534558"</f>
        <v>9780769534558</v>
      </c>
      <c r="C13832" s="8" t="s">
        <v>9</v>
      </c>
    </row>
    <row r="13833" spans="1:3" x14ac:dyDescent="0.25">
      <c r="A13833" s="8" t="str">
        <f>"Proceedings - International Conference on P2P, Parallel, Grid, Cloud and Internet Computing, 3PGCIC 2010"</f>
        <v>Proceedings - International Conference on P2P, Parallel, Grid, Cloud and Internet Computing, 3PGCIC 2010</v>
      </c>
      <c r="B13833" s="8" t="str">
        <f>"9780769542379"</f>
        <v>9780769542379</v>
      </c>
      <c r="C13833" s="8" t="s">
        <v>9</v>
      </c>
    </row>
    <row r="13834" spans="1:3" x14ac:dyDescent="0.25">
      <c r="A13834" s="8" t="str">
        <f>"Proceedings - International Conference on Parallel Computing in Electrical Engineering, PARELEC 2000"</f>
        <v>Proceedings - International Conference on Parallel Computing in Electrical Engineering, PARELEC 2000</v>
      </c>
      <c r="B13834" s="8" t="str">
        <f>"9780769507590"</f>
        <v>9780769507590</v>
      </c>
      <c r="C13834" s="8" t="s">
        <v>105</v>
      </c>
    </row>
    <row r="13835" spans="1:3" x14ac:dyDescent="0.25">
      <c r="A13835" s="8" t="str">
        <f>"Proceedings - International Conference on Parallel Computing in Electrical Engineering, PARELEC 2002"</f>
        <v>Proceedings - International Conference on Parallel Computing in Electrical Engineering, PARELEC 2002</v>
      </c>
      <c r="B13835" s="8" t="str">
        <f>"9780769517308"</f>
        <v>9780769517308</v>
      </c>
      <c r="C13835" s="8" t="s">
        <v>105</v>
      </c>
    </row>
    <row r="13836" spans="1:3" x14ac:dyDescent="0.25">
      <c r="A13836" s="8" t="str">
        <f>"Proceedings - International Conference on Pervasive Services, ICPS '05"</f>
        <v>Proceedings - International Conference on Pervasive Services, ICPS '05</v>
      </c>
      <c r="B13836" s="8" t="str">
        <f>"-"</f>
        <v>-</v>
      </c>
      <c r="C13836" s="8" t="s">
        <v>9</v>
      </c>
    </row>
    <row r="13837" spans="1:3" x14ac:dyDescent="0.25">
      <c r="A13837" s="8" t="str">
        <f>"Proceedings - International Conference on Shape Modeling and Applications, SMI 2001"</f>
        <v>Proceedings - International Conference on Shape Modeling and Applications, SMI 2001</v>
      </c>
      <c r="B13837" s="8" t="str">
        <f>"9780769508535"</f>
        <v>9780769508535</v>
      </c>
      <c r="C13837" s="8" t="s">
        <v>9</v>
      </c>
    </row>
    <row r="13838" spans="1:3" x14ac:dyDescent="0.25">
      <c r="A13838" s="8" t="str">
        <f>"Proceedings - International Conference on Shape Modeling and Applications, SMI'05"</f>
        <v>Proceedings - International Conference on Shape Modeling and Applications, SMI'05</v>
      </c>
      <c r="B13838" s="8" t="str">
        <f>"-"</f>
        <v>-</v>
      </c>
      <c r="C13838" s="8" t="s">
        <v>9</v>
      </c>
    </row>
    <row r="13839" spans="1:3" x14ac:dyDescent="0.25">
      <c r="A13839" s="8" t="str">
        <f>"Proceedings - International Conference on Signal Image Technologies and Internet Based Systems, SITIS 2007"</f>
        <v>Proceedings - International Conference on Signal Image Technologies and Internet Based Systems, SITIS 2007</v>
      </c>
      <c r="B13839" s="8" t="str">
        <f>"9780769531229"</f>
        <v>9780769531229</v>
      </c>
      <c r="C13839" s="8" t="s">
        <v>9</v>
      </c>
    </row>
    <row r="13840" spans="1:3" x14ac:dyDescent="0.25">
      <c r="A13840" s="8" t="str">
        <f>"Proceedings - International Conference on Technologies and Applications of Artificial Intelligence, TAAI 2010"</f>
        <v>Proceedings - International Conference on Technologies and Applications of Artificial Intelligence, TAAI 2010</v>
      </c>
      <c r="B13840" s="8" t="str">
        <f>"9780769542539"</f>
        <v>9780769542539</v>
      </c>
      <c r="C13840" s="8" t="s">
        <v>9</v>
      </c>
    </row>
    <row r="13841" spans="1:3" x14ac:dyDescent="0.25">
      <c r="A13841" s="8" t="str">
        <f>"Proceedings - International Conference on Technologies for Sustainable Development, ICTSD 2015"</f>
        <v>Proceedings - International Conference on Technologies for Sustainable Development, ICTSD 2015</v>
      </c>
      <c r="B13841" s="8" t="str">
        <f>"9781479981878"</f>
        <v>9781479981878</v>
      </c>
      <c r="C13841" s="8" t="s">
        <v>105</v>
      </c>
    </row>
    <row r="13842" spans="1:3" x14ac:dyDescent="0.25">
      <c r="A13842" s="8" t="str">
        <f>"Proceedings - International Conference on Terrain and Geohazard Challenges facing Onshore Oil and Gas Pipelines: Evaluation, Routing, Design, Construction, Operation"</f>
        <v>Proceedings - International Conference on Terrain and Geohazard Challenges facing Onshore Oil and Gas Pipelines: Evaluation, Routing, Design, Construction, Operation</v>
      </c>
      <c r="B13842" s="8" t="str">
        <f>"-"</f>
        <v>-</v>
      </c>
      <c r="C13842" s="8" t="s">
        <v>74</v>
      </c>
    </row>
    <row r="13843" spans="1:3" x14ac:dyDescent="0.25">
      <c r="A13843" s="8" t="str">
        <f>"Proceedings - International Conference Visualisation, VIS 2008, Visualisation in Built and Rural Environments"</f>
        <v>Proceedings - International Conference Visualisation, VIS 2008, Visualisation in Built and Rural Environments</v>
      </c>
      <c r="B13843" s="8" t="str">
        <f>"9780769532714"</f>
        <v>9780769532714</v>
      </c>
      <c r="C13843" s="8" t="s">
        <v>9</v>
      </c>
    </row>
    <row r="13844" spans="1:3" x14ac:dyDescent="0.25">
      <c r="A13844" s="8" t="str">
        <f>"Proceedings - International Fiber Conference 2006: Extreme and Aesthetic Textiles, IFC 2006"</f>
        <v>Proceedings - International Fiber Conference 2006: Extreme and Aesthetic Textiles, IFC 2006</v>
      </c>
      <c r="B13844" s="8" t="str">
        <f>"-"</f>
        <v>-</v>
      </c>
      <c r="C13844" s="8" t="s">
        <v>1846</v>
      </c>
    </row>
    <row r="13845" spans="1:3" x14ac:dyDescent="0.25">
      <c r="A13845" s="8" t="str">
        <f>"Proceedings - International Meeting on Updates in Best Estimate Methods in Nuclear Installation Safety Analysis, BE-2004"</f>
        <v>Proceedings - International Meeting on Updates in Best Estimate Methods in Nuclear Installation Safety Analysis, BE-2004</v>
      </c>
      <c r="B13845" s="8" t="str">
        <f>"9780894486814"</f>
        <v>9780894486814</v>
      </c>
      <c r="C13845" s="8" t="s">
        <v>453</v>
      </c>
    </row>
    <row r="13846" spans="1:3" x14ac:dyDescent="0.25">
      <c r="A13846" s="8" t="str">
        <f>"Proceedings - International Parallel and Distributed Processing Symposium, IPDPS 2004 (Abstracts and CD-ROM)"</f>
        <v>Proceedings - International Parallel and Distributed Processing Symposium, IPDPS 2004 (Abstracts and CD-ROM)</v>
      </c>
      <c r="B13846" s="8" t="str">
        <f>"9780769521329"</f>
        <v>9780769521329</v>
      </c>
      <c r="C13846" s="8" t="s">
        <v>9</v>
      </c>
    </row>
    <row r="13847" spans="1:3" x14ac:dyDescent="0.25">
      <c r="A13847" s="8" t="str">
        <f>"Proceedings - International Symposium on Applications and the Internet"</f>
        <v>Proceedings - International Symposium on Applications and the Internet</v>
      </c>
      <c r="B13847" s="8" t="str">
        <f>"9780769520681"</f>
        <v>9780769520681</v>
      </c>
      <c r="C13847" s="8" t="s">
        <v>9</v>
      </c>
    </row>
    <row r="13848" spans="1:3" x14ac:dyDescent="0.25">
      <c r="A13848" s="8" t="str">
        <f>"Proceedings - International Symposium on Applications and the Internet Workshops"</f>
        <v>Proceedings - International Symposium on Applications and the Internet Workshops</v>
      </c>
      <c r="B13848" s="8" t="str">
        <f>"9780769520506"</f>
        <v>9780769520506</v>
      </c>
      <c r="C13848" s="8" t="s">
        <v>9</v>
      </c>
    </row>
    <row r="13849" spans="1:3" x14ac:dyDescent="0.25">
      <c r="A13849" s="8" t="str">
        <f>"Proceedings - International Symposium on Code Generation and Optimization, CGO 2011"</f>
        <v>Proceedings - International Symposium on Code Generation and Optimization, CGO 2011</v>
      </c>
      <c r="B13849" s="8" t="str">
        <f>"9781612843551"</f>
        <v>9781612843551</v>
      </c>
      <c r="C13849" s="8" t="s">
        <v>9</v>
      </c>
    </row>
    <row r="13850" spans="1:3" x14ac:dyDescent="0.25">
      <c r="A13850" s="8" t="str">
        <f>"Proceedings - International Symposium on Code Generation and Optimization, CGO 2012"</f>
        <v>Proceedings - International Symposium on Code Generation and Optimization, CGO 2012</v>
      </c>
      <c r="B13850" s="8" t="str">
        <f>"9781605586359"</f>
        <v>9781605586359</v>
      </c>
      <c r="C13850" s="8" t="s">
        <v>21</v>
      </c>
    </row>
    <row r="13851" spans="1:3" x14ac:dyDescent="0.25">
      <c r="A13851" s="8" t="str">
        <f>"Proceedings - International Symposium on Computer Science and Computational Technology, ISCSCT 2008"</f>
        <v>Proceedings - International Symposium on Computer Science and Computational Technology, ISCSCT 2008</v>
      </c>
      <c r="B13851" s="8" t="str">
        <f>"9780769534985"</f>
        <v>9780769534985</v>
      </c>
      <c r="C13851" s="8" t="s">
        <v>9</v>
      </c>
    </row>
    <row r="13852" spans="1:3" x14ac:dyDescent="0.25">
      <c r="A13852" s="8" t="str">
        <f>"Proceedings - International Symposium on Computer Science and Computational Technology, ISCSCT 2008"</f>
        <v>Proceedings - International Symposium on Computer Science and Computational Technology, ISCSCT 2008</v>
      </c>
      <c r="B13852" s="8" t="str">
        <f>"9780769534985"</f>
        <v>9780769534985</v>
      </c>
      <c r="C13852" s="8" t="s">
        <v>9</v>
      </c>
    </row>
    <row r="13853" spans="1:3" x14ac:dyDescent="0.25">
      <c r="A13853" s="8" t="str">
        <f>"Proceedings - International Symposium on Computer Science and Its Applications, CSA 2008"</f>
        <v>Proceedings - International Symposium on Computer Science and Its Applications, CSA 2008</v>
      </c>
      <c r="B13853" s="8" t="str">
        <f>"9780769534282"</f>
        <v>9780769534282</v>
      </c>
      <c r="C13853" s="8" t="s">
        <v>9</v>
      </c>
    </row>
    <row r="13854" spans="1:3" x14ac:dyDescent="0.25">
      <c r="A13854" s="8" t="str">
        <f>"Proceedings - International Symposium on Information Processing, ISIP 2008 and International Pacific Workshop on Web Mining and Web-Based Application, WMWA 2008"</f>
        <v>Proceedings - International Symposium on Information Processing, ISIP 2008 and International Pacific Workshop on Web Mining and Web-Based Application, WMWA 2008</v>
      </c>
      <c r="B13854" s="8" t="str">
        <f>"9780769531519"</f>
        <v>9780769531519</v>
      </c>
      <c r="C13854" s="8" t="s">
        <v>9</v>
      </c>
    </row>
    <row r="13855" spans="1:3" x14ac:dyDescent="0.25">
      <c r="A13855" s="8" t="str">
        <f>"Proceedings - International Symposium on Information Technology 2008, ITSim"</f>
        <v>Proceedings - International Symposium on Information Technology 2008, ITSim</v>
      </c>
      <c r="B13855" s="8" t="str">
        <f>"9781424423286"</f>
        <v>9781424423286</v>
      </c>
      <c r="C13855" s="8" t="s">
        <v>9</v>
      </c>
    </row>
    <row r="13856" spans="1:3" x14ac:dyDescent="0.25">
      <c r="A13856" s="8" t="str">
        <f>"Proceedings - International Symposium on Mixed and Augmented Reality, ISMAR 2002"</f>
        <v>Proceedings - International Symposium on Mixed and Augmented Reality, ISMAR 2002</v>
      </c>
      <c r="B13856" s="8" t="str">
        <f>"-"</f>
        <v>-</v>
      </c>
      <c r="C13856" s="8" t="s">
        <v>105</v>
      </c>
    </row>
    <row r="13857" spans="1:3" x14ac:dyDescent="0.25">
      <c r="A13857" s="8" t="str">
        <f>"Proceedings - International Symposium on Multimedia Software Engineering"</f>
        <v>Proceedings - International Symposium on Multimedia Software Engineering</v>
      </c>
      <c r="B13857" s="8" t="str">
        <f>"9780769509334"</f>
        <v>9780769509334</v>
      </c>
      <c r="C13857" s="8" t="s">
        <v>105</v>
      </c>
    </row>
    <row r="13858" spans="1:3" x14ac:dyDescent="0.25">
      <c r="A13858" s="8" t="str">
        <f>"Proceedings - International Symposium on Parallel and Distributed Processing with Applications, ISPA 2010"</f>
        <v>Proceedings - International Symposium on Parallel and Distributed Processing with Applications, ISPA 2010</v>
      </c>
      <c r="B13858" s="8" t="str">
        <f>"9780769541907"</f>
        <v>9780769541907</v>
      </c>
      <c r="C13858" s="8" t="s">
        <v>9</v>
      </c>
    </row>
    <row r="13859" spans="1:3" x14ac:dyDescent="0.25">
      <c r="A13859" s="8" t="str">
        <f>"Proceedings - International Symposium on Ubiquitous Virtual Reality, ISUVR 2008"</f>
        <v>Proceedings - International Symposium on Ubiquitous Virtual Reality, ISUVR 2008</v>
      </c>
      <c r="B13859" s="8" t="str">
        <f>"9780769532592"</f>
        <v>9780769532592</v>
      </c>
      <c r="C13859" s="8" t="s">
        <v>9</v>
      </c>
    </row>
    <row r="13860" spans="1:3" x14ac:dyDescent="0.25">
      <c r="A13860" s="8" t="str">
        <f>"Proceedings - International Symposium: Modern Electric Power Systems, MEPS'10"</f>
        <v>Proceedings - International Symposium: Modern Electric Power Systems, MEPS'10</v>
      </c>
      <c r="B13860" s="8" t="str">
        <f>"9788392131571"</f>
        <v>9788392131571</v>
      </c>
      <c r="C13860" s="8" t="s">
        <v>9</v>
      </c>
    </row>
    <row r="13861" spans="1:3" x14ac:dyDescent="0.25">
      <c r="A13861" s="8" t="str">
        <f>"Proceedings - International Workshop on Advanced Information Systems for Enterprises, IWAISE 2008"</f>
        <v>Proceedings - International Workshop on Advanced Information Systems for Enterprises, IWAISE 2008</v>
      </c>
      <c r="B13861" s="8" t="str">
        <f>"9780769531168"</f>
        <v>9780769531168</v>
      </c>
      <c r="C13861" s="8" t="s">
        <v>9</v>
      </c>
    </row>
    <row r="13862" spans="1:3" x14ac:dyDescent="0.25">
      <c r="A13862" s="8" t="str">
        <f>"Proceedings - International Workshop on Advanced Learning Technologies: Advanced Learning Technology: Design and Development Issues, IWALT 2000"</f>
        <v>Proceedings - International Workshop on Advanced Learning Technologies: Advanced Learning Technology: Design and Development Issues, IWALT 2000</v>
      </c>
      <c r="B13862" s="8" t="str">
        <f>"9780769506531"</f>
        <v>9780769506531</v>
      </c>
      <c r="C13862" s="8" t="s">
        <v>9</v>
      </c>
    </row>
    <row r="13863" spans="1:3" x14ac:dyDescent="0.25">
      <c r="A13863" s="8" t="str">
        <f>"Proceedings - International Workshop on Biomedical Data Engineering, BMDE2005"</f>
        <v>Proceedings - International Workshop on Biomedical Data Engineering, BMDE2005</v>
      </c>
      <c r="B13863" s="8" t="str">
        <f>"-"</f>
        <v>-</v>
      </c>
      <c r="C13863" s="8" t="s">
        <v>9</v>
      </c>
    </row>
    <row r="13864" spans="1:3" x14ac:dyDescent="0.25">
      <c r="A13864" s="8" t="str">
        <f>"Proceedings - International Workshop on Challenges in Web Information Retrieval and Integration, WIRI'05"</f>
        <v>Proceedings - International Workshop on Challenges in Web Information Retrieval and Integration, WIRI'05</v>
      </c>
      <c r="B13864" s="8" t="str">
        <f>"-"</f>
        <v>-</v>
      </c>
      <c r="C13864" s="8" t="s">
        <v>9</v>
      </c>
    </row>
    <row r="13865" spans="1:3" x14ac:dyDescent="0.25">
      <c r="A13865" s="8" t="str">
        <f>"Proceedings - International Workshop on Data Engineering Issues in E-Commerce, DEEC 2005"</f>
        <v>Proceedings - International Workshop on Data Engineering Issues in E-Commerce, DEEC 2005</v>
      </c>
      <c r="B13865" s="8" t="str">
        <f>"-"</f>
        <v>-</v>
      </c>
      <c r="C13865" s="8" t="s">
        <v>9</v>
      </c>
    </row>
    <row r="13866" spans="1:3" x14ac:dyDescent="0.25">
      <c r="A13866" s="8" t="str">
        <f>"Proceedings - International Workshop on Medical Imaging and Augmented Reality, MIAR 2001"</f>
        <v>Proceedings - International Workshop on Medical Imaging and Augmented Reality, MIAR 2001</v>
      </c>
      <c r="B13866" s="8" t="str">
        <f>"9780769511139"</f>
        <v>9780769511139</v>
      </c>
      <c r="C13866" s="8" t="s">
        <v>105</v>
      </c>
    </row>
    <row r="13867" spans="1:3" x14ac:dyDescent="0.25">
      <c r="A13867" s="8" t="str">
        <f>"Proceedings - International Workshop on Pattern Recognition in NeuroImaging, PRNI 2011"</f>
        <v>Proceedings - International Workshop on Pattern Recognition in NeuroImaging, PRNI 2011</v>
      </c>
      <c r="B13867" s="8" t="str">
        <f>"9780769543994"</f>
        <v>9780769543994</v>
      </c>
      <c r="C13867" s="8" t="s">
        <v>9</v>
      </c>
    </row>
    <row r="13868" spans="1:3" x14ac:dyDescent="0.25">
      <c r="A13868" s="8" t="str">
        <f>"Proceedings - IOLTS 2006: 12th IEEE International On-Line Testing Symposium"</f>
        <v>Proceedings - IOLTS 2006: 12th IEEE International On-Line Testing Symposium</v>
      </c>
      <c r="B13868" s="8" t="str">
        <f>"-"</f>
        <v>-</v>
      </c>
      <c r="C13868" s="8" t="s">
        <v>9</v>
      </c>
    </row>
    <row r="13869" spans="1:3" x14ac:dyDescent="0.25">
      <c r="A13869" s="8" t="str">
        <f>"Proceedings - IOLTS 2007 13th IEEE International On-Line Testing Symposium"</f>
        <v>Proceedings - IOLTS 2007 13th IEEE International On-Line Testing Symposium</v>
      </c>
      <c r="B13869" s="8" t="str">
        <f>"9780769529189"</f>
        <v>9780769529189</v>
      </c>
      <c r="C13869" s="8" t="s">
        <v>9</v>
      </c>
    </row>
    <row r="13870" spans="1:3" x14ac:dyDescent="0.25">
      <c r="A13870" s="8" t="str">
        <f>"Proceedings - IPEMC 2000: 3rd International Power Electronics and Motion Control Conference"</f>
        <v>Proceedings - IPEMC 2000: 3rd International Power Electronics and Motion Control Conference</v>
      </c>
      <c r="B13870" s="8" t="str">
        <f>"-"</f>
        <v>-</v>
      </c>
      <c r="C13870" s="8" t="s">
        <v>105</v>
      </c>
    </row>
    <row r="13871" spans="1:3" x14ac:dyDescent="0.25">
      <c r="A13871" s="8" t="str">
        <f>"Proceedings - ISADS 2003: 6th International Symposium on Autonomous Decentralized Systems"</f>
        <v>Proceedings - ISADS 2003: 6th International Symposium on Autonomous Decentralized Systems</v>
      </c>
      <c r="B13871" s="8" t="str">
        <f>"9780769518763"</f>
        <v>9780769518763</v>
      </c>
      <c r="C13871" s="8" t="s">
        <v>105</v>
      </c>
    </row>
    <row r="13872" spans="1:3" x14ac:dyDescent="0.25">
      <c r="A13872" s="8" t="str">
        <f>"Proceedings - ISDA 2006: Sixth International Conference on Intelligent Systems Design and Applications"</f>
        <v>Proceedings - ISDA 2006: Sixth International Conference on Intelligent Systems Design and Applications</v>
      </c>
      <c r="B13872" s="8" t="str">
        <f>"9780769525280"</f>
        <v>9780769525280</v>
      </c>
      <c r="C13872" s="8" t="s">
        <v>9</v>
      </c>
    </row>
    <row r="13873" spans="1:3" x14ac:dyDescent="0.25">
      <c r="A13873" s="8" t="str">
        <f>"Proceedings - ISECS International Colloquium on Computing, Communication, Control, and Management, CCCM 2008"</f>
        <v>Proceedings - ISECS International Colloquium on Computing, Communication, Control, and Management, CCCM 2008</v>
      </c>
      <c r="B13873" s="8" t="str">
        <f>"9780769532905"</f>
        <v>9780769532905</v>
      </c>
      <c r="C13873" s="8" t="s">
        <v>9</v>
      </c>
    </row>
    <row r="13874" spans="1:3" x14ac:dyDescent="0.25">
      <c r="A13874" s="8" t="str">
        <f>"Proceedings - ISIE 2011: 2011 IEEE International Symposium on Industrial Electronics"</f>
        <v>Proceedings - ISIE 2011: 2011 IEEE International Symposium on Industrial Electronics</v>
      </c>
      <c r="B13874" s="8" t="str">
        <f>"9781424493128"</f>
        <v>9781424493128</v>
      </c>
      <c r="C13874" s="8" t="s">
        <v>9</v>
      </c>
    </row>
    <row r="13875" spans="1:3" x14ac:dyDescent="0.25">
      <c r="A13875" s="8" t="str">
        <f>"Proceedings - ISMAR 2006: Fifth IEEE and ACM International Symposium on Mixed and Augmented Reality"</f>
        <v>Proceedings - ISMAR 2006: Fifth IEEE and ACM International Symposium on Mixed and Augmented Reality</v>
      </c>
      <c r="B13875" s="8" t="str">
        <f>"9781424406500"</f>
        <v>9781424406500</v>
      </c>
      <c r="C13875" s="8" t="s">
        <v>105</v>
      </c>
    </row>
    <row r="13876" spans="1:3" x14ac:dyDescent="0.25">
      <c r="A13876" s="8" t="str">
        <f>"Proceedings - ISoLA 2006: 2nd International Symposium on Leveraging Applications of Formal Methods, Verification and Validation"</f>
        <v>Proceedings - ISoLA 2006: 2nd International Symposium on Leveraging Applications of Formal Methods, Verification and Validation</v>
      </c>
      <c r="B13876" s="8" t="str">
        <f>"9780769530710"</f>
        <v>9780769530710</v>
      </c>
      <c r="C13876" s="8" t="s">
        <v>9</v>
      </c>
    </row>
    <row r="13877" spans="1:3" x14ac:dyDescent="0.25">
      <c r="A13877" s="8" t="str">
        <f>"Proceedings - ISPDC 2004: Third International Symposium on Parallel and Distributed Computing/HeteroPar '04: Third International Workshop on Algorithms, Models and Tools for Parallel Computing on Hete"</f>
        <v>Proceedings - ISPDC 2004: Third International Symposium on Parallel and Distributed Computing/HeteroPar '04: Third International Workshop on Algorithms, Models and Tools for Parallel Computing on Hete</v>
      </c>
      <c r="B13877" s="8" t="str">
        <f>"9780769522104"</f>
        <v>9780769522104</v>
      </c>
      <c r="C13877" s="8" t="s">
        <v>9</v>
      </c>
    </row>
    <row r="13878" spans="1:3" x14ac:dyDescent="0.25">
      <c r="A13878" s="8" t="str">
        <f>"Proceedings - ISPTS-1, 1st International Symposium on Physics and Technology of Sensors"</f>
        <v>Proceedings - ISPTS-1, 1st International Symposium on Physics and Technology of Sensors</v>
      </c>
      <c r="B13878" s="8" t="str">
        <f>"9781467310437"</f>
        <v>9781467310437</v>
      </c>
      <c r="C13878" s="8" t="s">
        <v>9</v>
      </c>
    </row>
    <row r="13879" spans="1:3" x14ac:dyDescent="0.25">
      <c r="A13879" s="8" t="str">
        <f>"Proceedings - ISRCS 2009 - 2nd International Symposium on Resilient Control Systems"</f>
        <v>Proceedings - ISRCS 2009 - 2nd International Symposium on Resilient Control Systems</v>
      </c>
      <c r="B13879" s="8" t="str">
        <f>"9781424448548"</f>
        <v>9781424448548</v>
      </c>
      <c r="C13879" s="8" t="s">
        <v>9</v>
      </c>
    </row>
    <row r="13880" spans="1:3" x14ac:dyDescent="0.25">
      <c r="A13880" s="8" t="str">
        <f>"Proceedings - ISRCS 2010 - 3rd International Symposium on Resilient Control Systems"</f>
        <v>Proceedings - ISRCS 2010 - 3rd International Symposium on Resilient Control Systems</v>
      </c>
      <c r="B13880" s="8" t="str">
        <f>"9781424459544"</f>
        <v>9781424459544</v>
      </c>
      <c r="C13880" s="8" t="s">
        <v>9</v>
      </c>
    </row>
    <row r="13881" spans="1:3" x14ac:dyDescent="0.25">
      <c r="A13881" s="8" t="str">
        <f>"Proceedings - ISRCS 2011: 4th International Symposium on Resilient Control Systems"</f>
        <v>Proceedings - ISRCS 2011: 4th International Symposium on Resilient Control Systems</v>
      </c>
      <c r="B13881" s="8" t="str">
        <f>"9781424492930"</f>
        <v>9781424492930</v>
      </c>
      <c r="C13881" s="8" t="s">
        <v>9</v>
      </c>
    </row>
    <row r="13882" spans="1:3" x14ac:dyDescent="0.25">
      <c r="A13882" s="8" t="str">
        <f>"Proceedings - ISSAT International Conference on Modeling of Complex Systems and Environments 2015"</f>
        <v>Proceedings - ISSAT International Conference on Modeling of Complex Systems and Environments 2015</v>
      </c>
      <c r="B13882" s="8" t="str">
        <f>"-"</f>
        <v>-</v>
      </c>
      <c r="C13882" s="8" t="s">
        <v>1339</v>
      </c>
    </row>
    <row r="13883" spans="1:3" x14ac:dyDescent="0.25">
      <c r="A13883" s="8" t="str">
        <f>"Proceedings - ISVD 2007 The 4th International Symposium on Voronoi Diagrams in Science and Engineering 2007"</f>
        <v>Proceedings - ISVD 2007 The 4th International Symposium on Voronoi Diagrams in Science and Engineering 2007</v>
      </c>
      <c r="B13883" s="8" t="str">
        <f>"9780769528694"</f>
        <v>9780769528694</v>
      </c>
      <c r="C13883" s="8" t="s">
        <v>9</v>
      </c>
    </row>
    <row r="13884" spans="1:3" x14ac:dyDescent="0.25">
      <c r="A13884" s="8" t="str">
        <f>"Proceedings - IVNC 2011: 2011 24th International Vacuum Nanoelectronics Conference"</f>
        <v>Proceedings - IVNC 2011: 2011 24th International Vacuum Nanoelectronics Conference</v>
      </c>
      <c r="B13884" s="8" t="str">
        <f>"9783000350818"</f>
        <v>9783000350818</v>
      </c>
      <c r="C13884" s="8" t="s">
        <v>9</v>
      </c>
    </row>
    <row r="13885" spans="1:3" x14ac:dyDescent="0.25">
      <c r="A13885" s="8" t="str">
        <f>"Proceedings - Japan-China Joint Workshop on Frontier of Computer Science and Technology, FCST 2006"</f>
        <v>Proceedings - Japan-China Joint Workshop on Frontier of Computer Science and Technology, FCST 2006</v>
      </c>
      <c r="B13885" s="8" t="str">
        <f>"9780769527215"</f>
        <v>9780769527215</v>
      </c>
      <c r="C13885" s="8" t="s">
        <v>9</v>
      </c>
    </row>
    <row r="13886" spans="1:3" x14ac:dyDescent="0.25">
      <c r="A13886" s="8" t="str">
        <f>"Proceedings - Joint CARE-ELAN, CARE-HHH-APD, and EUROTEV-WP3 Workshop on Electron Cloud Clearing: Electron Cloud Effects and Technological Consequences, ECL2 2007"</f>
        <v>Proceedings - Joint CARE-ELAN, CARE-HHH-APD, and EUROTEV-WP3 Workshop on Electron Cloud Clearing: Electron Cloud Effects and Technological Consequences, ECL2 2007</v>
      </c>
      <c r="B13886" s="8" t="str">
        <f>"-"</f>
        <v>-</v>
      </c>
      <c r="C13886" s="8" t="s">
        <v>259</v>
      </c>
    </row>
    <row r="13887" spans="1:3" x14ac:dyDescent="0.25">
      <c r="A13887" s="8" t="str">
        <f>"Proceedings - Joint Conference of the 21st International Workshop on Software Measurement, IWSM 2011 and the 6th International Conference on Software Process and Product Measurement, MENSURA 2011"</f>
        <v>Proceedings - Joint Conference of the 21st International Workshop on Software Measurement, IWSM 2011 and the 6th International Conference on Software Process and Product Measurement, MENSURA 2011</v>
      </c>
      <c r="B13887" s="8" t="str">
        <f>"9780769544977"</f>
        <v>9780769544977</v>
      </c>
      <c r="C13887" s="8" t="s">
        <v>9</v>
      </c>
    </row>
    <row r="13888" spans="1:3" x14ac:dyDescent="0.25">
      <c r="A13888" s="8" t="str">
        <f>"Proceedings - Joint Conference of the 23rd International Workshop on Software Measurement and the 8th International Conference on Software Process and Product Measurement, IWSM-MENSURA 2013"</f>
        <v>Proceedings - Joint Conference of the 23rd International Workshop on Software Measurement and the 8th International Conference on Software Process and Product Measurement, IWSM-MENSURA 2013</v>
      </c>
      <c r="B13888" s="8" t="str">
        <f>"9780769550787"</f>
        <v>9780769550787</v>
      </c>
      <c r="C13888" s="8" t="s">
        <v>9</v>
      </c>
    </row>
    <row r="13889" spans="1:3" x14ac:dyDescent="0.25">
      <c r="A13889" s="8" t="str">
        <f>"Proceedings - KIM 2013, Knowledge and Information Management Conference: Sustainable Quality"</f>
        <v>Proceedings - KIM 2013, Knowledge and Information Management Conference: Sustainable Quality</v>
      </c>
      <c r="B13889" s="8" t="str">
        <f>"-"</f>
        <v>-</v>
      </c>
      <c r="C13889" s="8" t="s">
        <v>1377</v>
      </c>
    </row>
    <row r="13890" spans="1:3" x14ac:dyDescent="0.25">
      <c r="A13890" s="8" t="str">
        <f>"Proceedings - KORUS 2003: 7th Korea-Russia International Symposium on Science and Technology"</f>
        <v>Proceedings - KORUS 2003: 7th Korea-Russia International Symposium on Science and Technology</v>
      </c>
      <c r="B13890" s="8" t="str">
        <f>"-"</f>
        <v>-</v>
      </c>
      <c r="C13890" s="8" t="s">
        <v>105</v>
      </c>
    </row>
    <row r="13891" spans="1:3" x14ac:dyDescent="0.25">
      <c r="A13891" s="8" t="str">
        <f>"Proceedings - LA-Web 06: Fourth Latin American Web Congress"</f>
        <v>Proceedings - LA-Web 06: Fourth Latin American Web Congress</v>
      </c>
      <c r="B13891" s="8" t="str">
        <f>"9780769526935"</f>
        <v>9780769526935</v>
      </c>
      <c r="C13891" s="8" t="s">
        <v>9</v>
      </c>
    </row>
    <row r="13892" spans="1:3" x14ac:dyDescent="0.25">
      <c r="A13892" s="8" t="str">
        <f>"Proceedings - M and N 2013: 2013 IEEE International Workshop on Measurements and Networking"</f>
        <v>Proceedings - M and N 2013: 2013 IEEE International Workshop on Measurements and Networking</v>
      </c>
      <c r="B13892" s="8" t="str">
        <f>"9781467328739"</f>
        <v>9781467328739</v>
      </c>
      <c r="C13892" s="8" t="s">
        <v>9</v>
      </c>
    </row>
    <row r="13893" spans="1:3" x14ac:dyDescent="0.25">
      <c r="A13893" s="8" t="str">
        <f>"Proceedings - MICC 2009: 2009 IEEE 9th Malaysia International Conference on Communications with a Special Workshop on Digital TV Contents"</f>
        <v>Proceedings - MICC 2009: 2009 IEEE 9th Malaysia International Conference on Communications with a Special Workshop on Digital TV Contents</v>
      </c>
      <c r="B13893" s="8" t="str">
        <f>"9781424455324"</f>
        <v>9781424455324</v>
      </c>
      <c r="C13893" s="8" t="s">
        <v>9</v>
      </c>
    </row>
    <row r="13894" spans="1:3" x14ac:dyDescent="0.25">
      <c r="A13894" s="8" t="str">
        <f>"Proceedings - Motion in Games 2013, MIG 2013"</f>
        <v>Proceedings - Motion in Games 2013, MIG 2013</v>
      </c>
      <c r="B13894" s="8" t="str">
        <f>"9781450325462"</f>
        <v>9781450325462</v>
      </c>
      <c r="C13894" s="8" t="s">
        <v>21</v>
      </c>
    </row>
    <row r="13895" spans="1:3" x14ac:dyDescent="0.25">
      <c r="A13895" s="8" t="str">
        <f>"Proceedings - Motion in Games 2014, MIG 2014"</f>
        <v>Proceedings - Motion in Games 2014, MIG 2014</v>
      </c>
      <c r="B13895" s="8" t="str">
        <f>"9781450326230"</f>
        <v>9781450326230</v>
      </c>
      <c r="C13895" s="8" t="s">
        <v>1235</v>
      </c>
    </row>
    <row r="13896" spans="1:3" x14ac:dyDescent="0.25">
      <c r="A13896" s="8" t="str">
        <f>"Proceedings - MSE 2007: 2007 IEEE International Conference on Microelectronic Systems Education: Educating Systems Designers for the Global Economy and a Secure World"</f>
        <v>Proceedings - MSE 2007: 2007 IEEE International Conference on Microelectronic Systems Education: Educating Systems Designers for the Global Economy and a Secure World</v>
      </c>
      <c r="B13896" s="8" t="str">
        <f>"9780769528496"</f>
        <v>9780769528496</v>
      </c>
      <c r="C13896" s="8" t="s">
        <v>9</v>
      </c>
    </row>
    <row r="13897" spans="1:3" x14ac:dyDescent="0.25">
      <c r="A13897" s="8" t="str">
        <f>"Proceedings - MUM 2007: 6th International Conference on Mobile and Ubiquitous Multimedia"</f>
        <v>Proceedings - MUM 2007: 6th International Conference on Mobile and Ubiquitous Multimedia</v>
      </c>
      <c r="B13897" s="8" t="str">
        <f>"9781595939166"</f>
        <v>9781595939166</v>
      </c>
      <c r="C13897" s="8" t="s">
        <v>21</v>
      </c>
    </row>
    <row r="13898" spans="1:3" x14ac:dyDescent="0.25">
      <c r="A13898" s="8" t="str">
        <f>"Proceedings - NCET NRES EM 2014: 2nd IEEE National Conference on Emerging Trends in New and Renewable Energy Sources and Energy Management"</f>
        <v>Proceedings - NCET NRES EM 2014: 2nd IEEE National Conference on Emerging Trends in New and Renewable Energy Sources and Energy Management</v>
      </c>
      <c r="B13898" s="8" t="str">
        <f>"9781479981939"</f>
        <v>9781479981939</v>
      </c>
      <c r="C13898" s="8" t="s">
        <v>105</v>
      </c>
    </row>
    <row r="13899" spans="1:3" x14ac:dyDescent="0.25">
      <c r="A13899" s="8" t="str">
        <f>"Proceedings - NGMAST 2010: 4th International Conference on Next Generation Mobile Applications, Services, and Technologies"</f>
        <v>Proceedings - NGMAST 2010: 4th International Conference on Next Generation Mobile Applications, Services, and Technologies</v>
      </c>
      <c r="B13899" s="8" t="str">
        <f>"9780769541211"</f>
        <v>9780769541211</v>
      </c>
      <c r="C13899" s="8" t="s">
        <v>9</v>
      </c>
    </row>
    <row r="13900" spans="1:3" x14ac:dyDescent="0.25">
      <c r="A13900" s="8" t="str">
        <f>"Proceedings - Ninth IEEE European Test Symposium, ETS 2004"</f>
        <v>Proceedings - Ninth IEEE European Test Symposium, ETS 2004</v>
      </c>
      <c r="B13900" s="8" t="str">
        <f>"9780769521190"</f>
        <v>9780769521190</v>
      </c>
      <c r="C13900" s="8" t="s">
        <v>9</v>
      </c>
    </row>
    <row r="13901" spans="1:3" x14ac:dyDescent="0.25">
      <c r="A13901" s="8" t="str">
        <f>"Proceedings - Ninth IEEE International Symposium on Object-Oriented Real-Time Distributed Computing, ISORC 2006"</f>
        <v>Proceedings - Ninth IEEE International Symposium on Object-Oriented Real-Time Distributed Computing, ISORC 2006</v>
      </c>
      <c r="B13901" s="8" t="str">
        <f>"-"</f>
        <v>-</v>
      </c>
      <c r="C13901" s="8" t="s">
        <v>9</v>
      </c>
    </row>
    <row r="13902" spans="1:3" x14ac:dyDescent="0.25">
      <c r="A13902" s="8" t="str">
        <f>"Proceedings - Ninth International Conference on Computer Aided Design and Computer Graphics, CAD/CG 2005"</f>
        <v>Proceedings - Ninth International Conference on Computer Aided Design and Computer Graphics, CAD/CG 2005</v>
      </c>
      <c r="B13902" s="8" t="str">
        <f>"-"</f>
        <v>-</v>
      </c>
      <c r="C13902" s="8" t="s">
        <v>9</v>
      </c>
    </row>
    <row r="13903" spans="1:3" x14ac:dyDescent="0.25">
      <c r="A13903" s="8" t="str">
        <f>"Proceedings - NOCS 2007: First International Symposium on Networks-on-Chip"</f>
        <v>Proceedings - NOCS 2007: First International Symposium on Networks-on-Chip</v>
      </c>
      <c r="B13903" s="8" t="str">
        <f>"9780769527734"</f>
        <v>9780769527734</v>
      </c>
      <c r="C13903" s="8" t="s">
        <v>9</v>
      </c>
    </row>
    <row r="13904" spans="1:3" x14ac:dyDescent="0.25">
      <c r="A13904" s="8" t="str">
        <f>"Proceedings - Norchip"</f>
        <v>Proceedings - Norchip</v>
      </c>
      <c r="B13904" s="8" t="str">
        <f>"9780780385108"</f>
        <v>9780780385108</v>
      </c>
      <c r="C13904" s="8" t="s">
        <v>105</v>
      </c>
    </row>
    <row r="13905" spans="1:3" x14ac:dyDescent="0.25">
      <c r="A13905" s="8" t="str">
        <f>"Proceedings - NWeSP 2007 3rd International Conference on Next Generation Web Services Practices"</f>
        <v>Proceedings - NWeSP 2007 3rd International Conference on Next Generation Web Services Practices</v>
      </c>
      <c r="B13905" s="8" t="str">
        <f>"9780769530222"</f>
        <v>9780769530222</v>
      </c>
      <c r="C13905" s="8" t="s">
        <v>9</v>
      </c>
    </row>
    <row r="13906" spans="1:3" x14ac:dyDescent="0.25">
      <c r="A13906" s="8" t="str">
        <f>"Proceedings - P2P - 7th IEEE International Conference on Peer-to-Peer Computing"</f>
        <v>Proceedings - P2P - 7th IEEE International Conference on Peer-to-Peer Computing</v>
      </c>
      <c r="B13906" s="8" t="str">
        <f>"9780769529868"</f>
        <v>9780769529868</v>
      </c>
      <c r="C13906" s="8" t="s">
        <v>9</v>
      </c>
    </row>
    <row r="13907" spans="1:3" x14ac:dyDescent="0.25">
      <c r="A13907" s="8" t="str">
        <f>"Proceedings - P2P'08, 8th International Conference on Peer-to-Peer Computing"</f>
        <v>Proceedings - P2P'08, 8th International Conference on Peer-to-Peer Computing</v>
      </c>
      <c r="B13907" s="8" t="str">
        <f>"9780769533186"</f>
        <v>9780769533186</v>
      </c>
      <c r="C13907" s="8" t="s">
        <v>9</v>
      </c>
    </row>
    <row r="13908" spans="1:3" x14ac:dyDescent="0.25">
      <c r="A13908" s="8" t="str">
        <f>"Proceedings - PACCS 2011: 2011 3rd Pacific-Asia Conference on Circuits, Communications and System"</f>
        <v>Proceedings - PACCS 2011: 2011 3rd Pacific-Asia Conference on Circuits, Communications and System</v>
      </c>
      <c r="B13908" s="8" t="str">
        <f>"9781457708565"</f>
        <v>9781457708565</v>
      </c>
      <c r="C13908" s="8" t="s">
        <v>9</v>
      </c>
    </row>
    <row r="13909" spans="1:3" x14ac:dyDescent="0.25">
      <c r="A13909" s="8" t="str">
        <f>"Proceedings - Pacific Asia Conference on Information Systems, PACIS 2012"</f>
        <v>Proceedings - Pacific Asia Conference on Information Systems, PACIS 2012</v>
      </c>
      <c r="B13909" s="8" t="str">
        <f>"-"</f>
        <v>-</v>
      </c>
      <c r="C13909" s="8" t="s">
        <v>1612</v>
      </c>
    </row>
    <row r="13910" spans="1:3" x14ac:dyDescent="0.25">
      <c r="A13910" s="8" t="str">
        <f>"Proceedings - Pacific Asia Conference on Information Systems, PACIS 2013"</f>
        <v>Proceedings - Pacific Asia Conference on Information Systems, PACIS 2013</v>
      </c>
      <c r="B13910" s="8" t="str">
        <f>"-"</f>
        <v>-</v>
      </c>
      <c r="C13910" s="8" t="s">
        <v>1612</v>
      </c>
    </row>
    <row r="13911" spans="1:3" x14ac:dyDescent="0.25">
      <c r="A13911" s="8" t="str">
        <f>"Proceedings - Pacific Asia Conference on Information Systems, PACIS 2014"</f>
        <v>Proceedings - Pacific Asia Conference on Information Systems, PACIS 2014</v>
      </c>
      <c r="B13911" s="8" t="str">
        <f>"-"</f>
        <v>-</v>
      </c>
      <c r="C13911" s="8" t="s">
        <v>1612</v>
      </c>
    </row>
    <row r="13912" spans="1:3" x14ac:dyDescent="0.25">
      <c r="A13912" s="8" t="str">
        <f>"Proceedings - PERVASIVEHEALTH 2014: 8th International Conference on Pervasive Computing Technologies for Healthcare"</f>
        <v>Proceedings - PERVASIVEHEALTH 2014: 8th International Conference on Pervasive Computing Technologies for Healthcare</v>
      </c>
      <c r="B13912" s="8" t="str">
        <f>"9781631900112"</f>
        <v>9781631900112</v>
      </c>
      <c r="C13912" s="8" t="s">
        <v>1504</v>
      </c>
    </row>
    <row r="13913" spans="1:3" x14ac:dyDescent="0.25">
      <c r="A13913" s="8" t="str">
        <f>"Proceedings - POLICY 2003: IEEE 4th International Workshop on Policies for Distributed Systems and Networks"</f>
        <v>Proceedings - POLICY 2003: IEEE 4th International Workshop on Policies for Distributed Systems and Networks</v>
      </c>
      <c r="B13913" s="8" t="str">
        <f>"9780769519333"</f>
        <v>9780769519333</v>
      </c>
      <c r="C13913" s="8" t="s">
        <v>9</v>
      </c>
    </row>
    <row r="13914" spans="1:3" x14ac:dyDescent="0.25">
      <c r="A13914" s="8" t="str">
        <f>"Proceedings - Power Engineering and Automation Conference, PEAM 2012"</f>
        <v>Proceedings - Power Engineering and Automation Conference, PEAM 2012</v>
      </c>
      <c r="B13914" s="8" t="str">
        <f>"9781457716003"</f>
        <v>9781457716003</v>
      </c>
      <c r="C13914" s="8" t="s">
        <v>9</v>
      </c>
    </row>
    <row r="13915" spans="1:3" x14ac:dyDescent="0.25">
      <c r="A13915" s="8" t="str">
        <f>"Proceedings - PulPaper 2004 Conferences, Coating"</f>
        <v>Proceedings - PulPaper 2004 Conferences, Coating</v>
      </c>
      <c r="B13915" s="8" t="str">
        <f>"-"</f>
        <v>-</v>
      </c>
      <c r="C13915" s="8" t="s">
        <v>2086</v>
      </c>
    </row>
    <row r="13916" spans="1:3" x14ac:dyDescent="0.25">
      <c r="A13916" s="8" t="str">
        <f>"Proceedings - PulPaper 2004 Conferences, Efficiency"</f>
        <v>Proceedings - PulPaper 2004 Conferences, Efficiency</v>
      </c>
      <c r="B13916" s="8" t="str">
        <f>"-"</f>
        <v>-</v>
      </c>
      <c r="C13916" s="8" t="s">
        <v>2086</v>
      </c>
    </row>
    <row r="13917" spans="1:3" x14ac:dyDescent="0.25">
      <c r="A13917" s="8" t="str">
        <f>"Proceedings - PulPaper 2004 Conferences, Energy and Carbon Management"</f>
        <v>Proceedings - PulPaper 2004 Conferences, Energy and Carbon Management</v>
      </c>
      <c r="B13917" s="8" t="str">
        <f>"-"</f>
        <v>-</v>
      </c>
      <c r="C13917" s="8" t="s">
        <v>2086</v>
      </c>
    </row>
    <row r="13918" spans="1:3" x14ac:dyDescent="0.25">
      <c r="A13918" s="8" t="str">
        <f>"Proceedings - RAWCON 2002: 2002 IEEE Radio and Wireless Conference"</f>
        <v>Proceedings - RAWCON 2002: 2002 IEEE Radio and Wireless Conference</v>
      </c>
      <c r="B13918" s="8" t="str">
        <f>"9780780374584"</f>
        <v>9780780374584</v>
      </c>
      <c r="C13918" s="8" t="s">
        <v>105</v>
      </c>
    </row>
    <row r="13919" spans="1:3" x14ac:dyDescent="0.25">
      <c r="A13919" s="8" t="str">
        <f>"Proceedings - ReConFig 2005: 2005 International Conference on Reconfigurable Computing and FPGAs"</f>
        <v>Proceedings - ReConFig 2005: 2005 International Conference on Reconfigurable Computing and FPGAs</v>
      </c>
      <c r="B13919" s="8" t="str">
        <f>"-"</f>
        <v>-</v>
      </c>
      <c r="C13919" s="8" t="s">
        <v>9</v>
      </c>
    </row>
    <row r="13920" spans="1:3" x14ac:dyDescent="0.25">
      <c r="A13920" s="8" t="str">
        <f>"Proceedings - REHAB 2014"</f>
        <v>Proceedings - REHAB 2014</v>
      </c>
      <c r="B13920" s="8" t="str">
        <f>"-"</f>
        <v>-</v>
      </c>
      <c r="C13920" s="8" t="s">
        <v>1504</v>
      </c>
    </row>
    <row r="13921" spans="1:3" x14ac:dyDescent="0.25">
      <c r="A13921" s="8" t="str">
        <f>"Proceedings - RSM 2013: 2013 IEEE Regional Symposium on Micro and Nano Electronics"</f>
        <v>Proceedings - RSM 2013: 2013 IEEE Regional Symposium on Micro and Nano Electronics</v>
      </c>
      <c r="B13921" s="8" t="str">
        <f>"9781479911837"</f>
        <v>9781479911837</v>
      </c>
      <c r="C13921" s="8" t="s">
        <v>9</v>
      </c>
    </row>
    <row r="13922" spans="1:3" x14ac:dyDescent="0.25">
      <c r="A13922" s="8" t="str">
        <f>"Proceedings - RuleML 2006: 2006 Second International Conference on Rules and Rule Markup Languages for the Semantic Web"</f>
        <v>Proceedings - RuleML 2006: 2006 Second International Conference on Rules and Rule Markup Languages for the Semantic Web</v>
      </c>
      <c r="B13922" s="8" t="str">
        <f>"9780769526522"</f>
        <v>9780769526522</v>
      </c>
      <c r="C13922" s="8" t="s">
        <v>9</v>
      </c>
    </row>
    <row r="13923" spans="1:3" x14ac:dyDescent="0.25">
      <c r="A13923" s="8" t="str">
        <f>"Proceedings - SADFE 2007: Second International Workshop on Systematic Approaches to Digital Forensic Engineering"</f>
        <v>Proceedings - SADFE 2007: Second International Workshop on Systematic Approaches to Digital Forensic Engineering</v>
      </c>
      <c r="B13923" s="8" t="str">
        <f>"9780769528083"</f>
        <v>9780769528083</v>
      </c>
      <c r="C13923" s="8" t="s">
        <v>9</v>
      </c>
    </row>
    <row r="13924" spans="1:3" x14ac:dyDescent="0.25">
      <c r="A13924" s="8" t="str">
        <f>"Proceedings - SADFE 2008 3rd International Workshop on Systematic Approaches to Digital Forensic Engineering"</f>
        <v>Proceedings - SADFE 2008 3rd International Workshop on Systematic Approaches to Digital Forensic Engineering</v>
      </c>
      <c r="B13924" s="8" t="str">
        <f>"9780769531717"</f>
        <v>9780769531717</v>
      </c>
      <c r="C13924" s="8" t="s">
        <v>9</v>
      </c>
    </row>
    <row r="13925" spans="1:3" x14ac:dyDescent="0.25">
      <c r="A13925" s="8" t="str">
        <f>"Proceedings - Sandbox 2010: 5th ACM SIGGRAPH Symposium on Video Games"</f>
        <v>Proceedings - Sandbox 2010: 5th ACM SIGGRAPH Symposium on Video Games</v>
      </c>
      <c r="B13925" s="8" t="str">
        <f>"9781450300971"</f>
        <v>9781450300971</v>
      </c>
      <c r="C13925" s="8" t="s">
        <v>21</v>
      </c>
    </row>
    <row r="13926" spans="1:3" x14ac:dyDescent="0.25">
      <c r="A13926" s="8" t="str">
        <f>"Proceedings - Sandbox 2011: ACM SIGGRAPH Video Game"</f>
        <v>Proceedings - Sandbox 2011: ACM SIGGRAPH Video Game</v>
      </c>
      <c r="B13926" s="8" t="str">
        <f>"9781450307758"</f>
        <v>9781450307758</v>
      </c>
      <c r="C13926" s="8" t="s">
        <v>21</v>
      </c>
    </row>
    <row r="13927" spans="1:3" x14ac:dyDescent="0.25">
      <c r="A13927" s="8" t="str">
        <f>"Proceedings - Sandbox Symposium 2006: ACM SIGGRAPH Video Game Symposium, Sandbox '06"</f>
        <v>Proceedings - Sandbox Symposium 2006: ACM SIGGRAPH Video Game Symposium, Sandbox '06</v>
      </c>
      <c r="B13927" s="8" t="str">
        <f>"9781595933867"</f>
        <v>9781595933867</v>
      </c>
      <c r="C13927" s="8" t="s">
        <v>21</v>
      </c>
    </row>
    <row r="13928" spans="1:3" x14ac:dyDescent="0.25">
      <c r="A13928" s="8" t="str">
        <f>"Proceedings - SAP 2013: ACM Symposium on Applied Perception"</f>
        <v>Proceedings - SAP 2013: ACM Symposium on Applied Perception</v>
      </c>
      <c r="B13928" s="8" t="str">
        <f>"9781450322621"</f>
        <v>9781450322621</v>
      </c>
      <c r="C13928" s="8" t="s">
        <v>21</v>
      </c>
    </row>
    <row r="13929" spans="1:3" x14ac:dyDescent="0.25">
      <c r="A13929" s="8" t="str">
        <f>"Proceedings - SBCCI 2007: 20th Symposium on Integrated Circuits and System Design"</f>
        <v>Proceedings - SBCCI 2007: 20th Symposium on Integrated Circuits and System Design</v>
      </c>
      <c r="B13929" s="8" t="str">
        <f>"9781595938169"</f>
        <v>9781595938169</v>
      </c>
      <c r="C13929" s="8" t="s">
        <v>21</v>
      </c>
    </row>
    <row r="13930" spans="1:3" x14ac:dyDescent="0.25">
      <c r="A13930" s="8" t="str">
        <f>"Proceedings - SBCCI 2008: 21st Symposium on Integrated Circuits and Systems Design"</f>
        <v>Proceedings - SBCCI 2008: 21st Symposium on Integrated Circuits and Systems Design</v>
      </c>
      <c r="B13930" s="8" t="str">
        <f>"9781605582313"</f>
        <v>9781605582313</v>
      </c>
      <c r="C13930" s="8" t="s">
        <v>21</v>
      </c>
    </row>
    <row r="13931" spans="1:3" x14ac:dyDescent="0.25">
      <c r="A13931" s="8" t="str">
        <f>"Proceedings - SBCCI 2012: 25th Symposium on Integrated Circuits and Systems Design"</f>
        <v>Proceedings - SBCCI 2012: 25th Symposium on Integrated Circuits and Systems Design</v>
      </c>
      <c r="B13931" s="8" t="str">
        <f>"9781467326087"</f>
        <v>9781467326087</v>
      </c>
      <c r="C13931" s="8" t="s">
        <v>9</v>
      </c>
    </row>
    <row r="13932" spans="1:3" x14ac:dyDescent="0.25">
      <c r="A13932" s="8" t="str">
        <f>"Proceedings - SBCCI2011: 24th Symposium on Integrated Circuits and Systems Design"</f>
        <v>Proceedings - SBCCI2011: 24th Symposium on Integrated Circuits and Systems Design</v>
      </c>
      <c r="B13932" s="8" t="str">
        <f>"9781450308281"</f>
        <v>9781450308281</v>
      </c>
      <c r="C13932" s="8" t="s">
        <v>21</v>
      </c>
    </row>
    <row r="13933" spans="1:3" x14ac:dyDescent="0.25">
      <c r="A13933" s="8" t="str">
        <f>"Proceedings - SBIM 2011: ACM SIGGRAPH / Eurographics Symposium on Sketch-Based Interfaces and Modeling"</f>
        <v>Proceedings - SBIM 2011: ACM SIGGRAPH / Eurographics Symposium on Sketch-Based Interfaces and Modeling</v>
      </c>
      <c r="B13933" s="8" t="str">
        <f>"9781450309066"</f>
        <v>9781450309066</v>
      </c>
      <c r="C13933" s="8" t="s">
        <v>21</v>
      </c>
    </row>
    <row r="13934" spans="1:3" x14ac:dyDescent="0.25">
      <c r="A13934" s="8" t="str">
        <f>"Proceedings - SCA 2011: ACM SIGGRAPH / Eurographics Symposium on Computer Animation"</f>
        <v>Proceedings - SCA 2011: ACM SIGGRAPH / Eurographics Symposium on Computer Animation</v>
      </c>
      <c r="B13934" s="8" t="str">
        <f>"9781450309233"</f>
        <v>9781450309233</v>
      </c>
      <c r="C13934" s="8" t="s">
        <v>21</v>
      </c>
    </row>
    <row r="13935" spans="1:3" x14ac:dyDescent="0.25">
      <c r="A13935" s="8" t="str">
        <f>"Proceedings - SCA 2013: 12th ACM SIGGRAPH / Eurographics Symposium on Computer Animation"</f>
        <v>Proceedings - SCA 2013: 12th ACM SIGGRAPH / Eurographics Symposium on Computer Animation</v>
      </c>
      <c r="B13935" s="8" t="str">
        <f>"9781450321327"</f>
        <v>9781450321327</v>
      </c>
      <c r="C13935" s="8" t="s">
        <v>21</v>
      </c>
    </row>
    <row r="13936" spans="1:3" x14ac:dyDescent="0.25">
      <c r="A13936" s="8" t="str">
        <f>"Proceedings - SCCG 2007: 23rd Spring Conference on Computer Graphics"</f>
        <v>Proceedings - SCCG 2007: 23rd Spring Conference on Computer Graphics</v>
      </c>
      <c r="B13936" s="8" t="str">
        <f>"9781605589565"</f>
        <v>9781605589565</v>
      </c>
      <c r="C13936" s="8" t="s">
        <v>1235</v>
      </c>
    </row>
    <row r="13937" spans="1:3" x14ac:dyDescent="0.25">
      <c r="A13937" s="8" t="str">
        <f>"Proceedings - SCCG 2008: 24th Spring Conference on Computer Graphics"</f>
        <v>Proceedings - SCCG 2008: 24th Spring Conference on Computer Graphics</v>
      </c>
      <c r="B13937" s="8" t="str">
        <f>"9781605589572"</f>
        <v>9781605589572</v>
      </c>
      <c r="C13937" s="8" t="s">
        <v>21</v>
      </c>
    </row>
    <row r="13938" spans="1:3" x14ac:dyDescent="0.25">
      <c r="A13938" s="8" t="str">
        <f>"Proceedings - SCCG 2009: 25th Spring Conference on Computer Graphics"</f>
        <v>Proceedings - SCCG 2009: 25th Spring Conference on Computer Graphics</v>
      </c>
      <c r="B13938" s="8" t="str">
        <f>"9781450307697"</f>
        <v>9781450307697</v>
      </c>
      <c r="C13938" s="8" t="s">
        <v>21</v>
      </c>
    </row>
    <row r="13939" spans="1:3" x14ac:dyDescent="0.25">
      <c r="A13939" s="8" t="str">
        <f>"Proceedings - SCCG 2010: 26th Spring Conference on Computer Graphics"</f>
        <v>Proceedings - SCCG 2010: 26th Spring Conference on Computer Graphics</v>
      </c>
      <c r="B13939" s="8" t="str">
        <f>"9781450305587"</f>
        <v>9781450305587</v>
      </c>
      <c r="C13939" s="8" t="s">
        <v>21</v>
      </c>
    </row>
    <row r="13940" spans="1:3" x14ac:dyDescent="0.25">
      <c r="A13940" s="8" t="str">
        <f>"Proceedings - SCCG 2011: 27th Spring Conference on Computer Graphics"</f>
        <v>Proceedings - SCCG 2011: 27th Spring Conference on Computer Graphics</v>
      </c>
      <c r="B13940" s="8" t="str">
        <f>"9781450319782"</f>
        <v>9781450319782</v>
      </c>
      <c r="C13940" s="8" t="s">
        <v>21</v>
      </c>
    </row>
    <row r="13941" spans="1:3" x14ac:dyDescent="0.25">
      <c r="A13941" s="8" t="str">
        <f>"Proceedings - SCCG 2012: 28th Spring Conference on Computer Graphics"</f>
        <v>Proceedings - SCCG 2012: 28th Spring Conference on Computer Graphics</v>
      </c>
      <c r="B13941" s="8" t="str">
        <f>"9781450319775"</f>
        <v>9781450319775</v>
      </c>
      <c r="C13941" s="8" t="s">
        <v>21</v>
      </c>
    </row>
    <row r="13942" spans="1:3" x14ac:dyDescent="0.25">
      <c r="A13942" s="8" t="str">
        <f>"Proceedings - SCCG 2013: 29th Spring Conference on Computer Graphics"</f>
        <v>Proceedings - SCCG 2013: 29th Spring Conference on Computer Graphics</v>
      </c>
      <c r="B13942" s="8" t="str">
        <f>"9781450324809"</f>
        <v>9781450324809</v>
      </c>
      <c r="C13942" s="8" t="s">
        <v>21</v>
      </c>
    </row>
    <row r="13943" spans="1:3" x14ac:dyDescent="0.25">
      <c r="A13943" s="8" t="str">
        <f>"Proceedings - SCCG 2014: 30th Spring Conference on Computer Graphics"</f>
        <v>Proceedings - SCCG 2014: 30th Spring Conference on Computer Graphics</v>
      </c>
      <c r="B13943" s="8" t="str">
        <f>"9781450330701"</f>
        <v>9781450330701</v>
      </c>
      <c r="C13943" s="8" t="s">
        <v>1235</v>
      </c>
    </row>
    <row r="13944" spans="1:3" x14ac:dyDescent="0.25">
      <c r="A13944" s="8" t="str">
        <f>"Proceedings - SCW 2006: IEEE Services Computing Workshops"</f>
        <v>Proceedings - SCW 2006: IEEE Services Computing Workshops</v>
      </c>
      <c r="B13944" s="8" t="str">
        <f>"9780769526812"</f>
        <v>9780769526812</v>
      </c>
      <c r="C13944" s="8" t="s">
        <v>9</v>
      </c>
    </row>
    <row r="13945" spans="1:3" x14ac:dyDescent="0.25">
      <c r="A13945" s="8" t="str">
        <f>"Proceedings - Second Annual Conference on Communication Networks and Services Research"</f>
        <v>Proceedings - Second Annual Conference on Communication Networks and Services Research</v>
      </c>
      <c r="B13945" s="8" t="str">
        <f>"9780769520964"</f>
        <v>9780769520964</v>
      </c>
      <c r="C13945" s="8" t="s">
        <v>9</v>
      </c>
    </row>
    <row r="13946" spans="1:3" x14ac:dyDescent="0.25">
      <c r="A13946" s="8" t="str">
        <f>"Proceedings - Second IEEE Annual Conference on Pervasive Computing and Communications, PerCom"</f>
        <v>Proceedings - Second IEEE Annual Conference on Pervasive Computing and Communications, PerCom</v>
      </c>
      <c r="B13946" s="8" t="str">
        <f>"9780769520902"</f>
        <v>9780769520902</v>
      </c>
      <c r="C13946" s="8" t="s">
        <v>9</v>
      </c>
    </row>
    <row r="13947" spans="1:3" x14ac:dyDescent="0.25">
      <c r="A13947" s="8" t="str">
        <f>"Proceedings - Second IEEE Annual Conference on Pervasive Computing and Communications, Workshops, PerCom"</f>
        <v>Proceedings - Second IEEE Annual Conference on Pervasive Computing and Communications, Workshops, PerCom</v>
      </c>
      <c r="B13947" s="8" t="str">
        <f>"9780769520902"</f>
        <v>9780769520902</v>
      </c>
      <c r="C13947" s="8" t="s">
        <v>9</v>
      </c>
    </row>
    <row r="13948" spans="1:3" x14ac:dyDescent="0.25">
      <c r="A13948" s="8" t="str">
        <f>"Proceedings - Second IEEE Information Assurance Workshop"</f>
        <v>Proceedings - Second IEEE Information Assurance Workshop</v>
      </c>
      <c r="B13948" s="8" t="str">
        <f>"9780769521176"</f>
        <v>9780769521176</v>
      </c>
      <c r="C13948" s="8" t="s">
        <v>9</v>
      </c>
    </row>
    <row r="13949" spans="1:3" x14ac:dyDescent="0.25">
      <c r="A13949" s="8" t="str">
        <f>"Proceedings - Second IEEE International Symposium on Networks-on-Chip, NOCS 2008"</f>
        <v>Proceedings - Second IEEE International Symposium on Networks-on-Chip, NOCS 2008</v>
      </c>
      <c r="B13949" s="8" t="str">
        <f>"9780769530987"</f>
        <v>9780769530987</v>
      </c>
      <c r="C13949" s="8" t="s">
        <v>105</v>
      </c>
    </row>
    <row r="13950" spans="1:3" x14ac:dyDescent="0.25">
      <c r="A13950" s="8" t="str">
        <f>"Proceedings - Second IEEE International Symposium on Service-Oriented System Engineering, SOSE 2006"</f>
        <v>Proceedings - Second IEEE International Symposium on Service-Oriented System Engineering, SOSE 2006</v>
      </c>
      <c r="B13950" s="8" t="str">
        <f>"9780769527260"</f>
        <v>9780769527260</v>
      </c>
      <c r="C13950" s="8" t="s">
        <v>9</v>
      </c>
    </row>
    <row r="13951" spans="1:3" x14ac:dyDescent="0.25">
      <c r="A13951" s="8" t="str">
        <f>"Proceedings - Second IEEE Workshop on Software Technologies for Future Embedded and Ubiquitous Systems"</f>
        <v>Proceedings - Second IEEE Workshop on Software Technologies for Future Embedded and Ubiquitous Systems</v>
      </c>
      <c r="B13951" s="8" t="str">
        <f>"9780769521237"</f>
        <v>9780769521237</v>
      </c>
      <c r="C13951" s="8" t="s">
        <v>9</v>
      </c>
    </row>
    <row r="13952" spans="1:3" x14ac:dyDescent="0.25">
      <c r="A13952" s="8" t="str">
        <f>"Proceedings - Second International Conference on Automated Production of Cross Media Content for Multi-Channel Distribution, AXMEDIS 2006"</f>
        <v>Proceedings - Second International Conference on Automated Production of Cross Media Content for Multi-Channel Distribution, AXMEDIS 2006</v>
      </c>
      <c r="B13952" s="8" t="str">
        <f>"9780769526256"</f>
        <v>9780769526256</v>
      </c>
      <c r="C13952" s="8" t="s">
        <v>9</v>
      </c>
    </row>
    <row r="13953" spans="1:3" x14ac:dyDescent="0.25">
      <c r="A13953" s="8" t="str">
        <f>"Proceedings - Second International Conference on Autonomic Computing, ICAC 2005"</f>
        <v>Proceedings - Second International Conference on Autonomic Computing, ICAC 2005</v>
      </c>
      <c r="B13953" s="8" t="str">
        <f>"-"</f>
        <v>-</v>
      </c>
      <c r="C13953" s="8" t="s">
        <v>9</v>
      </c>
    </row>
    <row r="13954" spans="1:3" x14ac:dyDescent="0.25">
      <c r="A13954" s="8" t="str">
        <f>"Proceedings - Second International Conference on Availability, Reliability and Security, ARES 2007"</f>
        <v>Proceedings - Second International Conference on Availability, Reliability and Security, ARES 2007</v>
      </c>
      <c r="B13954" s="8" t="str">
        <f>"9780769527758"</f>
        <v>9780769527758</v>
      </c>
      <c r="C13954" s="8" t="s">
        <v>9</v>
      </c>
    </row>
    <row r="13955" spans="1:3" x14ac:dyDescent="0.25">
      <c r="A13955" s="8" t="str">
        <f>"Proceedings - Second International Conference on Coordinated and Multiple Views in Exploratory Visualization, CMV 2004"</f>
        <v>Proceedings - Second International Conference on Coordinated and Multiple Views in Exploratory Visualization, CMV 2004</v>
      </c>
      <c r="B13955" s="8" t="str">
        <f>"9780769521794"</f>
        <v>9780769521794</v>
      </c>
      <c r="C13955" s="8" t="s">
        <v>9</v>
      </c>
    </row>
    <row r="13956" spans="1:3" x14ac:dyDescent="0.25">
      <c r="A13956" s="8" t="str">
        <f>"Proceedings - Second International Conference on Creating, Connecting and Collaborating Through Computing"</f>
        <v>Proceedings - Second International Conference on Creating, Connecting and Collaborating Through Computing</v>
      </c>
      <c r="B13956" s="8" t="str">
        <f>"9780769521664"</f>
        <v>9780769521664</v>
      </c>
      <c r="C13956" s="8" t="s">
        <v>9</v>
      </c>
    </row>
    <row r="13957" spans="1:3" x14ac:dyDescent="0.25">
      <c r="A13957" s="8" t="str">
        <f>"Proceedings - Second International Conference on Document Image Analysis for Libraries, DIAL 2006"</f>
        <v>Proceedings - Second International Conference on Document Image Analysis for Libraries, DIAL 2006</v>
      </c>
      <c r="B13957" s="8" t="str">
        <f>"-"</f>
        <v>-</v>
      </c>
      <c r="C13957" s="8" t="s">
        <v>9</v>
      </c>
    </row>
    <row r="13958" spans="1:3" x14ac:dyDescent="0.25">
      <c r="A13958" s="8" t="str">
        <f>"Proceedings - Second International Conference on Informatics Research for Development of Knowledge Society Infrastructure, ICKS 2007"</f>
        <v>Proceedings - Second International Conference on Informatics Research for Development of Knowledge Society Infrastructure, ICKS 2007</v>
      </c>
      <c r="B13958" s="8" t="str">
        <f>"9780769528113"</f>
        <v>9780769528113</v>
      </c>
      <c r="C13958" s="8" t="s">
        <v>9</v>
      </c>
    </row>
    <row r="13959" spans="1:3" x14ac:dyDescent="0.25">
      <c r="A13959" s="8" t="str">
        <f>"Proceedings - Second International IEEE Workshop on Software Evolvability, SE'06"</f>
        <v>Proceedings - Second International IEEE Workshop on Software Evolvability, SE'06</v>
      </c>
      <c r="B13959" s="8" t="str">
        <f>"9780769526980"</f>
        <v>9780769526980</v>
      </c>
      <c r="C13959" s="8" t="s">
        <v>9</v>
      </c>
    </row>
    <row r="13960" spans="1:3" x14ac:dyDescent="0.25">
      <c r="A13960" s="8" t="str">
        <f>"Proceedings - Second International Symposium on Plant Growth Modeling, Simulation, Visualization and Applications, PMA 2006"</f>
        <v>Proceedings - Second International Symposium on Plant Growth Modeling, Simulation, Visualization and Applications, PMA 2006</v>
      </c>
      <c r="B13960" s="8" t="str">
        <f>"9780769528519"</f>
        <v>9780769528519</v>
      </c>
      <c r="C13960" s="8" t="s">
        <v>9</v>
      </c>
    </row>
    <row r="13961" spans="1:3" x14ac:dyDescent="0.25">
      <c r="A13961" s="8" t="str">
        <f>"Proceedings - Second International Workshop on Hot Topics in Peer-to-Peer Systems, HOT-P2P 2005"</f>
        <v>Proceedings - Second International Workshop on Hot Topics in Peer-to-Peer Systems, HOT-P2P 2005</v>
      </c>
      <c r="B13961" s="8" t="str">
        <f>"-"</f>
        <v>-</v>
      </c>
      <c r="C13961" s="8" t="s">
        <v>9</v>
      </c>
    </row>
    <row r="13962" spans="1:3" x14ac:dyDescent="0.25">
      <c r="A13962" s="8" t="str">
        <f>"Proceedings - Second International Workshop on Security, Privacy and Trust in Pervasive and Ubiquitous Computing, SecPerU 2006"</f>
        <v>Proceedings - Second International Workshop on Security, Privacy and Trust in Pervasive and Ubiquitous Computing, SecPerU 2006</v>
      </c>
      <c r="B13962" s="8" t="str">
        <f>"-"</f>
        <v>-</v>
      </c>
      <c r="C13962" s="8" t="s">
        <v>9</v>
      </c>
    </row>
    <row r="13963" spans="1:3" x14ac:dyDescent="0.25">
      <c r="A13963" s="8" t="str">
        <f>"Proceedings - Second Joint EuroHaptics Conference and Symposium on Haptic Interfaces for Virtual Environment and Teleoperator Systems, World Haptics 2007"</f>
        <v>Proceedings - Second Joint EuroHaptics Conference and Symposium on Haptic Interfaces for Virtual Environment and Teleoperator Systems, World Haptics 2007</v>
      </c>
      <c r="B13963" s="8" t="str">
        <f>"9780769527383"</f>
        <v>9780769527383</v>
      </c>
      <c r="C13963" s="8" t="s">
        <v>9</v>
      </c>
    </row>
    <row r="13964" spans="1:3" x14ac:dyDescent="0.25">
      <c r="A13964" s="8" t="str">
        <f>"Proceedings - SEKE 2012: 24th International Conference on Software Engineering and Knowledge Engineering"</f>
        <v>Proceedings - SEKE 2012: 24th International Conference on Software Engineering and Knowledge Engineering</v>
      </c>
      <c r="B13964" s="8" t="str">
        <f>"9781891706318"</f>
        <v>9781891706318</v>
      </c>
      <c r="C13964" s="8" t="s">
        <v>986</v>
      </c>
    </row>
    <row r="13965" spans="1:3" x14ac:dyDescent="0.25">
      <c r="A13965" s="8" t="str">
        <f>"Proceedings - SERA 2007: Fifth ACIS International Conference on Software Engineering Research, Management, and Applications"</f>
        <v>Proceedings - SERA 2007: Fifth ACIS International Conference on Software Engineering Research, Management, and Applications</v>
      </c>
      <c r="B13965" s="8" t="str">
        <f>"9780769528670"</f>
        <v>9780769528670</v>
      </c>
      <c r="C13965" s="8" t="s">
        <v>9</v>
      </c>
    </row>
    <row r="13966" spans="1:3" x14ac:dyDescent="0.25">
      <c r="A13966" s="8" t="str">
        <f>"Proceedings - Seventh IEEE International Conference on E-Commerce Technology Workshops, CEC 2005 Workshops"</f>
        <v>Proceedings - Seventh IEEE International Conference on E-Commerce Technology Workshops, CEC 2005 Workshops</v>
      </c>
      <c r="B13966" s="8" t="str">
        <f>"-"</f>
        <v>-</v>
      </c>
      <c r="C13966" s="8" t="s">
        <v>9</v>
      </c>
    </row>
    <row r="13967" spans="1:3" x14ac:dyDescent="0.25">
      <c r="A13967" s="8" t="str">
        <f>"Proceedings - Seventh IEEE International Conference on E-Commerce Technology, CEC 2005"</f>
        <v>Proceedings - Seventh IEEE International Conference on E-Commerce Technology, CEC 2005</v>
      </c>
      <c r="B13967" s="8" t="str">
        <f>"-"</f>
        <v>-</v>
      </c>
      <c r="C13967" s="8" t="s">
        <v>9</v>
      </c>
    </row>
    <row r="13968" spans="1:3" x14ac:dyDescent="0.25">
      <c r="A13968" s="8" t="str">
        <f>"Proceedings - Seventh IEEE International Symposium on Cluster Computing and the Grid, CCGrid 2007"</f>
        <v>Proceedings - Seventh IEEE International Symposium on Cluster Computing and the Grid, CCGrid 2007</v>
      </c>
      <c r="B13968" s="8" t="str">
        <f>"9780769528335"</f>
        <v>9780769528335</v>
      </c>
      <c r="C13968" s="8" t="s">
        <v>9</v>
      </c>
    </row>
    <row r="13969" spans="1:3" x14ac:dyDescent="0.25">
      <c r="A13969" s="8" t="str">
        <f>"Proceedings - Seventh IEEE International Symposium on Multimedia, ISM 2005"</f>
        <v>Proceedings - Seventh IEEE International Symposium on Multimedia, ISM 2005</v>
      </c>
      <c r="B13969" s="8" t="str">
        <f>"-"</f>
        <v>-</v>
      </c>
      <c r="C13969" s="8" t="s">
        <v>9</v>
      </c>
    </row>
    <row r="13970" spans="1:3" x14ac:dyDescent="0.25">
      <c r="A13970" s="8" t="str">
        <f>"Proceedings - Seventh IEEE International Symposium on Object-Oriented Real-Time Distributed Computing"</f>
        <v>Proceedings - Seventh IEEE International Symposium on Object-Oriented Real-Time Distributed Computing</v>
      </c>
      <c r="B13970" s="8" t="str">
        <f>"9780769521244"</f>
        <v>9780769521244</v>
      </c>
      <c r="C13970" s="8" t="s">
        <v>9</v>
      </c>
    </row>
    <row r="13971" spans="1:3" x14ac:dyDescent="0.25">
      <c r="A13971" s="8" t="str">
        <f>"Proceedings - Seventh IEEE International Symposium on Web Site Evolution, WSE 2005"</f>
        <v>Proceedings - Seventh IEEE International Symposium on Web Site Evolution, WSE 2005</v>
      </c>
      <c r="B13971" s="8" t="str">
        <f>"-"</f>
        <v>-</v>
      </c>
      <c r="C13971" s="8" t="s">
        <v>9</v>
      </c>
    </row>
    <row r="13972" spans="1:3" x14ac:dyDescent="0.25">
      <c r="A13972" s="8" t="str">
        <f>"Proceedings - Seventh IEEE International Workshop on Policies for Distributed Systems and Networks, Policy 2006"</f>
        <v>Proceedings - Seventh IEEE International Workshop on Policies for Distributed Systems and Networks, Policy 2006</v>
      </c>
      <c r="B13972" s="8" t="str">
        <f>"-"</f>
        <v>-</v>
      </c>
      <c r="C13972" s="8" t="s">
        <v>9</v>
      </c>
    </row>
    <row r="13973" spans="1:3" x14ac:dyDescent="0.25">
      <c r="A13973" s="8" t="str">
        <f>"Proceedings - Seventh IEEE Workshop on Applications of Computer Vision, WACV 2005"</f>
        <v>Proceedings - Seventh IEEE Workshop on Applications of Computer Vision, WACV 2005</v>
      </c>
      <c r="B13973" s="8" t="str">
        <f>"9780769522715"</f>
        <v>9780769522715</v>
      </c>
      <c r="C13973" s="8" t="s">
        <v>9</v>
      </c>
    </row>
    <row r="13974" spans="1:3" x14ac:dyDescent="0.25">
      <c r="A13974" s="8" t="str">
        <f>"Proceedings - Seventh International Conference on High Performance Computing and Grid in Asia Pacific Region, HPCAsia 2004"</f>
        <v>Proceedings - Seventh International Conference on High Performance Computing and Grid in Asia Pacific Region, HPCAsia 2004</v>
      </c>
      <c r="B13974" s="8" t="str">
        <f>"9780769521381"</f>
        <v>9780769521381</v>
      </c>
      <c r="C13974" s="8" t="s">
        <v>9</v>
      </c>
    </row>
    <row r="13975" spans="1:3" x14ac:dyDescent="0.25">
      <c r="A13975" s="8" t="str">
        <f>"Proceedings - Seventh International Symposium on Symbolic and Numeric Algorithms for Scientific Computing, SYNASC 2005"</f>
        <v>Proceedings - Seventh International Symposium on Symbolic and Numeric Algorithms for Scientific Computing, SYNASC 2005</v>
      </c>
      <c r="B13975" s="8" t="str">
        <f>"-"</f>
        <v>-</v>
      </c>
      <c r="C13975" s="8" t="s">
        <v>9</v>
      </c>
    </row>
    <row r="13976" spans="1:3" x14ac:dyDescent="0.25">
      <c r="A13976" s="8" t="str">
        <f>"Proceedings - Shape Modeling International SMI 2004"</f>
        <v>Proceedings - Shape Modeling International SMI 2004</v>
      </c>
      <c r="B13976" s="8" t="str">
        <f>"9780769520759"</f>
        <v>9780769520759</v>
      </c>
      <c r="C13976" s="8" t="s">
        <v>9</v>
      </c>
    </row>
    <row r="13977" spans="1:3" x14ac:dyDescent="0.25">
      <c r="A13977" s="8" t="str">
        <f>"Proceedings - SIGCHI-NZ Symposium on Computer-Human Interaction, CHINZ 2002"</f>
        <v>Proceedings - SIGCHI-NZ Symposium on Computer-Human Interaction, CHINZ 2002</v>
      </c>
      <c r="B13977" s="8" t="str">
        <f>"9780473085001"</f>
        <v>9780473085001</v>
      </c>
      <c r="C13977" s="8" t="s">
        <v>21</v>
      </c>
    </row>
    <row r="13978" spans="1:3" x14ac:dyDescent="0.25">
      <c r="A13978" s="8" t="str">
        <f>"Proceedings - Simposio em Sistemas Computacionais, WSCAD-SSC 2011"</f>
        <v>Proceedings - Simposio em Sistemas Computacionais, WSCAD-SSC 2011</v>
      </c>
      <c r="B13978" s="8" t="str">
        <f>"9780769546148"</f>
        <v>9780769546148</v>
      </c>
      <c r="C13978" s="8" t="s">
        <v>9</v>
      </c>
    </row>
    <row r="13979" spans="1:3" x14ac:dyDescent="0.25">
      <c r="A13979" s="8" t="str">
        <f>"Proceedings - SISW 2007: 4th International IEEE Security in Storage Workshop"</f>
        <v>Proceedings - SISW 2007: 4th International IEEE Security in Storage Workshop</v>
      </c>
      <c r="B13979" s="8" t="str">
        <f>"9780769530529"</f>
        <v>9780769530529</v>
      </c>
      <c r="C13979" s="8" t="s">
        <v>9</v>
      </c>
    </row>
    <row r="13980" spans="1:3" x14ac:dyDescent="0.25">
      <c r="A13980" s="8" t="str">
        <f>"Proceedings - Sixth European Dependable Computing Conference, EDCC 2006"</f>
        <v>Proceedings - Sixth European Dependable Computing Conference, EDCC 2006</v>
      </c>
      <c r="B13980" s="8" t="str">
        <f>"9780769526485"</f>
        <v>9780769526485</v>
      </c>
      <c r="C13980" s="8" t="s">
        <v>9</v>
      </c>
    </row>
    <row r="13981" spans="1:3" x14ac:dyDescent="0.25">
      <c r="A13981" s="8" t="str">
        <f>"Proceedings - Sixth IEEE International Conference on Automatic Face and Gesture Recognition"</f>
        <v>Proceedings - Sixth IEEE International Conference on Automatic Face and Gesture Recognition</v>
      </c>
      <c r="B13981" s="8" t="str">
        <f>"9780769521220"</f>
        <v>9780769521220</v>
      </c>
      <c r="C13981" s="8" t="s">
        <v>9</v>
      </c>
    </row>
    <row r="13982" spans="1:3" x14ac:dyDescent="0.25">
      <c r="A13982" s="8" t="str">
        <f>"Proceedings - Sixth IEEE International Conference on Computer and Information Technology, CIT 2006"</f>
        <v>Proceedings - Sixth IEEE International Conference on Computer and Information Technology, CIT 2006</v>
      </c>
      <c r="B13982" s="8" t="str">
        <f>"9780769526874"</f>
        <v>9780769526874</v>
      </c>
      <c r="C13982" s="8" t="s">
        <v>9</v>
      </c>
    </row>
    <row r="13983" spans="1:3" x14ac:dyDescent="0.25">
      <c r="A13983" s="8" t="str">
        <f>"Proceedings - Sixth IEEE International Workshop on Policies for Distributed Systems and Networks, POLICY 2005"</f>
        <v>Proceedings - Sixth IEEE International Workshop on Policies for Distributed Systems and Networks, POLICY 2005</v>
      </c>
      <c r="B13983" s="8" t="str">
        <f>"-"</f>
        <v>-</v>
      </c>
      <c r="C13983" s="8" t="s">
        <v>9</v>
      </c>
    </row>
    <row r="13984" spans="1:3" x14ac:dyDescent="0.25">
      <c r="A13984" s="8" t="str">
        <f>"Proceedings - Sixth IEEE International Workshop on Source Code Analysis and Manipulation, SCAM 2006"</f>
        <v>Proceedings - Sixth IEEE International Workshop on Source Code Analysis and Manipulation, SCAM 2006</v>
      </c>
      <c r="B13984" s="8" t="str">
        <f>"9780769523538"</f>
        <v>9780769523538</v>
      </c>
      <c r="C13984" s="8" t="s">
        <v>9</v>
      </c>
    </row>
    <row r="13985" spans="1:3" x14ac:dyDescent="0.25">
      <c r="A13985" s="8" t="str">
        <f>"Proceedings - Sixth IEEE International Workshop on Web Site Evolution, WSE 2004"</f>
        <v>Proceedings - Sixth IEEE International Workshop on Web Site Evolution, WSE 2004</v>
      </c>
      <c r="B13985" s="8" t="str">
        <f>"9780769522241"</f>
        <v>9780769522241</v>
      </c>
      <c r="C13985" s="8" t="s">
        <v>9</v>
      </c>
    </row>
    <row r="13986" spans="1:3" x14ac:dyDescent="0.25">
      <c r="A13986" s="8" t="str">
        <f>"Proceedings - Sixth IEEE Symposium on BioInformatics and BioEngineering, BIBE 2006"</f>
        <v>Proceedings - Sixth IEEE Symposium on BioInformatics and BioEngineering, BIBE 2006</v>
      </c>
      <c r="B13986" s="8" t="str">
        <f>"9780769527277"</f>
        <v>9780769527277</v>
      </c>
      <c r="C13986" s="8" t="s">
        <v>9</v>
      </c>
    </row>
    <row r="13987" spans="1:3" x14ac:dyDescent="0.25">
      <c r="A13987" s="8" t="str">
        <f>"Proceedings - Sixth Int. Conf. on Softw. Eng., Artificial Intelligence, Netw. and Parallel/Distributed Computing and First ACIS Int. Workshop on Self-Assembling Wireless Netw., SNPD/SAWN 2005"</f>
        <v>Proceedings - Sixth Int. Conf. on Softw. Eng., Artificial Intelligence, Netw. and Parallel/Distributed Computing and First ACIS Int. Workshop on Self-Assembling Wireless Netw., SNPD/SAWN 2005</v>
      </c>
      <c r="B13987" s="8" t="str">
        <f>"-"</f>
        <v>-</v>
      </c>
      <c r="C13987" s="8" t="s">
        <v>9</v>
      </c>
    </row>
    <row r="13988" spans="1:3" x14ac:dyDescent="0.25">
      <c r="A13988" s="8" t="str">
        <f>"Proceedings - Sixth International Conference on Advanced Learning Technologies, ICALT 2006"</f>
        <v>Proceedings - Sixth International Conference on Advanced Learning Technologies, ICALT 2006</v>
      </c>
      <c r="B13988" s="8" t="str">
        <f>"-"</f>
        <v>-</v>
      </c>
      <c r="C13988" s="8" t="s">
        <v>9</v>
      </c>
    </row>
    <row r="13989" spans="1:3" x14ac:dyDescent="0.25">
      <c r="A13989" s="8" t="str">
        <f>"Proceedings - Sixth International Conference on Computational Intelligence and Multimedia Applications, ICCIMA 2005"</f>
        <v>Proceedings - Sixth International Conference on Computational Intelligence and Multimedia Applications, ICCIMA 2005</v>
      </c>
      <c r="B13989" s="8" t="str">
        <f>"-"</f>
        <v>-</v>
      </c>
      <c r="C13989" s="8" t="s">
        <v>9</v>
      </c>
    </row>
    <row r="13990" spans="1:3" x14ac:dyDescent="0.25">
      <c r="A13990" s="8" t="str">
        <f>"Proceedings - Sixth International Conference on Hybrid Intelligent Systems and Fourth Conference on Neuro-Computing and Evolving Intelligence, HIS-NCEI 2006"</f>
        <v>Proceedings - Sixth International Conference on Hybrid Intelligent Systems and Fourth Conference on Neuro-Computing and Evolving Intelligence, HIS-NCEI 2006</v>
      </c>
      <c r="B13990" s="8" t="str">
        <f>"9780769526621"</f>
        <v>9780769526621</v>
      </c>
      <c r="C13990" s="8" t="s">
        <v>9</v>
      </c>
    </row>
    <row r="13991" spans="1:3" x14ac:dyDescent="0.25">
      <c r="A13991" s="8" t="str">
        <f>"Proceedings - Sixth International Conference on Mobile Data Management, MDM'05"</f>
        <v>Proceedings - Sixth International Conference on Mobile Data Management, MDM'05</v>
      </c>
      <c r="B13991" s="8" t="str">
        <f>"9781595930415"</f>
        <v>9781595930415</v>
      </c>
      <c r="C13991" s="8" t="s">
        <v>21</v>
      </c>
    </row>
    <row r="13992" spans="1:3" x14ac:dyDescent="0.25">
      <c r="A13992" s="8" t="str">
        <f>"Proceedings - Sketch-Based Interfaces and Modeling, SBIM 2013 - Part of Expressive 2013"</f>
        <v>Proceedings - Sketch-Based Interfaces and Modeling, SBIM 2013 - Part of Expressive 2013</v>
      </c>
      <c r="B13992" s="8" t="str">
        <f>"9781450322058"</f>
        <v>9781450322058</v>
      </c>
      <c r="C13992" s="8" t="s">
        <v>21</v>
      </c>
    </row>
    <row r="13993" spans="1:3" x14ac:dyDescent="0.25">
      <c r="A13993" s="8" t="str">
        <f>"Proceedings - SMAP 2006: 1st International Workshop on Semantic Media Adaptation and Personalization"</f>
        <v>Proceedings - SMAP 2006: 1st International Workshop on Semantic Media Adaptation and Personalization</v>
      </c>
      <c r="B13993" s="8" t="str">
        <f>"9780769526928"</f>
        <v>9780769526928</v>
      </c>
      <c r="C13993" s="8" t="s">
        <v>9</v>
      </c>
    </row>
    <row r="13994" spans="1:3" x14ac:dyDescent="0.25">
      <c r="A13994" s="8" t="str">
        <f>"Proceedings - SMC-IT 2006: 2nd IEEE International Conference on Space Mission Challenges for Information Technology"</f>
        <v>Proceedings - SMC-IT 2006: 2nd IEEE International Conference on Space Mission Challenges for Information Technology</v>
      </c>
      <c r="B13994" s="8" t="str">
        <f>"-"</f>
        <v>-</v>
      </c>
      <c r="C13994" s="8" t="s">
        <v>9</v>
      </c>
    </row>
    <row r="13995" spans="1:3" x14ac:dyDescent="0.25">
      <c r="A13995" s="8" t="str">
        <f>"Proceedings - SMI 2002: Shape Modeling International 2002"</f>
        <v>Proceedings - SMI 2002: Shape Modeling International 2002</v>
      </c>
      <c r="B13995" s="8" t="str">
        <f>"9780769515465"</f>
        <v>9780769515465</v>
      </c>
      <c r="C13995" s="8" t="s">
        <v>9</v>
      </c>
    </row>
    <row r="13996" spans="1:3" x14ac:dyDescent="0.25">
      <c r="A13996" s="8" t="str">
        <f>"Proceedings - SMI 2003: Shape Modeling International 2003"</f>
        <v>Proceedings - SMI 2003: Shape Modeling International 2003</v>
      </c>
      <c r="B13996" s="8" t="str">
        <f>"9780769519098"</f>
        <v>9780769519098</v>
      </c>
      <c r="C13996" s="8" t="s">
        <v>9</v>
      </c>
    </row>
    <row r="13997" spans="1:3" x14ac:dyDescent="0.25">
      <c r="A13997" s="8" t="str">
        <f>"Proceedings - SNPD 2007: Eighth ACIS International Conference on Software Engineering, Artificial Intelligence, Networking, and Parallel/Distributed Computing"</f>
        <v>Proceedings - SNPD 2007: Eighth ACIS International Conference on Software Engineering, Artificial Intelligence, Networking, and Parallel/Distributed Computing</v>
      </c>
      <c r="B13997" s="8" t="str">
        <f>"9780769529097"</f>
        <v>9780769529097</v>
      </c>
      <c r="C13997" s="8" t="s">
        <v>9</v>
      </c>
    </row>
    <row r="13998" spans="1:3" x14ac:dyDescent="0.25">
      <c r="A13998" s="8" t="str">
        <f>"Proceedings - SocialCom 2010: 2nd IEEE International Conference on Social Computing, PASSAT 2010: 2nd IEEE International Conference on Privacy, Security, Risk and Trust"</f>
        <v>Proceedings - SocialCom 2010: 2nd IEEE International Conference on Social Computing, PASSAT 2010: 2nd IEEE International Conference on Privacy, Security, Risk and Trust</v>
      </c>
      <c r="B13998" s="8" t="str">
        <f>"9780769542119"</f>
        <v>9780769542119</v>
      </c>
      <c r="C13998" s="8" t="s">
        <v>9</v>
      </c>
    </row>
    <row r="13999" spans="1:3" x14ac:dyDescent="0.25">
      <c r="A13999" s="8" t="str">
        <f>"Proceedings - SocialCom/PASSAT/BigData/EconCom/BioMedCom 2013"</f>
        <v>Proceedings - SocialCom/PASSAT/BigData/EconCom/BioMedCom 2013</v>
      </c>
      <c r="B13999" s="8" t="str">
        <f>"9780769551371"</f>
        <v>9780769551371</v>
      </c>
      <c r="C13999" s="8" t="s">
        <v>9</v>
      </c>
    </row>
    <row r="14000" spans="1:3" x14ac:dyDescent="0.25">
      <c r="A14000" s="8" t="str">
        <f>"Proceedings - Society of Petroleum Engineers Eastern Regional Meeting"</f>
        <v>Proceedings - Society of Petroleum Engineers Eastern Regional Meeting</v>
      </c>
      <c r="B14000" s="8" t="str">
        <f>"-"</f>
        <v>-</v>
      </c>
      <c r="C14000" s="8" t="s">
        <v>671</v>
      </c>
    </row>
    <row r="14001" spans="1:3" x14ac:dyDescent="0.25">
      <c r="A14001" s="8" t="str">
        <f>"Proceedings - SOFTVIS 06: ACM Symposium on Software Visualization"</f>
        <v>Proceedings - SOFTVIS 06: ACM Symposium on Software Visualization</v>
      </c>
      <c r="B14001" s="8" t="str">
        <f>"9781595934642"</f>
        <v>9781595934642</v>
      </c>
      <c r="C14001" s="8" t="s">
        <v>21</v>
      </c>
    </row>
    <row r="14002" spans="1:3" x14ac:dyDescent="0.25">
      <c r="A14002" s="8" t="str">
        <f>"Proceedings - Software Engineering and Formal Methods, SEFM 2010"</f>
        <v>Proceedings - Software Engineering and Formal Methods, SEFM 2010</v>
      </c>
      <c r="B14002" s="8" t="str">
        <f>"9780769541532"</f>
        <v>9780769541532</v>
      </c>
      <c r="C14002" s="8" t="s">
        <v>9</v>
      </c>
    </row>
    <row r="14003" spans="1:3" x14ac:dyDescent="0.25">
      <c r="A14003" s="8" t="str">
        <f>"Proceedings - SOSE 2005: IEEE International Workshop on Service-Oriented System Engineering"</f>
        <v>Proceedings - SOSE 2005: IEEE International Workshop on Service-Oriented System Engineering</v>
      </c>
      <c r="B14003" s="8" t="str">
        <f>"-"</f>
        <v>-</v>
      </c>
      <c r="C14003" s="8" t="s">
        <v>9</v>
      </c>
    </row>
    <row r="14004" spans="1:3" x14ac:dyDescent="0.25">
      <c r="A14004" s="8" t="str">
        <f>"Proceedings - SPE Asia Pacific Oil and Gas Conference and Exhibition 2006: Thriving on Volatility"</f>
        <v>Proceedings - SPE Asia Pacific Oil and Gas Conference and Exhibition 2006: Thriving on Volatility</v>
      </c>
      <c r="B14004" s="8" t="str">
        <f>"-"</f>
        <v>-</v>
      </c>
      <c r="C14004" s="8" t="s">
        <v>671</v>
      </c>
    </row>
    <row r="14005" spans="1:3" x14ac:dyDescent="0.25">
      <c r="A14005" s="8" t="str">
        <f>"Proceedings - SPE International Improved Oil Recovery Conference in Asia Pacific"</f>
        <v>Proceedings - SPE International Improved Oil Recovery Conference in Asia Pacific</v>
      </c>
      <c r="B14005" s="8" t="str">
        <f>"-"</f>
        <v>-</v>
      </c>
      <c r="C14005" s="8" t="s">
        <v>671</v>
      </c>
    </row>
    <row r="14006" spans="1:3" x14ac:dyDescent="0.25">
      <c r="A14006" s="8" t="str">
        <f>"Proceedings - SPE Rocky Mountain Petroleum Technology Conference, Petroleum Technology - Leads the Way"</f>
        <v>Proceedings - SPE Rocky Mountain Petroleum Technology Conference, Petroleum Technology - Leads the Way</v>
      </c>
      <c r="B14006" s="8" t="str">
        <f>"-"</f>
        <v>-</v>
      </c>
      <c r="C14006" s="8" t="s">
        <v>671</v>
      </c>
    </row>
    <row r="14007" spans="1:3" x14ac:dyDescent="0.25">
      <c r="A14007" s="8" t="str">
        <f>"Proceedings - SPE Sixth International Symposium on Oilfield Scale; Exploring the Boundaries of Scale Control"</f>
        <v>Proceedings - SPE Sixth International Symposium on Oilfield Scale; Exploring the Boundaries of Scale Control</v>
      </c>
      <c r="B14007" s="8" t="str">
        <f>"-"</f>
        <v>-</v>
      </c>
      <c r="C14007" s="8" t="s">
        <v>671</v>
      </c>
    </row>
    <row r="14008" spans="1:3" x14ac:dyDescent="0.25">
      <c r="A14008" s="8" t="str">
        <f>"Proceedings - SPM 2007: ACM Symposium on Solid and Physical Modeling"</f>
        <v>Proceedings - SPM 2007: ACM Symposium on Solid and Physical Modeling</v>
      </c>
      <c r="B14008" s="8" t="str">
        <f>"9781595936660"</f>
        <v>9781595936660</v>
      </c>
      <c r="C14008" s="8" t="s">
        <v>21</v>
      </c>
    </row>
    <row r="14009" spans="1:3" x14ac:dyDescent="0.25">
      <c r="A14009" s="8" t="str">
        <f>"Proceedings - SPM 2009: SIAM/ACM Joint Conference on Geometric and Physical Modeling"</f>
        <v>Proceedings - SPM 2009: SIAM/ACM Joint Conference on Geometric and Physical Modeling</v>
      </c>
      <c r="B14009" s="8" t="str">
        <f>"9781605587110"</f>
        <v>9781605587110</v>
      </c>
      <c r="C14009" s="8" t="s">
        <v>21</v>
      </c>
    </row>
    <row r="14010" spans="1:3" x14ac:dyDescent="0.25">
      <c r="A14010" s="8" t="str">
        <f>"Proceedings - Symposia and Workshops on Ubiquitous, Autonomic and Trusted Computing in Conjunction with the UIC 2010 and ATC 2010 Conferences, UIC-ATC 2010"</f>
        <v>Proceedings - Symposia and Workshops on Ubiquitous, Autonomic and Trusted Computing in Conjunction with the UIC 2010 and ATC 2010 Conferences, UIC-ATC 2010</v>
      </c>
      <c r="B14010" s="8" t="str">
        <f>"9780769542720"</f>
        <v>9780769542720</v>
      </c>
      <c r="C14010" s="8" t="s">
        <v>9</v>
      </c>
    </row>
    <row r="14011" spans="1:3" x14ac:dyDescent="0.25">
      <c r="A14011" s="8" t="str">
        <f>"Proceedings - Symposium on Computer Human Interaction, CHINZ 2001"</f>
        <v>Proceedings - Symposium on Computer Human Interaction, CHINZ 2001</v>
      </c>
      <c r="B14011" s="8" t="str">
        <f>"9780473075590"</f>
        <v>9780473075590</v>
      </c>
      <c r="C14011" s="8" t="s">
        <v>21</v>
      </c>
    </row>
    <row r="14012" spans="1:3" x14ac:dyDescent="0.25">
      <c r="A14012" s="8" t="str">
        <f>"Proceedings - TERA-MIR 2009, NATO Advanced Research Workshop Terahertz and Mid Infrared Radiation: Basic Research and Practical Applications"</f>
        <v>Proceedings - TERA-MIR 2009, NATO Advanced Research Workshop Terahertz and Mid Infrared Radiation: Basic Research and Practical Applications</v>
      </c>
      <c r="B14012" s="8" t="str">
        <f>"9781424438495"</f>
        <v>9781424438495</v>
      </c>
      <c r="C14012" s="8" t="s">
        <v>9</v>
      </c>
    </row>
    <row r="14013" spans="1:3" x14ac:dyDescent="0.25">
      <c r="A14013" s="8" t="str">
        <f>"Proceedings - Testing: Academic and Industrial Conference - Practice and Research Techniques, TAIC PART 2006"</f>
        <v>Proceedings - Testing: Academic and Industrial Conference - Practice and Research Techniques, TAIC PART 2006</v>
      </c>
      <c r="B14013" s="8" t="str">
        <f>"9780769526720"</f>
        <v>9780769526720</v>
      </c>
      <c r="C14013" s="8" t="s">
        <v>9</v>
      </c>
    </row>
    <row r="14014" spans="1:3" x14ac:dyDescent="0.25">
      <c r="A14014" s="8" t="str">
        <f>"Proceedings - Testing: Academic and Industrial Conference Practice and Research Techniques, TAIC PART 2008"</f>
        <v>Proceedings - Testing: Academic and Industrial Conference Practice and Research Techniques, TAIC PART 2008</v>
      </c>
      <c r="B14014" s="8" t="str">
        <f>"9780769533834"</f>
        <v>9780769533834</v>
      </c>
      <c r="C14014" s="8" t="s">
        <v>9</v>
      </c>
    </row>
    <row r="14015" spans="1:3" x14ac:dyDescent="0.25">
      <c r="A14015" s="8" t="str">
        <f>"Proceedings - Testing: Academic and Industrial Conference Practice and Research Techniques, TAIC PART-Mutation 2007"</f>
        <v>Proceedings - Testing: Academic and Industrial Conference Practice and Research Techniques, TAIC PART-Mutation 2007</v>
      </c>
      <c r="B14015" s="8" t="str">
        <f>"9780769529844"</f>
        <v>9780769529844</v>
      </c>
      <c r="C14015" s="8" t="s">
        <v>9</v>
      </c>
    </row>
    <row r="14016" spans="1:3" x14ac:dyDescent="0.25">
      <c r="A14016" s="8" t="str">
        <f>"Proceedings - The 12th International Conference on Electrical Machines and Systems, ICEMS 2009"</f>
        <v>Proceedings - The 12th International Conference on Electrical Machines and Systems, ICEMS 2009</v>
      </c>
      <c r="B14016" s="8" t="str">
        <f>"9784886860675"</f>
        <v>9784886860675</v>
      </c>
      <c r="C14016" s="8" t="s">
        <v>9</v>
      </c>
    </row>
    <row r="14017" spans="1:3" x14ac:dyDescent="0.25">
      <c r="A14017" s="8" t="str">
        <f>"Proceedings - The 1st International Conference on Intelligent Networks and Intelligent Systems, ICINIS 2008"</f>
        <v>Proceedings - The 1st International Conference on Intelligent Networks and Intelligent Systems, ICINIS 2008</v>
      </c>
      <c r="B14017" s="8" t="str">
        <f>"9780769533919"</f>
        <v>9780769533919</v>
      </c>
      <c r="C14017" s="8" t="s">
        <v>9</v>
      </c>
    </row>
    <row r="14018" spans="1:3" x14ac:dyDescent="0.25">
      <c r="A14018" s="8" t="str">
        <f>"Proceedings - The 2006 International Conference on MEMS, NANO and Smart Systems, ICMENS"</f>
        <v>Proceedings - The 2006 International Conference on MEMS, NANO and Smart Systems, ICMENS</v>
      </c>
      <c r="B14018" s="8" t="str">
        <f>"9781424408993"</f>
        <v>9781424408993</v>
      </c>
      <c r="C14018" s="8" t="s">
        <v>9</v>
      </c>
    </row>
    <row r="14019" spans="1:3" x14ac:dyDescent="0.25">
      <c r="A14019" s="8" t="str">
        <f>"Proceedings - The 2007 International Conference on Computational Science and its Applications, ICCSA 2007"</f>
        <v>Proceedings - The 2007 International Conference on Computational Science and its Applications, ICCSA 2007</v>
      </c>
      <c r="B14019" s="8" t="str">
        <f>"9780769529455"</f>
        <v>9780769529455</v>
      </c>
      <c r="C14019" s="8" t="s">
        <v>9</v>
      </c>
    </row>
    <row r="14020" spans="1:3" x14ac:dyDescent="0.25">
      <c r="A14020" s="8" t="str">
        <f>"Proceedings - The 2008 International Conference on Embedded Software and Systems Symposia, ICESS Symposia"</f>
        <v>Proceedings - The 2008 International Conference on Embedded Software and Systems Symposia, ICESS Symposia</v>
      </c>
      <c r="B14020" s="8" t="str">
        <f>"9780769532882"</f>
        <v>9780769532882</v>
      </c>
      <c r="C14020" s="8" t="s">
        <v>9</v>
      </c>
    </row>
    <row r="14021" spans="1:3" x14ac:dyDescent="0.25">
      <c r="A14021" s="8" t="str">
        <f>"Proceedings - The 2009 International Conference on Computer Engineering and Systems, ICCES'09"</f>
        <v>Proceedings - The 2009 International Conference on Computer Engineering and Systems, ICCES'09</v>
      </c>
      <c r="B14021" s="8" t="str">
        <f>"9781424458448"</f>
        <v>9781424458448</v>
      </c>
      <c r="C14021" s="8" t="s">
        <v>9</v>
      </c>
    </row>
    <row r="14022" spans="1:3" x14ac:dyDescent="0.25">
      <c r="A14022" s="8" t="str">
        <f>"Proceedings - The 28th International Conference on Distributed Computing Systems, ICDCS 2008"</f>
        <v>Proceedings - The 28th International Conference on Distributed Computing Systems, ICDCS 2008</v>
      </c>
      <c r="B14022" s="8" t="str">
        <f>"9780769531724"</f>
        <v>9780769531724</v>
      </c>
      <c r="C14022" s="8" t="s">
        <v>9</v>
      </c>
    </row>
    <row r="14023" spans="1:3" x14ac:dyDescent="0.25">
      <c r="A14023" s="8" t="str">
        <f>"Proceedings - The 2nd IEEE International Conference on Secure System Integration and Reliability Improvement, SSIRI 2008"</f>
        <v>Proceedings - The 2nd IEEE International Conference on Secure System Integration and Reliability Improvement, SSIRI 2008</v>
      </c>
      <c r="B14023" s="8" t="str">
        <f>"9780769532660"</f>
        <v>9780769532660</v>
      </c>
      <c r="C14023" s="8" t="s">
        <v>9</v>
      </c>
    </row>
    <row r="14024" spans="1:3" x14ac:dyDescent="0.25">
      <c r="A14024" s="8" t="str">
        <f>"Proceedings - The 2nd International Conference on Advanced Engineering Computing and Applications in Sciences, ADVCOMP 2008"</f>
        <v>Proceedings - The 2nd International Conference on Advanced Engineering Computing and Applications in Sciences, ADVCOMP 2008</v>
      </c>
      <c r="B14024" s="8" t="str">
        <f>"9780769533698"</f>
        <v>9780769533698</v>
      </c>
      <c r="C14024" s="8" t="s">
        <v>9</v>
      </c>
    </row>
    <row r="14025" spans="1:3" x14ac:dyDescent="0.25">
      <c r="A14025" s="8" t="str">
        <f>"Proceedings - The 2nd International Conference on Mobile Ubiquitous Computing, Systems, Services and Technologies, UBICOMM 2008"</f>
        <v>Proceedings - The 2nd International Conference on Mobile Ubiquitous Computing, Systems, Services and Technologies, UBICOMM 2008</v>
      </c>
      <c r="B14025" s="8" t="str">
        <f>"9780769533674"</f>
        <v>9780769533674</v>
      </c>
      <c r="C14025" s="8" t="s">
        <v>9</v>
      </c>
    </row>
    <row r="14026" spans="1:3" x14ac:dyDescent="0.25">
      <c r="A14026" s="8" t="str">
        <f>"Proceedings - The 2nd International Conference on Next Generation Mobile Applications, Services, and Technologies, NGMAST 2008"</f>
        <v>Proceedings - The 2nd International Conference on Next Generation Mobile Applications, Services, and Technologies, NGMAST 2008</v>
      </c>
      <c r="B14026" s="8" t="str">
        <f>"9780769533339"</f>
        <v>9780769533339</v>
      </c>
      <c r="C14026" s="8" t="s">
        <v>9</v>
      </c>
    </row>
    <row r="14027" spans="1:3" x14ac:dyDescent="0.25">
      <c r="A14027" s="8" t="str">
        <f>"Proceedings - The 2nd International Conference on Quantum-, Nano- and Micro-technologies, ICQNM 2008"</f>
        <v>Proceedings - The 2nd International Conference on Quantum-, Nano- and Micro-technologies, ICQNM 2008</v>
      </c>
      <c r="B14027" s="8" t="str">
        <f>"9780769530857"</f>
        <v>9780769530857</v>
      </c>
      <c r="C14027" s="8" t="s">
        <v>9</v>
      </c>
    </row>
    <row r="14028" spans="1:3" x14ac:dyDescent="0.25">
      <c r="A14028" s="8" t="str">
        <f>"Proceedings - The 2nd International Conference on the Digital Society, ICDS 2008"</f>
        <v>Proceedings - The 2nd International Conference on the Digital Society, ICDS 2008</v>
      </c>
      <c r="B14028" s="8" t="str">
        <f>"9780769530871"</f>
        <v>9780769530871</v>
      </c>
      <c r="C14028" s="8" t="s">
        <v>9</v>
      </c>
    </row>
    <row r="14029" spans="1:3" x14ac:dyDescent="0.25">
      <c r="A14029" s="8" t="str">
        <f>"Proceedings - The 3rd ACM Int. Workshop on Traceability in Emerging Forms of Software Engineering, TEFSE 2005, Held with the 20th IEEE/ACM Int. Conf. Automated Software Engineering, ASE2005"</f>
        <v>Proceedings - The 3rd ACM Int. Workshop on Traceability in Emerging Forms of Software Engineering, TEFSE 2005, Held with the 20th IEEE/ACM Int. Conf. Automated Software Engineering, ASE2005</v>
      </c>
      <c r="B14029" s="8" t="str">
        <f>"9781595932433"</f>
        <v>9781595932433</v>
      </c>
      <c r="C14029" s="8" t="s">
        <v>21</v>
      </c>
    </row>
    <row r="14030" spans="1:3" x14ac:dyDescent="0.25">
      <c r="A14030" s="8" t="str">
        <f>"Proceedings - The 3rd International Conference on Digital Telecommunications, ICDT 2008"</f>
        <v>Proceedings - The 3rd International Conference on Digital Telecommunications, ICDT 2008</v>
      </c>
      <c r="B14030" s="8" t="str">
        <f>"9780769531885"</f>
        <v>9780769531885</v>
      </c>
      <c r="C14030" s="8" t="s">
        <v>9</v>
      </c>
    </row>
    <row r="14031" spans="1:3" x14ac:dyDescent="0.25">
      <c r="A14031" s="8" t="str">
        <f>"Proceedings - The 3rd International Conference on Internet Monitoring and Protection, ICIMP 2008"</f>
        <v>Proceedings - The 3rd International Conference on Internet Monitoring and Protection, ICIMP 2008</v>
      </c>
      <c r="B14031" s="8" t="str">
        <f>"9780769531892"</f>
        <v>9780769531892</v>
      </c>
      <c r="C14031" s="8" t="s">
        <v>9</v>
      </c>
    </row>
    <row r="14032" spans="1:3" x14ac:dyDescent="0.25">
      <c r="A14032" s="8" t="str">
        <f>"Proceedings - The 3rd International Conference on Software Engineering Advances, ICSEA 2008, Includes ENTISY 2008: International Workshop on Enterprise Information Systems"</f>
        <v>Proceedings - The 3rd International Conference on Software Engineering Advances, ICSEA 2008, Includes ENTISY 2008: International Workshop on Enterprise Information Systems</v>
      </c>
      <c r="B14032" s="8" t="str">
        <f>"9780769533728"</f>
        <v>9780769533728</v>
      </c>
      <c r="C14032" s="8" t="s">
        <v>9</v>
      </c>
    </row>
    <row r="14033" spans="1:3" x14ac:dyDescent="0.25">
      <c r="A14033" s="8" t="str">
        <f>"Proceedings - The 4th International Conference on Wireless and Mobile Communications, ICWMC 2008"</f>
        <v>Proceedings - The 4th International Conference on Wireless and Mobile Communications, ICWMC 2008</v>
      </c>
      <c r="B14033" s="8" t="str">
        <f>"9780769532745"</f>
        <v>9780769532745</v>
      </c>
      <c r="C14033" s="8" t="s">
        <v>9</v>
      </c>
    </row>
    <row r="14034" spans="1:3" x14ac:dyDescent="0.25">
      <c r="A14034" s="8" t="str">
        <f>"Proceedings - The 4th International Symposium on Information Assurance and Security, IAS 2008"</f>
        <v>Proceedings - The 4th International Symposium on Information Assurance and Security, IAS 2008</v>
      </c>
      <c r="B14034" s="8" t="str">
        <f>"9780769533247"</f>
        <v>9780769533247</v>
      </c>
      <c r="C14034" s="8" t="s">
        <v>9</v>
      </c>
    </row>
    <row r="14035" spans="1:3" x14ac:dyDescent="0.25">
      <c r="A14035" s="8" t="str">
        <f>"Proceedings - The 6th IEEE International Workshop on System on Chip for Real Time Applications, IWSOC 2006"</f>
        <v>Proceedings - The 6th IEEE International Workshop on System on Chip for Real Time Applications, IWSOC 2006</v>
      </c>
      <c r="B14035" s="8" t="str">
        <f>"9781424408986"</f>
        <v>9781424408986</v>
      </c>
      <c r="C14035" s="8" t="s">
        <v>9</v>
      </c>
    </row>
    <row r="14036" spans="1:3" x14ac:dyDescent="0.25">
      <c r="A14036" s="8" t="str">
        <f>"Proceedings - The 7th IEEE International Conference on Advanced Learning Technologies, ICALT 2007"</f>
        <v>Proceedings - The 7th IEEE International Conference on Advanced Learning Technologies, ICALT 2007</v>
      </c>
      <c r="B14036" s="8" t="str">
        <f>"9780769529165"</f>
        <v>9780769529165</v>
      </c>
      <c r="C14036" s="8" t="s">
        <v>9</v>
      </c>
    </row>
    <row r="14037" spans="1:3" x14ac:dyDescent="0.25">
      <c r="A14037" s="8" t="str">
        <f>"Proceedings - The 8th IEEE International Conference on Advanced Learning Technologies, ICALT 2008"</f>
        <v>Proceedings - The 8th IEEE International Conference on Advanced Learning Technologies, ICALT 2008</v>
      </c>
      <c r="B14037" s="8" t="str">
        <f>"9780769531670"</f>
        <v>9780769531670</v>
      </c>
      <c r="C14037" s="8" t="s">
        <v>9</v>
      </c>
    </row>
    <row r="14038" spans="1:3" x14ac:dyDescent="0.25">
      <c r="A14038" s="8" t="str">
        <f>"Proceedings - The 8th International Conference on New Technologies in Distributed Systems, NOTERE 2008"</f>
        <v>Proceedings - The 8th International Conference on New Technologies in Distributed Systems, NOTERE 2008</v>
      </c>
      <c r="B14038" s="8" t="str">
        <f>"9781595939371"</f>
        <v>9781595939371</v>
      </c>
      <c r="C14038" s="8" t="s">
        <v>21</v>
      </c>
    </row>
    <row r="14039" spans="1:3" x14ac:dyDescent="0.25">
      <c r="A14039" s="8" t="str">
        <f>"Proceedings - The 9th IEEE International Conference on E-Commerce Technology; The 4th IEEE International Conference on Enterprise Computing, E-Commerce and E-Services, CEC/EEE 2007"</f>
        <v>Proceedings - The 9th IEEE International Conference on E-Commerce Technology; The 4th IEEE International Conference on Enterprise Computing, E-Commerce and E-Services, CEC/EEE 2007</v>
      </c>
      <c r="B14039" s="8" t="str">
        <f>"9780769529134"</f>
        <v>9780769529134</v>
      </c>
      <c r="C14039" s="8" t="s">
        <v>9</v>
      </c>
    </row>
    <row r="14040" spans="1:3" x14ac:dyDescent="0.25">
      <c r="A14040" s="8" t="str">
        <f>"Proceedings - The 9th International Conference on Web-Age Information Management, WAIM 2008"</f>
        <v>Proceedings - The 9th International Conference on Web-Age Information Management, WAIM 2008</v>
      </c>
      <c r="B14040" s="8" t="str">
        <f>"9780769531854"</f>
        <v>9780769531854</v>
      </c>
      <c r="C14040" s="8" t="s">
        <v>9</v>
      </c>
    </row>
    <row r="14041" spans="1:3" x14ac:dyDescent="0.25">
      <c r="A14041" s="8" t="str">
        <f>"Proceedings - The Fourth International Conference on Computer and Information Technology (CIT 2004)"</f>
        <v>Proceedings - The Fourth International Conference on Computer and Information Technology (CIT 2004)</v>
      </c>
      <c r="B14041" s="8" t="str">
        <f>"9780769522166"</f>
        <v>9780769522166</v>
      </c>
      <c r="C14041" s="8" t="s">
        <v>105</v>
      </c>
    </row>
    <row r="14042" spans="1:3" x14ac:dyDescent="0.25">
      <c r="A14042" s="8" t="str">
        <f>"Proceedings - The Fourth International Conference on Computer and Information Technology, CIT 2004"</f>
        <v>Proceedings - The Fourth International Conference on Computer and Information Technology, CIT 2004</v>
      </c>
      <c r="B14042" s="8" t="str">
        <f>"9780769522166"</f>
        <v>9780769522166</v>
      </c>
      <c r="C14042" s="8" t="s">
        <v>9</v>
      </c>
    </row>
    <row r="14043" spans="1:3" x14ac:dyDescent="0.25">
      <c r="A14043" s="8" t="str">
        <f>"Proceedings - The IEEE/ACS International Conference on Pervasive Services, ICPS2004"</f>
        <v>Proceedings - The IEEE/ACS International Conference on Pervasive Services, ICPS2004</v>
      </c>
      <c r="B14043" s="8" t="str">
        <f>"9780780385771"</f>
        <v>9780780385771</v>
      </c>
      <c r="C14043" s="8" t="s">
        <v>105</v>
      </c>
    </row>
    <row r="14044" spans="1:3" x14ac:dyDescent="0.25">
      <c r="A14044" s="8" t="str">
        <f>"Proceedings - The International Conference on Computational Sciences and its Applications, ICCSA 2008"</f>
        <v>Proceedings - The International Conference on Computational Sciences and its Applications, ICCSA 2008</v>
      </c>
      <c r="B14044" s="8" t="str">
        <f>"9780769532431"</f>
        <v>9780769532431</v>
      </c>
      <c r="C14044" s="8" t="s">
        <v>9</v>
      </c>
    </row>
    <row r="14045" spans="1:3" x14ac:dyDescent="0.25">
      <c r="A14045" s="8" t="str">
        <f>"Proceedings - The International Conference on Emerging Security Information, Systems, and Technologies, SECURWARE 2007"</f>
        <v>Proceedings - The International Conference on Emerging Security Information, Systems, and Technologies, SECURWARE 2007</v>
      </c>
      <c r="B14045" s="8" t="str">
        <f>"9780769529899"</f>
        <v>9780769529899</v>
      </c>
      <c r="C14045" s="8" t="s">
        <v>9</v>
      </c>
    </row>
    <row r="14046" spans="1:3" x14ac:dyDescent="0.25">
      <c r="A14046" s="8" t="str">
        <f>"Proceedings - Theory and Practice of Computer Graphics 2004"</f>
        <v>Proceedings - Theory and Practice of Computer Graphics 2004</v>
      </c>
      <c r="B14046" s="8" t="str">
        <f>"9780769521374"</f>
        <v>9780769521374</v>
      </c>
      <c r="C14046" s="8" t="s">
        <v>9</v>
      </c>
    </row>
    <row r="14047" spans="1:3" x14ac:dyDescent="0.25">
      <c r="A14047" s="8" t="str">
        <f>"Proceedings - Theory and Practice of Computer Graphics, TPCG 2003"</f>
        <v>Proceedings - Theory and Practice of Computer Graphics, TPCG 2003</v>
      </c>
      <c r="B14047" s="8" t="str">
        <f>"9780769519425"</f>
        <v>9780769519425</v>
      </c>
      <c r="C14047" s="8" t="s">
        <v>105</v>
      </c>
    </row>
    <row r="14048" spans="1:3" x14ac:dyDescent="0.25">
      <c r="A14048" s="8" t="str">
        <f>"Proceedings - Third ACIS International Conference on Software Engineering Research, Management and Applications, SERA 2005"</f>
        <v>Proceedings - Third ACIS International Conference on Software Engineering Research, Management and Applications, SERA 2005</v>
      </c>
      <c r="B14048" s="8" t="str">
        <f t="shared" ref="B14048:B14053" si="28">"-"</f>
        <v>-</v>
      </c>
      <c r="C14048" s="8" t="s">
        <v>9</v>
      </c>
    </row>
    <row r="14049" spans="1:3" x14ac:dyDescent="0.25">
      <c r="A14049" s="8" t="str">
        <f>"Proceedings - Third ACM and IEEE International Conference on Formal Methods and Models for Co-Design, MEMOCODE'05"</f>
        <v>Proceedings - Third ACM and IEEE International Conference on Formal Methods and Models for Co-Design, MEMOCODE'05</v>
      </c>
      <c r="B14049" s="8" t="str">
        <f t="shared" si="28"/>
        <v>-</v>
      </c>
      <c r="C14049" s="8" t="s">
        <v>9</v>
      </c>
    </row>
    <row r="14050" spans="1:3" x14ac:dyDescent="0.25">
      <c r="A14050" s="8" t="str">
        <f>"Proceedings - Third ACM SIGPLAN History of Programming Languages Conference, HOPL-III"</f>
        <v>Proceedings - Third ACM SIGPLAN History of Programming Languages Conference, HOPL-III</v>
      </c>
      <c r="B14050" s="8" t="str">
        <f t="shared" si="28"/>
        <v>-</v>
      </c>
      <c r="C14050" s="8" t="s">
        <v>21</v>
      </c>
    </row>
    <row r="14051" spans="1:3" x14ac:dyDescent="0.25">
      <c r="A14051" s="8" t="str">
        <f>"Proceedings - Third European Conference on Web Services, ECOWS2005"</f>
        <v>Proceedings - Third European Conference on Web Services, ECOWS2005</v>
      </c>
      <c r="B14051" s="8" t="str">
        <f t="shared" si="28"/>
        <v>-</v>
      </c>
      <c r="C14051" s="8" t="s">
        <v>9</v>
      </c>
    </row>
    <row r="14052" spans="1:3" x14ac:dyDescent="0.25">
      <c r="A14052" s="8" t="str">
        <f>"Proceedings - Third IEEE International Conference on Pervasive Computing and Communications, PerCom 2005"</f>
        <v>Proceedings - Third IEEE International Conference on Pervasive Computing and Communications, PerCom 2005</v>
      </c>
      <c r="B14052" s="8" t="str">
        <f t="shared" si="28"/>
        <v>-</v>
      </c>
      <c r="C14052" s="8" t="s">
        <v>9</v>
      </c>
    </row>
    <row r="14053" spans="1:3" x14ac:dyDescent="0.25">
      <c r="A14053" s="8" t="str">
        <f>"Proceedings - Third IEEE International Security in Storage Workshop, SISW 2005"</f>
        <v>Proceedings - Third IEEE International Security in Storage Workshop, SISW 2005</v>
      </c>
      <c r="B14053" s="8" t="str">
        <f t="shared" si="28"/>
        <v>-</v>
      </c>
      <c r="C14053" s="8" t="s">
        <v>9</v>
      </c>
    </row>
    <row r="14054" spans="1:3" x14ac:dyDescent="0.25">
      <c r="A14054" s="8" t="str">
        <f>"Proceedings - Third IEEE International Symposium on Network Computing and Applications, NCA 2004"</f>
        <v>Proceedings - Third IEEE International Symposium on Network Computing and Applications, NCA 2004</v>
      </c>
      <c r="B14054" s="8" t="str">
        <f>"9780769522425"</f>
        <v>9780769522425</v>
      </c>
      <c r="C14054" s="8" t="s">
        <v>9</v>
      </c>
    </row>
    <row r="14055" spans="1:3" x14ac:dyDescent="0.25">
      <c r="A14055" s="8" t="str">
        <f>"Proceedings - Third IEEE International Workshop on Electronic Design, Test and Applications, DELTA 2006"</f>
        <v>Proceedings - Third IEEE International Workshop on Electronic Design, Test and Applications, DELTA 2006</v>
      </c>
      <c r="B14055" s="8" t="str">
        <f>"-"</f>
        <v>-</v>
      </c>
      <c r="C14055" s="8" t="s">
        <v>9</v>
      </c>
    </row>
    <row r="14056" spans="1:3" x14ac:dyDescent="0.25">
      <c r="A14056" s="8" t="str">
        <f>"Proceedings - Third IEEE International Workshop on Engineering of Autonomic and Autonomous Systems, EASe 2006"</f>
        <v>Proceedings - Third IEEE International Workshop on Engineering of Autonomic and Autonomous Systems, EASe 2006</v>
      </c>
      <c r="B14056" s="8" t="str">
        <f>"-"</f>
        <v>-</v>
      </c>
      <c r="C14056" s="8" t="s">
        <v>9</v>
      </c>
    </row>
    <row r="14057" spans="1:3" x14ac:dyDescent="0.25">
      <c r="A14057" s="8" t="str">
        <f>"Proceedings - Third IEEE Workshop on Software Technologies for Future Embedded and Ubiquitous Systems, SEUS 2005"</f>
        <v>Proceedings - Third IEEE Workshop on Software Technologies for Future Embedded and Ubiquitous Systems, SEUS 2005</v>
      </c>
      <c r="B14057" s="8" t="str">
        <f>"-"</f>
        <v>-</v>
      </c>
      <c r="C14057" s="8" t="s">
        <v>9</v>
      </c>
    </row>
    <row r="14058" spans="1:3" x14ac:dyDescent="0.25">
      <c r="A14058" s="8" t="str">
        <f>"Proceedings - Third International Conference on Coordinated and Multiple Views in Exploratory Visualization, CMV 2005"</f>
        <v>Proceedings - Third International Conference on Coordinated and Multiple Views in Exploratory Visualization, CMV 2005</v>
      </c>
      <c r="B14058" s="8" t="str">
        <f>"-"</f>
        <v>-</v>
      </c>
      <c r="C14058" s="8" t="s">
        <v>9</v>
      </c>
    </row>
    <row r="14059" spans="1:3" x14ac:dyDescent="0.25">
      <c r="A14059" s="8" t="str">
        <f>"Proceedings - Third International Conference on Creating, Connecting and Collaborating through Computing, C5 2005"</f>
        <v>Proceedings - Third International Conference on Creating, Connecting and Collaborating through Computing, C5 2005</v>
      </c>
      <c r="B14059" s="8" t="str">
        <f>"-"</f>
        <v>-</v>
      </c>
      <c r="C14059" s="8" t="s">
        <v>9</v>
      </c>
    </row>
    <row r="14060" spans="1:3" x14ac:dyDescent="0.25">
      <c r="A14060" s="8" t="str">
        <f>"Proceedings - Third International Conference on Image and Graphics"</f>
        <v>Proceedings - Third International Conference on Image and Graphics</v>
      </c>
      <c r="B14060" s="8" t="str">
        <f>"9780769522449"</f>
        <v>9780769522449</v>
      </c>
      <c r="C14060" s="8" t="s">
        <v>9</v>
      </c>
    </row>
    <row r="14061" spans="1:3" x14ac:dyDescent="0.25">
      <c r="A14061" s="8" t="str">
        <f>"Proceedings - Third International Conference on Medical Information Visualisation - BioMedical Visualisation, MediVis 2005"</f>
        <v>Proceedings - Third International Conference on Medical Information Visualisation - BioMedical Visualisation, MediVis 2005</v>
      </c>
      <c r="B14061" s="8" t="str">
        <f>"-"</f>
        <v>-</v>
      </c>
      <c r="C14061" s="8" t="s">
        <v>9</v>
      </c>
    </row>
    <row r="14062" spans="1:3" x14ac:dyDescent="0.25">
      <c r="A14062" s="8" t="str">
        <f>"Proceedings - Third International Conference on Natural Computation, ICNC 2007"</f>
        <v>Proceedings - Third International Conference on Natural Computation, ICNC 2007</v>
      </c>
      <c r="B14062" s="8" t="str">
        <f>"9780769528755"</f>
        <v>9780769528755</v>
      </c>
      <c r="C14062" s="8" t="s">
        <v>9</v>
      </c>
    </row>
    <row r="14063" spans="1:3" x14ac:dyDescent="0.25">
      <c r="A14063" s="8" t="str">
        <f>"Proceedings - Third International Conference onInformation Technology: New Generations, ITNG 2006"</f>
        <v>Proceedings - Third International Conference onInformation Technology: New Generations, ITNG 2006</v>
      </c>
      <c r="B14063" s="8" t="str">
        <f>"-"</f>
        <v>-</v>
      </c>
      <c r="C14063" s="8" t="s">
        <v>9</v>
      </c>
    </row>
    <row r="14064" spans="1:3" x14ac:dyDescent="0.25">
      <c r="A14064" s="8" t="str">
        <f>"Proceedings - Third International Symposium on 3D Data Processing, Visualization, and Transmission, 3DPVT 2006"</f>
        <v>Proceedings - Third International Symposium on 3D Data Processing, Visualization, and Transmission, 3DPVT 2006</v>
      </c>
      <c r="B14064" s="8" t="str">
        <f>"9780769528250"</f>
        <v>9780769528250</v>
      </c>
      <c r="C14064" s="8" t="s">
        <v>9</v>
      </c>
    </row>
    <row r="14065" spans="1:3" x14ac:dyDescent="0.25">
      <c r="A14065" s="8" t="str">
        <f>"Proceedings - Third Latin American Web Congress, LA-WEB 2005"</f>
        <v>Proceedings - Third Latin American Web Congress, LA-WEB 2005</v>
      </c>
      <c r="B14065" s="8" t="str">
        <f>"-"</f>
        <v>-</v>
      </c>
      <c r="C14065" s="8" t="s">
        <v>9</v>
      </c>
    </row>
    <row r="14066" spans="1:3" x14ac:dyDescent="0.25">
      <c r="A14066" s="8" t="str">
        <f>"Proceedings - Twenty -second IEEE/Thirteenth NASA Goddard Conference on Mass Storage Systems and Technologies"</f>
        <v>Proceedings - Twenty -second IEEE/Thirteenth NASA Goddard Conference on Mass Storage Systems and Technologies</v>
      </c>
      <c r="B14066" s="8" t="str">
        <f>"9780769523187"</f>
        <v>9780769523187</v>
      </c>
      <c r="C14066" s="8" t="s">
        <v>9</v>
      </c>
    </row>
    <row r="14067" spans="1:3" x14ac:dyDescent="0.25">
      <c r="A14067" s="8" t="str">
        <f>"Proceedings - UKSim 10th International Conference on Computer Modelling and Simulation, EUROSIM/UKSim2008"</f>
        <v>Proceedings - UKSim 10th International Conference on Computer Modelling and Simulation, EUROSIM/UKSim2008</v>
      </c>
      <c r="B14067" s="8" t="str">
        <f>"9780769531144"</f>
        <v>9780769531144</v>
      </c>
      <c r="C14067" s="8" t="s">
        <v>9</v>
      </c>
    </row>
    <row r="14068" spans="1:3" x14ac:dyDescent="0.25">
      <c r="A14068" s="8" t="str">
        <f>"Proceedings - UKSim 15th International Conference on Computer Modelling and Simulation, UKSim 2013"</f>
        <v>Proceedings - UKSim 15th International Conference on Computer Modelling and Simulation, UKSim 2013</v>
      </c>
      <c r="B14068" s="8" t="str">
        <f>"9780769549941"</f>
        <v>9780769549941</v>
      </c>
      <c r="C14068" s="8" t="s">
        <v>9</v>
      </c>
    </row>
    <row r="14069" spans="1:3" x14ac:dyDescent="0.25">
      <c r="A14069" s="8" t="str">
        <f>"Proceedings - UKSim 4th European Modelling Symposium on Computer Modelling and Simulation, EMS2010"</f>
        <v>Proceedings - UKSim 4th European Modelling Symposium on Computer Modelling and Simulation, EMS2010</v>
      </c>
      <c r="B14069" s="8" t="str">
        <f>"9780769543086"</f>
        <v>9780769543086</v>
      </c>
      <c r="C14069" s="8" t="s">
        <v>9</v>
      </c>
    </row>
    <row r="14070" spans="1:3" x14ac:dyDescent="0.25">
      <c r="A14070" s="8" t="str">
        <f>"Proceedings - UKSim 5th European Modelling Symposium on Computer Modelling and Simulation, EMS 2011"</f>
        <v>Proceedings - UKSim 5th European Modelling Symposium on Computer Modelling and Simulation, EMS 2011</v>
      </c>
      <c r="B14070" s="8" t="str">
        <f>"9780769546193"</f>
        <v>9780769546193</v>
      </c>
      <c r="C14070" s="8" t="s">
        <v>9</v>
      </c>
    </row>
    <row r="14071" spans="1:3" x14ac:dyDescent="0.25">
      <c r="A14071" s="8" t="str">
        <f>"Proceedings - UKSim-AMSS 16th International Conference on Computer Modelling and Simulation, UKSim 2014"</f>
        <v>Proceedings - UKSim-AMSS 16th International Conference on Computer Modelling and Simulation, UKSim 2014</v>
      </c>
      <c r="B14071" s="8" t="str">
        <f>"9781479949236"</f>
        <v>9781479949236</v>
      </c>
      <c r="C14071" s="8" t="s">
        <v>105</v>
      </c>
    </row>
    <row r="14072" spans="1:3" x14ac:dyDescent="0.25">
      <c r="A14072" s="8" t="str">
        <f>"Proceedings - UKSim-AMSS 6th European Modelling Symposium, EMS 2012"</f>
        <v>Proceedings - UKSim-AMSS 6th European Modelling Symposium, EMS 2012</v>
      </c>
      <c r="B14072" s="8" t="str">
        <f>"9780769549262"</f>
        <v>9780769549262</v>
      </c>
      <c r="C14072" s="8" t="s">
        <v>9</v>
      </c>
    </row>
    <row r="14073" spans="1:3" x14ac:dyDescent="0.25">
      <c r="A14073" s="8" t="str">
        <f>"Proceedings - UKSim-AMSS 7th European Modelling Symposium on Computer Modelling and Simulation, EMS 2013"</f>
        <v>Proceedings - UKSim-AMSS 7th European Modelling Symposium on Computer Modelling and Simulation, EMS 2013</v>
      </c>
      <c r="B14073" s="8" t="str">
        <f>"9781479925780"</f>
        <v>9781479925780</v>
      </c>
      <c r="C14073" s="8" t="s">
        <v>9</v>
      </c>
    </row>
    <row r="14074" spans="1:3" x14ac:dyDescent="0.25">
      <c r="A14074" s="8" t="str">
        <f>"Proceedings - UKSim-AMSS 8th European Modelling Symposium on Computer Modelling and Simulation, EMS 2014"</f>
        <v>Proceedings - UKSim-AMSS 8th European Modelling Symposium on Computer Modelling and Simulation, EMS 2014</v>
      </c>
      <c r="B14074" s="8" t="str">
        <f>"9781479974115"</f>
        <v>9781479974115</v>
      </c>
      <c r="C14074" s="8" t="s">
        <v>105</v>
      </c>
    </row>
    <row r="14075" spans="1:3" x14ac:dyDescent="0.25">
      <c r="A14075" s="8" t="str">
        <f>"Proceedings - User Centered Design 2014: 4th International Workshop on User-Centered Design of Pervasive Healthcare Applications"</f>
        <v>Proceedings - User Centered Design 2014: 4th International Workshop on User-Centered Design of Pervasive Healthcare Applications</v>
      </c>
      <c r="B14075" s="8" t="str">
        <f>"-"</f>
        <v>-</v>
      </c>
      <c r="C14075" s="8" t="s">
        <v>1504</v>
      </c>
    </row>
    <row r="14076" spans="1:3" x14ac:dyDescent="0.25">
      <c r="A14076" s="8" t="str">
        <f>"Proceedings - VISSOFT 2005: 3rd IEEE International Workshop on Visualizing Software for Understanding and Analysis"</f>
        <v>Proceedings - VISSOFT 2005: 3rd IEEE International Workshop on Visualizing Software for Understanding and Analysis</v>
      </c>
      <c r="B14076" s="8" t="str">
        <f>"9780780395404"</f>
        <v>9780780395404</v>
      </c>
      <c r="C14076" s="8" t="s">
        <v>9</v>
      </c>
    </row>
    <row r="14077" spans="1:3" x14ac:dyDescent="0.25">
      <c r="A14077" s="8" t="str">
        <f>"Proceedings - VRCAI 2009: 8th International Conference on Virtual Reality Continuum and its Applications in Industry"</f>
        <v>Proceedings - VRCAI 2009: 8th International Conference on Virtual Reality Continuum and its Applications in Industry</v>
      </c>
      <c r="B14077" s="8" t="str">
        <f>"9781605589121"</f>
        <v>9781605589121</v>
      </c>
      <c r="C14077" s="8" t="s">
        <v>21</v>
      </c>
    </row>
    <row r="14078" spans="1:3" x14ac:dyDescent="0.25">
      <c r="A14078" s="8" t="str">
        <f>"Proceedings - VRCAI 2010, ACM SIGGRAPH Conference on Virtual-Reality Continuum and Its Application to Industry"</f>
        <v>Proceedings - VRCAI 2010, ACM SIGGRAPH Conference on Virtual-Reality Continuum and Its Application to Industry</v>
      </c>
      <c r="B14078" s="8" t="str">
        <f>"9781450304597"</f>
        <v>9781450304597</v>
      </c>
      <c r="C14078" s="8" t="s">
        <v>21</v>
      </c>
    </row>
    <row r="14079" spans="1:3" x14ac:dyDescent="0.25">
      <c r="A14079" s="8" t="str">
        <f>"Proceedings - VRCAI 2012: 11th ACM SIGGRAPH International Conference on Virtual-Reality Continuum and Its Applications in Industry"</f>
        <v>Proceedings - VRCAI 2012: 11th ACM SIGGRAPH International Conference on Virtual-Reality Continuum and Its Applications in Industry</v>
      </c>
      <c r="B14079" s="8" t="str">
        <f>"9781450318259"</f>
        <v>9781450318259</v>
      </c>
      <c r="C14079" s="8" t="s">
        <v>21</v>
      </c>
    </row>
    <row r="14080" spans="1:3" x14ac:dyDescent="0.25">
      <c r="A14080" s="8" t="str">
        <f>"Proceedings - VRCAI 2013: 12th ACM SIGGRAPH International Conference on Virtual-Reality Continuum and Its Applications in Industry"</f>
        <v>Proceedings - VRCAI 2013: 12th ACM SIGGRAPH International Conference on Virtual-Reality Continuum and Its Applications in Industry</v>
      </c>
      <c r="B14080" s="8" t="str">
        <f>"9781450325905"</f>
        <v>9781450325905</v>
      </c>
      <c r="C14080" s="8" t="s">
        <v>21</v>
      </c>
    </row>
    <row r="14081" spans="1:3" x14ac:dyDescent="0.25">
      <c r="A14081" s="8" t="str">
        <f>"Proceedings - VRCAI 2014: 13th ACM SIGGRAPH International Conference on Virtual-Reality Continuum and Its Applications in Industry"</f>
        <v>Proceedings - VRCAI 2014: 13th ACM SIGGRAPH International Conference on Virtual-Reality Continuum and Its Applications in Industry</v>
      </c>
      <c r="B14081" s="8" t="str">
        <f>"9781450332545"</f>
        <v>9781450332545</v>
      </c>
      <c r="C14081" s="8" t="s">
        <v>1235</v>
      </c>
    </row>
    <row r="14082" spans="1:3" x14ac:dyDescent="0.25">
      <c r="A14082" s="8" t="str">
        <f>"Proceedings - VRCIA 2006: ACM International Conference on Virtual Reality Continuum and its Applications"</f>
        <v>Proceedings - VRCIA 2006: ACM International Conference on Virtual Reality Continuum and its Applications</v>
      </c>
      <c r="B14082" s="8" t="str">
        <f>"9781595933249"</f>
        <v>9781595933249</v>
      </c>
      <c r="C14082" s="8" t="s">
        <v>21</v>
      </c>
    </row>
    <row r="14083" spans="1:3" x14ac:dyDescent="0.25">
      <c r="A14083" s="8" t="str">
        <f>"Proceedings - VRCIA 2006ACM International Conference on Virtual Reality Continuum and its Applications"</f>
        <v>Proceedings - VRCIA 2006ACM International Conference on Virtual Reality Continuum and its Applications</v>
      </c>
      <c r="B14083" s="8" t="str">
        <f>"-"</f>
        <v>-</v>
      </c>
      <c r="C14083" s="8" t="s">
        <v>21</v>
      </c>
    </row>
    <row r="14084" spans="1:3" x14ac:dyDescent="0.25">
      <c r="A14084" s="8" t="str">
        <f>"Proceedings - WASA 2012: Workshop at SIGGRAPH Asia 2012"</f>
        <v>Proceedings - WASA 2012: Workshop at SIGGRAPH Asia 2012</v>
      </c>
      <c r="B14084" s="8" t="str">
        <f>"9781450318358"</f>
        <v>9781450318358</v>
      </c>
      <c r="C14084" s="8" t="s">
        <v>21</v>
      </c>
    </row>
    <row r="14085" spans="1:3" x14ac:dyDescent="0.25">
      <c r="A14085" s="8" t="str">
        <f>"Proceedings - WCW 2005: 10th International Workshop on Web Content Caching and Distribution"</f>
        <v>Proceedings - WCW 2005: 10th International Workshop on Web Content Caching and Distribution</v>
      </c>
      <c r="B14085" s="8" t="str">
        <f>"-"</f>
        <v>-</v>
      </c>
      <c r="C14085" s="8" t="s">
        <v>9</v>
      </c>
    </row>
    <row r="14086" spans="1:3" x14ac:dyDescent="0.25">
      <c r="A14086" s="8" t="str">
        <f>"Proceedings - Web3D 2013: 18th International Conference on 3D Web Technology"</f>
        <v>Proceedings - Web3D 2013: 18th International Conference on 3D Web Technology</v>
      </c>
      <c r="B14086" s="8" t="str">
        <f>"9781450321334"</f>
        <v>9781450321334</v>
      </c>
      <c r="C14086" s="8" t="s">
        <v>21</v>
      </c>
    </row>
    <row r="14087" spans="1:3" x14ac:dyDescent="0.25">
      <c r="A14087" s="8" t="str">
        <f>"Proceedings - WebMedia and LA-Web 2004"</f>
        <v>Proceedings - WebMedia and LA-Web 2004</v>
      </c>
      <c r="B14087" s="8" t="str">
        <f>"9780769522371"</f>
        <v>9780769522371</v>
      </c>
      <c r="C14087" s="8" t="s">
        <v>9</v>
      </c>
    </row>
    <row r="14088" spans="1:3" x14ac:dyDescent="0.25">
      <c r="A14088" s="8" t="str">
        <f>"Proceedings - Wec 05: Fourth World Enformatika Conference"</f>
        <v>Proceedings - Wec 05: Fourth World Enformatika Conference</v>
      </c>
      <c r="B14088" s="8" t="str">
        <f>"9789759845858"</f>
        <v>9789759845858</v>
      </c>
      <c r="C14088" s="8" t="s">
        <v>2087</v>
      </c>
    </row>
    <row r="14089" spans="1:3" x14ac:dyDescent="0.25">
      <c r="A14089" s="8" t="str">
        <f>"Proceedings - WEC'05: 3rd World Enformatika Conference"</f>
        <v>Proceedings - WEC'05: 3rd World Enformatika Conference</v>
      </c>
      <c r="B14089" s="8" t="str">
        <f>"9789759845841"</f>
        <v>9789759845841</v>
      </c>
      <c r="C14089" s="8" t="s">
        <v>2087</v>
      </c>
    </row>
    <row r="14090" spans="1:3" x14ac:dyDescent="0.25">
      <c r="A14090" s="8" t="str">
        <f>"Proceedings - WiOpt 2005: Third International Symposium on Modeling and Optimization in Mobile, Ad Hoc, and Wireless Networks"</f>
        <v>Proceedings - WiOpt 2005: Third International Symposium on Modeling and Optimization in Mobile, Ad Hoc, and Wireless Networks</v>
      </c>
      <c r="B14090" s="8" t="str">
        <f>"-"</f>
        <v>-</v>
      </c>
      <c r="C14090" s="8" t="s">
        <v>9</v>
      </c>
    </row>
    <row r="14091" spans="1:3" x14ac:dyDescent="0.25">
      <c r="A14091" s="8" t="str">
        <f>"Proceedings - Wireless Health 2010, WH'10"</f>
        <v>Proceedings - Wireless Health 2010, WH'10</v>
      </c>
      <c r="B14091" s="8" t="str">
        <f>"9781605589893"</f>
        <v>9781605589893</v>
      </c>
      <c r="C14091" s="8" t="s">
        <v>21</v>
      </c>
    </row>
    <row r="14092" spans="1:3" x14ac:dyDescent="0.25">
      <c r="A14092" s="8" t="str">
        <f>"Proceedings - Wireless Health 2011, WH'11"</f>
        <v>Proceedings - Wireless Health 2011, WH'11</v>
      </c>
      <c r="B14092" s="8" t="str">
        <f>"9781450309820"</f>
        <v>9781450309820</v>
      </c>
      <c r="C14092" s="8" t="s">
        <v>21</v>
      </c>
    </row>
    <row r="14093" spans="1:3" x14ac:dyDescent="0.25">
      <c r="A14093" s="8" t="str">
        <f>"Proceedings - Wireless Health 2012, WH 2012"</f>
        <v>Proceedings - Wireless Health 2012, WH 2012</v>
      </c>
      <c r="B14093" s="8" t="str">
        <f>"9781450317603"</f>
        <v>9781450317603</v>
      </c>
      <c r="C14093" s="8" t="s">
        <v>21</v>
      </c>
    </row>
    <row r="14094" spans="1:3" x14ac:dyDescent="0.25">
      <c r="A14094" s="8" t="str">
        <f>"Proceedings - Wireless Health 2013, WH 2013"</f>
        <v>Proceedings - Wireless Health 2013, WH 2013</v>
      </c>
      <c r="B14094" s="8" t="str">
        <f>"9781450322904"</f>
        <v>9781450322904</v>
      </c>
      <c r="C14094" s="8" t="s">
        <v>21</v>
      </c>
    </row>
    <row r="14095" spans="1:3" x14ac:dyDescent="0.25">
      <c r="A14095" s="8" t="str">
        <f>"Proceedings - Wireless Health 2014, WH 2014"</f>
        <v>Proceedings - Wireless Health 2014, WH 2014</v>
      </c>
      <c r="B14095" s="8" t="str">
        <f>"9781450331609"</f>
        <v>9781450331609</v>
      </c>
      <c r="C14095" s="8" t="s">
        <v>1235</v>
      </c>
    </row>
    <row r="14096" spans="1:3" x14ac:dyDescent="0.25">
      <c r="A14096" s="8" t="str">
        <f>"Proceedings - WMCSA'99: 2nd IEEE Workshop on Mobile Computing Systems and Applications"</f>
        <v>Proceedings - WMCSA'99: 2nd IEEE Workshop on Mobile Computing Systems and Applications</v>
      </c>
      <c r="B14096" s="8" t="str">
        <f>"9780769500256"</f>
        <v>9780769500256</v>
      </c>
      <c r="C14096" s="8" t="s">
        <v>9</v>
      </c>
    </row>
    <row r="14097" spans="1:3" x14ac:dyDescent="0.25">
      <c r="A14097" s="8" t="str">
        <f>"Proceedings - WOMBAT Workshop on Information Security Threats Data Collection and Sharing, WISTDCS 2008"</f>
        <v>Proceedings - WOMBAT Workshop on Information Security Threats Data Collection and Sharing, WISTDCS 2008</v>
      </c>
      <c r="B14097" s="8" t="str">
        <f>"9780769533476"</f>
        <v>9780769533476</v>
      </c>
      <c r="C14097" s="8" t="s">
        <v>9</v>
      </c>
    </row>
    <row r="14098" spans="1:3" x14ac:dyDescent="0.25">
      <c r="A14098" s="8" t="str">
        <f>"Proceedings - Working IEEE/IFIP Conference on Software Architecture, WICSA 2001"</f>
        <v>Proceedings - Working IEEE/IFIP Conference on Software Architecture, WICSA 2001</v>
      </c>
      <c r="B14098" s="8" t="str">
        <f>"9780769513607"</f>
        <v>9780769513607</v>
      </c>
      <c r="C14098" s="8" t="s">
        <v>105</v>
      </c>
    </row>
    <row r="14099" spans="1:3" x14ac:dyDescent="0.25">
      <c r="A14099" s="8" t="str">
        <f>"Proceedings - Workshop on Accelerator Magnet Superconductors, Design and Optimization, WAMSDO 2008"</f>
        <v>Proceedings - Workshop on Accelerator Magnet Superconductors, Design and Optimization, WAMSDO 2008</v>
      </c>
      <c r="B14099" s="8" t="str">
        <f>"9789290833253"</f>
        <v>9789290833253</v>
      </c>
      <c r="C14099" s="8" t="s">
        <v>259</v>
      </c>
    </row>
    <row r="14100" spans="1:3" x14ac:dyDescent="0.25">
      <c r="A14100" s="8" t="str">
        <f>"Proceedings - Workshop on Brain Decoding: Pattern Recognition Challenges in Neuroimaging, WBD 2010 - In Conjunction with theInternational Conference on Pattern Recognition, ICPR 2010"</f>
        <v>Proceedings - Workshop on Brain Decoding: Pattern Recognition Challenges in Neuroimaging, WBD 2010 - In Conjunction with theInternational Conference on Pattern Recognition, ICPR 2010</v>
      </c>
      <c r="B14100" s="8" t="str">
        <f>"9780769541334"</f>
        <v>9780769541334</v>
      </c>
      <c r="C14100" s="8" t="s">
        <v>9</v>
      </c>
    </row>
    <row r="14101" spans="1:3" x14ac:dyDescent="0.25">
      <c r="A14101" s="8" t="str">
        <f>"Proceedings - Workshop on Digital Media and Digital Content Management, DMDCM 2011"</f>
        <v>Proceedings - Workshop on Digital Media and Digital Content Management, DMDCM 2011</v>
      </c>
      <c r="B14101" s="8" t="str">
        <f>"9780769544137"</f>
        <v>9780769544137</v>
      </c>
      <c r="C14101" s="8" t="s">
        <v>9</v>
      </c>
    </row>
    <row r="14102" spans="1:3" x14ac:dyDescent="0.25">
      <c r="A14102" s="8" t="str">
        <f>"Proceedings - Workshop on Human Motion, HUMO 2000"</f>
        <v>Proceedings - Workshop on Human Motion, HUMO 2000</v>
      </c>
      <c r="B14102" s="8" t="str">
        <f>"9780769509396"</f>
        <v>9780769509396</v>
      </c>
      <c r="C14102" s="8" t="s">
        <v>105</v>
      </c>
    </row>
    <row r="14103" spans="1:3" x14ac:dyDescent="0.25">
      <c r="A14103" s="8" t="str">
        <f>"Proceedings - Workshop on Information Technology for Virtual Enterprises, ITVE 2001"</f>
        <v>Proceedings - Workshop on Information Technology for Virtual Enterprises, ITVE 2001</v>
      </c>
      <c r="B14103" s="8" t="str">
        <f>"9780769509600"</f>
        <v>9780769509600</v>
      </c>
      <c r="C14103" s="8" t="s">
        <v>105</v>
      </c>
    </row>
    <row r="14104" spans="1:3" x14ac:dyDescent="0.25">
      <c r="A14104" s="8" t="str">
        <f>"Proceedings - Workshop on Intelligent Information Technology Application, IITA 2007"</f>
        <v>Proceedings - Workshop on Intelligent Information Technology Application, IITA 2007</v>
      </c>
      <c r="B14104" s="8" t="str">
        <f>"9780769530635"</f>
        <v>9780769530635</v>
      </c>
      <c r="C14104" s="8" t="s">
        <v>105</v>
      </c>
    </row>
    <row r="14105" spans="1:3" x14ac:dyDescent="0.25">
      <c r="A14105" s="8" t="str">
        <f>"Proceedings - Workshop on Motion and Video Computing, MOTION 2002"</f>
        <v>Proceedings - Workshop on Motion and Video Computing, MOTION 2002</v>
      </c>
      <c r="B14105" s="8" t="str">
        <f>"9780769518602"</f>
        <v>9780769518602</v>
      </c>
      <c r="C14105" s="8" t="s">
        <v>105</v>
      </c>
    </row>
    <row r="14106" spans="1:3" x14ac:dyDescent="0.25">
      <c r="A14106" s="8" t="str">
        <f>"Proceedings - Workshop on Parallel and Distributed Simulation"</f>
        <v>Proceedings - Workshop on Parallel and Distributed Simulation</v>
      </c>
      <c r="B14106" s="8" t="str">
        <f>"9780769521114"</f>
        <v>9780769521114</v>
      </c>
      <c r="C14106" s="8" t="s">
        <v>9</v>
      </c>
    </row>
    <row r="14107" spans="1:3" x14ac:dyDescent="0.25">
      <c r="A14107" s="8" t="str">
        <f>"Proceedings - WoWMoM 2006: 2006 International Symposium on a World of Wireless, Mobile and Multimedia Networks"</f>
        <v>Proceedings - WoWMoM 2006: 2006 International Symposium on a World of Wireless, Mobile and Multimedia Networks</v>
      </c>
      <c r="B14107" s="8" t="str">
        <f>"-"</f>
        <v>-</v>
      </c>
      <c r="C14107" s="8" t="s">
        <v>9</v>
      </c>
    </row>
    <row r="14108" spans="1:3" x14ac:dyDescent="0.25">
      <c r="A14108" s="8" t="str">
        <f>"Proceedings 12th International Conference on Fiber Optics and Photonics, Photonics 2014"</f>
        <v>Proceedings 12th International Conference on Fiber Optics and Photonics, Photonics 2014</v>
      </c>
      <c r="B14108" s="8" t="str">
        <f>"9780000000002"</f>
        <v>9780000000002</v>
      </c>
      <c r="C14108" s="8" t="s">
        <v>86</v>
      </c>
    </row>
    <row r="14109" spans="1:3" x14ac:dyDescent="0.25">
      <c r="A14109" s="8" t="str">
        <f>"Proceedings 14th International Conference on Mechatronics and Machine Vision in Practice, M2VIP2007"</f>
        <v>Proceedings 14th International Conference on Mechatronics and Machine Vision in Practice, M2VIP2007</v>
      </c>
      <c r="B14109" s="8" t="str">
        <f>"9781424413584"</f>
        <v>9781424413584</v>
      </c>
      <c r="C14109" s="8" t="s">
        <v>9</v>
      </c>
    </row>
    <row r="14110" spans="1:3" x14ac:dyDescent="0.25">
      <c r="A14110" s="8" t="str">
        <f>"Proceedings 17th International Conference on Artificial Reality and Telexistence, ICAT 2007"</f>
        <v>Proceedings 17th International Conference on Artificial Reality and Telexistence, ICAT 2007</v>
      </c>
      <c r="B14110" s="8" t="str">
        <f>"9780769530567"</f>
        <v>9780769530567</v>
      </c>
      <c r="C14110" s="8" t="s">
        <v>9</v>
      </c>
    </row>
    <row r="14111" spans="1:3" x14ac:dyDescent="0.25">
      <c r="A14111" s="8" t="str">
        <f>"Proceedings 2001 International Workshop on Bio-Robotics and Teleoperation"</f>
        <v>Proceedings 2001 International Workshop on Bio-Robotics and Teleoperation</v>
      </c>
      <c r="B14111" s="8" t="str">
        <f>"9789628553440"</f>
        <v>9789628553440</v>
      </c>
      <c r="C14111" s="8" t="s">
        <v>175</v>
      </c>
    </row>
    <row r="14112" spans="1:3" x14ac:dyDescent="0.25">
      <c r="A14112" s="8" t="str">
        <f>"Proceedings 2004 Non-Volatile Memory Technology Symposium, NVMTS 2004"</f>
        <v>Proceedings 2004 Non-Volatile Memory Technology Symposium, NVMTS 2004</v>
      </c>
      <c r="B14112" s="8" t="str">
        <f>"9780780387263"</f>
        <v>9780780387263</v>
      </c>
      <c r="C14112" s="8" t="s">
        <v>105</v>
      </c>
    </row>
    <row r="14113" spans="1:3" x14ac:dyDescent="0.25">
      <c r="A14113" s="8" t="str">
        <f>"Proceedings 2005 - The 8th AGILE International Conference on Geographic Information Science, AGILE 2005"</f>
        <v>Proceedings 2005 - The 8th AGILE International Conference on Geographic Information Science, AGILE 2005</v>
      </c>
      <c r="B14113" s="8" t="str">
        <f>"-"</f>
        <v>-</v>
      </c>
      <c r="C14113" s="8" t="s">
        <v>2088</v>
      </c>
    </row>
    <row r="14114" spans="1:3" x14ac:dyDescent="0.25">
      <c r="A14114" s="8" t="s">
        <v>2089</v>
      </c>
      <c r="B14114" s="8" t="str">
        <f>"-"</f>
        <v>-</v>
      </c>
      <c r="C14114" s="8" t="s">
        <v>2088</v>
      </c>
    </row>
    <row r="14115" spans="1:3" x14ac:dyDescent="0.25">
      <c r="A14115" s="8" t="str">
        <f>"Proceedings 2006 IEEE/SMC International Conference on System of Systems Engineering"</f>
        <v>Proceedings 2006 IEEE/SMC International Conference on System of Systems Engineering</v>
      </c>
      <c r="B14115" s="8" t="str">
        <f>"-"</f>
        <v>-</v>
      </c>
      <c r="C14115" s="8" t="s">
        <v>9</v>
      </c>
    </row>
    <row r="14116" spans="1:3" x14ac:dyDescent="0.25">
      <c r="A14116" s="8" t="str">
        <f>"Proceedings 2007 - WIC Midwintermeeting on IP-Television, IP-TV"</f>
        <v>Proceedings 2007 - WIC Midwintermeeting on IP-Television, IP-TV</v>
      </c>
      <c r="B14116" s="8" t="str">
        <f>"9789061449881"</f>
        <v>9789061449881</v>
      </c>
      <c r="C14116" s="8" t="s">
        <v>1266</v>
      </c>
    </row>
    <row r="14117" spans="1:3" x14ac:dyDescent="0.25">
      <c r="A14117" s="8" t="str">
        <f>"Proceedings 2007 IEEE International Conference on Integrated Circuit Design and Technology, ICICDT"</f>
        <v>Proceedings 2007 IEEE International Conference on Integrated Circuit Design and Technology, ICICDT</v>
      </c>
      <c r="B14117" s="8" t="str">
        <f>"9781424407569"</f>
        <v>9781424407569</v>
      </c>
      <c r="C14117" s="8" t="s">
        <v>9</v>
      </c>
    </row>
    <row r="14118" spans="1:3" x14ac:dyDescent="0.25">
      <c r="A14118" s="8" t="str">
        <f>"Proceedings 2007 IEEE Symposium on Field-Programme Custom Computing Machines, FCCM 2007"</f>
        <v>Proceedings 2007 IEEE Symposium on Field-Programme Custom Computing Machines, FCCM 2007</v>
      </c>
      <c r="B14118" s="8" t="str">
        <f>"9780769529400"</f>
        <v>9780769529400</v>
      </c>
      <c r="C14118" s="8" t="s">
        <v>9</v>
      </c>
    </row>
    <row r="14119" spans="1:3" x14ac:dyDescent="0.25">
      <c r="A14119" s="8" t="str">
        <f>"Proceedings 2008 - 4th IEEE BeNeLux Young Researchers Symposium in Electrical Power Engineering"</f>
        <v>Proceedings 2008 - 4th IEEE BeNeLux Young Researchers Symposium in Electrical Power Engineering</v>
      </c>
      <c r="B14119" s="8" t="str">
        <f>"9789061449867"</f>
        <v>9789061449867</v>
      </c>
      <c r="C14119" s="8" t="s">
        <v>242</v>
      </c>
    </row>
    <row r="14120" spans="1:3" x14ac:dyDescent="0.25">
      <c r="A14120" s="8" t="str">
        <f>"Proceedings 2008 3rd International Conference on Risks and Security of Internet and Systems, CRiSIS 2008"</f>
        <v>Proceedings 2008 3rd International Conference on Risks and Security of Internet and Systems, CRiSIS 2008</v>
      </c>
      <c r="B14120" s="8" t="str">
        <f>"9781424433094"</f>
        <v>9781424433094</v>
      </c>
      <c r="C14120" s="8" t="s">
        <v>9</v>
      </c>
    </row>
    <row r="14121" spans="1:3" x14ac:dyDescent="0.25">
      <c r="A14121" s="8" t="str">
        <f>"Proceedings 2010 IEEE 5th International Conference on Bio-Inspired Computing: Theories and Applications, BIC-TA 2010"</f>
        <v>Proceedings 2010 IEEE 5th International Conference on Bio-Inspired Computing: Theories and Applications, BIC-TA 2010</v>
      </c>
      <c r="B14121" s="8" t="str">
        <f>"9781424464388"</f>
        <v>9781424464388</v>
      </c>
      <c r="C14121" s="8" t="s">
        <v>9</v>
      </c>
    </row>
    <row r="14122" spans="1:3" x14ac:dyDescent="0.25">
      <c r="A14122" s="8" t="str">
        <f>"Proceedings 2010 IEEE International Conference on Information Theory and Information Security, ICITIS 2010"</f>
        <v>Proceedings 2010 IEEE International Conference on Information Theory and Information Security, ICITIS 2010</v>
      </c>
      <c r="B14122" s="8" t="str">
        <f>"9781424469406"</f>
        <v>9781424469406</v>
      </c>
      <c r="C14122" s="8" t="s">
        <v>9</v>
      </c>
    </row>
    <row r="14123" spans="1:3" x14ac:dyDescent="0.25">
      <c r="A14123" s="8" t="str">
        <f>"Proceedings 2010 IEEE International Conference on Software Engineering and Service Sciences, ICSESS 2010"</f>
        <v>Proceedings 2010 IEEE International Conference on Software Engineering and Service Sciences, ICSESS 2010</v>
      </c>
      <c r="B14123" s="8" t="str">
        <f>"9781424460526"</f>
        <v>9781424460526</v>
      </c>
      <c r="C14123" s="8" t="s">
        <v>9</v>
      </c>
    </row>
    <row r="14124" spans="1:3" x14ac:dyDescent="0.25">
      <c r="A14124" s="8" t="str">
        <f>"Proceedings 2010 International Symposium on Information Technology - Engineering Technology, ITSim'10"</f>
        <v>Proceedings 2010 International Symposium on Information Technology - Engineering Technology, ITSim'10</v>
      </c>
      <c r="B14124" s="8" t="str">
        <f>"9781424467181"</f>
        <v>9781424467181</v>
      </c>
      <c r="C14124" s="8" t="s">
        <v>9</v>
      </c>
    </row>
    <row r="14125" spans="1:3" x14ac:dyDescent="0.25">
      <c r="A14125" s="8" t="str">
        <f>"Proceedings 2010 International Symposium on Information Technology - System Development and Application and Knowledge Society, ITSim'10"</f>
        <v>Proceedings 2010 International Symposium on Information Technology - System Development and Application and Knowledge Society, ITSim'10</v>
      </c>
      <c r="B14125" s="8" t="str">
        <f>"9781424467181"</f>
        <v>9781424467181</v>
      </c>
      <c r="C14125" s="8" t="s">
        <v>9</v>
      </c>
    </row>
    <row r="14126" spans="1:3" x14ac:dyDescent="0.25">
      <c r="A14126" s="8" t="str">
        <f>"Proceedings 2010 International Symposium on Information Technology - Visual Informatics, ITSim'10"</f>
        <v>Proceedings 2010 International Symposium on Information Technology - Visual Informatics, ITSim'10</v>
      </c>
      <c r="B14126" s="8" t="str">
        <f>"9781424467181"</f>
        <v>9781424467181</v>
      </c>
      <c r="C14126" s="8" t="s">
        <v>9</v>
      </c>
    </row>
    <row r="14127" spans="1:3" x14ac:dyDescent="0.25">
      <c r="A14127" s="8" t="str">
        <f>"Proceedings 2011 International Conference on Human Health and Biomedical Engineering, HHBE 2011"</f>
        <v>Proceedings 2011 International Conference on Human Health and Biomedical Engineering, HHBE 2011</v>
      </c>
      <c r="B14127" s="8" t="str">
        <f>"9781612847269"</f>
        <v>9781612847269</v>
      </c>
      <c r="C14127" s="8" t="s">
        <v>9</v>
      </c>
    </row>
    <row r="14128" spans="1:3" x14ac:dyDescent="0.25">
      <c r="A14128" s="8" t="str">
        <f>"Proceedings 2011 International Conference on Mechatronic Science, Electric Engineering and Computer, MEC 2011"</f>
        <v>Proceedings 2011 International Conference on Mechatronic Science, Electric Engineering and Computer, MEC 2011</v>
      </c>
      <c r="B14128" s="8" t="str">
        <f>"9781612847221"</f>
        <v>9781612847221</v>
      </c>
      <c r="C14128" s="8" t="s">
        <v>9</v>
      </c>
    </row>
    <row r="14129" spans="1:3" x14ac:dyDescent="0.25">
      <c r="A14129" s="8" t="str">
        <f>"Proceedings 2011 International Conference on System Science and Engineering, ICSSE 2011"</f>
        <v>Proceedings 2011 International Conference on System Science and Engineering, ICSSE 2011</v>
      </c>
      <c r="B14129" s="8" t="str">
        <f>"9781612844718"</f>
        <v>9781612844718</v>
      </c>
      <c r="C14129" s="8" t="s">
        <v>9</v>
      </c>
    </row>
    <row r="14130" spans="1:3" x14ac:dyDescent="0.25">
      <c r="A14130" s="8" t="str">
        <f>"Proceedings 2011 International Conference on Transportation, Mechanical, and Electrical Engineering, TMEE 2011"</f>
        <v>Proceedings 2011 International Conference on Transportation, Mechanical, and Electrical Engineering, TMEE 2011</v>
      </c>
      <c r="B14130" s="8" t="str">
        <f>"9781457717017"</f>
        <v>9781457717017</v>
      </c>
      <c r="C14130" s="8" t="s">
        <v>9</v>
      </c>
    </row>
    <row r="14131" spans="1:3" x14ac:dyDescent="0.25">
      <c r="A14131" s="8" t="str">
        <f>"Proceedings 2012 17th IEEE International Conference on Wireless, Mobile and Ubiquitous Technology in Education, WMUTE 2012"</f>
        <v>Proceedings 2012 17th IEEE International Conference on Wireless, Mobile and Ubiquitous Technology in Education, WMUTE 2012</v>
      </c>
      <c r="B14131" s="8" t="str">
        <f>"9780769546629"</f>
        <v>9780769546629</v>
      </c>
      <c r="C14131" s="8" t="s">
        <v>9</v>
      </c>
    </row>
    <row r="14132" spans="1:3" x14ac:dyDescent="0.25">
      <c r="A14132" s="8" t="str">
        <f>"Proceedings 2012 4th IEEE International Conference on Digital Game and Intelligent Toy Enhanced Learning, DIGITEL 2012"</f>
        <v>Proceedings 2012 4th IEEE International Conference on Digital Game and Intelligent Toy Enhanced Learning, DIGITEL 2012</v>
      </c>
      <c r="B14132" s="8" t="str">
        <f>"9780769546636"</f>
        <v>9780769546636</v>
      </c>
      <c r="C14132" s="8" t="s">
        <v>9</v>
      </c>
    </row>
    <row r="14133" spans="1:3" x14ac:dyDescent="0.25">
      <c r="A14133" s="8" t="str">
        <f>"Proceedings 2012 International Conference on Cyber Security, Cyber Warfare and Digital Forensic, CyberSec 2012"</f>
        <v>Proceedings 2012 International Conference on Cyber Security, Cyber Warfare and Digital Forensic, CyberSec 2012</v>
      </c>
      <c r="B14133" s="8" t="str">
        <f>"9781467314251"</f>
        <v>9781467314251</v>
      </c>
      <c r="C14133" s="8" t="s">
        <v>9</v>
      </c>
    </row>
    <row r="14134" spans="1:3" x14ac:dyDescent="0.25">
      <c r="A14134" s="8" t="str">
        <f>"Proceedings 2012 International Conference on System Science and Engineering, ICSSE 2012"</f>
        <v>Proceedings 2012 International Conference on System Science and Engineering, ICSSE 2012</v>
      </c>
      <c r="B14134" s="8" t="str">
        <f>"9781467309455"</f>
        <v>9781467309455</v>
      </c>
      <c r="C14134" s="8" t="s">
        <v>9</v>
      </c>
    </row>
    <row r="14135" spans="1:3" x14ac:dyDescent="0.25">
      <c r="A14135" s="8" t="str">
        <f>"Proceedings 2013 IEEE 3rd International Conference on Consumer Electronics - Berlin, ICCE-Berlin 2013"</f>
        <v>Proceedings 2013 IEEE 3rd International Conference on Consumer Electronics - Berlin, ICCE-Berlin 2013</v>
      </c>
      <c r="B14135" s="8" t="str">
        <f>"9781479914128"</f>
        <v>9781479914128</v>
      </c>
      <c r="C14135" s="8" t="s">
        <v>9</v>
      </c>
    </row>
    <row r="14136" spans="1:3" x14ac:dyDescent="0.25">
      <c r="A14136" s="8" t="str">
        <f>"Proceedings 2014 IEEE International Conference on Security, Pattern Analysis, and Cybernetics, SPAC 2014"</f>
        <v>Proceedings 2014 IEEE International Conference on Security, Pattern Analysis, and Cybernetics, SPAC 2014</v>
      </c>
      <c r="B14136" s="8" t="str">
        <f>"9781479953530"</f>
        <v>9781479953530</v>
      </c>
      <c r="C14136" s="8" t="s">
        <v>105</v>
      </c>
    </row>
    <row r="14137" spans="1:3" x14ac:dyDescent="0.25">
      <c r="A14137" s="8" t="str">
        <f>"Proceedings -2015 12th Conference on Computer and Robot Vision, CRV 2015"</f>
        <v>Proceedings -2015 12th Conference on Computer and Robot Vision, CRV 2015</v>
      </c>
      <c r="B14137" s="8" t="str">
        <f>"9781479919864"</f>
        <v>9781479919864</v>
      </c>
      <c r="C14137" s="8" t="s">
        <v>105</v>
      </c>
    </row>
    <row r="14138" spans="1:3" x14ac:dyDescent="0.25">
      <c r="A14138" s="8" t="str">
        <f>"Proceedings 29th Annual Association of Researchers in Construction Management Conference, ARCOM 2013"</f>
        <v>Proceedings 29th Annual Association of Researchers in Construction Management Conference, ARCOM 2013</v>
      </c>
      <c r="B14138" s="8" t="str">
        <f>"9780955239076"</f>
        <v>9780955239076</v>
      </c>
      <c r="C14138" s="8" t="s">
        <v>1690</v>
      </c>
    </row>
    <row r="14139" spans="1:3" x14ac:dyDescent="0.25">
      <c r="A14139" s="8" t="str">
        <f>"Proceedings 30th Annual Association of Researchers in Construction Management Conference, ARCOM 2014"</f>
        <v>Proceedings 30th Annual Association of Researchers in Construction Management Conference, ARCOM 2014</v>
      </c>
      <c r="B14139" s="8" t="str">
        <f>"9780955239083"</f>
        <v>9780955239083</v>
      </c>
      <c r="C14139" s="8" t="s">
        <v>1690</v>
      </c>
    </row>
    <row r="14140" spans="1:3" x14ac:dyDescent="0.25">
      <c r="A14140" s="8" t="str">
        <f>"Proceedings 45th Israel Annual Conference on Aerospace Sciences 2005"</f>
        <v>Proceedings 45th Israel Annual Conference on Aerospace Sciences 2005</v>
      </c>
      <c r="B14140" s="8" t="str">
        <f>"-"</f>
        <v>-</v>
      </c>
      <c r="C14140" s="8" t="s">
        <v>1527</v>
      </c>
    </row>
    <row r="14141" spans="1:3" x14ac:dyDescent="0.25">
      <c r="A14141" s="8" t="str">
        <f>"Proceedings 50th ASMS Conference on Mass Spectrometry and Allied Topics"</f>
        <v>Proceedings 50th ASMS Conference on Mass Spectrometry and Allied Topics</v>
      </c>
      <c r="B14141" s="8" t="str">
        <f>"-"</f>
        <v>-</v>
      </c>
      <c r="C14141" s="8" t="s">
        <v>2090</v>
      </c>
    </row>
    <row r="14142" spans="1:3" x14ac:dyDescent="0.25">
      <c r="A14142" s="8" t="str">
        <f>"Proceedings 6th Australian Communications Theory Workshop 2005"</f>
        <v>Proceedings 6th Australian Communications Theory Workshop 2005</v>
      </c>
      <c r="B14142" s="8" t="str">
        <f>"-"</f>
        <v>-</v>
      </c>
      <c r="C14142" s="8" t="s">
        <v>9</v>
      </c>
    </row>
    <row r="14143" spans="1:3" x14ac:dyDescent="0.25">
      <c r="A14143" s="8" t="str">
        <f>"Proceedings -8th Web Information Systems and Applications Conference, WISA 2011, Workshop on Semantic Web and Ontology,SWON 2011,Workshop on Electronic Government Technology and Application,EGTA 2011"</f>
        <v>Proceedings -8th Web Information Systems and Applications Conference, WISA 2011, Workshop on Semantic Web and Ontology,SWON 2011,Workshop on Electronic Government Technology and Application,EGTA 2011</v>
      </c>
      <c r="B14143" s="8" t="str">
        <f>"9780769545554"</f>
        <v>9780769545554</v>
      </c>
      <c r="C14143" s="8" t="s">
        <v>9</v>
      </c>
    </row>
    <row r="14144" spans="1:3" x14ac:dyDescent="0.25">
      <c r="A14144" s="8" t="s">
        <v>2091</v>
      </c>
      <c r="B14144" s="8" t="str">
        <f t="shared" ref="B14144:B14152" si="29">"-"</f>
        <v>-</v>
      </c>
      <c r="C14144" s="8" t="s">
        <v>2092</v>
      </c>
    </row>
    <row r="14145" spans="1:3" x14ac:dyDescent="0.25">
      <c r="A14145" s="8" t="s">
        <v>2093</v>
      </c>
      <c r="B14145" s="8" t="str">
        <f t="shared" si="29"/>
        <v>-</v>
      </c>
      <c r="C14145" s="8" t="s">
        <v>2092</v>
      </c>
    </row>
    <row r="14146" spans="1:3" x14ac:dyDescent="0.25">
      <c r="A14146" s="8" t="str">
        <f>"Proceedings ABIS 2007 - 15th Workshop on Adaptivity and User Modeling in Interactive Systems"</f>
        <v>Proceedings ABIS 2007 - 15th Workshop on Adaptivity and User Modeling in Interactive Systems</v>
      </c>
      <c r="B14146" s="8" t="str">
        <f t="shared" si="29"/>
        <v>-</v>
      </c>
      <c r="C14146" s="8" t="s">
        <v>2092</v>
      </c>
    </row>
    <row r="14147" spans="1:3" x14ac:dyDescent="0.25">
      <c r="A14147" s="8" t="str">
        <f>"Proceedings ABIS 2008 - 16th Workshop on Adaptivity and User Modeling in Interactive Systems"</f>
        <v>Proceedings ABIS 2008 - 16th Workshop on Adaptivity and User Modeling in Interactive Systems</v>
      </c>
      <c r="B14147" s="8" t="str">
        <f t="shared" si="29"/>
        <v>-</v>
      </c>
      <c r="C14147" s="8" t="s">
        <v>2092</v>
      </c>
    </row>
    <row r="14148" spans="1:3" x14ac:dyDescent="0.25">
      <c r="A14148" s="8" t="str">
        <f>"Proceedings ABIS 2009 - 17th Workshop on Adaptivity and User Modeling in Interactive Systems"</f>
        <v>Proceedings ABIS 2009 - 17th Workshop on Adaptivity and User Modeling in Interactive Systems</v>
      </c>
      <c r="B14148" s="8" t="str">
        <f t="shared" si="29"/>
        <v>-</v>
      </c>
      <c r="C14148" s="8" t="s">
        <v>2092</v>
      </c>
    </row>
    <row r="14149" spans="1:3" x14ac:dyDescent="0.25">
      <c r="A14149" s="8" t="str">
        <f>"Proceedings ABIS 2010 - 18th Intl. Workshop on Personalization and Recommendation on the Web and Beyond"</f>
        <v>Proceedings ABIS 2010 - 18th Intl. Workshop on Personalization and Recommendation on the Web and Beyond</v>
      </c>
      <c r="B14149" s="8" t="str">
        <f t="shared" si="29"/>
        <v>-</v>
      </c>
      <c r="C14149" s="8" t="s">
        <v>2092</v>
      </c>
    </row>
    <row r="14150" spans="1:3" x14ac:dyDescent="0.25">
      <c r="A14150" s="8" t="str">
        <f>"Proceedings ABIS 2012 - 19th Intl. Workshop on Personalization and Recommendation on the Web and Beyond, Held at Mensch and Computer 2012"</f>
        <v>Proceedings ABIS 2012 - 19th Intl. Workshop on Personalization and Recommendation on the Web and Beyond, Held at Mensch and Computer 2012</v>
      </c>
      <c r="B14150" s="8" t="str">
        <f t="shared" si="29"/>
        <v>-</v>
      </c>
      <c r="C14150" s="8" t="s">
        <v>2092</v>
      </c>
    </row>
    <row r="14151" spans="1:3" x14ac:dyDescent="0.25">
      <c r="A14151" s="8" t="str">
        <f>"Proceedings ABIS 2014 - 20th International Workshop on Adaptivity and User Modeling"</f>
        <v>Proceedings ABIS 2014 - 20th International Workshop on Adaptivity and User Modeling</v>
      </c>
      <c r="B14151" s="8" t="str">
        <f t="shared" si="29"/>
        <v>-</v>
      </c>
      <c r="C14151" s="8" t="s">
        <v>2092</v>
      </c>
    </row>
    <row r="14152" spans="1:3" x14ac:dyDescent="0.25">
      <c r="A14152" s="8" t="str">
        <f>"Proceedings AESF/EPA Conference for Environmental Excellence"</f>
        <v>Proceedings AESF/EPA Conference for Environmental Excellence</v>
      </c>
      <c r="B14152" s="8" t="str">
        <f t="shared" si="29"/>
        <v>-</v>
      </c>
      <c r="C14152" s="8" t="s">
        <v>963</v>
      </c>
    </row>
    <row r="14153" spans="1:3" x14ac:dyDescent="0.25">
      <c r="A14153" s="8" t="str">
        <f>"Proceedings BLISS 2008 - 2008 ECSIS Symposium on Bio-inspired, Learning, and Intelligent Systems for Security"</f>
        <v>Proceedings BLISS 2008 - 2008 ECSIS Symposium on Bio-inspired, Learning, and Intelligent Systems for Security</v>
      </c>
      <c r="B14153" s="8" t="str">
        <f>"9780769532653"</f>
        <v>9780769532653</v>
      </c>
      <c r="C14153" s="8" t="s">
        <v>9</v>
      </c>
    </row>
    <row r="14154" spans="1:3" x14ac:dyDescent="0.25">
      <c r="A14154" s="8" t="str">
        <f>"Proceedings CCGRID 2008 - 8th IEEE International Symposium on Cluster Computing and the Grid"</f>
        <v>Proceedings CCGRID 2008 - 8th IEEE International Symposium on Cluster Computing and the Grid</v>
      </c>
      <c r="B14154" s="8" t="str">
        <f>"9780769531564"</f>
        <v>9780769531564</v>
      </c>
      <c r="C14154" s="8" t="s">
        <v>9</v>
      </c>
    </row>
    <row r="14155" spans="1:3" x14ac:dyDescent="0.25">
      <c r="A14155" s="8" t="str">
        <f>"Proceedings DESIGN 2008, the 10th International Design Conference"</f>
        <v>Proceedings DESIGN 2008, the 10th International Design Conference</v>
      </c>
      <c r="B14155" s="8" t="str">
        <f>"9789536313891"</f>
        <v>9789536313891</v>
      </c>
      <c r="C14155" s="8" t="s">
        <v>1231</v>
      </c>
    </row>
    <row r="14156" spans="1:3" x14ac:dyDescent="0.25">
      <c r="A14156" s="8" t="str">
        <f>"Proceedings EC-VIP-MC 2003 - 4th EURASIP Conference Focused on Video / Image Processing and Multimedia Communications"</f>
        <v>Proceedings EC-VIP-MC 2003 - 4th EURASIP Conference Focused on Video / Image Processing and Multimedia Communications</v>
      </c>
      <c r="B14156" s="8" t="str">
        <f>"-"</f>
        <v>-</v>
      </c>
      <c r="C14156" s="8" t="s">
        <v>105</v>
      </c>
    </row>
    <row r="14157" spans="1:3" x14ac:dyDescent="0.25">
      <c r="A14157" s="8" t="str">
        <f>"Proceedings First International Conference on Concrete and Development C and D 1"</f>
        <v>Proceedings First International Conference on Concrete and Development C and D 1</v>
      </c>
      <c r="B14157" s="8" t="str">
        <f>"-"</f>
        <v>-</v>
      </c>
      <c r="C14157" s="8" t="s">
        <v>2094</v>
      </c>
    </row>
    <row r="14158" spans="1:3" x14ac:dyDescent="0.25">
      <c r="A14158" s="8" t="str">
        <f>"Proceedings first International Symposium on Non Photorealistic Animation and Rendering"</f>
        <v>Proceedings first International Symposium on Non Photorealistic Animation and Rendering</v>
      </c>
      <c r="B14158" s="8" t="str">
        <f>"9781581132779"</f>
        <v>9781581132779</v>
      </c>
      <c r="C14158" s="8" t="s">
        <v>21</v>
      </c>
    </row>
    <row r="14159" spans="1:3" x14ac:dyDescent="0.25">
      <c r="A14159" s="8" t="str">
        <f>"Proceedings for FTfJP 2012: The 14th Workshop on Formal Techniques for Java-Like Programs - Co-located with ECOOP 2012 and PLDI 2012, Papers Presented at the Workshop"</f>
        <v>Proceedings for FTfJP 2012: The 14th Workshop on Formal Techniques for Java-Like Programs - Co-located with ECOOP 2012 and PLDI 2012, Papers Presented at the Workshop</v>
      </c>
      <c r="B14159" s="8" t="str">
        <f>"9781450312721"</f>
        <v>9781450312721</v>
      </c>
      <c r="C14159" s="8" t="s">
        <v>21</v>
      </c>
    </row>
    <row r="14160" spans="1:3" x14ac:dyDescent="0.25">
      <c r="A14160" s="8" t="str">
        <f>"Proceedings for ICPS:2006 International Conference on Pervasive Services"</f>
        <v>Proceedings for ICPS:2006 International Conference on Pervasive Services</v>
      </c>
      <c r="B14160" s="8" t="str">
        <f>"-"</f>
        <v>-</v>
      </c>
      <c r="C14160" s="8" t="s">
        <v>9</v>
      </c>
    </row>
    <row r="14161" spans="1:3" x14ac:dyDescent="0.25">
      <c r="A14161" s="8" t="str">
        <f>"Proceedings for the 1st Workshop on Script to Program Evolution, STOP'09 in Conjunction with European Conference on Object-Oriented Programming, ECOOP'09"</f>
        <v>Proceedings for the 1st Workshop on Script to Program Evolution, STOP'09 in Conjunction with European Conference on Object-Oriented Programming, ECOOP'09</v>
      </c>
      <c r="B14161" s="8" t="str">
        <f>"9781605585437"</f>
        <v>9781605585437</v>
      </c>
      <c r="C14161" s="8" t="s">
        <v>21</v>
      </c>
    </row>
    <row r="14162" spans="1:3" x14ac:dyDescent="0.25">
      <c r="A14162" s="8" t="str">
        <f>"Proceedings for the Joint Conference of ISR 2014 - 45th International Symposium on Robotics and Robotik 2014 - 8th German Conference on Robotics, ISR/ROBOTIK 2014"</f>
        <v>Proceedings for the Joint Conference of ISR 2014 - 45th International Symposium on Robotics and Robotik 2014 - 8th German Conference on Robotics, ISR/ROBOTIK 2014</v>
      </c>
      <c r="B14162" s="8" t="str">
        <f>"9783800736010"</f>
        <v>9783800736010</v>
      </c>
      <c r="C14162" s="8" t="s">
        <v>1809</v>
      </c>
    </row>
    <row r="14163" spans="1:3" x14ac:dyDescent="0.25">
      <c r="A14163" s="8" t="str">
        <f>"Proceedings for the Joint Conference: MFPT 2013 and ISA's 59th International Instrumentation Symposium, ISA 2013: Sensors and Systems for Reliability, Safety and Affordability"</f>
        <v>Proceedings for the Joint Conference: MFPT 2013 and ISA's 59th International Instrumentation Symposium, ISA 2013: Sensors and Systems for Reliability, Safety and Affordability</v>
      </c>
      <c r="B14163" s="8" t="str">
        <f>"-"</f>
        <v>-</v>
      </c>
      <c r="C14163" s="8" t="s">
        <v>1826</v>
      </c>
    </row>
    <row r="14164" spans="1:3" x14ac:dyDescent="0.25">
      <c r="A14164" s="8" t="str">
        <f>"Proceedings from the 12th International Conference on Modeling of Casting, Welding, and Advanced Solidification Processes"</f>
        <v>Proceedings from the 12th International Conference on Modeling of Casting, Welding, and Advanced Solidification Processes</v>
      </c>
      <c r="B14164" s="8" t="str">
        <f>"9780873397421"</f>
        <v>9780873397421</v>
      </c>
      <c r="C14164" s="8" t="s">
        <v>648</v>
      </c>
    </row>
    <row r="14165" spans="1:3" x14ac:dyDescent="0.25">
      <c r="A14165" s="8" t="str">
        <f>"Proceedings from the 5th Conference on Design and Emotion 2006"</f>
        <v>Proceedings from the 5th Conference on Design and Emotion 2006</v>
      </c>
      <c r="B14165" s="8" t="str">
        <f>"9789197507950"</f>
        <v>9789197507950</v>
      </c>
      <c r="C14165" s="8" t="s">
        <v>2095</v>
      </c>
    </row>
    <row r="14166" spans="1:3" x14ac:dyDescent="0.25">
      <c r="A14166" s="8" t="str">
        <f>"Proceedings from the 6th Annual IEEE System, Man and Cybernetics Information Assurance Workshop, SMC 2005"</f>
        <v>Proceedings from the 6th Annual IEEE System, Man and Cybernetics Information Assurance Workshop, SMC 2005</v>
      </c>
      <c r="B14166" s="8" t="str">
        <f>"-"</f>
        <v>-</v>
      </c>
      <c r="C14166" s="8" t="s">
        <v>9</v>
      </c>
    </row>
    <row r="14167" spans="1:3" x14ac:dyDescent="0.25">
      <c r="A14167" s="8" t="str">
        <f>"Proceedings from the 6th Conference on Design and Emotion 2008"</f>
        <v>Proceedings from the 6th Conference on Design and Emotion 2008</v>
      </c>
      <c r="B14167" s="8" t="str">
        <f>"9789881748928"</f>
        <v>9789881748928</v>
      </c>
      <c r="C14167" s="8" t="s">
        <v>2096</v>
      </c>
    </row>
    <row r="14168" spans="1:3" x14ac:dyDescent="0.25">
      <c r="A14168" s="8" t="str">
        <f>"Proceedings fron the Fifth Annual IEEE System, Man and Cybernetics Information Assurance Workshop, SMC"</f>
        <v>Proceedings fron the Fifth Annual IEEE System, Man and Cybernetics Information Assurance Workshop, SMC</v>
      </c>
      <c r="B14168" s="8" t="str">
        <f>"9780780385726"</f>
        <v>9780780385726</v>
      </c>
      <c r="C14168" s="8" t="s">
        <v>105</v>
      </c>
    </row>
    <row r="14169" spans="1:3" x14ac:dyDescent="0.25">
      <c r="A14169" s="8" t="str">
        <f>"Proceedings GRAPHITE 2004 - 2nd International Conference on Computer Graphics and Interactive Techniques in Australasia and Southeast Asia"</f>
        <v>Proceedings GRAPHITE 2004 - 2nd International Conference on Computer Graphics and Interactive Techniques in Australasia and Southeast Asia</v>
      </c>
      <c r="B14169" s="8" t="str">
        <f>"9781581138849"</f>
        <v>9781581138849</v>
      </c>
      <c r="C14169" s="8" t="s">
        <v>21</v>
      </c>
    </row>
    <row r="14170" spans="1:3" x14ac:dyDescent="0.25">
      <c r="A14170" s="8" t="str">
        <f>"Proceedings ICED 05, the 15th International Conference on Engineering Design"</f>
        <v>Proceedings ICED 05, the 15th International Conference on Engineering Design</v>
      </c>
      <c r="B14170" s="8" t="str">
        <f>"9780858257887"</f>
        <v>9780858257887</v>
      </c>
      <c r="C14170" s="8" t="s">
        <v>1231</v>
      </c>
    </row>
    <row r="14171" spans="1:3" x14ac:dyDescent="0.25">
      <c r="A14171" s="8" t="str">
        <f>"Proceedings ICICSE 2008 - 2008 International Conference on Internet Computing in Science and Engineering"</f>
        <v>Proceedings ICICSE 2008 - 2008 International Conference on Internet Computing in Science and Engineering</v>
      </c>
      <c r="B14171" s="8" t="str">
        <f>"9780769531120"</f>
        <v>9780769531120</v>
      </c>
      <c r="C14171" s="8" t="s">
        <v>9</v>
      </c>
    </row>
    <row r="14172" spans="1:3" x14ac:dyDescent="0.25">
      <c r="A14172" s="8" t="s">
        <v>2097</v>
      </c>
      <c r="B14172" s="8" t="str">
        <f>"-"</f>
        <v>-</v>
      </c>
      <c r="C14172" s="8" t="s">
        <v>1905</v>
      </c>
    </row>
    <row r="14173" spans="1:3" x14ac:dyDescent="0.25">
      <c r="A14173" s="8" t="str">
        <f>"Proceedings ICS 2008: The 4th International Congress on the Science and Technology of Steelmaking"</f>
        <v>Proceedings ICS 2008: The 4th International Congress on the Science and Technology of Steelmaking</v>
      </c>
      <c r="B14173" s="8" t="str">
        <f>"9784930980694"</f>
        <v>9784930980694</v>
      </c>
      <c r="C14173" s="8" t="s">
        <v>1537</v>
      </c>
    </row>
    <row r="14174" spans="1:3" x14ac:dyDescent="0.25">
      <c r="A14174" s="8" t="str">
        <f>"Proceedings ICSE 2004 - 2004 IEEE International Conference on Semiconductor Electronics"</f>
        <v>Proceedings ICSE 2004 - 2004 IEEE International Conference on Semiconductor Electronics</v>
      </c>
      <c r="B14174" s="8" t="str">
        <f>"9780780386587"</f>
        <v>9780780386587</v>
      </c>
      <c r="C14174" s="8" t="s">
        <v>9</v>
      </c>
    </row>
    <row r="14175" spans="1:3" x14ac:dyDescent="0.25">
      <c r="A14175" s="8" t="str">
        <f>"Proceedings IEEE Lester Eastman Conference on High Performance Devices"</f>
        <v>Proceedings IEEE Lester Eastman Conference on High Performance Devices</v>
      </c>
      <c r="B14175" s="8" t="str">
        <f>"9780780374782"</f>
        <v>9780780374782</v>
      </c>
      <c r="C14175" s="8" t="s">
        <v>105</v>
      </c>
    </row>
    <row r="14176" spans="1:3" x14ac:dyDescent="0.25">
      <c r="A14176" s="8" t="str">
        <f>"Proceedings in Mining Science and Safety Technology"</f>
        <v>Proceedings in Mining Science and Safety Technology</v>
      </c>
      <c r="B14176" s="8" t="str">
        <f>"9787030102553"</f>
        <v>9787030102553</v>
      </c>
      <c r="C14176" s="8" t="s">
        <v>37</v>
      </c>
    </row>
    <row r="14177" spans="1:3" x14ac:dyDescent="0.25">
      <c r="A14177" s="8" t="str">
        <f>"Proceedings ISM Workshops 2007 9th IEEE International Symposium on Multimedia - Workshops"</f>
        <v>Proceedings ISM Workshops 2007 9th IEEE International Symposium on Multimedia - Workshops</v>
      </c>
      <c r="B14177" s="8" t="str">
        <f>"9780769530840"</f>
        <v>9780769530840</v>
      </c>
      <c r="C14177" s="8" t="s">
        <v>9</v>
      </c>
    </row>
    <row r="14178" spans="1:3" x14ac:dyDescent="0.25">
      <c r="A14178" s="8" t="str">
        <f>"Proceedings New Security Paradigm Workshop"</f>
        <v>Proceedings New Security Paradigm Workshop</v>
      </c>
      <c r="B14178" s="8" t="str">
        <f>"9781581131499"</f>
        <v>9781581131499</v>
      </c>
      <c r="C14178" s="8" t="s">
        <v>21</v>
      </c>
    </row>
    <row r="14179" spans="1:3" x14ac:dyDescent="0.25">
      <c r="A14179" s="8" t="str">
        <f>"Proceedings New Security Paradigm Workshop"</f>
        <v>Proceedings New Security Paradigm Workshop</v>
      </c>
      <c r="B14179" s="8" t="str">
        <f>"9781581132601"</f>
        <v>9781581132601</v>
      </c>
      <c r="C14179" s="8" t="s">
        <v>21</v>
      </c>
    </row>
    <row r="14180" spans="1:3" x14ac:dyDescent="0.25">
      <c r="A14180" s="8" t="str">
        <f>"Proceedings of 10th ITG Symposium on Speech Communication"</f>
        <v>Proceedings of 10th ITG Symposium on Speech Communication</v>
      </c>
      <c r="B14180" s="8" t="str">
        <f>"9783800734559"</f>
        <v>9783800734559</v>
      </c>
      <c r="C14180" s="8" t="s">
        <v>105</v>
      </c>
    </row>
    <row r="14181" spans="1:3" x14ac:dyDescent="0.25">
      <c r="A14181" s="8" t="str">
        <f>"Proceedings of 11th International Conference on Computer and Information Technology, ICCIT 2008"</f>
        <v>Proceedings of 11th International Conference on Computer and Information Technology, ICCIT 2008</v>
      </c>
      <c r="B14181" s="8" t="str">
        <f>"9781424421367"</f>
        <v>9781424421367</v>
      </c>
      <c r="C14181" s="8" t="s">
        <v>9</v>
      </c>
    </row>
    <row r="14182" spans="1:3" x14ac:dyDescent="0.25">
      <c r="A14182" s="8" t="str">
        <f>"Proceedings of 11th ITG Symposium on Speech Communication"</f>
        <v>Proceedings of 11th ITG Symposium on Speech Communication</v>
      </c>
      <c r="B14182" s="8" t="str">
        <f>"9783800736409"</f>
        <v>9783800736409</v>
      </c>
      <c r="C14182" s="8" t="s">
        <v>105</v>
      </c>
    </row>
    <row r="14183" spans="1:3" x14ac:dyDescent="0.25">
      <c r="A14183" s="8" t="str">
        <f>"Proceedings of 12TH Annual North American Waste to Energy Conference,NAWTEC12"</f>
        <v>Proceedings of 12TH Annual North American Waste to Energy Conference,NAWTEC12</v>
      </c>
      <c r="B14183" s="8" t="str">
        <f>"9780791837368"</f>
        <v>9780791837368</v>
      </c>
      <c r="C14183" s="8" t="s">
        <v>1308</v>
      </c>
    </row>
    <row r="14184" spans="1:3" x14ac:dyDescent="0.25">
      <c r="A14184" s="8" t="str">
        <f>"Proceedings of 12th Asian Congress of Fluid Mechanics, ACFM 2008"</f>
        <v>Proceedings of 12th Asian Congress of Fluid Mechanics, ACFM 2008</v>
      </c>
      <c r="B14184" s="8" t="str">
        <f>"-"</f>
        <v>-</v>
      </c>
      <c r="C14184" s="8" t="s">
        <v>2053</v>
      </c>
    </row>
    <row r="14185" spans="1:3" x14ac:dyDescent="0.25">
      <c r="A14185" s="8" t="str">
        <f>"Proceedings of 12th International Conference of the Associated Research Centers for Urban Underground Space, ACUUS 2009"</f>
        <v>Proceedings of 12th International Conference of the Associated Research Centers for Urban Underground Space, ACUUS 2009</v>
      </c>
      <c r="B14185" s="8" t="str">
        <f>"9787500124979"</f>
        <v>9787500124979</v>
      </c>
      <c r="C14185" s="8" t="s">
        <v>2098</v>
      </c>
    </row>
    <row r="14186" spans="1:3" x14ac:dyDescent="0.25">
      <c r="A14186" s="8" t="str">
        <f>"Proceedings of 12th International Seminar/Workshop on Direct and Inverse Problems of Electromagnetic and Acoustic Wave Theory, DIPED-2007"</f>
        <v>Proceedings of 12th International Seminar/Workshop on Direct and Inverse Problems of Electromagnetic and Acoustic Wave Theory, DIPED-2007</v>
      </c>
      <c r="B14186" s="8" t="str">
        <f>"9789660242371"</f>
        <v>9789660242371</v>
      </c>
      <c r="C14186" s="8" t="s">
        <v>9</v>
      </c>
    </row>
    <row r="14187" spans="1:3" x14ac:dyDescent="0.25">
      <c r="A14187" s="8" t="str">
        <f>"Proceedings of 13th Conference on Microwave Techniques, COMITE 2013 - MAREW 2013: Microwave and Radio Electronics Week 2013"</f>
        <v>Proceedings of 13th Conference on Microwave Techniques, COMITE 2013 - MAREW 2013: Microwave and Radio Electronics Week 2013</v>
      </c>
      <c r="B14187" s="8" t="str">
        <f>"9781467355124"</f>
        <v>9781467355124</v>
      </c>
      <c r="C14187" s="8" t="s">
        <v>9</v>
      </c>
    </row>
    <row r="14188" spans="1:3" x14ac:dyDescent="0.25">
      <c r="A14188" s="8" t="str">
        <f>"Proceedings of 13th International Symposium on Mechatronics, MECHATRONIKA 2010"</f>
        <v>Proceedings of 13th International Symposium on Mechatronics, MECHATRONIKA 2010</v>
      </c>
      <c r="B14188" s="8" t="str">
        <f>"9788080754617"</f>
        <v>9788080754617</v>
      </c>
      <c r="C14188" s="8" t="s">
        <v>9</v>
      </c>
    </row>
    <row r="14189" spans="1:3" x14ac:dyDescent="0.25">
      <c r="A14189" s="8" t="str">
        <f>"Proceedings of 14th Annual International TANDEC Nonwovens Conference"</f>
        <v>Proceedings of 14th Annual International TANDEC Nonwovens Conference</v>
      </c>
      <c r="B14189" s="8" t="str">
        <f>"-"</f>
        <v>-</v>
      </c>
      <c r="C14189" s="8" t="s">
        <v>2099</v>
      </c>
    </row>
    <row r="14190" spans="1:3" x14ac:dyDescent="0.25">
      <c r="A14190" s="8" t="str">
        <f>"Proceedings of 14th Conference on Microwave Techniques, COMITE 2015"</f>
        <v>Proceedings of 14th Conference on Microwave Techniques, COMITE 2015</v>
      </c>
      <c r="B14190" s="8" t="str">
        <f>"9781479981212"</f>
        <v>9781479981212</v>
      </c>
      <c r="C14190" s="8" t="s">
        <v>105</v>
      </c>
    </row>
    <row r="14191" spans="1:3" x14ac:dyDescent="0.25">
      <c r="A14191" s="8" t="str">
        <f>"Proceedings of 14th International Conference on Mechatronics, MECHATRONIKA 2011"</f>
        <v>Proceedings of 14th International Conference on Mechatronics, MECHATRONIKA 2011</v>
      </c>
      <c r="B14191" s="8" t="str">
        <f>"9788080754778"</f>
        <v>9788080754778</v>
      </c>
      <c r="C14191" s="8" t="s">
        <v>9</v>
      </c>
    </row>
    <row r="14192" spans="1:3" x14ac:dyDescent="0.25">
      <c r="A14192" s="8" t="str">
        <f>"Proceedings of 15th Conference Microwave Techniques, COMITE 2010"</f>
        <v>Proceedings of 15th Conference Microwave Techniques, COMITE 2010</v>
      </c>
      <c r="B14192" s="8" t="str">
        <f>"9781424463510"</f>
        <v>9781424463510</v>
      </c>
      <c r="C14192" s="8" t="s">
        <v>9</v>
      </c>
    </row>
    <row r="14193" spans="1:3" x14ac:dyDescent="0.25">
      <c r="A14193" s="8" t="str">
        <f>"Proceedings of 15th IAPRI World Conference on Packaging"</f>
        <v>Proceedings of 15th IAPRI World Conference on Packaging</v>
      </c>
      <c r="B14193" s="8" t="str">
        <f>"9783540285816"</f>
        <v>9783540285816</v>
      </c>
      <c r="C14193" s="8" t="s">
        <v>394</v>
      </c>
    </row>
    <row r="14194" spans="1:3" x14ac:dyDescent="0.25">
      <c r="A14194" s="8" t="str">
        <f>"Proceedings of 15th International Conference on Mechatronics, MECHATRONIKA 2012"</f>
        <v>Proceedings of 15th International Conference on Mechatronics, MECHATRONIKA 2012</v>
      </c>
      <c r="B14194" s="8" t="str">
        <f>"9788001049877"</f>
        <v>9788001049877</v>
      </c>
      <c r="C14194" s="8" t="s">
        <v>9</v>
      </c>
    </row>
    <row r="14195" spans="1:3" x14ac:dyDescent="0.25">
      <c r="A14195" s="8" t="str">
        <f>"Proceedings of 16th National Conference on Communications, NCC 2010"</f>
        <v>Proceedings of 16th National Conference on Communications, NCC 2010</v>
      </c>
      <c r="B14195" s="8" t="str">
        <f>"9781424463855"</f>
        <v>9781424463855</v>
      </c>
      <c r="C14195" s="8" t="s">
        <v>9</v>
      </c>
    </row>
    <row r="14196" spans="1:3" x14ac:dyDescent="0.25">
      <c r="A14196" s="8" t="str">
        <f>"Proceedings of 18th Analysis and Computation Speciality Conference - Structures Congress 2008: Crossing the Borders"</f>
        <v>Proceedings of 18th Analysis and Computation Speciality Conference - Structures Congress 2008: Crossing the Borders</v>
      </c>
      <c r="B14196" s="8" t="str">
        <f>"9780784410004"</f>
        <v>9780784410004</v>
      </c>
      <c r="C14196" s="8" t="s">
        <v>111</v>
      </c>
    </row>
    <row r="14197" spans="1:3" x14ac:dyDescent="0.25">
      <c r="A14197" s="8" t="str">
        <f>"Proceedings of 19th International Conference on Systems Engineering, ICSEng 2008"</f>
        <v>Proceedings of 19th International Conference on Systems Engineering, ICSEng 2008</v>
      </c>
      <c r="B14197" s="8" t="str">
        <f>"9780769527192"</f>
        <v>9780769527192</v>
      </c>
      <c r="C14197" s="8" t="s">
        <v>9</v>
      </c>
    </row>
    <row r="14198" spans="1:3" x14ac:dyDescent="0.25">
      <c r="A14198" s="8" t="str">
        <f>"Proceedings of 19th International Conference Radioelektronika 2009, RADIOELEKTRONIKA '09"</f>
        <v>Proceedings of 19th International Conference Radioelektronika 2009, RADIOELEKTRONIKA '09</v>
      </c>
      <c r="B14198" s="8" t="str">
        <f>"9781424435388"</f>
        <v>9781424435388</v>
      </c>
      <c r="C14198" s="8" t="s">
        <v>9</v>
      </c>
    </row>
    <row r="14199" spans="1:3" x14ac:dyDescent="0.25">
      <c r="A14199" s="8" t="str">
        <f>"Proceedings of 1st IEEE International Conference on Nano Micro Engineered and Molecular Systems, 1st IEEE-NEMS"</f>
        <v>Proceedings of 1st IEEE International Conference on Nano Micro Engineered and Molecular Systems, 1st IEEE-NEMS</v>
      </c>
      <c r="B14199" s="8" t="str">
        <f>"9781424401406"</f>
        <v>9781424401406</v>
      </c>
      <c r="C14199" s="8" t="s">
        <v>9</v>
      </c>
    </row>
    <row r="14200" spans="1:3" x14ac:dyDescent="0.25">
      <c r="A14200" s="8" t="str">
        <f>"Proceedings of 1st International Conference on Information and Communication Technology, ICICT 2005"</f>
        <v>Proceedings of 1st International Conference on Information and Communication Technology, ICICT 2005</v>
      </c>
      <c r="B14200" s="8" t="str">
        <f>"-"</f>
        <v>-</v>
      </c>
      <c r="C14200" s="8" t="s">
        <v>9</v>
      </c>
    </row>
    <row r="14201" spans="1:3" x14ac:dyDescent="0.25">
      <c r="A14201" s="8" t="str">
        <f>"Proceedings of 1st International Conference on Modern Bamboo Structures, ICBS-2007"</f>
        <v>Proceedings of 1st International Conference on Modern Bamboo Structures, ICBS-2007</v>
      </c>
      <c r="B14201" s="8" t="str">
        <f>"9780415475976"</f>
        <v>9780415475976</v>
      </c>
      <c r="C14201" s="8" t="s">
        <v>1637</v>
      </c>
    </row>
    <row r="14202" spans="1:3" x14ac:dyDescent="0.25">
      <c r="A14202" s="8" t="str">
        <f>"Proceedings of 1st International Conference on the Developments in Renewable Energy Technology, ICDRET 2009"</f>
        <v>Proceedings of 1st International Conference on the Developments in Renewable Energy Technology, ICDRET 2009</v>
      </c>
      <c r="B14202" s="8" t="str">
        <f>"9781424460120"</f>
        <v>9781424460120</v>
      </c>
      <c r="C14202" s="8" t="s">
        <v>9</v>
      </c>
    </row>
    <row r="14203" spans="1:3" x14ac:dyDescent="0.25">
      <c r="A14203" s="8" t="str">
        <f>"Proceedings of 1st International Symposium on Carbonate Sand Beaches - Carbonate Beaches 2000"</f>
        <v>Proceedings of 1st International Symposium on Carbonate Sand Beaches - Carbonate Beaches 2000</v>
      </c>
      <c r="B14203" s="8" t="str">
        <f>"9780784406403"</f>
        <v>9780784406403</v>
      </c>
      <c r="C14203" s="8" t="s">
        <v>111</v>
      </c>
    </row>
    <row r="14204" spans="1:3" x14ac:dyDescent="0.25">
      <c r="A14204" s="8" t="str">
        <f>"Proceedings of 1st Water Quality, Drought, Human Health and Engineering Conference, WATER2006"</f>
        <v>Proceedings of 1st Water Quality, Drought, Human Health and Engineering Conference, WATER2006</v>
      </c>
      <c r="B14204" s="8" t="str">
        <f>"-"</f>
        <v>-</v>
      </c>
      <c r="C14204" s="8" t="s">
        <v>1308</v>
      </c>
    </row>
    <row r="14205" spans="1:3" x14ac:dyDescent="0.25">
      <c r="A14205" s="8" t="str">
        <f>"Proceedings of 2001 International Symposium on Intelligent Multimedia, Video and Speech Processing, ISIMP 2001"</f>
        <v>Proceedings of 2001 International Symposium on Intelligent Multimedia, Video and Speech Processing, ISIMP 2001</v>
      </c>
      <c r="B14205" s="8" t="str">
        <f>"9789628576623"</f>
        <v>9789628576623</v>
      </c>
      <c r="C14205" s="8" t="s">
        <v>9</v>
      </c>
    </row>
    <row r="14206" spans="1:3" x14ac:dyDescent="0.25">
      <c r="A14206" s="8" t="str">
        <f>"Proceedings of 2002 IEEE Workshop on Multimedia Signal Processing, MMSP 2002"</f>
        <v>Proceedings of 2002 IEEE Workshop on Multimedia Signal Processing, MMSP 2002</v>
      </c>
      <c r="B14206" s="8" t="str">
        <f>"9780780377134"</f>
        <v>9780780377134</v>
      </c>
      <c r="C14206" s="8" t="s">
        <v>105</v>
      </c>
    </row>
    <row r="14207" spans="1:3" x14ac:dyDescent="0.25">
      <c r="A14207" s="8" t="str">
        <f>"Proceedings of 2002 IEEE Workshop on Speech Synthesis"</f>
        <v>Proceedings of 2002 IEEE Workshop on Speech Synthesis</v>
      </c>
      <c r="B14207" s="8" t="str">
        <f>"9780780373952"</f>
        <v>9780780373952</v>
      </c>
      <c r="C14207" s="8" t="s">
        <v>105</v>
      </c>
    </row>
    <row r="14208" spans="1:3" x14ac:dyDescent="0.25">
      <c r="A14208" s="8" t="str">
        <f>"Proceedings of 2002 IEEE/LEOS Workshop on Fibre and Optical Passive Components, WFOPC 2002"</f>
        <v>Proceedings of 2002 IEEE/LEOS Workshop on Fibre and Optical Passive Components, WFOPC 2002</v>
      </c>
      <c r="B14208" s="8" t="str">
        <f>"9780780375567"</f>
        <v>9780780375567</v>
      </c>
      <c r="C14208" s="8" t="s">
        <v>105</v>
      </c>
    </row>
    <row r="14209" spans="1:3" x14ac:dyDescent="0.25">
      <c r="A14209" s="8" t="str">
        <f>"Proceedings of 2002 International Conference on Machine Learning and Cybernetics"</f>
        <v>Proceedings of 2002 International Conference on Machine Learning and Cybernetics</v>
      </c>
      <c r="B14209" s="8" t="str">
        <f>"9780780375086"</f>
        <v>9780780375086</v>
      </c>
      <c r="C14209" s="8" t="s">
        <v>105</v>
      </c>
    </row>
    <row r="14210" spans="1:3" x14ac:dyDescent="0.25">
      <c r="A14210" s="8" t="str">
        <f>"Proceedings of 2002 International Conference on Machine Learning and Cybernetics"</f>
        <v>Proceedings of 2002 International Conference on Machine Learning and Cybernetics</v>
      </c>
      <c r="B14210" s="8" t="str">
        <f>"9780780375086"</f>
        <v>9780780375086</v>
      </c>
      <c r="C14210" s="8" t="s">
        <v>105</v>
      </c>
    </row>
    <row r="14211" spans="1:3" x14ac:dyDescent="0.25">
      <c r="A14211" s="8" t="str">
        <f>"Proceedings of 2002 International Conference on Machine Learning and Cybernetics"</f>
        <v>Proceedings of 2002 International Conference on Machine Learning and Cybernetics</v>
      </c>
      <c r="B14211" s="8" t="str">
        <f>"9780780375086"</f>
        <v>9780780375086</v>
      </c>
      <c r="C14211" s="8" t="s">
        <v>105</v>
      </c>
    </row>
    <row r="14212" spans="1:3" x14ac:dyDescent="0.25">
      <c r="A14212" s="8" t="str">
        <f>"Proceedings of 2002 International Conference on Machine Learning and Cybernetics"</f>
        <v>Proceedings of 2002 International Conference on Machine Learning and Cybernetics</v>
      </c>
      <c r="B14212" s="8" t="str">
        <f>"9780780375086"</f>
        <v>9780780375086</v>
      </c>
      <c r="C14212" s="8" t="s">
        <v>105</v>
      </c>
    </row>
    <row r="14213" spans="1:3" x14ac:dyDescent="0.25">
      <c r="A14213" s="8" t="str">
        <f>"Proceedings of 2003 International Conference on Construction and Real Estate Management"</f>
        <v>Proceedings of 2003 International Conference on Construction and Real Estate Management</v>
      </c>
      <c r="B14213" s="8" t="str">
        <f>"9787112021000"</f>
        <v>9787112021000</v>
      </c>
      <c r="C14213" s="8" t="s">
        <v>2100</v>
      </c>
    </row>
    <row r="14214" spans="1:3" x14ac:dyDescent="0.25">
      <c r="A14214" s="8" t="str">
        <f>"Proceedings of 2003 International Conference on Construction and Real Estate Management"</f>
        <v>Proceedings of 2003 International Conference on Construction and Real Estate Management</v>
      </c>
      <c r="B14214" s="8" t="str">
        <f>"9787112021000"</f>
        <v>9787112021000</v>
      </c>
    </row>
    <row r="14215" spans="1:3" x14ac:dyDescent="0.25">
      <c r="A14215" s="8" t="str">
        <f>"Proceedings of 2003 International Conference on Neural Networks and Signal Processing, ICNNSP'03"</f>
        <v>Proceedings of 2003 International Conference on Neural Networks and Signal Processing, ICNNSP'03</v>
      </c>
      <c r="B14215" s="8" t="str">
        <f>"9780780377028"</f>
        <v>9780780377028</v>
      </c>
      <c r="C14215" s="8" t="s">
        <v>9</v>
      </c>
    </row>
    <row r="14216" spans="1:3" x14ac:dyDescent="0.25">
      <c r="A14216" s="8" t="str">
        <f>"Proceedings of 2004 6th International Conference on Transparent Optical Networks"</f>
        <v>Proceedings of 2004 6th International Conference on Transparent Optical Networks</v>
      </c>
      <c r="B14216" s="8" t="str">
        <f>"9780780383432"</f>
        <v>9780780383432</v>
      </c>
      <c r="C14216" s="8" t="s">
        <v>105</v>
      </c>
    </row>
    <row r="14217" spans="1:3" x14ac:dyDescent="0.25">
      <c r="A14217" s="8" t="str">
        <f>"Proceedings of 2004 IEEE Asia-Pacific Conference on Advanced System Integrated Circuits"</f>
        <v>Proceedings of 2004 IEEE Asia-Pacific Conference on Advanced System Integrated Circuits</v>
      </c>
      <c r="B14217" s="8" t="str">
        <f>"9780780386372"</f>
        <v>9780780386372</v>
      </c>
      <c r="C14217" s="8" t="s">
        <v>105</v>
      </c>
    </row>
    <row r="14218" spans="1:3" x14ac:dyDescent="0.25">
      <c r="A14218" s="8" t="str">
        <f>"Proceedings of 2004 International Conference on Construction and Real Estate Management"</f>
        <v>Proceedings of 2004 International Conference on Construction and Real Estate Management</v>
      </c>
      <c r="B14218" s="8" t="str">
        <f>"9787112069989"</f>
        <v>9787112069989</v>
      </c>
      <c r="C14218" s="8" t="s">
        <v>2100</v>
      </c>
    </row>
    <row r="14219" spans="1:3" x14ac:dyDescent="0.25">
      <c r="A14219" s="8" t="str">
        <f>"Proceedings of 2004 International Conference on Construction and Real Estate Management"</f>
        <v>Proceedings of 2004 International Conference on Construction and Real Estate Management</v>
      </c>
      <c r="B14219" s="8" t="str">
        <f>"9787112069989"</f>
        <v>9787112069989</v>
      </c>
    </row>
    <row r="14220" spans="1:3" x14ac:dyDescent="0.25">
      <c r="A14220" s="8" t="str">
        <f>"Proceedings of 2004 International Conference on Machine Learning and Cybernetics"</f>
        <v>Proceedings of 2004 International Conference on Machine Learning and Cybernetics</v>
      </c>
      <c r="B14220" s="8" t="str">
        <f>"9780780384033"</f>
        <v>9780780384033</v>
      </c>
      <c r="C14220" s="8" t="s">
        <v>105</v>
      </c>
    </row>
    <row r="14221" spans="1:3" x14ac:dyDescent="0.25">
      <c r="A14221" s="8" t="str">
        <f>"Proceedings of 2004 International Conference on the Business of Electronic Product Reliability and Liability"</f>
        <v>Proceedings of 2004 International Conference on the Business of Electronic Product Reliability and Liability</v>
      </c>
      <c r="B14221" s="8" t="str">
        <f>"9780780383616"</f>
        <v>9780780383616</v>
      </c>
      <c r="C14221" s="8" t="s">
        <v>105</v>
      </c>
    </row>
    <row r="14222" spans="1:3" x14ac:dyDescent="0.25">
      <c r="A14222" s="8" t="str">
        <f>"Proceedings of 2004 International IEEE Conference on the Asian Green Electronics (AGEC)"</f>
        <v>Proceedings of 2004 International IEEE Conference on the Asian Green Electronics (AGEC)</v>
      </c>
      <c r="B14222" s="8" t="str">
        <f>"9780780382039"</f>
        <v>9780780382039</v>
      </c>
      <c r="C14222" s="8" t="s">
        <v>105</v>
      </c>
    </row>
    <row r="14223" spans="1:3" x14ac:dyDescent="0.25">
      <c r="A14223" s="8" t="str">
        <f>"Proceedings of 2004 International Symposium on Intelligent Signal Processing and Communication Systems, ISPACS 2004"</f>
        <v>Proceedings of 2004 International Symposium on Intelligent Signal Processing and Communication Systems, ISPACS 2004</v>
      </c>
      <c r="B14223" s="8" t="str">
        <f>"9780780386396"</f>
        <v>9780780386396</v>
      </c>
      <c r="C14223" s="8" t="s">
        <v>105</v>
      </c>
    </row>
    <row r="14224" spans="1:3" x14ac:dyDescent="0.25">
      <c r="A14224" s="8" t="str">
        <f>"Proceedings of 2005 4th IEEE International Conference on Development and Learning"</f>
        <v>Proceedings of 2005 4th IEEE International Conference on Development and Learning</v>
      </c>
      <c r="B14224" s="8" t="str">
        <f>"-"</f>
        <v>-</v>
      </c>
      <c r="C14224" s="8" t="s">
        <v>9</v>
      </c>
    </row>
    <row r="14225" spans="1:3" x14ac:dyDescent="0.25">
      <c r="A14225" s="8" t="str">
        <f>"Proceedings of 2005 5th IEEE-RAS International Conference on Humanoid Robots"</f>
        <v>Proceedings of 2005 5th IEEE-RAS International Conference on Humanoid Robots</v>
      </c>
      <c r="B14225" s="8" t="str">
        <f>"-"</f>
        <v>-</v>
      </c>
      <c r="C14225" s="8" t="s">
        <v>9</v>
      </c>
    </row>
    <row r="14226" spans="1:3" x14ac:dyDescent="0.25">
      <c r="A14226" s="8" t="str">
        <f>"Proceedings of 2005 7th International Conference on Transparent Optical Networks, ICTON 2005"</f>
        <v>Proceedings of 2005 7th International Conference on Transparent Optical Networks, ICTON 2005</v>
      </c>
      <c r="B14226" s="8" t="str">
        <f>"9780780392366"</f>
        <v>9780780392366</v>
      </c>
      <c r="C14226" s="8" t="s">
        <v>9</v>
      </c>
    </row>
    <row r="14227" spans="1:3" x14ac:dyDescent="0.25">
      <c r="A14227" s="8" t="str">
        <f>"Proceedings of 2005 ASME Fluids Engineering Division Summer Meeting, FEDSM2005"</f>
        <v>Proceedings of 2005 ASME Fluids Engineering Division Summer Meeting, FEDSM2005</v>
      </c>
      <c r="B14227" s="8" t="str">
        <f>"-"</f>
        <v>-</v>
      </c>
      <c r="C14227" s="8" t="s">
        <v>73</v>
      </c>
    </row>
    <row r="14228" spans="1:3" x14ac:dyDescent="0.25">
      <c r="A14228" s="8" t="str">
        <f>"Proceedings of 2005 IEEE International Conference on Natural Language Processing and Knowledge Engineering, IEEE NLP-KE'05"</f>
        <v>Proceedings of 2005 IEEE International Conference on Natural Language Processing and Knowledge Engineering, IEEE NLP-KE'05</v>
      </c>
      <c r="B14228" s="8" t="str">
        <f>"-"</f>
        <v>-</v>
      </c>
      <c r="C14228" s="8" t="s">
        <v>9</v>
      </c>
    </row>
    <row r="14229" spans="1:3" x14ac:dyDescent="0.25">
      <c r="A14229" s="8" t="str">
        <f>"Proceedings of 2005 International Conference on Construction and Real Estate Management - Challenge of Innovation in Construction and Real Estate"</f>
        <v>Proceedings of 2005 International Conference on Construction and Real Estate Management - Challenge of Innovation in Construction and Real Estate</v>
      </c>
      <c r="B14229" s="8" t="str">
        <f>"9787112078714"</f>
        <v>9787112078714</v>
      </c>
      <c r="C14229" s="8" t="s">
        <v>2100</v>
      </c>
    </row>
    <row r="14230" spans="1:3" x14ac:dyDescent="0.25">
      <c r="A14230" s="8" t="str">
        <f>"Proceedings of 2005 International Conference on Construction and Real Estate Management - Challenge of Innovation in Construction and Real Estate"</f>
        <v>Proceedings of 2005 International Conference on Construction and Real Estate Management - Challenge of Innovation in Construction and Real Estate</v>
      </c>
      <c r="B14230" s="8" t="str">
        <f>"9787112078714"</f>
        <v>9787112078714</v>
      </c>
    </row>
    <row r="14231" spans="1:3" x14ac:dyDescent="0.25">
      <c r="A14231" s="8" t="str">
        <f>"Proceedings of 2005 International Conference on Construction and Real Estate Management - Challenge of Innovation in Construction and Real Estate"</f>
        <v>Proceedings of 2005 International Conference on Construction and Real Estate Management - Challenge of Innovation in Construction and Real Estate</v>
      </c>
      <c r="B14231" s="8" t="str">
        <f>"9787112078714"</f>
        <v>9787112078714</v>
      </c>
    </row>
    <row r="14232" spans="1:3" x14ac:dyDescent="0.25">
      <c r="A14232" s="8" t="str">
        <f>"Proceedings of 2005 International Conference on Neural Networks and Brain Proceedings, ICNNB'05"</f>
        <v>Proceedings of 2005 International Conference on Neural Networks and Brain Proceedings, ICNNB'05</v>
      </c>
      <c r="B14232" s="8" t="str">
        <f>"9780780394223"</f>
        <v>9780780394223</v>
      </c>
      <c r="C14232" s="8" t="s">
        <v>9</v>
      </c>
    </row>
    <row r="14233" spans="1:3" x14ac:dyDescent="0.25">
      <c r="A14233" s="8" t="str">
        <f>"Proceedings of 2005 International Students and Young Scientists Workshop - Photonics and Microsystems"</f>
        <v>Proceedings of 2005 International Students and Young Scientists Workshop - Photonics and Microsystems</v>
      </c>
      <c r="B14233" s="8" t="str">
        <f>"-"</f>
        <v>-</v>
      </c>
      <c r="C14233" s="8" t="s">
        <v>9</v>
      </c>
    </row>
    <row r="14234" spans="1:3" x14ac:dyDescent="0.25">
      <c r="A14234" s="8" t="str">
        <f>"Proceedings of 2005 International Symposium on Intelligent Signal Processing and Communication Systems, ISPACS 2005"</f>
        <v>Proceedings of 2005 International Symposium on Intelligent Signal Processing and Communication Systems, ISPACS 2005</v>
      </c>
      <c r="B14234" s="8" t="str">
        <f>"-"</f>
        <v>-</v>
      </c>
      <c r="C14234" s="8" t="s">
        <v>9</v>
      </c>
    </row>
    <row r="14235" spans="1:3" x14ac:dyDescent="0.25">
      <c r="A14235" s="8" t="str">
        <f>"Proceedings of 2006 ASME International Mechanical Engineering Congress and Exposition, IMECE 2006 - Mechanical Engineering Education"</f>
        <v>Proceedings of 2006 ASME International Mechanical Engineering Congress and Exposition, IMECE 2006 - Mechanical Engineering Education</v>
      </c>
      <c r="B14235" s="8" t="str">
        <f t="shared" ref="B14235:B14246" si="30">"9780791837900"</f>
        <v>9780791837900</v>
      </c>
      <c r="C14235" s="8" t="s">
        <v>73</v>
      </c>
    </row>
    <row r="14236" spans="1:3" x14ac:dyDescent="0.25">
      <c r="A14236" s="8" t="str">
        <f>"Proceedings of 2006 ASME International Mechanical Engineering Congress and Exposition, IMECE 2006 - Mechanical Engineering Technology Department Heads"</f>
        <v>Proceedings of 2006 ASME International Mechanical Engineering Congress and Exposition, IMECE 2006 - Mechanical Engineering Technology Department Heads</v>
      </c>
      <c r="B14236" s="8" t="str">
        <f t="shared" si="30"/>
        <v>9780791837900</v>
      </c>
      <c r="C14236" s="8" t="s">
        <v>73</v>
      </c>
    </row>
    <row r="14237" spans="1:3" x14ac:dyDescent="0.25">
      <c r="A14237" s="8" t="str">
        <f>"Proceedings of 2006 ASME International Mechanical Engineering Congress and Exposition, IMECE 2006 - Multi-Scale Electrical and Mechanical Systems"</f>
        <v>Proceedings of 2006 ASME International Mechanical Engineering Congress and Exposition, IMECE 2006 - Multi-Scale Electrical and Mechanical Systems</v>
      </c>
      <c r="B14237" s="8" t="str">
        <f t="shared" si="30"/>
        <v>9780791837900</v>
      </c>
      <c r="C14237" s="8" t="s">
        <v>73</v>
      </c>
    </row>
    <row r="14238" spans="1:3" x14ac:dyDescent="0.25">
      <c r="A14238" s="8" t="str">
        <f>"Proceedings of 2006 ASME International Mechanical Engineering Congress and Exposition, IMECE 2006 - Nuclear Engineering"</f>
        <v>Proceedings of 2006 ASME International Mechanical Engineering Congress and Exposition, IMECE 2006 - Nuclear Engineering</v>
      </c>
      <c r="B14238" s="8" t="str">
        <f t="shared" si="30"/>
        <v>9780791837900</v>
      </c>
      <c r="C14238" s="8" t="s">
        <v>73</v>
      </c>
    </row>
    <row r="14239" spans="1:3" x14ac:dyDescent="0.25">
      <c r="A14239" s="8" t="str">
        <f>"Proceedings of 2006 ASME International Mechanical Engineering Congress and Exposition, IMECE 2006 - Plant Engineering and Maintenance"</f>
        <v>Proceedings of 2006 ASME International Mechanical Engineering Congress and Exposition, IMECE 2006 - Plant Engineering and Maintenance</v>
      </c>
      <c r="B14239" s="8" t="str">
        <f t="shared" si="30"/>
        <v>9780791837900</v>
      </c>
      <c r="C14239" s="8" t="s">
        <v>73</v>
      </c>
    </row>
    <row r="14240" spans="1:3" x14ac:dyDescent="0.25">
      <c r="A14240" s="8" t="str">
        <f>"Proceedings of 2006 ASME International Mechanical Engineering Congress and Exposition, IMECE 2006 - Process Industries"</f>
        <v>Proceedings of 2006 ASME International Mechanical Engineering Congress and Exposition, IMECE 2006 - Process Industries</v>
      </c>
      <c r="B14240" s="8" t="str">
        <f t="shared" si="30"/>
        <v>9780791837900</v>
      </c>
      <c r="C14240" s="8" t="s">
        <v>73</v>
      </c>
    </row>
    <row r="14241" spans="1:3" x14ac:dyDescent="0.25">
      <c r="A14241" s="8" t="str">
        <f>"Proceedings of 2006 ASME International Mechanical Engineering Congress and Exposition, IMECE 2006 - Solar Energy"</f>
        <v>Proceedings of 2006 ASME International Mechanical Engineering Congress and Exposition, IMECE 2006 - Solar Energy</v>
      </c>
      <c r="B14241" s="8" t="str">
        <f t="shared" si="30"/>
        <v>9780791837900</v>
      </c>
      <c r="C14241" s="8" t="s">
        <v>73</v>
      </c>
    </row>
    <row r="14242" spans="1:3" x14ac:dyDescent="0.25">
      <c r="A14242" s="8" t="str">
        <f>"Proceedings of 2006 ASME International Mechanical Engineering Congress and Exposition, IMECE 2006 - Transportation"</f>
        <v>Proceedings of 2006 ASME International Mechanical Engineering Congress and Exposition, IMECE 2006 - Transportation</v>
      </c>
      <c r="B14242" s="8" t="str">
        <f t="shared" si="30"/>
        <v>9780791837900</v>
      </c>
      <c r="C14242" s="8" t="s">
        <v>73</v>
      </c>
    </row>
    <row r="14243" spans="1:3" x14ac:dyDescent="0.25">
      <c r="A14243" s="8" t="str">
        <f>"Proceedings of 2006 ASME International Mechanical Engineering Congress and Exposition, IMECE2006 - Biomedical and Safety Systems"</f>
        <v>Proceedings of 2006 ASME International Mechanical Engineering Congress and Exposition, IMECE2006 - Biomedical and Safety Systems</v>
      </c>
      <c r="B14243" s="8" t="str">
        <f t="shared" si="30"/>
        <v>9780791837900</v>
      </c>
      <c r="C14243" s="8" t="s">
        <v>73</v>
      </c>
    </row>
    <row r="14244" spans="1:3" x14ac:dyDescent="0.25">
      <c r="A14244" s="8" t="str">
        <f>"Proceedings of 2006 ASME International Mechanical Engineering Congress and Exposition, IMECE2006 - Design and Manufacturing"</f>
        <v>Proceedings of 2006 ASME International Mechanical Engineering Congress and Exposition, IMECE2006 - Design and Manufacturing</v>
      </c>
      <c r="B14244" s="8" t="str">
        <f t="shared" si="30"/>
        <v>9780791837900</v>
      </c>
      <c r="C14244" s="8" t="s">
        <v>73</v>
      </c>
    </row>
    <row r="14245" spans="1:3" x14ac:dyDescent="0.25">
      <c r="A14245" s="8" t="str">
        <f>"Proceedings of 2006 ASME International Mechanical Engineering Congress and Exposition, IMECE2006 - Engineering Business Management"</f>
        <v>Proceedings of 2006 ASME International Mechanical Engineering Congress and Exposition, IMECE2006 - Engineering Business Management</v>
      </c>
      <c r="B14245" s="8" t="str">
        <f t="shared" si="30"/>
        <v>9780791837900</v>
      </c>
      <c r="C14245" s="8" t="s">
        <v>73</v>
      </c>
    </row>
    <row r="14246" spans="1:3" x14ac:dyDescent="0.25">
      <c r="A14246" s="8" t="str">
        <f>"Proceedings of 2006 ASME International Mechanical Engineering Congress and Exposition, IMECE2006 - Environmental Engineering"</f>
        <v>Proceedings of 2006 ASME International Mechanical Engineering Congress and Exposition, IMECE2006 - Environmental Engineering</v>
      </c>
      <c r="B14246" s="8" t="str">
        <f t="shared" si="30"/>
        <v>9780791837900</v>
      </c>
      <c r="C14246" s="8" t="s">
        <v>73</v>
      </c>
    </row>
    <row r="14247" spans="1:3" x14ac:dyDescent="0.25">
      <c r="A14247" s="8" t="str">
        <f>"Proceedings of 2006 IEEE Asia-Pacific Conference on Services Computing, APSCC"</f>
        <v>Proceedings of 2006 IEEE Asia-Pacific Conference on Services Computing, APSCC</v>
      </c>
      <c r="B14247" s="8" t="str">
        <f>"9780769527512"</f>
        <v>9780769527512</v>
      </c>
      <c r="C14247" s="8" t="s">
        <v>9</v>
      </c>
    </row>
    <row r="14248" spans="1:3" x14ac:dyDescent="0.25">
      <c r="A14248" s="8" t="str">
        <f>"Proceedings of 2006 IEEE International Conference on Computational Intelligence for Measurement Systems and Applications, CIMSA 2006"</f>
        <v>Proceedings of 2006 IEEE International Conference on Computational Intelligence for Measurement Systems and Applications, CIMSA 2006</v>
      </c>
      <c r="B14248" s="8" t="str">
        <f>"-"</f>
        <v>-</v>
      </c>
      <c r="C14248" s="8" t="s">
        <v>9</v>
      </c>
    </row>
    <row r="14249" spans="1:3" x14ac:dyDescent="0.25">
      <c r="A14249" s="8" t="str">
        <f>"Proceedings of 2006 IEEE International Conference on Virtual Environments, Human-Computer Interfaces and Measurement Systems, VECIMS 2006"</f>
        <v>Proceedings of 2006 IEEE International Conference on Virtual Environments, Human-Computer Interfaces and Measurement Systems, VECIMS 2006</v>
      </c>
      <c r="B14249" s="8" t="str">
        <f>"-"</f>
        <v>-</v>
      </c>
      <c r="C14249" s="8" t="s">
        <v>9</v>
      </c>
    </row>
    <row r="14250" spans="1:3" x14ac:dyDescent="0.25">
      <c r="A14250" s="8" t="str">
        <f>"Proceedings of 2006 International Conference on Construction and Real Estate Management - Collaboration and Development in Construction and Real Estate"</f>
        <v>Proceedings of 2006 International Conference on Construction and Real Estate Management - Collaboration and Development in Construction and Real Estate</v>
      </c>
      <c r="B14250" s="8" t="str">
        <f>"9787112086641"</f>
        <v>9787112086641</v>
      </c>
      <c r="C14250" s="8" t="s">
        <v>2100</v>
      </c>
    </row>
    <row r="14251" spans="1:3" x14ac:dyDescent="0.25">
      <c r="A14251" s="8" t="str">
        <f>"Proceedings of 2006 International Conference on Construction and Real Estate Management - Collaboration and Development in Construction and Real Estate"</f>
        <v>Proceedings of 2006 International Conference on Construction and Real Estate Management - Collaboration and Development in Construction and Real Estate</v>
      </c>
      <c r="B14251" s="8" t="str">
        <f>"9787112086641"</f>
        <v>9787112086641</v>
      </c>
    </row>
    <row r="14252" spans="1:3" x14ac:dyDescent="0.25">
      <c r="A14252" s="8" t="str">
        <f>"Proceedings of 2006 International Conference on Construction and Real Estate Management - Collaboration and Development in Construction and Real Estate"</f>
        <v>Proceedings of 2006 International Conference on Construction and Real Estate Management - Collaboration and Development in Construction and Real Estate</v>
      </c>
      <c r="B14252" s="8" t="str">
        <f>"9787112086641"</f>
        <v>9787112086641</v>
      </c>
    </row>
    <row r="14253" spans="1:3" x14ac:dyDescent="0.25">
      <c r="A14253" s="8" t="str">
        <f>"Proceedings of 2006 International Conference on Management Science and Engineering, ICMSE'06 (13th)"</f>
        <v>Proceedings of 2006 International Conference on Management Science and Engineering, ICMSE'06 (13th)</v>
      </c>
      <c r="B14253" s="8" t="str">
        <f>"9787560323558"</f>
        <v>9787560323558</v>
      </c>
      <c r="C14253" s="8" t="s">
        <v>105</v>
      </c>
    </row>
    <row r="14254" spans="1:3" x14ac:dyDescent="0.25">
      <c r="A14254" s="8" t="str">
        <f>"Proceedings of 2006 International Conference on Microtechnologies in Medicine and Biology"</f>
        <v>Proceedings of 2006 International Conference on Microtechnologies in Medicine and Biology</v>
      </c>
      <c r="B14254" s="8" t="str">
        <f>"9781424403387"</f>
        <v>9781424403387</v>
      </c>
      <c r="C14254" s="8" t="s">
        <v>9</v>
      </c>
    </row>
    <row r="14255" spans="1:3" x14ac:dyDescent="0.25">
      <c r="A14255" s="8" t="str">
        <f>"Proceedings of 2006 Multifunctional Nanocomposites International Conference"</f>
        <v>Proceedings of 2006 Multifunctional Nanocomposites International Conference</v>
      </c>
      <c r="B14255" s="8" t="str">
        <f>"-"</f>
        <v>-</v>
      </c>
      <c r="C14255" s="8" t="s">
        <v>1308</v>
      </c>
    </row>
    <row r="14256" spans="1:3" x14ac:dyDescent="0.25">
      <c r="A14256" s="8" t="str">
        <f>"Proceedings of 2007 10th IEEE International Conference on Computer Aided Design and Computer Graphics, CAD/Graphics 2007"</f>
        <v>Proceedings of 2007 10th IEEE International Conference on Computer Aided Design and Computer Graphics, CAD/Graphics 2007</v>
      </c>
      <c r="B14256" s="8" t="str">
        <f>"9781424415793"</f>
        <v>9781424415793</v>
      </c>
      <c r="C14256" s="8" t="s">
        <v>9</v>
      </c>
    </row>
    <row r="14257" spans="1:3" x14ac:dyDescent="0.25">
      <c r="A14257" s="8" t="str">
        <f>"Proceedings of 2007 9th International Conference on Transparent Optical Networks, ICTON 2007"</f>
        <v>Proceedings of 2007 9th International Conference on Transparent Optical Networks, ICTON 2007</v>
      </c>
      <c r="B14257" s="8" t="str">
        <f>"9781424412488"</f>
        <v>9781424412488</v>
      </c>
      <c r="C14257" s="8" t="s">
        <v>9</v>
      </c>
    </row>
    <row r="14258" spans="1:3" x14ac:dyDescent="0.25">
      <c r="A14258" s="8" t="str">
        <f>"Proceedings of 2007 ACM CoNEXT Conference - 3rd International Conference on Emerging Networking EXperiments and Technologies, CoNEXT"</f>
        <v>Proceedings of 2007 ACM CoNEXT Conference - 3rd International Conference on Emerging Networking EXperiments and Technologies, CoNEXT</v>
      </c>
      <c r="B14258" s="8" t="str">
        <f>"9781595937704"</f>
        <v>9781595937704</v>
      </c>
      <c r="C14258" s="8" t="s">
        <v>21</v>
      </c>
    </row>
    <row r="14259" spans="1:3" x14ac:dyDescent="0.25">
      <c r="A14259" s="8" t="str">
        <f>"Proceedings of 2007 IEEE International Conference on Grey Systems and Intelligent Services, GSIS 2007"</f>
        <v>Proceedings of 2007 IEEE International Conference on Grey Systems and Intelligent Services, GSIS 2007</v>
      </c>
      <c r="B14259" s="8" t="str">
        <f>"9781424412945"</f>
        <v>9781424412945</v>
      </c>
      <c r="C14259" s="8" t="s">
        <v>9</v>
      </c>
    </row>
    <row r="14260" spans="1:3" x14ac:dyDescent="0.25">
      <c r="A14260" s="8" t="str">
        <f>"Proceedings of 2007 International Conference on Construction and Real Estate Management"</f>
        <v>Proceedings of 2007 International Conference on Construction and Real Estate Management</v>
      </c>
      <c r="B14260" s="8" t="str">
        <f>"9787112093366"</f>
        <v>9787112093366</v>
      </c>
      <c r="C14260" s="8" t="s">
        <v>2100</v>
      </c>
    </row>
    <row r="14261" spans="1:3" x14ac:dyDescent="0.25">
      <c r="A14261" s="8" t="str">
        <f>"Proceedings of 2007 International Conference on Construction and Real Estate Management"</f>
        <v>Proceedings of 2007 International Conference on Construction and Real Estate Management</v>
      </c>
      <c r="B14261" s="8" t="str">
        <f>"9787112093366"</f>
        <v>9787112093366</v>
      </c>
    </row>
    <row r="14262" spans="1:3" x14ac:dyDescent="0.25">
      <c r="A14262" s="8" t="str">
        <f>"Proceedings of 2007 International Conference on Construction and Real Estate Management"</f>
        <v>Proceedings of 2007 International Conference on Construction and Real Estate Management</v>
      </c>
      <c r="B14262" s="8" t="str">
        <f>"9787112093366"</f>
        <v>9787112093366</v>
      </c>
    </row>
    <row r="14263" spans="1:3" x14ac:dyDescent="0.25">
      <c r="A14263" s="8" t="str">
        <f>"Proceedings of 2007 International Conference on Management Science and Engineering, ICMSE'07 (14th)"</f>
        <v>Proceedings of 2007 International Conference on Management Science and Engineering, ICMSE'07 (14th)</v>
      </c>
      <c r="B14263" s="8" t="str">
        <f>"9787883580805"</f>
        <v>9787883580805</v>
      </c>
      <c r="C14263" s="8" t="s">
        <v>105</v>
      </c>
    </row>
    <row r="14264" spans="1:3" x14ac:dyDescent="0.25">
      <c r="A14264" s="8" t="s">
        <v>2101</v>
      </c>
      <c r="B14264" s="8" t="str">
        <f>"9781424413133"</f>
        <v>9781424413133</v>
      </c>
      <c r="C14264" s="8" t="s">
        <v>9</v>
      </c>
    </row>
    <row r="14265" spans="1:3" x14ac:dyDescent="0.25">
      <c r="A14265" s="8" t="str">
        <f>"Proceedings of 2008 10th Anniversary International Conference on Transparent Optical Networks, ICTON"</f>
        <v>Proceedings of 2008 10th Anniversary International Conference on Transparent Optical Networks, ICTON</v>
      </c>
      <c r="B14265" s="8" t="str">
        <f>"9781424426256"</f>
        <v>9781424426256</v>
      </c>
      <c r="C14265" s="8" t="s">
        <v>9</v>
      </c>
    </row>
    <row r="14266" spans="1:3" x14ac:dyDescent="0.25">
      <c r="A14266" s="8" t="str">
        <f>"Proceedings of 2008 3rd International Conference on Intelligent System and Knowledge Engineering, ISKE 2008"</f>
        <v>Proceedings of 2008 3rd International Conference on Intelligent System and Knowledge Engineering, ISKE 2008</v>
      </c>
      <c r="B14266" s="8" t="str">
        <f>"9781424421978"</f>
        <v>9781424421978</v>
      </c>
      <c r="C14266" s="8" t="s">
        <v>9</v>
      </c>
    </row>
    <row r="14267" spans="1:3" x14ac:dyDescent="0.25">
      <c r="A14267" s="8" t="str">
        <f>"Proceedings of 2008 ACM CoNEXT Conference - 4th International Conference on Emerging Networking EXperiments and Technologies, CoNEXT '08"</f>
        <v>Proceedings of 2008 ACM CoNEXT Conference - 4th International Conference on Emerging Networking EXperiments and Technologies, CoNEXT '08</v>
      </c>
      <c r="B14267" s="8" t="str">
        <f>"9781605582108"</f>
        <v>9781605582108</v>
      </c>
      <c r="C14267" s="8" t="s">
        <v>21</v>
      </c>
    </row>
    <row r="14268" spans="1:3" x14ac:dyDescent="0.25">
      <c r="A14268" s="8" t="str">
        <f>"Proceedings of 2008 Asia Pacific Microwave Conference, APMC 2008"</f>
        <v>Proceedings of 2008 Asia Pacific Microwave Conference, APMC 2008</v>
      </c>
      <c r="B14268" s="8" t="str">
        <f>"9781424426423"</f>
        <v>9781424426423</v>
      </c>
      <c r="C14268" s="8" t="s">
        <v>9</v>
      </c>
    </row>
    <row r="14269" spans="1:3" x14ac:dyDescent="0.25">
      <c r="A14269" s="8" t="str">
        <f>"Proceedings of 2008 China-Japan Joint Microwave Conference, CJMW 2008"</f>
        <v>Proceedings of 2008 China-Japan Joint Microwave Conference, CJMW 2008</v>
      </c>
      <c r="B14269" s="8" t="str">
        <f>"9787811181630"</f>
        <v>9787811181630</v>
      </c>
      <c r="C14269" s="8" t="s">
        <v>9</v>
      </c>
    </row>
    <row r="14270" spans="1:3" x14ac:dyDescent="0.25">
      <c r="A14270" s="8" t="str">
        <f>"Proceedings of 2008 IEEE Asian Solid-State Circuits Conference, A-SSCC 2008"</f>
        <v>Proceedings of 2008 IEEE Asian Solid-State Circuits Conference, A-SSCC 2008</v>
      </c>
      <c r="B14270" s="8" t="str">
        <f>"9781424426058"</f>
        <v>9781424426058</v>
      </c>
      <c r="C14270" s="8" t="s">
        <v>9</v>
      </c>
    </row>
    <row r="14271" spans="1:3" x14ac:dyDescent="0.25">
      <c r="A14271" s="8" t="str">
        <f>"Proceedings of 2008 IEEE International Conference on Mechatronics and Automation, ICMA 2008"</f>
        <v>Proceedings of 2008 IEEE International Conference on Mechatronics and Automation, ICMA 2008</v>
      </c>
      <c r="B14271" s="8" t="str">
        <f>"9781424426324"</f>
        <v>9781424426324</v>
      </c>
      <c r="C14271" s="8" t="s">
        <v>9</v>
      </c>
    </row>
    <row r="14272" spans="1:3" x14ac:dyDescent="0.25">
      <c r="A14272" s="8" t="str">
        <f>"Proceedings of 2008 IEEE International Conference on Networking, Sensing and Control, ICNSC"</f>
        <v>Proceedings of 2008 IEEE International Conference on Networking, Sensing and Control, ICNSC</v>
      </c>
      <c r="B14272" s="8" t="str">
        <f>"9781424416851"</f>
        <v>9781424416851</v>
      </c>
      <c r="C14272" s="8" t="s">
        <v>9</v>
      </c>
    </row>
    <row r="14273" spans="1:3" x14ac:dyDescent="0.25">
      <c r="A14273" s="8" t="str">
        <f>"Proceedings of 2008 IEEE International Conference on Service Operations and Logistics, and Informatics, IEEE/SOLI 2008"</f>
        <v>Proceedings of 2008 IEEE International Conference on Service Operations and Logistics, and Informatics, IEEE/SOLI 2008</v>
      </c>
      <c r="B14273" s="8" t="str">
        <f>"9781424420131"</f>
        <v>9781424420131</v>
      </c>
      <c r="C14273" s="8" t="s">
        <v>9</v>
      </c>
    </row>
    <row r="14274" spans="1:3" x14ac:dyDescent="0.25">
      <c r="A14274" s="8" t="str">
        <f>"Proceedings of 2008 IEEE International Symposium on IT in Medicine and Education, ITME 2008"</f>
        <v>Proceedings of 2008 IEEE International Symposium on IT in Medicine and Education, ITME 2008</v>
      </c>
      <c r="B14274" s="8" t="str">
        <f>"9781424423262"</f>
        <v>9781424423262</v>
      </c>
      <c r="C14274" s="8" t="s">
        <v>9</v>
      </c>
    </row>
    <row r="14275" spans="1:3" x14ac:dyDescent="0.25">
      <c r="A14275" s="8" t="str">
        <f>"Proceedings of 2008 International Conference on Condition Monitoring and Diagnosis, CMD 2008"</f>
        <v>Proceedings of 2008 International Conference on Condition Monitoring and Diagnosis, CMD 2008</v>
      </c>
      <c r="B14275" s="8" t="str">
        <f>"9781424416219"</f>
        <v>9781424416219</v>
      </c>
      <c r="C14275" s="8" t="s">
        <v>9</v>
      </c>
    </row>
    <row r="14276" spans="1:3" x14ac:dyDescent="0.25">
      <c r="A14276" s="8" t="str">
        <f>"Proceedings of 2009 14th National Biomedical Engineering Meeting, BIYOMUT 2009"</f>
        <v>Proceedings of 2009 14th National Biomedical Engineering Meeting, BIYOMUT 2009</v>
      </c>
      <c r="B14276" s="8" t="str">
        <f>"9781424436064"</f>
        <v>9781424436064</v>
      </c>
      <c r="C14276" s="8" t="s">
        <v>9</v>
      </c>
    </row>
    <row r="14277" spans="1:3" x14ac:dyDescent="0.25">
      <c r="A14277" s="8" t="str">
        <f>"Proceedings of 2009 2nd IEEE International Conference on Broadband Network and Multimedia Technology, IEEE IC-BNMT2009"</f>
        <v>Proceedings of 2009 2nd IEEE International Conference on Broadband Network and Multimedia Technology, IEEE IC-BNMT2009</v>
      </c>
      <c r="B14277" s="8" t="str">
        <f>"9781424450053"</f>
        <v>9781424450053</v>
      </c>
      <c r="C14277" s="8" t="s">
        <v>9</v>
      </c>
    </row>
    <row r="14278" spans="1:3" x14ac:dyDescent="0.25">
      <c r="A14278" s="8" t="str">
        <f>"Proceedings of 2009 2nd International Workshop on Nonlinear Dynamics and Synchronization, INDS 2009"</f>
        <v>Proceedings of 2009 2nd International Workshop on Nonlinear Dynamics and Synchronization, INDS 2009</v>
      </c>
      <c r="B14278" s="8" t="str">
        <f>"9783832279431"</f>
        <v>9783832279431</v>
      </c>
      <c r="C14278" s="8" t="s">
        <v>9</v>
      </c>
    </row>
    <row r="14279" spans="1:3" x14ac:dyDescent="0.25">
      <c r="A14279" s="8" t="str">
        <f>"Proceedings of 2009 4th International Conference on Computer Science and Education, ICCSE 2009"</f>
        <v>Proceedings of 2009 4th International Conference on Computer Science and Education, ICCSE 2009</v>
      </c>
      <c r="B14279" s="8" t="str">
        <f>"9781424435210"</f>
        <v>9781424435210</v>
      </c>
      <c r="C14279" s="8" t="s">
        <v>9</v>
      </c>
    </row>
    <row r="14280" spans="1:3" x14ac:dyDescent="0.25">
      <c r="A14280" s="8" t="str">
        <f>"Proceedings of 2009 4th International Conference on Dependability of Computer Systems, DepCos-RELCOMEX 2009"</f>
        <v>Proceedings of 2009 4th International Conference on Dependability of Computer Systems, DepCos-RELCOMEX 2009</v>
      </c>
      <c r="B14280" s="8" t="str">
        <f>"9780769536743"</f>
        <v>9780769536743</v>
      </c>
      <c r="C14280" s="8" t="s">
        <v>9</v>
      </c>
    </row>
    <row r="14281" spans="1:3" x14ac:dyDescent="0.25">
      <c r="A14281" s="8" t="str">
        <f>"Proceedings of 2009 5th International Colloquium on Signal Processing and Its Applications, CSPA 2009"</f>
        <v>Proceedings of 2009 5th International Colloquium on Signal Processing and Its Applications, CSPA 2009</v>
      </c>
      <c r="B14281" s="8" t="str">
        <f>"9781424441501"</f>
        <v>9781424441501</v>
      </c>
      <c r="C14281" s="8" t="s">
        <v>9</v>
      </c>
    </row>
    <row r="14282" spans="1:3" x14ac:dyDescent="0.25">
      <c r="A14282" s="8" t="str">
        <f>"Proceedings of 2009 7th Asian Control Conference, ASCC 2009"</f>
        <v>Proceedings of 2009 7th Asian Control Conference, ASCC 2009</v>
      </c>
      <c r="B14282" s="8" t="str">
        <f>"9788995605691"</f>
        <v>9788995605691</v>
      </c>
      <c r="C14282" s="8" t="s">
        <v>9</v>
      </c>
    </row>
    <row r="14283" spans="1:3" x14ac:dyDescent="0.25">
      <c r="A14283" s="8" t="str">
        <f>"Proceedings of 2009 8th International Conference on Reliability, Maintainability and Safety, ICRMS 2009"</f>
        <v>Proceedings of 2009 8th International Conference on Reliability, Maintainability and Safety, ICRMS 2009</v>
      </c>
      <c r="B14283" s="8" t="str">
        <f>"9781424449057"</f>
        <v>9781424449057</v>
      </c>
      <c r="C14283" s="8" t="s">
        <v>9</v>
      </c>
    </row>
    <row r="14284" spans="1:3" x14ac:dyDescent="0.25">
      <c r="A14284" s="8" t="str">
        <f>"Proceedings of 2009 IEEE Conference on the History of Technical Societies"</f>
        <v>Proceedings of 2009 IEEE Conference on the History of Technical Societies</v>
      </c>
      <c r="B14284" s="8" t="str">
        <f>"9781424451197"</f>
        <v>9781424451197</v>
      </c>
      <c r="C14284" s="8" t="s">
        <v>9</v>
      </c>
    </row>
    <row r="14285" spans="1:3" x14ac:dyDescent="0.25">
      <c r="A14285" s="8" t="str">
        <f>"Proceedings of 2009 IEEE International Conference on Communications Technology and Applications, IEEE ICCTA2009"</f>
        <v>Proceedings of 2009 IEEE International Conference on Communications Technology and Applications, IEEE ICCTA2009</v>
      </c>
      <c r="B14285" s="8" t="str">
        <f>"9781424448203"</f>
        <v>9781424448203</v>
      </c>
      <c r="C14285" s="8" t="s">
        <v>9</v>
      </c>
    </row>
    <row r="14286" spans="1:3" x14ac:dyDescent="0.25">
      <c r="A14286" s="8" t="str">
        <f>"Proceedings of 2009 IEEE International Conference on Electro/Information Technology, EIT 2009"</f>
        <v>Proceedings of 2009 IEEE International Conference on Electro/Information Technology, EIT 2009</v>
      </c>
      <c r="B14286" s="8" t="str">
        <f>"9781424433551"</f>
        <v>9781424433551</v>
      </c>
      <c r="C14286" s="8" t="s">
        <v>9</v>
      </c>
    </row>
    <row r="14287" spans="1:3" x14ac:dyDescent="0.25">
      <c r="A14287" s="8" t="str">
        <f>"Proceedings of 2009 IEEE International Conference on Network Infrastructure and Digital Content, IEEE IC-NIDC2009"</f>
        <v>Proceedings of 2009 IEEE International Conference on Network Infrastructure and Digital Content, IEEE IC-NIDC2009</v>
      </c>
      <c r="B14287" s="8" t="str">
        <f>"9781424448982"</f>
        <v>9781424448982</v>
      </c>
      <c r="C14287" s="8" t="s">
        <v>9</v>
      </c>
    </row>
    <row r="14288" spans="1:3" x14ac:dyDescent="0.25">
      <c r="A14288" s="8" t="str">
        <f>"Proceedings of 2009 International Conference on Image Analysis and Signal Processing, IASP 2009"</f>
        <v>Proceedings of 2009 International Conference on Image Analysis and Signal Processing, IASP 2009</v>
      </c>
      <c r="B14288" s="8" t="str">
        <f>"9781424439867"</f>
        <v>9781424439867</v>
      </c>
      <c r="C14288" s="8" t="s">
        <v>9</v>
      </c>
    </row>
    <row r="14289" spans="1:3" x14ac:dyDescent="0.25">
      <c r="A14289" s="8" t="str">
        <f>"Proceedings of 2010 13th International Conference on Computer and Information Technology, ICCIT 2010"</f>
        <v>Proceedings of 2010 13th International Conference on Computer and Information Technology, ICCIT 2010</v>
      </c>
      <c r="B14289" s="8" t="str">
        <f>"9781424484973"</f>
        <v>9781424484973</v>
      </c>
      <c r="C14289" s="8" t="s">
        <v>9</v>
      </c>
    </row>
    <row r="14290" spans="1:3" x14ac:dyDescent="0.25">
      <c r="A14290" s="8" t="str">
        <f>"Proceedings of 2010 14th International Telecommunications Network Strategy and Planning Symposium, Networks 2010"</f>
        <v>Proceedings of 2010 14th International Telecommunications Network Strategy and Planning Symposium, Networks 2010</v>
      </c>
      <c r="B14290" s="8" t="str">
        <f>"9781424467051"</f>
        <v>9781424467051</v>
      </c>
      <c r="C14290" s="8" t="s">
        <v>9</v>
      </c>
    </row>
    <row r="14291" spans="1:3" x14ac:dyDescent="0.25">
      <c r="A14291" s="8" t="str">
        <f>"Proceedings of 2010 Asia-Pacific International Symposium on Aerospace Technology, APISAT 2010"</f>
        <v>Proceedings of 2010 Asia-Pacific International Symposium on Aerospace Technology, APISAT 2010</v>
      </c>
      <c r="B14291" s="8" t="str">
        <f>"9787561228999"</f>
        <v>9787561228999</v>
      </c>
      <c r="C14291" s="8" t="s">
        <v>1169</v>
      </c>
    </row>
    <row r="14292" spans="1:3" x14ac:dyDescent="0.25">
      <c r="A14292" s="8" t="str">
        <f>"Proceedings of 2010 IEEE EMBS Conference on Biomedical Engineering and Sciences, IECBES 2010"</f>
        <v>Proceedings of 2010 IEEE EMBS Conference on Biomedical Engineering and Sciences, IECBES 2010</v>
      </c>
      <c r="B14292" s="8" t="str">
        <f>"9781424476008"</f>
        <v>9781424476008</v>
      </c>
      <c r="C14292" s="8" t="s">
        <v>9</v>
      </c>
    </row>
    <row r="14293" spans="1:3" x14ac:dyDescent="0.25">
      <c r="A14293" s="8" t="str">
        <f>"Proceedings of 2010 IEEE International Conference on Intelligent Systems and Knowledge Engineering, ISKE 2010"</f>
        <v>Proceedings of 2010 IEEE International Conference on Intelligent Systems and Knowledge Engineering, ISKE 2010</v>
      </c>
      <c r="B14293" s="8" t="str">
        <f>"9781424467907"</f>
        <v>9781424467907</v>
      </c>
      <c r="C14293" s="8" t="s">
        <v>9</v>
      </c>
    </row>
    <row r="14294" spans="1:3" x14ac:dyDescent="0.25">
      <c r="A14294" s="8" t="str">
        <f>"Proceedings of 2010 IEEE International Conference on RFID-Technology and Applications, RFID-TA 2010"</f>
        <v>Proceedings of 2010 IEEE International Conference on RFID-Technology and Applications, RFID-TA 2010</v>
      </c>
      <c r="B14294" s="8" t="str">
        <f>"9781424467006"</f>
        <v>9781424467006</v>
      </c>
      <c r="C14294" s="8" t="s">
        <v>9</v>
      </c>
    </row>
    <row r="14295" spans="1:3" x14ac:dyDescent="0.25">
      <c r="A14295" s="8" t="str">
        <f>"Proceedings of 2010 IEEE International Conference on Service Operations and Logistics, and Informatics, SOLI 2010"</f>
        <v>Proceedings of 2010 IEEE International Conference on Service Operations and Logistics, and Informatics, SOLI 2010</v>
      </c>
      <c r="B14295" s="8" t="str">
        <f>"9781424471188"</f>
        <v>9781424471188</v>
      </c>
      <c r="C14295" s="8" t="s">
        <v>9</v>
      </c>
    </row>
    <row r="14296" spans="1:3" x14ac:dyDescent="0.25">
      <c r="A14296" s="8" t="str">
        <f>"Proceedings of 2010 IEEE International Conference on Vehicular Electronics and Safety, ICVES 2010"</f>
        <v>Proceedings of 2010 IEEE International Conference on Vehicular Electronics and Safety, ICVES 2010</v>
      </c>
      <c r="B14296" s="8" t="str">
        <f>"9781424471249"</f>
        <v>9781424471249</v>
      </c>
      <c r="C14296" s="8" t="s">
        <v>9</v>
      </c>
    </row>
    <row r="14297" spans="1:3" x14ac:dyDescent="0.25">
      <c r="A14297" s="8" t="str">
        <f>"Proceedings of 2010 IEEE/ASME International Conference on Mechatronic and Embedded Systems and Applications, MESA 2010"</f>
        <v>Proceedings of 2010 IEEE/ASME International Conference on Mechatronic and Embedded Systems and Applications, MESA 2010</v>
      </c>
      <c r="B14297" s="8" t="str">
        <f>"9781424471010"</f>
        <v>9781424471010</v>
      </c>
      <c r="C14297" s="8" t="s">
        <v>9</v>
      </c>
    </row>
    <row r="14298" spans="1:3" x14ac:dyDescent="0.25">
      <c r="A14298" s="8" t="str">
        <f>"Proceedings of 2010 International Conference on Communication and Computational Intelligence, INCOCCI-2010"</f>
        <v>Proceedings of 2010 International Conference on Communication and Computational Intelligence, INCOCCI-2010</v>
      </c>
      <c r="B14298" s="8" t="str">
        <f>"9788183713696"</f>
        <v>9788183713696</v>
      </c>
      <c r="C14298" s="8" t="s">
        <v>9</v>
      </c>
    </row>
    <row r="14299" spans="1:3" x14ac:dyDescent="0.25">
      <c r="A14299" s="8" t="str">
        <f>"Proceedings of 2010 International Conference on Intelligent Control and Information Processing, ICICIP 2010"</f>
        <v>Proceedings of 2010 International Conference on Intelligent Control and Information Processing, ICICIP 2010</v>
      </c>
      <c r="B14299" s="8" t="str">
        <f>"9781424470488"</f>
        <v>9781424470488</v>
      </c>
      <c r="C14299" s="8" t="s">
        <v>9</v>
      </c>
    </row>
    <row r="14300" spans="1:3" x14ac:dyDescent="0.25">
      <c r="A14300" s="8" t="str">
        <f>"Proceedings of 2010 International Conference on Methods and Models in Computer Science, ICM2CS-2010"</f>
        <v>Proceedings of 2010 International Conference on Methods and Models in Computer Science, ICM2CS-2010</v>
      </c>
      <c r="B14300" s="8" t="str">
        <f>"9781424497034"</f>
        <v>9781424497034</v>
      </c>
      <c r="C14300" s="8" t="s">
        <v>9</v>
      </c>
    </row>
    <row r="14301" spans="1:3" x14ac:dyDescent="0.25">
      <c r="A14301" s="8" t="s">
        <v>2102</v>
      </c>
      <c r="B14301" s="8" t="str">
        <f>"9781424483211"</f>
        <v>9781424483211</v>
      </c>
      <c r="C14301" s="8" t="s">
        <v>9</v>
      </c>
    </row>
    <row r="14302" spans="1:3" x14ac:dyDescent="0.25">
      <c r="A14302" s="8" t="str">
        <f>"Proceedings of 2010 International Symposium on VLSI Design, Automation and Test, VLSI-DAT 2010"</f>
        <v>Proceedings of 2010 International Symposium on VLSI Design, Automation and Test, VLSI-DAT 2010</v>
      </c>
      <c r="B14302" s="8" t="str">
        <f>"9781424452712"</f>
        <v>9781424452712</v>
      </c>
      <c r="C14302" s="8" t="s">
        <v>9</v>
      </c>
    </row>
    <row r="14303" spans="1:3" x14ac:dyDescent="0.25">
      <c r="A14303" s="8" t="str">
        <f>"Proceedings of 2010 International Symposium on VLSI Technology, System and Application, VLSI-TSA 2010"</f>
        <v>Proceedings of 2010 International Symposium on VLSI Technology, System and Application, VLSI-TSA 2010</v>
      </c>
      <c r="B14303" s="8" t="str">
        <f>"9781424450633"</f>
        <v>9781424450633</v>
      </c>
      <c r="C14303" s="8" t="s">
        <v>9</v>
      </c>
    </row>
    <row r="14304" spans="1:3" x14ac:dyDescent="0.25">
      <c r="A14304" s="8" t="str">
        <f>"Proceedings of 2010 World Non-Grid-Connected Wind Power and Energy Conference, WNWEC 2010"</f>
        <v>Proceedings of 2010 World Non-Grid-Connected Wind Power and Energy Conference, WNWEC 2010</v>
      </c>
      <c r="B14304" s="8" t="str">
        <f>"9781424489213"</f>
        <v>9781424489213</v>
      </c>
      <c r="C14304" s="8" t="s">
        <v>9</v>
      </c>
    </row>
    <row r="14305" spans="1:3" x14ac:dyDescent="0.25">
      <c r="A14305" s="8" t="str">
        <f>"Proceedings of 2011 17th International Conference on Automation and Computing, ICAC 2011"</f>
        <v>Proceedings of 2011 17th International Conference on Automation and Computing, ICAC 2011</v>
      </c>
      <c r="B14305" s="8" t="str">
        <f>"9781467300001"</f>
        <v>9781467300001</v>
      </c>
      <c r="C14305" s="8" t="s">
        <v>9</v>
      </c>
    </row>
    <row r="14306" spans="1:3" x14ac:dyDescent="0.25">
      <c r="A14306" s="8" t="str">
        <f>"Proceedings of 2011 1st International Symposium on Access Spaces, ISAS 2011"</f>
        <v>Proceedings of 2011 1st International Symposium on Access Spaces, ISAS 2011</v>
      </c>
      <c r="B14306" s="8" t="str">
        <f>"9781457707179"</f>
        <v>9781457707179</v>
      </c>
      <c r="C14306" s="8" t="s">
        <v>9</v>
      </c>
    </row>
    <row r="14307" spans="1:3" x14ac:dyDescent="0.25">
      <c r="A14307" s="8" t="str">
        <f>"Proceedings of 2011 2nd International Conference on Instrumentation Control and Automation, ICA 2011"</f>
        <v>Proceedings of 2011 2nd International Conference on Instrumentation Control and Automation, ICA 2011</v>
      </c>
      <c r="B14307" s="8" t="str">
        <f>"9781457714603"</f>
        <v>9781457714603</v>
      </c>
      <c r="C14307" s="8" t="s">
        <v>9</v>
      </c>
    </row>
    <row r="14308" spans="1:3" x14ac:dyDescent="0.25">
      <c r="A14308" s="8" t="str">
        <f>"Proceedings of 2011 3rd International Conference on Awareness Science and Technology, iCAST 2011"</f>
        <v>Proceedings of 2011 3rd International Conference on Awareness Science and Technology, iCAST 2011</v>
      </c>
      <c r="B14308" s="8" t="str">
        <f>"9781457708879"</f>
        <v>9781457708879</v>
      </c>
      <c r="C14308" s="8" t="s">
        <v>9</v>
      </c>
    </row>
    <row r="14309" spans="1:3" x14ac:dyDescent="0.25">
      <c r="A14309" s="8" t="str">
        <f>"Proceedings of 2011 4th Joint IFIP Wireless and Mobile Networking Conference, WMNC 2011"</f>
        <v>Proceedings of 2011 4th Joint IFIP Wireless and Mobile Networking Conference, WMNC 2011</v>
      </c>
      <c r="B14309" s="8" t="str">
        <f>"9781457711930"</f>
        <v>9781457711930</v>
      </c>
      <c r="C14309" s="8" t="s">
        <v>9</v>
      </c>
    </row>
    <row r="14310" spans="1:3" x14ac:dyDescent="0.25">
      <c r="A14310" s="8" t="str">
        <f>"Proceedings of 2011 6th International Conference on System of Systems Engineering: SoSE in Cloud Computing, Smart Grid, and Cyber Security, SoSE 2011"</f>
        <v>Proceedings of 2011 6th International Conference on System of Systems Engineering: SoSE in Cloud Computing, Smart Grid, and Cyber Security, SoSE 2011</v>
      </c>
      <c r="B14310" s="8" t="str">
        <f>"9781612847825"</f>
        <v>9781612847825</v>
      </c>
      <c r="C14310" s="8" t="s">
        <v>9</v>
      </c>
    </row>
    <row r="14311" spans="1:3" x14ac:dyDescent="0.25">
      <c r="A14311" s="8" t="str">
        <f>"Proceedings of 2011 6th International Conference on Telecommunication Systems, Services, and Applications, TSSA 2011"</f>
        <v>Proceedings of 2011 6th International Conference on Telecommunication Systems, Services, and Applications, TSSA 2011</v>
      </c>
      <c r="B14311" s="8" t="str">
        <f>"9781457714429"</f>
        <v>9781457714429</v>
      </c>
      <c r="C14311" s="8" t="s">
        <v>9</v>
      </c>
    </row>
    <row r="14312" spans="1:3" x14ac:dyDescent="0.25">
      <c r="A14312" s="8" t="str">
        <f>"Proceedings of 2011 Cross Strait Quad-Regional Radio Science and Wireless Technology Conference, CSQRWC 2011"</f>
        <v>Proceedings of 2011 Cross Strait Quad-Regional Radio Science and Wireless Technology Conference, CSQRWC 2011</v>
      </c>
      <c r="B14312" s="8" t="str">
        <f>"9781424497904"</f>
        <v>9781424497904</v>
      </c>
      <c r="C14312" s="8" t="s">
        <v>9</v>
      </c>
    </row>
    <row r="14313" spans="1:3" x14ac:dyDescent="0.25">
      <c r="A14313" s="8" t="str">
        <f>"Proceedings of 2011 IEEE CIE International Conference on Radar, RADAR 2011"</f>
        <v>Proceedings of 2011 IEEE CIE International Conference on Radar, RADAR 2011</v>
      </c>
      <c r="B14313" s="8" t="str">
        <f>"9781424484416"</f>
        <v>9781424484416</v>
      </c>
      <c r="C14313" s="8" t="s">
        <v>9</v>
      </c>
    </row>
    <row r="14314" spans="1:3" x14ac:dyDescent="0.25">
      <c r="A14314" s="8" t="str">
        <f>"Proceedings of 2011 IEEE International Conference on Grey Systems and Intelligent Services, GSIS'11 - Joint with the 15th WOSC International Congress on Cybernetics and Systems"</f>
        <v>Proceedings of 2011 IEEE International Conference on Grey Systems and Intelligent Services, GSIS'11 - Joint with the 15th WOSC International Congress on Cybernetics and Systems</v>
      </c>
      <c r="B14314" s="8" t="str">
        <f>"9781612844886"</f>
        <v>9781612844886</v>
      </c>
      <c r="C14314" s="8" t="s">
        <v>9</v>
      </c>
    </row>
    <row r="14315" spans="1:3" x14ac:dyDescent="0.25">
      <c r="A14315" s="8" t="str">
        <f>"Proceedings of 2011 IEEE International Conference on Intelligence and Security Informatics, ISI 2011"</f>
        <v>Proceedings of 2011 IEEE International Conference on Intelligence and Security Informatics, ISI 2011</v>
      </c>
      <c r="B14315" s="8" t="str">
        <f>"9781457700828"</f>
        <v>9781457700828</v>
      </c>
      <c r="C14315" s="8" t="s">
        <v>9</v>
      </c>
    </row>
    <row r="14316" spans="1:3" x14ac:dyDescent="0.25">
      <c r="A14316" s="8" t="str">
        <f>"Proceedings of 2011 IEEE International Conference on Service Operations, Logistics and Informatics, SOLI 2011"</f>
        <v>Proceedings of 2011 IEEE International Conference on Service Operations, Logistics and Informatics, SOLI 2011</v>
      </c>
      <c r="B14316" s="8" t="str">
        <f>"9781457705731"</f>
        <v>9781457705731</v>
      </c>
      <c r="C14316" s="8" t="s">
        <v>9</v>
      </c>
    </row>
    <row r="14317" spans="1:3" x14ac:dyDescent="0.25">
      <c r="A14317" s="8" t="str">
        <f>"Proceedings of 2011 IEEE International Conference on Vehicular Electronics and Safety, ICVES 2011"</f>
        <v>Proceedings of 2011 IEEE International Conference on Vehicular Electronics and Safety, ICVES 2011</v>
      </c>
      <c r="B14317" s="8" t="str">
        <f>"9781457705762"</f>
        <v>9781457705762</v>
      </c>
      <c r="C14317" s="8" t="s">
        <v>9</v>
      </c>
    </row>
    <row r="14318" spans="1:3" x14ac:dyDescent="0.25">
      <c r="A14318" s="8" t="str">
        <f>"Proceedings of 2011 International Conference on Computer Science and Network Technology, ICCSNT 2011"</f>
        <v>Proceedings of 2011 International Conference on Computer Science and Network Technology, ICCSNT 2011</v>
      </c>
      <c r="B14318" s="8" t="str">
        <f>"9781457715846"</f>
        <v>9781457715846</v>
      </c>
      <c r="C14318" s="8" t="s">
        <v>9</v>
      </c>
    </row>
    <row r="14319" spans="1:3" x14ac:dyDescent="0.25">
      <c r="A14319" s="8" t="str">
        <f>"Proceedings of 2011 International Conference on Electronic and Mechanical Engineering and Information Technology, EMEIT 2011"</f>
        <v>Proceedings of 2011 International Conference on Electronic and Mechanical Engineering and Information Technology, EMEIT 2011</v>
      </c>
      <c r="B14319" s="8" t="str">
        <f>"9781612840857"</f>
        <v>9781612840857</v>
      </c>
      <c r="C14319" s="8" t="s">
        <v>9</v>
      </c>
    </row>
    <row r="14320" spans="1:3" x14ac:dyDescent="0.25">
      <c r="A14320" s="8" t="str">
        <f>"Proceedings of 2011 International Conference on Emerging Trends in Networks and Computer Communications, ETNCC2011"</f>
        <v>Proceedings of 2011 International Conference on Emerging Trends in Networks and Computer Communications, ETNCC2011</v>
      </c>
      <c r="B14320" s="8" t="str">
        <f>"9781424467938"</f>
        <v>9781424467938</v>
      </c>
      <c r="C14320" s="8" t="s">
        <v>9</v>
      </c>
    </row>
    <row r="14321" spans="1:3" x14ac:dyDescent="0.25">
      <c r="A14321" s="8" t="str">
        <f>"Proceedings of 2011 International Conference on Fluid Power and Mechatronics, FPM 2011"</f>
        <v>Proceedings of 2011 International Conference on Fluid Power and Mechatronics, FPM 2011</v>
      </c>
      <c r="B14321" s="8" t="str">
        <f>"9781424484522"</f>
        <v>9781424484522</v>
      </c>
      <c r="C14321" s="8" t="s">
        <v>9</v>
      </c>
    </row>
    <row r="14322" spans="1:3" x14ac:dyDescent="0.25">
      <c r="A14322" s="8" t="str">
        <f>"Proceedings of 2011 International Conference on Image Analysis and Signal Processing, IASP 2011"</f>
        <v>Proceedings of 2011 International Conference on Image Analysis and Signal Processing, IASP 2011</v>
      </c>
      <c r="B14322" s="8" t="str">
        <f>"9781612848808"</f>
        <v>9781612848808</v>
      </c>
      <c r="C14322" s="8" t="s">
        <v>9</v>
      </c>
    </row>
    <row r="14323" spans="1:3" x14ac:dyDescent="0.25">
      <c r="A14323" s="8" t="str">
        <f>"Proceedings of 2011 International Conference on Modelling, Identification and Control, ICMIC 2011"</f>
        <v>Proceedings of 2011 International Conference on Modelling, Identification and Control, ICMIC 2011</v>
      </c>
      <c r="B14323" s="8" t="str">
        <f>"9780956715708"</f>
        <v>9780956715708</v>
      </c>
      <c r="C14323" s="8" t="s">
        <v>9</v>
      </c>
    </row>
    <row r="14324" spans="1:3" x14ac:dyDescent="0.25">
      <c r="A14324" s="8" t="str">
        <f>"Proceedings of 2011 International Conference on Process Automation, Control and Computing, PACC 2011"</f>
        <v>Proceedings of 2011 International Conference on Process Automation, Control and Computing, PACC 2011</v>
      </c>
      <c r="B14324" s="8" t="str">
        <f>"9781612847641"</f>
        <v>9781612847641</v>
      </c>
      <c r="C14324" s="8" t="s">
        <v>9</v>
      </c>
    </row>
    <row r="14325" spans="1:3" x14ac:dyDescent="0.25">
      <c r="A14325" s="8" t="str">
        <f>"Proceedings of 2011 International Conference on Product Innovation Management, ICPIM 2011"</f>
        <v>Proceedings of 2011 International Conference on Product Innovation Management, ICPIM 2011</v>
      </c>
      <c r="B14325" s="8" t="str">
        <f>"9781457703584"</f>
        <v>9781457703584</v>
      </c>
      <c r="C14325" s="8" t="s">
        <v>9</v>
      </c>
    </row>
    <row r="14326" spans="1:3" x14ac:dyDescent="0.25">
      <c r="A14326" s="8" t="str">
        <f>"Proceedings of 2011 International Symposium on Bioelectronics and Bioinformatics, ISBB 2011"</f>
        <v>Proceedings of 2011 International Symposium on Bioelectronics and Bioinformatics, ISBB 2011</v>
      </c>
      <c r="B14326" s="8" t="str">
        <f>"9781457700774"</f>
        <v>9781457700774</v>
      </c>
      <c r="C14326" s="8" t="s">
        <v>9</v>
      </c>
    </row>
    <row r="14327" spans="1:3" x14ac:dyDescent="0.25">
      <c r="A14327" s="8" t="str">
        <f>"Proceedings of 2011 International Symposium on VLSI Design, Automation and Test, VLSI-DAT 2011"</f>
        <v>Proceedings of 2011 International Symposium on VLSI Design, Automation and Test, VLSI-DAT 2011</v>
      </c>
      <c r="B14327" s="8" t="str">
        <f>"9781424484997"</f>
        <v>9781424484997</v>
      </c>
      <c r="C14327" s="8" t="s">
        <v>9</v>
      </c>
    </row>
    <row r="14328" spans="1:3" x14ac:dyDescent="0.25">
      <c r="A14328" s="8" t="str">
        <f>"Proceedings of 2011 SC - International Conference for High Performance Computing, Networking, Storage and Analysis"</f>
        <v>Proceedings of 2011 SC - International Conference for High Performance Computing, Networking, Storage and Analysis</v>
      </c>
      <c r="B14328" s="8" t="str">
        <f>"9781450307710"</f>
        <v>9781450307710</v>
      </c>
      <c r="C14328" s="8" t="s">
        <v>21</v>
      </c>
    </row>
    <row r="14329" spans="1:3" x14ac:dyDescent="0.25">
      <c r="A14329" s="8" t="str">
        <f>"Proceedings of 2011, 10th IEEE International Conference on Cybernetic Intelligent Systems, CIS 2011"</f>
        <v>Proceedings of 2011, 10th IEEE International Conference on Cybernetic Intelligent Systems, CIS 2011</v>
      </c>
      <c r="B14329" s="8" t="str">
        <f>"9781467306874"</f>
        <v>9781467306874</v>
      </c>
      <c r="C14329" s="8" t="s">
        <v>9</v>
      </c>
    </row>
    <row r="14330" spans="1:3" x14ac:dyDescent="0.25">
      <c r="A14330" s="8" t="str">
        <f>"Proceedings of 2012 15th International Telecommunications Network Strategy and Planning Symposium, NETWORKS 2012"</f>
        <v>Proceedings of 2012 15th International Telecommunications Network Strategy and Planning Symposium, NETWORKS 2012</v>
      </c>
      <c r="B14330" s="8" t="str">
        <f>"9781467313919"</f>
        <v>9781467313919</v>
      </c>
      <c r="C14330" s="8" t="s">
        <v>9</v>
      </c>
    </row>
    <row r="14331" spans="1:3" x14ac:dyDescent="0.25">
      <c r="A14331" s="8" t="str">
        <f>"Proceedings of 2012 21st IEEE Int. Symp. on Applications of Ferroelectrics held jointly with 11th IEEE European Conference on the Applications of Polar Dielectrics and IEEE PFM, ISAF/ECAPD/PFM 2012"</f>
        <v>Proceedings of 2012 21st IEEE Int. Symp. on Applications of Ferroelectrics held jointly with 11th IEEE European Conference on the Applications of Polar Dielectrics and IEEE PFM, ISAF/ECAPD/PFM 2012</v>
      </c>
      <c r="B14331" s="8" t="str">
        <f>"9781467326681"</f>
        <v>9781467326681</v>
      </c>
      <c r="C14331" s="8" t="s">
        <v>9</v>
      </c>
    </row>
    <row r="14332" spans="1:3" x14ac:dyDescent="0.25">
      <c r="A14332" s="8" t="str">
        <f>"Proceedings of 2012 2nd IEEE International Conference on Parallel, Distributed and Grid Computing, PDGC 2012"</f>
        <v>Proceedings of 2012 2nd IEEE International Conference on Parallel, Distributed and Grid Computing, PDGC 2012</v>
      </c>
      <c r="B14332" s="8" t="str">
        <f>"9781467329255"</f>
        <v>9781467329255</v>
      </c>
      <c r="C14332" s="8" t="s">
        <v>9</v>
      </c>
    </row>
    <row r="14333" spans="1:3" x14ac:dyDescent="0.25">
      <c r="A14333" s="8" t="str">
        <f>"Proceedings of 2012 3rd IEEE International Workshop on Low Temperature Bonding for 3D Integration, LTB-3D 2012"</f>
        <v>Proceedings of 2012 3rd IEEE International Workshop on Low Temperature Bonding for 3D Integration, LTB-3D 2012</v>
      </c>
      <c r="B14333" s="8" t="str">
        <f>"9781467307420"</f>
        <v>9781467307420</v>
      </c>
      <c r="C14333" s="8" t="s">
        <v>9</v>
      </c>
    </row>
    <row r="14334" spans="1:3" x14ac:dyDescent="0.25">
      <c r="A14334" s="8" t="str">
        <f>"Proceedings of 2012 3rd International Asia Conference on Industrial Engineering and Management Innovation, IEMI 2012"</f>
        <v>Proceedings of 2012 3rd International Asia Conference on Industrial Engineering and Management Innovation, IEMI 2012</v>
      </c>
      <c r="B14334" s="8" t="str">
        <f>"9783642330117"</f>
        <v>9783642330117</v>
      </c>
      <c r="C14334" s="8" t="s">
        <v>582</v>
      </c>
    </row>
    <row r="14335" spans="1:3" x14ac:dyDescent="0.25">
      <c r="A14335" s="8" t="str">
        <f>"Proceedings of 2012 5th Global Symposium on Millimeter-Waves, GSMM 2012"</f>
        <v>Proceedings of 2012 5th Global Symposium on Millimeter-Waves, GSMM 2012</v>
      </c>
      <c r="B14335" s="8" t="str">
        <f>"9781467313032"</f>
        <v>9781467313032</v>
      </c>
      <c r="C14335" s="8" t="s">
        <v>9</v>
      </c>
    </row>
    <row r="14336" spans="1:3" x14ac:dyDescent="0.25">
      <c r="A14336" s="8" t="str">
        <f>"Proceedings of 2012 5th Joint IFIP Wireless and Mobile Networking Conference, WMNC 2012"</f>
        <v>Proceedings of 2012 5th Joint IFIP Wireless and Mobile Networking Conference, WMNC 2012</v>
      </c>
      <c r="B14336" s="8" t="str">
        <f>"9781467329941"</f>
        <v>9781467329941</v>
      </c>
      <c r="C14336" s="8" t="s">
        <v>9</v>
      </c>
    </row>
    <row r="14337" spans="1:3" x14ac:dyDescent="0.25">
      <c r="A14337" s="8" t="str">
        <f>"Proceedings of 2012 8th IEEE/ASME International Conference on Mechatronic and Embedded Systems and Applications, MESA 2012"</f>
        <v>Proceedings of 2012 8th IEEE/ASME International Conference on Mechatronic and Embedded Systems and Applications, MESA 2012</v>
      </c>
      <c r="B14337" s="8" t="str">
        <f>"9781467323475"</f>
        <v>9781467323475</v>
      </c>
      <c r="C14337" s="8" t="s">
        <v>9</v>
      </c>
    </row>
    <row r="14338" spans="1:3" x14ac:dyDescent="0.25">
      <c r="A14338" s="8" t="str">
        <f>"Proceedings of 2012 9th IEEE International Conference on Networking, Sensing and Control, ICNSC 2012"</f>
        <v>Proceedings of 2012 9th IEEE International Conference on Networking, Sensing and Control, ICNSC 2012</v>
      </c>
      <c r="B14338" s="8" t="str">
        <f>"9781467303880"</f>
        <v>9781467303880</v>
      </c>
      <c r="C14338" s="8" t="s">
        <v>9</v>
      </c>
    </row>
    <row r="14339" spans="1:3" x14ac:dyDescent="0.25">
      <c r="A14339" s="8" t="str">
        <f>"Proceedings of 2012 9th International Bhurban Conference on Applied Sciences and Technology, IBCAST 2012"</f>
        <v>Proceedings of 2012 9th International Bhurban Conference on Applied Sciences and Technology, IBCAST 2012</v>
      </c>
      <c r="B14339" s="8" t="str">
        <f>"9781457719295"</f>
        <v>9781457719295</v>
      </c>
      <c r="C14339" s="8" t="s">
        <v>9</v>
      </c>
    </row>
    <row r="14340" spans="1:3" x14ac:dyDescent="0.25">
      <c r="A14340" s="8" t="str">
        <f>"Proceedings of 2012 IEEE Conference on Control, Systems and Industrial Informatics, ICCSII 2012"</f>
        <v>Proceedings of 2012 IEEE Conference on Control, Systems and Industrial Informatics, ICCSII 2012</v>
      </c>
      <c r="B14340" s="8" t="str">
        <f>"9781467310239"</f>
        <v>9781467310239</v>
      </c>
      <c r="C14340" s="8" t="s">
        <v>9</v>
      </c>
    </row>
    <row r="14341" spans="1:3" x14ac:dyDescent="0.25">
      <c r="A14341" s="8" t="str">
        <f>"Proceedings of 2012 IEEE International Conference on Advanced Communication Control and Computing Technologies, ICACCCT 2012"</f>
        <v>Proceedings of 2012 IEEE International Conference on Advanced Communication Control and Computing Technologies, ICACCCT 2012</v>
      </c>
      <c r="B14341" s="8" t="str">
        <f>"9781467320467"</f>
        <v>9781467320467</v>
      </c>
      <c r="C14341" s="8" t="s">
        <v>9</v>
      </c>
    </row>
    <row r="14342" spans="1:3" x14ac:dyDescent="0.25">
      <c r="A14342" s="8" t="str">
        <f>"Proceedings of 2012 IEEE International Conference on Condition Monitoring and Diagnosis, CMD 2012"</f>
        <v>Proceedings of 2012 IEEE International Conference on Condition Monitoring and Diagnosis, CMD 2012</v>
      </c>
      <c r="B14342" s="8" t="str">
        <f>"9781467310208"</f>
        <v>9781467310208</v>
      </c>
      <c r="C14342" s="8" t="s">
        <v>9</v>
      </c>
    </row>
    <row r="14343" spans="1:3" x14ac:dyDescent="0.25">
      <c r="A14343" s="8" t="str">
        <f>"Proceedings of 2012 IEEE International Conference on Information Science and Technology, ICIST 2012"</f>
        <v>Proceedings of 2012 IEEE International Conference on Information Science and Technology, ICIST 2012</v>
      </c>
      <c r="B14343" s="8" t="str">
        <f>"9781457703454"</f>
        <v>9781457703454</v>
      </c>
      <c r="C14343" s="8" t="s">
        <v>9</v>
      </c>
    </row>
    <row r="14344" spans="1:3" x14ac:dyDescent="0.25">
      <c r="A14344" s="8" t="str">
        <f>"Proceedings of 2012 IEEE International Conference on Service Operations and Logistics, and Informatics, SOLI 2012"</f>
        <v>Proceedings of 2012 IEEE International Conference on Service Operations and Logistics, and Informatics, SOLI 2012</v>
      </c>
      <c r="B14344" s="8" t="str">
        <f>"9781467324007"</f>
        <v>9781467324007</v>
      </c>
      <c r="C14344" s="8" t="s">
        <v>9</v>
      </c>
    </row>
    <row r="14345" spans="1:3" x14ac:dyDescent="0.25">
      <c r="A14345" s="8" t="str">
        <f>"Proceedings of 2012 International Conference on Biobase Material Science and Engineering, BMSE 2012"</f>
        <v>Proceedings of 2012 International Conference on Biobase Material Science and Engineering, BMSE 2012</v>
      </c>
      <c r="B14345" s="8" t="str">
        <f>"9781467323833"</f>
        <v>9781467323833</v>
      </c>
      <c r="C14345" s="8" t="s">
        <v>9</v>
      </c>
    </row>
    <row r="14346" spans="1:3" x14ac:dyDescent="0.25">
      <c r="A14346" s="8" t="str">
        <f>"Proceedings of 2012 International Conference on Cloud Computing Technologies, Applications and Management, ICCCTAM 2012"</f>
        <v>Proceedings of 2012 International Conference on Cloud Computing Technologies, Applications and Management, ICCCTAM 2012</v>
      </c>
      <c r="B14346" s="8" t="str">
        <f>"9781467344166"</f>
        <v>9781467344166</v>
      </c>
      <c r="C14346" s="8" t="s">
        <v>9</v>
      </c>
    </row>
    <row r="14347" spans="1:3" x14ac:dyDescent="0.25">
      <c r="A14347" s="8" t="str">
        <f>"Proceedings of 2012 International Conference on Complex Systems, ICCS 2012"</f>
        <v>Proceedings of 2012 International Conference on Complex Systems, ICCS 2012</v>
      </c>
      <c r="B14347" s="8" t="str">
        <f>"9781467347662"</f>
        <v>9781467347662</v>
      </c>
      <c r="C14347" s="8" t="s">
        <v>9</v>
      </c>
    </row>
    <row r="14348" spans="1:3" x14ac:dyDescent="0.25">
      <c r="A14348" s="8" t="str">
        <f>"Proceedings of 2012 International Conference on Image Analysis and Signal Processing, IASP 2012"</f>
        <v>Proceedings of 2012 International Conference on Image Analysis and Signal Processing, IASP 2012</v>
      </c>
      <c r="B14348" s="8" t="str">
        <f>"9781467325455"</f>
        <v>9781467325455</v>
      </c>
      <c r="C14348" s="8" t="s">
        <v>9</v>
      </c>
    </row>
    <row r="14349" spans="1:3" x14ac:dyDescent="0.25">
      <c r="A14349" s="8" t="str">
        <f>"Proceedings of 2012 International Conference on Measurement, Information and Control, MIC 2012"</f>
        <v>Proceedings of 2012 International Conference on Measurement, Information and Control, MIC 2012</v>
      </c>
      <c r="B14349" s="8" t="str">
        <f>"9781457716027"</f>
        <v>9781457716027</v>
      </c>
      <c r="C14349" s="8" t="s">
        <v>9</v>
      </c>
    </row>
    <row r="14350" spans="1:3" x14ac:dyDescent="0.25">
      <c r="A14350" s="8" t="str">
        <f>"Proceedings of 2012 International Conference on Modelling, Identification and Control, ICMIC 2012"</f>
        <v>Proceedings of 2012 International Conference on Modelling, Identification and Control, ICMIC 2012</v>
      </c>
      <c r="B14350" s="8" t="str">
        <f>"9780956715715"</f>
        <v>9780956715715</v>
      </c>
      <c r="C14350" s="8" t="s">
        <v>9</v>
      </c>
    </row>
    <row r="14351" spans="1:3" x14ac:dyDescent="0.25">
      <c r="A14351" s="8" t="str">
        <f>"Proceedings of 2012 International Conference on Multimedia Computing and Systems, ICMCS 2012"</f>
        <v>Proceedings of 2012 International Conference on Multimedia Computing and Systems, ICMCS 2012</v>
      </c>
      <c r="B14351" s="8" t="str">
        <f>"9781467315203"</f>
        <v>9781467315203</v>
      </c>
      <c r="C14351" s="8" t="s">
        <v>9</v>
      </c>
    </row>
    <row r="14352" spans="1:3" x14ac:dyDescent="0.25">
      <c r="A14352" s="8" t="str">
        <f>"Proceedings of 2012 International Conference on Quality, Reliability, Risk, Maintenance, and Safety Engineering, ICQR2MSE 2012"</f>
        <v>Proceedings of 2012 International Conference on Quality, Reliability, Risk, Maintenance, and Safety Engineering, ICQR2MSE 2012</v>
      </c>
      <c r="B14352" s="8" t="str">
        <f>"9781467307888"</f>
        <v>9781467307888</v>
      </c>
      <c r="C14352" s="8" t="s">
        <v>9</v>
      </c>
    </row>
    <row r="14353" spans="1:3" x14ac:dyDescent="0.25">
      <c r="A14353" s="8" t="str">
        <f>"Proceedings of 2012 International Conference on the Internet of Things, IOT 2012"</f>
        <v>Proceedings of 2012 International Conference on the Internet of Things, IOT 2012</v>
      </c>
      <c r="B14353" s="8" t="str">
        <f>"9781467313469"</f>
        <v>9781467313469</v>
      </c>
      <c r="C14353" s="8" t="s">
        <v>9</v>
      </c>
    </row>
    <row r="14354" spans="1:3" x14ac:dyDescent="0.25">
      <c r="A14354" s="8" t="str">
        <f>"Proceedings of 2012 International Symposium on Information Technologies in Medicine and Education, ITME 2012"</f>
        <v>Proceedings of 2012 International Symposium on Information Technologies in Medicine and Education, ITME 2012</v>
      </c>
      <c r="B14354" s="8" t="str">
        <f>"9781467321068"</f>
        <v>9781467321068</v>
      </c>
      <c r="C14354" s="8" t="s">
        <v>9</v>
      </c>
    </row>
    <row r="14355" spans="1:3" x14ac:dyDescent="0.25">
      <c r="A14355" s="8" t="str">
        <f>"Proceedings of 2012 International Workshop on Microwave and Millimeter Wave Circuits and System Technology, MMWCST 2012"</f>
        <v>Proceedings of 2012 International Workshop on Microwave and Millimeter Wave Circuits and System Technology, MMWCST 2012</v>
      </c>
      <c r="B14355" s="8" t="str">
        <f>"9781467318938"</f>
        <v>9781467318938</v>
      </c>
      <c r="C14355" s="8" t="s">
        <v>9</v>
      </c>
    </row>
    <row r="14356" spans="1:3" x14ac:dyDescent="0.25">
      <c r="A14356" s="8" t="str">
        <f>"Proceedings of 2013 10th International Bhurban Conference on Applied Sciences and Technology, IBCAST 2013"</f>
        <v>Proceedings of 2013 10th International Bhurban Conference on Applied Sciences and Technology, IBCAST 2013</v>
      </c>
      <c r="B14356" s="8" t="str">
        <f>"9781467344265"</f>
        <v>9781467344265</v>
      </c>
      <c r="C14356" s="8" t="s">
        <v>9</v>
      </c>
    </row>
    <row r="14357" spans="1:3" x14ac:dyDescent="0.25">
      <c r="A14357" s="8" t="str">
        <f>"Proceedings of 2013 2nd International Conference on Advances in Electrical Engineering, ICAEE 2013"</f>
        <v>Proceedings of 2013 2nd International Conference on Advances in Electrical Engineering, ICAEE 2013</v>
      </c>
      <c r="B14357" s="8" t="str">
        <f>"9781479924653"</f>
        <v>9781479924653</v>
      </c>
      <c r="C14357" s="8" t="s">
        <v>9</v>
      </c>
    </row>
    <row r="14358" spans="1:3" x14ac:dyDescent="0.25">
      <c r="A14358" s="8" t="str">
        <f>"Proceedings of 2013 2nd International Conference on Measurement, Information and Control, ICMIC 2013"</f>
        <v>Proceedings of 2013 2nd International Conference on Measurement, Information and Control, ICMIC 2013</v>
      </c>
      <c r="B14358" s="8" t="str">
        <f>"9781479913923"</f>
        <v>9781479913923</v>
      </c>
      <c r="C14358" s="8" t="s">
        <v>9</v>
      </c>
    </row>
    <row r="14359" spans="1:3" x14ac:dyDescent="0.25">
      <c r="A14359" s="8" t="str">
        <f>"Proceedings of 2013 3rd International Conference on Computer Science and Network Technology, ICCSNT 2013"</f>
        <v>Proceedings of 2013 3rd International Conference on Computer Science and Network Technology, ICCSNT 2013</v>
      </c>
      <c r="B14359" s="8" t="str">
        <f>"9781479905614"</f>
        <v>9781479905614</v>
      </c>
      <c r="C14359" s="8" t="s">
        <v>105</v>
      </c>
    </row>
    <row r="14360" spans="1:3" x14ac:dyDescent="0.25">
      <c r="A14360" s="8" t="str">
        <f>"Proceedings of 2013 3rd International Conference on Instrumentation, Control and Automation, ICA 2013"</f>
        <v>Proceedings of 2013 3rd International Conference on Instrumentation, Control and Automation, ICA 2013</v>
      </c>
      <c r="B14360" s="8" t="str">
        <f>"9781467357982"</f>
        <v>9781467357982</v>
      </c>
      <c r="C14360" s="8" t="s">
        <v>9</v>
      </c>
    </row>
    <row r="14361" spans="1:3" x14ac:dyDescent="0.25">
      <c r="A14361" s="8" t="str">
        <f>"Proceedings of 2013 4th International Asia Conference on Industrial Engineering and Management Innovation, IEMI 2013"</f>
        <v>Proceedings of 2013 4th International Asia Conference on Industrial Engineering and Management Innovation, IEMI 2013</v>
      </c>
      <c r="B14361" s="8" t="str">
        <f>"9783642400599"</f>
        <v>9783642400599</v>
      </c>
      <c r="C14361" s="8" t="s">
        <v>79</v>
      </c>
    </row>
    <row r="14362" spans="1:3" x14ac:dyDescent="0.25">
      <c r="A14362" s="8" t="str">
        <f>"Proceedings of 2013 6th International Conference on Information Management, Innovation Management and Industrial Engineering, ICIII 2013"</f>
        <v>Proceedings of 2013 6th International Conference on Information Management, Innovation Management and Industrial Engineering, ICIII 2013</v>
      </c>
      <c r="B14362" s="8" t="str">
        <f>"9781479939855"</f>
        <v>9781479939855</v>
      </c>
      <c r="C14362" s="8" t="s">
        <v>9</v>
      </c>
    </row>
    <row r="14363" spans="1:3" x14ac:dyDescent="0.25">
      <c r="A14363" s="8" t="str">
        <f>"Proceedings of 2013 6th Joint IFIP Wireless and Mobile Networking Conference, WMNC 2013"</f>
        <v>Proceedings of 2013 6th Joint IFIP Wireless and Mobile Networking Conference, WMNC 2013</v>
      </c>
      <c r="B14363" s="8" t="str">
        <f>"9781467356169"</f>
        <v>9781467356169</v>
      </c>
      <c r="C14363" s="8" t="s">
        <v>9</v>
      </c>
    </row>
    <row r="14364" spans="1:3" x14ac:dyDescent="0.25">
      <c r="A14364" s="8" t="str">
        <f>"Proceedings of 2013 8th International Conference on System of Systems Engineering: SoSE in Cloud Computing and Emerging Information Technology Applications, SoSE 2013"</f>
        <v>Proceedings of 2013 8th International Conference on System of Systems Engineering: SoSE in Cloud Computing and Emerging Information Technology Applications, SoSE 2013</v>
      </c>
      <c r="B14364" s="8" t="str">
        <f>"9781467355971"</f>
        <v>9781467355971</v>
      </c>
      <c r="C14364" s="8" t="s">
        <v>9</v>
      </c>
    </row>
    <row r="14365" spans="1:3" x14ac:dyDescent="0.25">
      <c r="A14365" s="8" t="str">
        <f>"Proceedings of 2013 9th International ITG Conference on Systems, Communication and Coding, SCC 2013"</f>
        <v>Proceedings of 2013 9th International ITG Conference on Systems, Communication and Coding, SCC 2013</v>
      </c>
      <c r="B14365" s="8" t="str">
        <f>"9783800734825"</f>
        <v>9783800734825</v>
      </c>
      <c r="C14365" s="8" t="s">
        <v>9</v>
      </c>
    </row>
    <row r="14366" spans="1:3" x14ac:dyDescent="0.25">
      <c r="A14366" s="8" t="str">
        <f>"Proceedings of 2013 IEEE 11th International Conference on Electronic Measurement and Instruments, ICEMI 2013"</f>
        <v>Proceedings of 2013 IEEE 11th International Conference on Electronic Measurement and Instruments, ICEMI 2013</v>
      </c>
      <c r="B14366" s="8" t="str">
        <f>"9781479907571"</f>
        <v>9781479907571</v>
      </c>
      <c r="C14366" s="8" t="s">
        <v>9</v>
      </c>
    </row>
    <row r="14367" spans="1:3" x14ac:dyDescent="0.25">
      <c r="A14367" s="8" t="str">
        <f>"Proceedings of 2013 IEEE International Conference on Service Operations and Logistics, and Informatics, SOLI 2013"</f>
        <v>Proceedings of 2013 IEEE International Conference on Service Operations and Logistics, and Informatics, SOLI 2013</v>
      </c>
      <c r="B14367" s="8" t="str">
        <f>"9781479905300"</f>
        <v>9781479905300</v>
      </c>
      <c r="C14367" s="8" t="s">
        <v>9</v>
      </c>
    </row>
    <row r="14368" spans="1:3" x14ac:dyDescent="0.25">
      <c r="A14368" s="8" t="str">
        <f>"Proceedings of 2013 IEEE International Conference on Teaching, Assessment and Learning for Engineering, TALE 2013"</f>
        <v>Proceedings of 2013 IEEE International Conference on Teaching, Assessment and Learning for Engineering, TALE 2013</v>
      </c>
      <c r="B14368" s="8" t="str">
        <f>"9781467363556"</f>
        <v>9781467363556</v>
      </c>
      <c r="C14368" s="8" t="s">
        <v>9</v>
      </c>
    </row>
    <row r="14369" spans="1:3" x14ac:dyDescent="0.25">
      <c r="A14369" s="8" t="str">
        <f>"Proceedings of 2013 IEEE International Conference on Vehicular Electronics and Safety, ICVES 2013"</f>
        <v>Proceedings of 2013 IEEE International Conference on Vehicular Electronics and Safety, ICVES 2013</v>
      </c>
      <c r="B14369" s="8" t="str">
        <f>"9781479903801"</f>
        <v>9781479903801</v>
      </c>
      <c r="C14369" s="8" t="s">
        <v>9</v>
      </c>
    </row>
    <row r="14370" spans="1:3" x14ac:dyDescent="0.25">
      <c r="A14370" s="8" t="str">
        <f>"Proceedings of 2013 International Conference on Industrial Engineering and Systems Management, IEEE - IESM 2013"</f>
        <v>Proceedings of 2013 International Conference on Industrial Engineering and Systems Management, IEEE - IESM 2013</v>
      </c>
      <c r="B14370" s="8" t="str">
        <f>"9782960053241"</f>
        <v>9782960053241</v>
      </c>
      <c r="C14370" s="8" t="s">
        <v>9</v>
      </c>
    </row>
    <row r="14371" spans="1:3" x14ac:dyDescent="0.25">
      <c r="A14371" s="8" t="str">
        <f>"Proceedings of 2013 International Conference on Power, Energy and Control, ICPEC 2013"</f>
        <v>Proceedings of 2013 International Conference on Power, Energy and Control, ICPEC 2013</v>
      </c>
      <c r="B14371" s="8" t="str">
        <f>"9781467360289"</f>
        <v>9781467360289</v>
      </c>
      <c r="C14371" s="8" t="s">
        <v>9</v>
      </c>
    </row>
    <row r="14372" spans="1:3" x14ac:dyDescent="0.25">
      <c r="A14372" s="8" t="str">
        <f>"Proceedings of 2013 International Conference on Renewable Energy Research and Applications, ICRERA 2013"</f>
        <v>Proceedings of 2013 International Conference on Renewable Energy Research and Applications, ICRERA 2013</v>
      </c>
      <c r="B14372" s="8" t="str">
        <f>"9781479914647"</f>
        <v>9781479914647</v>
      </c>
      <c r="C14372" s="8" t="s">
        <v>9</v>
      </c>
    </row>
    <row r="14373" spans="1:3" x14ac:dyDescent="0.25">
      <c r="A14373" s="8" t="str">
        <f>"Proceedings of 2013 International Conference on Robotics, Biomimetics, Intelligent Computational Systems, ROBIONETICS 2013"</f>
        <v>Proceedings of 2013 International Conference on Robotics, Biomimetics, Intelligent Computational Systems, ROBIONETICS 2013</v>
      </c>
      <c r="B14373" s="8" t="str">
        <f>"9781479912087"</f>
        <v>9781479912087</v>
      </c>
      <c r="C14373" s="8" t="s">
        <v>9</v>
      </c>
    </row>
    <row r="14374" spans="1:3" x14ac:dyDescent="0.25">
      <c r="A14374" s="8" t="str">
        <f>"Proceedings of 2013 International Conference on Sensor Network Security Technology and Privacy Communication System, SNS and PCS 2013"</f>
        <v>Proceedings of 2013 International Conference on Sensor Network Security Technology and Privacy Communication System, SNS and PCS 2013</v>
      </c>
      <c r="B14374" s="8" t="str">
        <f>"9781467364515"</f>
        <v>9781467364515</v>
      </c>
      <c r="C14374" s="8" t="s">
        <v>9</v>
      </c>
    </row>
    <row r="14375" spans="1:3" x14ac:dyDescent="0.25">
      <c r="A14375" s="8" t="str">
        <f>"Proceedings of 2013 International Conference on Technology, Informatics, Management, Engineering and Environment, TIME-E 2013"</f>
        <v>Proceedings of 2013 International Conference on Technology, Informatics, Management, Engineering and Environment, TIME-E 2013</v>
      </c>
      <c r="B14375" s="8" t="str">
        <f>"9781467357326"</f>
        <v>9781467357326</v>
      </c>
      <c r="C14375" s="8" t="s">
        <v>9</v>
      </c>
    </row>
    <row r="14376" spans="1:3" x14ac:dyDescent="0.25">
      <c r="A14376" s="8" t="str">
        <f>"Proceedings of 2013 International Renewable and Sustainable Energy Conference, IRSEC 2013"</f>
        <v>Proceedings of 2013 International Renewable and Sustainable Energy Conference, IRSEC 2013</v>
      </c>
      <c r="B14376" s="8" t="str">
        <f>"9781467363747"</f>
        <v>9781467363747</v>
      </c>
      <c r="C14376" s="8" t="s">
        <v>9</v>
      </c>
    </row>
    <row r="14377" spans="1:3" x14ac:dyDescent="0.25">
      <c r="A14377" s="8" t="str">
        <f>"Proceedings of 2013 Science and Information Conference, SAI 2013"</f>
        <v>Proceedings of 2013 Science and Information Conference, SAI 2013</v>
      </c>
      <c r="B14377" s="8" t="str">
        <f>"9780989319300"</f>
        <v>9780989319300</v>
      </c>
      <c r="C14377" s="8" t="s">
        <v>9</v>
      </c>
    </row>
    <row r="14378" spans="1:3" x14ac:dyDescent="0.25">
      <c r="A14378" s="8" t="str">
        <f>"Proceedings of 2014 11th International Bhurban Conference on Applied Sciences and Technology, IBCAST 2014"</f>
        <v>Proceedings of 2014 11th International Bhurban Conference on Applied Sciences and Technology, IBCAST 2014</v>
      </c>
      <c r="B14378" s="8" t="str">
        <f>"9781479923199"</f>
        <v>9781479923199</v>
      </c>
      <c r="C14378" s="8" t="s">
        <v>9</v>
      </c>
    </row>
    <row r="14379" spans="1:3" x14ac:dyDescent="0.25">
      <c r="A14379" s="8" t="str">
        <f>"Proceedings of 2014 11th International Conference on Remote Engineering and Virtual Instrumentation, REV 2014"</f>
        <v>Proceedings of 2014 11th International Conference on Remote Engineering and Virtual Instrumentation, REV 2014</v>
      </c>
      <c r="B14379" s="8" t="str">
        <f>"9781479920242"</f>
        <v>9781479920242</v>
      </c>
      <c r="C14379" s="8" t="s">
        <v>9</v>
      </c>
    </row>
    <row r="14380" spans="1:3" x14ac:dyDescent="0.25">
      <c r="A14380" s="8" t="str">
        <f>"Proceedings of 2014 1st International Conference on Non Conventional Energy: Search for Clean and Safe Energy, ICONCE 2014"</f>
        <v>Proceedings of 2014 1st International Conference on Non Conventional Energy: Search for Clean and Safe Energy, ICONCE 2014</v>
      </c>
      <c r="B14380" s="8" t="str">
        <f>"9781479933396"</f>
        <v>9781479933396</v>
      </c>
      <c r="C14380" s="8" t="s">
        <v>9</v>
      </c>
    </row>
    <row r="14381" spans="1:3" x14ac:dyDescent="0.25">
      <c r="A14381" s="8" t="str">
        <f>"Proceedings of 2014 2nd International Conference on Technology, Informatics, Management, Engineering and Environment, TIME-E 2014"</f>
        <v>Proceedings of 2014 2nd International Conference on Technology, Informatics, Management, Engineering and Environment, TIME-E 2014</v>
      </c>
      <c r="B14381" s="8" t="str">
        <f>"9781479948055"</f>
        <v>9781479948055</v>
      </c>
      <c r="C14381" s="8" t="s">
        <v>105</v>
      </c>
    </row>
    <row r="14382" spans="1:3" x14ac:dyDescent="0.25">
      <c r="A14382" s="8" t="str">
        <f>"Proceedings of 2014 3rd International Conference on Parallel, Distributed and Grid Computing, PDGC 2014"</f>
        <v>Proceedings of 2014 3rd International Conference on Parallel, Distributed and Grid Computing, PDGC 2014</v>
      </c>
      <c r="B14382" s="8" t="str">
        <f>"9781479976836"</f>
        <v>9781479976836</v>
      </c>
      <c r="C14382" s="8" t="s">
        <v>105</v>
      </c>
    </row>
    <row r="14383" spans="1:3" x14ac:dyDescent="0.25">
      <c r="A14383" s="8" t="str">
        <f>"Proceedings of 2014 3rd International Conference on the Developments in Renewable Energy Technology, ICDRET 2014"</f>
        <v>Proceedings of 2014 3rd International Conference on the Developments in Renewable Energy Technology, ICDRET 2014</v>
      </c>
      <c r="B14383" s="8" t="str">
        <f>"9789843378675"</f>
        <v>9789843378675</v>
      </c>
      <c r="C14383" s="8" t="s">
        <v>105</v>
      </c>
    </row>
    <row r="14384" spans="1:3" x14ac:dyDescent="0.25">
      <c r="A14384" s="8" t="str">
        <f>"Proceedings of 2014 4th IEEE International Conference on Network Infrastructure and Digital Content, IEEE IC-NIDC 2014"</f>
        <v>Proceedings of 2014 4th IEEE International Conference on Network Infrastructure and Digital Content, IEEE IC-NIDC 2014</v>
      </c>
      <c r="B14384" s="8" t="str">
        <f>"9781479947362"</f>
        <v>9781479947362</v>
      </c>
      <c r="C14384" s="8" t="s">
        <v>105</v>
      </c>
    </row>
    <row r="14385" spans="1:3" x14ac:dyDescent="0.25">
      <c r="A14385" s="8" t="str">
        <f>"Proceedings of 2014 6th International Workshop on Reliable Networks Design and Modeling, RNDM 2014"</f>
        <v>Proceedings of 2014 6th International Workshop on Reliable Networks Design and Modeling, RNDM 2014</v>
      </c>
      <c r="B14385" s="8" t="str">
        <f>"9781479970407"</f>
        <v>9781479970407</v>
      </c>
      <c r="C14385" s="8" t="s">
        <v>105</v>
      </c>
    </row>
    <row r="14386" spans="1:3" x14ac:dyDescent="0.25">
      <c r="A14386" s="8" t="str">
        <f>"Proceedings of 2014 8th International Conference on Telecommunication Systems Services and Applications, TSSA 2014"</f>
        <v>Proceedings of 2014 8th International Conference on Telecommunication Systems Services and Applications, TSSA 2014</v>
      </c>
      <c r="B14386" s="8" t="str">
        <f>"9781479974474"</f>
        <v>9781479974474</v>
      </c>
      <c r="C14386" s="8" t="s">
        <v>105</v>
      </c>
    </row>
    <row r="14387" spans="1:3" x14ac:dyDescent="0.25">
      <c r="A14387" s="8" t="str">
        <f>"Proceedings of 2014 9th IEEE International Conference on Computer Engineering and Systems, ICCES 2014"</f>
        <v>Proceedings of 2014 9th IEEE International Conference on Computer Engineering and Systems, ICCES 2014</v>
      </c>
      <c r="B14387" s="8" t="str">
        <f>"9781479965946"</f>
        <v>9781479965946</v>
      </c>
      <c r="C14387" s="8" t="s">
        <v>105</v>
      </c>
    </row>
    <row r="14388" spans="1:3" x14ac:dyDescent="0.25">
      <c r="A14388" s="8" t="str">
        <f>"Proceedings of 2014 9th International Design and Test Symposium, IDT 2014"</f>
        <v>Proceedings of 2014 9th International Design and Test Symposium, IDT 2014</v>
      </c>
      <c r="B14388" s="8" t="str">
        <f>"9781479982004"</f>
        <v>9781479982004</v>
      </c>
      <c r="C14388" s="8" t="s">
        <v>105</v>
      </c>
    </row>
    <row r="14389" spans="1:3" x14ac:dyDescent="0.25">
      <c r="A14389" s="8" t="str">
        <f>"Proceedings of 2014 IEEE 13th International Conference on Cognitive Informatics and Cognitive Computing, ICCI*CC 2014"</f>
        <v>Proceedings of 2014 IEEE 13th International Conference on Cognitive Informatics and Cognitive Computing, ICCI*CC 2014</v>
      </c>
      <c r="B14389" s="8" t="str">
        <f>"9781479960811"</f>
        <v>9781479960811</v>
      </c>
      <c r="C14389" s="8" t="s">
        <v>105</v>
      </c>
    </row>
    <row r="14390" spans="1:3" x14ac:dyDescent="0.25">
      <c r="A14390" s="8" t="str">
        <f>"Proceedings of 2014 IEEE 7th International Conference on Advanced Infocomm Technology, IEEE/ICAIT 2014"</f>
        <v>Proceedings of 2014 IEEE 7th International Conference on Advanced Infocomm Technology, IEEE/ICAIT 2014</v>
      </c>
      <c r="B14390" s="8" t="str">
        <f>"9781479954544"</f>
        <v>9781479954544</v>
      </c>
      <c r="C14390" s="8" t="s">
        <v>105</v>
      </c>
    </row>
    <row r="14391" spans="1:3" x14ac:dyDescent="0.25">
      <c r="A14391" s="8" t="str">
        <f>"Proceedings of 2014 IEEE International Conference on Advanced Communication, Control and Computing Technologies, ICACCCT 2014"</f>
        <v>Proceedings of 2014 IEEE International Conference on Advanced Communication, Control and Computing Technologies, ICACCCT 2014</v>
      </c>
      <c r="B14391" s="8" t="str">
        <f>"9781479939145"</f>
        <v>9781479939145</v>
      </c>
      <c r="C14391" s="8" t="s">
        <v>105</v>
      </c>
    </row>
    <row r="14392" spans="1:3" x14ac:dyDescent="0.25">
      <c r="A14392" s="8" t="str">
        <f>"Proceedings of 2014 IEEE International Conference on Behavioral, Economic, Socio-Cultural Computing, BESC 2014"</f>
        <v>Proceedings of 2014 IEEE International Conference on Behavioral, Economic, Socio-Cultural Computing, BESC 2014</v>
      </c>
      <c r="B14392" s="8" t="str">
        <f>"9781479969807"</f>
        <v>9781479969807</v>
      </c>
      <c r="C14392" s="8" t="s">
        <v>105</v>
      </c>
    </row>
    <row r="14393" spans="1:3" x14ac:dyDescent="0.25">
      <c r="A14393" s="8" t="str">
        <f>"Proceedings of 2014 IEEE International Conference on Consumer Electronics - China, ICCE-C 2014"</f>
        <v>Proceedings of 2014 IEEE International Conference on Consumer Electronics - China, ICCE-C 2014</v>
      </c>
      <c r="B14393" s="8" t="str">
        <f>"9781479947560"</f>
        <v>9781479947560</v>
      </c>
      <c r="C14393" s="8" t="s">
        <v>105</v>
      </c>
    </row>
    <row r="14394" spans="1:3" x14ac:dyDescent="0.25">
      <c r="A14394" s="8" t="str">
        <f>"Proceedings of 2014 IEEE International Conference on Service Operations and Logistics, and Informatics, SOLI 2014"</f>
        <v>Proceedings of 2014 IEEE International Conference on Service Operations and Logistics, and Informatics, SOLI 2014</v>
      </c>
      <c r="B14394" s="8" t="str">
        <f>"9781479960583"</f>
        <v>9781479960583</v>
      </c>
      <c r="C14394" s="8" t="s">
        <v>105</v>
      </c>
    </row>
    <row r="14395" spans="1:3" x14ac:dyDescent="0.25">
      <c r="A14395" s="8" t="str">
        <f>"Proceedings of 2014 International Conference on Cloud Computing and Internet of Things, CCIOT 2014"</f>
        <v>Proceedings of 2014 International Conference on Cloud Computing and Internet of Things, CCIOT 2014</v>
      </c>
      <c r="B14395" s="8" t="str">
        <f>"9781479947652"</f>
        <v>9781479947652</v>
      </c>
      <c r="C14395" s="8" t="s">
        <v>105</v>
      </c>
    </row>
    <row r="14396" spans="1:3" x14ac:dyDescent="0.25">
      <c r="A14396" s="8" t="str">
        <f>"Proceedings of 2014 International Conference on Contemporary Computing and Informatics, IC3I 2014"</f>
        <v>Proceedings of 2014 International Conference on Contemporary Computing and Informatics, IC3I 2014</v>
      </c>
      <c r="B14396" s="8" t="str">
        <f>"9781479966295"</f>
        <v>9781479966295</v>
      </c>
      <c r="C14396" s="8" t="s">
        <v>105</v>
      </c>
    </row>
    <row r="14397" spans="1:3" x14ac:dyDescent="0.25">
      <c r="A14397" s="8" t="str">
        <f>"Proceedings of 2014 International Conference on Data and Software Engineering, ICODSE 2014"</f>
        <v>Proceedings of 2014 International Conference on Data and Software Engineering, ICODSE 2014</v>
      </c>
      <c r="B14397" s="8" t="str">
        <f>"9781479979967"</f>
        <v>9781479979967</v>
      </c>
      <c r="C14397" s="8" t="s">
        <v>105</v>
      </c>
    </row>
    <row r="14398" spans="1:3" x14ac:dyDescent="0.25">
      <c r="A14398" s="8" t="str">
        <f>"Proceedings of 2014 International Conference on Electrical Engineering and Computer Science, ICEECS 2014"</f>
        <v>Proceedings of 2014 International Conference on Electrical Engineering and Computer Science, ICEECS 2014</v>
      </c>
      <c r="B14398" s="8" t="str">
        <f>"9781479984770"</f>
        <v>9781479984770</v>
      </c>
      <c r="C14398" s="8" t="s">
        <v>105</v>
      </c>
    </row>
    <row r="14399" spans="1:3" x14ac:dyDescent="0.25">
      <c r="A14399" s="8" t="str">
        <f>"Proceedings of 2014 International Conference on Information, Communication Technology and System, ICTS 2014"</f>
        <v>Proceedings of 2014 International Conference on Information, Communication Technology and System, ICTS 2014</v>
      </c>
      <c r="B14399" s="8" t="str">
        <f>"9781479968572"</f>
        <v>9781479968572</v>
      </c>
      <c r="C14399" s="8" t="s">
        <v>105</v>
      </c>
    </row>
    <row r="14400" spans="1:3" x14ac:dyDescent="0.25">
      <c r="A14400" s="8" t="str">
        <f>"Proceedings of 2014 International Conference on Intelligent Autonomous Agents, Networks and Systems, INAGENTSYS 2014"</f>
        <v>Proceedings of 2014 International Conference on Intelligent Autonomous Agents, Networks and Systems, INAGENTSYS 2014</v>
      </c>
      <c r="B14400" s="8" t="str">
        <f>"9781479948024"</f>
        <v>9781479948024</v>
      </c>
      <c r="C14400" s="8" t="s">
        <v>105</v>
      </c>
    </row>
    <row r="14401" spans="1:3" x14ac:dyDescent="0.25">
      <c r="A14401" s="8" t="str">
        <f>"Proceedings of 2014 International Conference on Interactive Collaborative Learning, ICL 2014"</f>
        <v>Proceedings of 2014 International Conference on Interactive Collaborative Learning, ICL 2014</v>
      </c>
      <c r="B14401" s="8" t="str">
        <f>"9781479944378"</f>
        <v>9781479944378</v>
      </c>
      <c r="C14401" s="8" t="s">
        <v>105</v>
      </c>
    </row>
    <row r="14402" spans="1:3" x14ac:dyDescent="0.25">
      <c r="A14402" s="8" t="str">
        <f>"Proceedings of 2014 International Conference on Interactive Mobile Communication Technologies and Learning, IMCL 2014"</f>
        <v>Proceedings of 2014 International Conference on Interactive Mobile Communication Technologies and Learning, IMCL 2014</v>
      </c>
      <c r="B14402" s="8" t="str">
        <f>"9781479947423"</f>
        <v>9781479947423</v>
      </c>
      <c r="C14402" s="8" t="s">
        <v>105</v>
      </c>
    </row>
    <row r="14403" spans="1:3" x14ac:dyDescent="0.25">
      <c r="A14403" s="8" t="str">
        <f>"Proceedings of 2014 International Conference on Localization and GNSS, ICL-GNSS 2014"</f>
        <v>Proceedings of 2014 International Conference on Localization and GNSS, ICL-GNSS 2014</v>
      </c>
      <c r="B14403" s="8" t="str">
        <f>"9781479951222"</f>
        <v>9781479951222</v>
      </c>
      <c r="C14403" s="8" t="s">
        <v>105</v>
      </c>
    </row>
    <row r="14404" spans="1:3" x14ac:dyDescent="0.25">
      <c r="A14404" s="8" t="str">
        <f>"Proceedings of 2014 International Conference on Mechanical Engineering, Automation and Control Systems, MEACS 2014"</f>
        <v>Proceedings of 2014 International Conference on Mechanical Engineering, Automation and Control Systems, MEACS 2014</v>
      </c>
      <c r="B14404" s="8" t="str">
        <f>"9781479962211"</f>
        <v>9781479962211</v>
      </c>
      <c r="C14404" s="8" t="s">
        <v>105</v>
      </c>
    </row>
    <row r="14405" spans="1:3" x14ac:dyDescent="0.25">
      <c r="A14405" s="8" t="str">
        <f>"Proceedings of 2014 International Conference on Modelling, Identification and Control, ICMIC 2014"</f>
        <v>Proceedings of 2014 International Conference on Modelling, Identification and Control, ICMIC 2014</v>
      </c>
      <c r="B14405" s="8" t="str">
        <f>"9780956715746"</f>
        <v>9780956715746</v>
      </c>
      <c r="C14405" s="8" t="s">
        <v>105</v>
      </c>
    </row>
    <row r="14406" spans="1:3" x14ac:dyDescent="0.25">
      <c r="A14406" s="8" t="str">
        <f>"Proceedings of 2014 International Conference on Multisensor Fusion and Information Integration for Intelligent Systems, MFI 2014"</f>
        <v>Proceedings of 2014 International Conference on Multisensor Fusion and Information Integration for Intelligent Systems, MFI 2014</v>
      </c>
      <c r="B14406" s="8" t="str">
        <f>"9781479967322"</f>
        <v>9781479967322</v>
      </c>
      <c r="C14406" s="8" t="s">
        <v>105</v>
      </c>
    </row>
    <row r="14407" spans="1:3" x14ac:dyDescent="0.25">
      <c r="A14407" s="8" t="str">
        <f>"Proceedings of 2014 International Conference on Smart Computing Workshops, SMARTCOMP Workshops 2014"</f>
        <v>Proceedings of 2014 International Conference on Smart Computing Workshops, SMARTCOMP Workshops 2014</v>
      </c>
      <c r="B14407" s="8" t="str">
        <f>"9781479964475"</f>
        <v>9781479964475</v>
      </c>
      <c r="C14407" s="8" t="s">
        <v>105</v>
      </c>
    </row>
    <row r="14408" spans="1:3" x14ac:dyDescent="0.25">
      <c r="A14408" s="8" t="str">
        <f>"Proceedings of 2014 International Conference on Smart Computing, SMARTCOMP 2014"</f>
        <v>Proceedings of 2014 International Conference on Smart Computing, SMARTCOMP 2014</v>
      </c>
      <c r="B14408" s="8" t="str">
        <f>"9781479957118"</f>
        <v>9781479957118</v>
      </c>
      <c r="C14408" s="8" t="s">
        <v>105</v>
      </c>
    </row>
    <row r="14409" spans="1:3" x14ac:dyDescent="0.25">
      <c r="A14409" s="8" t="str">
        <f>"Proceedings of 2014 International Renewable and Sustainable Energy Conference, IRSEC 2014"</f>
        <v>Proceedings of 2014 International Renewable and Sustainable Energy Conference, IRSEC 2014</v>
      </c>
      <c r="B14409" s="8" t="str">
        <f>"9781479973361"</f>
        <v>9781479973361</v>
      </c>
      <c r="C14409" s="8" t="s">
        <v>105</v>
      </c>
    </row>
    <row r="14410" spans="1:3" x14ac:dyDescent="0.25">
      <c r="A14410" s="8" t="str">
        <f>"Proceedings of 2014 International Symposium on Information Theory and Its Applications, ISITA 2014"</f>
        <v>Proceedings of 2014 International Symposium on Information Theory and Its Applications, ISITA 2014</v>
      </c>
      <c r="B14410" s="8" t="str">
        <f>"9784885522925"</f>
        <v>9784885522925</v>
      </c>
      <c r="C14410" s="8" t="s">
        <v>105</v>
      </c>
    </row>
    <row r="14411" spans="1:3" x14ac:dyDescent="0.25">
      <c r="A14411" s="8" t="str">
        <f>"Proceedings of 2014 Prognostics and System Health Management Conference, PHM 2014"</f>
        <v>Proceedings of 2014 Prognostics and System Health Management Conference, PHM 2014</v>
      </c>
      <c r="B14411" s="8" t="str">
        <f>"9781479979585"</f>
        <v>9781479979585</v>
      </c>
      <c r="C14411" s="8" t="s">
        <v>105</v>
      </c>
    </row>
    <row r="14412" spans="1:3" x14ac:dyDescent="0.25">
      <c r="A14412" s="8" t="str">
        <f>"Proceedings of 2014 Science and Information Conference, SAI 2014"</f>
        <v>Proceedings of 2014 Science and Information Conference, SAI 2014</v>
      </c>
      <c r="B14412" s="8" t="str">
        <f>"9780989319317"</f>
        <v>9780989319317</v>
      </c>
      <c r="C14412" s="8" t="s">
        <v>105</v>
      </c>
    </row>
    <row r="14413" spans="1:3" x14ac:dyDescent="0.25">
      <c r="A14413" s="8" t="str">
        <f>"Proceedings of 2015 12th International Bhurban Conference on Applied Sciences and Technology, IBCAST 2015"</f>
        <v>Proceedings of 2015 12th International Bhurban Conference on Applied Sciences and Technology, IBCAST 2015</v>
      </c>
      <c r="B14413" s="8" t="str">
        <f>"9781479963690"</f>
        <v>9781479963690</v>
      </c>
      <c r="C14413" s="8" t="s">
        <v>105</v>
      </c>
    </row>
    <row r="14414" spans="1:3" x14ac:dyDescent="0.25">
      <c r="A14414" s="8" t="str">
        <f>"Proceedings of 2015 12th International Conference on Remote Engineering and Virtual Instrumentation, REV 2015"</f>
        <v>Proceedings of 2015 12th International Conference on Remote Engineering and Virtual Instrumentation, REV 2015</v>
      </c>
      <c r="B14414" s="8" t="str">
        <f>"9781479978397"</f>
        <v>9781479978397</v>
      </c>
      <c r="C14414" s="8" t="s">
        <v>105</v>
      </c>
    </row>
    <row r="14415" spans="1:3" x14ac:dyDescent="0.25">
      <c r="A14415" s="8" t="str">
        <f>"Proceedings of 2015 14th IFIP Networking Conference, IFIP Networking 2015"</f>
        <v>Proceedings of 2015 14th IFIP Networking Conference, IFIP Networking 2015</v>
      </c>
      <c r="B14415" s="8" t="str">
        <f>"9783901882685"</f>
        <v>9783901882685</v>
      </c>
      <c r="C14415" s="8" t="s">
        <v>105</v>
      </c>
    </row>
    <row r="14416" spans="1:3" x14ac:dyDescent="0.25">
      <c r="A14416" s="8" t="str">
        <f>"Proceedings of 2015 International Conference on Biometrics, ICB 2015"</f>
        <v>Proceedings of 2015 International Conference on Biometrics, ICB 2015</v>
      </c>
      <c r="B14416" s="8" t="str">
        <f>"9781479978243"</f>
        <v>9781479978243</v>
      </c>
      <c r="C14416" s="8" t="s">
        <v>105</v>
      </c>
    </row>
    <row r="14417" spans="1:3" x14ac:dyDescent="0.25">
      <c r="A14417" s="8" t="str">
        <f>"Proceedings of 2015 International Conference on Electrical and Information Technologies, ICEIT 2015"</f>
        <v>Proceedings of 2015 International Conference on Electrical and Information Technologies, ICEIT 2015</v>
      </c>
      <c r="B14417" s="8" t="str">
        <f>"9781479974795"</f>
        <v>9781479974795</v>
      </c>
      <c r="C14417" s="8" t="s">
        <v>105</v>
      </c>
    </row>
    <row r="14418" spans="1:3" x14ac:dyDescent="0.25">
      <c r="A14418" s="8" t="str">
        <f>"Proceedings of 2015 International Conference on Intelligent Computing and Internet of Things, ICIT 2015"</f>
        <v>Proceedings of 2015 International Conference on Intelligent Computing and Internet of Things, ICIT 2015</v>
      </c>
      <c r="B14418" s="8" t="str">
        <f>"9781479975334"</f>
        <v>9781479975334</v>
      </c>
      <c r="C14418" s="8" t="s">
        <v>105</v>
      </c>
    </row>
    <row r="14419" spans="1:3" x14ac:dyDescent="0.25">
      <c r="A14419" s="8" t="str">
        <f>"Proceedings of 2015 International Conference on Networking Systems and Security, NSysS 2015"</f>
        <v>Proceedings of 2015 International Conference on Networking Systems and Security, NSysS 2015</v>
      </c>
      <c r="B14419" s="8" t="str">
        <f>"9781479981267"</f>
        <v>9781479981267</v>
      </c>
      <c r="C14419" s="8" t="s">
        <v>105</v>
      </c>
    </row>
    <row r="14420" spans="1:3" x14ac:dyDescent="0.25">
      <c r="A14420" s="8" t="str">
        <f>"Proceedings of 2015 International Conference on Robotics, Automation, Control and Embedded Systems, RACE 2015"</f>
        <v>Proceedings of 2015 International Conference on Robotics, Automation, Control and Embedded Systems, RACE 2015</v>
      </c>
      <c r="B14420" s="8" t="str">
        <f>"9788192597430"</f>
        <v>9788192597430</v>
      </c>
      <c r="C14420" s="8" t="s">
        <v>105</v>
      </c>
    </row>
    <row r="14421" spans="1:3" x14ac:dyDescent="0.25">
      <c r="A14421" s="8" t="str">
        <f>"Proceedings of 20th Annual Workshop on Information Technologies and Systems"</f>
        <v>Proceedings of 20th Annual Workshop on Information Technologies and Systems</v>
      </c>
      <c r="B14421" s="8" t="str">
        <f>"-"</f>
        <v>-</v>
      </c>
      <c r="C14421" s="8" t="s">
        <v>2103</v>
      </c>
    </row>
    <row r="14422" spans="1:3" x14ac:dyDescent="0.25">
      <c r="A14422" s="8" t="str">
        <f>"Proceedings of 20th International Conference on Industrial Engineering and Engineering Management: Theory and Apply of Industrial Engineering"</f>
        <v>Proceedings of 20th International Conference on Industrial Engineering and Engineering Management: Theory and Apply of Industrial Engineering</v>
      </c>
      <c r="B14422" s="8" t="str">
        <f>"9783642400629"</f>
        <v>9783642400629</v>
      </c>
      <c r="C14422" s="8" t="s">
        <v>79</v>
      </c>
    </row>
    <row r="14423" spans="1:3" x14ac:dyDescent="0.25">
      <c r="A14423" s="8" t="str">
        <f>"Proceedings of 20th International Conference Radioelektronika 2010"</f>
        <v>Proceedings of 20th International Conference Radioelektronika 2010</v>
      </c>
      <c r="B14423" s="8" t="str">
        <f>"9781424463190"</f>
        <v>9781424463190</v>
      </c>
      <c r="C14423" s="8" t="s">
        <v>9</v>
      </c>
    </row>
    <row r="14424" spans="1:3" x14ac:dyDescent="0.25">
      <c r="A14424" s="8" t="str">
        <f>"Proceedings of 21st International Conference, Radioelektronika 2011"</f>
        <v>Proceedings of 21st International Conference, Radioelektronika 2011</v>
      </c>
      <c r="B14424" s="8" t="str">
        <f>"9781612843223"</f>
        <v>9781612843223</v>
      </c>
      <c r="C14424" s="8" t="s">
        <v>9</v>
      </c>
    </row>
    <row r="14425" spans="1:3" x14ac:dyDescent="0.25">
      <c r="A14425" s="8" t="str">
        <f>"Proceedings of 22nd International Conference on Plastical Optical Fibers, POF 2013"</f>
        <v>Proceedings of 22nd International Conference on Plastical Optical Fibers, POF 2013</v>
      </c>
      <c r="B14425" s="8" t="str">
        <f>"-"</f>
        <v>-</v>
      </c>
      <c r="C14425" s="8" t="s">
        <v>2036</v>
      </c>
    </row>
    <row r="14426" spans="1:3" x14ac:dyDescent="0.25">
      <c r="A14426" s="8" t="str">
        <f>"Proceedings of 22nd International Conference, Radioelektronika 2012"</f>
        <v>Proceedings of 22nd International Conference, Radioelektronika 2012</v>
      </c>
      <c r="B14426" s="8" t="str">
        <f>"9788021444683"</f>
        <v>9788021444683</v>
      </c>
      <c r="C14426" s="8" t="s">
        <v>9</v>
      </c>
    </row>
    <row r="14427" spans="1:3" x14ac:dyDescent="0.25">
      <c r="A14427" s="8" t="str">
        <f>"Proceedings of 23rd International Conference on Artificial Reality and Telexistence, ICAT 2013"</f>
        <v>Proceedings of 23rd International Conference on Artificial Reality and Telexistence, ICAT 2013</v>
      </c>
      <c r="B14427" s="8" t="str">
        <f>"9784904490112"</f>
        <v>9784904490112</v>
      </c>
      <c r="C14427" s="8" t="s">
        <v>9</v>
      </c>
    </row>
    <row r="14428" spans="1:3" x14ac:dyDescent="0.25">
      <c r="A14428" s="8" t="str">
        <f>"Proceedings of 23rd International Conference, RADIOELEKTRONIKA 2013"</f>
        <v>Proceedings of 23rd International Conference, RADIOELEKTRONIKA 2013</v>
      </c>
      <c r="B14428" s="8" t="str">
        <f>"9781467355162"</f>
        <v>9781467355162</v>
      </c>
      <c r="C14428" s="8" t="s">
        <v>9</v>
      </c>
    </row>
    <row r="14429" spans="1:3" x14ac:dyDescent="0.25">
      <c r="A14429" s="8" t="str">
        <f>"Proceedings of 24th International Symposium on Lepton-Photon Interactions at High Energy, LP 2009"</f>
        <v>Proceedings of 24th International Symposium on Lepton-Photon Interactions at High Energy, LP 2009</v>
      </c>
      <c r="B14429" s="8" t="str">
        <f>"9783935702492"</f>
        <v>9783935702492</v>
      </c>
      <c r="C14429" s="8" t="s">
        <v>1279</v>
      </c>
    </row>
    <row r="14430" spans="1:3" x14ac:dyDescent="0.25">
      <c r="A14430" s="8" t="str">
        <f>"Proceedings of 25th International Conference Radioelektronika, RADIOELEKTRONIKA 2015"</f>
        <v>Proceedings of 25th International Conference Radioelektronika, RADIOELEKTRONIKA 2015</v>
      </c>
      <c r="B14430" s="8" t="str">
        <f>"9781479981175"</f>
        <v>9781479981175</v>
      </c>
      <c r="C14430" s="8" t="s">
        <v>105</v>
      </c>
    </row>
    <row r="14431" spans="1:3" x14ac:dyDescent="0.25">
      <c r="A14431" s="8" t="str">
        <f>"Proceedings of 2nd Computer Science Education Research Conference, CSERC 2012"</f>
        <v>Proceedings of 2nd Computer Science Education Research Conference, CSERC 2012</v>
      </c>
      <c r="B14431" s="8" t="str">
        <f>"9781450318587"</f>
        <v>9781450318587</v>
      </c>
      <c r="C14431" s="8" t="s">
        <v>21</v>
      </c>
    </row>
    <row r="14432" spans="1:3" x14ac:dyDescent="0.25">
      <c r="A14432" s="8" t="str">
        <f>"Proceedings of 2nd IEEE International Conference on Logistics Operations Management, GOL 2014"</f>
        <v>Proceedings of 2nd IEEE International Conference on Logistics Operations Management, GOL 2014</v>
      </c>
      <c r="B14432" s="8" t="str">
        <f>"9781479946501"</f>
        <v>9781479946501</v>
      </c>
      <c r="C14432" s="8" t="s">
        <v>105</v>
      </c>
    </row>
    <row r="14433" spans="1:3" x14ac:dyDescent="0.25">
      <c r="A14433" s="8" t="str">
        <f>"Proceedings of 2nd International Conference on Computer Science and Network Technology, ICCSNT 2012"</f>
        <v>Proceedings of 2nd International Conference on Computer Science and Network Technology, ICCSNT 2012</v>
      </c>
      <c r="B14433" s="8" t="str">
        <f>"9781467329644"</f>
        <v>9781467329644</v>
      </c>
      <c r="C14433" s="8" t="s">
        <v>9</v>
      </c>
    </row>
    <row r="14434" spans="1:3" x14ac:dyDescent="0.25">
      <c r="A14434" s="8" t="str">
        <f>"Proceedings of 2nd International Conference on Information Technology and Electronic Commerce, ICITEC 2014"</f>
        <v>Proceedings of 2nd International Conference on Information Technology and Electronic Commerce, ICITEC 2014</v>
      </c>
      <c r="B14434" s="8" t="str">
        <f>"9781479952984"</f>
        <v>9781479952984</v>
      </c>
      <c r="C14434" s="8" t="s">
        <v>105</v>
      </c>
    </row>
    <row r="14435" spans="1:3" x14ac:dyDescent="0.25">
      <c r="A14435" s="8" t="str">
        <f>"Proceedings of 2nd International Conference on the Developments in Renewable Energy Technology, ICDRET 2012"</f>
        <v>Proceedings of 2nd International Conference on the Developments in Renewable Energy Technology, ICDRET 2012</v>
      </c>
      <c r="B14435" s="8" t="str">
        <f>"9781467304634"</f>
        <v>9781467304634</v>
      </c>
      <c r="C14435" s="8" t="s">
        <v>9</v>
      </c>
    </row>
    <row r="14436" spans="1:3" x14ac:dyDescent="0.25">
      <c r="A14436" s="8" t="str">
        <f>"Proceedings of 2nd Joint Student Workshop on Mechatronics, JSWM"</f>
        <v>Proceedings of 2nd Joint Student Workshop on Mechatronics, JSWM</v>
      </c>
      <c r="B14436" s="8" t="str">
        <f>"-"</f>
        <v>-</v>
      </c>
      <c r="C14436" s="8" t="s">
        <v>2104</v>
      </c>
    </row>
    <row r="14437" spans="1:3" x14ac:dyDescent="0.25">
      <c r="A14437" s="8" t="str">
        <f>"Proceedings of 2nd Workshop on General Purpose Processing on Graphics Processing Units, GPGPU-2"</f>
        <v>Proceedings of 2nd Workshop on General Purpose Processing on Graphics Processing Units, GPGPU-2</v>
      </c>
      <c r="B14437" s="8" t="str">
        <f>"9781605585178"</f>
        <v>9781605585178</v>
      </c>
      <c r="C14437" s="8" t="s">
        <v>21</v>
      </c>
    </row>
    <row r="14438" spans="1:3" x14ac:dyDescent="0.25">
      <c r="A14438" s="8" t="str">
        <f>"Proceedings of 32nd International Symposium on Physics in Collision, PIC 2012"</f>
        <v>Proceedings of 32nd International Symposium on Physics in Collision, PIC 2012</v>
      </c>
      <c r="B14438" s="8" t="str">
        <f>"-"</f>
        <v>-</v>
      </c>
      <c r="C14438" s="8" t="s">
        <v>1471</v>
      </c>
    </row>
    <row r="14439" spans="1:3" x14ac:dyDescent="0.25">
      <c r="A14439" s="8" t="str">
        <f>"Proceedings of 36th European Society for Engineering Education, SEFI Conference on Quality Assessment, Employability and Innovation"</f>
        <v>Proceedings of 36th European Society for Engineering Education, SEFI Conference on Quality Assessment, Employability and Innovation</v>
      </c>
      <c r="B14439" s="8" t="str">
        <f>"9789087905712"</f>
        <v>9789087905712</v>
      </c>
      <c r="C14439" s="8" t="s">
        <v>2105</v>
      </c>
    </row>
    <row r="14440" spans="1:3" x14ac:dyDescent="0.25">
      <c r="A14440" s="8" t="str">
        <f>"Proceedings of 3DTV-CON"</f>
        <v>Proceedings of 3DTV-CON</v>
      </c>
      <c r="B14440" s="8" t="str">
        <f>"9781424407224"</f>
        <v>9781424407224</v>
      </c>
      <c r="C14440" s="8" t="s">
        <v>9</v>
      </c>
    </row>
    <row r="14441" spans="1:3" x14ac:dyDescent="0.25">
      <c r="A14441" s="8" t="str">
        <f>"Proceedings of 3rd Asia-Pacific Conference on Antennas and Propagation, APCAP 2014"</f>
        <v>Proceedings of 3rd Asia-Pacific Conference on Antennas and Propagation, APCAP 2014</v>
      </c>
      <c r="B14441" s="8" t="str">
        <f>"9781479943548"</f>
        <v>9781479943548</v>
      </c>
      <c r="C14441" s="8" t="s">
        <v>105</v>
      </c>
    </row>
    <row r="14442" spans="1:3" x14ac:dyDescent="0.25">
      <c r="A14442" s="8" t="str">
        <f>"Proceedings of 3rd Australian Computer, Network and Information Forensics Conference"</f>
        <v>Proceedings of 3rd Australian Computer, Network and Information Forensics Conference</v>
      </c>
      <c r="B14442" s="8" t="str">
        <f>"9780729806121"</f>
        <v>9780729806121</v>
      </c>
      <c r="C14442" s="8" t="s">
        <v>2106</v>
      </c>
    </row>
    <row r="14443" spans="1:3" x14ac:dyDescent="0.25">
      <c r="A14443" s="8" t="str">
        <f>"Proceedings of 3rd Australian Information Security Management Conference"</f>
        <v>Proceedings of 3rd Australian Information Security Management Conference</v>
      </c>
      <c r="B14443" s="8" t="str">
        <f>"9780729806114"</f>
        <v>9780729806114</v>
      </c>
      <c r="C14443" s="8" t="s">
        <v>2106</v>
      </c>
    </row>
    <row r="14444" spans="1:3" x14ac:dyDescent="0.25">
      <c r="A14444" s="8" t="str">
        <f>"Proceedings of 3rd International Conference on Context-Aware Systems and Applications, ICCASA 2014"</f>
        <v>Proceedings of 3rd International Conference on Context-Aware Systems and Applications, ICCASA 2014</v>
      </c>
      <c r="B14444" s="8" t="str">
        <f>"9781631900051"</f>
        <v>9781631900051</v>
      </c>
      <c r="C14444" s="8" t="s">
        <v>1504</v>
      </c>
    </row>
    <row r="14445" spans="1:3" x14ac:dyDescent="0.25">
      <c r="A14445" s="8" t="str">
        <f>"Proceedings of 40th International Symposium on Multiparticle Dynamics, ISMD 2010"</f>
        <v>Proceedings of 40th International Symposium on Multiparticle Dynamics, ISMD 2010</v>
      </c>
      <c r="B14445" s="8" t="str">
        <f>"-"</f>
        <v>-</v>
      </c>
      <c r="C14445" s="8" t="s">
        <v>1279</v>
      </c>
    </row>
    <row r="14446" spans="1:3" x14ac:dyDescent="0.25">
      <c r="A14446" s="8" t="str">
        <f>"Proceedings of 41st Kasetsart University Annual Conference"</f>
        <v>Proceedings of 41st Kasetsart University Annual Conference</v>
      </c>
      <c r="B14446" s="8" t="str">
        <f>"9789745372351"</f>
        <v>9789745372351</v>
      </c>
      <c r="C14446" s="8" t="s">
        <v>2107</v>
      </c>
    </row>
    <row r="14447" spans="1:3" x14ac:dyDescent="0.25">
      <c r="A14447" s="8" t="str">
        <f>"Proceedings of 42nd Kasetsart University Annual Conference"</f>
        <v>Proceedings of 42nd Kasetsart University Annual Conference</v>
      </c>
      <c r="B14447" s="8" t="str">
        <f>"9789745374317"</f>
        <v>9789745374317</v>
      </c>
      <c r="C14447" s="8" t="s">
        <v>2107</v>
      </c>
    </row>
    <row r="14448" spans="1:3" x14ac:dyDescent="0.25">
      <c r="A14448" s="8" t="str">
        <f>"Proceedings of 4th Australian Digital Forensics Conference"</f>
        <v>Proceedings of 4th Australian Digital Forensics Conference</v>
      </c>
      <c r="B14448" s="8" t="str">
        <f>"9780729806244"</f>
        <v>9780729806244</v>
      </c>
      <c r="C14448" s="8" t="s">
        <v>2106</v>
      </c>
    </row>
    <row r="14449" spans="1:3" x14ac:dyDescent="0.25">
      <c r="A14449" s="8" t="str">
        <f>"Proceedings of 4th Australian Information Security Management Conference"</f>
        <v>Proceedings of 4th Australian Information Security Management Conference</v>
      </c>
      <c r="B14449" s="8" t="str">
        <f>"9780729806251"</f>
        <v>9780729806251</v>
      </c>
      <c r="C14449" s="8" t="s">
        <v>2106</v>
      </c>
    </row>
    <row r="14450" spans="1:3" x14ac:dyDescent="0.25">
      <c r="A14450" s="8" t="str">
        <f>"Proceedings of 4th Electronics Packaging Technology Conference, EPTC 2002"</f>
        <v>Proceedings of 4th Electronics Packaging Technology Conference, EPTC 2002</v>
      </c>
      <c r="B14450" s="8" t="str">
        <f>"9780780374355"</f>
        <v>9780780374355</v>
      </c>
      <c r="C14450" s="8" t="s">
        <v>105</v>
      </c>
    </row>
    <row r="14451" spans="1:3" x14ac:dyDescent="0.25">
      <c r="A14451" s="8" t="str">
        <f>"Proceedings of 4th IEEE Internatilonal Symposium on Wireless Communication Systems 2007, ISWCS"</f>
        <v>Proceedings of 4th IEEE Internatilonal Symposium on Wireless Communication Systems 2007, ISWCS</v>
      </c>
      <c r="B14451" s="8" t="str">
        <f>"9781424409792"</f>
        <v>9781424409792</v>
      </c>
      <c r="C14451" s="8" t="s">
        <v>9</v>
      </c>
    </row>
    <row r="14452" spans="1:3" x14ac:dyDescent="0.25">
      <c r="A14452" s="8" t="str">
        <f>"Proceedings of 4th International ASME Conference on Fuel Cell Science, Engineering and Technology, FUELCELL2006"</f>
        <v>Proceedings of 4th International ASME Conference on Fuel Cell Science, Engineering and Technology, FUELCELL2006</v>
      </c>
      <c r="B14452" s="8" t="str">
        <f>"-"</f>
        <v>-</v>
      </c>
      <c r="C14452" s="8" t="s">
        <v>1308</v>
      </c>
    </row>
    <row r="14453" spans="1:3" x14ac:dyDescent="0.25">
      <c r="A14453" s="8" t="str">
        <f>"Proceedings of 4th International Conference on Electrical and Computer Engineering, ICECE 2006"</f>
        <v>Proceedings of 4th International Conference on Electrical and Computer Engineering, ICECE 2006</v>
      </c>
      <c r="B14453" s="8" t="str">
        <f>"9789843238146"</f>
        <v>9789843238146</v>
      </c>
      <c r="C14453" s="8" t="s">
        <v>9</v>
      </c>
    </row>
    <row r="14454" spans="1:3" x14ac:dyDescent="0.25">
      <c r="A14454" s="8" t="str">
        <f>"Proceedings of 4th International Conference on New Trends in Software Methodologies, Tools and Techniques, SoMeT_05"</f>
        <v>Proceedings of 4th International Conference on New Trends in Software Methodologies, Tools and Techniques, SoMeT_05</v>
      </c>
      <c r="B14454" s="8" t="str">
        <f>"9781586035563"</f>
        <v>9781586035563</v>
      </c>
      <c r="C14454" s="8" t="s">
        <v>103</v>
      </c>
    </row>
    <row r="14455" spans="1:3" x14ac:dyDescent="0.25">
      <c r="A14455" s="8" t="str">
        <f>"Proceedings of 4th International Workshop on Advanced Computational Intelligence, IWACI 2011"</f>
        <v>Proceedings of 4th International Workshop on Advanced Computational Intelligence, IWACI 2011</v>
      </c>
      <c r="B14455" s="8" t="str">
        <f>"9781612843735"</f>
        <v>9781612843735</v>
      </c>
      <c r="C14455" s="8" t="s">
        <v>9</v>
      </c>
    </row>
    <row r="14456" spans="1:3" x14ac:dyDescent="0.25">
      <c r="A14456" s="8" t="str">
        <f>"Proceedings of 5th ACM SIGCOMM Workshop on Network and System Support for Games, NetGames '06"</f>
        <v>Proceedings of 5th ACM SIGCOMM Workshop on Network and System Support for Games, NetGames '06</v>
      </c>
      <c r="B14456" s="8" t="str">
        <f>"9781595935892"</f>
        <v>9781595935892</v>
      </c>
      <c r="C14456" s="8" t="s">
        <v>21</v>
      </c>
    </row>
    <row r="14457" spans="1:3" x14ac:dyDescent="0.25">
      <c r="A14457" s="8" t="str">
        <f>"Proceedings of 5th International Conference on New Trends in Software Methodologies, Tools and Techniques, SoMeT_06"</f>
        <v>Proceedings of 5th International Conference on New Trends in Software Methodologies, Tools and Techniques, SoMeT_06</v>
      </c>
      <c r="B14457" s="8" t="str">
        <f>"9781586036737"</f>
        <v>9781586036737</v>
      </c>
      <c r="C14457" s="8" t="s">
        <v>103</v>
      </c>
    </row>
    <row r="14458" spans="1:3" x14ac:dyDescent="0.25">
      <c r="A14458" s="8" t="str">
        <f>"Proceedings of 6th Australian Information Security Management Conference"</f>
        <v>Proceedings of 6th Australian Information Security Management Conference</v>
      </c>
      <c r="B14458" s="8" t="str">
        <f>"9780729806657"</f>
        <v>9780729806657</v>
      </c>
      <c r="C14458" s="8" t="s">
        <v>2106</v>
      </c>
    </row>
    <row r="14459" spans="1:3" x14ac:dyDescent="0.25">
      <c r="A14459" s="8" t="str">
        <f>"Proceedings of 6th Conference on Flavor Physics and CP Violation, FPCP 2008"</f>
        <v>Proceedings of 6th Conference on Flavor Physics and CP Violation, FPCP 2008</v>
      </c>
      <c r="B14459" s="8" t="str">
        <f>"-"</f>
        <v>-</v>
      </c>
      <c r="C14459" s="8" t="s">
        <v>1793</v>
      </c>
    </row>
    <row r="14460" spans="1:3" x14ac:dyDescent="0.25">
      <c r="A14460" s="8" t="str">
        <f>"Proceedings of 6th Electronics Packaging Technology Conference, EPTC 2004"</f>
        <v>Proceedings of 6th Electronics Packaging Technology Conference, EPTC 2004</v>
      </c>
      <c r="B14460" s="8" t="str">
        <f>"9780780388215"</f>
        <v>9780780388215</v>
      </c>
      <c r="C14460" s="8" t="s">
        <v>9</v>
      </c>
    </row>
    <row r="14461" spans="1:3" x14ac:dyDescent="0.25">
      <c r="A14461" s="8" t="str">
        <f>"Proceedings of 6th European Conference on Antennas and Propagation, EuCAP 2012"</f>
        <v>Proceedings of 6th European Conference on Antennas and Propagation, EuCAP 2012</v>
      </c>
      <c r="B14461" s="8" t="str">
        <f>"9781457709180"</f>
        <v>9781457709180</v>
      </c>
      <c r="C14461" s="8" t="s">
        <v>9</v>
      </c>
    </row>
    <row r="14462" spans="1:3" x14ac:dyDescent="0.25">
      <c r="A14462" s="8" t="str">
        <f>"Proceedings of 6th IEEE Power India International Conference, PIICON 2014"</f>
        <v>Proceedings of 6th IEEE Power India International Conference, PIICON 2014</v>
      </c>
      <c r="B14462" s="8" t="str">
        <f>"9781479960415"</f>
        <v>9781479960415</v>
      </c>
      <c r="C14462" s="8" t="s">
        <v>105</v>
      </c>
    </row>
    <row r="14463" spans="1:3" x14ac:dyDescent="0.25">
      <c r="A14463" s="8" t="str">
        <f>"Proceedings of 6th International Bhurban Conference on Applied Sciences and Technology, IBCAST-2009"</f>
        <v>Proceedings of 6th International Bhurban Conference on Applied Sciences and Technology, IBCAST-2009</v>
      </c>
      <c r="B14463" s="8" t="str">
        <f>"9789698741075"</f>
        <v>9789698741075</v>
      </c>
      <c r="C14463" s="8" t="s">
        <v>9</v>
      </c>
    </row>
    <row r="14464" spans="1:3" x14ac:dyDescent="0.25">
      <c r="A14464" s="8" t="str">
        <f>"Proceedings of 6th International Conference on Wireless Communication and Sensor Networks, WCSN-2010"</f>
        <v>Proceedings of 6th International Conference on Wireless Communication and Sensor Networks, WCSN-2010</v>
      </c>
      <c r="B14464" s="8" t="str">
        <f>"9781424497287"</f>
        <v>9781424497287</v>
      </c>
      <c r="C14464" s="8" t="s">
        <v>9</v>
      </c>
    </row>
    <row r="14465" spans="1:3" x14ac:dyDescent="0.25">
      <c r="A14465" s="8" t="str">
        <f>"Proceedings of 6th International Seminar/Workshop on: Direct and Inverse problems of Electromagnetic and Acoustic Wave Theory"</f>
        <v>Proceedings of 6th International Seminar/Workshop on: Direct and Inverse problems of Electromagnetic and Acoustic Wave Theory</v>
      </c>
      <c r="B14465" s="8" t="str">
        <f>"9789660218765"</f>
        <v>9789660218765</v>
      </c>
      <c r="C14465" s="8" t="s">
        <v>105</v>
      </c>
    </row>
    <row r="14466" spans="1:3" x14ac:dyDescent="0.25">
      <c r="A14466" s="8" t="str">
        <f>"Proceedings of 7th Electronics Packaging Technology Conference, EPTC 2005"</f>
        <v>Proceedings of 7th Electronics Packaging Technology Conference, EPTC 2005</v>
      </c>
      <c r="B14466" s="8" t="str">
        <f>"9780780395787"</f>
        <v>9780780395787</v>
      </c>
      <c r="C14466" s="8" t="s">
        <v>9</v>
      </c>
    </row>
    <row r="14467" spans="1:3" x14ac:dyDescent="0.25">
      <c r="A14467" s="8" t="str">
        <f>"Proceedings of 7th Windsor Conference: The Changing Context of Comfort in an Unpredictable World"</f>
        <v>Proceedings of 7th Windsor Conference: The Changing Context of Comfort in an Unpredictable World</v>
      </c>
      <c r="B14467" s="8" t="str">
        <f>"-"</f>
        <v>-</v>
      </c>
      <c r="C14467" s="8" t="s">
        <v>2108</v>
      </c>
    </row>
    <row r="14468" spans="1:3" x14ac:dyDescent="0.25">
      <c r="A14468" s="8" t="str">
        <f>"Proceedings of 8th Biennial ASME Conference on Engineering Systems Design and Analysis, ESDA 2006"</f>
        <v>Proceedings of 8th Biennial ASME Conference on Engineering Systems Design and Analysis, ESDA 2006</v>
      </c>
      <c r="B14468" s="8" t="str">
        <f>"-"</f>
        <v>-</v>
      </c>
      <c r="C14468" s="8" t="s">
        <v>1308</v>
      </c>
    </row>
    <row r="14469" spans="1:3" x14ac:dyDescent="0.25">
      <c r="A14469" s="8" t="str">
        <f>"Proceedings of 8th International Conference on New Trends in Software Methodologies, Tools and Techniques, SoMeT_09"</f>
        <v>Proceedings of 8th International Conference on New Trends in Software Methodologies, Tools and Techniques, SoMeT_09</v>
      </c>
      <c r="B14469" s="8" t="str">
        <f>"9781607500490"</f>
        <v>9781607500490</v>
      </c>
      <c r="C14469" s="8" t="s">
        <v>103</v>
      </c>
    </row>
    <row r="14470" spans="1:3" x14ac:dyDescent="0.25">
      <c r="A14470" s="8" t="str">
        <f>"Proceedings of 8th Pacific Structural Steel Conference - Steel Structures in Natural Hazards, PSSC 2007"</f>
        <v>Proceedings of 8th Pacific Structural Steel Conference - Steel Structures in Natural Hazards, PSSC 2007</v>
      </c>
      <c r="B14470" s="8" t="str">
        <f>"9780908694549"</f>
        <v>9780908694549</v>
      </c>
      <c r="C14470" s="8" t="s">
        <v>1266</v>
      </c>
    </row>
    <row r="14471" spans="1:3" x14ac:dyDescent="0.25">
      <c r="A14471" s="8" t="str">
        <f>"Proceedings of 9th International Conference on New Trends in Software Methodologies, Tools and Techniques, SoMeT_10"</f>
        <v>Proceedings of 9th International Conference on New Trends in Software Methodologies, Tools and Techniques, SoMeT_10</v>
      </c>
      <c r="B14471" s="8" t="str">
        <f>"9781607506287"</f>
        <v>9781607506287</v>
      </c>
      <c r="C14471" s="8" t="s">
        <v>103</v>
      </c>
    </row>
    <row r="14472" spans="1:3" x14ac:dyDescent="0.25">
      <c r="A14472" s="8" t="str">
        <f>"Proceedings of 9th International Conference, ELEKTRO 2012"</f>
        <v>Proceedings of 9th International Conference, ELEKTRO 2012</v>
      </c>
      <c r="B14472" s="8" t="str">
        <f>"9781467311793"</f>
        <v>9781467311793</v>
      </c>
      <c r="C14472" s="8" t="s">
        <v>9</v>
      </c>
    </row>
    <row r="14473" spans="1:3" x14ac:dyDescent="0.25">
      <c r="A14473" s="8" t="str">
        <f>"Proceedings of AAIP 2011 - 4th International Workshop on Approaches and Applications of Inductive Programming"</f>
        <v>Proceedings of AAIP 2011 - 4th International Workshop on Approaches and Applications of Inductive Programming</v>
      </c>
      <c r="B14473" s="8" t="str">
        <f>"-"</f>
        <v>-</v>
      </c>
      <c r="C14473" s="8" t="s">
        <v>2109</v>
      </c>
    </row>
    <row r="14474" spans="1:3" x14ac:dyDescent="0.25">
      <c r="A14474" s="8" t="str">
        <f>"Proceedings of ACM SIGCOMM 2005 3rd Workshop on the Economics of Peer-to-Peer Systems, P2PECON 2005"</f>
        <v>Proceedings of ACM SIGCOMM 2005 3rd Workshop on the Economics of Peer-to-Peer Systems, P2PECON 2005</v>
      </c>
      <c r="B14474" s="8" t="str">
        <f>"9781595930262"</f>
        <v>9781595930262</v>
      </c>
      <c r="C14474" s="8" t="s">
        <v>21</v>
      </c>
    </row>
    <row r="14475" spans="1:3" x14ac:dyDescent="0.25">
      <c r="A14475" s="8" t="str">
        <f>"Proceedings of ACM SIGCOMM 2005 Workshop on Mining Network Data, MineNet 2005"</f>
        <v>Proceedings of ACM SIGCOMM 2005 Workshop on Mining Network Data, MineNet 2005</v>
      </c>
      <c r="B14475" s="8" t="str">
        <f>"9781595930262"</f>
        <v>9781595930262</v>
      </c>
      <c r="C14475" s="8" t="s">
        <v>21</v>
      </c>
    </row>
    <row r="14476" spans="1:3" x14ac:dyDescent="0.25">
      <c r="A14476" s="8" t="str">
        <f>"Proceedings of ACM SIGCOMM 2005 Workshops: Conference on Computer Communications"</f>
        <v>Proceedings of ACM SIGCOMM 2005 Workshops: Conference on Computer Communications</v>
      </c>
      <c r="B14476" s="8" t="str">
        <f>"9781595930262"</f>
        <v>9781595930262</v>
      </c>
      <c r="C14476" s="8" t="s">
        <v>21</v>
      </c>
    </row>
    <row r="14477" spans="1:3" x14ac:dyDescent="0.25">
      <c r="A14477" s="8" t="str">
        <f>"Proceedings of ACM SIGCOMM 2006 - Conference on Applications, Technologies, Architectures, and Protocols for Computer Communication"</f>
        <v>Proceedings of ACM SIGCOMM 2006 - Conference on Applications, Technologies, Architectures, and Protocols for Computer Communication</v>
      </c>
      <c r="B14477" s="8" t="str">
        <f>"-"</f>
        <v>-</v>
      </c>
      <c r="C14477" s="8" t="s">
        <v>21</v>
      </c>
    </row>
    <row r="14478" spans="1:3" x14ac:dyDescent="0.25">
      <c r="A14478" s="8" t="str">
        <f>"Proceedings of ACM SIGCOMM 2007 Workshops - 2nd ACM International Workshop on Mobility in the Evolving Internet Architecture, MobiArch'07"</f>
        <v>Proceedings of ACM SIGCOMM 2007 Workshops - 2nd ACM International Workshop on Mobility in the Evolving Internet Architecture, MobiArch'07</v>
      </c>
      <c r="B14478" s="8" t="str">
        <f>"-"</f>
        <v>-</v>
      </c>
      <c r="C14478" s="8" t="s">
        <v>21</v>
      </c>
    </row>
    <row r="14479" spans="1:3" x14ac:dyDescent="0.25">
      <c r="A14479" s="8" t="str">
        <f>"Proceedings of ACM Symposium on Software Visualization"</f>
        <v>Proceedings of ACM Symposium on Software Visualization</v>
      </c>
      <c r="B14479" s="8" t="str">
        <f>"9781581136425"</f>
        <v>9781581136425</v>
      </c>
      <c r="C14479" s="8" t="s">
        <v>21</v>
      </c>
    </row>
    <row r="14480" spans="1:3" x14ac:dyDescent="0.25">
      <c r="A14480" s="8" t="str">
        <f>"Proceedings of AFRIGRAPH 2009: 6th International Conference on Computer Graphics, Virtual Reality, Visualisation and Interaction in Africa"</f>
        <v>Proceedings of AFRIGRAPH 2009: 6th International Conference on Computer Graphics, Virtual Reality, Visualisation and Interaction in Africa</v>
      </c>
      <c r="B14480" s="8" t="str">
        <f>"9781605584287"</f>
        <v>9781605584287</v>
      </c>
      <c r="C14480" s="8" t="s">
        <v>21</v>
      </c>
    </row>
    <row r="14481" spans="1:3" x14ac:dyDescent="0.25">
      <c r="A14481" s="8" t="str">
        <f>"Proceedings of AFRIGRAPH 2010: 7th International Conference on Computer Graphics, Virtual Reality, Visualisation and Interaction in Africa"</f>
        <v>Proceedings of AFRIGRAPH 2010: 7th International Conference on Computer Graphics, Virtual Reality, Visualisation and Interaction in Africa</v>
      </c>
      <c r="B14481" s="8" t="str">
        <f>"9781450301183"</f>
        <v>9781450301183</v>
      </c>
      <c r="C14481" s="8" t="s">
        <v>21</v>
      </c>
    </row>
    <row r="14482" spans="1:3" x14ac:dyDescent="0.25">
      <c r="A14482" s="8" t="str">
        <f>"Proceedings of AISB'06: Adaptation in Artificial and Biological Systems"</f>
        <v>Proceedings of AISB'06: Adaptation in Artificial and Biological Systems</v>
      </c>
      <c r="B14482" s="8" t="str">
        <f>"-"</f>
        <v>-</v>
      </c>
      <c r="C14482" s="8" t="s">
        <v>1465</v>
      </c>
    </row>
    <row r="14483" spans="1:3" x14ac:dyDescent="0.25">
      <c r="A14483" s="8" t="str">
        <f>"Proceedings of AM-FPD 2015 - 22nd International Workshop on Active-Matrix Flatpanel Displays and Devices: TFT Technologies and FPD Materials"</f>
        <v>Proceedings of AM-FPD 2015 - 22nd International Workshop on Active-Matrix Flatpanel Displays and Devices: TFT Technologies and FPD Materials</v>
      </c>
      <c r="B14483" s="8" t="str">
        <f>"9784863484771"</f>
        <v>9784863484771</v>
      </c>
      <c r="C14483" s="8" t="s">
        <v>105</v>
      </c>
    </row>
    <row r="14484" spans="1:3" x14ac:dyDescent="0.25">
      <c r="A14484" s="8" t="str">
        <f>"Proceedings of an International Conference on Solid-Solid Phase Transformations in Inorganic Materials 2005"</f>
        <v>Proceedings of an International Conference on Solid-Solid Phase Transformations in Inorganic Materials 2005</v>
      </c>
      <c r="B14484" s="8" t="str">
        <f>"-"</f>
        <v>-</v>
      </c>
      <c r="C14484" s="8" t="s">
        <v>648</v>
      </c>
    </row>
    <row r="14485" spans="1:3" x14ac:dyDescent="0.25">
      <c r="A14485" s="8" t="str">
        <f>"Proceedings of an International Workshop on Durability of Reinforced Concrete under Combined Mechanical and Climatic Loads, CMCL"</f>
        <v>Proceedings of an International Workshop on Durability of Reinforced Concrete under Combined Mechanical and Climatic Loads, CMCL</v>
      </c>
      <c r="B14485" s="8" t="str">
        <f>"9783931681821"</f>
        <v>9783931681821</v>
      </c>
      <c r="C14485" s="8" t="s">
        <v>2110</v>
      </c>
    </row>
    <row r="14486" spans="1:3" x14ac:dyDescent="0.25">
      <c r="A14486" s="8" t="str">
        <f>"Proceedings of an International Workshop on Durability of Reinforced Concrete under Combined Mechanical and Climatic Loads, CMCL"</f>
        <v>Proceedings of an International Workshop on Durability of Reinforced Concrete under Combined Mechanical and Climatic Loads, CMCL</v>
      </c>
      <c r="B14486" s="8" t="str">
        <f>"9783931681821"</f>
        <v>9783931681821</v>
      </c>
    </row>
    <row r="14487" spans="1:3" x14ac:dyDescent="0.25">
      <c r="A14487" s="8" t="str">
        <f>"Proceedings of ANES/ASME XXX National Solar Energy Week"</f>
        <v>Proceedings of ANES/ASME XXX National Solar Energy Week</v>
      </c>
      <c r="B14487" s="8" t="str">
        <f>"-"</f>
        <v>-</v>
      </c>
      <c r="C14487" s="8" t="s">
        <v>2111</v>
      </c>
    </row>
    <row r="14488" spans="1:3" x14ac:dyDescent="0.25">
      <c r="A14488" s="8" t="str">
        <f>"Proceedings of AOM @ AOSD'08 12th Int'l Workshop on Aspect-Oriented Modeling - Held in Conjunction with the 7th Int'l Conference on Aspect-Oriented Software Development"</f>
        <v>Proceedings of AOM @ AOSD'08 12th Int'l Workshop on Aspect-Oriented Modeling - Held in Conjunction with the 7th Int'l Conference on Aspect-Oriented Software Development</v>
      </c>
      <c r="B14488" s="8" t="str">
        <f>"9781605581460"</f>
        <v>9781605581460</v>
      </c>
      <c r="C14488" s="8" t="s">
        <v>21</v>
      </c>
    </row>
    <row r="14489" spans="1:3" x14ac:dyDescent="0.25">
      <c r="A14489" s="8" t="str">
        <f>"Proceedings of APMS 2010 - International Conference on Advances in Production Management Systems"</f>
        <v>Proceedings of APMS 2010 - International Conference on Advances in Production Management Systems</v>
      </c>
      <c r="B14489" s="8" t="str">
        <f>"9788864930077"</f>
        <v>9788864930077</v>
      </c>
      <c r="C14489" s="8" t="s">
        <v>2112</v>
      </c>
    </row>
    <row r="14490" spans="1:3" x14ac:dyDescent="0.25">
      <c r="A14490" s="8" t="str">
        <f>"Proceedings of Asian Simulation Conference; System Simulation and Scientific Computing (Shanghai)"</f>
        <v>Proceedings of Asian Simulation Conference; System Simulation and Scientific Computing (Shanghai)</v>
      </c>
      <c r="B14490" s="8" t="str">
        <f>"9787506255714"</f>
        <v>9787506255714</v>
      </c>
      <c r="C14490" s="8" t="s">
        <v>991</v>
      </c>
    </row>
    <row r="14491" spans="1:3" x14ac:dyDescent="0.25">
      <c r="A14491" s="8" t="str">
        <f>"Proceedings of Asian Simulation Conference; System Simulation and Scientific Computing (Shanghai)"</f>
        <v>Proceedings of Asian Simulation Conference; System Simulation and Scientific Computing (Shanghai)</v>
      </c>
      <c r="B14491" s="8" t="str">
        <f>"9787506255714"</f>
        <v>9787506255714</v>
      </c>
      <c r="C14491" s="8" t="s">
        <v>991</v>
      </c>
    </row>
    <row r="14492" spans="1:3" x14ac:dyDescent="0.25">
      <c r="A14492" s="8" t="str">
        <f>"Proceedings of ASME Fluids Engineering Division Summer Meeting 2006, FEDSM2006"</f>
        <v>Proceedings of ASME Fluids Engineering Division Summer Meeting 2006, FEDSM2006</v>
      </c>
      <c r="B14492" s="8" t="str">
        <f>"9780791847503"</f>
        <v>9780791847503</v>
      </c>
      <c r="C14492" s="8" t="s">
        <v>1308</v>
      </c>
    </row>
    <row r="14493" spans="1:3" x14ac:dyDescent="0.25">
      <c r="A14493" s="8" t="str">
        <f>"Proceedings of ASMTA 2005: 12th International Conference on Analytical and Stochastic Modelling Techniques and Applications"</f>
        <v>Proceedings of ASMTA 2005: 12th International Conference on Analytical and Stochastic Modelling Techniques and Applications</v>
      </c>
      <c r="B14493" s="8" t="str">
        <f>"9781842331163"</f>
        <v>9781842331163</v>
      </c>
      <c r="C14493" s="8" t="s">
        <v>1391</v>
      </c>
    </row>
    <row r="14494" spans="1:3" x14ac:dyDescent="0.25">
      <c r="A14494" s="8" t="str">
        <f>"Proceedings of ASMTA 2006: 13th International Conference on Analytical and Stochastic Modelling Techniques and Applications"</f>
        <v>Proceedings of ASMTA 2006: 13th International Conference on Analytical and Stochastic Modelling Techniques and Applications</v>
      </c>
      <c r="B14494" s="8" t="str">
        <f>"9780955301803"</f>
        <v>9780955301803</v>
      </c>
      <c r="C14494" s="8" t="s">
        <v>1391</v>
      </c>
    </row>
    <row r="14495" spans="1:3" x14ac:dyDescent="0.25">
      <c r="A14495" s="8" t="str">
        <f>"Proceedings of ASMTA 2007: 14th International Conference on Analytical and Stochastic Modelling Techniques and Applications"</f>
        <v>Proceedings of ASMTA 2007: 14th International Conference on Analytical and Stochastic Modelling Techniques and Applications</v>
      </c>
      <c r="B14495" s="8" t="str">
        <f>"9780955301841"</f>
        <v>9780955301841</v>
      </c>
      <c r="C14495" s="8" t="s">
        <v>1391</v>
      </c>
    </row>
    <row r="14496" spans="1:3" x14ac:dyDescent="0.25">
      <c r="A14496" s="8" t="str">
        <f>"Proceedings of ASRU 2005: 2005 IEEE Automatic Speech Recognition and Understanding Workshop"</f>
        <v>Proceedings of ASRU 2005: 2005 IEEE Automatic Speech Recognition and Understanding Workshop</v>
      </c>
      <c r="B14496" s="8" t="str">
        <f>"-"</f>
        <v>-</v>
      </c>
      <c r="C14496" s="8" t="s">
        <v>9</v>
      </c>
    </row>
    <row r="14497" spans="1:3" x14ac:dyDescent="0.25">
      <c r="A14497" s="8" t="str">
        <f>"Proceedings of Audio Mostly 2009 - A Conference on Interaction with Sound"</f>
        <v>Proceedings of Audio Mostly 2009 - A Conference on Interaction with Sound</v>
      </c>
      <c r="B14497" s="8" t="str">
        <f>"-"</f>
        <v>-</v>
      </c>
      <c r="C14497" s="8" t="s">
        <v>1692</v>
      </c>
    </row>
    <row r="14498" spans="1:3" x14ac:dyDescent="0.25">
      <c r="A14498" s="8" t="str">
        <f>"Proceedings of BELIV'06: BEyond time and errors - novel EvaLuation methods for Information Visualization. A workshop of the AVI 2006 International Working Conference"</f>
        <v>Proceedings of BELIV'06: BEyond time and errors - novel EvaLuation methods for Information Visualization. A workshop of the AVI 2006 International Working Conference</v>
      </c>
      <c r="B14498" s="8" t="str">
        <f>"9781595935625"</f>
        <v>9781595935625</v>
      </c>
      <c r="C14498" s="8" t="s">
        <v>21</v>
      </c>
    </row>
    <row r="14499" spans="1:3" x14ac:dyDescent="0.25">
      <c r="A14499" s="8" t="str">
        <f>"Proceedings of B-INTERFACE 2010 - 1st International Wokshop on Bio-inspired Human-Machine Interfaces and Healthcare Applications, in Conjunction with BIOSTEC 2010"</f>
        <v>Proceedings of B-INTERFACE 2010 - 1st International Wokshop on Bio-inspired Human-Machine Interfaces and Healthcare Applications, in Conjunction with BIOSTEC 2010</v>
      </c>
      <c r="B14499" s="8" t="str">
        <f>"9789896740207"</f>
        <v>9789896740207</v>
      </c>
      <c r="C14499" s="8" t="s">
        <v>1553</v>
      </c>
    </row>
    <row r="14500" spans="1:3" x14ac:dyDescent="0.25">
      <c r="A14500" s="8" t="str">
        <f>"Proceedings of BS 2013- 13th Conference of International Building Performance Simulation Association"</f>
        <v>Proceedings of BS 2013- 13th Conference of International Building Performance Simulation Association</v>
      </c>
      <c r="B14500" s="8" t="str">
        <f>"-"</f>
        <v>-</v>
      </c>
      <c r="C14500" s="8" t="s">
        <v>1872</v>
      </c>
    </row>
    <row r="14501" spans="1:3" x14ac:dyDescent="0.25">
      <c r="A14501" s="8" t="str">
        <f>"Proceedings of BS 2013: 13th Conference of the International Building Performance Simulation Association"</f>
        <v>Proceedings of BS 2013: 13th Conference of the International Building Performance Simulation Association</v>
      </c>
      <c r="B14501" s="8" t="str">
        <f>"-"</f>
        <v>-</v>
      </c>
      <c r="C14501" s="8" t="s">
        <v>1872</v>
      </c>
    </row>
    <row r="14502" spans="1:3" x14ac:dyDescent="0.25">
      <c r="A14502" s="8" t="str">
        <f>"Proceedings of Building Simulation 2011: 12th Conference of International Building Performance Simulation Association"</f>
        <v>Proceedings of Building Simulation 2011: 12th Conference of International Building Performance Simulation Association</v>
      </c>
      <c r="B14502" s="8" t="str">
        <f>"-"</f>
        <v>-</v>
      </c>
      <c r="C14502" s="8" t="s">
        <v>1872</v>
      </c>
    </row>
    <row r="14503" spans="1:3" x14ac:dyDescent="0.25">
      <c r="A14503" s="8" t="str">
        <f>"Proceedings of CAMA 2006: 1st International ACM Workshop on Contextualized Attention Metadata: Collecting, Managing and Exploiting of Rich Usage Information"</f>
        <v>Proceedings of CAMA 2006: 1st International ACM Workshop on Contextualized Attention Metadata: Collecting, Managing and Exploiting of Rich Usage Information</v>
      </c>
      <c r="B14503" s="8" t="str">
        <f>"9781595935243"</f>
        <v>9781595935243</v>
      </c>
      <c r="C14503" s="8" t="s">
        <v>21</v>
      </c>
    </row>
    <row r="14504" spans="1:3" x14ac:dyDescent="0.25">
      <c r="A14504" s="8" t="str">
        <f>"Proceedings of CAOL 2005: 2nd International Conference on Advanced Optoelectronics and Lasers"</f>
        <v>Proceedings of CAOL 2005: 2nd International Conference on Advanced Optoelectronics and Lasers</v>
      </c>
      <c r="B14504" s="8" t="str">
        <f>"-"</f>
        <v>-</v>
      </c>
      <c r="C14504" s="8" t="s">
        <v>9</v>
      </c>
    </row>
    <row r="14505" spans="1:3" x14ac:dyDescent="0.25">
      <c r="A14505" s="8" t="str">
        <f>"Proceedings of CAOL 2008: 4th International Conference on Advanced Optoelectronics and Lasers"</f>
        <v>Proceedings of CAOL 2008: 4th International Conference on Advanced Optoelectronics and Lasers</v>
      </c>
      <c r="B14505" s="8" t="str">
        <f>"9781424419746"</f>
        <v>9781424419746</v>
      </c>
      <c r="C14505" s="8" t="s">
        <v>9</v>
      </c>
    </row>
    <row r="14506" spans="1:3" x14ac:dyDescent="0.25">
      <c r="A14506" s="8" t="str">
        <f>"Proceedings of CASCON - 1st Decade High Impact Papers"</f>
        <v>Proceedings of CASCON - 1st Decade High Impact Papers</v>
      </c>
      <c r="B14506" s="8" t="str">
        <f>"-"</f>
        <v>-</v>
      </c>
      <c r="C14506" s="8" t="s">
        <v>21</v>
      </c>
    </row>
    <row r="14507" spans="1:3" x14ac:dyDescent="0.25">
      <c r="A14507" s="8" t="str">
        <f>"Proceedings of CBMS 2013 - 26th IEEE International Symposium on Computer-Based Medical Systems"</f>
        <v>Proceedings of CBMS 2013 - 26th IEEE International Symposium on Computer-Based Medical Systems</v>
      </c>
      <c r="B14507" s="8" t="str">
        <f>"9781479910533"</f>
        <v>9781479910533</v>
      </c>
      <c r="C14507" s="8" t="s">
        <v>9</v>
      </c>
    </row>
    <row r="14508" spans="1:3" x14ac:dyDescent="0.25">
      <c r="A14508" s="8" t="str">
        <f>"Proceedings of CGAMES 2006 - 8th International Conference on Computer Games: Artificial Intelligence and Mobile Systems"</f>
        <v>Proceedings of CGAMES 2006 - 8th International Conference on Computer Games: Artificial Intelligence and Mobile Systems</v>
      </c>
      <c r="B14508" s="8" t="str">
        <f>"-"</f>
        <v>-</v>
      </c>
      <c r="C14508" s="8" t="s">
        <v>2113</v>
      </c>
    </row>
    <row r="14509" spans="1:3" x14ac:dyDescent="0.25">
      <c r="A14509" s="8" t="str">
        <f>"Proceedings of CGAMES 2006 - 9th International Conference on Computer Games: Artificial Intelligence and Mobile Systems"</f>
        <v>Proceedings of CGAMES 2006 - 9th International Conference on Computer Games: Artificial Intelligence and Mobile Systems</v>
      </c>
      <c r="B14509" s="8" t="str">
        <f>"-"</f>
        <v>-</v>
      </c>
      <c r="C14509" s="8" t="s">
        <v>2113</v>
      </c>
    </row>
    <row r="14510" spans="1:3" x14ac:dyDescent="0.25">
      <c r="A14510" s="8" t="str">
        <f>"Proceedings of CGAMES 2007 - 10th International Conference on Computer Games: AI, Animation, Mobile, Educational and Serious Games"</f>
        <v>Proceedings of CGAMES 2007 - 10th International Conference on Computer Games: AI, Animation, Mobile, Educational and Serious Games</v>
      </c>
      <c r="B14510" s="8" t="str">
        <f>"9780954901639"</f>
        <v>9780954901639</v>
      </c>
      <c r="C14510" s="8" t="s">
        <v>2113</v>
      </c>
    </row>
    <row r="14511" spans="1:3" x14ac:dyDescent="0.25">
      <c r="A14511" s="8" t="str">
        <f>"Proceedings of CGAMES 2013 USA - 18th International Conference on Computer Games: AI, Animation, Mobile, Interactive Multimedia, Educational and Serious Games"</f>
        <v>Proceedings of CGAMES 2013 USA - 18th International Conference on Computer Games: AI, Animation, Mobile, Interactive Multimedia, Educational and Serious Games</v>
      </c>
      <c r="B14511" s="8" t="str">
        <f>"9781479908189"</f>
        <v>9781479908189</v>
      </c>
      <c r="C14511" s="8" t="s">
        <v>9</v>
      </c>
    </row>
    <row r="14512" spans="1:3" x14ac:dyDescent="0.25">
      <c r="A14512" s="8" t="str">
        <f>"Proceedings of CGAMES 2014 USA - 19th International Conference on Computer Games: AI, Animation, Mobile, Interactive Multimedia, Educational and Serious Games"</f>
        <v>Proceedings of CGAMES 2014 USA - 19th International Conference on Computer Games: AI, Animation, Mobile, Interactive Multimedia, Educational and Serious Games</v>
      </c>
      <c r="B14512" s="8" t="str">
        <f>"9781479958535"</f>
        <v>9781479958535</v>
      </c>
      <c r="C14512" s="8" t="s">
        <v>105</v>
      </c>
    </row>
    <row r="14513" spans="1:3" x14ac:dyDescent="0.25">
      <c r="A14513" s="8" t="str">
        <f>"Proceedings of CGAMES'2011 USA - 16th International Conference on Computer Games: AI, Animation, Mobile, Interactive Multimedia, Educational and Serious Games"</f>
        <v>Proceedings of CGAMES'2011 USA - 16th International Conference on Computer Games: AI, Animation, Mobile, Interactive Multimedia, Educational and Serious Games</v>
      </c>
      <c r="B14513" s="8" t="str">
        <f>"9781457714504"</f>
        <v>9781457714504</v>
      </c>
      <c r="C14513" s="8" t="s">
        <v>9</v>
      </c>
    </row>
    <row r="14514" spans="1:3" x14ac:dyDescent="0.25">
      <c r="A14514" s="8" t="str">
        <f>"Proceedings of CGAMES'2012 USA - 17th International Conference on Computer Games: AI, Animation, Mobile, Interactive Multimedia, Educational and Serious Games"</f>
        <v>Proceedings of CGAMES'2012 USA - 17th International Conference on Computer Games: AI, Animation, Mobile, Interactive Multimedia, Educational and Serious Games</v>
      </c>
      <c r="B14514" s="8" t="str">
        <f>"9781467311199"</f>
        <v>9781467311199</v>
      </c>
      <c r="C14514" s="8" t="s">
        <v>9</v>
      </c>
    </row>
    <row r="14515" spans="1:3" x14ac:dyDescent="0.25">
      <c r="A14515" s="8" t="str">
        <f>"Proceedings of CHINZ 2003: The 4th Annual Conference of the ACM Special Interest Group on Computer-Human Interaction New Zealand Chapter"</f>
        <v>Proceedings of CHINZ 2003: The 4th Annual Conference of the ACM Special Interest Group on Computer-Human Interaction New Zealand Chapter</v>
      </c>
      <c r="B14515" s="8" t="str">
        <f>"9780473095536"</f>
        <v>9780473095536</v>
      </c>
      <c r="C14515" s="8" t="s">
        <v>21</v>
      </c>
    </row>
    <row r="14516" spans="1:3" x14ac:dyDescent="0.25">
      <c r="A14516" s="8" t="str">
        <f>"Proceedings of Co-HPC 2014: 1st International Workshop on Hardware-Software Co-Design for High Performance Computing - Held in Conjunction with SC 2014: The International Conference for High Performance Computing, Networking, Storage and Analysis"</f>
        <v>Proceedings of Co-HPC 2014: 1st International Workshop on Hardware-Software Co-Design for High Performance Computing - Held in Conjunction with SC 2014: The International Conference for High Performance Computing, Networking, Storage and Analysis</v>
      </c>
      <c r="B14516" s="8" t="str">
        <f>"9781479975648"</f>
        <v>9781479975648</v>
      </c>
      <c r="C14516" s="8" t="s">
        <v>105</v>
      </c>
    </row>
    <row r="14517" spans="1:3" x14ac:dyDescent="0.25">
      <c r="A14517" s="8" t="str">
        <f>"Proceedings of CoNEXT'06 - 2nd Conference on Future Networking Technologies"</f>
        <v>Proceedings of CoNEXT'06 - 2nd Conference on Future Networking Technologies</v>
      </c>
      <c r="B14517" s="8" t="str">
        <f>"9781595934567"</f>
        <v>9781595934567</v>
      </c>
      <c r="C14517" s="8" t="s">
        <v>21</v>
      </c>
    </row>
    <row r="14518" spans="1:3" x14ac:dyDescent="0.25">
      <c r="A14518" s="8" t="str">
        <f>"Proceedings of Conference: Adapting to Change: New Thinking on Comfort, WINDSOR 2010"</f>
        <v>Proceedings of Conference: Adapting to Change: New Thinking on Comfort, WINDSOR 2010</v>
      </c>
      <c r="B14518" s="8" t="str">
        <f>"-"</f>
        <v>-</v>
      </c>
      <c r="C14518" s="8" t="s">
        <v>2108</v>
      </c>
    </row>
    <row r="14519" spans="1:3" x14ac:dyDescent="0.25">
      <c r="A14519" s="8" t="str">
        <f>"Proceedings of Conference: Air Conditioning and the Low Carbon Cooling Challenge - Windsor 2008 Conference"</f>
        <v>Proceedings of Conference: Air Conditioning and the Low Carbon Cooling Challenge - Windsor 2008 Conference</v>
      </c>
      <c r="B14519" s="8" t="str">
        <f>"-"</f>
        <v>-</v>
      </c>
      <c r="C14519" s="8" t="s">
        <v>2108</v>
      </c>
    </row>
    <row r="14520" spans="1:3" x14ac:dyDescent="0.25">
      <c r="A14520" s="8" t="str">
        <f>"Proceedings of Construction Congress VI: Building Together for a Better Tomorrow in an Increasingly Complex World"</f>
        <v>Proceedings of Construction Congress VI: Building Together for a Better Tomorrow in an Increasingly Complex World</v>
      </c>
      <c r="B14520" s="8" t="str">
        <f>"9780784404751"</f>
        <v>9780784404751</v>
      </c>
      <c r="C14520" s="8" t="s">
        <v>111</v>
      </c>
    </row>
    <row r="14521" spans="1:3" x14ac:dyDescent="0.25">
      <c r="A14521" s="8" t="str">
        <f>"Proceedings of CRIOCM 2005 International Research Symposium on Advancement of Construction Management and Real Estate"</f>
        <v>Proceedings of CRIOCM 2005 International Research Symposium on Advancement of Construction Management and Real Estate</v>
      </c>
      <c r="B14521" s="8" t="str">
        <f>"-"</f>
        <v>-</v>
      </c>
      <c r="C14521" s="8" t="s">
        <v>1762</v>
      </c>
    </row>
    <row r="14522" spans="1:3" x14ac:dyDescent="0.25">
      <c r="A14522" s="8" t="str">
        <f>"Proceedings of CRIOCM 2006 International Research Symposium on Advancement of Construction Management and Real Estate"</f>
        <v>Proceedings of CRIOCM 2006 International Research Symposium on Advancement of Construction Management and Real Estate</v>
      </c>
      <c r="B14522" s="8" t="str">
        <f>"-"</f>
        <v>-</v>
      </c>
      <c r="C14522" s="8" t="s">
        <v>1762</v>
      </c>
    </row>
    <row r="14523" spans="1:3" x14ac:dyDescent="0.25">
      <c r="A14523" s="8" t="str">
        <f>"Proceedings of CUPUM 2013: 13th International Conference on Computers in Urban Planning and Urban Management - Planning Support Systems for Sustainable Urban Development"</f>
        <v>Proceedings of CUPUM 2013: 13th International Conference on Computers in Urban Planning and Urban Management - Planning Support Systems for Sustainable Urban Development</v>
      </c>
      <c r="B14523" s="8" t="str">
        <f>"9789081696029"</f>
        <v>9789081696029</v>
      </c>
      <c r="C14523" s="8" t="s">
        <v>2114</v>
      </c>
    </row>
    <row r="14524" spans="1:3" x14ac:dyDescent="0.25">
      <c r="A14524" s="8" t="str">
        <f>"Proceedings of DataCloud 2014: 5th International Workshop on Data Intensive Computing in the Clouds - Held in Conjunction with SC 2014: The International Conference for High Performance Computing, Networking, Storage and Analysis"</f>
        <v>Proceedings of DataCloud 2014: 5th International Workshop on Data Intensive Computing in the Clouds - Held in Conjunction with SC 2014: The International Conference for High Performance Computing, Networking, Storage and Analysis</v>
      </c>
      <c r="B14524" s="8" t="str">
        <f>"9781479970346"</f>
        <v>9781479970346</v>
      </c>
      <c r="C14524" s="8" t="s">
        <v>105</v>
      </c>
    </row>
    <row r="14525" spans="1:3" x14ac:dyDescent="0.25">
      <c r="A14525" s="8" t="str">
        <f>"Proceedings of DFMA 2006 - 2nd International Conference on Distributed Frameworks for Multimedia Applications"</f>
        <v>Proceedings of DFMA 2006 - 2nd International Conference on Distributed Frameworks for Multimedia Applications</v>
      </c>
      <c r="B14525" s="8" t="str">
        <f>"9781424404094"</f>
        <v>9781424404094</v>
      </c>
      <c r="C14525" s="8" t="s">
        <v>105</v>
      </c>
    </row>
    <row r="14526" spans="1:3" x14ac:dyDescent="0.25">
      <c r="A14526" s="8" t="str">
        <f>"Proceedings of DiGRA 2005 Conference: Changing Views - Worlds in Play"</f>
        <v>Proceedings of DiGRA 2005 Conference: Changing Views - Worlds in Play</v>
      </c>
      <c r="B14526" s="8" t="str">
        <f>"-"</f>
        <v>-</v>
      </c>
      <c r="C14526" s="8" t="s">
        <v>1499</v>
      </c>
    </row>
    <row r="14527" spans="1:3" x14ac:dyDescent="0.25">
      <c r="A14527" s="8" t="str">
        <f>"Proceedings of DiGRA 2011 Conference: Think Design Play"</f>
        <v>Proceedings of DiGRA 2011 Conference: Think Design Play</v>
      </c>
      <c r="B14527" s="8" t="str">
        <f>"-"</f>
        <v>-</v>
      </c>
      <c r="C14527" s="8" t="s">
        <v>1499</v>
      </c>
    </row>
    <row r="14528" spans="1:3" x14ac:dyDescent="0.25">
      <c r="A14528" s="8" t="str">
        <f>"Proceedings of DISCS 2014: The 2014 International Workshop on Data-Intensive Scalable Computing Systems - Held in Conjuction with SC 2014: The International Conference for High Performance Computing, Networking, Storage and Analysis"</f>
        <v>Proceedings of DISCS 2014: The 2014 International Workshop on Data-Intensive Scalable Computing Systems - Held in Conjuction with SC 2014: The International Conference for High Performance Computing, Networking, Storage and Analysis</v>
      </c>
      <c r="B14528" s="8" t="str">
        <f>"9781479970384"</f>
        <v>9781479970384</v>
      </c>
      <c r="C14528" s="8" t="s">
        <v>105</v>
      </c>
    </row>
    <row r="14529" spans="1:3" x14ac:dyDescent="0.25">
      <c r="A14529" s="8" t="str">
        <f>"Proceedings of Dynamic Systems and Applications"</f>
        <v>Proceedings of Dynamic Systems and Applications</v>
      </c>
      <c r="B14529" s="8" t="str">
        <f>"9781890888008"</f>
        <v>9781890888008</v>
      </c>
      <c r="C14529" s="8" t="s">
        <v>2115</v>
      </c>
    </row>
    <row r="14530" spans="1:3" x14ac:dyDescent="0.25">
      <c r="A14530" s="8" t="str">
        <f>"Proceedings of E2SC 2014: 2nd International Workshop on Energy Efficient Supercomputing - Held in Conjunction with SC 2014: The International Conference for High Performance Computing, Networking, Storage and Analysis"</f>
        <v>Proceedings of E2SC 2014: 2nd International Workshop on Energy Efficient Supercomputing - Held in Conjunction with SC 2014: The International Conference for High Performance Computing, Networking, Storage and Analysis</v>
      </c>
      <c r="B14530" s="8" t="str">
        <f>"9781479970360"</f>
        <v>9781479970360</v>
      </c>
      <c r="C14530" s="8" t="s">
        <v>105</v>
      </c>
    </row>
    <row r="14531" spans="1:3" x14ac:dyDescent="0.25">
      <c r="A14531" s="8" t="str">
        <f>"Proceedings of EA @ AOSD'08 - Early Aspects Workshop: Early Aspects and Software Product Lines, Held in Conjunction with the 7th Int'l Conference on Aspect-Oriented Software Development"</f>
        <v>Proceedings of EA @ AOSD'08 - Early Aspects Workshop: Early Aspects and Software Product Lines, Held in Conjunction with the 7th Int'l Conference on Aspect-Oriented Software Development</v>
      </c>
      <c r="B14531" s="8" t="str">
        <f>"9781605581439"</f>
        <v>9781605581439</v>
      </c>
      <c r="C14531" s="8" t="s">
        <v>21</v>
      </c>
    </row>
    <row r="14532" spans="1:3" x14ac:dyDescent="0.25">
      <c r="A14532" s="8" t="str">
        <f>"Proceedings of ECOWS 2006: Fourth European Conference on Web Services"</f>
        <v>Proceedings of ECOWS 2006: Fourth European Conference on Web Services</v>
      </c>
      <c r="B14532" s="8" t="str">
        <f>"9780769527376"</f>
        <v>9780769527376</v>
      </c>
      <c r="C14532" s="8" t="s">
        <v>9</v>
      </c>
    </row>
    <row r="14533" spans="1:3" x14ac:dyDescent="0.25">
      <c r="A14533" s="8" t="str">
        <f>"Proceedings of EduHPC 2014: Workshop on Education for High-Performance Computing - Held in Conjunction with SC 2014: The International Conference for High Performance Computing, Networking, Storage and Analysis"</f>
        <v>Proceedings of EduHPC 2014: Workshop on Education for High-Performance Computing - Held in Conjunction with SC 2014: The International Conference for High Performance Computing, Networking, Storage and Analysis</v>
      </c>
      <c r="B14533" s="8" t="str">
        <f>"9781479970216"</f>
        <v>9781479970216</v>
      </c>
      <c r="C14533" s="8" t="s">
        <v>105</v>
      </c>
    </row>
    <row r="14534" spans="1:3" x14ac:dyDescent="0.25">
      <c r="A14534" s="8" t="str">
        <f>"Proceedings of EMC Europe 2011 York - 10th International Symposium on Electromagnetic Compatibility"</f>
        <v>Proceedings of EMC Europe 2011 York - 10th International Symposium on Electromagnetic Compatibility</v>
      </c>
      <c r="B14534" s="8" t="str">
        <f>"9780954114633"</f>
        <v>9780954114633</v>
      </c>
      <c r="C14534" s="8" t="s">
        <v>9</v>
      </c>
    </row>
    <row r="14535" spans="1:3" x14ac:dyDescent="0.25">
      <c r="A14535" s="8" t="str">
        <f>"Proceedings of EPE-PEMC 2010 - 14th International Power Electronics and Motion Control Conference"</f>
        <v>Proceedings of EPE-PEMC 2010 - 14th International Power Electronics and Motion Control Conference</v>
      </c>
      <c r="B14535" s="8" t="str">
        <f>"9781424478545"</f>
        <v>9781424478545</v>
      </c>
      <c r="C14535" s="8" t="s">
        <v>9</v>
      </c>
    </row>
    <row r="14536" spans="1:3" x14ac:dyDescent="0.25">
      <c r="A14536" s="8" t="str">
        <f>"Proceedings of ESaaSA 2015 - 2nd International Workshop on Emerging Software as a Service and Analytics, In conjuction with the 5th International Conference on Cloud Computing and Services Science - CLOSER 2015"</f>
        <v>Proceedings of ESaaSA 2015 - 2nd International Workshop on Emerging Software as a Service and Analytics, In conjuction with the 5th International Conference on Cloud Computing and Services Science - CLOSER 2015</v>
      </c>
      <c r="B14536" s="8" t="str">
        <f>"9789897581106"</f>
        <v>9789897581106</v>
      </c>
      <c r="C14536" s="8" t="s">
        <v>1197</v>
      </c>
    </row>
    <row r="14537" spans="1:3" x14ac:dyDescent="0.25">
      <c r="A14537" s="8" t="str">
        <f>"Proceedings of ESSCIRC 2005: 31st European Solid-State Circuits Conference"</f>
        <v>Proceedings of ESSCIRC 2005: 31st European Solid-State Circuits Conference</v>
      </c>
      <c r="B14537" s="8" t="str">
        <f>"-"</f>
        <v>-</v>
      </c>
      <c r="C14537" s="8" t="s">
        <v>9</v>
      </c>
    </row>
    <row r="14538" spans="1:3" x14ac:dyDescent="0.25">
      <c r="A14538" s="8" t="str">
        <f>"Proceedings of ESSDERC 2005: 35th European Solid-State Device Research Conference"</f>
        <v>Proceedings of ESSDERC 2005: 35th European Solid-State Device Research Conference</v>
      </c>
      <c r="B14538" s="8" t="str">
        <f>"-"</f>
        <v>-</v>
      </c>
      <c r="C14538" s="8" t="s">
        <v>9</v>
      </c>
    </row>
    <row r="14539" spans="1:3" x14ac:dyDescent="0.25">
      <c r="A14539" s="8" t="str">
        <f>"Proceedings of EUCOMES 2008 - The 2nd European Conference on Mechanism Science"</f>
        <v>Proceedings of EUCOMES 2008 - The 2nd European Conference on Mechanism Science</v>
      </c>
      <c r="B14539" s="8" t="str">
        <f>"9781402089145"</f>
        <v>9781402089145</v>
      </c>
      <c r="C14539" s="8" t="s">
        <v>162</v>
      </c>
    </row>
    <row r="14540" spans="1:3" x14ac:dyDescent="0.25">
      <c r="A14540" s="8" t="str">
        <f>"Proceedings of EuroPLoP 2009 - 14th Annual European Conference on Pattern Languages of Programming"</f>
        <v>Proceedings of EuroPLoP 2009 - 14th Annual European Conference on Pattern Languages of Programming</v>
      </c>
      <c r="B14540" s="8" t="str">
        <f>"9781446693636"</f>
        <v>9781446693636</v>
      </c>
      <c r="C14540" s="8" t="s">
        <v>2116</v>
      </c>
    </row>
    <row r="14541" spans="1:3" x14ac:dyDescent="0.25">
      <c r="A14541" s="8" t="str">
        <f>"Proceedings of ExaMPI 2014: Exascale MPI 2014 - held in conjunction with SC 2014: The International Conference for High Performance Computing, Networking, Storage and Analysis"</f>
        <v>Proceedings of ExaMPI 2014: Exascale MPI 2014 - held in conjunction with SC 2014: The International Conference for High Performance Computing, Networking, Storage and Analysis</v>
      </c>
      <c r="B14541" s="8" t="str">
        <f>"9781479970322"</f>
        <v>9781479970322</v>
      </c>
      <c r="C14541" s="8" t="s">
        <v>105</v>
      </c>
    </row>
    <row r="14542" spans="1:3" x14ac:dyDescent="0.25">
      <c r="A14542" s="8" t="str">
        <f>"Proceedings of Extreme Markup Languages 2006 Conference"</f>
        <v>Proceedings of Extreme Markup Languages 2006 Conference</v>
      </c>
      <c r="B14542" s="8" t="str">
        <f>"-"</f>
        <v>-</v>
      </c>
      <c r="C14542" s="8" t="s">
        <v>2117</v>
      </c>
    </row>
    <row r="14543" spans="1:3" x14ac:dyDescent="0.25">
      <c r="A14543" s="8" t="str">
        <f>"Proceedings of Extreme Markup Languages 2007 Conference"</f>
        <v>Proceedings of Extreme Markup Languages 2007 Conference</v>
      </c>
      <c r="B14543" s="8" t="str">
        <f>"-"</f>
        <v>-</v>
      </c>
      <c r="C14543" s="8" t="s">
        <v>2117</v>
      </c>
    </row>
    <row r="14544" spans="1:3" x14ac:dyDescent="0.25">
      <c r="A14544" s="8" t="str">
        <f>"Proceedings of First ACM/IEEE-CS Joint Conference on Digital Libraries"</f>
        <v>Proceedings of First ACM/IEEE-CS Joint Conference on Digital Libraries</v>
      </c>
      <c r="B14544" s="8" t="str">
        <f>"9781581133455"</f>
        <v>9781581133455</v>
      </c>
      <c r="C14544" s="8" t="s">
        <v>21</v>
      </c>
    </row>
    <row r="14545" spans="1:3" x14ac:dyDescent="0.25">
      <c r="A14545" s="8" t="str">
        <f>"Proceedings of Formal Methods in Computer Aided Design, FMCAD 2006"</f>
        <v>Proceedings of Formal Methods in Computer Aided Design, FMCAD 2006</v>
      </c>
      <c r="B14545" s="8" t="str">
        <f>"9780769527079"</f>
        <v>9780769527079</v>
      </c>
      <c r="C14545" s="8" t="s">
        <v>9</v>
      </c>
    </row>
    <row r="14546" spans="1:3" x14ac:dyDescent="0.25">
      <c r="A14546" s="8" t="str">
        <f>"Proceedings of From Research to Practice in Geotechnical Engineering Congress 2008 - From Research to Practice in Geotechnical Engineering"</f>
        <v>Proceedings of From Research to Practice in Geotechnical Engineering Congress 2008 - From Research to Practice in Geotechnical Engineering</v>
      </c>
      <c r="B14546" s="8" t="str">
        <f>"9780784409626"</f>
        <v>9780784409626</v>
      </c>
      <c r="C14546" s="8" t="s">
        <v>111</v>
      </c>
    </row>
    <row r="14547" spans="1:3" x14ac:dyDescent="0.25">
      <c r="A14547" s="8" t="str">
        <f>"Proceedings of Frontiers in Biomedical Devices Conference, NanoBio06"</f>
        <v>Proceedings of Frontiers in Biomedical Devices Conference, NanoBio06</v>
      </c>
      <c r="B14547" s="8" t="str">
        <f>"-"</f>
        <v>-</v>
      </c>
      <c r="C14547" s="8" t="s">
        <v>1308</v>
      </c>
    </row>
    <row r="14548" spans="1:3" x14ac:dyDescent="0.25">
      <c r="A14548" s="8" t="str">
        <f>"Proceedings of Future Generation Communication and Networking, FGCN 2007"</f>
        <v>Proceedings of Future Generation Communication and Networking, FGCN 2007</v>
      </c>
      <c r="B14548" s="8" t="str">
        <f>"9780769530482"</f>
        <v>9780769530482</v>
      </c>
      <c r="C14548" s="8" t="s">
        <v>105</v>
      </c>
    </row>
    <row r="14549" spans="1:3" x14ac:dyDescent="0.25">
      <c r="A14549" s="8" t="str">
        <f>"Proceedings of GECCO 2007: Genetic and Evolutionary Computation Conference"</f>
        <v>Proceedings of GECCO 2007: Genetic and Evolutionary Computation Conference</v>
      </c>
      <c r="B14549" s="8" t="str">
        <f>"9781595936974"</f>
        <v>9781595936974</v>
      </c>
      <c r="C14549" s="8" t="s">
        <v>21</v>
      </c>
    </row>
    <row r="14550" spans="1:3" x14ac:dyDescent="0.25">
      <c r="A14550" s="8" t="str">
        <f>"Proceedings of GECCO 2007: Genetic and Evolutionary Computation Conference, Companion Material"</f>
        <v>Proceedings of GECCO 2007: Genetic and Evolutionary Computation Conference, Companion Material</v>
      </c>
      <c r="B14550" s="8" t="str">
        <f>"9781595936981"</f>
        <v>9781595936981</v>
      </c>
      <c r="C14550" s="8" t="s">
        <v>21</v>
      </c>
    </row>
    <row r="14551" spans="1:3" x14ac:dyDescent="0.25">
      <c r="A14551" s="8" t="str">
        <f>"Proceedings of GEO-CHANGSHA 2007 - An International Conference on Geotechnical Engineering Focusing on New Developments in Soil and Rock Engineering, Engineering Geology and Environmental Geotechnique"</f>
        <v>Proceedings of GEO-CHANGSHA 2007 - An International Conference on Geotechnical Engineering Focusing on New Developments in Soil and Rock Engineering, Engineering Geology and Environmental Geotechnique</v>
      </c>
      <c r="B14551" s="8" t="str">
        <f>"9789810575915"</f>
        <v>9789810575915</v>
      </c>
    </row>
    <row r="14552" spans="1:3" x14ac:dyDescent="0.25">
      <c r="A14552" s="8" t="str">
        <f>"Proceedings of GEO-CHANGSHA 2007 - An International Conference on Geotechnical Engineering Focusing on New Developments in Soil and Rock Engineering, Engineering Geology and Environmental Geotechnique"</f>
        <v>Proceedings of GEO-CHANGSHA 2007 - An International Conference on Geotechnical Engineering Focusing on New Developments in Soil and Rock Engineering, Engineering Geology and Environmental Geotechnique</v>
      </c>
      <c r="B14552" s="8" t="str">
        <f>"9789810575915"</f>
        <v>9789810575915</v>
      </c>
    </row>
    <row r="14553" spans="1:3" x14ac:dyDescent="0.25">
      <c r="A14553" s="8" t="str">
        <f>"Proceedings of GEODIFF 2013, In Conjunction with VISIGRAPP 2013"</f>
        <v>Proceedings of GEODIFF 2013, In Conjunction with VISIGRAPP 2013</v>
      </c>
      <c r="B14553" s="8" t="str">
        <f>"9789898565495"</f>
        <v>9789898565495</v>
      </c>
      <c r="C14553" s="8" t="s">
        <v>1680</v>
      </c>
    </row>
    <row r="14554" spans="1:3" x14ac:dyDescent="0.25">
      <c r="A14554" s="8" t="str">
        <f>"Proceedings of HIKM 2006: International Workshop on Healthcare Information and Knowledge Management"</f>
        <v>Proceedings of HIKM 2006: International Workshop on Healthcare Information and Knowledge Management</v>
      </c>
      <c r="B14554" s="8" t="str">
        <f>"9781595935281"</f>
        <v>9781595935281</v>
      </c>
      <c r="C14554" s="8" t="s">
        <v>21</v>
      </c>
    </row>
    <row r="14555" spans="1:3" x14ac:dyDescent="0.25">
      <c r="A14555" s="8" t="str">
        <f>"Proceedings of HiPCNA-PG 2013: 3rd Int'l Workshop on HiPCNA for the Power Grid - Held in Conjunction with SC 2013: The Int. Conf. for High Performance Computing, Networking, Storage and Analysis"</f>
        <v>Proceedings of HiPCNA-PG 2013: 3rd Int'l Workshop on HiPCNA for the Power Grid - Held in Conjunction with SC 2013: The Int. Conf. for High Performance Computing, Networking, Storage and Analysis</v>
      </c>
      <c r="B14555" s="8" t="str">
        <f>"9781450325103"</f>
        <v>9781450325103</v>
      </c>
      <c r="C14555" s="8" t="s">
        <v>21</v>
      </c>
    </row>
    <row r="14556" spans="1:3" x14ac:dyDescent="0.25">
      <c r="A14556" s="8" t="str">
        <f>"Proceedings of HPTCDL 2014: 1st Workshop for High Performance Technical Computing in Dynamic Languages - Held in Conjunction with SC 2014: The International Conference for High Performance Computing, Networking, Storage and Analysis"</f>
        <v>Proceedings of HPTCDL 2014: 1st Workshop for High Performance Technical Computing in Dynamic Languages - Held in Conjunction with SC 2014: The International Conference for High Performance Computing, Networking, Storage and Analysis</v>
      </c>
      <c r="B14556" s="8" t="str">
        <f>"9781479970209"</f>
        <v>9781479970209</v>
      </c>
      <c r="C14556" s="8" t="s">
        <v>105</v>
      </c>
    </row>
    <row r="14557" spans="1:3" x14ac:dyDescent="0.25">
      <c r="A14557" s="8" t="str">
        <f>"Proceedings of HUST 2014: 1st International Workshop on HPC User Support Tools - Held in Conjunction with SC 2014: The International Conference for High Performance Computing, Networking, Storage and Analysis"</f>
        <v>Proceedings of HUST 2014: 1st International Workshop on HPC User Support Tools - Held in Conjunction with SC 2014: The International Conference for High Performance Computing, Networking, Storage and Analysis</v>
      </c>
      <c r="B14557" s="8" t="str">
        <f>"9781479970230"</f>
        <v>9781479970230</v>
      </c>
      <c r="C14557" s="8" t="s">
        <v>105</v>
      </c>
    </row>
    <row r="14558" spans="1:3" x14ac:dyDescent="0.25">
      <c r="A14558" s="8" t="str">
        <f>"Proceedings of I3D 2009: The 2009 ACM SIGGRAPH Symposium on Interactive 3D Graphics and Games"</f>
        <v>Proceedings of I3D 2009: The 2009 ACM SIGGRAPH Symposium on Interactive 3D Graphics and Games</v>
      </c>
      <c r="B14558" s="8" t="str">
        <f>"9781605584294"</f>
        <v>9781605584294</v>
      </c>
      <c r="C14558" s="8" t="s">
        <v>21</v>
      </c>
    </row>
    <row r="14559" spans="1:3" x14ac:dyDescent="0.25">
      <c r="A14559" s="8" t="str">
        <f>"Proceedings of I3D 2010: The 2010 ACM SIGGRAPH Symposium on Interactive 3D Graphics and Games"</f>
        <v>Proceedings of I3D 2010: The 2010 ACM SIGGRAPH Symposium on Interactive 3D Graphics and Games</v>
      </c>
      <c r="B14559" s="8" t="str">
        <f>"9781605589381"</f>
        <v>9781605589381</v>
      </c>
      <c r="C14559" s="8" t="s">
        <v>21</v>
      </c>
    </row>
    <row r="14560" spans="1:3" x14ac:dyDescent="0.25">
      <c r="A14560" s="8" t="str">
        <f>"Proceedings of IAPR Conference on Machine Vision Applications, MVA 2007"</f>
        <v>Proceedings of IAPR Conference on Machine Vision Applications, MVA 2007</v>
      </c>
      <c r="B14560" s="8" t="str">
        <f>"9784901122078"</f>
        <v>9784901122078</v>
      </c>
      <c r="C14560" s="8" t="s">
        <v>2118</v>
      </c>
    </row>
    <row r="14561" spans="1:3" x14ac:dyDescent="0.25">
      <c r="A14561" s="8" t="str">
        <f>"Proceedings of ICCCS 2014 - IEEE International Conference on Computer Communication and Systems"</f>
        <v>Proceedings of ICCCS 2014 - IEEE International Conference on Computer Communication and Systems</v>
      </c>
      <c r="B14561" s="8" t="str">
        <f>"9781479936717"</f>
        <v>9781479936717</v>
      </c>
      <c r="C14561" s="8" t="s">
        <v>105</v>
      </c>
    </row>
    <row r="14562" spans="1:3" x14ac:dyDescent="0.25">
      <c r="A14562" s="8" t="str">
        <f>"Proceedings of ICCIA 2010 - 2010 International Conference on Computer and Information Application"</f>
        <v>Proceedings of ICCIA 2010 - 2010 International Conference on Computer and Information Application</v>
      </c>
      <c r="B14562" s="8" t="str">
        <f>"9781424485963"</f>
        <v>9781424485963</v>
      </c>
      <c r="C14562" s="8" t="s">
        <v>9</v>
      </c>
    </row>
    <row r="14563" spans="1:3" x14ac:dyDescent="0.25">
      <c r="A14563" s="8" t="str">
        <f>"Proceedings of ICECE 2008 - 5th International Conference on Electrical and Computer Engineering"</f>
        <v>Proceedings of ICECE 2008 - 5th International Conference on Electrical and Computer Engineering</v>
      </c>
      <c r="B14563" s="8" t="str">
        <f>"9781424420155"</f>
        <v>9781424420155</v>
      </c>
      <c r="C14563" s="8" t="s">
        <v>9</v>
      </c>
    </row>
    <row r="14564" spans="1:3" x14ac:dyDescent="0.25">
      <c r="A14564" s="8" t="str">
        <f>"Proceedings of ICED 2007, the 16th International Conference on Engineering Design"</f>
        <v>Proceedings of ICED 2007, the 16th International Conference on Engineering Design</v>
      </c>
      <c r="B14564" s="8" t="str">
        <f>"9781904670025"</f>
        <v>9781904670025</v>
      </c>
      <c r="C14564" s="8" t="s">
        <v>1231</v>
      </c>
    </row>
    <row r="14565" spans="1:3" x14ac:dyDescent="0.25">
      <c r="A14565" s="8" t="str">
        <f>"Proceedings of ICP 2014 - 5th International Conference on Photonics 2014"</f>
        <v>Proceedings of ICP 2014 - 5th International Conference on Photonics 2014</v>
      </c>
      <c r="B14565" s="8" t="str">
        <f>"9781479948833"</f>
        <v>9781479948833</v>
      </c>
      <c r="C14565" s="8" t="s">
        <v>105</v>
      </c>
    </row>
    <row r="14566" spans="1:3" x14ac:dyDescent="0.25">
      <c r="A14566" s="8" t="str">
        <f>"Proceedings of ICSCN 2007: International Conference on Signal Processing Communications and Networking"</f>
        <v>Proceedings of ICSCN 2007: International Conference on Signal Processing Communications and Networking</v>
      </c>
      <c r="B14566" s="8" t="str">
        <f>"9781424409976"</f>
        <v>9781424409976</v>
      </c>
      <c r="C14566" s="8" t="s">
        <v>9</v>
      </c>
    </row>
    <row r="14567" spans="1:3" x14ac:dyDescent="0.25">
      <c r="A14567" s="8" t="str">
        <f>"Proceedings of ICSCN 2008 - International Conference on Signal Processing Communications and Networking"</f>
        <v>Proceedings of ICSCN 2008 - International Conference on Signal Processing Communications and Networking</v>
      </c>
      <c r="B14567" s="8" t="str">
        <f>"9781424419241"</f>
        <v>9781424419241</v>
      </c>
      <c r="C14567" s="8" t="s">
        <v>9</v>
      </c>
    </row>
    <row r="14568" spans="1:3" x14ac:dyDescent="0.25">
      <c r="A14568" s="8" t="str">
        <f>"Proceedings of IDC 2009 - The 8th International Conference on Interaction Design and Children"</f>
        <v>Proceedings of IDC 2009 - The 8th International Conference on Interaction Design and Children</v>
      </c>
      <c r="B14568" s="8" t="str">
        <f>"9781605583952"</f>
        <v>9781605583952</v>
      </c>
      <c r="C14568" s="8" t="s">
        <v>21</v>
      </c>
    </row>
    <row r="14569" spans="1:3" x14ac:dyDescent="0.25">
      <c r="A14569" s="8" t="str">
        <f>"Proceedings of IDC 2011 - 10th International Conference on Interaction Design and Children"</f>
        <v>Proceedings of IDC 2011 - 10th International Conference on Interaction Design and Children</v>
      </c>
      <c r="B14569" s="8" t="str">
        <f>"9781450307512"</f>
        <v>9781450307512</v>
      </c>
      <c r="C14569" s="8" t="s">
        <v>21</v>
      </c>
    </row>
    <row r="14570" spans="1:3" x14ac:dyDescent="0.25">
      <c r="A14570" s="8" t="str">
        <f>"Proceedings of IDC2010: The 9th International Conference on Interaction Design and Children"</f>
        <v>Proceedings of IDC2010: The 9th International Conference on Interaction Design and Children</v>
      </c>
      <c r="B14570" s="8" t="str">
        <f>"9781605589510"</f>
        <v>9781605589510</v>
      </c>
      <c r="C14570" s="8" t="s">
        <v>21</v>
      </c>
    </row>
    <row r="14571" spans="1:3" x14ac:dyDescent="0.25">
      <c r="A14571" s="8" t="str">
        <f>"Proceedings of IDEE 2013: 2nd International Workshop on Interaction Design in Educational Environments - In Conjunction with the 15th Int. Conference on Enterprise Information Systems, ICEIS 2013"</f>
        <v>Proceedings of IDEE 2013: 2nd International Workshop on Interaction Design in Educational Environments - In Conjunction with the 15th Int. Conference on Enterprise Information Systems, ICEIS 2013</v>
      </c>
      <c r="B14571" s="8" t="str">
        <f>"9789898565655"</f>
        <v>9789898565655</v>
      </c>
      <c r="C14571" s="8" t="s">
        <v>1197</v>
      </c>
    </row>
    <row r="14572" spans="1:3" x14ac:dyDescent="0.25">
      <c r="A14572" s="8" t="str">
        <f>"Proceedings of IEEE 2008 6th National Conference on Telecommunication Technologies and IEEE 2008 2nd Malaysia Conference on Photonics, NCTT-MCP 2008"</f>
        <v>Proceedings of IEEE 2008 6th National Conference on Telecommunication Technologies and IEEE 2008 2nd Malaysia Conference on Photonics, NCTT-MCP 2008</v>
      </c>
      <c r="B14572" s="8" t="str">
        <f>"9781424422159"</f>
        <v>9781424422159</v>
      </c>
      <c r="C14572" s="8" t="s">
        <v>9</v>
      </c>
    </row>
    <row r="14573" spans="1:3" x14ac:dyDescent="0.25">
      <c r="A14573" s="8" t="str">
        <f>"Proceedings of IEEE 2012 Prognostics and System Health Management Conference, PHM-2012"</f>
        <v>Proceedings of IEEE 2012 Prognostics and System Health Management Conference, PHM-2012</v>
      </c>
      <c r="B14573" s="8" t="str">
        <f>"-"</f>
        <v>-</v>
      </c>
      <c r="C14573" s="8" t="s">
        <v>9</v>
      </c>
    </row>
    <row r="14574" spans="1:3" x14ac:dyDescent="0.25">
      <c r="A14574" s="8" t="str">
        <f>"Proceedings of IEEE East-West Design and Test Symposium, EWDTS 2013"</f>
        <v>Proceedings of IEEE East-West Design and Test Symposium, EWDTS 2013</v>
      </c>
      <c r="B14574" s="8" t="str">
        <f>"9781479920969"</f>
        <v>9781479920969</v>
      </c>
      <c r="C14574" s="8" t="s">
        <v>9</v>
      </c>
    </row>
    <row r="14575" spans="1:3" x14ac:dyDescent="0.25">
      <c r="A14575" s="8" t="str">
        <f>"Proceedings of IEEE East-West Design and Test Symposium, EWDTS 2014"</f>
        <v>Proceedings of IEEE East-West Design and Test Symposium, EWDTS 2014</v>
      </c>
      <c r="B14575" s="8" t="str">
        <f>"9781479976300"</f>
        <v>9781479976300</v>
      </c>
      <c r="C14575" s="8" t="s">
        <v>105</v>
      </c>
    </row>
    <row r="14576" spans="1:3" x14ac:dyDescent="0.25">
      <c r="A14576" s="8" t="str">
        <f>"Proceedings of IEEE East-West Design and Test Symposium, EWDTS'08"</f>
        <v>Proceedings of IEEE East-West Design and Test Symposium, EWDTS'08</v>
      </c>
      <c r="B14576" s="8" t="str">
        <f>"9781424434039"</f>
        <v>9781424434039</v>
      </c>
      <c r="C14576" s="8" t="s">
        <v>9</v>
      </c>
    </row>
    <row r="14577" spans="1:3" x14ac:dyDescent="0.25">
      <c r="A14577" s="8" t="str">
        <f>"Proceedings of IEEE East-West Design and Test Symposium, EWDTS'10"</f>
        <v>Proceedings of IEEE East-West Design and Test Symposium, EWDTS'10</v>
      </c>
      <c r="B14577" s="8" t="str">
        <f>"9781424495566"</f>
        <v>9781424495566</v>
      </c>
      <c r="C14577" s="8" t="s">
        <v>9</v>
      </c>
    </row>
    <row r="14578" spans="1:3" x14ac:dyDescent="0.25">
      <c r="A14578" s="8" t="str">
        <f>"Proceedings of IEEE East-West Design and Test Symposium, EWDTS'2011"</f>
        <v>Proceedings of IEEE East-West Design and Test Symposium, EWDTS'2011</v>
      </c>
      <c r="B14578" s="8" t="str">
        <f>"9781457719578"</f>
        <v>9781457719578</v>
      </c>
      <c r="C14578" s="8" t="s">
        <v>9</v>
      </c>
    </row>
    <row r="14579" spans="1:3" x14ac:dyDescent="0.25">
      <c r="A14579" s="8" t="str">
        <f>"Proceedings of IEEE ICIA 2006 - 2006 IEEE International Conference on Information Acquisition"</f>
        <v>Proceedings of IEEE ICIA 2006 - 2006 IEEE International Conference on Information Acquisition</v>
      </c>
      <c r="B14579" s="8" t="str">
        <f>"-"</f>
        <v>-</v>
      </c>
      <c r="C14579" s="8" t="s">
        <v>9</v>
      </c>
    </row>
    <row r="14580" spans="1:3" x14ac:dyDescent="0.25">
      <c r="A14580" s="8" t="str">
        <f>"Proceedings of IEEE International Conference on Circuit, Power and Computing Technologies, ICCPCT 2013"</f>
        <v>Proceedings of IEEE International Conference on Circuit, Power and Computing Technologies, ICCPCT 2013</v>
      </c>
      <c r="B14580" s="8" t="str">
        <f>"9781467349222"</f>
        <v>9781467349222</v>
      </c>
      <c r="C14580" s="8" t="s">
        <v>9</v>
      </c>
    </row>
    <row r="14581" spans="1:3" x14ac:dyDescent="0.25">
      <c r="A14581" s="8" t="str">
        <f>"Proceedings of IEEE International Conference on Teaching, Assessment and Learning for Engineering: Learning for the Future Now, TALE 2014"</f>
        <v>Proceedings of IEEE International Conference on Teaching, Assessment and Learning for Engineering: Learning for the Future Now, TALE 2014</v>
      </c>
      <c r="B14581" s="8" t="str">
        <f>"9781479976720"</f>
        <v>9781479976720</v>
      </c>
      <c r="C14581" s="8" t="s">
        <v>105</v>
      </c>
    </row>
    <row r="14582" spans="1:3" x14ac:dyDescent="0.25">
      <c r="A14582" s="8" t="str">
        <f>"Proceedings of IEEE International Conference on Teaching, Assessment, and Learning for Engineering, TALE 2012"</f>
        <v>Proceedings of IEEE International Conference on Teaching, Assessment, and Learning for Engineering, TALE 2012</v>
      </c>
      <c r="B14582" s="8" t="str">
        <f>"9781467324182"</f>
        <v>9781467324182</v>
      </c>
      <c r="C14582" s="8" t="s">
        <v>9</v>
      </c>
    </row>
    <row r="14583" spans="1:3" x14ac:dyDescent="0.25">
      <c r="A14583" s="8" t="str">
        <f>"Proceedings of IEEE International Conference on Technological Advancements in Power and Energy, TAP Energy 2015"</f>
        <v>Proceedings of IEEE International Conference on Technological Advancements in Power and Energy, TAP Energy 2015</v>
      </c>
      <c r="B14583" s="8" t="str">
        <f>"9781479982806"</f>
        <v>9781479982806</v>
      </c>
      <c r="C14583" s="8" t="s">
        <v>105</v>
      </c>
    </row>
    <row r="14584" spans="1:3" x14ac:dyDescent="0.25">
      <c r="A14584" s="8" t="str">
        <f>"Proceedings of IEEE International Electric Machines and Drives Conference, IEMDC 2007"</f>
        <v>Proceedings of IEEE International Electric Machines and Drives Conference, IEMDC 2007</v>
      </c>
      <c r="B14584" s="8" t="str">
        <f>"9781424407439"</f>
        <v>9781424407439</v>
      </c>
      <c r="C14584" s="8" t="s">
        <v>9</v>
      </c>
    </row>
    <row r="14585" spans="1:3" x14ac:dyDescent="0.25">
      <c r="A14585" s="8" t="str">
        <f>"Proceedings of IFOST-2008 - 3rd International Forum on Strategic Technologies"</f>
        <v>Proceedings of IFOST-2008 - 3rd International Forum on Strategic Technologies</v>
      </c>
      <c r="B14585" s="8" t="str">
        <f>"9781424423194"</f>
        <v>9781424423194</v>
      </c>
      <c r="C14585" s="8" t="s">
        <v>9</v>
      </c>
    </row>
    <row r="14586" spans="1:3" x14ac:dyDescent="0.25">
      <c r="A14586" s="8" t="str">
        <f>"Proceedings of IGLC16: 16th Annual Conference of the International Group for Lean Construction"</f>
        <v>Proceedings of IGLC16: 16th Annual Conference of the International Group for Lean Construction</v>
      </c>
      <c r="B14586" s="8" t="str">
        <f>"9781905732456"</f>
        <v>9781905732456</v>
      </c>
      <c r="C14586" s="8" t="s">
        <v>1259</v>
      </c>
    </row>
    <row r="14587" spans="1:3" x14ac:dyDescent="0.25">
      <c r="A14587" s="8" t="str">
        <f>"Proceedings of IGLC17: 17th Annual Conference of the International Group for Lean Construction"</f>
        <v>Proceedings of IGLC17: 17th Annual Conference of the International Group for Lean Construction</v>
      </c>
      <c r="B14587" s="8" t="str">
        <f>"-"</f>
        <v>-</v>
      </c>
      <c r="C14587" s="8" t="s">
        <v>2119</v>
      </c>
    </row>
    <row r="14588" spans="1:3" x14ac:dyDescent="0.25">
      <c r="A14588" s="8" t="str">
        <f>"Proceedings of IJCAI 2007 Workshop on Analytics for Noisy Unstructured Text Data, AND 2007"</f>
        <v>Proceedings of IJCAI 2007 Workshop on Analytics for Noisy Unstructured Text Data, AND 2007</v>
      </c>
      <c r="B14588" s="8" t="str">
        <f>"-"</f>
        <v>-</v>
      </c>
      <c r="C14588" s="8" t="s">
        <v>2120</v>
      </c>
    </row>
    <row r="14589" spans="1:3" x14ac:dyDescent="0.25">
      <c r="A14589" s="8" t="str">
        <f>"Proceedings of I-KNOW 2009 - 9th International Conference on Knowledge Management and Knowledge Technologies and Proceedings of I-SEMANTICS 2009 - 5th International Conference on Semantic Systems"</f>
        <v>Proceedings of I-KNOW 2009 - 9th International Conference on Knowledge Management and Knowledge Technologies and Proceedings of I-SEMANTICS 2009 - 5th International Conference on Semantic Systems</v>
      </c>
      <c r="B14589" s="8" t="str">
        <f>"9783851250602"</f>
        <v>9783851250602</v>
      </c>
      <c r="C14589" s="8" t="s">
        <v>2121</v>
      </c>
    </row>
    <row r="14590" spans="1:3" x14ac:dyDescent="0.25">
      <c r="A14590" s="8" t="str">
        <f>"Proceedings of IMTA-5 2015 - 5th International Workshop on Image Mining. Theory and Applications, in conjunction with the 10th Internatioanal Joint Conference on Computer Vision, Imaging and Computer Graphics Theory and Applications, VISIGRAPP 2015"</f>
        <v>Proceedings of IMTA-5 2015 - 5th International Workshop on Image Mining. Theory and Applications, in conjunction with the 10th Internatioanal Joint Conference on Computer Vision, Imaging and Computer Graphics Theory and Applications, VISIGRAPP 2015</v>
      </c>
      <c r="B14590" s="8" t="str">
        <f>"9789897580949"</f>
        <v>9789897580949</v>
      </c>
      <c r="C14590" s="8" t="s">
        <v>1197</v>
      </c>
    </row>
    <row r="14591" spans="1:3" x14ac:dyDescent="0.25">
      <c r="A14591" s="8" t="str">
        <f>"Proceedings of India International Conference on Power Electronics, IICPE 2006"</f>
        <v>Proceedings of India International Conference on Power Electronics, IICPE 2006</v>
      </c>
      <c r="B14591" s="8" t="str">
        <f>"9781424434503"</f>
        <v>9781424434503</v>
      </c>
      <c r="C14591" s="8" t="s">
        <v>9</v>
      </c>
    </row>
    <row r="14592" spans="1:3" x14ac:dyDescent="0.25">
      <c r="A14592" s="8" t="str">
        <f>"Proceedings of INDICON 2005: An International Conference of IEEE India Council"</f>
        <v>Proceedings of INDICON 2005: An International Conference of IEEE India Council</v>
      </c>
      <c r="B14592" s="8" t="str">
        <f>"-"</f>
        <v>-</v>
      </c>
      <c r="C14592" s="8" t="s">
        <v>9</v>
      </c>
    </row>
    <row r="14593" spans="1:3" x14ac:dyDescent="0.25">
      <c r="A14593" s="8" t="str">
        <f>"Proceedings of INDICON 2009 - An IEEE India Council Conference"</f>
        <v>Proceedings of INDICON 2009 - An IEEE India Council Conference</v>
      </c>
      <c r="B14593" s="8" t="str">
        <f>"9781424448593"</f>
        <v>9781424448593</v>
      </c>
      <c r="C14593" s="8" t="s">
        <v>9</v>
      </c>
    </row>
    <row r="14594" spans="1:3" x14ac:dyDescent="0.25">
      <c r="A14594" s="8" t="str">
        <f>"Proceedings of INMIC 2004 - 8th International Multitopic Conference"</f>
        <v>Proceedings of INMIC 2004 - 8th International Multitopic Conference</v>
      </c>
      <c r="B14594" s="8" t="str">
        <f>"9780780386808"</f>
        <v>9780780386808</v>
      </c>
      <c r="C14594" s="8" t="s">
        <v>105</v>
      </c>
    </row>
    <row r="14595" spans="1:3" x14ac:dyDescent="0.25">
      <c r="A14595" s="8" t="str">
        <f>"Proceedings of INSS 2008 - 5th International Conference on Networked Sensing Systems"</f>
        <v>Proceedings of INSS 2008 - 5th International Conference on Networked Sensing Systems</v>
      </c>
      <c r="B14595" s="8" t="str">
        <f>"9784907764319"</f>
        <v>9784907764319</v>
      </c>
      <c r="C14595" s="8" t="s">
        <v>9</v>
      </c>
    </row>
    <row r="14596" spans="1:3" x14ac:dyDescent="0.25">
      <c r="A14596" s="8" t="str">
        <f>"Proceedings of International Bhurban Conference on Applied Sciences and Technology, IBCAST"</f>
        <v>Proceedings of International Bhurban Conference on Applied Sciences and Technology, IBCAST</v>
      </c>
      <c r="B14596" s="8" t="str">
        <f>"9789698741044"</f>
        <v>9789698741044</v>
      </c>
      <c r="C14596" s="8" t="s">
        <v>9</v>
      </c>
    </row>
    <row r="14597" spans="1:3" x14ac:dyDescent="0.25">
      <c r="A14597" s="8" t="str">
        <f>"Proceedings of International Conference NANOMEETING 2011: Physics, Chemistry and Applications of Nanostructures - Reviews and Short Notes"</f>
        <v>Proceedings of International Conference NANOMEETING 2011: Physics, Chemistry and Applications of Nanostructures - Reviews and Short Notes</v>
      </c>
      <c r="B14597" s="8" t="str">
        <f>"9789814343893"</f>
        <v>9789814343893</v>
      </c>
      <c r="C14597" s="8" t="s">
        <v>157</v>
      </c>
    </row>
    <row r="14598" spans="1:3" x14ac:dyDescent="0.25">
      <c r="A14598" s="8" t="str">
        <f>"Proceedings of International Conference on Advances in ICT for Emerging Regions, ICTer 2011"</f>
        <v>Proceedings of International Conference on Advances in ICT for Emerging Regions, ICTer 2011</v>
      </c>
      <c r="B14598" s="8" t="str">
        <f>"9781457711114"</f>
        <v>9781457711114</v>
      </c>
      <c r="C14598" s="8" t="s">
        <v>9</v>
      </c>
    </row>
    <row r="14599" spans="1:3" x14ac:dyDescent="0.25">
      <c r="A14599" s="8" t="str">
        <f>"Proceedings of International Conference on Circuits, Communication, Control and Computing, I4C 2014"</f>
        <v>Proceedings of International Conference on Circuits, Communication, Control and Computing, I4C 2014</v>
      </c>
      <c r="B14599" s="8" t="str">
        <f>"9781479965465"</f>
        <v>9781479965465</v>
      </c>
      <c r="C14599" s="8" t="s">
        <v>105</v>
      </c>
    </row>
    <row r="14600" spans="1:3" x14ac:dyDescent="0.25">
      <c r="A14600" s="8" t="str">
        <f>"Proceedings of International Conference on Computation of Power, Energy, Information and Communication, ICCPEIC 2013"</f>
        <v>Proceedings of International Conference on Computation of Power, Energy, Information and Communication, ICCPEIC 2013</v>
      </c>
      <c r="B14600" s="8" t="str">
        <f>"9781467364089"</f>
        <v>9781467364089</v>
      </c>
      <c r="C14600" s="8" t="s">
        <v>9</v>
      </c>
    </row>
    <row r="14601" spans="1:3" x14ac:dyDescent="0.25">
      <c r="A14601" s="8" t="str">
        <f>"Proceedings of International Conference on Computer Vision in Remote Sensing, CVRS 2012"</f>
        <v>Proceedings of International Conference on Computer Vision in Remote Sensing, CVRS 2012</v>
      </c>
      <c r="B14601" s="8" t="str">
        <f>"9781467312738"</f>
        <v>9781467312738</v>
      </c>
      <c r="C14601" s="8" t="s">
        <v>9</v>
      </c>
    </row>
    <row r="14602" spans="1:3" x14ac:dyDescent="0.25">
      <c r="A14602" s="8" t="str">
        <f>"Proceedings of International Conference on Dependability of Computer Systems, DepCoS - RELCOMEX 2008"</f>
        <v>Proceedings of International Conference on Dependability of Computer Systems, DepCoS - RELCOMEX 2008</v>
      </c>
      <c r="B14602" s="8" t="str">
        <f>"9780769531793"</f>
        <v>9780769531793</v>
      </c>
      <c r="C14602" s="8" t="s">
        <v>9</v>
      </c>
    </row>
    <row r="14603" spans="1:3" x14ac:dyDescent="0.25">
      <c r="A14603" s="8" t="str">
        <f>"Proceedings of International Conference on Dependability of Computer Systems, DepCoS-RELCOMEX 2006"</f>
        <v>Proceedings of International Conference on Dependability of Computer Systems, DepCoS-RELCOMEX 2006</v>
      </c>
      <c r="B14603" s="8" t="str">
        <f>"9780769525655"</f>
        <v>9780769525655</v>
      </c>
      <c r="C14603" s="8" t="s">
        <v>9</v>
      </c>
    </row>
    <row r="14604" spans="1:3" x14ac:dyDescent="0.25">
      <c r="A14604" s="8" t="str">
        <f>"Proceedings of International Conference on Electronics Communication and Computing Technologies 2011, ICECCT'11"</f>
        <v>Proceedings of International Conference on Electronics Communication and Computing Technologies 2011, ICECCT'11</v>
      </c>
      <c r="B14604" s="8" t="str">
        <f>"9781457718946"</f>
        <v>9781457718946</v>
      </c>
      <c r="C14604" s="8" t="s">
        <v>9</v>
      </c>
    </row>
    <row r="14605" spans="1:3" x14ac:dyDescent="0.25">
      <c r="A14605" s="8" t="str">
        <f>"Proceedings of International Conference on Information Systems for Crisis Response and Management, ISCRAM 2011"</f>
        <v>Proceedings of International Conference on Information Systems for Crisis Response and Management, ISCRAM 2011</v>
      </c>
      <c r="B14605" s="8" t="str">
        <f>"9781457703669"</f>
        <v>9781457703669</v>
      </c>
      <c r="C14605" s="8" t="s">
        <v>9</v>
      </c>
    </row>
    <row r="14606" spans="1:3" x14ac:dyDescent="0.25">
      <c r="A14606" s="8" t="str">
        <f>"Proceedings of International Conference on Intelligent Sensing and Information Processing, ICISIP 2004"</f>
        <v>Proceedings of International Conference on Intelligent Sensing and Information Processing, ICISIP 2004</v>
      </c>
      <c r="B14606" s="8" t="str">
        <f>"9780780382435"</f>
        <v>9780780382435</v>
      </c>
      <c r="C14606" s="8" t="s">
        <v>105</v>
      </c>
    </row>
    <row r="14607" spans="1:3" x14ac:dyDescent="0.25">
      <c r="A14607" s="8" t="str">
        <f>"Proceedings of International Conference on Methods and Models in Computer Science, ICM2CS09"</f>
        <v>Proceedings of International Conference on Methods and Models in Computer Science, ICM2CS09</v>
      </c>
      <c r="B14607" s="8" t="str">
        <f>"9789380043579"</f>
        <v>9789380043579</v>
      </c>
      <c r="C14607" s="8" t="s">
        <v>9</v>
      </c>
    </row>
    <row r="14608" spans="1:3" x14ac:dyDescent="0.25">
      <c r="A14608" s="8" t="str">
        <f>"Proceedings of International Conference on Risk Management and Engineering Management"</f>
        <v>Proceedings of International Conference on Risk Management and Engineering Management</v>
      </c>
      <c r="B14608" s="8" t="str">
        <f>"9780978348458"</f>
        <v>9780978348458</v>
      </c>
      <c r="C14608" s="8" t="s">
        <v>1266</v>
      </c>
    </row>
    <row r="14609" spans="1:3" x14ac:dyDescent="0.25">
      <c r="A14609" s="8" t="str">
        <f>"Proceedings of International Conference on Risk Management and Engineering Management"</f>
        <v>Proceedings of International Conference on Risk Management and Engineering Management</v>
      </c>
      <c r="B14609" s="8" t="str">
        <f>"9780769534022"</f>
        <v>9780769534022</v>
      </c>
      <c r="C14609" s="8" t="s">
        <v>9</v>
      </c>
    </row>
    <row r="14610" spans="1:3" x14ac:dyDescent="0.25">
      <c r="A14610" s="8" t="str">
        <f>"Proceedings of International Forum on Shipping, Ports and Airports, IFSPA 2008 - Trade-Based Global Supply Chain and Transport Logistics Hubs: Trends and Future Development"</f>
        <v>Proceedings of International Forum on Shipping, Ports and Airports, IFSPA 2008 - Trade-Based Global Supply Chain and Transport Logistics Hubs: Trends and Future Development</v>
      </c>
      <c r="B14610" s="8" t="str">
        <f>"9789623676328"</f>
        <v>9789623676328</v>
      </c>
      <c r="C14610" s="8" t="s">
        <v>2122</v>
      </c>
    </row>
    <row r="14611" spans="1:3" x14ac:dyDescent="0.25">
      <c r="A14611" s="8" t="str">
        <f>"Proceedings of International Symposium on Advances in Computer and Sensor Networks and Systems, 2008"</f>
        <v>Proceedings of International Symposium on Advances in Computer and Sensor Networks and Systems, 2008</v>
      </c>
      <c r="B14611" s="8" t="str">
        <f>"9781427629807"</f>
        <v>9781427629807</v>
      </c>
      <c r="C14611" s="8" t="s">
        <v>2123</v>
      </c>
    </row>
    <row r="14612" spans="1:3" x14ac:dyDescent="0.25">
      <c r="A14612" s="8" t="str">
        <f>"Proceedings of International Symposium on Biophotonics, Nanophotonics and Metamaterials, Metamaterials 2006"</f>
        <v>Proceedings of International Symposium on Biophotonics, Nanophotonics and Metamaterials, Metamaterials 2006</v>
      </c>
      <c r="B14612" s="8" t="str">
        <f>"9780780397743"</f>
        <v>9780780397743</v>
      </c>
      <c r="C14612" s="8" t="s">
        <v>9</v>
      </c>
    </row>
    <row r="14613" spans="1:3" x14ac:dyDescent="0.25">
      <c r="A14613" s="8" t="str">
        <f>"Proceedings of International Symposium on High Density Packaging and Microsystem Integration 2007, HDP'07"</f>
        <v>Proceedings of International Symposium on High Density Packaging and Microsystem Integration 2007, HDP'07</v>
      </c>
      <c r="B14613" s="8" t="str">
        <f>"9781424412532"</f>
        <v>9781424412532</v>
      </c>
      <c r="C14613" s="8" t="s">
        <v>9</v>
      </c>
    </row>
    <row r="14614" spans="1:3" x14ac:dyDescent="0.25">
      <c r="A14614" s="8" t="str">
        <f>"Proceedings of IPTComm 2010 - Principles, Systems and Applications of IP Telecommunications"</f>
        <v>Proceedings of IPTComm 2010 - Principles, Systems and Applications of IP Telecommunications</v>
      </c>
      <c r="B14614" s="8" t="str">
        <f>"9781450306317"</f>
        <v>9781450306317</v>
      </c>
      <c r="C14614" s="8" t="s">
        <v>21</v>
      </c>
    </row>
    <row r="14615" spans="1:3" x14ac:dyDescent="0.25">
      <c r="A14615" s="8" t="str">
        <f>"Proceedings of IPTComm 2011: Principles, Systems and Applications of IP Telecommunications"</f>
        <v>Proceedings of IPTComm 2011: Principles, Systems and Applications of IP Telecommunications</v>
      </c>
      <c r="B14615" s="8" t="str">
        <f>"9783937201153"</f>
        <v>9783937201153</v>
      </c>
      <c r="C14615" s="8" t="s">
        <v>21</v>
      </c>
    </row>
    <row r="14616" spans="1:3" x14ac:dyDescent="0.25">
      <c r="A14616" s="8" t="str">
        <f>"Proceedings of IREP Symposium: Bulk Power System Dynamics and Control - IX Optimization, Security and Control of the Emerging Power Grid, IREP 2013"</f>
        <v>Proceedings of IREP Symposium: Bulk Power System Dynamics and Control - IX Optimization, Security and Control of the Emerging Power Grid, IREP 2013</v>
      </c>
      <c r="B14616" s="8" t="str">
        <f>"9781479901999"</f>
        <v>9781479901999</v>
      </c>
      <c r="C14616" s="8" t="s">
        <v>9</v>
      </c>
    </row>
    <row r="14617" spans="1:3" x14ac:dyDescent="0.25">
      <c r="A14617" s="8" t="str">
        <f>"Proceedings of ISCN'06: 7th International Symosium on Computer Networks"</f>
        <v>Proceedings of ISCN'06: 7th International Symosium on Computer Networks</v>
      </c>
      <c r="B14617" s="8" t="str">
        <f>"-"</f>
        <v>-</v>
      </c>
      <c r="C14617" s="8" t="s">
        <v>9</v>
      </c>
    </row>
    <row r="14618" spans="1:3" x14ac:dyDescent="0.25">
      <c r="A14618" s="8" t="str">
        <f>"Proceedings of ISCN'08 - 8th International Symposium on Computer Networks"</f>
        <v>Proceedings of ISCN'08 - 8th International Symposium on Computer Networks</v>
      </c>
      <c r="B14618" s="8" t="str">
        <f>"9789755182957"</f>
        <v>9789755182957</v>
      </c>
      <c r="C14618" s="8" t="s">
        <v>1266</v>
      </c>
    </row>
    <row r="14619" spans="1:3" x14ac:dyDescent="0.25">
      <c r="A14619" s="8" t="str">
        <f>"Proceedings of ISMA 2010 - International Conference on Noise and Vibration Engineering, including USD 2010"</f>
        <v>Proceedings of ISMA 2010 - International Conference on Noise and Vibration Engineering, including USD 2010</v>
      </c>
      <c r="B14619" s="8" t="str">
        <f>"9789073802872"</f>
        <v>9789073802872</v>
      </c>
      <c r="C14619" s="8" t="s">
        <v>2124</v>
      </c>
    </row>
    <row r="14620" spans="1:3" x14ac:dyDescent="0.25">
      <c r="A14620" s="8" t="str">
        <f>"Proceedings of ISMA 2014 - International Conference on Noise and Vibration Engineering and USD 2014 - International Conference on Uncertainty in Structural Dynamics"</f>
        <v>Proceedings of ISMA 2014 - International Conference on Noise and Vibration Engineering and USD 2014 - International Conference on Uncertainty in Structural Dynamics</v>
      </c>
      <c r="B14620" s="8" t="str">
        <f>"9789073802919"</f>
        <v>9789073802919</v>
      </c>
      <c r="C14620" s="8" t="s">
        <v>2125</v>
      </c>
    </row>
    <row r="14621" spans="1:3" x14ac:dyDescent="0.25">
      <c r="A14621" s="8" t="str">
        <f>"Proceedings of ISMA2006: International Conference on Noise and Vibration Engineering"</f>
        <v>Proceedings of ISMA2006: International Conference on Noise and Vibration Engineering</v>
      </c>
      <c r="B14621" s="8" t="str">
        <f>"9781629939278"</f>
        <v>9781629939278</v>
      </c>
      <c r="C14621" s="8" t="s">
        <v>2124</v>
      </c>
    </row>
    <row r="14622" spans="1:3" x14ac:dyDescent="0.25">
      <c r="A14622" s="8" t="str">
        <f>"Proceedings of ISOPE Pacific/Asia Offshore Mechanics Symposium"</f>
        <v>Proceedings of ISOPE Pacific/Asia Offshore Mechanics Symposium</v>
      </c>
      <c r="B14622" s="8" t="str">
        <f>"9781880653593"</f>
        <v>9781880653593</v>
      </c>
      <c r="C14622" s="8" t="s">
        <v>594</v>
      </c>
    </row>
    <row r="14623" spans="1:3" x14ac:dyDescent="0.25">
      <c r="A14623" s="8" t="str">
        <f>"Proceedings of ISSI 2005: 10th International Conference of the International Society for Scientometrics and Informetrics"</f>
        <v>Proceedings of ISSI 2005: 10th International Conference of the International Society for Scientometrics and Informetrics</v>
      </c>
      <c r="B14623" s="8" t="str">
        <f>"9789171403391"</f>
        <v>9789171403391</v>
      </c>
      <c r="C14623" s="8" t="s">
        <v>2126</v>
      </c>
    </row>
    <row r="14624" spans="1:3" x14ac:dyDescent="0.25">
      <c r="A14624" s="8" t="str">
        <f>"Proceedings of ISSI 2005: 10th International Conference of the International Society for Scientometrics and Informetrics"</f>
        <v>Proceedings of ISSI 2005: 10th International Conference of the International Society for Scientometrics and Informetrics</v>
      </c>
      <c r="B14624" s="8" t="str">
        <f>"9789171403391"</f>
        <v>9789171403391</v>
      </c>
      <c r="C14624" s="8" t="s">
        <v>2126</v>
      </c>
    </row>
    <row r="14625" spans="1:3" x14ac:dyDescent="0.25">
      <c r="A14625" s="8" t="str">
        <f>"Proceedings of ISSI 2013 - 14th International Society of Scientometrics and Informetrics Conference"</f>
        <v>Proceedings of ISSI 2013 - 14th International Society of Scientometrics and Informetrics Conference</v>
      </c>
      <c r="B14625" s="8" t="str">
        <f>"9783200031357"</f>
        <v>9783200031357</v>
      </c>
      <c r="C14625" s="8" t="s">
        <v>2126</v>
      </c>
    </row>
    <row r="14626" spans="1:3" x14ac:dyDescent="0.25">
      <c r="A14626" s="8" t="str">
        <f>"Proceedings of IWSSIP 2008 - 15th International Conference on Systems, Signals and Image Processing"</f>
        <v>Proceedings of IWSSIP 2008 - 15th International Conference on Systems, Signals and Image Processing</v>
      </c>
      <c r="B14626" s="8" t="str">
        <f>"9788022728560"</f>
        <v>9788022728560</v>
      </c>
      <c r="C14626" s="8" t="s">
        <v>9</v>
      </c>
    </row>
    <row r="14627" spans="1:3" x14ac:dyDescent="0.25">
      <c r="A14627" s="8" t="str">
        <f>"Proceedings of JAC 2010 - Journees Automates Cellulaires"</f>
        <v>Proceedings of JAC 2010 - Journees Automates Cellulaires</v>
      </c>
      <c r="B14627" s="8" t="str">
        <f>"9789521225031"</f>
        <v>9789521225031</v>
      </c>
      <c r="C14627" s="8" t="s">
        <v>1506</v>
      </c>
    </row>
    <row r="14628" spans="1:3" x14ac:dyDescent="0.25">
      <c r="A14628" s="8" t="str">
        <f>"Proceedings of KONVENS 2006 - Konferenz zur Verarbeitung Naturlicher Sprache"</f>
        <v>Proceedings of KONVENS 2006 - Konferenz zur Verarbeitung Naturlicher Sprache</v>
      </c>
      <c r="B14628" s="8" t="str">
        <f>"9783893180509"</f>
        <v>9783893180509</v>
      </c>
      <c r="C14628" s="8" t="s">
        <v>2127</v>
      </c>
    </row>
    <row r="14629" spans="1:3" x14ac:dyDescent="0.25">
      <c r="A14629" s="8" t="str">
        <f>"Proceedings of LFNM 2001 - 3rd International Workshop on Laser and Fiber-Optical Networks Modeling"</f>
        <v>Proceedings of LFNM 2001 - 3rd International Workshop on Laser and Fiber-Optical Networks Modeling</v>
      </c>
      <c r="B14629" s="8" t="str">
        <f>"9780780366800"</f>
        <v>9780780366800</v>
      </c>
      <c r="C14629" s="8" t="s">
        <v>105</v>
      </c>
    </row>
    <row r="14630" spans="1:3" x14ac:dyDescent="0.25">
      <c r="A14630" s="8" t="str">
        <f>"Proceedings of LFNM 2002 - 4th International Workshop on Laser and Fiber-Optical Networks Modeling"</f>
        <v>Proceedings of LFNM 2002 - 4th International Workshop on Laser and Fiber-Optical Networks Modeling</v>
      </c>
      <c r="B14630" s="8" t="str">
        <f>"9780780373723"</f>
        <v>9780780373723</v>
      </c>
      <c r="C14630" s="8" t="s">
        <v>105</v>
      </c>
    </row>
    <row r="14631" spans="1:3" x14ac:dyDescent="0.25">
      <c r="A14631" s="8" t="str">
        <f>"Proceedings of LFNM 2003 - 5th International Workshop on Laser and Fiber-Optical Networks Modeling"</f>
        <v>Proceedings of LFNM 2003 - 5th International Workshop on Laser and Fiber-Optical Networks Modeling</v>
      </c>
      <c r="B14631" s="8" t="str">
        <f>"9780780377097"</f>
        <v>9780780377097</v>
      </c>
      <c r="C14631" s="8" t="s">
        <v>105</v>
      </c>
    </row>
    <row r="14632" spans="1:3" x14ac:dyDescent="0.25">
      <c r="A14632" s="8" t="str">
        <f>"Proceedings of LFNM 2004 - 6th International Conference on Laser and Fiber-Optical Networks Modeling"</f>
        <v>Proceedings of LFNM 2004 - 6th International Conference on Laser and Fiber-Optical Networks Modeling</v>
      </c>
      <c r="B14632" s="8" t="str">
        <f>"9780780384293"</f>
        <v>9780780384293</v>
      </c>
      <c r="C14632" s="8" t="s">
        <v>105</v>
      </c>
    </row>
    <row r="14633" spans="1:3" x14ac:dyDescent="0.25">
      <c r="A14633" s="8" t="str">
        <f>"Proceedings of LFNM 2005: 7th International Conference on Laser and Fiber-Optical Networks Modeling"</f>
        <v>Proceedings of LFNM 2005: 7th International Conference on Laser and Fiber-Optical Networks Modeling</v>
      </c>
      <c r="B14633" s="8" t="str">
        <f>"-"</f>
        <v>-</v>
      </c>
      <c r="C14633" s="8" t="s">
        <v>9</v>
      </c>
    </row>
    <row r="14634" spans="1:3" x14ac:dyDescent="0.25">
      <c r="A14634" s="8" t="str">
        <f>"Proceedings of LLVM-HPC 2014: 2014 LLVM Compiler Infrastructure in HPC - Held in Conjunction with SC 2014: The International Conference for High Performance Computing, Networking, Storage and Analysis"</f>
        <v>Proceedings of LLVM-HPC 2014: 2014 LLVM Compiler Infrastructure in HPC - Held in Conjunction with SC 2014: The International Conference for High Performance Computing, Networking, Storage and Analysis</v>
      </c>
      <c r="B14634" s="8" t="str">
        <f>"9781479970230"</f>
        <v>9781479970230</v>
      </c>
      <c r="C14634" s="8" t="s">
        <v>105</v>
      </c>
    </row>
    <row r="14635" spans="1:3" x14ac:dyDescent="0.25">
      <c r="A14635" s="8" t="str">
        <f>"Proceedings of MARSTRUCT 2009, 2nd International Conference on Marine Structures-Analysis and Design of Marine Structures"</f>
        <v>Proceedings of MARSTRUCT 2009, 2nd International Conference on Marine Structures-Analysis and Design of Marine Structures</v>
      </c>
      <c r="B14635" s="8" t="str">
        <f>"-"</f>
        <v>-</v>
      </c>
      <c r="C14635" s="8" t="s">
        <v>1637</v>
      </c>
    </row>
    <row r="14636" spans="1:3" x14ac:dyDescent="0.25">
      <c r="A14636" s="8" t="str">
        <f>"Proceedings of MASPEGHI 2013: MechAnisms for SPEcialization, Generalization and InHerItance Workshop - In Conjunction with the Colocated Conferences, ECOOP, ECMFA and ECSA 2013"</f>
        <v>Proceedings of MASPEGHI 2013: MechAnisms for SPEcialization, Generalization and InHerItance Workshop - In Conjunction with the Colocated Conferences, ECOOP, ECMFA and ECSA 2013</v>
      </c>
      <c r="B14636" s="8" t="str">
        <f>"9781450320467"</f>
        <v>9781450320467</v>
      </c>
      <c r="C14636" s="8" t="s">
        <v>21</v>
      </c>
    </row>
    <row r="14637" spans="1:3" x14ac:dyDescent="0.25">
      <c r="A14637" s="8" t="str">
        <f>"Proceedings of MNT for Aerospace Applications, CANEUS2006"</f>
        <v>Proceedings of MNT for Aerospace Applications, CANEUS2006</v>
      </c>
      <c r="B14637" s="8" t="str">
        <f>"-"</f>
        <v>-</v>
      </c>
      <c r="C14637" s="8" t="s">
        <v>1308</v>
      </c>
    </row>
    <row r="14638" spans="1:3" x14ac:dyDescent="0.25">
      <c r="A14638" s="8" t="str">
        <f>"Proceedings of MOBIQUITOUS 2004 - 1st Annual International Conference on Mobile and Ubiquitous Systems: Networking and Services"</f>
        <v>Proceedings of MOBIQUITOUS 2004 - 1st Annual International Conference on Mobile and Ubiquitous Systems: Networking and Services</v>
      </c>
      <c r="B14638" s="8" t="str">
        <f>"9780769522081"</f>
        <v>9780769522081</v>
      </c>
      <c r="C14638" s="8" t="s">
        <v>9</v>
      </c>
    </row>
    <row r="14639" spans="1:3" x14ac:dyDescent="0.25">
      <c r="A14639" s="8" t="str">
        <f>"Proceedings of Modelling and Simulation, MS'2004"</f>
        <v>Proceedings of Modelling and Simulation, MS'2004</v>
      </c>
      <c r="B14639" s="8" t="str">
        <f>"-"</f>
        <v>-</v>
      </c>
      <c r="C14639" s="8" t="s">
        <v>1773</v>
      </c>
    </row>
    <row r="14640" spans="1:3" x14ac:dyDescent="0.25">
      <c r="A14640" s="8" t="str">
        <f>"Proceedings of MOMPES 2005 - 2nd International Workshop on Model-Based Methodologies for Pervasive and Embedded Software"</f>
        <v>Proceedings of MOMPES 2005 - 2nd International Workshop on Model-Based Methodologies for Pervasive and Embedded Software</v>
      </c>
      <c r="B14640" s="8" t="str">
        <f>"9789521215568"</f>
        <v>9789521215568</v>
      </c>
      <c r="C14640" s="8" t="s">
        <v>1506</v>
      </c>
    </row>
    <row r="14641" spans="1:3" x14ac:dyDescent="0.25">
      <c r="A14641" s="8" t="str">
        <f>"Proceedings of Mosharaka International Conference on Communications, Computers and Applications 2008, MIC-CCA 2008"</f>
        <v>Proceedings of Mosharaka International Conference on Communications, Computers and Applications 2008, MIC-CCA 2008</v>
      </c>
      <c r="B14641" s="8" t="str">
        <f>"9789957486037"</f>
        <v>9789957486037</v>
      </c>
      <c r="C14641" s="8" t="s">
        <v>9</v>
      </c>
    </row>
    <row r="14642" spans="1:3" x14ac:dyDescent="0.25">
      <c r="A14642" s="8" t="str">
        <f>"Proceedings of MTS/IEEE OCEANS, 2005"</f>
        <v>Proceedings of MTS/IEEE OCEANS, 2005</v>
      </c>
      <c r="B14642" s="8" t="str">
        <f>"-"</f>
        <v>-</v>
      </c>
      <c r="C14642" s="8" t="s">
        <v>9</v>
      </c>
    </row>
    <row r="14643" spans="1:3" x14ac:dyDescent="0.25">
      <c r="A14643" s="8" t="str">
        <f>"Proceedings of MultiTemp 2007 - 2007 International Workshop on the Analysis of Multi-Temporal Remote Sensing Images"</f>
        <v>Proceedings of MultiTemp 2007 - 2007 International Workshop on the Analysis of Multi-Temporal Remote Sensing Images</v>
      </c>
      <c r="B14643" s="8" t="str">
        <f>"9781424408467"</f>
        <v>9781424408467</v>
      </c>
      <c r="C14643" s="8" t="s">
        <v>9</v>
      </c>
    </row>
    <row r="14644" spans="1:3" x14ac:dyDescent="0.25">
      <c r="A14644" s="8" t="str">
        <f>"Proceedings of National Conference on Innovations in Emerging Technology, NCOIET'11"</f>
        <v>Proceedings of National Conference on Innovations in Emerging Technology, NCOIET'11</v>
      </c>
      <c r="B14644" s="8" t="str">
        <f>"9781612848082"</f>
        <v>9781612848082</v>
      </c>
      <c r="C14644" s="8" t="s">
        <v>9</v>
      </c>
    </row>
    <row r="14645" spans="1:3" x14ac:dyDescent="0.25">
      <c r="A14645" s="8" t="str">
        <f>"Proceedings of NDM 2014: 4th International Workshop on Network-Aware Data Management - Held in Conjunction with SC 2014: The International Conference for High Performance Computing, Networking, Storage and Analysis"</f>
        <v>Proceedings of NDM 2014: 4th International Workshop on Network-Aware Data Management - Held in Conjunction with SC 2014: The International Conference for High Performance Computing, Networking, Storage and Analysis</v>
      </c>
      <c r="B14645" s="8" t="str">
        <f>"9781479970193"</f>
        <v>9781479970193</v>
      </c>
      <c r="C14645" s="8" t="s">
        <v>105</v>
      </c>
    </row>
    <row r="14646" spans="1:3" x14ac:dyDescent="0.25">
      <c r="A14646" s="8" t="str">
        <f>"Proceedings of New Technologies, Mobility and Security Conference and Workshops, NTMS 2008"</f>
        <v>Proceedings of New Technologies, Mobility and Security Conference and Workshops, NTMS 2008</v>
      </c>
      <c r="B14646" s="8" t="str">
        <f>"9782953244304"</f>
        <v>9782953244304</v>
      </c>
      <c r="C14646" s="8" t="s">
        <v>9</v>
      </c>
    </row>
    <row r="14647" spans="1:3" x14ac:dyDescent="0.25">
      <c r="A14647" s="8" t="str">
        <f>"Proceedings of NordDesign 2006 Conference"</f>
        <v>Proceedings of NordDesign 2006 Conference</v>
      </c>
      <c r="B14647" s="8" t="str">
        <f>"-"</f>
        <v>-</v>
      </c>
      <c r="C14647" s="8" t="s">
        <v>1231</v>
      </c>
    </row>
    <row r="14648" spans="1:3" x14ac:dyDescent="0.25">
      <c r="A14648" s="8" t="str">
        <f>"Proceedings of NordDesign 2008 Conference"</f>
        <v>Proceedings of NordDesign 2008 Conference</v>
      </c>
      <c r="B14648" s="8" t="str">
        <f>"9789985598405"</f>
        <v>9789985598405</v>
      </c>
      <c r="C14648" s="8" t="s">
        <v>1231</v>
      </c>
    </row>
    <row r="14649" spans="1:3" x14ac:dyDescent="0.25">
      <c r="A14649" s="8" t="str">
        <f>"Proceedings of NordDesign 2010, the 8th International NordDesign Conference"</f>
        <v>Proceedings of NordDesign 2010, the 8th International NordDesign Conference</v>
      </c>
      <c r="B14649" s="8" t="str">
        <f>"-"</f>
        <v>-</v>
      </c>
      <c r="C14649" s="8" t="s">
        <v>1231</v>
      </c>
    </row>
    <row r="14650" spans="1:3" x14ac:dyDescent="0.25">
      <c r="A14650" s="8" t="str">
        <f>"Proceedings of NZCSRSC 2007, the 5th New Zealand Computer Science Research Student Conference"</f>
        <v>Proceedings of NZCSRSC 2007, the 5th New Zealand Computer Science Research Student Conference</v>
      </c>
      <c r="B14650" s="8" t="str">
        <f>"-"</f>
        <v>-</v>
      </c>
      <c r="C14650" s="8" t="s">
        <v>2008</v>
      </c>
    </row>
    <row r="14651" spans="1:3" x14ac:dyDescent="0.25">
      <c r="A14651" s="8" t="str">
        <f>"Proceedings of Papers - 5th European Conference on Circuits and Systems for Communications, ECCSC'10"</f>
        <v>Proceedings of Papers - 5th European Conference on Circuits and Systems for Communications, ECCSC'10</v>
      </c>
      <c r="B14651" s="8" t="str">
        <f>"9788674663943"</f>
        <v>9788674663943</v>
      </c>
      <c r="C14651" s="8" t="s">
        <v>9</v>
      </c>
    </row>
    <row r="14652" spans="1:3" x14ac:dyDescent="0.25">
      <c r="A14652" s="8" t="str">
        <f>"Proceedings of PDSW 2014: 9th Parallel Data Storage Workshop - Held in Conjunction with SC 2014: The International Conference for High Performance Computing, Networking, Storage and Analysis"</f>
        <v>Proceedings of PDSW 2014: 9th Parallel Data Storage Workshop - Held in Conjunction with SC 2014: The International Conference for High Performance Computing, Networking, Storage and Analysis</v>
      </c>
      <c r="B14652" s="8" t="str">
        <f>"9781479970254"</f>
        <v>9781479970254</v>
      </c>
      <c r="C14652" s="8" t="s">
        <v>105</v>
      </c>
    </row>
    <row r="14653" spans="1:3" x14ac:dyDescent="0.25">
      <c r="A14653" s="8" t="str">
        <f>"Proceedings of Pipelines Congress 2008 - Pipeline Asset Management: Maximizing Performance of Our Pipeline Infrastructure"</f>
        <v>Proceedings of Pipelines Congress 2008 - Pipeline Asset Management: Maximizing Performance of Our Pipeline Infrastructure</v>
      </c>
      <c r="B14653" s="8" t="str">
        <f>"9780784409947"</f>
        <v>9780784409947</v>
      </c>
      <c r="C14653" s="8" t="s">
        <v>111</v>
      </c>
    </row>
    <row r="14654" spans="1:3" x14ac:dyDescent="0.25">
      <c r="A14654" s="8" t="str">
        <f>"Proceedings of RIKEN BNL Research Center Workshop - QCD in Extreme Conditions"</f>
        <v>Proceedings of RIKEN BNL Research Center Workshop - QCD in Extreme Conditions</v>
      </c>
      <c r="B14654" s="8" t="str">
        <f>"-"</f>
        <v>-</v>
      </c>
      <c r="C14654" s="8" t="s">
        <v>2128</v>
      </c>
    </row>
    <row r="14655" spans="1:3" x14ac:dyDescent="0.25">
      <c r="A14655" s="8" t="str">
        <f>"Proceedings of Risk Management - For Tomorrow's Challenges"</f>
        <v>Proceedings of Risk Management - For Tomorrow's Challenges</v>
      </c>
      <c r="B14655" s="8" t="str">
        <f>"9780894480744"</f>
        <v>9780894480744</v>
      </c>
      <c r="C14655" s="8" t="s">
        <v>453</v>
      </c>
    </row>
    <row r="14656" spans="1:3" x14ac:dyDescent="0.25">
      <c r="A14656" s="8" t="str">
        <f>"Proceedings of Sandbox 2008: An ACM SIGGRAPH Videogame Symposium, Sandbox'08"</f>
        <v>Proceedings of Sandbox 2008: An ACM SIGGRAPH Videogame Symposium, Sandbox'08</v>
      </c>
      <c r="B14656" s="8" t="str">
        <f>"9781605581736"</f>
        <v>9781605581736</v>
      </c>
      <c r="C14656" s="8" t="s">
        <v>21</v>
      </c>
    </row>
    <row r="14657" spans="1:3" x14ac:dyDescent="0.25">
      <c r="A14657" s="8" t="str">
        <f>"Proceedings of ScalA 2014: 5th Workshop on Latest Advances in Scalable Algorithms for Large-Scale Systems - held in conjunction with SC 2014: The International Conference for High Performance Computing, Networking, Storage and Analysis"</f>
        <v>Proceedings of ScalA 2014: 5th Workshop on Latest Advances in Scalable Algorithms for Large-Scale Systems - held in conjunction with SC 2014: The International Conference for High Performance Computing, Networking, Storage and Analysis</v>
      </c>
      <c r="B14657" s="8" t="str">
        <f>"9781479975624"</f>
        <v>9781479975624</v>
      </c>
      <c r="C14657" s="8" t="s">
        <v>105</v>
      </c>
    </row>
    <row r="14658" spans="1:3" x14ac:dyDescent="0.25">
      <c r="A14658" s="8" t="str">
        <f>"Proceedings of SDSS' Rio 2010: International Colloquium Stability and Ductility of Steel Structures"</f>
        <v>Proceedings of SDSS' Rio 2010: International Colloquium Stability and Ductility of Steel Structures</v>
      </c>
      <c r="B14658" s="8" t="str">
        <f>"9788528501377"</f>
        <v>9788528501377</v>
      </c>
      <c r="C14658" s="8" t="s">
        <v>2129</v>
      </c>
    </row>
    <row r="14659" spans="1:3" x14ac:dyDescent="0.25">
      <c r="A14659" s="8" t="str">
        <f>"Proceedings of SEFI and IGIP Joint Annual Conference 2007: Joining Forces in Engineering Educations Towards Excellence"</f>
        <v>Proceedings of SEFI and IGIP Joint Annual Conference 2007: Joining Forces in Engineering Educations Towards Excellence</v>
      </c>
      <c r="B14659" s="8" t="str">
        <f>"9789636617721"</f>
        <v>9789636617721</v>
      </c>
      <c r="C14659" s="8" t="s">
        <v>2130</v>
      </c>
    </row>
    <row r="14660" spans="1:3" x14ac:dyDescent="0.25">
      <c r="A14660" s="8" t="s">
        <v>2131</v>
      </c>
      <c r="B14660" s="8" t="str">
        <f>"9781479970353"</f>
        <v>9781479970353</v>
      </c>
      <c r="C14660" s="8" t="s">
        <v>105</v>
      </c>
    </row>
    <row r="14661" spans="1:3" x14ac:dyDescent="0.25">
      <c r="A14661" s="8" t="str">
        <f>"Proceedings of Sessions of Engineering Mechanics 2000 - Condition Monitoring of Materials and Structures"</f>
        <v>Proceedings of Sessions of Engineering Mechanics 2000 - Condition Monitoring of Materials and Structures</v>
      </c>
      <c r="B14661" s="8" t="str">
        <f>"9780784404959"</f>
        <v>9780784404959</v>
      </c>
      <c r="C14661" s="8" t="s">
        <v>111</v>
      </c>
    </row>
    <row r="14662" spans="1:3" x14ac:dyDescent="0.25">
      <c r="A14662" s="8" t="str">
        <f>"Proceedings of Sessions of Geo-Denver 2000 - Advances in Grouting and Ground Modification, GSP 104"</f>
        <v>Proceedings of Sessions of Geo-Denver 2000 - Advances in Grouting and Ground Modification, GSP 104</v>
      </c>
      <c r="B14662" s="8" t="str">
        <f>"9780784405161"</f>
        <v>9780784405161</v>
      </c>
      <c r="C14662" s="8" t="s">
        <v>111</v>
      </c>
    </row>
    <row r="14663" spans="1:3" x14ac:dyDescent="0.25">
      <c r="A14663" s="8" t="str">
        <f>"Proceedings of Sessions of Geo-Denver 2000 - Advances in Transportation and Geoenvironmental Systems Using Geosynthetics, GSP 103"</f>
        <v>Proceedings of Sessions of Geo-Denver 2000 - Advances in Transportation and Geoenvironmental Systems Using Geosynthetics, GSP 103</v>
      </c>
      <c r="B14663" s="8" t="str">
        <f>"9780784405154"</f>
        <v>9780784405154</v>
      </c>
      <c r="C14663" s="8" t="s">
        <v>111</v>
      </c>
    </row>
    <row r="14664" spans="1:3" x14ac:dyDescent="0.25">
      <c r="A14664" s="8" t="str">
        <f>"Proceedings of Sessions of Geo-Denver 2000 - Advances in Unsaturated Geotechnics, GSP 99"</f>
        <v>Proceedings of Sessions of Geo-Denver 2000 - Advances in Unsaturated Geotechnics, GSP 99</v>
      </c>
      <c r="B14664" s="8" t="str">
        <f>"9780784405109"</f>
        <v>9780784405109</v>
      </c>
      <c r="C14664" s="8" t="s">
        <v>111</v>
      </c>
    </row>
    <row r="14665" spans="1:3" x14ac:dyDescent="0.25">
      <c r="A14665" s="8" t="str">
        <f>"Proceedings of Sessions of Geo-Denver 2000 - Computer Simulation of Earthquake Effects, GSP 110"</f>
        <v>Proceedings of Sessions of Geo-Denver 2000 - Computer Simulation of Earthquake Effects, GSP 110</v>
      </c>
      <c r="B14665" s="8" t="str">
        <f>"9780784405239"</f>
        <v>9780784405239</v>
      </c>
      <c r="C14665" s="8" t="s">
        <v>111</v>
      </c>
    </row>
    <row r="14666" spans="1:3" x14ac:dyDescent="0.25">
      <c r="A14666" s="8" t="str">
        <f>"Proceedings of Sessions of Geo-Denver 2000 - Educational Issues in Geotechnical Engineering, GSP 109"</f>
        <v>Proceedings of Sessions of Geo-Denver 2000 - Educational Issues in Geotechnical Engineering, GSP 109</v>
      </c>
      <c r="B14666" s="8" t="str">
        <f>"9780784405222"</f>
        <v>9780784405222</v>
      </c>
      <c r="C14666" s="8" t="s">
        <v>111</v>
      </c>
    </row>
    <row r="14667" spans="1:3" x14ac:dyDescent="0.25">
      <c r="A14667" s="8" t="str">
        <f>"Proceedings of Sessions of Geo-Denver 2000 - Environmental Geotechnics, GSP 105"</f>
        <v>Proceedings of Sessions of Geo-Denver 2000 - Environmental Geotechnics, GSP 105</v>
      </c>
      <c r="B14667" s="8" t="str">
        <f>"9780784405192"</f>
        <v>9780784405192</v>
      </c>
      <c r="C14667" s="8" t="s">
        <v>111</v>
      </c>
    </row>
    <row r="14668" spans="1:3" x14ac:dyDescent="0.25">
      <c r="A14668" s="8" t="str">
        <f>"Proceedings of Sessions of Geo-Denver 2000 - Geotechnical Measurements: Lab. and Field, GSP 106"</f>
        <v>Proceedings of Sessions of Geo-Denver 2000 - Geotechnical Measurements: Lab. and Field, GSP 106</v>
      </c>
      <c r="B14668" s="8" t="str">
        <f>"9780784405185"</f>
        <v>9780784405185</v>
      </c>
      <c r="C14668" s="8" t="s">
        <v>111</v>
      </c>
    </row>
    <row r="14669" spans="1:3" x14ac:dyDescent="0.25">
      <c r="A14669" s="8" t="str">
        <f>"Proceedings of Sessions of Geo-Denver 2000 - Innovations and Applications in Geotechnical Site Characterization, GSP 97"</f>
        <v>Proceedings of Sessions of Geo-Denver 2000 - Innovations and Applications in Geotechnical Site Characterization, GSP 97</v>
      </c>
      <c r="B14669" s="8" t="str">
        <f>"9780784405055"</f>
        <v>9780784405055</v>
      </c>
      <c r="C14669" s="8" t="s">
        <v>111</v>
      </c>
    </row>
    <row r="14670" spans="1:3" x14ac:dyDescent="0.25">
      <c r="A14670" s="8" t="str">
        <f>"Proceedings of Sessions of Geo-Denver 2000 - New Technological and Design Developments in Deep Foundations, GSP 100"</f>
        <v>Proceedings of Sessions of Geo-Denver 2000 - New Technological and Design Developments in Deep Foundations, GSP 100</v>
      </c>
      <c r="B14670" s="8" t="str">
        <f>"9780784405116"</f>
        <v>9780784405116</v>
      </c>
      <c r="C14670" s="8" t="s">
        <v>111</v>
      </c>
    </row>
    <row r="14671" spans="1:3" x14ac:dyDescent="0.25">
      <c r="A14671" s="8" t="str">
        <f>"Proceedings of Sessions of Geo-Denver 2000 - Numerical Methods in Geotechnical Engineering, GSP 96"</f>
        <v>Proceedings of Sessions of Geo-Denver 2000 - Numerical Methods in Geotechnical Engineering, GSP 96</v>
      </c>
      <c r="B14671" s="8" t="str">
        <f>"9780784405024"</f>
        <v>9780784405024</v>
      </c>
      <c r="C14671" s="8" t="s">
        <v>111</v>
      </c>
    </row>
    <row r="14672" spans="1:3" x14ac:dyDescent="0.25">
      <c r="A14672" s="8" t="str">
        <f>"Proceedings of Sessions of Geo-Denver 2000 - Pavement Subgrade, Unbound Materials, and Nondestructive Testing, GSP 98"</f>
        <v>Proceedings of Sessions of Geo-Denver 2000 - Pavement Subgrade, Unbound Materials, and Nondestructive Testing, GSP 98</v>
      </c>
      <c r="B14672" s="8" t="str">
        <f>"-"</f>
        <v>-</v>
      </c>
      <c r="C14672" s="8" t="s">
        <v>111</v>
      </c>
    </row>
    <row r="14673" spans="1:3" x14ac:dyDescent="0.25">
      <c r="A14673" s="8" t="str">
        <f>"Proceedings of Sessions of Geo-Denver 2000 - Slope Stability 2000, GSP 101"</f>
        <v>Proceedings of Sessions of Geo-Denver 2000 - Slope Stability 2000, GSP 101</v>
      </c>
      <c r="B14673" s="8" t="str">
        <f>"9780784405123"</f>
        <v>9780784405123</v>
      </c>
      <c r="C14673" s="8" t="s">
        <v>111</v>
      </c>
    </row>
    <row r="14674" spans="1:3" x14ac:dyDescent="0.25">
      <c r="A14674" s="8" t="str">
        <f>"Proceedings of Sessions of Geo-Denver 2000 - Soil Dynamics and Liquefaction 2000, GSP 107"</f>
        <v>Proceedings of Sessions of Geo-Denver 2000 - Soil Dynamics and Liquefaction 2000, GSP 107</v>
      </c>
      <c r="B14674" s="8" t="str">
        <f>"9780784405208"</f>
        <v>9780784405208</v>
      </c>
      <c r="C14674" s="8" t="s">
        <v>111</v>
      </c>
    </row>
    <row r="14675" spans="1:3" x14ac:dyDescent="0.25">
      <c r="A14675" s="8" t="str">
        <f>"Proceedings of Sessions of Geo-Denver 2000 - Soil-Cement and Other Construction Practices in Geotechnical Engineering, GSP 95"</f>
        <v>Proceedings of Sessions of Geo-Denver 2000 - Soil-Cement and Other Construction Practices in Geotechnical Engineering, GSP 95</v>
      </c>
      <c r="B14675" s="8" t="str">
        <f>"9780784405000"</f>
        <v>9780784405000</v>
      </c>
      <c r="C14675" s="8" t="s">
        <v>111</v>
      </c>
    </row>
    <row r="14676" spans="1:3" x14ac:dyDescent="0.25">
      <c r="A14676" s="8" t="str">
        <f>"Proceedings of Sessions of Geo-Denver 2000 - Trends in Rock Mechanics, GSP 102"</f>
        <v>Proceedings of Sessions of Geo-Denver 2000 - Trends in Rock Mechanics, GSP 102</v>
      </c>
      <c r="B14676" s="8" t="str">
        <f>"9780784405147"</f>
        <v>9780784405147</v>
      </c>
      <c r="C14676" s="8" t="s">
        <v>111</v>
      </c>
    </row>
    <row r="14677" spans="1:3" x14ac:dyDescent="0.25">
      <c r="A14677" s="8" t="str">
        <f>"Proceedings of Sessions of Geo-Denver 2000 - Use of Geophysical Methods in Construction, GSP 108"</f>
        <v>Proceedings of Sessions of Geo-Denver 2000 - Use of Geophysical Methods in Construction, GSP 108</v>
      </c>
      <c r="B14677" s="8" t="str">
        <f>"9780784405215"</f>
        <v>9780784405215</v>
      </c>
      <c r="C14677" s="8" t="s">
        <v>111</v>
      </c>
    </row>
    <row r="14678" spans="1:3" x14ac:dyDescent="0.25">
      <c r="A14678" s="8" t="str">
        <f>"Proceedings of Sheffield SIGIR - Twenty-Seventh Annual International ACM SIGIR Conference on Research and Development in Information Retrieval"</f>
        <v>Proceedings of Sheffield SIGIR - Twenty-Seventh Annual International ACM SIGIR Conference on Research and Development in Information Retrieval</v>
      </c>
      <c r="B14678" s="8" t="str">
        <f>"9781581138818"</f>
        <v>9781581138818</v>
      </c>
      <c r="C14678" s="8" t="s">
        <v>21</v>
      </c>
    </row>
    <row r="14679" spans="1:3" x14ac:dyDescent="0.25">
      <c r="A14679" s="8" t="str">
        <f>"Proceedings of SIBGRAPI 2007 - 20th Brazilian Symposium on Computer Graphics and Image Processing"</f>
        <v>Proceedings of SIBGRAPI 2007 - 20th Brazilian Symposium on Computer Graphics and Image Processing</v>
      </c>
      <c r="B14679" s="8" t="str">
        <f>"9780769529967"</f>
        <v>9780769529967</v>
      </c>
      <c r="C14679" s="8" t="s">
        <v>9</v>
      </c>
    </row>
    <row r="14680" spans="1:3" x14ac:dyDescent="0.25">
      <c r="A14680" s="8" t="str">
        <f>"Proceedings of SIBGRAPI 2009 - 22nd Brazilian Symposium on Computer Graphics and Image Processing"</f>
        <v>Proceedings of SIBGRAPI 2009 - 22nd Brazilian Symposium on Computer Graphics and Image Processing</v>
      </c>
      <c r="B14680" s="8" t="str">
        <f>"9780769538136"</f>
        <v>9780769538136</v>
      </c>
      <c r="C14680" s="8" t="s">
        <v>9</v>
      </c>
    </row>
    <row r="14681" spans="1:3" x14ac:dyDescent="0.25">
      <c r="A14681" s="8" t="str">
        <f>"Proceedings of SIGIR 2008 Workshop on Analytics for Noisy Unstructured Text Data, AND'08"</f>
        <v>Proceedings of SIGIR 2008 Workshop on Analytics for Noisy Unstructured Text Data, AND'08</v>
      </c>
      <c r="B14681" s="8" t="str">
        <f>"9781605581965"</f>
        <v>9781605581965</v>
      </c>
      <c r="C14681" s="8" t="s">
        <v>21</v>
      </c>
    </row>
    <row r="14682" spans="1:3" x14ac:dyDescent="0.25">
      <c r="A14682" s="8" t="str">
        <f>"Proceedings of Sixth ACM Symposium on Access Control Models and Technologies (SACMAT 2001)"</f>
        <v>Proceedings of Sixth ACM Symposium on Access Control Models and Technologies (SACMAT 2001)</v>
      </c>
      <c r="B14682" s="8" t="str">
        <f>"9781581133509"</f>
        <v>9781581133509</v>
      </c>
      <c r="C14682" s="8" t="s">
        <v>21</v>
      </c>
    </row>
    <row r="14683" spans="1:3" x14ac:dyDescent="0.25">
      <c r="A14683" s="8" t="str">
        <f>"Proceedings of Special Session - 9th Mexican International Conference on Artificial Intelligence: Advances in Artificial Intelligence and Applications, MICAI 2010"</f>
        <v>Proceedings of Special Session - 9th Mexican International Conference on Artificial Intelligence: Advances in Artificial Intelligence and Applications, MICAI 2010</v>
      </c>
      <c r="B14683" s="8" t="str">
        <f>"9780769542843"</f>
        <v>9780769542843</v>
      </c>
      <c r="C14683" s="8" t="s">
        <v>9</v>
      </c>
    </row>
    <row r="14684" spans="1:3" x14ac:dyDescent="0.25">
      <c r="A14684" s="8" t="str">
        <f>"Proceedings of Special Session - Revised Papers, 11th Mexican International Conference on Artificial Intelligence 2012: Advances in Artificial Intelligence and Applications, MICAI 2012"</f>
        <v>Proceedings of Special Session - Revised Papers, 11th Mexican International Conference on Artificial Intelligence 2012: Advances in Artificial Intelligence and Applications, MICAI 2012</v>
      </c>
      <c r="B14684" s="8" t="str">
        <f>"9780769549040"</f>
        <v>9780769549040</v>
      </c>
      <c r="C14684" s="8" t="s">
        <v>9</v>
      </c>
    </row>
    <row r="14685" spans="1:3" x14ac:dyDescent="0.25">
      <c r="A14685" s="8" t="str">
        <f>"Proceedings of Special Session 2014 13th Mexican International Conference on Artificial Intelligence: Advances in Artificial Intelligence, MICAI 2014"</f>
        <v>Proceedings of Special Session 2014 13th Mexican International Conference on Artificial Intelligence: Advances in Artificial Intelligence, MICAI 2014</v>
      </c>
      <c r="B14685" s="8" t="str">
        <f>"9781479999002"</f>
        <v>9781479999002</v>
      </c>
      <c r="C14685" s="8" t="s">
        <v>105</v>
      </c>
    </row>
    <row r="14686" spans="1:3" x14ac:dyDescent="0.25">
      <c r="A14686" s="8" t="str">
        <f>"Proceedings of SSR'01 2001 Symposium on Software Reusability"</f>
        <v>Proceedings of SSR'01 2001 Symposium on Software Reusability</v>
      </c>
      <c r="B14686" s="8" t="str">
        <f>"9781581133585"</f>
        <v>9781581133585</v>
      </c>
      <c r="C14686" s="8" t="s">
        <v>21</v>
      </c>
    </row>
    <row r="14687" spans="1:3" x14ac:dyDescent="0.25">
      <c r="A14687" s="8" t="str">
        <f>"Proceedings of STLE/ASME International Joint Tribology Conference, IJTC 2006"</f>
        <v>Proceedings of STLE/ASME International Joint Tribology Conference, IJTC 2006</v>
      </c>
      <c r="B14687" s="8" t="str">
        <f>"-"</f>
        <v>-</v>
      </c>
      <c r="C14687" s="8" t="s">
        <v>1308</v>
      </c>
    </row>
    <row r="14688" spans="1:3" x14ac:dyDescent="0.25">
      <c r="A14688" s="8" t="str">
        <f>"Proceedings of SuperB Workshop VI: New Physics at the Super Flavor Factory"</f>
        <v>Proceedings of SuperB Workshop VI: New Physics at the Super Flavor Factory</v>
      </c>
      <c r="B14688" s="8" t="str">
        <f>"-"</f>
        <v>-</v>
      </c>
      <c r="C14688" s="8" t="s">
        <v>1673</v>
      </c>
    </row>
    <row r="14689" spans="1:3" x14ac:dyDescent="0.25">
      <c r="A14689" s="8" t="str">
        <f>"Proceedings of Technical Papers - 2007 International Microsystems, Packaging, Assembly and Circuits Technology Conference, IMPACT"</f>
        <v>Proceedings of Technical Papers - 2007 International Microsystems, Packaging, Assembly and Circuits Technology Conference, IMPACT</v>
      </c>
      <c r="B14689" s="8" t="str">
        <f>"9781424416370"</f>
        <v>9781424416370</v>
      </c>
      <c r="C14689" s="8" t="s">
        <v>9</v>
      </c>
    </row>
    <row r="14690" spans="1:3" x14ac:dyDescent="0.25">
      <c r="A14690" s="8" t="str">
        <f>"Proceedings of Technical Papers - 2009 IEEE Asian Solid-State Circuits Conference, A-SSCC 2009"</f>
        <v>Proceedings of Technical Papers - 2009 IEEE Asian Solid-State Circuits Conference, A-SSCC 2009</v>
      </c>
      <c r="B14690" s="8" t="str">
        <f>"9781424444342"</f>
        <v>9781424444342</v>
      </c>
      <c r="C14690" s="8" t="s">
        <v>9</v>
      </c>
    </row>
    <row r="14691" spans="1:3" x14ac:dyDescent="0.25">
      <c r="A14691" s="8" t="str">
        <f>"Proceedings of the  9th Innovative Research Workshop and Exhibition, INO 2010"</f>
        <v>Proceedings of the  9th Innovative Research Workshop and Exhibition, INO 2010</v>
      </c>
      <c r="B14691" s="8" t="str">
        <f>"9782874970214"</f>
        <v>9782874970214</v>
      </c>
      <c r="C14691" s="8" t="s">
        <v>1532</v>
      </c>
    </row>
    <row r="14692" spans="1:3" x14ac:dyDescent="0.25">
      <c r="A14692" s="8" t="str">
        <f>"Proceedings of the 10th (2012) ISOPE Pacific/Asia Offshore Mechanics Symposium, PACOMS 2012"</f>
        <v>Proceedings of the 10th (2012) ISOPE Pacific/Asia Offshore Mechanics Symposium, PACOMS 2012</v>
      </c>
      <c r="B14692" s="8" t="str">
        <f>"9781880653937"</f>
        <v>9781880653937</v>
      </c>
      <c r="C14692" s="8" t="s">
        <v>594</v>
      </c>
    </row>
    <row r="14693" spans="1:3" x14ac:dyDescent="0.25">
      <c r="A14693" s="8" t="str">
        <f>"Proceedings of the 10th AAAI Conference on Artificial Intelligence and Interactive Digital Entertainment, AIIDE 2014"</f>
        <v>Proceedings of the 10th AAAI Conference on Artificial Intelligence and Interactive Digital Entertainment, AIIDE 2014</v>
      </c>
      <c r="B14693" s="8" t="str">
        <f>"9781577356813"</f>
        <v>9781577356813</v>
      </c>
      <c r="C14693" s="8" t="s">
        <v>956</v>
      </c>
    </row>
    <row r="14694" spans="1:3" x14ac:dyDescent="0.25">
      <c r="A14694" s="8" t="str">
        <f>"Proceedings of the 10th ACM International Workshop on Data Engineering for Wireless and Mobile Access, MobiDE'11"</f>
        <v>Proceedings of the 10th ACM International Workshop on Data Engineering for Wireless and Mobile Access, MobiDE'11</v>
      </c>
      <c r="B14694" s="8" t="str">
        <f>"9781450306560"</f>
        <v>9781450306560</v>
      </c>
      <c r="C14694" s="8" t="s">
        <v>21</v>
      </c>
    </row>
    <row r="14695" spans="1:3" x14ac:dyDescent="0.25">
      <c r="A14695" s="8" t="str">
        <f>"Proceedings of the 10th ACM SIGEVO Workshop on Foundations of Genetic Algorithms, FOGA'09"</f>
        <v>Proceedings of the 10th ACM SIGEVO Workshop on Foundations of Genetic Algorithms, FOGA'09</v>
      </c>
      <c r="B14695" s="8" t="str">
        <f>"9781605584140"</f>
        <v>9781605584140</v>
      </c>
      <c r="C14695" s="8" t="s">
        <v>21</v>
      </c>
    </row>
    <row r="14696" spans="1:3" x14ac:dyDescent="0.25">
      <c r="A14696" s="8" t="str">
        <f>"Proceedings of the 10th ACM Workshop on Hot Topics in Networks, HotNets-10"</f>
        <v>Proceedings of the 10th ACM Workshop on Hot Topics in Networks, HotNets-10</v>
      </c>
      <c r="B14696" s="8" t="str">
        <f>"9781450310598"</f>
        <v>9781450310598</v>
      </c>
      <c r="C14696" s="8" t="s">
        <v>9</v>
      </c>
    </row>
    <row r="14697" spans="1:3" x14ac:dyDescent="0.25">
      <c r="A14697" s="8" t="str">
        <f>"Proceedings of the 10th ACM Workshop on Programming Languages and Analysis for Security, PLAS 2015"</f>
        <v>Proceedings of the 10th ACM Workshop on Programming Languages and Analysis for Security, PLAS 2015</v>
      </c>
      <c r="B14697" s="8" t="str">
        <f>"9781450336611"</f>
        <v>9781450336611</v>
      </c>
      <c r="C14697" s="8" t="s">
        <v>1235</v>
      </c>
    </row>
    <row r="14698" spans="1:3" x14ac:dyDescent="0.25">
      <c r="A14698" s="8" t="str">
        <f>"Proceedings of the 10th ACM/IEEE International Conference on Information Processing in Sensor Networks, IPSN'11"</f>
        <v>Proceedings of the 10th ACM/IEEE International Conference on Information Processing in Sensor Networks, IPSN'11</v>
      </c>
      <c r="B14698" s="8" t="str">
        <f>"9781612848549"</f>
        <v>9781612848549</v>
      </c>
      <c r="C14698" s="8" t="s">
        <v>9</v>
      </c>
    </row>
    <row r="14699" spans="1:3" x14ac:dyDescent="0.25">
      <c r="A14699" s="8" t="str">
        <f>"Proceedings of the 10th Anniversary International Conference of the European Society for Precision Engineering and Nanotechnology, EUSPEN 2008"</f>
        <v>Proceedings of the 10th Anniversary International Conference of the European Society for Precision Engineering and Nanotechnology, EUSPEN 2008</v>
      </c>
      <c r="B14699" s="8" t="str">
        <f>"-"</f>
        <v>-</v>
      </c>
      <c r="C14699" s="8" t="s">
        <v>1748</v>
      </c>
    </row>
    <row r="14700" spans="1:3" x14ac:dyDescent="0.25">
      <c r="A14700" s="8" t="str">
        <f>"Proceedings of the 10th Annual Conference of the International Speech Communication Association, INTERSPEECH 2009"</f>
        <v>Proceedings of the 10th Annual Conference of the International Speech Communication Association, INTERSPEECH 2009</v>
      </c>
      <c r="B14700" s="8" t="str">
        <f>"-"</f>
        <v>-</v>
      </c>
      <c r="C14700" s="8" t="s">
        <v>1942</v>
      </c>
    </row>
    <row r="14701" spans="1:3" x14ac:dyDescent="0.25">
      <c r="A14701" s="8" t="str">
        <f>"Proceedings of the 10th Annual SIGCSE Conference on Innovation and Technology in Computer Science Education"</f>
        <v>Proceedings of the 10th Annual SIGCSE Conference on Innovation and Technology in Computer Science Education</v>
      </c>
      <c r="B14701" s="8" t="str">
        <f>"9781595930248"</f>
        <v>9781595930248</v>
      </c>
      <c r="C14701" s="8" t="s">
        <v>21</v>
      </c>
    </row>
    <row r="14702" spans="1:3" x14ac:dyDescent="0.25">
      <c r="A14702" s="8" t="str">
        <f>"Proceedings of the 10th Annual Water Distribution Systems Analysis Conference, WDSA 2008"</f>
        <v>Proceedings of the 10th Annual Water Distribution Systems Analysis Conference, WDSA 2008</v>
      </c>
      <c r="B14702" s="8" t="str">
        <f>"9780784410240"</f>
        <v>9780784410240</v>
      </c>
      <c r="C14702" s="8" t="s">
        <v>111</v>
      </c>
    </row>
    <row r="14703" spans="1:3" x14ac:dyDescent="0.25">
      <c r="A14703" s="8" t="str">
        <f>"Proceedings of the 10th Australian Digital Forensics Conference, ADF 2012"</f>
        <v>Proceedings of the 10th Australian Digital Forensics Conference, ADF 2012</v>
      </c>
      <c r="B14703" s="8" t="str">
        <f>"-"</f>
        <v>-</v>
      </c>
      <c r="C14703" s="8" t="s">
        <v>2132</v>
      </c>
    </row>
    <row r="14704" spans="1:3" x14ac:dyDescent="0.25">
      <c r="A14704" s="8" t="str">
        <f>"Proceedings of the 10th Australian Information Security Management Conference, AISM 2012"</f>
        <v>Proceedings of the 10th Australian Information Security Management Conference, AISM 2012</v>
      </c>
      <c r="B14704" s="8" t="str">
        <f>"9780729807029"</f>
        <v>9780729807029</v>
      </c>
      <c r="C14704" s="8" t="s">
        <v>2132</v>
      </c>
    </row>
    <row r="14705" spans="1:3" x14ac:dyDescent="0.25">
      <c r="A14705" s="8" t="str">
        <f>"Proceedings of the 10th East Asia-Pacific Conference on Structural Engineering and Construction, EASEC 2010"</f>
        <v>Proceedings of the 10th East Asia-Pacific Conference on Structural Engineering and Construction, EASEC 2010</v>
      </c>
      <c r="B14705" s="8" t="str">
        <f>"9789748257259"</f>
        <v>9789748257259</v>
      </c>
      <c r="C14705" s="8" t="s">
        <v>1670</v>
      </c>
    </row>
    <row r="14706" spans="1:3" x14ac:dyDescent="0.25">
      <c r="A14706" s="8" t="str">
        <f>"Proceedings of the 10th European Conference on Computer Systems, EuroSys 2015"</f>
        <v>Proceedings of the 10th European Conference on Computer Systems, EuroSys 2015</v>
      </c>
      <c r="B14706" s="8" t="str">
        <f>"9781450332385"</f>
        <v>9781450332385</v>
      </c>
      <c r="C14706" s="8" t="s">
        <v>1235</v>
      </c>
    </row>
    <row r="14707" spans="1:3" x14ac:dyDescent="0.25">
      <c r="A14707" s="8" t="str">
        <f>"Proceedings of the 10th European Workshop on Natural Language Generation, ENLG-05"</f>
        <v>Proceedings of the 10th European Workshop on Natural Language Generation, ENLG-05</v>
      </c>
      <c r="B14707" s="8" t="str">
        <f>"-"</f>
        <v>-</v>
      </c>
      <c r="C14707" s="8" t="s">
        <v>554</v>
      </c>
    </row>
    <row r="14708" spans="1:3" x14ac:dyDescent="0.25">
      <c r="A14708" s="8" t="str">
        <f>"Proceedings of the 10th Global Congress on ICM: Lessons Learned to Address New Challenges, EMECS 2013 - MEDCOAST 2013 Joint Conference"</f>
        <v>Proceedings of the 10th Global Congress on ICM: Lessons Learned to Address New Challenges, EMECS 2013 - MEDCOAST 2013 Joint Conference</v>
      </c>
      <c r="B14708" s="8" t="str">
        <f>"-"</f>
        <v>-</v>
      </c>
      <c r="C14708" s="8" t="s">
        <v>2133</v>
      </c>
    </row>
    <row r="14709" spans="1:3" x14ac:dyDescent="0.25">
      <c r="A14709" s="8" t="str">
        <f>"Proceedings of the 10th IASTED International Conference on Artificial Intelligence and Applications, AIA 2010"</f>
        <v>Proceedings of the 10th IASTED International Conference on Artificial Intelligence and Applications, AIA 2010</v>
      </c>
      <c r="B14709" s="8" t="str">
        <f>"9780889868182"</f>
        <v>9780889868182</v>
      </c>
      <c r="C14709" s="8" t="s">
        <v>305</v>
      </c>
    </row>
    <row r="14710" spans="1:3" x14ac:dyDescent="0.25">
      <c r="A14710" s="8" t="str">
        <f>"Proceedings of the 10th IASTED International Conference on Artificial Intelligence and Soft Computing, ASC 2006"</f>
        <v>Proceedings of the 10th IASTED International Conference on Artificial Intelligence and Soft Computing, ASC 2006</v>
      </c>
      <c r="B14710" s="8" t="str">
        <f>"9780889866102"</f>
        <v>9780889866102</v>
      </c>
      <c r="C14710" s="8" t="s">
        <v>305</v>
      </c>
    </row>
    <row r="14711" spans="1:3" x14ac:dyDescent="0.25">
      <c r="A14711" s="8" t="str">
        <f>"Proceedings of the 10th IASTED International Conference on Computer Graphics and Imaging, CGIM 2008"</f>
        <v>Proceedings of the 10th IASTED International Conference on Computer Graphics and Imaging, CGIM 2008</v>
      </c>
      <c r="B14711" s="8" t="str">
        <f>"9780889867192"</f>
        <v>9780889867192</v>
      </c>
      <c r="C14711" s="8" t="s">
        <v>305</v>
      </c>
    </row>
    <row r="14712" spans="1:3" x14ac:dyDescent="0.25">
      <c r="A14712" s="8" t="str">
        <f>"Proceedings of the 10th IASTED International Conference on Computers and Advanced Technology in Education"</f>
        <v>Proceedings of the 10th IASTED International Conference on Computers and Advanced Technology in Education</v>
      </c>
      <c r="B14712" s="8" t="str">
        <f>"9780889866997"</f>
        <v>9780889866997</v>
      </c>
      <c r="C14712" s="8" t="s">
        <v>305</v>
      </c>
    </row>
    <row r="14713" spans="1:3" x14ac:dyDescent="0.25">
      <c r="A14713" s="8" t="str">
        <f>"Proceedings of the 10th IASTED International Conference on Control and Applications, CA 2008"</f>
        <v>Proceedings of the 10th IASTED International Conference on Control and Applications, CA 2008</v>
      </c>
      <c r="B14713" s="8" t="str">
        <f>"9780889867468"</f>
        <v>9780889867468</v>
      </c>
      <c r="C14713" s="8" t="s">
        <v>305</v>
      </c>
    </row>
    <row r="14714" spans="1:3" x14ac:dyDescent="0.25">
      <c r="A14714" s="8" t="str">
        <f>"Proceedings of the 10th IASTED International Conference on Internet and Multimedia Systems and Applications, IMSA 2006"</f>
        <v>Proceedings of the 10th IASTED International Conference on Internet and Multimedia Systems and Applications, IMSA 2006</v>
      </c>
      <c r="B14714" s="8" t="str">
        <f>"9780889865877"</f>
        <v>9780889865877</v>
      </c>
      <c r="C14714" s="8" t="s">
        <v>305</v>
      </c>
    </row>
    <row r="14715" spans="1:3" x14ac:dyDescent="0.25">
      <c r="A14715" s="8" t="str">
        <f>"Proceedings of the 10th IASTED International Conference on Parallel and Distributed Computing and Networks, PDCN 2011"</f>
        <v>Proceedings of the 10th IASTED International Conference on Parallel and Distributed Computing and Networks, PDCN 2011</v>
      </c>
      <c r="B14715" s="8" t="str">
        <f>"9780889868649"</f>
        <v>9780889868649</v>
      </c>
      <c r="C14715" s="8" t="s">
        <v>305</v>
      </c>
    </row>
    <row r="14716" spans="1:3" x14ac:dyDescent="0.25">
      <c r="A14716" s="8" t="str">
        <f>"Proceedings of the 10th IASTED International Conference on Power and Energy Systems, PES 2008"</f>
        <v>Proceedings of the 10th IASTED International Conference on Power and Energy Systems, PES 2008</v>
      </c>
      <c r="B14716" s="8" t="str">
        <f>"9780889867383"</f>
        <v>9780889867383</v>
      </c>
      <c r="C14716" s="8" t="s">
        <v>305</v>
      </c>
    </row>
    <row r="14717" spans="1:3" x14ac:dyDescent="0.25">
      <c r="A14717" s="8" t="str">
        <f>"Proceedings of the 10th IASTED International Conference on Software Engineering and Applications, SEA 2006"</f>
        <v>Proceedings of the 10th IASTED International Conference on Software Engineering and Applications, SEA 2006</v>
      </c>
      <c r="B14717" s="8" t="str">
        <f>"9780889865990"</f>
        <v>9780889865990</v>
      </c>
      <c r="C14717" s="8" t="s">
        <v>305</v>
      </c>
    </row>
    <row r="14718" spans="1:3" x14ac:dyDescent="0.25">
      <c r="A14718" s="8" t="str">
        <f>"Proceedings of the 10th IASTED International Conference on Software Engineering, SE 2011"</f>
        <v>Proceedings of the 10th IASTED International Conference on Software Engineering, SE 2011</v>
      </c>
      <c r="B14718" s="8" t="str">
        <f>"9780889868649"</f>
        <v>9780889868649</v>
      </c>
      <c r="C14718" s="8" t="s">
        <v>305</v>
      </c>
    </row>
    <row r="14719" spans="1:3" x14ac:dyDescent="0.25">
      <c r="A14719" s="8" t="str">
        <f>"Proceedings of the 10th IEEE European Test Symposium, ETS 2005"</f>
        <v>Proceedings of the 10th IEEE European Test Symposium, ETS 2005</v>
      </c>
      <c r="B14719" s="8" t="str">
        <f>"-"</f>
        <v>-</v>
      </c>
      <c r="C14719" s="8" t="s">
        <v>9</v>
      </c>
    </row>
    <row r="14720" spans="1:3" x14ac:dyDescent="0.25">
      <c r="A14720" s="8" t="str">
        <f>"Proceedings of the 10th IEEE International Conference on Cognitive Informatics and Cognitive Computing, ICCI*CC 2011"</f>
        <v>Proceedings of the 10th IEEE International Conference on Cognitive Informatics and Cognitive Computing, ICCI*CC 2011</v>
      </c>
      <c r="B14720" s="8" t="str">
        <f>"9781457716966"</f>
        <v>9781457716966</v>
      </c>
      <c r="C14720" s="8" t="s">
        <v>9</v>
      </c>
    </row>
    <row r="14721" spans="1:3" x14ac:dyDescent="0.25">
      <c r="A14721" s="8" t="str">
        <f>"Proceedings of the 10th International Conference of Computational Methods in Sciences and Engineering 2014, ICCMSE 2014"</f>
        <v>Proceedings of the 10th International Conference of Computational Methods in Sciences and Engineering 2014, ICCMSE 2014</v>
      </c>
      <c r="B14721" s="8" t="str">
        <f>"9780735412552"</f>
        <v>9780735412552</v>
      </c>
      <c r="C14721" s="8" t="s">
        <v>2134</v>
      </c>
    </row>
    <row r="14722" spans="1:3" x14ac:dyDescent="0.25">
      <c r="A14722" s="8" t="str">
        <f>"Proceedings of the 10th International Conference of the European Society for Precision Engineering and Nanotechnology, EUSPEN 2010"</f>
        <v>Proceedings of the 10th International Conference of the European Society for Precision Engineering and Nanotechnology, EUSPEN 2010</v>
      </c>
      <c r="B14722" s="8" t="str">
        <f>"-"</f>
        <v>-</v>
      </c>
      <c r="C14722" s="8" t="s">
        <v>1748</v>
      </c>
    </row>
    <row r="14723" spans="1:3" x14ac:dyDescent="0.25">
      <c r="A14723" s="8" t="str">
        <f>"Proceedings of the 10th International Conference on Advances in Discontinuous Numerical Methods and Applications in Geomechanics and Geoengineering, ICADD 10"</f>
        <v>Proceedings of the 10th International Conference on Advances in Discontinuous Numerical Methods and Applications in Geomechanics and Geoengineering, ICADD 10</v>
      </c>
      <c r="B14723" s="8" t="str">
        <f>"9780415684040"</f>
        <v>9780415684040</v>
      </c>
      <c r="C14723" s="8" t="s">
        <v>1637</v>
      </c>
    </row>
    <row r="14724" spans="1:3" x14ac:dyDescent="0.25">
      <c r="A14724" s="8" t="str">
        <f>"Proceedings of the 10th International Conference on Aspect-Oriented Software Development Companion, AOSD.11"</f>
        <v>Proceedings of the 10th International Conference on Aspect-Oriented Software Development Companion, AOSD.11</v>
      </c>
      <c r="B14724" s="8" t="str">
        <f>"9781450305563"</f>
        <v>9781450305563</v>
      </c>
      <c r="C14724" s="8" t="s">
        <v>21</v>
      </c>
    </row>
    <row r="14725" spans="1:3" x14ac:dyDescent="0.25">
      <c r="A14725" s="8" t="str">
        <f>"Proceedings of the 10th International Conference on Aspect-Oriented Software Development, AOSD.11"</f>
        <v>Proceedings of the 10th International Conference on Aspect-Oriented Software Development, AOSD.11</v>
      </c>
      <c r="B14725" s="8" t="str">
        <f>"9781450305563"</f>
        <v>9781450305563</v>
      </c>
      <c r="C14725" s="8" t="s">
        <v>21</v>
      </c>
    </row>
    <row r="14726" spans="1:3" x14ac:dyDescent="0.25">
      <c r="A14726" s="8" t="str">
        <f>"Proceedings of the 10th International Conference on Civil, Structural and Environmental Engineering Computing, Civil-Comp 2005"</f>
        <v>Proceedings of the 10th International Conference on Civil, Structural and Environmental Engineering Computing, Civil-Comp 2005</v>
      </c>
      <c r="B14726" s="8" t="str">
        <f>"9781905088003"</f>
        <v>9781905088003</v>
      </c>
      <c r="C14726" s="8" t="s">
        <v>283</v>
      </c>
    </row>
    <row r="14727" spans="1:3" x14ac:dyDescent="0.25">
      <c r="A14727" s="8" t="str">
        <f>"Proceedings of the 10th International Conference on Cognitive Modeling, ICCM 2010"</f>
        <v>Proceedings of the 10th International Conference on Cognitive Modeling, ICCM 2010</v>
      </c>
      <c r="B14727" s="8" t="str">
        <f>"-"</f>
        <v>-</v>
      </c>
      <c r="C14727" s="8" t="s">
        <v>1952</v>
      </c>
    </row>
    <row r="14728" spans="1:3" x14ac:dyDescent="0.25">
      <c r="A14728" s="8" t="str">
        <f>"Proceedings of the 10th International Conference on Digital Audio Effects, DAFx 2007"</f>
        <v>Proceedings of the 10th International Conference on Digital Audio Effects, DAFx 2007</v>
      </c>
      <c r="B14728" s="8" t="str">
        <f>"9788890147913"</f>
        <v>9788890147913</v>
      </c>
      <c r="C14728" s="8" t="s">
        <v>1253</v>
      </c>
    </row>
    <row r="14729" spans="1:3" x14ac:dyDescent="0.25">
      <c r="A14729" s="8" t="str">
        <f>"Proceedings of the 10th International Conference on Electrorheological Fluids and Magnetorheological Suspensions"</f>
        <v>Proceedings of the 10th International Conference on Electrorheological Fluids and Magnetorheological Suspensions</v>
      </c>
      <c r="B14729" s="8" t="str">
        <f>"9789812771193"</f>
        <v>9789812771193</v>
      </c>
      <c r="C14729" s="8" t="s">
        <v>157</v>
      </c>
    </row>
    <row r="14730" spans="1:3" x14ac:dyDescent="0.25">
      <c r="A14730" s="8" t="str">
        <f>"Proceedings of the 10th International Conference on Flavor Physics and CP Violation, FPCP 2012"</f>
        <v>Proceedings of the 10th International Conference on Flavor Physics and CP Violation, FPCP 2012</v>
      </c>
      <c r="B14730" s="8" t="str">
        <f>"-"</f>
        <v>-</v>
      </c>
      <c r="C14730" s="8" t="s">
        <v>2135</v>
      </c>
    </row>
    <row r="14731" spans="1:3" x14ac:dyDescent="0.25">
      <c r="A14731" s="8" t="str">
        <f>"Proceedings of the 10th International Conference on Information Integration and Web-based Applications and Services, iiWAS 2008"</f>
        <v>Proceedings of the 10th International Conference on Information Integration and Web-based Applications and Services, iiWAS 2008</v>
      </c>
      <c r="B14731" s="8" t="str">
        <f>"9781605583495"</f>
        <v>9781605583495</v>
      </c>
      <c r="C14731" s="8" t="s">
        <v>21</v>
      </c>
    </row>
    <row r="14732" spans="1:3" x14ac:dyDescent="0.25">
      <c r="A14732" s="8" t="str">
        <f>"Proceedings of the 10th International Conference on Mobile and Ubiquitous Multimedia, MUM'11"</f>
        <v>Proceedings of the 10th International Conference on Mobile and Ubiquitous Multimedia, MUM'11</v>
      </c>
      <c r="B14732" s="8" t="str">
        <f>"9781450310963"</f>
        <v>9781450310963</v>
      </c>
      <c r="C14732" s="8" t="s">
        <v>21</v>
      </c>
    </row>
    <row r="14733" spans="1:3" x14ac:dyDescent="0.25">
      <c r="A14733" s="8" t="str">
        <f>"Proceedings of the 10th International Conference on Mobile Learning 2014, ML 2014"</f>
        <v>Proceedings of the 10th International Conference on Mobile Learning 2014, ML 2014</v>
      </c>
      <c r="B14733" s="8" t="str">
        <f>"9789898704023"</f>
        <v>9789898704023</v>
      </c>
      <c r="C14733" s="8" t="s">
        <v>1228</v>
      </c>
    </row>
    <row r="14734" spans="1:3" x14ac:dyDescent="0.25">
      <c r="A14734" s="8" t="str">
        <f>"Proceedings of the 10th International Conference on Network and Service Management, CNSM 2014"</f>
        <v>Proceedings of the 10th International Conference on Network and Service Management, CNSM 2014</v>
      </c>
      <c r="B14734" s="8" t="str">
        <f>"9783901882661"</f>
        <v>9783901882661</v>
      </c>
      <c r="C14734" s="8" t="s">
        <v>105</v>
      </c>
    </row>
    <row r="14735" spans="1:3" x14ac:dyDescent="0.25">
      <c r="A14735" s="8" t="str">
        <f>"Proceedings of the 10th International Conference on Probabilistic Methods Applied to Power Systems, PMAPS 2008"</f>
        <v>Proceedings of the 10th International Conference on Probabilistic Methods Applied to Power Systems, PMAPS 2008</v>
      </c>
      <c r="B14735" s="8" t="str">
        <f>"9781934325216"</f>
        <v>9781934325216</v>
      </c>
      <c r="C14735" s="8" t="s">
        <v>9</v>
      </c>
    </row>
    <row r="14736" spans="1:3" x14ac:dyDescent="0.25">
      <c r="A14736" s="8" t="str">
        <f>"Proceedings of the 10th International Conference on Steel Rolling"</f>
        <v>Proceedings of the 10th International Conference on Steel Rolling</v>
      </c>
      <c r="B14736" s="8" t="str">
        <f>"9787502453596"</f>
        <v>9787502453596</v>
      </c>
      <c r="C14736" s="8" t="s">
        <v>2136</v>
      </c>
    </row>
    <row r="14737" spans="1:3" x14ac:dyDescent="0.25">
      <c r="A14737" s="8" t="str">
        <f>"Proceedings of the 10th International Conference on Strategic Management and its Support by Information Systems, SMSIS 2013"</f>
        <v>Proceedings of the 10th International Conference on Strategic Management and its Support by Information Systems, SMSIS 2013</v>
      </c>
      <c r="B14737" s="8" t="str">
        <f>"9781629933610"</f>
        <v>9781629933610</v>
      </c>
      <c r="C14737" s="8" t="s">
        <v>1212</v>
      </c>
    </row>
    <row r="14738" spans="1:3" x14ac:dyDescent="0.25">
      <c r="A14738" s="8" t="str">
        <f>"Proceedings of the 10th International Conference on Technology of Plasticity, ICTP 2011"</f>
        <v>Proceedings of the 10th International Conference on Technology of Plasticity, ICTP 2011</v>
      </c>
      <c r="B14738" s="8" t="str">
        <f>"9783514007840"</f>
        <v>9783514007840</v>
      </c>
      <c r="C14738" s="8" t="s">
        <v>882</v>
      </c>
    </row>
    <row r="14739" spans="1:3" x14ac:dyDescent="0.25">
      <c r="A14739" s="8" t="str">
        <f>"Proceedings of the 10th International Conference on Textile Composites - TEXCOMP 10: Recent Advances in Textile Composites"</f>
        <v>Proceedings of the 10th International Conference on Textile Composites - TEXCOMP 10: Recent Advances in Textile Composites</v>
      </c>
      <c r="B14739" s="8" t="str">
        <f>"9781605950266"</f>
        <v>9781605950266</v>
      </c>
      <c r="C14739" s="8" t="s">
        <v>757</v>
      </c>
    </row>
    <row r="14740" spans="1:3" x14ac:dyDescent="0.25">
      <c r="A14740" s="8" t="str">
        <f>"Proceedings of the 10th International Conference on the Mediterranean Coastal Environment, MEDCOAST 2011"</f>
        <v>Proceedings of the 10th International Conference on the Mediterranean Coastal Environment, MEDCOAST 2011</v>
      </c>
      <c r="B14740" s="8" t="str">
        <f>"-"</f>
        <v>-</v>
      </c>
      <c r="C14740" s="8" t="s">
        <v>2133</v>
      </c>
    </row>
    <row r="14741" spans="1:3" x14ac:dyDescent="0.25">
      <c r="A14741" s="8" t="str">
        <f>"Proceedings of the 10th International Conference on ULtimate Integration of Silicon, ULIS 2009"</f>
        <v>Proceedings of the 10th International Conference on ULtimate Integration of Silicon, ULIS 2009</v>
      </c>
      <c r="B14741" s="8" t="str">
        <f>"9781424437054"</f>
        <v>9781424437054</v>
      </c>
      <c r="C14741" s="8" t="s">
        <v>9</v>
      </c>
    </row>
    <row r="14742" spans="1:3" x14ac:dyDescent="0.25">
      <c r="A14742" s="8" t="str">
        <f>"Proceedings of the 10th International DOCOMOMO Conference - The Challenge of Change: Dealing with the Legacy of the Modern Movement"</f>
        <v>Proceedings of the 10th International DOCOMOMO Conference - The Challenge of Change: Dealing with the Legacy of the Modern Movement</v>
      </c>
      <c r="B14742" s="8" t="str">
        <f>"9781586039172"</f>
        <v>9781586039172</v>
      </c>
      <c r="C14742" s="8" t="s">
        <v>103</v>
      </c>
    </row>
    <row r="14743" spans="1:3" x14ac:dyDescent="0.25">
      <c r="A14743" s="8" t="str">
        <f>"Proceedings of the 10th International DSM Conference"</f>
        <v>Proceedings of the 10th International DSM Conference</v>
      </c>
      <c r="B14743" s="8" t="str">
        <f>"9783446418257"</f>
        <v>9783446418257</v>
      </c>
      <c r="C14743" s="8" t="s">
        <v>1231</v>
      </c>
    </row>
    <row r="14744" spans="1:3" x14ac:dyDescent="0.25">
      <c r="A14744" s="8" t="str">
        <f>"Proceedings of the 10th International Society for Music Information Retrieval Conference, ISMIR 2009"</f>
        <v>Proceedings of the 10th International Society for Music Information Retrieval Conference, ISMIR 2009</v>
      </c>
      <c r="B14744" s="8" t="str">
        <f>"9780981353708"</f>
        <v>9780981353708</v>
      </c>
      <c r="C14744" s="8" t="s">
        <v>2137</v>
      </c>
    </row>
    <row r="14745" spans="1:3" x14ac:dyDescent="0.25">
      <c r="A14745" s="8" t="str">
        <f>"Proceedings of the 10th International Symposium on Numerical Models in Geomechanics NUMOG 10 - Numerical Models in Geomechanics NUMOG 10"</f>
        <v>Proceedings of the 10th International Symposium on Numerical Models in Geomechanics NUMOG 10 - Numerical Models in Geomechanics NUMOG 10</v>
      </c>
      <c r="B14745" s="8" t="str">
        <f>"9780415440271"</f>
        <v>9780415440271</v>
      </c>
      <c r="C14745" s="8" t="s">
        <v>1520</v>
      </c>
    </row>
    <row r="14746" spans="1:3" x14ac:dyDescent="0.25">
      <c r="A14746" s="8" t="str">
        <f>"Proceedings of the 10th International Symposium on Open Collaboration, OpenSym 2014"</f>
        <v>Proceedings of the 10th International Symposium on Open Collaboration, OpenSym 2014</v>
      </c>
      <c r="B14746" s="8" t="str">
        <f>"9781450330169"</f>
        <v>9781450330169</v>
      </c>
      <c r="C14746" s="8" t="s">
        <v>1235</v>
      </c>
    </row>
    <row r="14747" spans="1:3" x14ac:dyDescent="0.25">
      <c r="A14747" s="8" t="str">
        <f>"Proceedings of the 10th International Symposium on Programming and Systems, ISPS' 2011"</f>
        <v>Proceedings of the 10th International Symposium on Programming and Systems, ISPS' 2011</v>
      </c>
      <c r="B14747" s="8" t="str">
        <f>"9781457709067"</f>
        <v>9781457709067</v>
      </c>
      <c r="C14747" s="8" t="s">
        <v>9</v>
      </c>
    </row>
    <row r="14748" spans="1:3" x14ac:dyDescent="0.25">
      <c r="A14748" s="8" t="str">
        <f>"Proceedings of the 10th International Symposium on Quality Electronic Design, ISQED 2009"</f>
        <v>Proceedings of the 10th International Symposium on Quality Electronic Design, ISQED 2009</v>
      </c>
      <c r="B14748" s="8" t="str">
        <f>"9781424429530"</f>
        <v>9781424429530</v>
      </c>
      <c r="C14748" s="8" t="s">
        <v>9</v>
      </c>
    </row>
    <row r="14749" spans="1:3" x14ac:dyDescent="0.25">
      <c r="A14749" s="8" t="str">
        <f>"Proceedings of the 10th International Symposium on Structural Engineering for Young Experts, ISSEYE 2008"</f>
        <v>Proceedings of the 10th International Symposium on Structural Engineering for Young Experts, ISSEYE 2008</v>
      </c>
      <c r="B14749" s="8" t="str">
        <f>"9787030227058"</f>
        <v>9787030227058</v>
      </c>
      <c r="C14749" s="8" t="s">
        <v>37</v>
      </c>
    </row>
    <row r="14750" spans="1:3" x14ac:dyDescent="0.25">
      <c r="A14750" s="8" t="str">
        <f>"Proceedings of the 10th International Workshop on Decision-Making in Software Engineering, ADIS 2010 - Evento Realizado en el Marco del CEDI 2010"</f>
        <v>Proceedings of the 10th International Workshop on Decision-Making in Software Engineering, ADIS 2010 - Evento Realizado en el Marco del CEDI 2010</v>
      </c>
      <c r="B14750" s="8" t="str">
        <f>"-"</f>
        <v>-</v>
      </c>
      <c r="C14750" s="8" t="s">
        <v>1624</v>
      </c>
    </row>
    <row r="14751" spans="1:3" x14ac:dyDescent="0.25">
      <c r="A14751" s="8" t="str">
        <f>"Proceedings of the 10th International Workshop on Foundations of Aspect-Oriented Languages, FOAL 2011"</f>
        <v>Proceedings of the 10th International Workshop on Foundations of Aspect-Oriented Languages, FOAL 2011</v>
      </c>
      <c r="B14751" s="8" t="str">
        <f>"9781450306447"</f>
        <v>9781450306447</v>
      </c>
      <c r="C14751" s="8" t="s">
        <v>21</v>
      </c>
    </row>
    <row r="14752" spans="1:3" x14ac:dyDescent="0.25">
      <c r="A14752" s="8" t="str">
        <f>"Proceedings of the 10th International Workshop on Middleware for Grids, Clouds and e-Science, MGC 2012 - Co-located with ACM/IFIP/USENIX 13th International Middleware Conference"</f>
        <v>Proceedings of the 10th International Workshop on Middleware for Grids, Clouds and e-Science, MGC 2012 - Co-located with ACM/IFIP/USENIX 13th International Middleware Conference</v>
      </c>
      <c r="B14752" s="8" t="str">
        <f>"9781450316088"</f>
        <v>9781450316088</v>
      </c>
      <c r="C14752" s="8" t="s">
        <v>21</v>
      </c>
    </row>
    <row r="14753" spans="1:3" x14ac:dyDescent="0.25">
      <c r="A14753" s="8" t="str">
        <f>"Proceedings of the 10th International Workshop on Multimedia Data Mining, MDMKDD '10"</f>
        <v>Proceedings of the 10th International Workshop on Multimedia Data Mining, MDMKDD '10</v>
      </c>
      <c r="B14753" s="8" t="str">
        <f>"9781450302203"</f>
        <v>9781450302203</v>
      </c>
      <c r="C14753" s="8" t="s">
        <v>21</v>
      </c>
    </row>
    <row r="14754" spans="1:3" x14ac:dyDescent="0.25">
      <c r="A14754" s="8" t="str">
        <f>"Proceedings of the 10th International Workshop on Pattern Recognition in Information Systems, PRIS 2010, in Conjunction with ICEIS 2010"</f>
        <v>Proceedings of the 10th International Workshop on Pattern Recognition in Information Systems, PRIS 2010, in Conjunction with ICEIS 2010</v>
      </c>
      <c r="B14754" s="8" t="str">
        <f>"9789898425140"</f>
        <v>9789898425140</v>
      </c>
      <c r="C14754" s="8" t="s">
        <v>1197</v>
      </c>
    </row>
    <row r="14755" spans="1:3" x14ac:dyDescent="0.25">
      <c r="A14755" s="8" t="str">
        <f>"Proceedings of the 10th ISPE International Conference on Concurrent Engineering"</f>
        <v>Proceedings of the 10th ISPE International Conference on Concurrent Engineering</v>
      </c>
      <c r="B14755" s="8" t="str">
        <f>"9789058095244"</f>
        <v>9789058095244</v>
      </c>
      <c r="C14755" s="8" t="s">
        <v>1395</v>
      </c>
    </row>
    <row r="14756" spans="1:3" x14ac:dyDescent="0.25">
      <c r="A14756" s="8" t="str">
        <f>"Proceedings of the 10th ISPE International Conference on Concurrent Engineering Research and Application, Enhanced Interoperable Systems"</f>
        <v>Proceedings of the 10th ISPE International Conference on Concurrent Engineering Research and Application, Enhanced Interoperable Systems</v>
      </c>
      <c r="B14756" s="8" t="str">
        <f>"9789058096227"</f>
        <v>9789058096227</v>
      </c>
      <c r="C14756" s="8" t="s">
        <v>60</v>
      </c>
    </row>
    <row r="14757" spans="1:3" x14ac:dyDescent="0.25">
      <c r="A14757" s="8" t="str">
        <f>"Proceedings of the 10th Koli Calling International Conference on Computing Education Research, Koli Calling'10"</f>
        <v>Proceedings of the 10th Koli Calling International Conference on Computing Education Research, Koli Calling'10</v>
      </c>
      <c r="B14757" s="8" t="str">
        <f>"9781450305204"</f>
        <v>9781450305204</v>
      </c>
      <c r="C14757" s="8" t="s">
        <v>21</v>
      </c>
    </row>
    <row r="14758" spans="1:3" x14ac:dyDescent="0.25">
      <c r="A14758" s="8" t="str">
        <f>"Proceedings of the 10th National Symposium on Individual and Small Community Sewage Systems - On-Site Wastewater Treatment X"</f>
        <v>Proceedings of the 10th National Symposium on Individual and Small Community Sewage Systems - On-Site Wastewater Treatment X</v>
      </c>
      <c r="B14758" s="8" t="str">
        <f>"9781892769374"</f>
        <v>9781892769374</v>
      </c>
      <c r="C14758" s="8" t="s">
        <v>140</v>
      </c>
    </row>
    <row r="14759" spans="1:3" x14ac:dyDescent="0.25">
      <c r="A14759" s="8" t="str">
        <f>"Proceedings of the 10th SIAM International Conference on Data Mining, SDM 2010"</f>
        <v>Proceedings of the 10th SIAM International Conference on Data Mining, SDM 2010</v>
      </c>
      <c r="B14759" s="8" t="str">
        <f>"-"</f>
        <v>-</v>
      </c>
      <c r="C14759" s="8" t="s">
        <v>249</v>
      </c>
    </row>
    <row r="14760" spans="1:3" x14ac:dyDescent="0.25">
      <c r="A14760" s="8" t="str">
        <f>"Proceedings of the 10th Symposium on Abstraction, Reformulation, and Approximation, SARA 2013"</f>
        <v>Proceedings of the 10th Symposium on Abstraction, Reformulation, and Approximation, SARA 2013</v>
      </c>
      <c r="B14760" s="8" t="str">
        <f>"9781577356301"</f>
        <v>9781577356301</v>
      </c>
      <c r="C14760" s="8" t="s">
        <v>956</v>
      </c>
    </row>
    <row r="14761" spans="1:3" x14ac:dyDescent="0.25">
      <c r="A14761" s="8" t="str">
        <f>"Proceedings of the 10th Terminology and Knowledge Engineering Conference: New Frontiers in the Constructive Symbiosis of Terminology and Knowledge Engineering, TKE 2012"</f>
        <v>Proceedings of the 10th Terminology and Knowledge Engineering Conference: New Frontiers in the Constructive Symbiosis of Terminology and Knowledge Engineering, TKE 2012</v>
      </c>
      <c r="B14761" s="8" t="str">
        <f>"9788469543337"</f>
        <v>9788469543337</v>
      </c>
      <c r="C14761" s="8" t="s">
        <v>1593</v>
      </c>
    </row>
    <row r="14762" spans="1:3" x14ac:dyDescent="0.25">
      <c r="A14762" s="8" t="str">
        <f>"Proceedings of the 10th USA/Europe Air Traffic Management Research and Development Seminar, ATM 2013"</f>
        <v>Proceedings of the 10th USA/Europe Air Traffic Management Research and Development Seminar, ATM 2013</v>
      </c>
      <c r="B14762" s="8" t="str">
        <f>"9781510801738"</f>
        <v>9781510801738</v>
      </c>
      <c r="C14762" s="8" t="s">
        <v>1532</v>
      </c>
    </row>
    <row r="14763" spans="1:3" x14ac:dyDescent="0.25">
      <c r="A14763" s="8" t="str">
        <f>"Proceedings of the 10th Workshop on ACM SIGOPS European Workshop, EW 10"</f>
        <v>Proceedings of the 10th Workshop on ACM SIGOPS European Workshop, EW 10</v>
      </c>
      <c r="B14763" s="8" t="str">
        <f>"-"</f>
        <v>-</v>
      </c>
      <c r="C14763" s="8" t="s">
        <v>21</v>
      </c>
    </row>
    <row r="14764" spans="1:3" x14ac:dyDescent="0.25">
      <c r="A14764" s="8" t="str">
        <f>"Proceedings of the 10th Workshop on Algorithm Engineering and Experiments and the 5th Workshop on Analytic Algorithmics and Combinatorics"</f>
        <v>Proceedings of the 10th Workshop on Algorithm Engineering and Experiments and the 5th Workshop on Analytic Algorithmics and Combinatorics</v>
      </c>
      <c r="B14764" s="8" t="str">
        <f>"9780898716535"</f>
        <v>9780898716535</v>
      </c>
      <c r="C14764" s="8" t="s">
        <v>394</v>
      </c>
    </row>
    <row r="14765" spans="1:3" x14ac:dyDescent="0.25">
      <c r="A14765" s="8" t="str">
        <f>"Proceedings of the 10th Workshop on Domain-Specific Modeling, DSM'10"</f>
        <v>Proceedings of the 10th Workshop on Domain-Specific Modeling, DSM'10</v>
      </c>
      <c r="B14765" s="8" t="str">
        <f>"9781450305495"</f>
        <v>9781450305495</v>
      </c>
      <c r="C14765" s="8" t="s">
        <v>21</v>
      </c>
    </row>
    <row r="14766" spans="1:3" x14ac:dyDescent="0.25">
      <c r="A14766" s="8" t="str">
        <f>"Proceedings of the 10th Workshop on Language Descriptions, Tools and Applications, LDTA 2010"</f>
        <v>Proceedings of the 10th Workshop on Language Descriptions, Tools and Applications, LDTA 2010</v>
      </c>
      <c r="B14766" s="8" t="str">
        <f>"9781450300636"</f>
        <v>9781450300636</v>
      </c>
      <c r="C14766" s="8" t="s">
        <v>21</v>
      </c>
    </row>
    <row r="14767" spans="1:3" x14ac:dyDescent="0.25">
      <c r="A14767" s="8" t="str">
        <f>"Proceedings of the 10th Workshop on Mobile Computing Systems and Applications, HotMobile'09"</f>
        <v>Proceedings of the 10th Workshop on Mobile Computing Systems and Applications, HotMobile'09</v>
      </c>
      <c r="B14767" s="8" t="str">
        <f>"9781605582832"</f>
        <v>9781605582832</v>
      </c>
      <c r="C14767" s="8" t="s">
        <v>21</v>
      </c>
    </row>
    <row r="14768" spans="1:3" x14ac:dyDescent="0.25">
      <c r="A14768" s="8" t="str">
        <f>"Proceedings of the 10th Workshop on Requirements Engineering, WER 2007"</f>
        <v>Proceedings of the 10th Workshop on Requirements Engineering, WER 2007</v>
      </c>
      <c r="B14768" s="8" t="str">
        <f>"9781550144833"</f>
        <v>9781550144833</v>
      </c>
      <c r="C14768" s="8" t="s">
        <v>1236</v>
      </c>
    </row>
    <row r="14769" spans="1:3" x14ac:dyDescent="0.25">
      <c r="A14769" s="8" t="str">
        <f>"Proceedings of the 10th WSEAS International Conference on Multimedia Systems and Signal Processing, MUSP '10"</f>
        <v>Proceedings of the 10th WSEAS International Conference on Multimedia Systems and Signal Processing, MUSP '10</v>
      </c>
      <c r="B14769" s="8" t="str">
        <f>"9789604741762"</f>
        <v>9789604741762</v>
      </c>
      <c r="C14769" s="8" t="s">
        <v>553</v>
      </c>
    </row>
    <row r="14770" spans="1:3" x14ac:dyDescent="0.25">
      <c r="A14770" s="8" t="str">
        <f>"Proceedings of the 10th WSEAS International Conference on Robotics, Control and ManufProceedings of the 10th WSEAS International Conference on Robotics, Control and Manufacturing Technology, ROCOM '10"</f>
        <v>Proceedings of the 10th WSEAS International Conference on Robotics, Control and ManufProceedings of the 10th WSEAS International Conference on Robotics, Control and Manufacturing Technology, ROCOM '10</v>
      </c>
      <c r="B14770" s="8" t="str">
        <f>"9789604741755"</f>
        <v>9789604741755</v>
      </c>
      <c r="C14770" s="8" t="s">
        <v>553</v>
      </c>
    </row>
    <row r="14771" spans="1:3" x14ac:dyDescent="0.25">
      <c r="A14771" s="8" t="str">
        <f>"Proceedings of the 11th (2014) Pacific/Asia Offshore Mechanics Symposium, PACOMS 2014"</f>
        <v>Proceedings of the 11th (2014) Pacific/Asia Offshore Mechanics Symposium, PACOMS 2014</v>
      </c>
      <c r="B14771" s="8" t="str">
        <f>"9781880653906"</f>
        <v>9781880653906</v>
      </c>
      <c r="C14771" s="8" t="s">
        <v>594</v>
      </c>
    </row>
    <row r="14772" spans="1:3" x14ac:dyDescent="0.25">
      <c r="A14772" s="8" t="str">
        <f>"Proceedings of the 11th ACM SIGPLAN-SIGSOFT Workshop on Program Analysis for Software Tools and Engineering, PASTE 2013"</f>
        <v>Proceedings of the 11th ACM SIGPLAN-SIGSOFT Workshop on Program Analysis for Software Tools and Engineering, PASTE 2013</v>
      </c>
      <c r="B14772" s="8" t="str">
        <f>"9781450321280"</f>
        <v>9781450321280</v>
      </c>
      <c r="C14772" s="8" t="s">
        <v>21</v>
      </c>
    </row>
    <row r="14773" spans="1:3" x14ac:dyDescent="0.25">
      <c r="A14773" s="8" t="str">
        <f>"Proceedings of the 11th ACM Workshop on Hot Topics in Networks, HotNets-11"</f>
        <v>Proceedings of the 11th ACM Workshop on Hot Topics in Networks, HotNets-11</v>
      </c>
      <c r="B14773" s="8" t="str">
        <f>"9781450317764"</f>
        <v>9781450317764</v>
      </c>
      <c r="C14773" s="8" t="s">
        <v>21</v>
      </c>
    </row>
    <row r="14774" spans="1:3" x14ac:dyDescent="0.25">
      <c r="A14774" s="8" t="str">
        <f>"Proceedings of the 11th Advanced Automotive Battery Conference 2011"</f>
        <v>Proceedings of the 11th Advanced Automotive Battery Conference 2011</v>
      </c>
      <c r="B14774" s="8" t="str">
        <f>"-"</f>
        <v>-</v>
      </c>
      <c r="C14774" s="8" t="s">
        <v>1242</v>
      </c>
    </row>
    <row r="14775" spans="1:3" x14ac:dyDescent="0.25">
      <c r="A14775" s="8" t="str">
        <f>"Proceedings of the 11th Annual Conference of the International Speech Communication Association, INTERSPEECH 2010"</f>
        <v>Proceedings of the 11th Annual Conference of the International Speech Communication Association, INTERSPEECH 2010</v>
      </c>
      <c r="B14775" s="8" t="str">
        <f>"-"</f>
        <v>-</v>
      </c>
      <c r="C14775" s="8" t="s">
        <v>1942</v>
      </c>
    </row>
    <row r="14776" spans="1:3" x14ac:dyDescent="0.25">
      <c r="A14776" s="8" t="str">
        <f>"Proceedings of the 11th Annual Genetic and Evolutionary Computation Conference, GECCO-2009"</f>
        <v>Proceedings of the 11th Annual Genetic and Evolutionary Computation Conference, GECCO-2009</v>
      </c>
      <c r="B14776" s="8" t="str">
        <f>"9781605583259"</f>
        <v>9781605583259</v>
      </c>
      <c r="C14776" s="8" t="s">
        <v>21</v>
      </c>
    </row>
    <row r="14777" spans="1:3" x14ac:dyDescent="0.25">
      <c r="A14777" s="8" t="str">
        <f>"Proceedings of the 11th Australian Digital Forensics Conference, ADF 2013"</f>
        <v>Proceedings of the 11th Australian Digital Forensics Conference, ADF 2013</v>
      </c>
      <c r="B14777" s="8" t="str">
        <f>"-"</f>
        <v>-</v>
      </c>
      <c r="C14777" s="8" t="s">
        <v>2132</v>
      </c>
    </row>
    <row r="14778" spans="1:3" x14ac:dyDescent="0.25">
      <c r="A14778" s="8" t="str">
        <f>"Proceedings of the 11th Australian Information Security Management Conference, ISM 2013"</f>
        <v>Proceedings of the 11th Australian Information Security Management Conference, ISM 2013</v>
      </c>
      <c r="B14778" s="8" t="str">
        <f>"-"</f>
        <v>-</v>
      </c>
      <c r="C14778" s="8" t="s">
        <v>2132</v>
      </c>
    </row>
    <row r="14779" spans="1:3" x14ac:dyDescent="0.25">
      <c r="A14779" s="8" t="str">
        <f>"Proceedings of the 11th Communications and Networking Simulation Symposium, CNS'08"</f>
        <v>Proceedings of the 11th Communications and Networking Simulation Symposium, CNS'08</v>
      </c>
      <c r="B14779" s="8" t="str">
        <f>"9781565553187"</f>
        <v>9781565553187</v>
      </c>
      <c r="C14779" s="8" t="s">
        <v>21</v>
      </c>
    </row>
    <row r="14780" spans="1:3" x14ac:dyDescent="0.25">
      <c r="A14780" s="8" t="str">
        <f>"Proceedings of the 11th Conference on Theoretical Aspects of Rationality and Knowledge, TARK 2007"</f>
        <v>Proceedings of the 11th Conference on Theoretical Aspects of Rationality and Knowledge, TARK 2007</v>
      </c>
      <c r="B14780" s="8" t="str">
        <f>"-"</f>
        <v>-</v>
      </c>
      <c r="C14780" s="8" t="s">
        <v>21</v>
      </c>
    </row>
    <row r="14781" spans="1:3" x14ac:dyDescent="0.25">
      <c r="A14781" s="8" t="str">
        <f>"Proceedings of the 11th Congress of the International Society for Rock Mechanics: The 2nd Half Century of Rock Mechanics, ISRM 2007"</f>
        <v>Proceedings of the 11th Congress of the International Society for Rock Mechanics: The 2nd Half Century of Rock Mechanics, ISRM 2007</v>
      </c>
      <c r="B14781" s="8" t="str">
        <f>"9780415465120"</f>
        <v>9780415465120</v>
      </c>
      <c r="C14781" s="8" t="s">
        <v>1619</v>
      </c>
    </row>
    <row r="14782" spans="1:3" x14ac:dyDescent="0.25">
      <c r="A14782" s="8" t="str">
        <f>"Proceedings of the 11th European Conference on Interactive TV and Video, EuroITV 2013"</f>
        <v>Proceedings of the 11th European Conference on Interactive TV and Video, EuroITV 2013</v>
      </c>
      <c r="B14782" s="8" t="str">
        <f>"9781450319515"</f>
        <v>9781450319515</v>
      </c>
      <c r="C14782" s="8" t="s">
        <v>21</v>
      </c>
    </row>
    <row r="14783" spans="1:3" x14ac:dyDescent="0.25">
      <c r="A14783" s="8" t="str">
        <f>"Proceedings of the 11th European Workshop on Natural Language Generation, ENLG 07"</f>
        <v>Proceedings of the 11th European Workshop on Natural Language Generation, ENLG 07</v>
      </c>
      <c r="B14783" s="8" t="str">
        <f>"-"</f>
        <v>-</v>
      </c>
      <c r="C14783" s="8" t="s">
        <v>554</v>
      </c>
    </row>
    <row r="14784" spans="1:3" x14ac:dyDescent="0.25">
      <c r="A14784" s="8" t="str">
        <f>"Proceedings of the 11th IAPR Conference on Machine Vision Applications, MVA 2009"</f>
        <v>Proceedings of the 11th IAPR Conference on Machine Vision Applications, MVA 2009</v>
      </c>
      <c r="B14784" s="8" t="str">
        <f>"9784901122092"</f>
        <v>9784901122092</v>
      </c>
      <c r="C14784" s="8" t="s">
        <v>2118</v>
      </c>
    </row>
    <row r="14785" spans="1:3" x14ac:dyDescent="0.25">
      <c r="A14785" s="8" t="str">
        <f>"Proceedings of the 11th IASTED International Conference on Artificial Intelligence and Applications, AIA 2011"</f>
        <v>Proceedings of the 11th IASTED International Conference on Artificial Intelligence and Applications, AIA 2011</v>
      </c>
      <c r="B14785" s="8" t="str">
        <f>"9780889868632"</f>
        <v>9780889868632</v>
      </c>
      <c r="C14785" s="8" t="s">
        <v>305</v>
      </c>
    </row>
    <row r="14786" spans="1:3" x14ac:dyDescent="0.25">
      <c r="A14786" s="8" t="str">
        <f>"Proceedings of the 11th IASTED International Conference on Artificial Intelligence and Soft Computing, ASC 2007"</f>
        <v>Proceedings of the 11th IASTED International Conference on Artificial Intelligence and Soft Computing, ASC 2007</v>
      </c>
      <c r="B14786" s="8" t="str">
        <f>"9780889866935"</f>
        <v>9780889866935</v>
      </c>
      <c r="C14786" s="8" t="s">
        <v>305</v>
      </c>
    </row>
    <row r="14787" spans="1:3" x14ac:dyDescent="0.25">
      <c r="A14787" s="8" t="str">
        <f>"Proceedings of the 11th IASTED International Conference on Computer Graphics and Imaging, CGIM 2010"</f>
        <v>Proceedings of the 11th IASTED International Conference on Computer Graphics and Imaging, CGIM 2010</v>
      </c>
      <c r="B14787" s="8" t="str">
        <f>"9780889868243"</f>
        <v>9780889868243</v>
      </c>
      <c r="C14787" s="8" t="s">
        <v>305</v>
      </c>
    </row>
    <row r="14788" spans="1:3" x14ac:dyDescent="0.25">
      <c r="A14788" s="8" t="str">
        <f>"Proceedings of the 11th IASTED International Conference on Control and Applications, CA 2009"</f>
        <v>Proceedings of the 11th IASTED International Conference on Control and Applications, CA 2009</v>
      </c>
      <c r="B14788" s="8" t="str">
        <f>"9780889867949"</f>
        <v>9780889867949</v>
      </c>
      <c r="C14788" s="8" t="s">
        <v>305</v>
      </c>
    </row>
    <row r="14789" spans="1:3" x14ac:dyDescent="0.25">
      <c r="A14789" s="8" t="str">
        <f>"Proceedings of the 11th IASTED International Conference on Internet and Multimedia Systems and Applications, IMSA 2007"</f>
        <v>Proceedings of the 11th IASTED International Conference on Internet and Multimedia Systems and Applications, IMSA 2007</v>
      </c>
      <c r="B14789" s="8" t="str">
        <f>"9780889866782"</f>
        <v>9780889866782</v>
      </c>
      <c r="C14789" s="8" t="s">
        <v>305</v>
      </c>
    </row>
    <row r="14790" spans="1:3" x14ac:dyDescent="0.25">
      <c r="A14790" s="8" t="str">
        <f>"Proceedings of the 11th IEEE International Conference on Cognitive Informatics and Cognitive Computing, ICCI*CC 2012"</f>
        <v>Proceedings of the 11th IEEE International Conference on Cognitive Informatics and Cognitive Computing, ICCI*CC 2012</v>
      </c>
      <c r="B14790" s="8" t="str">
        <f>"9781467327930"</f>
        <v>9781467327930</v>
      </c>
      <c r="C14790" s="8" t="s">
        <v>9</v>
      </c>
    </row>
    <row r="14791" spans="1:3" x14ac:dyDescent="0.25">
      <c r="A14791" s="8" t="str">
        <f>"Proceedings of the 11th IEEE International Conference on Computational Science and Engineering, CSE Workshops 2008"</f>
        <v>Proceedings of the 11th IEEE International Conference on Computational Science and Engineering, CSE Workshops 2008</v>
      </c>
      <c r="B14791" s="8" t="str">
        <f>"9780769532578"</f>
        <v>9780769532578</v>
      </c>
      <c r="C14791" s="8" t="s">
        <v>9</v>
      </c>
    </row>
    <row r="14792" spans="1:3" x14ac:dyDescent="0.25">
      <c r="A14792" s="8" t="str">
        <f>"Proceedings of the 11th IEEE International Conference on Cybernetic Intelligent Systems 2012, CIS 2012"</f>
        <v>Proceedings of the 11th IEEE International Conference on Cybernetic Intelligent Systems 2012, CIS 2012</v>
      </c>
      <c r="B14792" s="8" t="str">
        <f>"9781479933945"</f>
        <v>9781479933945</v>
      </c>
      <c r="C14792" s="8" t="s">
        <v>9</v>
      </c>
    </row>
    <row r="14793" spans="1:3" x14ac:dyDescent="0.25">
      <c r="A14793" s="8" t="str">
        <f>"Proceedings of the 11th International Conference of Hong Kong Society for Transportation Studies: Sustainable Transportation"</f>
        <v>Proceedings of the 11th International Conference of Hong Kong Society for Transportation Studies: Sustainable Transportation</v>
      </c>
      <c r="B14793" s="8" t="str">
        <f>"9789889884703"</f>
        <v>9789889884703</v>
      </c>
      <c r="C14793" s="8" t="s">
        <v>2138</v>
      </c>
    </row>
    <row r="14794" spans="1:3" x14ac:dyDescent="0.25">
      <c r="A14794" s="8" t="str">
        <f>"Proceedings of the 11th International Conference of the European Society for Precision Engineering and Nanotechnology, EUSPEN 2011"</f>
        <v>Proceedings of the 11th International Conference of the European Society for Precision Engineering and Nanotechnology, EUSPEN 2011</v>
      </c>
      <c r="B14794" s="8" t="str">
        <f>"-"</f>
        <v>-</v>
      </c>
      <c r="C14794" s="8" t="s">
        <v>1748</v>
      </c>
    </row>
    <row r="14795" spans="1:3" x14ac:dyDescent="0.25">
      <c r="A14795" s="8" t="str">
        <f>"Proceedings of the 11th International Conference on Civil, Structural and Environmental Engineering Computing, Civil-Comp 2007"</f>
        <v>Proceedings of the 11th International Conference on Civil, Structural and Environmental Engineering Computing, Civil-Comp 2007</v>
      </c>
      <c r="B14795" s="8" t="str">
        <f>"9781905088157"</f>
        <v>9781905088157</v>
      </c>
      <c r="C14795" s="8" t="s">
        <v>283</v>
      </c>
    </row>
    <row r="14796" spans="1:3" x14ac:dyDescent="0.25">
      <c r="A14796" s="8" t="str">
        <f>"Proceedings of the 11th International Conference on Cognitive Modeling, ICCM 2012"</f>
        <v>Proceedings of the 11th International Conference on Cognitive Modeling, ICCM 2012</v>
      </c>
      <c r="B14796" s="8" t="str">
        <f>"9783798324084"</f>
        <v>9783798324084</v>
      </c>
      <c r="C14796" s="8" t="s">
        <v>2139</v>
      </c>
    </row>
    <row r="14797" spans="1:3" x14ac:dyDescent="0.25">
      <c r="A14797" s="8" t="str">
        <f>"Proceedings of the 11th International Conference on Electrical Machines and Systems, ICEMS 2008"</f>
        <v>Proceedings of the 11th International Conference on Electrical Machines and Systems, ICEMS 2008</v>
      </c>
      <c r="B14797" s="8" t="str">
        <f>"9787506292214"</f>
        <v>9787506292214</v>
      </c>
      <c r="C14797" s="8" t="s">
        <v>9</v>
      </c>
    </row>
    <row r="14798" spans="1:3" x14ac:dyDescent="0.25">
      <c r="A14798" s="8" t="str">
        <f>"Proceedings of the 11th International Conference on Electronics, Computer and Computation, ICECCO 2014"</f>
        <v>Proceedings of the 11th International Conference on Electronics, Computer and Computation, ICECCO 2014</v>
      </c>
      <c r="B14798" s="8" t="str">
        <f>"9781479941063"</f>
        <v>9781479941063</v>
      </c>
      <c r="C14798" s="8" t="s">
        <v>105</v>
      </c>
    </row>
    <row r="14799" spans="1:3" x14ac:dyDescent="0.25">
      <c r="A14799" s="8" t="str">
        <f>"Proceedings of the 11th International Conference on Generative Programming and Component Engineering, GPCE'12"</f>
        <v>Proceedings of the 11th International Conference on Generative Programming and Component Engineering, GPCE'12</v>
      </c>
      <c r="B14799" s="8" t="str">
        <f>"9781450311298"</f>
        <v>9781450311298</v>
      </c>
      <c r="C14799" s="8" t="s">
        <v>21</v>
      </c>
    </row>
    <row r="14800" spans="1:3" x14ac:dyDescent="0.25">
      <c r="A14800" s="8" t="str">
        <f>"Proceedings of the 11th International Conference on Information Fusion, FUSION 2008"</f>
        <v>Proceedings of the 11th International Conference on Information Fusion, FUSION 2008</v>
      </c>
      <c r="B14800" s="8" t="str">
        <f>"9783000248832"</f>
        <v>9783000248832</v>
      </c>
      <c r="C14800" s="8" t="s">
        <v>9</v>
      </c>
    </row>
    <row r="14801" spans="1:3" x14ac:dyDescent="0.25">
      <c r="A14801" s="8" t="str">
        <f>"Proceedings of the 11th International Conference on Metal Structures, ICMS-2006 - Progress in Steel, Composite and Aluminium Structures"</f>
        <v>Proceedings of the 11th International Conference on Metal Structures, ICMS-2006 - Progress in Steel, Composite and Aluminium Structures</v>
      </c>
      <c r="B14801" s="8" t="str">
        <f>"9780415401203"</f>
        <v>9780415401203</v>
      </c>
      <c r="C14801" s="8" t="s">
        <v>1520</v>
      </c>
    </row>
    <row r="14802" spans="1:3" x14ac:dyDescent="0.25">
      <c r="A14802" s="8" t="str">
        <f>"Proceedings of the 11th International Conference on Mobile and Ubiquitous Multimedia, MUM 2012"</f>
        <v>Proceedings of the 11th International Conference on Mobile and Ubiquitous Multimedia, MUM 2012</v>
      </c>
      <c r="B14802" s="8" t="str">
        <f>"9781450318150"</f>
        <v>9781450318150</v>
      </c>
      <c r="C14802" s="8" t="s">
        <v>21</v>
      </c>
    </row>
    <row r="14803" spans="1:3" x14ac:dyDescent="0.25">
      <c r="A14803" s="8" t="str">
        <f>"Proceedings of the 11th International Conference on Mobile Learning 2015, ML 2015"</f>
        <v>Proceedings of the 11th International Conference on Mobile Learning 2015, ML 2015</v>
      </c>
      <c r="B14803" s="8" t="str">
        <f>"9789898533364"</f>
        <v>9789898533364</v>
      </c>
      <c r="C14803" s="8" t="s">
        <v>1228</v>
      </c>
    </row>
    <row r="14804" spans="1:3" x14ac:dyDescent="0.25">
      <c r="A14804" s="8" t="str">
        <f>"Proceedings of the 11th International Conference on Strategic Management and Its Support by Information Systems 2015, SMSIS 2015"</f>
        <v>Proceedings of the 11th International Conference on Strategic Management and Its Support by Information Systems 2015, SMSIS 2015</v>
      </c>
      <c r="B14804" s="8" t="str">
        <f>"9788024837413"</f>
        <v>9788024837413</v>
      </c>
      <c r="C14804" s="8" t="s">
        <v>1212</v>
      </c>
    </row>
    <row r="14805" spans="1:3" x14ac:dyDescent="0.25">
      <c r="A14805" s="8" t="str">
        <f>"Proceedings of the 11th International Conference on Telecommunications, ConTEL 2011"</f>
        <v>Proceedings of the 11th International Conference on Telecommunications, ConTEL 2011</v>
      </c>
      <c r="B14805" s="8" t="str">
        <f>"9789531841528"</f>
        <v>9789531841528</v>
      </c>
      <c r="C14805" s="8" t="s">
        <v>9</v>
      </c>
    </row>
    <row r="14806" spans="1:3" x14ac:dyDescent="0.25">
      <c r="A14806" s="8" t="str">
        <f>"Proceedings of the 11th International Conference on World Wide Web, WWW '02"</f>
        <v>Proceedings of the 11th International Conference on World Wide Web, WWW '02</v>
      </c>
      <c r="B14806" s="8" t="str">
        <f>"9781581134490"</f>
        <v>9781581134490</v>
      </c>
      <c r="C14806" s="8" t="s">
        <v>21</v>
      </c>
    </row>
    <row r="14807" spans="1:3" x14ac:dyDescent="0.25">
      <c r="A14807" s="8" t="str">
        <f>"Proceedings of the 11th International DSM Conference"</f>
        <v>Proceedings of the 11th International DSM Conference</v>
      </c>
      <c r="B14807" s="8" t="str">
        <f>"9783446421943"</f>
        <v>9783446421943</v>
      </c>
      <c r="C14807" s="8" t="s">
        <v>1231</v>
      </c>
    </row>
    <row r="14808" spans="1:3" x14ac:dyDescent="0.25">
      <c r="A14808" s="8" t="str">
        <f>"Proceedings of the 11th International High Level Radioactive Waste Management Conference, IHLRWM"</f>
        <v>Proceedings of the 11th International High Level Radioactive Waste Management Conference, IHLRWM</v>
      </c>
      <c r="B14808" s="8" t="str">
        <f>"-"</f>
        <v>-</v>
      </c>
      <c r="C14808" s="8" t="s">
        <v>453</v>
      </c>
    </row>
    <row r="14809" spans="1:3" x14ac:dyDescent="0.25">
      <c r="A14809" s="8" t="str">
        <f>"Proceedings of the 11th International Middle East Power Systems Conference, MEPCON'2006"</f>
        <v>Proceedings of the 11th International Middle East Power Systems Conference, MEPCON'2006</v>
      </c>
      <c r="B14809" s="8" t="str">
        <f>"9781424451111"</f>
        <v>9781424451111</v>
      </c>
      <c r="C14809" s="8" t="s">
        <v>9</v>
      </c>
    </row>
    <row r="14810" spans="1:3" x14ac:dyDescent="0.25">
      <c r="A14810" s="8" t="str">
        <f>"Proceedings of the 11th International Multimedia Modelling Conference, MMM 2005"</f>
        <v>Proceedings of the 11th International Multimedia Modelling Conference, MMM 2005</v>
      </c>
      <c r="B14810" s="8" t="str">
        <f>"9780769521640"</f>
        <v>9780769521640</v>
      </c>
      <c r="C14810" s="8" t="s">
        <v>9</v>
      </c>
    </row>
    <row r="14811" spans="1:3" x14ac:dyDescent="0.25">
      <c r="A14811" s="8" t="str">
        <f>"Proceedings of the 11th International Scientific Conference Electric Power Engineering 2010, EPE 2010"</f>
        <v>Proceedings of the 11th International Scientific Conference Electric Power Engineering 2010, EPE 2010</v>
      </c>
      <c r="B14811" s="8" t="str">
        <f>"9788021440944"</f>
        <v>9788021440944</v>
      </c>
      <c r="C14811" s="8" t="s">
        <v>1290</v>
      </c>
    </row>
    <row r="14812" spans="1:3" x14ac:dyDescent="0.25">
      <c r="A14812" s="8" t="str">
        <f>"Proceedings of the 11th International Society for Music Information Retrieval Conference, ISMIR 2010"</f>
        <v>Proceedings of the 11th International Society for Music Information Retrieval Conference, ISMIR 2010</v>
      </c>
      <c r="B14812" s="8" t="str">
        <f>"9789039353813"</f>
        <v>9789039353813</v>
      </c>
      <c r="C14812" s="8" t="s">
        <v>2137</v>
      </c>
    </row>
    <row r="14813" spans="1:3" x14ac:dyDescent="0.25">
      <c r="A14813" s="8" t="str">
        <f>"Proceedings of the 11th International Symposium on Quality Electronic Design, ISQED 2010"</f>
        <v>Proceedings of the 11th International Symposium on Quality Electronic Design, ISQED 2010</v>
      </c>
      <c r="B14813" s="8" t="str">
        <f>"9781424464555"</f>
        <v>9781424464555</v>
      </c>
      <c r="C14813" s="8" t="s">
        <v>9</v>
      </c>
    </row>
    <row r="14814" spans="1:3" x14ac:dyDescent="0.25">
      <c r="A14814" s="8" t="str">
        <f>"Proceedings of the 11th International Symposium on Transport Phenomena and Dynamics of Rotating Machinery, ISROMAC-11"</f>
        <v>Proceedings of the 11th International Symposium on Transport Phenomena and Dynamics of Rotating Machinery, ISROMAC-11</v>
      </c>
      <c r="B14814" s="8" t="str">
        <f>"9781604236774"</f>
        <v>9781604236774</v>
      </c>
      <c r="C14814" s="8" t="s">
        <v>394</v>
      </c>
    </row>
    <row r="14815" spans="1:3" x14ac:dyDescent="0.25">
      <c r="A14815" s="8" t="str">
        <f>"Proceedings of the 11th International Workshop on Adaptive and Reflective Middleware, ARM 2012 - Co-located with ACM/IFIP/USENIX 13th International Middleware Conference"</f>
        <v>Proceedings of the 11th International Workshop on Adaptive and Reflective Middleware, ARM 2012 - Co-located with ACM/IFIP/USENIX 13th International Middleware Conference</v>
      </c>
      <c r="B14815" s="8" t="str">
        <f>"9781450316095"</f>
        <v>9781450316095</v>
      </c>
      <c r="C14815" s="8" t="s">
        <v>21</v>
      </c>
    </row>
    <row r="14816" spans="1:3" x14ac:dyDescent="0.25">
      <c r="A14816" s="8" t="str">
        <f>"Proceedings of the 11th International Workshop on Formal Techniques for Java-like Programs, FTfJP '09"</f>
        <v>Proceedings of the 11th International Workshop on Formal Techniques for Java-like Programs, FTfJP '09</v>
      </c>
      <c r="B14816" s="8" t="str">
        <f>"9781605585406"</f>
        <v>9781605585406</v>
      </c>
      <c r="C14816" s="8" t="s">
        <v>21</v>
      </c>
    </row>
    <row r="14817" spans="1:3" x14ac:dyDescent="0.25">
      <c r="A14817" s="8" t="str">
        <f>"Proceedings of the 11th International Workshop on Intelligent Solutions in Embedded Systems, WISES 2013"</f>
        <v>Proceedings of the 11th International Workshop on Intelligent Solutions in Embedded Systems, WISES 2013</v>
      </c>
      <c r="B14817" s="8" t="str">
        <f>"9783000428999"</f>
        <v>9783000428999</v>
      </c>
      <c r="C14817" s="8" t="s">
        <v>9</v>
      </c>
    </row>
    <row r="14818" spans="1:3" x14ac:dyDescent="0.25">
      <c r="A14818" s="8" t="str">
        <f>"Proceedings of the 11th International Workshop on Multimedia Data Mining, MDMKDD'11 - Held in Conjunction with SIGKDD'11"</f>
        <v>Proceedings of the 11th International Workshop on Multimedia Data Mining, MDMKDD'11 - Held in Conjunction with SIGKDD'11</v>
      </c>
      <c r="B14818" s="8" t="str">
        <f>"9781450308410"</f>
        <v>9781450308410</v>
      </c>
      <c r="C14818" s="8" t="s">
        <v>21</v>
      </c>
    </row>
    <row r="14819" spans="1:3" x14ac:dyDescent="0.25">
      <c r="A14819" s="8" t="str">
        <f>"Proceedings of the 11th Middleware Doctoral Symposium, MDS 2014 - co-located with ACM/IFIP/USENIX 15th International Middleware Conference"</f>
        <v>Proceedings of the 11th Middleware Doctoral Symposium, MDS 2014 - co-located with ACM/IFIP/USENIX 15th International Middleware Conference</v>
      </c>
      <c r="B14819" s="8" t="str">
        <f>"9781450332217"</f>
        <v>9781450332217</v>
      </c>
      <c r="C14819" s="8" t="s">
        <v>1235</v>
      </c>
    </row>
    <row r="14820" spans="1:3" x14ac:dyDescent="0.25">
      <c r="A14820" s="8" t="str">
        <f>"Proceedings of the 11th SIAM International Conference on Data Mining, SDM 2011"</f>
        <v>Proceedings of the 11th SIAM International Conference on Data Mining, SDM 2011</v>
      </c>
      <c r="B14820" s="8" t="str">
        <f>"9780898719925"</f>
        <v>9780898719925</v>
      </c>
      <c r="C14820" s="8" t="s">
        <v>249</v>
      </c>
    </row>
    <row r="14821" spans="1:3" x14ac:dyDescent="0.25">
      <c r="A14821" s="8" t="str">
        <f>"Proceedings of the 11th U.S./North American Mine Ventilation Symposium - 11th U.S./North American Mine Ventilation Symposium 2006"</f>
        <v>Proceedings of the 11th U.S./North American Mine Ventilation Symposium - 11th U.S./North American Mine Ventilation Symposium 2006</v>
      </c>
      <c r="B14821" s="8" t="str">
        <f>"9780415401487"</f>
        <v>9780415401487</v>
      </c>
      <c r="C14821" s="8" t="s">
        <v>1520</v>
      </c>
    </row>
    <row r="14822" spans="1:3" x14ac:dyDescent="0.25">
      <c r="A14822" s="8" t="str">
        <f>"Proceedings of the 11th USA/Europe Air Traffic Management Research and Development Seminar, ATM 2015"</f>
        <v>Proceedings of the 11th USA/Europe Air Traffic Management Research and Development Seminar, ATM 2015</v>
      </c>
      <c r="B14822" s="8" t="str">
        <f>"-"</f>
        <v>-</v>
      </c>
      <c r="C14822" s="8" t="s">
        <v>1532</v>
      </c>
    </row>
    <row r="14823" spans="1:3" x14ac:dyDescent="0.25">
      <c r="A14823" s="8" t="str">
        <f>"Proceedings of the 11th Workshop on ACM SIGOPS European Workshop, EW 11"</f>
        <v>Proceedings of the 11th Workshop on ACM SIGOPS European Workshop, EW 11</v>
      </c>
      <c r="B14823" s="8" t="str">
        <f>"-"</f>
        <v>-</v>
      </c>
      <c r="C14823" s="8" t="s">
        <v>21</v>
      </c>
    </row>
    <row r="14824" spans="1:3" x14ac:dyDescent="0.25">
      <c r="A14824" s="8" t="str">
        <f>"Proceedings of the 11th Workshop on Language Descriptions, Tools and Applications, LDTA'11"</f>
        <v>Proceedings of the 11th Workshop on Language Descriptions, Tools and Applications, LDTA'11</v>
      </c>
      <c r="B14824" s="8" t="str">
        <f>"9781450306652"</f>
        <v>9781450306652</v>
      </c>
      <c r="C14824" s="8" t="s">
        <v>21</v>
      </c>
    </row>
    <row r="14825" spans="1:3" x14ac:dyDescent="0.25">
      <c r="A14825" s="8" t="str">
        <f>"Proceedings of the 11th WSEAS International Conference on Acoustics and Music: Theory and Applications, AMTA '10"</f>
        <v>Proceedings of the 11th WSEAS International Conference on Acoustics and Music: Theory and Applications, AMTA '10</v>
      </c>
      <c r="B14825" s="8" t="str">
        <f>"9789604741922"</f>
        <v>9789604741922</v>
      </c>
      <c r="C14825" s="8" t="s">
        <v>553</v>
      </c>
    </row>
    <row r="14826" spans="1:3" x14ac:dyDescent="0.25">
      <c r="A14826" s="8" t="str">
        <f>"Proceedings of the 11th WSEAS International Conference on Automation and Information, ICAI '10"</f>
        <v>Proceedings of the 11th WSEAS International Conference on Automation and Information, ICAI '10</v>
      </c>
      <c r="B14826" s="8" t="str">
        <f>"9789604741939"</f>
        <v>9789604741939</v>
      </c>
      <c r="C14826" s="8" t="s">
        <v>553</v>
      </c>
    </row>
    <row r="14827" spans="1:3" x14ac:dyDescent="0.25">
      <c r="A14827" s="8" t="str">
        <f>"Proceedings of the 11th WSEAS International Conference on Mathematical and Computational Methods in Science and Engineering, MACMESE '09"</f>
        <v>Proceedings of the 11th WSEAS International Conference on Mathematical and Computational Methods in Science and Engineering, MACMESE '09</v>
      </c>
      <c r="B14827" s="8" t="str">
        <f>"9789604741335"</f>
        <v>9789604741335</v>
      </c>
      <c r="C14827" s="8" t="s">
        <v>553</v>
      </c>
    </row>
    <row r="14828" spans="1:3" x14ac:dyDescent="0.25">
      <c r="A14828" s="8" t="str">
        <f>"Proceedings of the 11th WSEAS International Conference on Mathematical Methods, Computational Techniques and Intelligent Systems, MAMECTIS '09, Proc. 8th WSEAS NOLASC '09, Proc. 5th WSEAS CONTROL '09"</f>
        <v>Proceedings of the 11th WSEAS International Conference on Mathematical Methods, Computational Techniques and Intelligent Systems, MAMECTIS '09, Proc. 8th WSEAS NOLASC '09, Proc. 5th WSEAS CONTROL '09</v>
      </c>
      <c r="B14828" s="8" t="str">
        <f>"9789604740949"</f>
        <v>9789604740949</v>
      </c>
      <c r="C14828" s="8" t="s">
        <v>553</v>
      </c>
    </row>
    <row r="14829" spans="1:3" x14ac:dyDescent="0.25">
      <c r="A14829" s="8" t="str">
        <f>"Proceedings of the 12th ACM Workshop on Hot Topics in Networks, HotNets 2013"</f>
        <v>Proceedings of the 12th ACM Workshop on Hot Topics in Networks, HotNets 2013</v>
      </c>
      <c r="B14829" s="8" t="str">
        <f>"9781450325967"</f>
        <v>9781450325967</v>
      </c>
      <c r="C14829" s="8" t="s">
        <v>21</v>
      </c>
    </row>
    <row r="14830" spans="1:3" x14ac:dyDescent="0.25">
      <c r="A14830" s="8" t="str">
        <f>"Proceedings of the 12th ACM/IEEE International Symposium on Code Generation and Optimization, CGO 2014"</f>
        <v>Proceedings of the 12th ACM/IEEE International Symposium on Code Generation and Optimization, CGO 2014</v>
      </c>
      <c r="B14830" s="8" t="str">
        <f>"9781450326704"</f>
        <v>9781450326704</v>
      </c>
      <c r="C14830" s="8" t="s">
        <v>21</v>
      </c>
    </row>
    <row r="14831" spans="1:3" x14ac:dyDescent="0.25">
      <c r="A14831" s="8" t="str">
        <f>"Proceedings of the 12th Annual Genetic and Evolutionary Computation Conference, GECCO '10"</f>
        <v>Proceedings of the 12th Annual Genetic and Evolutionary Computation Conference, GECCO '10</v>
      </c>
      <c r="B14831" s="8" t="str">
        <f>"9781450300728"</f>
        <v>9781450300728</v>
      </c>
      <c r="C14831" s="8" t="s">
        <v>21</v>
      </c>
    </row>
    <row r="14832" spans="1:3" x14ac:dyDescent="0.25">
      <c r="A14832" s="8" t="str">
        <f>"Proceedings of the 12th Annual Genetic and Evolutionary Computation Conference, GECCO '10 - Companion Publication"</f>
        <v>Proceedings of the 12th Annual Genetic and Evolutionary Computation Conference, GECCO '10 - Companion Publication</v>
      </c>
      <c r="B14832" s="8" t="str">
        <f>"9781450300735"</f>
        <v>9781450300735</v>
      </c>
      <c r="C14832" s="8" t="s">
        <v>21</v>
      </c>
    </row>
    <row r="14833" spans="1:3" x14ac:dyDescent="0.25">
      <c r="A14833" s="8" t="str">
        <f>"Proceedings of the 12th Conference on Theoretical Aspects of Rationality and Knowledge, TARK '09"</f>
        <v>Proceedings of the 12th Conference on Theoretical Aspects of Rationality and Knowledge, TARK '09</v>
      </c>
      <c r="B14833" s="8" t="str">
        <f>"9781605585604"</f>
        <v>9781605585604</v>
      </c>
      <c r="C14833" s="8" t="s">
        <v>21</v>
      </c>
    </row>
    <row r="14834" spans="1:3" x14ac:dyDescent="0.25">
      <c r="A14834" s="8" t="str">
        <f>"Proceedings of the 12th EGS Users' Meeting in Japan"</f>
        <v>Proceedings of the 12th EGS Users' Meeting in Japan</v>
      </c>
      <c r="B14834" s="8" t="str">
        <f>"-"</f>
        <v>-</v>
      </c>
      <c r="C14834" s="8" t="s">
        <v>2140</v>
      </c>
    </row>
    <row r="14835" spans="1:3" x14ac:dyDescent="0.25">
      <c r="A14835" s="8" t="str">
        <f>"Proceedings of the 12th European Association for Machine Translation Conference, EAMT 2008"</f>
        <v>Proceedings of the 12th European Association for Machine Translation Conference, EAMT 2008</v>
      </c>
      <c r="B14835" s="8" t="str">
        <f>"9783000257704"</f>
        <v>9783000257704</v>
      </c>
      <c r="C14835" s="8" t="s">
        <v>2141</v>
      </c>
    </row>
    <row r="14836" spans="1:3" x14ac:dyDescent="0.25">
      <c r="A14836" s="8" t="str">
        <f>"Proceedings of the 12th European Workshop on Natural Language Generation, ENLG 2009"</f>
        <v>Proceedings of the 12th European Workshop on Natural Language Generation, ENLG 2009</v>
      </c>
      <c r="B14836" s="8" t="str">
        <f>"-"</f>
        <v>-</v>
      </c>
      <c r="C14836" s="8" t="s">
        <v>554</v>
      </c>
    </row>
    <row r="14837" spans="1:3" x14ac:dyDescent="0.25">
      <c r="A14837" s="8" t="str">
        <f>"Proceedings of the 12th IAPR Conference on Machine Vision Applications, MVA 2011"</f>
        <v>Proceedings of the 12th IAPR Conference on Machine Vision Applications, MVA 2011</v>
      </c>
      <c r="B14837" s="8" t="str">
        <f>"9784901122115"</f>
        <v>9784901122115</v>
      </c>
      <c r="C14837" s="8" t="s">
        <v>2118</v>
      </c>
    </row>
    <row r="14838" spans="1:3" x14ac:dyDescent="0.25">
      <c r="A14838" s="8" t="str">
        <f>"Proceedings of the 12th IASTED International Conference on Artificial Intelligence and Soft Computing, ASC 2008"</f>
        <v>Proceedings of the 12th IASTED International Conference on Artificial Intelligence and Soft Computing, ASC 2008</v>
      </c>
      <c r="B14838" s="8" t="str">
        <f>"9780889867550"</f>
        <v>9780889867550</v>
      </c>
      <c r="C14838" s="8" t="s">
        <v>305</v>
      </c>
    </row>
    <row r="14839" spans="1:3" x14ac:dyDescent="0.25">
      <c r="A14839" s="8" t="str">
        <f>"Proceedings of the 12th IASTED International Conference on Computer Graphics and Imaging, CGIM 2011"</f>
        <v>Proceedings of the 12th IASTED International Conference on Computer Graphics and Imaging, CGIM 2011</v>
      </c>
      <c r="B14839" s="8" t="str">
        <f>"9780889868656"</f>
        <v>9780889868656</v>
      </c>
      <c r="C14839" s="8" t="s">
        <v>305</v>
      </c>
    </row>
    <row r="14840" spans="1:3" x14ac:dyDescent="0.25">
      <c r="A14840" s="8" t="str">
        <f>"Proceedings of the 12th IASTED International Conference on Computers and Advanced Technology in Education, CATE 2009"</f>
        <v>Proceedings of the 12th IASTED International Conference on Computers and Advanced Technology in Education, CATE 2009</v>
      </c>
      <c r="B14840" s="8" t="str">
        <f>"9780889868168"</f>
        <v>9780889868168</v>
      </c>
      <c r="C14840" s="8" t="s">
        <v>305</v>
      </c>
    </row>
    <row r="14841" spans="1:3" x14ac:dyDescent="0.25">
      <c r="A14841" s="8" t="str">
        <f>"Proceedings of the 12th IASTED International Conference on Control and Applications, CA 2010"</f>
        <v>Proceedings of the 12th IASTED International Conference on Control and Applications, CA 2010</v>
      </c>
      <c r="B14841" s="8" t="str">
        <f>"9780889868526"</f>
        <v>9780889868526</v>
      </c>
      <c r="C14841" s="8" t="s">
        <v>305</v>
      </c>
    </row>
    <row r="14842" spans="1:3" x14ac:dyDescent="0.25">
      <c r="A14842" s="8" t="str">
        <f>"Proceedings of the 12th IASTED International Conference on Signal and Image Processing, SIP 2010"</f>
        <v>Proceedings of the 12th IASTED International Conference on Signal and Image Processing, SIP 2010</v>
      </c>
      <c r="B14842" s="8" t="str">
        <f>"9780889868687"</f>
        <v>9780889868687</v>
      </c>
      <c r="C14842" s="8" t="s">
        <v>305</v>
      </c>
    </row>
    <row r="14843" spans="1:3" x14ac:dyDescent="0.25">
      <c r="A14843" s="8" t="str">
        <f>"Proceedings of the 12th IEEE International Conference on Advanced Learning Technologies, ICALT 2012"</f>
        <v>Proceedings of the 12th IEEE International Conference on Advanced Learning Technologies, ICALT 2012</v>
      </c>
      <c r="B14843" s="8" t="str">
        <f>"9780769547022"</f>
        <v>9780769547022</v>
      </c>
      <c r="C14843" s="8" t="s">
        <v>9</v>
      </c>
    </row>
    <row r="14844" spans="1:3" x14ac:dyDescent="0.25">
      <c r="A14844" s="8" t="str">
        <f>"Proceedings of the 12th IEEE International Conference on Cognitive Informatics and Cognitive Computing, ICCI*CC 2013"</f>
        <v>Proceedings of the 12th IEEE International Conference on Cognitive Informatics and Cognitive Computing, ICCI*CC 2013</v>
      </c>
      <c r="B14844" s="8" t="str">
        <f>"9781479907816"</f>
        <v>9781479907816</v>
      </c>
      <c r="C14844" s="8" t="s">
        <v>9</v>
      </c>
    </row>
    <row r="14845" spans="1:3" x14ac:dyDescent="0.25">
      <c r="A14845" s="8" t="str">
        <f>"Proceedings of the 12th IEEE International Workshop on Performance Evaluation of Tracking and Surveillance, PETS-Winter 2009"</f>
        <v>Proceedings of the 12th IEEE International Workshop on Performance Evaluation of Tracking and Surveillance, PETS-Winter 2009</v>
      </c>
      <c r="B14845" s="8" t="str">
        <f>"9781424455034"</f>
        <v>9781424455034</v>
      </c>
      <c r="C14845" s="8" t="s">
        <v>9</v>
      </c>
    </row>
    <row r="14846" spans="1:3" x14ac:dyDescent="0.25">
      <c r="A14846" s="8" t="str">
        <f>"Proceedings of the 12th IFIP/IEEE International Symposium on Integrated Network Management, IM 2011"</f>
        <v>Proceedings of the 12th IFIP/IEEE International Symposium on Integrated Network Management, IM 2011</v>
      </c>
      <c r="B14846" s="8" t="str">
        <f>"9781424492213"</f>
        <v>9781424492213</v>
      </c>
      <c r="C14846" s="8" t="s">
        <v>9</v>
      </c>
    </row>
    <row r="14847" spans="1:3" x14ac:dyDescent="0.25">
      <c r="A14847" s="8" t="s">
        <v>2142</v>
      </c>
      <c r="B14847" s="8" t="str">
        <f>"9781615674411"</f>
        <v>9781615674411</v>
      </c>
      <c r="C14847" s="8" t="s">
        <v>2143</v>
      </c>
    </row>
    <row r="14848" spans="1:3" x14ac:dyDescent="0.25">
      <c r="A14848" s="8" t="str">
        <f>"Proceedings of the 12th International Conference of the European Society for Precision Engineering and Nanotechnology, EUSPEN 2012"</f>
        <v>Proceedings of the 12th International Conference of the European Society for Precision Engineering and Nanotechnology, EUSPEN 2012</v>
      </c>
      <c r="B14848" s="8" t="str">
        <f>"-"</f>
        <v>-</v>
      </c>
      <c r="C14848" s="8" t="s">
        <v>1748</v>
      </c>
    </row>
    <row r="14849" spans="1:3" x14ac:dyDescent="0.25">
      <c r="A14849" s="8" t="str">
        <f>"Proceedings of the 12th International Conference on Civil, Structural and Environmental Engineering Computing"</f>
        <v>Proceedings of the 12th International Conference on Civil, Structural and Environmental Engineering Computing</v>
      </c>
      <c r="B14849" s="8" t="str">
        <f>"9781905088300"</f>
        <v>9781905088300</v>
      </c>
      <c r="C14849" s="8" t="s">
        <v>283</v>
      </c>
    </row>
    <row r="14850" spans="1:3" x14ac:dyDescent="0.25">
      <c r="A14850" s="8" t="str">
        <f>"Proceedings of the 12th International Conference on Digital Audio Effects, DAFx 2009"</f>
        <v>Proceedings of the 12th International Conference on Digital Audio Effects, DAFx 2009</v>
      </c>
      <c r="B14850" s="8" t="str">
        <f>"-"</f>
        <v>-</v>
      </c>
      <c r="C14850" s="8" t="s">
        <v>1253</v>
      </c>
    </row>
    <row r="14851" spans="1:3" x14ac:dyDescent="0.25">
      <c r="A14851" s="8" t="str">
        <f>"Proceedings of the 12th International Conference on Elastic and Diffractive Scattering Forward Physics and QCD, EDS 2007"</f>
        <v>Proceedings of the 12th International Conference on Elastic and Diffractive Scattering Forward Physics and QCD, EDS 2007</v>
      </c>
      <c r="B14851" s="8" t="str">
        <f>"9783935702249"</f>
        <v>9783935702249</v>
      </c>
      <c r="C14851" s="8" t="s">
        <v>1279</v>
      </c>
    </row>
    <row r="14852" spans="1:3" x14ac:dyDescent="0.25">
      <c r="A14852" s="8" t="str">
        <f>"Proceedings of the 12th International Conference on Engineering, Science, Construction, and Operations in Challenging Environments - Earth and Space 2010"</f>
        <v>Proceedings of the 12th International Conference on Engineering, Science, Construction, and Operations in Challenging Environments - Earth and Space 2010</v>
      </c>
      <c r="B14852" s="8" t="str">
        <f>"9780784410967"</f>
        <v>9780784410967</v>
      </c>
      <c r="C14852" s="8" t="s">
        <v>111</v>
      </c>
    </row>
    <row r="14853" spans="1:3" x14ac:dyDescent="0.25">
      <c r="A14853" s="8" t="str">
        <f>"Proceedings of the 12th International Conference on Extending Database Technology: Advances in Database Technology, EDBT'09"</f>
        <v>Proceedings of the 12th International Conference on Extending Database Technology: Advances in Database Technology, EDBT'09</v>
      </c>
      <c r="B14853" s="8" t="str">
        <f>"9781605584225"</f>
        <v>9781605584225</v>
      </c>
      <c r="C14853" s="8" t="s">
        <v>21</v>
      </c>
    </row>
    <row r="14854" spans="1:3" x14ac:dyDescent="0.25">
      <c r="A14854" s="8" t="str">
        <f>"Proceedings of the 12th International Conference on Mobile and Ubiquitous Multimedia, MUM 2013"</f>
        <v>Proceedings of the 12th International Conference on Mobile and Ubiquitous Multimedia, MUM 2013</v>
      </c>
      <c r="B14854" s="8" t="str">
        <f>"9781450326483"</f>
        <v>9781450326483</v>
      </c>
      <c r="C14854" s="8" t="s">
        <v>21</v>
      </c>
    </row>
    <row r="14855" spans="1:3" x14ac:dyDescent="0.25">
      <c r="A14855" s="8" t="str">
        <f>"Proceedings of the 12th International Conference on Mobile and Ubiquitous Systems: Computing, Networking and Services, MOBIQUITOUS 2015"</f>
        <v>Proceedings of the 12th International Conference on Mobile and Ubiquitous Systems: Computing, Networking and Services, MOBIQUITOUS 2015</v>
      </c>
      <c r="B14855" s="8" t="str">
        <f>"9781631900723"</f>
        <v>9781631900723</v>
      </c>
      <c r="C14855" s="8" t="s">
        <v>1504</v>
      </c>
    </row>
    <row r="14856" spans="1:3" x14ac:dyDescent="0.25">
      <c r="A14856" s="8" t="str">
        <f>"Proceedings of the 12th International Conference on Telecommunications, ConTEL 2013"</f>
        <v>Proceedings of the 12th International Conference on Telecommunications, ConTEL 2013</v>
      </c>
      <c r="B14856" s="8" t="str">
        <f>"9789531841757"</f>
        <v>9789531841757</v>
      </c>
      <c r="C14856" s="8" t="s">
        <v>9</v>
      </c>
    </row>
    <row r="14857" spans="1:3" x14ac:dyDescent="0.25">
      <c r="A14857" s="8" t="str">
        <f>"Proceedings of the 12th International Conference on World Wide Web, WWW 2003"</f>
        <v>Proceedings of the 12th International Conference on World Wide Web, WWW 2003</v>
      </c>
      <c r="B14857" s="8" t="str">
        <f>"9781581136807"</f>
        <v>9781581136807</v>
      </c>
      <c r="C14857" s="8" t="s">
        <v>21</v>
      </c>
    </row>
    <row r="14858" spans="1:3" x14ac:dyDescent="0.25">
      <c r="A14858" s="8" t="str">
        <f>"Proceedings of the 12th International Conference Transport Means 2008"</f>
        <v>Proceedings of the 12th International Conference Transport Means 2008</v>
      </c>
      <c r="B14858" s="8" t="str">
        <f>"-"</f>
        <v>-</v>
      </c>
      <c r="C14858" s="8" t="s">
        <v>1140</v>
      </c>
    </row>
    <row r="14859" spans="1:3" x14ac:dyDescent="0.25">
      <c r="A14859" s="8" t="str">
        <f>"Proceedings of the 12th International Congress of the International Maritime Association of the Mediterranean, IMAM 2005 - Maritime Transportation and Exploitation of Ocean and Coastal Resources"</f>
        <v>Proceedings of the 12th International Congress of the International Maritime Association of the Mediterranean, IMAM 2005 - Maritime Transportation and Exploitation of Ocean and Coastal Resources</v>
      </c>
      <c r="B14859" s="8" t="str">
        <f>"9780415390361"</f>
        <v>9780415390361</v>
      </c>
      <c r="C14859" s="8" t="s">
        <v>1520</v>
      </c>
    </row>
    <row r="14860" spans="1:3" x14ac:dyDescent="0.25">
      <c r="A14860" s="8" t="str">
        <f>"Proceedings of the 12th International Congress of the International Maritime Association of the Mediterranean, IMAM 2005 - Maritime Transportation and Exploitation of Ocean and Coastal Resources"</f>
        <v>Proceedings of the 12th International Congress of the International Maritime Association of the Mediterranean, IMAM 2005 - Maritime Transportation and Exploitation of Ocean and Coastal Resources</v>
      </c>
      <c r="B14860" s="8" t="str">
        <f>"9780415390361"</f>
        <v>9780415390361</v>
      </c>
      <c r="C14860" s="8" t="s">
        <v>1520</v>
      </c>
    </row>
    <row r="14861" spans="1:3" x14ac:dyDescent="0.25">
      <c r="A14861" s="8" t="str">
        <f>"Proceedings of the 12th International Congress of the International Maritime Association of the Mediterranean, IMAM 2005 - Maritime Transportation and Exploitation of Ocean and Coastal Resources"</f>
        <v>Proceedings of the 12th International Congress of the International Maritime Association of the Mediterranean, IMAM 2005 - Maritime Transportation and Exploitation of Ocean and Coastal Resources</v>
      </c>
      <c r="B14861" s="8" t="str">
        <f>"9780415390361"</f>
        <v>9780415390361</v>
      </c>
      <c r="C14861" s="8" t="s">
        <v>1520</v>
      </c>
    </row>
    <row r="14862" spans="1:3" x14ac:dyDescent="0.25">
      <c r="A14862" s="8" t="str">
        <f>"Proceedings of the 12th International Ferroalloys Congress: Sustainable Future"</f>
        <v>Proceedings of the 12th International Ferroalloys Congress: Sustainable Future</v>
      </c>
      <c r="B14862" s="8" t="str">
        <f>"9789529273409"</f>
        <v>9789529273409</v>
      </c>
      <c r="C14862" s="8" t="s">
        <v>2144</v>
      </c>
    </row>
    <row r="14863" spans="1:3" x14ac:dyDescent="0.25">
      <c r="A14863" s="8" t="str">
        <f>"Proceedings of the 12th International Society for Music Information Retrieval Conference, ISMIR 2011"</f>
        <v>Proceedings of the 12th International Society for Music Information Retrieval Conference, ISMIR 2011</v>
      </c>
      <c r="B14863" s="8" t="str">
        <f>"9780615548654"</f>
        <v>9780615548654</v>
      </c>
      <c r="C14863" s="8" t="s">
        <v>2137</v>
      </c>
    </row>
    <row r="14864" spans="1:3" x14ac:dyDescent="0.25">
      <c r="A14864" s="8" t="str">
        <f>"Proceedings of the 12th International Symposium on Artificial Life and Robotis, AROB 12th'07"</f>
        <v>Proceedings of the 12th International Symposium on Artificial Life and Robotis, AROB 12th'07</v>
      </c>
      <c r="B14864" s="8" t="str">
        <f>"9784990288013"</f>
        <v>9784990288013</v>
      </c>
      <c r="C14864" s="8" t="s">
        <v>1266</v>
      </c>
    </row>
    <row r="14865" spans="1:3" x14ac:dyDescent="0.25">
      <c r="A14865" s="8" t="str">
        <f>"Proceedings of the 12th International Symposium on Operational Research in Slovenia, SOR 2013"</f>
        <v>Proceedings of the 12th International Symposium on Operational Research in Slovenia, SOR 2013</v>
      </c>
      <c r="B14865" s="8" t="str">
        <f>"9789616165402"</f>
        <v>9789616165402</v>
      </c>
      <c r="C14865" s="8" t="s">
        <v>2145</v>
      </c>
    </row>
    <row r="14866" spans="1:3" x14ac:dyDescent="0.25">
      <c r="A14866" s="8" t="str">
        <f>"Proceedings of the 12th International Symposium on Quality Electronic Design, ISQED 2011"</f>
        <v>Proceedings of the 12th International Symposium on Quality Electronic Design, ISQED 2011</v>
      </c>
      <c r="B14866" s="8" t="str">
        <f>"9781612849140"</f>
        <v>9781612849140</v>
      </c>
      <c r="C14866" s="8" t="s">
        <v>9</v>
      </c>
    </row>
    <row r="14867" spans="1:3" x14ac:dyDescent="0.25">
      <c r="A14867" s="8" t="str">
        <f>"Proceedings of the 12th International Symposium on Structural Engineering, ISSE 2012"</f>
        <v>Proceedings of the 12th International Symposium on Structural Engineering, ISSE 2012</v>
      </c>
      <c r="B14867" s="8" t="str">
        <f>"9787030357878"</f>
        <v>9787030357878</v>
      </c>
      <c r="C14867" s="8" t="s">
        <v>37</v>
      </c>
    </row>
    <row r="14868" spans="1:3" x14ac:dyDescent="0.25">
      <c r="A14868" s="8" t="str">
        <f>"Proceedings of the 12th International Workshop on Adaptive and Reflective Middleware, ARM 2013 - Co-located with ACM/IFIP/USENIX 14th International Middleware Conference, Middleware 2013"</f>
        <v>Proceedings of the 12th International Workshop on Adaptive and Reflective Middleware, ARM 2013 - Co-located with ACM/IFIP/USENIX 14th International Middleware Conference, Middleware 2013</v>
      </c>
      <c r="B14868" s="8" t="str">
        <f>"9781450325530"</f>
        <v>9781450325530</v>
      </c>
      <c r="C14868" s="8" t="s">
        <v>21</v>
      </c>
    </row>
    <row r="14869" spans="1:3" x14ac:dyDescent="0.25">
      <c r="A14869" s="8" t="str">
        <f>"Proceedings of the 12th International Workshop on Real-Time Ada, IRTAW '03"</f>
        <v>Proceedings of the 12th International Workshop on Real-Time Ada, IRTAW '03</v>
      </c>
      <c r="B14869" s="8" t="str">
        <f>"-"</f>
        <v>-</v>
      </c>
      <c r="C14869" s="8" t="s">
        <v>21</v>
      </c>
    </row>
    <row r="14870" spans="1:3" x14ac:dyDescent="0.25">
      <c r="A14870" s="8" t="str">
        <f>"Proceedings of the 12th International Workshop on Software Configuration Management, SCM 2005"</f>
        <v>Proceedings of the 12th International Workshop on Software Configuration Management, SCM 2005</v>
      </c>
      <c r="B14870" s="8" t="str">
        <f>"9781595933102"</f>
        <v>9781595933102</v>
      </c>
      <c r="C14870" s="8" t="s">
        <v>21</v>
      </c>
    </row>
    <row r="14871" spans="1:3" x14ac:dyDescent="0.25">
      <c r="A14871" s="8" t="str">
        <f>"Proceedings of the 12th Lomonosov Conference on Elementary Particle Physics: Particle Physics at the Year of 250th Anniversary of Moscow University"</f>
        <v>Proceedings of the 12th Lomonosov Conference on Elementary Particle Physics: Particle Physics at the Year of 250th Anniversary of Moscow University</v>
      </c>
      <c r="B14871" s="8" t="str">
        <f>"9789812700674"</f>
        <v>9789812700674</v>
      </c>
      <c r="C14871" s="8" t="s">
        <v>157</v>
      </c>
    </row>
    <row r="14872" spans="1:3" x14ac:dyDescent="0.25">
      <c r="A14872" s="8" t="str">
        <f>"Proceedings of the 12th SIAM International Conference on Data Mining, SDM 2012"</f>
        <v>Proceedings of the 12th SIAM International Conference on Data Mining, SDM 2012</v>
      </c>
      <c r="B14872" s="8" t="str">
        <f>"9781611972320"</f>
        <v>9781611972320</v>
      </c>
      <c r="C14872" s="8" t="s">
        <v>249</v>
      </c>
    </row>
    <row r="14873" spans="1:3" x14ac:dyDescent="0.25">
      <c r="A14873" s="8" t="str">
        <f>"Proceedings of the 12th U.S.-Japan Conference on Composite Materials"</f>
        <v>Proceedings of the 12th U.S.-Japan Conference on Composite Materials</v>
      </c>
      <c r="B14873" s="8" t="str">
        <f>"9781932078619"</f>
        <v>9781932078619</v>
      </c>
      <c r="C14873" s="8" t="s">
        <v>757</v>
      </c>
    </row>
    <row r="14874" spans="1:3" x14ac:dyDescent="0.25">
      <c r="A14874" s="8" t="str">
        <f>"Proceedings of the 12th Workshop on Language Descriptions, Tools, and Applications, LDTA 2012"</f>
        <v>Proceedings of the 12th Workshop on Language Descriptions, Tools, and Applications, LDTA 2012</v>
      </c>
      <c r="B14874" s="8" t="str">
        <f>"9781450315364"</f>
        <v>9781450315364</v>
      </c>
      <c r="C14874" s="8" t="s">
        <v>21</v>
      </c>
    </row>
    <row r="14875" spans="1:3" x14ac:dyDescent="0.25">
      <c r="A14875" s="8" t="str">
        <f>"Proceedings of the 12th Workshop on OCL and Textual Modelling, OCL 2012 - Being Part of the ACM/IEEE 15th International Conference on Model Driven Engineering Languages and Systems, MODELS 2012"</f>
        <v>Proceedings of the 12th Workshop on OCL and Textual Modelling, OCL 2012 - Being Part of the ACM/IEEE 15th International Conference on Model Driven Engineering Languages and Systems, MODELS 2012</v>
      </c>
      <c r="B14875" s="8" t="str">
        <f>"9781450317993"</f>
        <v>9781450317993</v>
      </c>
      <c r="C14875" s="8" t="s">
        <v>21</v>
      </c>
    </row>
    <row r="14876" spans="1:3" x14ac:dyDescent="0.25">
      <c r="A14876" s="8" t="str">
        <f>"Proceedings of the 12th Workshop on Requirements Engineering, WER 2009"</f>
        <v>Proceedings of the 12th Workshop on Requirements Engineering, WER 2009</v>
      </c>
      <c r="B14876" s="8" t="str">
        <f>"9789563199413"</f>
        <v>9789563199413</v>
      </c>
      <c r="C14876" s="8" t="s">
        <v>1236</v>
      </c>
    </row>
    <row r="14877" spans="1:3" x14ac:dyDescent="0.25">
      <c r="A14877" s="8" t="str">
        <f>"Proceedings of the 13th ACM International Conference on Multimedia, MM 2005"</f>
        <v>Proceedings of the 13th ACM International Conference on Multimedia, MM 2005</v>
      </c>
      <c r="B14877" s="8" t="str">
        <f>"9781595930446"</f>
        <v>9781595930446</v>
      </c>
      <c r="C14877" s="8" t="s">
        <v>21</v>
      </c>
    </row>
    <row r="14878" spans="1:3" x14ac:dyDescent="0.25">
      <c r="A14878" s="8" t="str">
        <f>"Proceedings of the 13th ACM Symposium on Operating Systems Principles, SOSP 1991"</f>
        <v>Proceedings of the 13th ACM Symposium on Operating Systems Principles, SOSP 1991</v>
      </c>
      <c r="B14878" s="8" t="str">
        <f>"9780897914475"</f>
        <v>9780897914475</v>
      </c>
      <c r="C14878" s="8" t="s">
        <v>21</v>
      </c>
    </row>
    <row r="14879" spans="1:3" x14ac:dyDescent="0.25">
      <c r="A14879" s="8" t="str">
        <f>"Proceedings of the 13th ACM Workshop on Hot Topics in Networks, HotNets 2014"</f>
        <v>Proceedings of the 13th ACM Workshop on Hot Topics in Networks, HotNets 2014</v>
      </c>
      <c r="B14879" s="8" t="str">
        <f>"9781450332569"</f>
        <v>9781450332569</v>
      </c>
      <c r="C14879" s="8" t="s">
        <v>1235</v>
      </c>
    </row>
    <row r="14880" spans="1:3" x14ac:dyDescent="0.25">
      <c r="A14880" s="8" t="str">
        <f>"Proceedings of the 13th Annual Conference of the European Association for Machine Translation, EAMT 2009"</f>
        <v>Proceedings of the 13th Annual Conference of the European Association for Machine Translation, EAMT 2009</v>
      </c>
      <c r="B14880" s="8" t="str">
        <f>"-"</f>
        <v>-</v>
      </c>
      <c r="C14880" s="8" t="s">
        <v>2146</v>
      </c>
    </row>
    <row r="14881" spans="1:3" x14ac:dyDescent="0.25">
      <c r="A14881" s="8" t="str">
        <f>"Proceedings of the 13th Annual North American Waste to Energy Conference, NAWTEC13"</f>
        <v>Proceedings of the 13th Annual North American Waste to Energy Conference, NAWTEC13</v>
      </c>
      <c r="B14881" s="8" t="str">
        <f>"9780791837566"</f>
        <v>9780791837566</v>
      </c>
      <c r="C14881" s="8" t="s">
        <v>1308</v>
      </c>
    </row>
    <row r="14882" spans="1:3" x14ac:dyDescent="0.25">
      <c r="A14882" s="8" t="str">
        <f>"Proceedings of the 13th Asian Congress of Fluid Mechanics"</f>
        <v>Proceedings of the 13th Asian Congress of Fluid Mechanics</v>
      </c>
      <c r="B14882" s="8" t="str">
        <f>"-"</f>
        <v>-</v>
      </c>
      <c r="C14882" s="8" t="s">
        <v>2053</v>
      </c>
    </row>
    <row r="14883" spans="1:3" x14ac:dyDescent="0.25">
      <c r="A14883" s="8" t="str">
        <f>"Proceedings of the 13th Docomomo International Conference Seoul: Expansion and Conflict, Seoul 2014"</f>
        <v>Proceedings of the 13th Docomomo International Conference Seoul: Expansion and Conflict, Seoul 2014</v>
      </c>
      <c r="B14883" s="8" t="str">
        <f>"9791195362509"</f>
        <v>9791195362509</v>
      </c>
      <c r="C14883" s="8" t="s">
        <v>1232</v>
      </c>
    </row>
    <row r="14884" spans="1:3" x14ac:dyDescent="0.25">
      <c r="A14884" s="8" t="str">
        <f>"Proceedings of the 13th EGS Users' Meeting in Japan"</f>
        <v>Proceedings of the 13th EGS Users' Meeting in Japan</v>
      </c>
      <c r="B14884" s="8" t="str">
        <f>"-"</f>
        <v>-</v>
      </c>
      <c r="C14884" s="8" t="s">
        <v>2140</v>
      </c>
    </row>
    <row r="14885" spans="1:3" x14ac:dyDescent="0.25">
      <c r="A14885" s="8" t="str">
        <f>"Proceedings of the 13th European Conference on Information Systems, Information Systems in a Rapidly Changing Economy, ECIS 2005"</f>
        <v>Proceedings of the 13th European Conference on Information Systems, Information Systems in a Rapidly Changing Economy, ECIS 2005</v>
      </c>
      <c r="B14885" s="8" t="str">
        <f>"9783937195094"</f>
        <v>9783937195094</v>
      </c>
      <c r="C14885" s="8" t="s">
        <v>289</v>
      </c>
    </row>
    <row r="14886" spans="1:3" x14ac:dyDescent="0.25">
      <c r="A14886" s="8" t="str">
        <f>"Proceedings of the 13th IASTED International Conference on Computers and Advanced Technology in Education, CATE 2010"</f>
        <v>Proceedings of the 13th IASTED International Conference on Computers and Advanced Technology in Education, CATE 2010</v>
      </c>
      <c r="B14886" s="8" t="str">
        <f>"9780889868670"</f>
        <v>9780889868670</v>
      </c>
      <c r="C14886" s="8" t="s">
        <v>305</v>
      </c>
    </row>
    <row r="14887" spans="1:3" x14ac:dyDescent="0.25">
      <c r="A14887" s="8" t="str">
        <f>"Proceedings of the 13th IASTED International Conference on Control and Applications, CA 2011"</f>
        <v>Proceedings of the 13th IASTED International Conference on Control and Applications, CA 2011</v>
      </c>
      <c r="B14887" s="8" t="str">
        <f>"9780889868724"</f>
        <v>9780889868724</v>
      </c>
      <c r="C14887" s="8" t="s">
        <v>305</v>
      </c>
    </row>
    <row r="14888" spans="1:3" x14ac:dyDescent="0.25">
      <c r="A14888" s="8" t="str">
        <f>"Proceedings of the 13th IASTED International Conference on Internet and Multimedia Systems and Applications, IMSA 2009"</f>
        <v>Proceedings of the 13th IASTED International Conference on Internet and Multimedia Systems and Applications, IMSA 2009</v>
      </c>
      <c r="B14888" s="8" t="str">
        <f>"9780889868045"</f>
        <v>9780889868045</v>
      </c>
      <c r="C14888" s="8" t="s">
        <v>305</v>
      </c>
    </row>
    <row r="14889" spans="1:3" x14ac:dyDescent="0.25">
      <c r="A14889" s="8" t="str">
        <f>"Proceedings of the 13th IASTED International Conference on Robotics and Applications, RA 2007 and Proceedings of the IASTED International Conference on Telematics"</f>
        <v>Proceedings of the 13th IASTED International Conference on Robotics and Applications, RA 2007 and Proceedings of the IASTED International Conference on Telematics</v>
      </c>
      <c r="B14889" s="8" t="str">
        <f>"9780889866850"</f>
        <v>9780889866850</v>
      </c>
      <c r="C14889" s="8" t="s">
        <v>305</v>
      </c>
    </row>
    <row r="14890" spans="1:3" x14ac:dyDescent="0.25">
      <c r="A14890" s="8" t="str">
        <f>"Proceedings of the 13th IASTED International Conference on Software Engineering and Applications, SEA 2009"</f>
        <v>Proceedings of the 13th IASTED International Conference on Software Engineering and Applications, SEA 2009</v>
      </c>
      <c r="B14890" s="8" t="str">
        <f>"9780889868120"</f>
        <v>9780889868120</v>
      </c>
      <c r="C14890" s="8" t="s">
        <v>305</v>
      </c>
    </row>
    <row r="14891" spans="1:3" x14ac:dyDescent="0.25">
      <c r="A14891" s="8" t="str">
        <f>"Proceedings of the 13th IEEE Symposium on Design and Diagnostics of Electronic Circuits and Systems, DDECS 2010"</f>
        <v>Proceedings of the 13th IEEE Symposium on Design and Diagnostics of Electronic Circuits and Systems, DDECS 2010</v>
      </c>
      <c r="B14891" s="8" t="str">
        <f>"9781424466139"</f>
        <v>9781424466139</v>
      </c>
      <c r="C14891" s="8" t="s">
        <v>9</v>
      </c>
    </row>
    <row r="14892" spans="1:3" x14ac:dyDescent="0.25">
      <c r="A14892" s="8" t="str">
        <f>"Proceedings of the 13th IFIP WG 7.5 Working Conference on Reliability and Optimization of Structural Systems: Assessment, Design and Life-Cycle Performance"</f>
        <v>Proceedings of the 13th IFIP WG 7.5 Working Conference on Reliability and Optimization of Structural Systems: Assessment, Design and Life-Cycle Performance</v>
      </c>
      <c r="B14892" s="8" t="str">
        <f>"9780415406550"</f>
        <v>9780415406550</v>
      </c>
      <c r="C14892" s="8" t="s">
        <v>1520</v>
      </c>
    </row>
    <row r="14893" spans="1:3" x14ac:dyDescent="0.25">
      <c r="A14893" s="8" t="str">
        <f>"Proceedings of the 13th IFIP WG 7.5 Working Conference on Reliability and Optimization of Structural Systems: Assessment, Design and Life-Cycle Performance"</f>
        <v>Proceedings of the 13th IFIP WG 7.5 Working Conference on Reliability and Optimization of Structural Systems: Assessment, Design and Life-Cycle Performance</v>
      </c>
      <c r="B14893" s="8" t="str">
        <f>"9780415406550"</f>
        <v>9780415406550</v>
      </c>
      <c r="C14893" s="8" t="s">
        <v>1520</v>
      </c>
    </row>
    <row r="14894" spans="1:3" x14ac:dyDescent="0.25">
      <c r="A14894" s="8" t="str">
        <f>"Proceedings of the 13th Internarional Conference on Ground Penetrating Radar, GPR 2010"</f>
        <v>Proceedings of the 13th Internarional Conference on Ground Penetrating Radar, GPR 2010</v>
      </c>
      <c r="B14894" s="8" t="str">
        <f>"9781424446049"</f>
        <v>9781424446049</v>
      </c>
      <c r="C14894" s="8" t="s">
        <v>9</v>
      </c>
    </row>
    <row r="14895" spans="1:3" x14ac:dyDescent="0.25">
      <c r="A14895" s="8" t="str">
        <f>"Proceedings of the 13th International Conference of Hong Kong Society for Transportation Studies: Transportation and Management Science"</f>
        <v>Proceedings of the 13th International Conference of Hong Kong Society for Transportation Studies: Transportation and Management Science</v>
      </c>
      <c r="B14895" s="8" t="str">
        <f>"9789889884734"</f>
        <v>9789889884734</v>
      </c>
      <c r="C14895" s="8" t="s">
        <v>2138</v>
      </c>
    </row>
    <row r="14896" spans="1:3" x14ac:dyDescent="0.25">
      <c r="A14896" s="8" t="str">
        <f>"Proceedings of the 13th International Conference of the European Society for Precision Engineering and Nanotechnology, EUSPEN 2013"</f>
        <v>Proceedings of the 13th International Conference of the European Society for Precision Engineering and Nanotechnology, EUSPEN 2013</v>
      </c>
      <c r="B14896" s="8" t="str">
        <f>"-"</f>
        <v>-</v>
      </c>
      <c r="C14896" s="8" t="s">
        <v>1748</v>
      </c>
    </row>
    <row r="14897" spans="1:3" x14ac:dyDescent="0.25">
      <c r="A14897" s="8" t="str">
        <f>"Proceedings of the 13th International Conference on Civil, Structural and Environmental Engineering Computing"</f>
        <v>Proceedings of the 13th International Conference on Civil, Structural and Environmental Engineering Computing</v>
      </c>
      <c r="B14897" s="8" t="str">
        <f>"9781905088454"</f>
        <v>9781905088454</v>
      </c>
      <c r="C14897" s="8" t="s">
        <v>283</v>
      </c>
    </row>
    <row r="14898" spans="1:3" x14ac:dyDescent="0.25">
      <c r="A14898" s="8" t="str">
        <f>"Proceedings of the 13th International Conference on Condensed Matter Nuclear Science, ICCF 2007"</f>
        <v>Proceedings of the 13th International Conference on Condensed Matter Nuclear Science, ICCF 2007</v>
      </c>
      <c r="B14898" s="8" t="str">
        <f>"9785932714287"</f>
        <v>9785932714287</v>
      </c>
      <c r="C14898" s="8" t="s">
        <v>2147</v>
      </c>
    </row>
    <row r="14899" spans="1:3" x14ac:dyDescent="0.25">
      <c r="A14899" s="8" t="str">
        <f>"Proceedings of the 13th International Conference on Intelligent Systems Application to Power Systems, ISAP'05"</f>
        <v>Proceedings of the 13th International Conference on Intelligent Systems Application to Power Systems, ISAP'05</v>
      </c>
      <c r="B14899" s="8" t="str">
        <f>"-"</f>
        <v>-</v>
      </c>
      <c r="C14899" s="8" t="s">
        <v>9</v>
      </c>
    </row>
    <row r="14900" spans="1:3" x14ac:dyDescent="0.25">
      <c r="A14900" s="8" t="str">
        <f>"Proceedings of the 13th International Conference WWW/Internet 2014, ICWI 2014"</f>
        <v>Proceedings of the 13th International Conference WWW/Internet 2014, ICWI 2014</v>
      </c>
      <c r="B14900" s="8" t="str">
        <f>"9789898533241"</f>
        <v>9789898533241</v>
      </c>
      <c r="C14900" s="8" t="s">
        <v>1228</v>
      </c>
    </row>
    <row r="14901" spans="1:3" x14ac:dyDescent="0.25">
      <c r="A14901" s="8" t="str">
        <f>"Proceedings of the 13th International Detonation Symposium, IDS 2006"</f>
        <v>Proceedings of the 13th International Detonation Symposium, IDS 2006</v>
      </c>
      <c r="B14901" s="8" t="str">
        <f>"-"</f>
        <v>-</v>
      </c>
      <c r="C14901" s="8" t="s">
        <v>2055</v>
      </c>
    </row>
    <row r="14902" spans="1:3" x14ac:dyDescent="0.25">
      <c r="A14902" s="8" t="str">
        <f>"Proceedings of the 13th International Scientific Conference Electric Power Engineering 2012, EPE 2012"</f>
        <v>Proceedings of the 13th International Scientific Conference Electric Power Engineering 2012, EPE 2012</v>
      </c>
      <c r="B14902" s="8" t="str">
        <f>"9788021445147"</f>
        <v>9788021445147</v>
      </c>
      <c r="C14902" s="8" t="s">
        <v>1290</v>
      </c>
    </row>
    <row r="14903" spans="1:3" x14ac:dyDescent="0.25">
      <c r="A14903" s="8" t="str">
        <f>"Proceedings of the 13th International Society for Music Information Retrieval Conference, ISMIR 2012"</f>
        <v>Proceedings of the 13th International Society for Music Information Retrieval Conference, ISMIR 2012</v>
      </c>
      <c r="B14903" s="8" t="str">
        <f>"9789727521449"</f>
        <v>9789727521449</v>
      </c>
      <c r="C14903" s="8" t="s">
        <v>2148</v>
      </c>
    </row>
    <row r="14904" spans="1:3" x14ac:dyDescent="0.25">
      <c r="A14904" s="8" t="str">
        <f>"Proceedings of the 13th International Symposium on 3D Web Technology, Web3D 2008"</f>
        <v>Proceedings of the 13th International Symposium on 3D Web Technology, Web3D 2008</v>
      </c>
      <c r="B14904" s="8" t="str">
        <f>"9781605582139"</f>
        <v>9781605582139</v>
      </c>
      <c r="C14904" s="8" t="s">
        <v>21</v>
      </c>
    </row>
    <row r="14905" spans="1:3" x14ac:dyDescent="0.25">
      <c r="A14905" s="8" t="str">
        <f>"Proceedings of the 13th International Symposium on 3D Web Technology, Web3D 2008"</f>
        <v>Proceedings of the 13th International Symposium on 3D Web Technology, Web3D 2008</v>
      </c>
      <c r="B14905" s="8" t="str">
        <f>"9781605582139"</f>
        <v>9781605582139</v>
      </c>
      <c r="C14905" s="8" t="s">
        <v>21</v>
      </c>
    </row>
    <row r="14906" spans="1:3" x14ac:dyDescent="0.25">
      <c r="A14906" s="8" t="str">
        <f>"Proceedings of the 13th International Symposium on Artificial Life and Robotics, AROB 13th'08"</f>
        <v>Proceedings of the 13th International Symposium on Artificial Life and Robotics, AROB 13th'08</v>
      </c>
      <c r="B14906" s="8" t="str">
        <f>"9784990288020"</f>
        <v>9784990288020</v>
      </c>
      <c r="C14906" s="8" t="s">
        <v>1266</v>
      </c>
    </row>
    <row r="14907" spans="1:3" x14ac:dyDescent="0.25">
      <c r="A14907" s="8" t="str">
        <f>"Proceedings of the 13th International Workshop on Multimedia Data Mining, MDMKDD 2013 - Held in Conjunction with the ACM SIGKDD 2013 Conference"</f>
        <v>Proceedings of the 13th International Workshop on Multimedia Data Mining, MDMKDD 2013 - Held in Conjunction with the ACM SIGKDD 2013 Conference</v>
      </c>
      <c r="B14907" s="8" t="str">
        <f>"9781450323338"</f>
        <v>9781450323338</v>
      </c>
      <c r="C14907" s="8" t="s">
        <v>21</v>
      </c>
    </row>
    <row r="14908" spans="1:3" x14ac:dyDescent="0.25">
      <c r="A14908" s="8" t="str">
        <f>"Proceedings of the 13th International Workshop on Software and Compilers for Embedded Systems, SCOPES 2010"</f>
        <v>Proceedings of the 13th International Workshop on Software and Compilers for Embedded Systems, SCOPES 2010</v>
      </c>
      <c r="B14908" s="8" t="str">
        <f>"9781450300841"</f>
        <v>9781450300841</v>
      </c>
      <c r="C14908" s="8" t="s">
        <v>21</v>
      </c>
    </row>
    <row r="14909" spans="1:3" x14ac:dyDescent="0.25">
      <c r="A14909" s="8" t="str">
        <f>"Proceedings of the 13th Lomonosov Conference on Elementary Particle Physics: Particle Physics on the Eve of LHC"</f>
        <v>Proceedings of the 13th Lomonosov Conference on Elementary Particle Physics: Particle Physics on the Eve of LHC</v>
      </c>
      <c r="B14909" s="8" t="str">
        <f>"9789812837585"</f>
        <v>9789812837585</v>
      </c>
      <c r="C14909" s="8" t="s">
        <v>157</v>
      </c>
    </row>
    <row r="14910" spans="1:3" x14ac:dyDescent="0.25">
      <c r="A14910" s="8" t="str">
        <f>"Proceedings of the 13th Regional Conference on Mathematical Physics"</f>
        <v>Proceedings of the 13th Regional Conference on Mathematical Physics</v>
      </c>
      <c r="B14910" s="8" t="str">
        <f>"9789814417525"</f>
        <v>9789814417525</v>
      </c>
      <c r="C14910" s="8" t="s">
        <v>157</v>
      </c>
    </row>
    <row r="14911" spans="1:3" x14ac:dyDescent="0.25">
      <c r="A14911" s="8" t="str">
        <f>"Proceedings of the 13th Workshop on Adaptive and Reflective Middleware, ARM 2014, co-located with ACM/IFIP/USENIX International Middleware Conference"</f>
        <v>Proceedings of the 13th Workshop on Adaptive and Reflective Middleware, ARM 2014, co-located with ACM/IFIP/USENIX International Middleware Conference</v>
      </c>
      <c r="B14911" s="8" t="str">
        <f>"9781450332323"</f>
        <v>9781450332323</v>
      </c>
      <c r="C14911" s="8" t="s">
        <v>1235</v>
      </c>
    </row>
    <row r="14912" spans="1:3" x14ac:dyDescent="0.25">
      <c r="A14912" s="8" t="str">
        <f>"Proceedings of the 13th Workshop on Aspect-Oriented Modeling, AOM '09, Co-located with the 8th International Conference on Aspect-Oriented Software Development, AOSD.09"</f>
        <v>Proceedings of the 13th Workshop on Aspect-Oriented Modeling, AOM '09, Co-located with the 8th International Conference on Aspect-Oriented Software Development, AOSD.09</v>
      </c>
      <c r="B14912" s="8" t="str">
        <f>"9781605584515"</f>
        <v>9781605584515</v>
      </c>
      <c r="C14912" s="8" t="s">
        <v>21</v>
      </c>
    </row>
    <row r="14913" spans="1:3" x14ac:dyDescent="0.25">
      <c r="A14913" s="8" t="str">
        <f>"Proceedings of the 13th World Confernece of ACUUS: Advances in Underground Space Development, ACUUS 2012"</f>
        <v>Proceedings of the 13th World Confernece of ACUUS: Advances in Underground Space Development, ACUUS 2012</v>
      </c>
      <c r="B14913" s="8" t="str">
        <f>"9789810737573"</f>
        <v>9789810737573</v>
      </c>
      <c r="C14913" s="8" t="s">
        <v>1554</v>
      </c>
    </row>
    <row r="14914" spans="1:3" x14ac:dyDescent="0.25">
      <c r="A14914" s="8" t="str">
        <f>"Proceedings of the 13th WSEAS International Conference on Circuits - Held as part of the 13th WSEAS CSCC Multiconference"</f>
        <v>Proceedings of the 13th WSEAS International Conference on Circuits - Held as part of the 13th WSEAS CSCC Multiconference</v>
      </c>
      <c r="B14914" s="8" t="str">
        <f>"9789604740963"</f>
        <v>9789604740963</v>
      </c>
      <c r="C14914" s="8" t="s">
        <v>553</v>
      </c>
    </row>
    <row r="14915" spans="1:3" x14ac:dyDescent="0.25">
      <c r="A14915" s="8" t="str">
        <f>"Proceedings of the 13th WSEAS International Conference on Communications - Held as part of the 13th WSEAS CSCC Multiconference"</f>
        <v>Proceedings of the 13th WSEAS International Conference on Communications - Held as part of the 13th WSEAS CSCC Multiconference</v>
      </c>
      <c r="B14915" s="8" t="str">
        <f>"9789604740987"</f>
        <v>9789604740987</v>
      </c>
      <c r="C14915" s="8" t="s">
        <v>553</v>
      </c>
    </row>
    <row r="14916" spans="1:3" x14ac:dyDescent="0.25">
      <c r="A14916" s="8" t="str">
        <f>"Proceedings of the 13th WSEAS International Conference on Computers - Held as part of the 13th WSEAS CSCC Multiconference"</f>
        <v>Proceedings of the 13th WSEAS International Conference on Computers - Held as part of the 13th WSEAS CSCC Multiconference</v>
      </c>
      <c r="B14916" s="8" t="str">
        <f>"9789604740994"</f>
        <v>9789604740994</v>
      </c>
      <c r="C14916" s="8" t="s">
        <v>553</v>
      </c>
    </row>
    <row r="14917" spans="1:3" x14ac:dyDescent="0.25">
      <c r="A14917" s="8" t="str">
        <f>"Proceedings of the 13th WSEAS International Conference on Systems - Held as part of the 13th WSEAS CSCC Multiconference"</f>
        <v>Proceedings of the 13th WSEAS International Conference on Systems - Held as part of the 13th WSEAS CSCC Multiconference</v>
      </c>
      <c r="B14917" s="8" t="str">
        <f>"9789604740970"</f>
        <v>9789604740970</v>
      </c>
      <c r="C14917" s="8" t="s">
        <v>553</v>
      </c>
    </row>
    <row r="14918" spans="1:3" x14ac:dyDescent="0.25">
      <c r="A14918" s="8" t="str">
        <f>"Proceedings of the 14th Annual ACM International Conference on Multimedia, MM 2006"</f>
        <v>Proceedings of the 14th Annual ACM International Conference on Multimedia, MM 2006</v>
      </c>
      <c r="B14918" s="8" t="str">
        <f>"9781595934475"</f>
        <v>9781595934475</v>
      </c>
      <c r="C14918" s="8" t="s">
        <v>21</v>
      </c>
    </row>
    <row r="14919" spans="1:3" x14ac:dyDescent="0.25">
      <c r="A14919" s="8" t="str">
        <f>"Proceedings of the 14th Annual North American Waste to Energy Conference, NAWTEC14"</f>
        <v>Proceedings of the 14th Annual North American Waste to Energy Conference, NAWTEC14</v>
      </c>
      <c r="B14919" s="8" t="str">
        <f>"-"</f>
        <v>-</v>
      </c>
      <c r="C14919" s="8" t="s">
        <v>73</v>
      </c>
    </row>
    <row r="14920" spans="1:3" x14ac:dyDescent="0.25">
      <c r="A14920" s="8" t="str">
        <f>"Proceedings of the 14th Brazilian Symposium on Multimedia and the Web - WebMedia 2008"</f>
        <v>Proceedings of the 14th Brazilian Symposium on Multimedia and the Web - WebMedia 2008</v>
      </c>
      <c r="B14920" s="8" t="str">
        <f>"9781605581705"</f>
        <v>9781605581705</v>
      </c>
      <c r="C14920" s="8" t="s">
        <v>21</v>
      </c>
    </row>
    <row r="14921" spans="1:3" x14ac:dyDescent="0.25">
      <c r="A14921" s="8" t="str">
        <f>"Proceedings of the 14th Conference of the British Dam Society: Improvements in Reservoir Construction, Operation and Maintenance"</f>
        <v>Proceedings of the 14th Conference of the British Dam Society: Improvements in Reservoir Construction, Operation and Maintenance</v>
      </c>
      <c r="B14921" s="8" t="str">
        <f>"-"</f>
        <v>-</v>
      </c>
      <c r="C14921" s="8" t="s">
        <v>74</v>
      </c>
    </row>
    <row r="14922" spans="1:3" x14ac:dyDescent="0.25">
      <c r="A14922" s="8" t="str">
        <f>"Proceedings of the 14th Conference on Microwave Techniques, COMITE 2008"</f>
        <v>Proceedings of the 14th Conference on Microwave Techniques, COMITE 2008</v>
      </c>
      <c r="B14922" s="8" t="str">
        <f>"9781424421381"</f>
        <v>9781424421381</v>
      </c>
      <c r="C14922" s="8" t="s">
        <v>9</v>
      </c>
    </row>
    <row r="14923" spans="1:3" x14ac:dyDescent="0.25">
      <c r="A14923" s="8" t="str">
        <f>"Proceedings of the 14th EGS Users' Meeting in Japan"</f>
        <v>Proceedings of the 14th EGS Users' Meeting in Japan</v>
      </c>
      <c r="B14923" s="8" t="str">
        <f>"-"</f>
        <v>-</v>
      </c>
      <c r="C14923" s="8" t="s">
        <v>2140</v>
      </c>
    </row>
    <row r="14924" spans="1:3" x14ac:dyDescent="0.25">
      <c r="A14924" s="8" t="str">
        <f>"Proceedings of the 14th European Conference on Information Systems, ECIS 2006"</f>
        <v>Proceedings of the 14th European Conference on Information Systems, ECIS 2006</v>
      </c>
      <c r="B14924" s="8" t="str">
        <f>"-"</f>
        <v>-</v>
      </c>
      <c r="C14924" s="8" t="s">
        <v>289</v>
      </c>
    </row>
    <row r="14925" spans="1:3" x14ac:dyDescent="0.25">
      <c r="A14925" s="8" t="str">
        <f>"Proceedings of the 14th HKSTS International Conference: Transportation and Geography"</f>
        <v>Proceedings of the 14th HKSTS International Conference: Transportation and Geography</v>
      </c>
      <c r="B14925" s="8" t="str">
        <f>"-"</f>
        <v>-</v>
      </c>
      <c r="C14925" s="8" t="s">
        <v>2138</v>
      </c>
    </row>
    <row r="14926" spans="1:3" x14ac:dyDescent="0.25">
      <c r="A14926" s="8" t="str">
        <f>"Proceedings of the 14th IAPR International Conference on Machine Vision Applications, MVA 2015"</f>
        <v>Proceedings of the 14th IAPR International Conference on Machine Vision Applications, MVA 2015</v>
      </c>
      <c r="B14926" s="8" t="str">
        <f>"9784901122153"</f>
        <v>9784901122153</v>
      </c>
      <c r="C14926" s="8" t="s">
        <v>105</v>
      </c>
    </row>
    <row r="14927" spans="1:3" x14ac:dyDescent="0.25">
      <c r="A14927" s="8" t="str">
        <f>"Proceedings of the 14th IASTED International Conference on Applied Simulation and Modelling"</f>
        <v>Proceedings of the 14th IASTED International Conference on Applied Simulation and Modelling</v>
      </c>
      <c r="B14927" s="8" t="str">
        <f>"9780889864696"</f>
        <v>9780889864696</v>
      </c>
      <c r="C14927" s="8" t="s">
        <v>305</v>
      </c>
    </row>
    <row r="14928" spans="1:3" x14ac:dyDescent="0.25">
      <c r="A14928" s="8" t="str">
        <f>"Proceedings of the 14th IASTED International Conference on Computers and Advanced Technology in Education, CATE 2011"</f>
        <v>Proceedings of the 14th IASTED International Conference on Computers and Advanced Technology in Education, CATE 2011</v>
      </c>
      <c r="B14928" s="8" t="str">
        <f>"9780889868885"</f>
        <v>9780889868885</v>
      </c>
      <c r="C14928" s="8" t="s">
        <v>305</v>
      </c>
    </row>
    <row r="14929" spans="1:3" x14ac:dyDescent="0.25">
      <c r="A14929" s="8" t="str">
        <f>"Proceedings of the 14th IEEE European Test Symposium, ETS 2009"</f>
        <v>Proceedings of the 14th IEEE European Test Symposium, ETS 2009</v>
      </c>
      <c r="B14929" s="8" t="str">
        <f>"9780769537030"</f>
        <v>9780769537030</v>
      </c>
      <c r="C14929" s="8" t="s">
        <v>9</v>
      </c>
    </row>
    <row r="14930" spans="1:3" x14ac:dyDescent="0.25">
      <c r="A14930" s="8" t="str">
        <f>"Proceedings of the 14th IEEE International Conference on High Performance Computing and Communications, HPCC-2012 - 9th IEEE International Conference on Embedded Software and Systems, ICESS-2012"</f>
        <v>Proceedings of the 14th IEEE International Conference on High Performance Computing and Communications, HPCC-2012 - 9th IEEE International Conference on Embedded Software and Systems, ICESS-2012</v>
      </c>
      <c r="B14930" s="8" t="str">
        <f>"9780769547497"</f>
        <v>9780769547497</v>
      </c>
      <c r="C14930" s="8" t="s">
        <v>9</v>
      </c>
    </row>
    <row r="14931" spans="1:3" x14ac:dyDescent="0.25">
      <c r="A14931" s="8" t="str">
        <f>"Proceedings of the 14th IEEE International Multitopic Conference 2011, INMIC 2011"</f>
        <v>Proceedings of the 14th IEEE International Multitopic Conference 2011, INMIC 2011</v>
      </c>
      <c r="B14931" s="8" t="str">
        <f>"9781457706554"</f>
        <v>9781457706554</v>
      </c>
      <c r="C14931" s="8" t="s">
        <v>9</v>
      </c>
    </row>
    <row r="14932" spans="1:3" x14ac:dyDescent="0.25">
      <c r="A14932" s="8" t="str">
        <f>"Proceedings of the 14th IEEE Pacific Rim International Symposium on Dependable Computing, PRDC 2008"</f>
        <v>Proceedings of the 14th IEEE Pacific Rim International Symposium on Dependable Computing, PRDC 2008</v>
      </c>
      <c r="B14932" s="8" t="str">
        <f>"9780769534480"</f>
        <v>9780769534480</v>
      </c>
      <c r="C14932" s="8" t="s">
        <v>9</v>
      </c>
    </row>
    <row r="14933" spans="1:3" x14ac:dyDescent="0.25">
      <c r="A14933" s="8" t="str">
        <f>"Proceedings of the 14th International Academic MindTrek Conference: Envisioning Future Media Environments, MindTrek 2010"</f>
        <v>Proceedings of the 14th International Academic MindTrek Conference: Envisioning Future Media Environments, MindTrek 2010</v>
      </c>
      <c r="B14933" s="8" t="str">
        <f>"9781450300117"</f>
        <v>9781450300117</v>
      </c>
      <c r="C14933" s="8" t="s">
        <v>21</v>
      </c>
    </row>
    <row r="14934" spans="1:3" x14ac:dyDescent="0.25">
      <c r="A14934" s="8" t="s">
        <v>2149</v>
      </c>
      <c r="B14934" s="8" t="str">
        <f>"9788392263241"</f>
        <v>9788392263241</v>
      </c>
      <c r="C14934" s="8" t="s">
        <v>9</v>
      </c>
    </row>
    <row r="14935" spans="1:3" x14ac:dyDescent="0.25">
      <c r="A14935" s="8" t="str">
        <f>"Proceedings of the 14th International Conference on Automated Planning and Scheduling, ICAPS 2004"</f>
        <v>Proceedings of the 14th International Conference on Automated Planning and Scheduling, ICAPS 2004</v>
      </c>
      <c r="B14935" s="8" t="str">
        <f>"9781577352006"</f>
        <v>9781577352006</v>
      </c>
      <c r="C14935" s="8" t="s">
        <v>11</v>
      </c>
    </row>
    <row r="14936" spans="1:3" x14ac:dyDescent="0.25">
      <c r="A14936" s="8" t="str">
        <f>"Proceedings of the 14th International Conference on Condensed Matter Nuclear Science and the 14th International Conference on Cold Fusion, ICCF-14"</f>
        <v>Proceedings of the 14th International Conference on Condensed Matter Nuclear Science and the 14th International Conference on Cold Fusion, ICCF-14</v>
      </c>
      <c r="B14936" s="8" t="str">
        <f>"9780578066943"</f>
        <v>9780578066943</v>
      </c>
      <c r="C14936" s="8" t="s">
        <v>2150</v>
      </c>
    </row>
    <row r="14937" spans="1:3" x14ac:dyDescent="0.25">
      <c r="A14937" s="8" t="str">
        <f>"Proceedings of the 14th International Conference on Digital Audio Effects, DAFx 2011"</f>
        <v>Proceedings of the 14th International Conference on Digital Audio Effects, DAFx 2011</v>
      </c>
      <c r="B14937" s="8" t="str">
        <f>"9782954035109"</f>
        <v>9782954035109</v>
      </c>
      <c r="C14937" s="8" t="s">
        <v>2151</v>
      </c>
    </row>
    <row r="14938" spans="1:3" x14ac:dyDescent="0.25">
      <c r="A14938" s="8" t="str">
        <f>"Proceedings of the 14th International Conference on Engineering and Product Design Education: Design Education for Future Wellbeing, EPDE 2012"</f>
        <v>Proceedings of the 14th International Conference on Engineering and Product Design Education: Design Education for Future Wellbeing, EPDE 2012</v>
      </c>
      <c r="B14938" s="8" t="str">
        <f>"9781904670360"</f>
        <v>9781904670360</v>
      </c>
      <c r="C14938" s="8" t="s">
        <v>1855</v>
      </c>
    </row>
    <row r="14939" spans="1:3" x14ac:dyDescent="0.25">
      <c r="A14939" s="8" t="str">
        <f>"Proceedings of the 14th International Meshing Roundtable, IMR 2005"</f>
        <v>Proceedings of the 14th International Meshing Roundtable, IMR 2005</v>
      </c>
      <c r="B14939" s="8" t="str">
        <f>"9783540251378"</f>
        <v>9783540251378</v>
      </c>
      <c r="C14939" s="8" t="s">
        <v>162</v>
      </c>
    </row>
    <row r="14940" spans="1:3" x14ac:dyDescent="0.25">
      <c r="A14940" s="8" t="str">
        <f>"Proceedings of the 14th International Symposium on Artificial Life and Robotics, AROB 14th'09"</f>
        <v>Proceedings of the 14th International Symposium on Artificial Life and Robotics, AROB 14th'09</v>
      </c>
      <c r="B14940" s="8" t="str">
        <f>"9784990288037"</f>
        <v>9784990288037</v>
      </c>
      <c r="C14940" s="8" t="s">
        <v>2152</v>
      </c>
    </row>
    <row r="14941" spans="1:3" x14ac:dyDescent="0.25">
      <c r="A14941" s="8" t="str">
        <f>"Proceedings of the 14th International Symposium on Integrated Circuits, ISIC 2014"</f>
        <v>Proceedings of the 14th International Symposium on Integrated Circuits, ISIC 2014</v>
      </c>
      <c r="B14941" s="8" t="str">
        <f>"9781479948338"</f>
        <v>9781479948338</v>
      </c>
      <c r="C14941" s="8" t="s">
        <v>105</v>
      </c>
    </row>
    <row r="14942" spans="1:3" x14ac:dyDescent="0.25">
      <c r="A14942" s="8" t="str">
        <f>"Proceedings of the 14th International Symposium on Mine Planning and Equipment Selection, MPES 2005 and the 5th International Conference on Computer Applications in the Minerals Industries, CAMI 2005"</f>
        <v>Proceedings of the 14th International Symposium on Mine Planning and Equipment Selection, MPES 2005 and the 5th International Conference on Computer Applications in the Minerals Industries, CAMI 2005</v>
      </c>
      <c r="B14942" s="8" t="str">
        <f>"-"</f>
        <v>-</v>
      </c>
      <c r="C14942" s="8" t="s">
        <v>2153</v>
      </c>
    </row>
    <row r="14943" spans="1:3" x14ac:dyDescent="0.25">
      <c r="A14943" s="8" t="str">
        <f>"Proceedings of the 14th International Symposium: Advanced Display Technologies"</f>
        <v>Proceedings of the 14th International Symposium: Advanced Display Technologies</v>
      </c>
      <c r="B14943" s="8" t="str">
        <f>"-"</f>
        <v>-</v>
      </c>
      <c r="C14943" s="8" t="s">
        <v>535</v>
      </c>
    </row>
    <row r="14944" spans="1:3" x14ac:dyDescent="0.25">
      <c r="A14944" s="8" t="str">
        <f>"Proceedings of the 14th International Workshop on Software and Compilers for Embedded Systems, SCOPES 2011"</f>
        <v>Proceedings of the 14th International Workshop on Software and Compilers for Embedded Systems, SCOPES 2011</v>
      </c>
      <c r="B14944" s="8" t="str">
        <f>"9781450307635"</f>
        <v>9781450307635</v>
      </c>
      <c r="C14944" s="8" t="s">
        <v>21</v>
      </c>
    </row>
    <row r="14945" spans="1:3" x14ac:dyDescent="0.25">
      <c r="A14945" s="8" t="str">
        <f>"Proceedings of the 14th International Workshop on the Physics of Semiconductor Devices, IWPSD"</f>
        <v>Proceedings of the 14th International Workshop on the Physics of Semiconductor Devices, IWPSD</v>
      </c>
      <c r="B14945" s="8" t="str">
        <f>"9781424417285"</f>
        <v>9781424417285</v>
      </c>
      <c r="C14945" s="8" t="s">
        <v>9</v>
      </c>
    </row>
    <row r="14946" spans="1:3" x14ac:dyDescent="0.25">
      <c r="A14946" s="8" t="str">
        <f>"Proceedings of the 14th Lomonosov Conference on Elementary Particle Physics: Particle Physics at the Year of Astronomy - Dedicated to the Late Academician Alexey Sissakian"</f>
        <v>Proceedings of the 14th Lomonosov Conference on Elementary Particle Physics: Particle Physics at the Year of Astronomy - Dedicated to the Late Academician Alexey Sissakian</v>
      </c>
      <c r="B14946" s="8" t="str">
        <f>"9789814329675"</f>
        <v>9789814329675</v>
      </c>
      <c r="C14946" s="8" t="s">
        <v>157</v>
      </c>
    </row>
    <row r="14947" spans="1:3" x14ac:dyDescent="0.25">
      <c r="A14947" s="8" t="str">
        <f>"Proceedings of the 14th Workshop on Elastic and Diffractive Scattering (Blois Workshop) - Frontiers of QCD: From Puzzles to Discoveries, EDS 2011"</f>
        <v>Proceedings of the 14th Workshop on Elastic and Diffractive Scattering (Blois Workshop) - Frontiers of QCD: From Puzzles to Discoveries, EDS 2011</v>
      </c>
      <c r="B14947" s="8" t="str">
        <f>"-"</f>
        <v>-</v>
      </c>
      <c r="C14947" s="8" t="s">
        <v>1471</v>
      </c>
    </row>
    <row r="14948" spans="1:3" x14ac:dyDescent="0.25">
      <c r="A14948" s="8" t="str">
        <f>"Proceedings of the 15th ACM Symposium on Operating Systems Principles, SOSP 1995"</f>
        <v>Proceedings of the 15th ACM Symposium on Operating Systems Principles, SOSP 1995</v>
      </c>
      <c r="B14948" s="8" t="str">
        <f>"9780897917155"</f>
        <v>9780897917155</v>
      </c>
      <c r="C14948" s="8" t="s">
        <v>21</v>
      </c>
    </row>
    <row r="14949" spans="1:3" x14ac:dyDescent="0.25">
      <c r="A14949" s="8" t="str">
        <f>"Proceedings of the 15th Amsterdam Colloquium"</f>
        <v>Proceedings of the 15th Amsterdam Colloquium</v>
      </c>
      <c r="B14949" s="8" t="str">
        <f>"9789057761461"</f>
        <v>9789057761461</v>
      </c>
      <c r="C14949" s="8" t="s">
        <v>2154</v>
      </c>
    </row>
    <row r="14950" spans="1:3" x14ac:dyDescent="0.25">
      <c r="A14950" s="8" t="str">
        <f>"Proceedings of the 15th Annual Conference on Computer Graphics and Interactive Techniques, SIGGRAPH 1988"</f>
        <v>Proceedings of the 15th Annual Conference on Computer Graphics and Interactive Techniques, SIGGRAPH 1988</v>
      </c>
      <c r="B14950" s="8" t="str">
        <f>"9780897912754"</f>
        <v>9780897912754</v>
      </c>
      <c r="C14950" s="8" t="s">
        <v>1235</v>
      </c>
    </row>
    <row r="14951" spans="1:3" x14ac:dyDescent="0.25">
      <c r="A14951" s="8" t="str">
        <f>"Proceedings of the 15th Annual North American Waste to Energy Conference, NAWTEC15"</f>
        <v>Proceedings of the 15th Annual North American Waste to Energy Conference, NAWTEC15</v>
      </c>
      <c r="B14951" s="8" t="str">
        <f>"9780791847893"</f>
        <v>9780791847893</v>
      </c>
      <c r="C14951" s="8" t="s">
        <v>73</v>
      </c>
    </row>
    <row r="14952" spans="1:3" x14ac:dyDescent="0.25">
      <c r="A14952" s="8" t="str">
        <f>"Proceedings of the 15th EGS Users' Meeting in Japan"</f>
        <v>Proceedings of the 15th EGS Users' Meeting in Japan</v>
      </c>
      <c r="B14952" s="8" t="str">
        <f>"-"</f>
        <v>-</v>
      </c>
      <c r="C14952" s="8" t="s">
        <v>2140</v>
      </c>
    </row>
    <row r="14953" spans="1:3" x14ac:dyDescent="0.25">
      <c r="A14953" s="8" t="str">
        <f>"Proceedings of the 15th European Conference on Information Systems, ECIS 2007"</f>
        <v>Proceedings of the 15th European Conference on Information Systems, ECIS 2007</v>
      </c>
      <c r="B14953" s="8" t="str">
        <f>"-"</f>
        <v>-</v>
      </c>
      <c r="C14953" s="8" t="s">
        <v>289</v>
      </c>
    </row>
    <row r="14954" spans="1:3" x14ac:dyDescent="0.25">
      <c r="A14954" s="8" t="str">
        <f>"Proceedings of the 15th IASTED International Conference on Applied Simulation and Modelling"</f>
        <v>Proceedings of the 15th IASTED International Conference on Applied Simulation and Modelling</v>
      </c>
      <c r="B14954" s="8" t="str">
        <f>"-"</f>
        <v>-</v>
      </c>
      <c r="C14954" s="8" t="s">
        <v>305</v>
      </c>
    </row>
    <row r="14955" spans="1:3" x14ac:dyDescent="0.25">
      <c r="A14955" s="8" t="str">
        <f>"Proceedings of the 15th IASTED International Conference on Internet and Multimedia Systems and Applications, IMSA 2011"</f>
        <v>Proceedings of the 15th IASTED International Conference on Internet and Multimedia Systems and Applications, IMSA 2011</v>
      </c>
      <c r="B14955" s="8" t="str">
        <f>"9780889868717"</f>
        <v>9780889868717</v>
      </c>
      <c r="C14955" s="8" t="s">
        <v>305</v>
      </c>
    </row>
    <row r="14956" spans="1:3" x14ac:dyDescent="0.25">
      <c r="A14956" s="8" t="str">
        <f>"Proceedings of the 15th IEEE International Conference on Electronics, Circuits and Systems, ICECS 2008"</f>
        <v>Proceedings of the 15th IEEE International Conference on Electronics, Circuits and Systems, ICECS 2008</v>
      </c>
      <c r="B14956" s="8" t="str">
        <f>"9781424421824"</f>
        <v>9781424421824</v>
      </c>
      <c r="C14956" s="8" t="s">
        <v>9</v>
      </c>
    </row>
    <row r="14957" spans="1:3" x14ac:dyDescent="0.25">
      <c r="A14957" s="8" t="str">
        <f>"Proceedings of the 15th IEEE International Conference on Emerging Technologies and Factory Automation, ETFA 2010"</f>
        <v>Proceedings of the 15th IEEE International Conference on Emerging Technologies and Factory Automation, ETFA 2010</v>
      </c>
      <c r="B14957" s="8" t="str">
        <f>"9781424468508"</f>
        <v>9781424468508</v>
      </c>
      <c r="C14957" s="8" t="s">
        <v>9</v>
      </c>
    </row>
    <row r="14958" spans="1:3" x14ac:dyDescent="0.25">
      <c r="A14958" s="8" t="str">
        <f>"Proceedings of the 15th International Academic MindTrek Conference: Envisioning Future Media Environments, MindTrek 2011"</f>
        <v>Proceedings of the 15th International Academic MindTrek Conference: Envisioning Future Media Environments, MindTrek 2011</v>
      </c>
      <c r="B14958" s="8" t="str">
        <f>"9781450308168"</f>
        <v>9781450308168</v>
      </c>
      <c r="C14958" s="8" t="s">
        <v>21</v>
      </c>
    </row>
    <row r="14959" spans="1:3" x14ac:dyDescent="0.25">
      <c r="A14959" s="8" t="str">
        <f>"Proceedings of the 15th International ACM SIGACCESS Conference on Computers and Accessibility, ASSETS 2013"</f>
        <v>Proceedings of the 15th International ACM SIGACCESS Conference on Computers and Accessibility, ASSETS 2013</v>
      </c>
      <c r="B14959" s="8" t="str">
        <f>"9781450324052"</f>
        <v>9781450324052</v>
      </c>
      <c r="C14959" s="8" t="s">
        <v>21</v>
      </c>
    </row>
    <row r="14960" spans="1:3" x14ac:dyDescent="0.25">
      <c r="A14960" s="8" t="str">
        <f>"Proceedings of The 15th International Conference Mixed Design of Integrated Circuits and Systems, MIXDES 2008"</f>
        <v>Proceedings of The 15th International Conference Mixed Design of Integrated Circuits and Systems, MIXDES 2008</v>
      </c>
      <c r="B14960" s="8" t="str">
        <f>"9788392263272"</f>
        <v>9788392263272</v>
      </c>
      <c r="C14960" s="8" t="s">
        <v>9</v>
      </c>
    </row>
    <row r="14961" spans="1:3" x14ac:dyDescent="0.25">
      <c r="A14961" s="8" t="str">
        <f>"Proceedings of the 15th International Conference of the European Association for Machine Translation, EAMT 2011"</f>
        <v>Proceedings of the 15th International Conference of the European Association for Machine Translation, EAMT 2011</v>
      </c>
      <c r="B14961" s="8" t="str">
        <f>"9789081486118"</f>
        <v>9789081486118</v>
      </c>
      <c r="C14961" s="8" t="s">
        <v>1792</v>
      </c>
    </row>
    <row r="14962" spans="1:3" x14ac:dyDescent="0.25">
      <c r="A14962" s="8" t="str">
        <f>"Proceedings of the 15th International Conference of the European Society for Precision Engineering and Nanotechnology, EUSPEN 2015"</f>
        <v>Proceedings of the 15th International Conference of the European Society for Precision Engineering and Nanotechnology, EUSPEN 2015</v>
      </c>
      <c r="B14962" s="8" t="str">
        <f>"9780956679079"</f>
        <v>9780956679079</v>
      </c>
      <c r="C14962" s="8" t="s">
        <v>1748</v>
      </c>
    </row>
    <row r="14963" spans="1:3" x14ac:dyDescent="0.25">
      <c r="A14963" s="8" t="str">
        <f>"Proceedings of the 15th International Conference on Advanced Computing and Communications, ADCOM 2007"</f>
        <v>Proceedings of the 15th International Conference on Advanced Computing and Communications, ADCOM 2007</v>
      </c>
      <c r="B14963" s="8" t="str">
        <f>"9780769530598"</f>
        <v>9780769530598</v>
      </c>
      <c r="C14963" s="8" t="s">
        <v>105</v>
      </c>
    </row>
    <row r="14964" spans="1:3" x14ac:dyDescent="0.25">
      <c r="A14964" s="8" t="str">
        <f>"Proceedings of the 15th International Conference on Engineering and Product Design Education: Design Education - Growing Our Future, EPDE 2013"</f>
        <v>Proceedings of the 15th International Conference on Engineering and Product Design Education: Design Education - Growing Our Future, EPDE 2013</v>
      </c>
      <c r="B14964" s="8" t="str">
        <f>"9781904670421"</f>
        <v>9781904670421</v>
      </c>
      <c r="C14964" s="8" t="s">
        <v>1855</v>
      </c>
    </row>
    <row r="14965" spans="1:3" x14ac:dyDescent="0.25">
      <c r="A14965" s="8" t="str">
        <f>"Proceedings of the 15th International Conference on Ground Penetrating Radar, GPR 2014"</f>
        <v>Proceedings of the 15th International Conference on Ground Penetrating Radar, GPR 2014</v>
      </c>
      <c r="B14965" s="8" t="str">
        <f>"9781479967896"</f>
        <v>9781479967896</v>
      </c>
      <c r="C14965" s="8" t="s">
        <v>105</v>
      </c>
    </row>
    <row r="14966" spans="1:3" x14ac:dyDescent="0.25">
      <c r="A14966" s="8" t="str">
        <f>"Proceedings of the 15th International Conference on Harmonisation within Atmospheric Dispersion Modelling for Regulatory Purposes, HARMO 2013"</f>
        <v>Proceedings of the 15th International Conference on Harmonisation within Atmospheric Dispersion Modelling for Regulatory Purposes, HARMO 2013</v>
      </c>
      <c r="B14966" s="8" t="str">
        <f>"-"</f>
        <v>-</v>
      </c>
      <c r="C14966" s="8" t="s">
        <v>2155</v>
      </c>
    </row>
    <row r="14967" spans="1:3" x14ac:dyDescent="0.25">
      <c r="A14967" s="8" t="str">
        <f>"Proceedings of the 15th International Conference on World Wide Web"</f>
        <v>Proceedings of the 15th International Conference on World Wide Web</v>
      </c>
      <c r="B14967" s="8" t="str">
        <f>"9781595933232"</f>
        <v>9781595933232</v>
      </c>
      <c r="C14967" s="8" t="s">
        <v>21</v>
      </c>
    </row>
    <row r="14968" spans="1:3" x14ac:dyDescent="0.25">
      <c r="A14968" s="8" t="str">
        <f>"Proceedings of the 15th International Conference on World Wide Web, WWW'06"</f>
        <v>Proceedings of the 15th International Conference on World Wide Web, WWW'06</v>
      </c>
      <c r="B14968" s="8" t="str">
        <f>"9781595933232"</f>
        <v>9781595933232</v>
      </c>
      <c r="C14968" s="8" t="s">
        <v>21</v>
      </c>
    </row>
    <row r="14969" spans="1:3" x14ac:dyDescent="0.25">
      <c r="A14969" s="8" t="str">
        <f>"Proceedings of the 15th International Meshing Roundtable, IMR 2006"</f>
        <v>Proceedings of the 15th International Meshing Roundtable, IMR 2006</v>
      </c>
      <c r="B14969" s="8" t="str">
        <f>"9783540349570"</f>
        <v>9783540349570</v>
      </c>
      <c r="C14969" s="8" t="s">
        <v>1639</v>
      </c>
    </row>
    <row r="14970" spans="1:3" x14ac:dyDescent="0.25">
      <c r="A14970" s="8" t="str">
        <f>"Proceedings of the 15th International Middleware Conference, Middleware 2014"</f>
        <v>Proceedings of the 15th International Middleware Conference, Middleware 2014</v>
      </c>
      <c r="B14970" s="8" t="str">
        <f>"9781450327855"</f>
        <v>9781450327855</v>
      </c>
      <c r="C14970" s="8" t="s">
        <v>1235</v>
      </c>
    </row>
    <row r="14971" spans="1:3" x14ac:dyDescent="0.25">
      <c r="A14971" s="8" t="str">
        <f>"Proceedings of the 15th International Symposium on Artificial Life and Robotics, AROB 15th'10"</f>
        <v>Proceedings of the 15th International Symposium on Artificial Life and Robotics, AROB 15th'10</v>
      </c>
      <c r="B14971" s="8" t="str">
        <f>"9784990288044"</f>
        <v>9784990288044</v>
      </c>
      <c r="C14971" s="8" t="s">
        <v>2156</v>
      </c>
    </row>
    <row r="14972" spans="1:3" x14ac:dyDescent="0.25">
      <c r="A14972" s="8" t="str">
        <f>"Proceedings of the 15th Lomonosov Conference on Elementary Particle Physics: Particle Physics at the Tercentenary of Mikhail Lomonosov"</f>
        <v>Proceedings of the 15th Lomonosov Conference on Elementary Particle Physics: Particle Physics at the Tercentenary of Mikhail Lomonosov</v>
      </c>
      <c r="B14972" s="8" t="str">
        <f>"9789814436823"</f>
        <v>9789814436823</v>
      </c>
      <c r="C14972" s="8" t="s">
        <v>157</v>
      </c>
    </row>
    <row r="14973" spans="1:3" x14ac:dyDescent="0.25">
      <c r="A14973" s="8" t="str">
        <f>"Proceedings of the 15th Symposium on Principles and Practice of Declarative Programming, PPDP 2013"</f>
        <v>Proceedings of the 15th Symposium on Principles and Practice of Declarative Programming, PPDP 2013</v>
      </c>
      <c r="B14973" s="8" t="str">
        <f>"9781450321549"</f>
        <v>9781450321549</v>
      </c>
      <c r="C14973" s="8" t="s">
        <v>9</v>
      </c>
    </row>
    <row r="14974" spans="1:3" x14ac:dyDescent="0.25">
      <c r="A14974" s="8" t="str">
        <f>"Proceedings of the 15th Workshop on Early Aspects, EA '09, Co-located with the 8th International Conference on Aspect-Oriented Software Development, AOSD.09"</f>
        <v>Proceedings of the 15th Workshop on Early Aspects, EA '09, Co-located with the 8th International Conference on Aspect-Oriented Software Development, AOSD.09</v>
      </c>
      <c r="B14974" s="8" t="str">
        <f>"9781605584560"</f>
        <v>9781605584560</v>
      </c>
      <c r="C14974" s="8" t="s">
        <v>21</v>
      </c>
    </row>
    <row r="14975" spans="1:3" x14ac:dyDescent="0.25">
      <c r="A14975" s="8" t="str">
        <f>"Proceedings of the 15th Workshop on Formal Techniques for Java-Like Programs, FTfJP 2013"</f>
        <v>Proceedings of the 15th Workshop on Formal Techniques for Java-Like Programs, FTfJP 2013</v>
      </c>
      <c r="B14975" s="8" t="str">
        <f>"9781450320429"</f>
        <v>9781450320429</v>
      </c>
      <c r="C14975" s="8" t="s">
        <v>21</v>
      </c>
    </row>
    <row r="14976" spans="1:3" x14ac:dyDescent="0.25">
      <c r="A14976" s="8" t="str">
        <f>"Proceedings of the 15th Workshop on General Relativity and Gravitation in Japan, JGRG 2005"</f>
        <v>Proceedings of the 15th Workshop on General Relativity and Gravitation in Japan, JGRG 2005</v>
      </c>
      <c r="B14976" s="8" t="str">
        <f>"-"</f>
        <v>-</v>
      </c>
      <c r="C14976" s="8" t="s">
        <v>133</v>
      </c>
    </row>
    <row r="14977" spans="1:3" x14ac:dyDescent="0.25">
      <c r="A14977" s="8" t="str">
        <f>"Proceedings of the 15th Workshop on Logic-based methods in Programming Environments, WLPE 2005"</f>
        <v>Proceedings of the 15th Workshop on Logic-based methods in Programming Environments, WLPE 2005</v>
      </c>
      <c r="B14977" s="8" t="str">
        <f>"-"</f>
        <v>-</v>
      </c>
      <c r="C14977" s="8" t="s">
        <v>1314</v>
      </c>
    </row>
    <row r="14978" spans="1:3" x14ac:dyDescent="0.25">
      <c r="A14978" s="8" t="str">
        <f>"Proceedings of the 15th Workshop on Mobile Computing Systems and Applications, HotMobile 2014"</f>
        <v>Proceedings of the 15th Workshop on Mobile Computing Systems and Applications, HotMobile 2014</v>
      </c>
      <c r="B14978" s="8" t="str">
        <f>"9781450327428"</f>
        <v>9781450327428</v>
      </c>
      <c r="C14978" s="8" t="s">
        <v>21</v>
      </c>
    </row>
    <row r="14979" spans="1:3" x14ac:dyDescent="0.25">
      <c r="A14979" s="8" t="str">
        <f>"Proceedings of the 16th ACM International Conference on Supporting Group Work, GROUP'10"</f>
        <v>Proceedings of the 16th ACM International Conference on Supporting Group Work, GROUP'10</v>
      </c>
      <c r="B14979" s="8" t="str">
        <f>"9781450303873"</f>
        <v>9781450303873</v>
      </c>
      <c r="C14979" s="8" t="s">
        <v>21</v>
      </c>
    </row>
    <row r="14980" spans="1:3" x14ac:dyDescent="0.25">
      <c r="A14980" s="8" t="str">
        <f>"Proceedings of the 16th Amsterdam Colloquium"</f>
        <v>Proceedings of the 16th Amsterdam Colloquium</v>
      </c>
      <c r="B14980" s="8" t="str">
        <f>"9789081264310"</f>
        <v>9789081264310</v>
      </c>
      <c r="C14980" s="8" t="s">
        <v>2154</v>
      </c>
    </row>
    <row r="14981" spans="1:3" x14ac:dyDescent="0.25">
      <c r="A14981" s="8" t="str">
        <f>"Proceedings of the 16th Australasian Fluid Mechanics Conference, 16AFMC"</f>
        <v>Proceedings of the 16th Australasian Fluid Mechanics Conference, 16AFMC</v>
      </c>
      <c r="B14981" s="8" t="str">
        <f>"9781864998948"</f>
        <v>9781864998948</v>
      </c>
      <c r="C14981" s="8" t="s">
        <v>1295</v>
      </c>
    </row>
    <row r="14982" spans="1:3" x14ac:dyDescent="0.25">
      <c r="A14982" s="8" t="str">
        <f>"Proceedings of the 16th Computational Linguistics in the Netherlands"</f>
        <v>Proceedings of the 16th Computational Linguistics in the Netherlands</v>
      </c>
      <c r="B14982" s="8" t="str">
        <f>"9789057761614"</f>
        <v>9789057761614</v>
      </c>
      <c r="C14982" s="8" t="s">
        <v>2157</v>
      </c>
    </row>
    <row r="14983" spans="1:3" x14ac:dyDescent="0.25">
      <c r="A14983" s="8" t="str">
        <f>"Proceedings of the 16th EGS Users' Meeting in Japan"</f>
        <v>Proceedings of the 16th EGS Users' Meeting in Japan</v>
      </c>
      <c r="B14983" s="8" t="str">
        <f>"-"</f>
        <v>-</v>
      </c>
      <c r="C14983" s="8" t="s">
        <v>2140</v>
      </c>
    </row>
    <row r="14984" spans="1:3" x14ac:dyDescent="0.25">
      <c r="A14984" s="8" t="str">
        <f>"Proceedings of the 16th Electronics Packaging Technology Conference, EPTC 2014"</f>
        <v>Proceedings of the 16th Electronics Packaging Technology Conference, EPTC 2014</v>
      </c>
      <c r="B14984" s="8" t="str">
        <f>"9781479969944"</f>
        <v>9781479969944</v>
      </c>
      <c r="C14984" s="8" t="s">
        <v>105</v>
      </c>
    </row>
    <row r="14985" spans="1:3" x14ac:dyDescent="0.25">
      <c r="A14985" s="8" t="str">
        <f>"Proceedings of the 16th Euromicro Conference on Parallel, Distributed and Network-Based Processing, PDP 2008"</f>
        <v>Proceedings of the 16th Euromicro Conference on Parallel, Distributed and Network-Based Processing, PDP 2008</v>
      </c>
      <c r="B14985" s="8" t="str">
        <f>"9780769530895"</f>
        <v>9780769530895</v>
      </c>
      <c r="C14985" s="8" t="s">
        <v>9</v>
      </c>
    </row>
    <row r="14986" spans="1:3" x14ac:dyDescent="0.25">
      <c r="A14986" s="8" t="str">
        <f>"Proceedings of the 16th IASTED International Conference on Applied Simulation and Modelling, ASM 2007"</f>
        <v>Proceedings of the 16th IASTED International Conference on Applied Simulation and Modelling, ASM 2007</v>
      </c>
      <c r="B14986" s="8" t="str">
        <f>"9780889866874"</f>
        <v>9780889866874</v>
      </c>
      <c r="C14986" s="8" t="s">
        <v>305</v>
      </c>
    </row>
    <row r="14987" spans="1:3" x14ac:dyDescent="0.25">
      <c r="A14987" s="8" t="str">
        <f>"Proceedings of the 16th IASTED International Conference on Robotics and Applications, RA 2011"</f>
        <v>Proceedings of the 16th IASTED International Conference on Robotics and Applications, RA 2011</v>
      </c>
      <c r="B14987" s="8" t="str">
        <f>"9780889868748"</f>
        <v>9780889868748</v>
      </c>
      <c r="C14987" s="8" t="s">
        <v>305</v>
      </c>
    </row>
    <row r="14988" spans="1:3" x14ac:dyDescent="0.25">
      <c r="A14988" s="8" t="str">
        <f>"Proceedings of the 16th IEEE International Conference on Electronics, Communications and Computers, CONIELECOMP 2006"</f>
        <v>Proceedings of the 16th IEEE International Conference on Electronics, Communications and Computers, CONIELECOMP 2006</v>
      </c>
      <c r="B14988" s="8" t="str">
        <f>"-"</f>
        <v>-</v>
      </c>
      <c r="C14988" s="8" t="s">
        <v>9</v>
      </c>
    </row>
    <row r="14989" spans="1:3" x14ac:dyDescent="0.25">
      <c r="A14989" s="8" t="str">
        <f>"Proceedings of the 16th IEEE International Conference on Program Comprehension, ICPC"</f>
        <v>Proceedings of the 16th IEEE International Conference on Program Comprehension, ICPC</v>
      </c>
      <c r="B14989" s="8" t="str">
        <f>"9780769531762"</f>
        <v>9780769531762</v>
      </c>
      <c r="C14989" s="8" t="s">
        <v>9</v>
      </c>
    </row>
    <row r="14990" spans="1:3" x14ac:dyDescent="0.25">
      <c r="A14990" s="8" t="str">
        <f>"Proceedings of the 16th IEEE International Requirements Engineering Conference, RE'08"</f>
        <v>Proceedings of the 16th IEEE International Requirements Engineering Conference, RE'08</v>
      </c>
      <c r="B14990" s="8" t="str">
        <f>"9780769533094"</f>
        <v>9780769533094</v>
      </c>
      <c r="C14990" s="8" t="s">
        <v>9</v>
      </c>
    </row>
    <row r="14991" spans="1:3" x14ac:dyDescent="0.25">
      <c r="A14991" s="8" t="str">
        <f>"Proceedings of the 16th IEEE Symposium on Field-Programmable Custom Computing Machines, FCCM'08"</f>
        <v>Proceedings of the 16th IEEE Symposium on Field-Programmable Custom Computing Machines, FCCM'08</v>
      </c>
      <c r="B14991" s="8" t="str">
        <f>"9780769533070"</f>
        <v>9780769533070</v>
      </c>
      <c r="C14991" s="8" t="s">
        <v>9</v>
      </c>
    </row>
    <row r="14992" spans="1:3" x14ac:dyDescent="0.25">
      <c r="A14992" s="8" t="s">
        <v>2158</v>
      </c>
      <c r="B14992" s="8" t="str">
        <f>"9781450316378"</f>
        <v>9781450316378</v>
      </c>
      <c r="C14992" s="8" t="s">
        <v>21</v>
      </c>
    </row>
    <row r="14993" spans="1:3" x14ac:dyDescent="0.25">
      <c r="A14993" s="8" t="str">
        <f>"Proceedings of the 16th International Conference - Mixed Design of Integrated Circuits and Systems, MIXDES 2009"</f>
        <v>Proceedings of the 16th International Conference - Mixed Design of Integrated Circuits and Systems, MIXDES 2009</v>
      </c>
      <c r="B14993" s="8" t="str">
        <f>"9788392875604"</f>
        <v>9788392875604</v>
      </c>
      <c r="C14993" s="8" t="s">
        <v>9</v>
      </c>
    </row>
    <row r="14994" spans="1:3" x14ac:dyDescent="0.25">
      <c r="A14994" s="8" t="s">
        <v>2159</v>
      </c>
      <c r="B14994" s="8" t="str">
        <f>"9781892925060"</f>
        <v>9781892925060</v>
      </c>
      <c r="C14994" s="8" t="s">
        <v>2160</v>
      </c>
    </row>
    <row r="14995" spans="1:3" x14ac:dyDescent="0.25">
      <c r="A14995" s="8" t="str">
        <f>"Proceedings of the 16th International Conference on Information Fusion, FUSION 2013"</f>
        <v>Proceedings of the 16th International Conference on Information Fusion, FUSION 2013</v>
      </c>
      <c r="B14995" s="8" t="str">
        <f>"9786058631113"</f>
        <v>9786058631113</v>
      </c>
      <c r="C14995" s="8" t="s">
        <v>9</v>
      </c>
    </row>
    <row r="14996" spans="1:3" x14ac:dyDescent="0.25">
      <c r="A14996" s="8" t="str">
        <f>"Proceedings of the 16th International Conference on Mechatronics, Mechatronika 2014"</f>
        <v>Proceedings of the 16th International Conference on Mechatronics, Mechatronika 2014</v>
      </c>
      <c r="B14996" s="8" t="str">
        <f>"9788021448162"</f>
        <v>9788021448162</v>
      </c>
      <c r="C14996" s="8" t="s">
        <v>105</v>
      </c>
    </row>
    <row r="14997" spans="1:3" x14ac:dyDescent="0.25">
      <c r="A14997" s="8" t="str">
        <f>"Proceedings of the 16th International Conference on Soil Mechanics and Geotechnical Engineering: Geotechnology in Harmony with the Global Environment"</f>
        <v>Proceedings of the 16th International Conference on Soil Mechanics and Geotechnical Engineering: Geotechnology in Harmony with the Global Environment</v>
      </c>
      <c r="B14997" s="8" t="str">
        <f>"9789059660281"</f>
        <v>9789059660281</v>
      </c>
      <c r="C14997" s="8" t="s">
        <v>2161</v>
      </c>
    </row>
    <row r="14998" spans="1:3" x14ac:dyDescent="0.25">
      <c r="A14998" s="8" t="str">
        <f>"Proceedings of the 16th International Meshing Roundtable, IMR 2007"</f>
        <v>Proceedings of the 16th International Meshing Roundtable, IMR 2007</v>
      </c>
      <c r="B14998" s="8" t="str">
        <f>"9783540751021"</f>
        <v>9783540751021</v>
      </c>
      <c r="C14998" s="8" t="s">
        <v>1639</v>
      </c>
    </row>
    <row r="14999" spans="1:3" x14ac:dyDescent="0.25">
      <c r="A14999" s="8" t="str">
        <f>"Proceedings of the 16th International Symposium on Advancement of Construction Management and Real Estate, CRIOCM 2011"</f>
        <v>Proceedings of the 16th International Symposium on Advancement of Construction Management and Real Estate, CRIOCM 2011</v>
      </c>
      <c r="B14999" s="8" t="str">
        <f>"9789623677219"</f>
        <v>9789623677219</v>
      </c>
      <c r="C14999" s="8" t="s">
        <v>2122</v>
      </c>
    </row>
    <row r="15000" spans="1:3" x14ac:dyDescent="0.25">
      <c r="A15000" s="8" t="str">
        <f>"Proceedings of the 16th International Symposium on Artificial Life and Robotics, AROB 16th'11"</f>
        <v>Proceedings of the 16th International Symposium on Artificial Life and Robotics, AROB 16th'11</v>
      </c>
      <c r="B15000" s="8" t="str">
        <f>"9784990288051"</f>
        <v>9784990288051</v>
      </c>
      <c r="C15000" s="8" t="s">
        <v>2156</v>
      </c>
    </row>
    <row r="15001" spans="1:3" x14ac:dyDescent="0.25">
      <c r="A15001" s="8" t="str">
        <f>"Proceedings of the 16th International Symposium on High Performance Distributed Computing 2007, HPDC'07"</f>
        <v>Proceedings of the 16th International Symposium on High Performance Distributed Computing 2007, HPDC'07</v>
      </c>
      <c r="B15001" s="8" t="str">
        <f>"9781595936738"</f>
        <v>9781595936738</v>
      </c>
      <c r="C15001" s="8" t="s">
        <v>21</v>
      </c>
    </row>
    <row r="15002" spans="1:3" x14ac:dyDescent="0.25">
      <c r="A15002" s="8" t="str">
        <f>"Proceedings of the 16th International Workshop on Software and Compilers for Embedded Systems, M-SCOPES 2013"</f>
        <v>Proceedings of the 16th International Workshop on Software and Compilers for Embedded Systems, M-SCOPES 2013</v>
      </c>
      <c r="B15002" s="8" t="str">
        <f>"9781450321426"</f>
        <v>9781450321426</v>
      </c>
      <c r="C15002" s="8" t="s">
        <v>21</v>
      </c>
    </row>
    <row r="15003" spans="1:3" x14ac:dyDescent="0.25">
      <c r="A15003" s="8" t="str">
        <f>"Proceedings of the 16th Offshore Symposium - Energy from the Oceans"</f>
        <v>Proceedings of the 16th Offshore Symposium - Energy from the Oceans</v>
      </c>
      <c r="B15003" s="8" t="str">
        <f>"-"</f>
        <v>-</v>
      </c>
      <c r="C15003" s="8" t="s">
        <v>1266</v>
      </c>
    </row>
    <row r="15004" spans="1:3" x14ac:dyDescent="0.25">
      <c r="A15004" s="8" t="str">
        <f>"Proceedings of the 16th Workshop on General Relativity and Gravitation in Japan, JGRG 2006"</f>
        <v>Proceedings of the 16th Workshop on General Relativity and Gravitation in Japan, JGRG 2006</v>
      </c>
      <c r="B15004" s="8" t="str">
        <f>"-"</f>
        <v>-</v>
      </c>
      <c r="C15004" s="8" t="s">
        <v>133</v>
      </c>
    </row>
    <row r="15005" spans="1:3" x14ac:dyDescent="0.25">
      <c r="A15005" s="8" t="str">
        <f>"Proceedings of the 16th Workshop on Logic-based methods in Programming Environments, WLPE 2006"</f>
        <v>Proceedings of the 16th Workshop on Logic-based methods in Programming Environments, WLPE 2006</v>
      </c>
      <c r="B15005" s="8" t="str">
        <f>"-"</f>
        <v>-</v>
      </c>
      <c r="C15005" s="8" t="s">
        <v>1314</v>
      </c>
    </row>
    <row r="15006" spans="1:3" x14ac:dyDescent="0.25">
      <c r="A15006" s="8" t="str">
        <f>"Proceedings of the 17th Annual North American Waste to Energy Conference, NAWTEC17"</f>
        <v>Proceedings of the 17th Annual North American Waste to Energy Conference, NAWTEC17</v>
      </c>
      <c r="B15006" s="8" t="str">
        <f>"9780791848807"</f>
        <v>9780791848807</v>
      </c>
      <c r="C15006" s="8" t="s">
        <v>73</v>
      </c>
    </row>
    <row r="15007" spans="1:3" x14ac:dyDescent="0.25">
      <c r="A15007" s="8" t="str">
        <f>"Proceedings of the 17th Australasian Document Computing Symposium, ADCS 2012"</f>
        <v>Proceedings of the 17th Australasian Document Computing Symposium, ADCS 2012</v>
      </c>
      <c r="B15007" s="8" t="str">
        <f>"9781450314114"</f>
        <v>9781450314114</v>
      </c>
      <c r="C15007" s="8" t="s">
        <v>21</v>
      </c>
    </row>
    <row r="15008" spans="1:3" x14ac:dyDescent="0.25">
      <c r="A15008" s="8" t="str">
        <f>"Proceedings of the 17th Conference on Computational Linguistics and Speech Processing, ROCLING 2005"</f>
        <v>Proceedings of the 17th Conference on Computational Linguistics and Speech Processing, ROCLING 2005</v>
      </c>
      <c r="B15008" s="8" t="str">
        <f>"-"</f>
        <v>-</v>
      </c>
      <c r="C15008" s="8" t="s">
        <v>2162</v>
      </c>
    </row>
    <row r="15009" spans="1:3" x14ac:dyDescent="0.25">
      <c r="A15009" s="8" t="str">
        <f>"Proceedings of the 17th EGS Users' Meeting in Japan"</f>
        <v>Proceedings of the 17th EGS Users' Meeting in Japan</v>
      </c>
      <c r="B15009" s="8" t="str">
        <f>"-"</f>
        <v>-</v>
      </c>
      <c r="C15009" s="8" t="s">
        <v>2140</v>
      </c>
    </row>
    <row r="15010" spans="1:3" x14ac:dyDescent="0.25">
      <c r="A15010" s="8" t="str">
        <f>"Proceedings of the 17th Euromicro International Conference on Parallel, Distributed and Network-Based Processing, PDP 2009"</f>
        <v>Proceedings of the 17th Euromicro International Conference on Parallel, Distributed and Network-Based Processing, PDP 2009</v>
      </c>
      <c r="B15010" s="8" t="str">
        <f>"9780769535449"</f>
        <v>9780769535449</v>
      </c>
      <c r="C15010" s="8" t="s">
        <v>9</v>
      </c>
    </row>
    <row r="15011" spans="1:3" x14ac:dyDescent="0.25">
      <c r="A15011" s="8" t="str">
        <f>"Proceedings of the 17th IEEE International Symposium on Robot and Human Interactive Communication, RO-MAN"</f>
        <v>Proceedings of the 17th IEEE International Symposium on Robot and Human Interactive Communication, RO-MAN</v>
      </c>
      <c r="B15011" s="8" t="str">
        <f>"9781424422135"</f>
        <v>9781424422135</v>
      </c>
      <c r="C15011" s="8" t="s">
        <v>9</v>
      </c>
    </row>
    <row r="15012" spans="1:3" x14ac:dyDescent="0.25">
      <c r="A15012" s="8" t="str">
        <f>"Proceedings of the 17th IFHTSE Congress"</f>
        <v>Proceedings of the 17th IFHTSE Congress</v>
      </c>
      <c r="B15012" s="8" t="str">
        <f>"-"</f>
        <v>-</v>
      </c>
      <c r="C15012" s="8" t="s">
        <v>2163</v>
      </c>
    </row>
    <row r="15013" spans="1:3" x14ac:dyDescent="0.25">
      <c r="A15013" s="8" t="s">
        <v>2164</v>
      </c>
      <c r="B15013" s="8" t="str">
        <f>"9781450319928"</f>
        <v>9781450319928</v>
      </c>
      <c r="C15013" s="8" t="s">
        <v>21</v>
      </c>
    </row>
    <row r="15014" spans="1:3" x14ac:dyDescent="0.25">
      <c r="A15014" s="8" t="str">
        <f>"Proceedings of the 17th International Conference - Mixed Design of Integrated Circuits and Systems, MIXDES 2010"</f>
        <v>Proceedings of the 17th International Conference - Mixed Design of Integrated Circuits and Systems, MIXDES 2010</v>
      </c>
      <c r="B15014" s="8" t="str">
        <f>"9788392875635"</f>
        <v>9788392875635</v>
      </c>
      <c r="C15014" s="8" t="s">
        <v>9</v>
      </c>
    </row>
    <row r="15015" spans="1:3" x14ac:dyDescent="0.25">
      <c r="A15015" s="8" t="str">
        <f>"Proceedings of the 17th International Conference of Hong Kong Society for Transportation Studies, HKSTS 2012: Transportation and Logistics Management"</f>
        <v>Proceedings of the 17th International Conference of Hong Kong Society for Transportation Studies, HKSTS 2012: Transportation and Logistics Management</v>
      </c>
      <c r="B15015" s="8" t="str">
        <f>"9789881581419"</f>
        <v>9789881581419</v>
      </c>
      <c r="C15015" s="8" t="s">
        <v>2138</v>
      </c>
    </row>
    <row r="15016" spans="1:3" x14ac:dyDescent="0.25">
      <c r="A15016" s="8" t="str">
        <f>"Proceedings of the 17th International Conference on Computers in Education, ICCE 2009"</f>
        <v>Proceedings of the 17th International Conference on Computers in Education, ICCE 2009</v>
      </c>
      <c r="B15016" s="8" t="str">
        <f>"9789868473539"</f>
        <v>9789868473539</v>
      </c>
      <c r="C15016" s="8" t="s">
        <v>1278</v>
      </c>
    </row>
    <row r="15017" spans="1:3" x14ac:dyDescent="0.25">
      <c r="A15017" s="8" t="str">
        <f>"Proceedings of the 17th International Conference on Soil Mechanics and Geotechnical Engineering: The Academia and Practice of Geotechnical Engineering"</f>
        <v>Proceedings of the 17th International Conference on Soil Mechanics and Geotechnical Engineering: The Academia and Practice of Geotechnical Engineering</v>
      </c>
      <c r="B15017" s="8" t="str">
        <f>"9781607500315"</f>
        <v>9781607500315</v>
      </c>
      <c r="C15017" s="8" t="s">
        <v>103</v>
      </c>
    </row>
    <row r="15018" spans="1:3" x14ac:dyDescent="0.25">
      <c r="A15018" s="8" t="str">
        <f>"Proceedings of the 17th International Meshing Roundtable, IMR 2008"</f>
        <v>Proceedings of the 17th International Meshing Roundtable, IMR 2008</v>
      </c>
      <c r="B15018" s="8" t="str">
        <f>"9783540879206"</f>
        <v>9783540879206</v>
      </c>
      <c r="C15018" s="8" t="s">
        <v>162</v>
      </c>
    </row>
    <row r="15019" spans="1:3" x14ac:dyDescent="0.25">
      <c r="A15019" s="8" t="str">
        <f>"Proceedings of the 17th International Symposium on High Performance Distributed Computing 2008, HPDC'08"</f>
        <v>Proceedings of the 17th International Symposium on High Performance Distributed Computing 2008, HPDC'08</v>
      </c>
      <c r="B15019" s="8" t="str">
        <f>"9781595939975"</f>
        <v>9781595939975</v>
      </c>
      <c r="C15019" s="8" t="s">
        <v>21</v>
      </c>
    </row>
    <row r="15020" spans="1:3" x14ac:dyDescent="0.25">
      <c r="A15020" s="8" t="str">
        <f>"Proceedings of the 17th International Technical Meeting of the Satellite Division of the Institute of Navigation, ION GNSS 2004"</f>
        <v>Proceedings of the 17th International Technical Meeting of the Satellite Division of the Institute of Navigation, ION GNSS 2004</v>
      </c>
      <c r="B15020" s="8" t="str">
        <f>"-"</f>
        <v>-</v>
      </c>
      <c r="C15020" s="8" t="s">
        <v>969</v>
      </c>
    </row>
    <row r="15021" spans="1:3" x14ac:dyDescent="0.25">
      <c r="A15021" s="8" t="str">
        <f>"Proceedings of the 17th International Workshop on Software and Compilers for Embedded Systems, SCOPES 2014"</f>
        <v>Proceedings of the 17th International Workshop on Software and Compilers for Embedded Systems, SCOPES 2014</v>
      </c>
      <c r="B15021" s="8" t="str">
        <f>"9781450329415"</f>
        <v>9781450329415</v>
      </c>
      <c r="C15021" s="8" t="s">
        <v>1235</v>
      </c>
    </row>
    <row r="15022" spans="1:3" x14ac:dyDescent="0.25">
      <c r="A15022" s="8" t="str">
        <f>"Proceedings of the 17th Meeting of Computational Linguistics in the Netherlands, CLIN17"</f>
        <v>Proceedings of the 17th Meeting of Computational Linguistics in the Netherlands, CLIN17</v>
      </c>
      <c r="B15022" s="8" t="str">
        <f>"9789078328414"</f>
        <v>9789078328414</v>
      </c>
      <c r="C15022" s="8" t="s">
        <v>1739</v>
      </c>
    </row>
    <row r="15023" spans="1:3" x14ac:dyDescent="0.25">
      <c r="A15023" s="8" t="str">
        <f>"Proceedings of the 17th Midwest Artificial Intelligence and Cognitive Science Conference, MAICS 2006"</f>
        <v>Proceedings of the 17th Midwest Artificial Intelligence and Cognitive Science Conference, MAICS 2006</v>
      </c>
      <c r="B15023" s="8" t="str">
        <f>"-"</f>
        <v>-</v>
      </c>
      <c r="C15023" s="8" t="s">
        <v>2165</v>
      </c>
    </row>
    <row r="15024" spans="1:3" x14ac:dyDescent="0.25">
      <c r="A15024" s="8" t="str">
        <f>"Proceedings of the 17th Offshore Symposium: Pushing Boundaries in the Global Industry"</f>
        <v>Proceedings of the 17th Offshore Symposium: Pushing Boundaries in the Global Industry</v>
      </c>
      <c r="B15024" s="8" t="str">
        <f>"-"</f>
        <v>-</v>
      </c>
      <c r="C15024" s="8" t="s">
        <v>1321</v>
      </c>
    </row>
    <row r="15025" spans="1:3" x14ac:dyDescent="0.25">
      <c r="A15025" s="8" t="str">
        <f>"Proceedings of the 17th Western Canadian Conference on Computing Education, WCCCE 2012"</f>
        <v>Proceedings of the 17th Western Canadian Conference on Computing Education, WCCCE 2012</v>
      </c>
      <c r="B15025" s="8" t="str">
        <f>"9781450314077"</f>
        <v>9781450314077</v>
      </c>
      <c r="C15025" s="8" t="s">
        <v>21</v>
      </c>
    </row>
    <row r="15026" spans="1:3" x14ac:dyDescent="0.25">
      <c r="A15026" s="8" t="str">
        <f>"Proceedings of the 17th Workshop on General Relativity and Gravitation in Japan, JGRG 2007"</f>
        <v>Proceedings of the 17th Workshop on General Relativity and Gravitation in Japan, JGRG 2007</v>
      </c>
      <c r="B15026" s="8" t="str">
        <f>"-"</f>
        <v>-</v>
      </c>
      <c r="C15026" s="8" t="s">
        <v>133</v>
      </c>
    </row>
    <row r="15027" spans="1:3" x14ac:dyDescent="0.25">
      <c r="A15027" s="8" t="str">
        <f>"Proceedings of the 17th Workshop on Logic-based methods in Programming Environments, WLPE 2007"</f>
        <v>Proceedings of the 17th Workshop on Logic-based methods in Programming Environments, WLPE 2007</v>
      </c>
      <c r="B15027" s="8" t="str">
        <f>"-"</f>
        <v>-</v>
      </c>
      <c r="C15027" s="8" t="s">
        <v>1314</v>
      </c>
    </row>
    <row r="15028" spans="1:3" x14ac:dyDescent="0.25">
      <c r="A15028" s="8" t="str">
        <f>"Proceedings of the 17th World Congress the International Federation of Automatic Control, IFAC"</f>
        <v>Proceedings of the 17th World Congress the International Federation of Automatic Control, IFAC</v>
      </c>
      <c r="B15028" s="8" t="str">
        <f>"-"</f>
        <v>-</v>
      </c>
      <c r="C15028" s="8" t="s">
        <v>2166</v>
      </c>
    </row>
    <row r="15029" spans="1:3" x14ac:dyDescent="0.25">
      <c r="A15029" s="8" t="str">
        <f>"Proceedings of the 18th Annual Conference on Recent Advances in Flame Retardancy of Polymeric Materials"</f>
        <v>Proceedings of the 18th Annual Conference on Recent Advances in Flame Retardancy of Polymeric Materials</v>
      </c>
      <c r="B15029" s="8" t="str">
        <f>"9781596233218"</f>
        <v>9781596233218</v>
      </c>
      <c r="C15029" s="8" t="s">
        <v>1390</v>
      </c>
    </row>
    <row r="15030" spans="1:3" x14ac:dyDescent="0.25">
      <c r="A15030" s="8" t="str">
        <f>"Proceedings of the 18th Conference on Computational Linguistics and Speech Processing, ROCLING 2006"</f>
        <v>Proceedings of the 18th Conference on Computational Linguistics and Speech Processing, ROCLING 2006</v>
      </c>
      <c r="B15030" s="8" t="str">
        <f>"-"</f>
        <v>-</v>
      </c>
      <c r="C15030" s="8" t="s">
        <v>2162</v>
      </c>
    </row>
    <row r="15031" spans="1:3" x14ac:dyDescent="0.25">
      <c r="A15031" s="8" t="str">
        <f>"Proceedings of the 18th EGS Users' Meeting in Japan"</f>
        <v>Proceedings of the 18th EGS Users' Meeting in Japan</v>
      </c>
      <c r="B15031" s="8" t="str">
        <f>"-"</f>
        <v>-</v>
      </c>
      <c r="C15031" s="8" t="s">
        <v>2140</v>
      </c>
    </row>
    <row r="15032" spans="1:3" x14ac:dyDescent="0.25">
      <c r="A15032" s="8" t="str">
        <f>"Proceedings of the 18th Euromicro Conference on Parallel, Distributed and Network-Based Processing, PDP 2010"</f>
        <v>Proceedings of the 18th Euromicro Conference on Parallel, Distributed and Network-Based Processing, PDP 2010</v>
      </c>
      <c r="B15032" s="8" t="str">
        <f>"9780769539393"</f>
        <v>9780769539393</v>
      </c>
      <c r="C15032" s="8" t="s">
        <v>9</v>
      </c>
    </row>
    <row r="15033" spans="1:3" x14ac:dyDescent="0.25">
      <c r="A15033" s="8" t="str">
        <f>"Proceedings of the 18th European Symposium on Artificial Neural Networks - Computational Intelligence and Machine Learning, ESANN 2010"</f>
        <v>Proceedings of the 18th European Symposium on Artificial Neural Networks - Computational Intelligence and Machine Learning, ESANN 2010</v>
      </c>
      <c r="B15033" s="8" t="str">
        <f>"9782930307107"</f>
        <v>9782930307107</v>
      </c>
      <c r="C15033" s="8" t="s">
        <v>1825</v>
      </c>
    </row>
    <row r="15034" spans="1:3" x14ac:dyDescent="0.25">
      <c r="A15034" s="8" t="str">
        <f>"Proceedings of the 18th International Conference - Mixed Design of Integrated Circuits and Systems, MIXDES 2011"</f>
        <v>Proceedings of the 18th International Conference - Mixed Design of Integrated Circuits and Systems, MIXDES 2011</v>
      </c>
      <c r="B15034" s="8" t="str">
        <f>"9788393207503"</f>
        <v>9788393207503</v>
      </c>
      <c r="C15034" s="8" t="s">
        <v>9</v>
      </c>
    </row>
    <row r="15035" spans="1:3" x14ac:dyDescent="0.25">
      <c r="A15035" s="8" t="str">
        <f>"Proceedings of the 18th International Conference of Hong Kong Society for Transportation Studies, HKSTS 2013 - Travel Behaviour and Society"</f>
        <v>Proceedings of the 18th International Conference of Hong Kong Society for Transportation Studies, HKSTS 2013 - Travel Behaviour and Society</v>
      </c>
      <c r="B15035" s="8" t="str">
        <f>"9789881581426"</f>
        <v>9789881581426</v>
      </c>
      <c r="C15035" s="8" t="s">
        <v>2138</v>
      </c>
    </row>
    <row r="15036" spans="1:3" x14ac:dyDescent="0.25">
      <c r="A15036" s="8" t="str">
        <f>"Proceedings of the 18th International Conference on Computers in Education: Enhancing and Sustaining New Knowledge Through the Use of Digital Technology in Education, ICCE 2010"</f>
        <v>Proceedings of the 18th International Conference on Computers in Education: Enhancing and Sustaining New Knowledge Through the Use of Digital Technology in Education, ICCE 2010</v>
      </c>
      <c r="B15036" s="8" t="str">
        <f>"9789834251253"</f>
        <v>9789834251253</v>
      </c>
      <c r="C15036" s="8" t="s">
        <v>2167</v>
      </c>
    </row>
    <row r="15037" spans="1:3" x14ac:dyDescent="0.25">
      <c r="A15037" s="8" t="str">
        <f>"Proceedings of the 18th International Conference on Cyclotrons and Their Applications 2007, CYCLOTRONS 2007"</f>
        <v>Proceedings of the 18th International Conference on Cyclotrons and Their Applications 2007, CYCLOTRONS 2007</v>
      </c>
      <c r="B15037" s="8" t="str">
        <f>"-"</f>
        <v>-</v>
      </c>
      <c r="C15037" s="8" t="s">
        <v>430</v>
      </c>
    </row>
    <row r="15038" spans="1:3" x14ac:dyDescent="0.25">
      <c r="A15038" s="8" t="str">
        <f>"Proceedings of the 18th International Conference on Fluidized Bed Combustion, 2005"</f>
        <v>Proceedings of the 18th International Conference on Fluidized Bed Combustion, 2005</v>
      </c>
      <c r="B15038" s="8" t="str">
        <f>"9780791846988"</f>
        <v>9780791846988</v>
      </c>
      <c r="C15038" s="8" t="s">
        <v>1308</v>
      </c>
    </row>
    <row r="15039" spans="1:3" x14ac:dyDescent="0.25">
      <c r="A15039" s="8" t="str">
        <f>"Proceedings of the 18th International Conference on Hybrid Systems: Computation and Control, HSCC 2015"</f>
        <v>Proceedings of the 18th International Conference on Hybrid Systems: Computation and Control, HSCC 2015</v>
      </c>
      <c r="B15039" s="8" t="str">
        <f>"9781450334334"</f>
        <v>9781450334334</v>
      </c>
      <c r="C15039" s="8" t="s">
        <v>1235</v>
      </c>
    </row>
    <row r="15040" spans="1:3" x14ac:dyDescent="0.25">
      <c r="A15040" s="8" t="str">
        <f>"Proceedings of the 18th International Conference on Surface Modification Technologies"</f>
        <v>Proceedings of the 18th International Conference on Surface Modification Technologies</v>
      </c>
      <c r="B15040" s="8" t="str">
        <f>"-"</f>
        <v>-</v>
      </c>
      <c r="C15040" s="8" t="s">
        <v>65</v>
      </c>
    </row>
    <row r="15041" spans="1:3" x14ac:dyDescent="0.25">
      <c r="A15041" s="8" t="str">
        <f>"Proceedings of the 18th International Conference Radioelektronika 2008"</f>
        <v>Proceedings of the 18th International Conference Radioelektronika 2008</v>
      </c>
      <c r="B15041" s="8" t="str">
        <f>"9781424420889"</f>
        <v>9781424420889</v>
      </c>
      <c r="C15041" s="8" t="s">
        <v>9</v>
      </c>
    </row>
    <row r="15042" spans="1:3" x14ac:dyDescent="0.25">
      <c r="A15042" s="8" t="str">
        <f>"Proceedings of the 18th International Meshing Roundtable, IMR 2009"</f>
        <v>Proceedings of the 18th International Meshing Roundtable, IMR 2009</v>
      </c>
      <c r="B15042" s="8" t="str">
        <f>"9783642043185"</f>
        <v>9783642043185</v>
      </c>
      <c r="C15042" s="8" t="s">
        <v>1639</v>
      </c>
    </row>
    <row r="15043" spans="1:3" x14ac:dyDescent="0.25">
      <c r="A15043" s="8" t="str">
        <f>"Proceedings of the 18th International Symposium on Advancement of Construction Management and Real Estate"</f>
        <v>Proceedings of the 18th International Symposium on Advancement of Construction Management and Real Estate</v>
      </c>
      <c r="B15043" s="8" t="str">
        <f>"9783642449154"</f>
        <v>9783642449154</v>
      </c>
      <c r="C15043" s="8" t="s">
        <v>582</v>
      </c>
    </row>
    <row r="15044" spans="1:3" x14ac:dyDescent="0.25">
      <c r="A15044" s="8" t="str">
        <f>"Proceedings of the 18th International Technical Meeting of the Satellite Division of The Institute of Navigation, ION GNSS 2005"</f>
        <v>Proceedings of the 18th International Technical Meeting of the Satellite Division of The Institute of Navigation, ION GNSS 2005</v>
      </c>
      <c r="B15044" s="8" t="str">
        <f>"-"</f>
        <v>-</v>
      </c>
      <c r="C15044" s="8" t="s">
        <v>969</v>
      </c>
    </row>
    <row r="15045" spans="1:3" x14ac:dyDescent="0.25">
      <c r="A15045" s="8" t="str">
        <f>"Proceedings of the 18th International Zurich Symposium on Electromagnetic Compatibility, EMC"</f>
        <v>Proceedings of the 18th International Zurich Symposium on Electromagnetic Compatibility, EMC</v>
      </c>
      <c r="B15045" s="8" t="str">
        <f>"9783952328606"</f>
        <v>9783952328606</v>
      </c>
      <c r="C15045" s="8" t="s">
        <v>9</v>
      </c>
    </row>
    <row r="15046" spans="1:3" x14ac:dyDescent="0.25">
      <c r="A15046" s="8" t="str">
        <f>"Proceedings of the 18th Workshop on General Relativity and Gravitation in Japan, JGRG 2008"</f>
        <v>Proceedings of the 18th Workshop on General Relativity and Gravitation in Japan, JGRG 2008</v>
      </c>
      <c r="B15046" s="8" t="str">
        <f>"-"</f>
        <v>-</v>
      </c>
      <c r="C15046" s="8" t="s">
        <v>133</v>
      </c>
    </row>
    <row r="15047" spans="1:3" x14ac:dyDescent="0.25">
      <c r="A15047" s="8" t="str">
        <f>"Proceedings of the 1990 ACM Conference on LISP and Functional Programming, LFP 1990"</f>
        <v>Proceedings of the 1990 ACM Conference on LISP and Functional Programming, LFP 1990</v>
      </c>
      <c r="B15047" s="8" t="str">
        <f>"9780897913683"</f>
        <v>9780897913683</v>
      </c>
      <c r="C15047" s="8" t="s">
        <v>1235</v>
      </c>
    </row>
    <row r="15048" spans="1:3" x14ac:dyDescent="0.25">
      <c r="A15048" s="8" t="str">
        <f>"Proceedings of the 1990 Symposium on Interactive 3D Graphics, I3D 1990"</f>
        <v>Proceedings of the 1990 Symposium on Interactive 3D Graphics, I3D 1990</v>
      </c>
      <c r="B15048" s="8" t="str">
        <f>"9780897913515"</f>
        <v>9780897913515</v>
      </c>
      <c r="C15048" s="8" t="s">
        <v>1235</v>
      </c>
    </row>
    <row r="15049" spans="1:3" x14ac:dyDescent="0.25">
      <c r="A15049" s="8" t="str">
        <f>"Proceedings of the 1992 Conference on Lisp Users and Vendors, LUV 1992"</f>
        <v>Proceedings of the 1992 Conference on Lisp Users and Vendors, LUV 1992</v>
      </c>
      <c r="B15049" s="8" t="str">
        <f>"-"</f>
        <v>-</v>
      </c>
      <c r="C15049" s="8" t="s">
        <v>21</v>
      </c>
    </row>
    <row r="15050" spans="1:3" x14ac:dyDescent="0.25">
      <c r="A15050" s="8" t="str">
        <f>"Proceedings of the 1999 Congress on Evolutionary Computation, CEC 1999"</f>
        <v>Proceedings of the 1999 Congress on Evolutionary Computation, CEC 1999</v>
      </c>
      <c r="B15050" s="8" t="str">
        <f>"9780780355361"</f>
        <v>9780780355361</v>
      </c>
      <c r="C15050" s="8" t="s">
        <v>9</v>
      </c>
    </row>
    <row r="15051" spans="1:3" x14ac:dyDescent="0.25">
      <c r="A15051" s="8" t="str">
        <f>"Proceedings of the 19th Amsterdam Colloquium, AC 2013"</f>
        <v>Proceedings of the 19th Amsterdam Colloquium, AC 2013</v>
      </c>
      <c r="B15051" s="8" t="str">
        <f>"-"</f>
        <v>-</v>
      </c>
      <c r="C15051" s="8" t="s">
        <v>2154</v>
      </c>
    </row>
    <row r="15052" spans="1:3" x14ac:dyDescent="0.25">
      <c r="A15052" s="8" t="str">
        <f>"Proceedings of the 19th Analysis and Computation Specialty Conference"</f>
        <v>Proceedings of the 19th Analysis and Computation Specialty Conference</v>
      </c>
      <c r="B15052" s="8" t="str">
        <f>"9780784411315"</f>
        <v>9780784411315</v>
      </c>
      <c r="C15052" s="8" t="s">
        <v>111</v>
      </c>
    </row>
    <row r="15053" spans="1:3" x14ac:dyDescent="0.25">
      <c r="A15053" s="8" t="str">
        <f>"Proceedings of the 19th Annual Conference on Recent Advances in Flame Retardancy of Polymeric Materials"</f>
        <v>Proceedings of the 19th Annual Conference on Recent Advances in Flame Retardancy of Polymeric Materials</v>
      </c>
      <c r="B15053" s="8" t="str">
        <f>"9781615674329"</f>
        <v>9781615674329</v>
      </c>
      <c r="C15053" s="8" t="s">
        <v>1390</v>
      </c>
    </row>
    <row r="15054" spans="1:3" x14ac:dyDescent="0.25">
      <c r="A15054" s="8" t="str">
        <f>"Proceedings of the 19th Conference on Computational Linguistics and Speech Processing, ROCLING 2007"</f>
        <v>Proceedings of the 19th Conference on Computational Linguistics and Speech Processing, ROCLING 2007</v>
      </c>
      <c r="B15054" s="8" t="str">
        <f>"-"</f>
        <v>-</v>
      </c>
      <c r="C15054" s="8" t="s">
        <v>2168</v>
      </c>
    </row>
    <row r="15055" spans="1:3" x14ac:dyDescent="0.25">
      <c r="A15055" s="8" t="str">
        <f>"Proceedings of the 19th EGS Users' Meeting in Japan"</f>
        <v>Proceedings of the 19th EGS Users' Meeting in Japan</v>
      </c>
      <c r="B15055" s="8" t="str">
        <f>"-"</f>
        <v>-</v>
      </c>
      <c r="C15055" s="8" t="s">
        <v>2140</v>
      </c>
    </row>
    <row r="15056" spans="1:3" x14ac:dyDescent="0.25">
      <c r="A15056" s="8" t="str">
        <f>"Proceedings of the 19th International Conference - Mixed Design of Integrated Circuits and Systems, MIXDES 2012"</f>
        <v>Proceedings of the 19th International Conference - Mixed Design of Integrated Circuits and Systems, MIXDES 2012</v>
      </c>
      <c r="B15056" s="8" t="str">
        <f>"9788362954438"</f>
        <v>9788362954438</v>
      </c>
      <c r="C15056" s="8" t="s">
        <v>9</v>
      </c>
    </row>
    <row r="15057" spans="1:3" x14ac:dyDescent="0.25">
      <c r="A15057" s="8" t="str">
        <f>"Proceedings of the 19th International Conference of Hong Kong Society for Transportation Studies, HKSTS 2014 - Transportation and Infrastructure"</f>
        <v>Proceedings of the 19th International Conference of Hong Kong Society for Transportation Studies, HKSTS 2014 - Transportation and Infrastructure</v>
      </c>
      <c r="B15057" s="8" t="str">
        <f>"9789881581433"</f>
        <v>9789881581433</v>
      </c>
      <c r="C15057" s="8" t="s">
        <v>2138</v>
      </c>
    </row>
    <row r="15058" spans="1:3" x14ac:dyDescent="0.25">
      <c r="A15058" s="8" t="str">
        <f>"Proceedings of the 19th International Conference of the Association Francophone d'Interaction Homme-Machine, IHM '07"</f>
        <v>Proceedings of the 19th International Conference of the Association Francophone d'Interaction Homme-Machine, IHM '07</v>
      </c>
      <c r="B15058" s="8" t="str">
        <f>"9781595937919"</f>
        <v>9781595937919</v>
      </c>
      <c r="C15058" s="8" t="s">
        <v>21</v>
      </c>
    </row>
    <row r="15059" spans="1:3" x14ac:dyDescent="0.25">
      <c r="A15059" s="8" t="str">
        <f>"Proceedings of the 19th International Conference on Computers in Education, ICCE 2011"</f>
        <v>Proceedings of the 19th International Conference on Computers in Education, ICCE 2011</v>
      </c>
      <c r="B15059" s="8" t="str">
        <f>"9786161201883"</f>
        <v>9786161201883</v>
      </c>
      <c r="C15059" s="8" t="s">
        <v>2169</v>
      </c>
    </row>
    <row r="15060" spans="1:3" x14ac:dyDescent="0.25">
      <c r="A15060" s="8" t="str">
        <f>"Proceedings of the 19th International Conference on Surface Modification Technologies"</f>
        <v>Proceedings of the 19th International Conference on Surface Modification Technologies</v>
      </c>
      <c r="B15060" s="8" t="str">
        <f>"-"</f>
        <v>-</v>
      </c>
      <c r="C15060" s="8" t="s">
        <v>65</v>
      </c>
    </row>
    <row r="15061" spans="1:3" x14ac:dyDescent="0.25">
      <c r="A15061" s="8" t="str">
        <f>"Proceedings of the 19th International Conference on World Wide Web, WWW '10"</f>
        <v>Proceedings of the 19th International Conference on World Wide Web, WWW '10</v>
      </c>
      <c r="B15061" s="8" t="str">
        <f>"9781605587998"</f>
        <v>9781605587998</v>
      </c>
      <c r="C15061" s="8" t="s">
        <v>21</v>
      </c>
    </row>
    <row r="15062" spans="1:3" x14ac:dyDescent="0.25">
      <c r="A15062" s="8" t="str">
        <f>"Proceedings of the 19th International Meshing Roundtable, IMR 2010"</f>
        <v>Proceedings of the 19th International Meshing Roundtable, IMR 2010</v>
      </c>
      <c r="B15062" s="8" t="str">
        <f>"9783642154133"</f>
        <v>9783642154133</v>
      </c>
      <c r="C15062" s="8" t="s">
        <v>1639</v>
      </c>
    </row>
    <row r="15063" spans="1:3" x14ac:dyDescent="0.25">
      <c r="A15063" s="8" t="str">
        <f>"Proceedings of the 19th International Symposium on Space Terahertz Technology, ISSTT 2008"</f>
        <v>Proceedings of the 19th International Symposium on Space Terahertz Technology, ISSTT 2008</v>
      </c>
      <c r="B15063" s="8" t="str">
        <f>"-"</f>
        <v>-</v>
      </c>
      <c r="C15063" s="8" t="s">
        <v>1303</v>
      </c>
    </row>
    <row r="15064" spans="1:3" x14ac:dyDescent="0.25">
      <c r="A15064" s="8" t="str">
        <f>"Proceedings of the 19th International Workshop on Active-Matrix Flatpanel Displays and Devices - TFT Technologies and FPD Materials, AM-FPD 2012"</f>
        <v>Proceedings of the 19th International Workshop on Active-Matrix Flatpanel Displays and Devices - TFT Technologies and FPD Materials, AM-FPD 2012</v>
      </c>
      <c r="B15064" s="8" t="str">
        <f>"9781467303996"</f>
        <v>9781467303996</v>
      </c>
      <c r="C15064" s="8" t="s">
        <v>9</v>
      </c>
    </row>
    <row r="15065" spans="1:3" x14ac:dyDescent="0.25">
      <c r="A15065" s="8" t="str">
        <f>"Proceedings of the 19th Symposium on Interactive 3D Graphics and Games, i3D 2015"</f>
        <v>Proceedings of the 19th Symposium on Interactive 3D Graphics and Games, i3D 2015</v>
      </c>
      <c r="B15065" s="8" t="str">
        <f>"9781450333924"</f>
        <v>9781450333924</v>
      </c>
      <c r="C15065" s="8" t="s">
        <v>1235</v>
      </c>
    </row>
    <row r="15066" spans="1:3" x14ac:dyDescent="0.25">
      <c r="A15066" s="8" t="str">
        <f>"Proceedings of the 19th Workshop on General Relativity and Gravitation in Japan, JGRG 2009"</f>
        <v>Proceedings of the 19th Workshop on General Relativity and Gravitation in Japan, JGRG 2009</v>
      </c>
      <c r="B15066" s="8" t="str">
        <f>"-"</f>
        <v>-</v>
      </c>
      <c r="C15066" s="8" t="s">
        <v>133</v>
      </c>
    </row>
    <row r="15067" spans="1:3" x14ac:dyDescent="0.25">
      <c r="A15067" s="8" t="str">
        <f>"Proceedings of the 1st ACM Asia-Pacific Workshop on Systems, APSys '10, Co-located with SIGCOMM 2010"</f>
        <v>Proceedings of the 1st ACM Asia-Pacific Workshop on Systems, APSys '10, Co-located with SIGCOMM 2010</v>
      </c>
      <c r="B15067" s="8" t="str">
        <f>"9781450301954"</f>
        <v>9781450301954</v>
      </c>
      <c r="C15067" s="8" t="s">
        <v>21</v>
      </c>
    </row>
    <row r="15068" spans="1:3" x14ac:dyDescent="0.25">
      <c r="A15068" s="8" t="str">
        <f>"Proceedings of the 1st ACM International Conference on Multimedia Retrieval, ICMR'11"</f>
        <v>Proceedings of the 1st ACM International Conference on Multimedia Retrieval, ICMR'11</v>
      </c>
      <c r="B15068" s="8" t="str">
        <f>"-"</f>
        <v>-</v>
      </c>
      <c r="C15068" s="8" t="s">
        <v>21</v>
      </c>
    </row>
    <row r="15069" spans="1:3" x14ac:dyDescent="0.25">
      <c r="A15069" s="8" t="str">
        <f>"Proceedings of the 1st ACM International Workshop on Hot Topics of Planet-Scale Mobility Measurements, HotPlanet '09"</f>
        <v>Proceedings of the 1st ACM International Workshop on Hot Topics of Planet-Scale Mobility Measurements, HotPlanet '09</v>
      </c>
      <c r="B15069" s="8" t="str">
        <f>"9781605586892"</f>
        <v>9781605586892</v>
      </c>
      <c r="C15069" s="8" t="s">
        <v>21</v>
      </c>
    </row>
    <row r="15070" spans="1:3" x14ac:dyDescent="0.25">
      <c r="A15070" s="8" t="str">
        <f>"Proceedings of the 1st ACM International Workshop on Hot Topics on Interdisciplinary Social Networks Research, HotSocial 2012"</f>
        <v>Proceedings of the 1st ACM International Workshop on Hot Topics on Interdisciplinary Social Networks Research, HotSocial 2012</v>
      </c>
      <c r="B15070" s="8" t="str">
        <f>"9781450315494"</f>
        <v>9781450315494</v>
      </c>
      <c r="C15070" s="8" t="s">
        <v>21</v>
      </c>
    </row>
    <row r="15071" spans="1:3" x14ac:dyDescent="0.25">
      <c r="A15071" s="8" t="str">
        <f>"Proceedings of the 1st ACM International Workshop on Wireless Sensor Networks and Applications, WSNA '02"</f>
        <v>Proceedings of the 1st ACM International Workshop on Wireless Sensor Networks and Applications, WSNA '02</v>
      </c>
      <c r="B15071" s="8" t="str">
        <f>"9781581135893"</f>
        <v>9781581135893</v>
      </c>
      <c r="C15071" s="8" t="s">
        <v>21</v>
      </c>
    </row>
    <row r="15072" spans="1:3" x14ac:dyDescent="0.25">
      <c r="A15072" s="8" t="str">
        <f>"Proceedings of the 1st ACM SIGCOMM Workshop on Green Networking, Green Networking '10, Co-located with SIGCOMM 2010"</f>
        <v>Proceedings of the 1st ACM SIGCOMM Workshop on Green Networking, Green Networking '10, Co-located with SIGCOMM 2010</v>
      </c>
      <c r="B15072" s="8" t="str">
        <f>"9781450301961"</f>
        <v>9781450301961</v>
      </c>
      <c r="C15072" s="8" t="s">
        <v>21</v>
      </c>
    </row>
    <row r="15073" spans="1:3" x14ac:dyDescent="0.25">
      <c r="A15073" s="8" t="str">
        <f>"Proceedings of the 1st ACM SIGCOMM Workshop on Measurements Up the Stack, W-MUST'11"</f>
        <v>Proceedings of the 1st ACM SIGCOMM Workshop on Measurements Up the Stack, W-MUST'11</v>
      </c>
      <c r="B15073" s="8" t="str">
        <f>"9781450308007"</f>
        <v>9781450308007</v>
      </c>
      <c r="C15073" s="8" t="s">
        <v>21</v>
      </c>
    </row>
    <row r="15074" spans="1:3" x14ac:dyDescent="0.25">
      <c r="A15074" s="8" t="str">
        <f>"Proceedings of the 1st ACM SIGKDD Workshop on Knowledge Discovery from Uncertain Data, U'09 in Conjunction with KDD'09"</f>
        <v>Proceedings of the 1st ACM SIGKDD Workshop on Knowledge Discovery from Uncertain Data, U'09 in Conjunction with KDD'09</v>
      </c>
      <c r="B15074" s="8" t="str">
        <f>"9781605586755"</f>
        <v>9781605586755</v>
      </c>
      <c r="C15074" s="8" t="s">
        <v>21</v>
      </c>
    </row>
    <row r="15075" spans="1:3" x14ac:dyDescent="0.25">
      <c r="A15075" s="8" t="str">
        <f>"Proceedings of the 1st ACM SIGPATIAL PhD Workshop 2014, SIGSPATIAL PhD 2014 - In Conjunction with 22nd ACM SIGSPATIAL International Conference on Advances in Geographic Information Systems, ACM SIGSPATIAL 2014"</f>
        <v>Proceedings of the 1st ACM SIGPATIAL PhD Workshop 2014, SIGSPATIAL PhD 2014 - In Conjunction with 22nd ACM SIGSPATIAL International Conference on Advances in Geographic Information Systems, ACM SIGSPATIAL 2014</v>
      </c>
      <c r="B15075" s="8" t="str">
        <f>"9781450331586"</f>
        <v>9781450331586</v>
      </c>
      <c r="C15075" s="8" t="s">
        <v>1235</v>
      </c>
    </row>
    <row r="15076" spans="1:3" x14ac:dyDescent="0.25">
      <c r="A15076" s="8" t="str">
        <f>"Proceedings of the 1st ACM SIGSPATIAL International Workshop on Analytics for Big Geospatial Data, BigSpatial 2012"</f>
        <v>Proceedings of the 1st ACM SIGSPATIAL International Workshop on Analytics for Big Geospatial Data, BigSpatial 2012</v>
      </c>
      <c r="B15076" s="8" t="str">
        <f>"9781450316927"</f>
        <v>9781450316927</v>
      </c>
      <c r="C15076" s="8" t="s">
        <v>21</v>
      </c>
    </row>
    <row r="15077" spans="1:3" x14ac:dyDescent="0.25">
      <c r="A15077" s="8" t="str">
        <f>"Proceedings of the 1st ACM Symposium on Cloud Computing, SoCC '10"</f>
        <v>Proceedings of the 1st ACM Symposium on Cloud Computing, SoCC '10</v>
      </c>
      <c r="B15077" s="8" t="str">
        <f>"9781450300346"</f>
        <v>9781450300346</v>
      </c>
      <c r="C15077" s="8" t="s">
        <v>21</v>
      </c>
    </row>
    <row r="15078" spans="1:3" x14ac:dyDescent="0.25">
      <c r="A15078" s="8" t="str">
        <f>"Proceedings of the 1st ACM Symposium on Computing for Development, DEV 2010"</f>
        <v>Proceedings of the 1st ACM Symposium on Computing for Development, DEV 2010</v>
      </c>
      <c r="B15078" s="8" t="str">
        <f>"9781450304733"</f>
        <v>9781450304733</v>
      </c>
      <c r="C15078" s="8" t="s">
        <v>21</v>
      </c>
    </row>
    <row r="15079" spans="1:3" x14ac:dyDescent="0.25">
      <c r="A15079" s="8" t="str">
        <f>"Proceedings of the 1st ACM Workshop on Data Grids for eScience, DaGreS '09, Co-located with the 2009 ACM International Conference on Computing Frontiers, CF'09"</f>
        <v>Proceedings of the 1st ACM Workshop on Data Grids for eScience, DaGreS '09, Co-located with the 2009 ACM International Conference on Computing Frontiers, CF'09</v>
      </c>
      <c r="B15079" s="8" t="str">
        <f>"9781605585550"</f>
        <v>9781605585550</v>
      </c>
      <c r="C15079" s="8" t="s">
        <v>21</v>
      </c>
    </row>
    <row r="15080" spans="1:3" x14ac:dyDescent="0.25">
      <c r="A15080" s="8" t="str">
        <f>"Proceedings of the 1st ACM Workshop on Middleware for Context-Aware Applications in the IoT, M4IOT 2014 - In conjunction with ACM/IFIP/USENIX ACM International Middleware Conference"</f>
        <v>Proceedings of the 1st ACM Workshop on Middleware for Context-Aware Applications in the IoT, M4IOT 2014 - In conjunction with ACM/IFIP/USENIX ACM International Middleware Conference</v>
      </c>
      <c r="B15080" s="8" t="str">
        <f>"9781450332347"</f>
        <v>9781450332347</v>
      </c>
      <c r="C15080" s="8" t="s">
        <v>1235</v>
      </c>
    </row>
    <row r="15081" spans="1:3" x14ac:dyDescent="0.25">
      <c r="A15081" s="8" t="str">
        <f>"Proceedings of the 1st ACM Workshop on Mobile Cloud Computing and Services: Social Networks and Beyond, MCS'10, Co-located with ACM MobiSys 2010"</f>
        <v>Proceedings of the 1st ACM Workshop on Mobile Cloud Computing and Services: Social Networks and Beyond, MCS'10, Co-located with ACM MobiSys 2010</v>
      </c>
      <c r="B15081" s="8" t="str">
        <f>"9781450301558"</f>
        <v>9781450301558</v>
      </c>
      <c r="C15081" s="8" t="s">
        <v>21</v>
      </c>
    </row>
    <row r="15082" spans="1:3" x14ac:dyDescent="0.25">
      <c r="A15082" s="8" t="str">
        <f>"Proceedings of the 1st ACM Workshop on Mobile Internet Through Cellular Networks, MICNET'09, Co-located with the Mobile Computing and Networking Conference, MobiCom'09"</f>
        <v>Proceedings of the 1st ACM Workshop on Mobile Internet Through Cellular Networks, MICNET'09, Co-located with the Mobile Computing and Networking Conference, MobiCom'09</v>
      </c>
      <c r="B15082" s="8" t="str">
        <f>"9781605587530"</f>
        <v>9781605587530</v>
      </c>
      <c r="C15082" s="8" t="s">
        <v>21</v>
      </c>
    </row>
    <row r="15083" spans="1:3" x14ac:dyDescent="0.25">
      <c r="A15083" s="8" t="str">
        <f>"Proceedings of the 1st ACM Workshop on Security of Ad Hoc and Security of Ad Hoc and Sensor Networks (in Association with 10th ACM Conference on Computer and Communications Security)"</f>
        <v>Proceedings of the 1st ACM Workshop on Security of Ad Hoc and Security of Ad Hoc and Sensor Networks (in Association with 10th ACM Conference on Computer and Communications Security)</v>
      </c>
      <c r="B15083" s="8" t="str">
        <f>"9781581137835"</f>
        <v>9781581137835</v>
      </c>
      <c r="C15083" s="8" t="s">
        <v>21</v>
      </c>
    </row>
    <row r="15084" spans="1:3" x14ac:dyDescent="0.25">
      <c r="A15084" s="8" t="str">
        <f>"Proceedings of the 1st ACM/IEEE International Conference on Cyber-Physical Systems, ICCPS '10"</f>
        <v>Proceedings of the 1st ACM/IEEE International Conference on Cyber-Physical Systems, ICCPS '10</v>
      </c>
      <c r="B15084" s="8" t="str">
        <f>"9781450300667"</f>
        <v>9781450300667</v>
      </c>
      <c r="C15084" s="8" t="s">
        <v>21</v>
      </c>
    </row>
    <row r="15085" spans="1:3" x14ac:dyDescent="0.25">
      <c r="A15085" s="8" t="str">
        <f>"Proceedings of the 1st Agile Requirements Engineering Workshop, AREW'11 - In Conjunction with ECOOP'11"</f>
        <v>Proceedings of the 1st Agile Requirements Engineering Workshop, AREW'11 - In Conjunction with ECOOP'11</v>
      </c>
      <c r="B15085" s="8" t="str">
        <f>"9781450308908"</f>
        <v>9781450308908</v>
      </c>
      <c r="C15085" s="8" t="s">
        <v>21</v>
      </c>
    </row>
    <row r="15086" spans="1:3" x14ac:dyDescent="0.25">
      <c r="A15086" s="8" t="str">
        <f>"Proceedings of the 1st Amrita ACM-W Celebration of Women in Computing in India, A2CWiC'10"</f>
        <v>Proceedings of the 1st Amrita ACM-W Celebration of Women in Computing in India, A2CWiC'10</v>
      </c>
      <c r="B15086" s="8" t="str">
        <f>"9781450301947"</f>
        <v>9781450301947</v>
      </c>
      <c r="C15086" s="8" t="s">
        <v>21</v>
      </c>
    </row>
    <row r="15087" spans="1:3" x14ac:dyDescent="0.25">
      <c r="A15087" s="8" t="str">
        <f>"Proceedings of the 1st Annual 2007 IEEE Systems Conference"</f>
        <v>Proceedings of the 1st Annual 2007 IEEE Systems Conference</v>
      </c>
      <c r="B15087" s="8" t="str">
        <f>"9781424410415"</f>
        <v>9781424410415</v>
      </c>
      <c r="C15087" s="8" t="s">
        <v>9</v>
      </c>
    </row>
    <row r="15088" spans="1:3" x14ac:dyDescent="0.25">
      <c r="A15088" s="8" t="str">
        <f>"Proceedings of the 1st Annual ACM Conference on Assistive Technologies, Assets 1994"</f>
        <v>Proceedings of the 1st Annual ACM Conference on Assistive Technologies, Assets 1994</v>
      </c>
      <c r="B15088" s="8" t="str">
        <f>"9780897916493"</f>
        <v>9780897916493</v>
      </c>
      <c r="C15088" s="8" t="s">
        <v>21</v>
      </c>
    </row>
    <row r="15089" spans="1:3" x14ac:dyDescent="0.25">
      <c r="A15089" s="8" t="str">
        <f>"Proceedings of the 1st Artificial Intelligence and Interactive Digital Entertainment Conference, AIIDE 2005"</f>
        <v>Proceedings of the 1st Artificial Intelligence and Interactive Digital Entertainment Conference, AIIDE 2005</v>
      </c>
      <c r="B15089" s="8" t="str">
        <f>"9781577352358"</f>
        <v>9781577352358</v>
      </c>
      <c r="C15089" s="8" t="s">
        <v>1257</v>
      </c>
    </row>
    <row r="15090" spans="1:3" x14ac:dyDescent="0.25">
      <c r="A15090" s="8" t="str">
        <f>"Proceedings of the 1st Asia-Pacific Symposium on Internetware, Internetware 2009"</f>
        <v>Proceedings of the 1st Asia-Pacific Symposium on Internetware, Internetware 2009</v>
      </c>
      <c r="B15090" s="8" t="str">
        <f>"9781605588728"</f>
        <v>9781605588728</v>
      </c>
      <c r="C15090" s="8" t="s">
        <v>9</v>
      </c>
    </row>
    <row r="15091" spans="1:3" x14ac:dyDescent="0.25">
      <c r="A15091" s="8" t="str">
        <f>"Proceedings of the 1st Canada-US Rock Mechanics Symposium - Rock Mechanics Meeting Society's Challenges and Demands"</f>
        <v>Proceedings of the 1st Canada-US Rock Mechanics Symposium - Rock Mechanics Meeting Society's Challenges and Demands</v>
      </c>
      <c r="B15091" s="8" t="str">
        <f>"9780415444019"</f>
        <v>9780415444019</v>
      </c>
      <c r="C15091" s="8" t="s">
        <v>1520</v>
      </c>
    </row>
    <row r="15092" spans="1:3" x14ac:dyDescent="0.25">
      <c r="A15092" s="8" t="str">
        <f>"Proceedings of the 1st European Fuel Cell Technology and Applications Conference 2005 - Book of Abstracts"</f>
        <v>Proceedings of the 1st European Fuel Cell Technology and Applications Conference 2005 - Book of Abstracts</v>
      </c>
      <c r="B15092" s="8" t="str">
        <f>"-"</f>
        <v>-</v>
      </c>
      <c r="C15092" s="8" t="s">
        <v>73</v>
      </c>
    </row>
    <row r="15093" spans="1:3" x14ac:dyDescent="0.25">
      <c r="A15093" s="8" t="str">
        <f>"Proceedings of the 1st European Microwave Integrated Circuits Conference, EuMIC 2006"</f>
        <v>Proceedings of the 1st European Microwave Integrated Circuits Conference, EuMIC 2006</v>
      </c>
      <c r="B15093" s="8" t="str">
        <f>"9782960055184"</f>
        <v>9782960055184</v>
      </c>
      <c r="C15093" s="8" t="s">
        <v>9</v>
      </c>
    </row>
    <row r="15094" spans="1:3" x14ac:dyDescent="0.25">
      <c r="A15094" s="8" t="str">
        <f>"Proceedings of the 1st European Wireless Technology Conference, EuWiT 2008"</f>
        <v>Proceedings of the 1st European Wireless Technology Conference, EuWiT 2008</v>
      </c>
      <c r="B15094" s="8" t="str">
        <f>"9782874870088"</f>
        <v>9782874870088</v>
      </c>
      <c r="C15094" s="8" t="s">
        <v>9</v>
      </c>
    </row>
    <row r="15095" spans="1:3" x14ac:dyDescent="0.25">
      <c r="A15095" s="8" t="str">
        <f>"Proceedings of the 1st European Workshop on System Security, EUROSEC08"</f>
        <v>Proceedings of the 1st European Workshop on System Security, EUROSEC08</v>
      </c>
      <c r="B15095" s="8" t="str">
        <f>"9781605581194"</f>
        <v>9781605581194</v>
      </c>
      <c r="C15095" s="8" t="s">
        <v>21</v>
      </c>
    </row>
    <row r="15096" spans="1:3" x14ac:dyDescent="0.25">
      <c r="A15096" s="8" t="str">
        <f>"Proceedings of the 1st European Workshop on System Security, EUROSEC'08"</f>
        <v>Proceedings of the 1st European Workshop on System Security, EUROSEC'08</v>
      </c>
      <c r="B15096" s="8" t="str">
        <f>"9781605581194"</f>
        <v>9781605581194</v>
      </c>
      <c r="C15096" s="8" t="s">
        <v>21</v>
      </c>
    </row>
    <row r="15097" spans="1:3" x14ac:dyDescent="0.25">
      <c r="A15097" s="8" t="str">
        <f>"Proceedings of the 1st IEEE International Conference on Pervasive Computing and Communications, PerCom 2003"</f>
        <v>Proceedings of the 1st IEEE International Conference on Pervasive Computing and Communications, PerCom 2003</v>
      </c>
      <c r="B15097" s="8" t="str">
        <f>"-"</f>
        <v>-</v>
      </c>
      <c r="C15097" s="8" t="s">
        <v>9</v>
      </c>
    </row>
    <row r="15098" spans="1:3" x14ac:dyDescent="0.25">
      <c r="A15098" s="8" t="str">
        <f>"Proceedings of the 1st IEEE International Conference on Wireless Broadband and Ultra Wideband Communications, AusWireless 2006"</f>
        <v>Proceedings of the 1st IEEE International Conference on Wireless Broadband and Ultra Wideband Communications, AusWireless 2006</v>
      </c>
      <c r="B15098" s="8" t="str">
        <f>"9780977520008"</f>
        <v>9780977520008</v>
      </c>
      <c r="C15098" s="8" t="s">
        <v>1475</v>
      </c>
    </row>
    <row r="15099" spans="1:3" x14ac:dyDescent="0.25">
      <c r="A15099" s="8" t="str">
        <f>"Proceedings of the 1st IEEE International Workshop on Sensor Network Protocols and Applications, SNPA 2003"</f>
        <v>Proceedings of the 1st IEEE International Workshop on Sensor Network Protocols and Applications, SNPA 2003</v>
      </c>
      <c r="B15099" s="8" t="str">
        <f>"9780780378797"</f>
        <v>9780780378797</v>
      </c>
      <c r="C15099" s="8" t="s">
        <v>105</v>
      </c>
    </row>
    <row r="15100" spans="1:3" x14ac:dyDescent="0.25">
      <c r="A15100" s="8" t="str">
        <f>"Proceedings of the 1st IEEE Symposium on Combinations of Evolutionary Computation and Neural Networks"</f>
        <v>Proceedings of the 1st IEEE Symposium on Combinations of Evolutionary Computation and Neural Networks</v>
      </c>
      <c r="B15100" s="8" t="str">
        <f>"9780780365728"</f>
        <v>9780780365728</v>
      </c>
      <c r="C15100" s="8" t="s">
        <v>105</v>
      </c>
    </row>
    <row r="15101" spans="1:3" x14ac:dyDescent="0.25">
      <c r="A15101" s="8" t="str">
        <f>"Proceedings of the 1st Int. Joint Workshop on Technologies for Collaborative Business Processes and Management of Enterprise Information Systems TCoB and MEIS 2007, In Conjunction with ICEIS 2007"</f>
        <v>Proceedings of the 1st Int. Joint Workshop on Technologies for Collaborative Business Processes and Management of Enterprise Information Systems TCoB and MEIS 2007, In Conjunction with ICEIS 2007</v>
      </c>
      <c r="B15101" s="8" t="str">
        <f>"9789728865993"</f>
        <v>9789728865993</v>
      </c>
      <c r="C15101" s="8" t="s">
        <v>1553</v>
      </c>
    </row>
    <row r="15102" spans="1:3" x14ac:dyDescent="0.25">
      <c r="A15102" s="8" t="str">
        <f>"Proceedings of the 1st International ACM Conference on Multimedia Information Retrieval, MIR2008, Co-located with the 2008 ACM International Conference on Multimedia, MM'08"</f>
        <v>Proceedings of the 1st International ACM Conference on Multimedia Information Retrieval, MIR2008, Co-located with the 2008 ACM International Conference on Multimedia, MM'08</v>
      </c>
      <c r="B15102" s="8" t="str">
        <f>"9781605583129"</f>
        <v>9781605583129</v>
      </c>
      <c r="C15102" s="8" t="s">
        <v>21</v>
      </c>
    </row>
    <row r="15103" spans="1:3" x14ac:dyDescent="0.25">
      <c r="A15103" s="8" t="str">
        <f>"Proceedings of the 1st International Computing Education Research Workshop, ICER 2005"</f>
        <v>Proceedings of the 1st International Computing Education Research Workshop, ICER 2005</v>
      </c>
      <c r="B15103" s="8" t="str">
        <f>"9781595930439"</f>
        <v>9781595930439</v>
      </c>
      <c r="C15103" s="8" t="s">
        <v>21</v>
      </c>
    </row>
    <row r="15104" spans="1:3" x14ac:dyDescent="0.25">
      <c r="A15104" s="8" t="str">
        <f>"Proceedings of the 1st International Conference on Advances in Computer-Human Interaction, ACHI 2008"</f>
        <v>Proceedings of the 1st International Conference on Advances in Computer-Human Interaction, ACHI 2008</v>
      </c>
      <c r="B15104" s="8" t="str">
        <f>"9780769530864"</f>
        <v>9780769530864</v>
      </c>
      <c r="C15104" s="8" t="s">
        <v>9</v>
      </c>
    </row>
    <row r="15105" spans="1:3" x14ac:dyDescent="0.25">
      <c r="A15105" s="8" t="str">
        <f>"Proceedings of the 1st International Conference on Automotive User Interfaces and Interactive Vehicular Applications, AutomotiveUI 2009"</f>
        <v>Proceedings of the 1st International Conference on Automotive User Interfaces and Interactive Vehicular Applications, AutomotiveUI 2009</v>
      </c>
      <c r="B15105" s="8" t="str">
        <f>"9781605585710"</f>
        <v>9781605585710</v>
      </c>
      <c r="C15105" s="8" t="s">
        <v>21</v>
      </c>
    </row>
    <row r="15106" spans="1:3" x14ac:dyDescent="0.25">
      <c r="A15106" s="8" t="str">
        <f>"Proceedings of the 1st International Conference on Complex Systems Design and Management, CSDM 2010"</f>
        <v>Proceedings of the 1st International Conference on Complex Systems Design and Management, CSDM 2010</v>
      </c>
      <c r="B15106" s="8" t="str">
        <f>"9783642156533"</f>
        <v>9783642156533</v>
      </c>
      <c r="C15106" s="8" t="s">
        <v>1639</v>
      </c>
    </row>
    <row r="15107" spans="1:3" x14ac:dyDescent="0.25">
      <c r="A15107" s="8" t="str">
        <f>"Proceedings of the 1st International Conference on Computer Graphics and Interactive Techniques in Australasia and South East Asia, GRAPHITE '03"</f>
        <v>Proceedings of the 1st International Conference on Computer Graphics and Interactive Techniques in Australasia and South East Asia, GRAPHITE '03</v>
      </c>
      <c r="B15107" s="8" t="str">
        <f>"9781581135787"</f>
        <v>9781581135787</v>
      </c>
      <c r="C15107" s="8" t="s">
        <v>21</v>
      </c>
    </row>
    <row r="15108" spans="1:3" x14ac:dyDescent="0.25">
      <c r="A15108" s="8" t="str">
        <f>"Proceedings of the 1st International Conference on Education and Training in Geo-Engineering Sciences: Soil Mechanics, Geotechnical Engineering, Engineering Geology and Rock Mechanics"</f>
        <v>Proceedings of the 1st International Conference on Education and Training in Geo-Engineering Sciences: Soil Mechanics, Geotechnical Engineering, Engineering Geology and Rock Mechanics</v>
      </c>
      <c r="B15108" s="8" t="str">
        <f>"9780415475938"</f>
        <v>9780415475938</v>
      </c>
      <c r="C15108" s="8" t="s">
        <v>1619</v>
      </c>
    </row>
    <row r="15109" spans="1:3" x14ac:dyDescent="0.25">
      <c r="A15109" s="8" t="str">
        <f>"Proceedings of the 1st International Conference on Engineering Thermophysics (ICET '99)"</f>
        <v>Proceedings of the 1st International Conference on Engineering Thermophysics (ICET '99)</v>
      </c>
      <c r="B15109" s="8" t="str">
        <f>"9787800034466"</f>
        <v>9787800034466</v>
      </c>
      <c r="C15109" s="8" t="s">
        <v>991</v>
      </c>
    </row>
    <row r="15110" spans="1:3" x14ac:dyDescent="0.25">
      <c r="A15110" s="8" t="str">
        <f>"Proceedings of the 1st International Conference on Enterprise Systems, ES 2013"</f>
        <v>Proceedings of the 1st International Conference on Enterprise Systems, ES 2013</v>
      </c>
      <c r="B15110" s="8" t="str">
        <f>"9781467364126"</f>
        <v>9781467364126</v>
      </c>
      <c r="C15110" s="8" t="s">
        <v>9</v>
      </c>
    </row>
    <row r="15111" spans="1:3" x14ac:dyDescent="0.25">
      <c r="A15111" s="8" t="str">
        <f>"Proceedings of the 1st International Conference on Intensive Applications and Services, INTENSIVE 2009"</f>
        <v>Proceedings of the 1st International Conference on Intensive Applications and Services, INTENSIVE 2009</v>
      </c>
      <c r="B15111" s="8" t="str">
        <f>"9780769535852"</f>
        <v>9780769535852</v>
      </c>
      <c r="C15111" s="8" t="s">
        <v>9</v>
      </c>
    </row>
    <row r="15112" spans="1:3" x14ac:dyDescent="0.25">
      <c r="A15112" s="8" t="str">
        <f>"Proceedings of the 1st International Conference on Internet Technologies and Applications, ITA 05"</f>
        <v>Proceedings of the 1st International Conference on Internet Technologies and Applications, ITA 05</v>
      </c>
      <c r="B15112" s="8" t="str">
        <f>"9780946881321"</f>
        <v>9780946881321</v>
      </c>
      <c r="C15112" s="8" t="s">
        <v>2170</v>
      </c>
    </row>
    <row r="15113" spans="1:3" x14ac:dyDescent="0.25">
      <c r="A15113" s="8" t="str">
        <f>"Proceedings of the 1st International Conference on Manufacturing Engineering, Quality and Production Systems, MEQAPS '09"</f>
        <v>Proceedings of the 1st International Conference on Manufacturing Engineering, Quality and Production Systems, MEQAPS '09</v>
      </c>
      <c r="B15113" s="8" t="str">
        <f>"9789604741212"</f>
        <v>9789604741212</v>
      </c>
      <c r="C15113" s="8" t="s">
        <v>553</v>
      </c>
    </row>
    <row r="15114" spans="1:3" x14ac:dyDescent="0.25">
      <c r="A15114" s="8" t="str">
        <f>"Proceedings of the 1st International Conference on Networking and Distributed Computing, ICNDC 2010"</f>
        <v>Proceedings of the 1st International Conference on Networking and Distributed Computing, ICNDC 2010</v>
      </c>
      <c r="B15114" s="8" t="str">
        <f>"9780769542072"</f>
        <v>9780769542072</v>
      </c>
      <c r="C15114" s="8" t="s">
        <v>9</v>
      </c>
    </row>
    <row r="15115" spans="1:3" x14ac:dyDescent="0.25">
      <c r="A15115" s="8" t="str">
        <f>"Proceedings of the 1st International Conference on Principles, Systems and Applications of IP Telecommunications, IPTComm '07"</f>
        <v>Proceedings of the 1st International Conference on Principles, Systems and Applications of IP Telecommunications, IPTComm '07</v>
      </c>
      <c r="B15115" s="8" t="str">
        <f>"9781605580067"</f>
        <v>9781605580067</v>
      </c>
      <c r="C15115" s="8" t="s">
        <v>21</v>
      </c>
    </row>
    <row r="15116" spans="1:3" x14ac:dyDescent="0.25">
      <c r="A15116" s="8" t="str">
        <f>"Proceedings of the 1st International Conference on Recent Advances in Concrete Technology, RAC 2007"</f>
        <v>Proceedings of the 1st International Conference on Recent Advances in Concrete Technology, RAC 2007</v>
      </c>
      <c r="B15116" s="8" t="str">
        <f>"9781932078763"</f>
        <v>9781932078763</v>
      </c>
      <c r="C15116" s="8" t="s">
        <v>757</v>
      </c>
    </row>
    <row r="15117" spans="1:3" x14ac:dyDescent="0.25">
      <c r="A15117" s="8" t="str">
        <f>"Proceedings of the 1st International Conference on Software Testing, Verification and Validation, ICST 2008"</f>
        <v>Proceedings of the 1st International Conference on Software Testing, Verification and Validation, ICST 2008</v>
      </c>
      <c r="B15117" s="8" t="str">
        <f>"9780769531274"</f>
        <v>9780769531274</v>
      </c>
      <c r="C15117" s="8" t="s">
        <v>9</v>
      </c>
    </row>
    <row r="15118" spans="1:3" x14ac:dyDescent="0.25">
      <c r="A15118" s="8" t="str">
        <f>"Proceedings of the 1st International Conference on Very Large Data Bases, VLDB 1975"</f>
        <v>Proceedings of the 1st International Conference on Very Large Data Bases, VLDB 1975</v>
      </c>
      <c r="B15118" s="8" t="str">
        <f>"9781450339209"</f>
        <v>9781450339209</v>
      </c>
      <c r="C15118" s="8" t="s">
        <v>1235</v>
      </c>
    </row>
    <row r="15119" spans="1:3" x14ac:dyDescent="0.25">
      <c r="A15119" s="8" t="str">
        <f>"Proceedings of the 1st International Joint Workshop on Wireless Ubiquitous Computing, WUC 2007, In Conjunction with ICEIS 2007"</f>
        <v>Proceedings of the 1st International Joint Workshop on Wireless Ubiquitous Computing, WUC 2007, In Conjunction with ICEIS 2007</v>
      </c>
      <c r="B15119" s="8" t="str">
        <f>"9789728865948"</f>
        <v>9789728865948</v>
      </c>
      <c r="C15119" s="8" t="s">
        <v>1553</v>
      </c>
    </row>
    <row r="15120" spans="1:3" x14ac:dyDescent="0.25">
      <c r="A15120" s="8" t="str">
        <f>"Proceedings of the 1st International Living Usability Lab Workshop on AAL Latest Solutions, Trends and Applications, AAL 2011, in Conjunction with BIOSTEC 2011"</f>
        <v>Proceedings of the 1st International Living Usability Lab Workshop on AAL Latest Solutions, Trends and Applications, AAL 2011, in Conjunction with BIOSTEC 2011</v>
      </c>
      <c r="B15120" s="8" t="str">
        <f>"9789898425393"</f>
        <v>9789898425393</v>
      </c>
      <c r="C15120" s="8" t="s">
        <v>1197</v>
      </c>
    </row>
    <row r="15121" spans="1:3" x14ac:dyDescent="0.25">
      <c r="A15121" s="8" t="str">
        <f>"Proceedings of the 1st International Postgraduate Conference on Infrastructure and Environment, IPCIE 2009"</f>
        <v>Proceedings of the 1st International Postgraduate Conference on Infrastructure and Environment, IPCIE 2009</v>
      </c>
      <c r="B15121" s="8" t="str">
        <f>"9789881731128"</f>
        <v>9789881731128</v>
      </c>
      <c r="C15121" s="8" t="s">
        <v>2122</v>
      </c>
    </row>
    <row r="15122" spans="1:3" x14ac:dyDescent="0.25">
      <c r="A15122" s="8" t="str">
        <f>"Proceedings of the 1st International Symposium on Data, Privacy, and E-Commerce, ISDPE 2007"</f>
        <v>Proceedings of the 1st International Symposium on Data, Privacy, and E-Commerce, ISDPE 2007</v>
      </c>
      <c r="B15122" s="8" t="str">
        <f>"9780769530161"</f>
        <v>9780769530161</v>
      </c>
      <c r="C15122" s="8" t="s">
        <v>9</v>
      </c>
    </row>
    <row r="15123" spans="1:3" x14ac:dyDescent="0.25">
      <c r="A15123" s="8" t="str">
        <f>"Proceedings of the 1st International Symposium on Linguistic and Cognitive Approaches to Dialog Agents - A Symposium at the AISB 2010 Convention"</f>
        <v>Proceedings of the 1st International Symposium on Linguistic and Cognitive Approaches to Dialog Agents - A Symposium at the AISB 2010 Convention</v>
      </c>
      <c r="B15123" s="8" t="str">
        <f>"9781902956886"</f>
        <v>9781902956886</v>
      </c>
      <c r="C15123" s="8" t="s">
        <v>1630</v>
      </c>
    </row>
    <row r="15124" spans="1:3" x14ac:dyDescent="0.25">
      <c r="A15124" s="8" t="str">
        <f>"Proceedings of the 1st International Symposium on Towards a Comprehensive Intelligence Test: Reconsidering the Turing Test for the 21st Century, TCIT 2010 - A Symposium at the AISB 2010 Convention"</f>
        <v>Proceedings of the 1st International Symposium on Towards a Comprehensive Intelligence Test: Reconsidering the Turing Test for the 21st Century, TCIT 2010 - A Symposium at the AISB 2010 Convention</v>
      </c>
      <c r="B15124" s="8" t="str">
        <f>"9781902956978"</f>
        <v>9781902956978</v>
      </c>
      <c r="C15124" s="8" t="s">
        <v>1656</v>
      </c>
    </row>
    <row r="15125" spans="1:3" x14ac:dyDescent="0.25">
      <c r="A15125" s="8" t="str">
        <f>"Proceedings of the 1st International Technology Management Conference, ITMC 2011"</f>
        <v>Proceedings of the 1st International Technology Management Conference, ITMC 2011</v>
      </c>
      <c r="B15125" s="8" t="str">
        <f>"9781612849522"</f>
        <v>9781612849522</v>
      </c>
      <c r="C15125" s="8" t="s">
        <v>9</v>
      </c>
    </row>
    <row r="15126" spans="1:3" x14ac:dyDescent="0.25">
      <c r="A15126" s="8" t="str">
        <f>"Proceedings of the 1st International Workshop on Advances in Model-Based Testing, A-MOST '05"</f>
        <v>Proceedings of the 1st International Workshop on Advances in Model-Based Testing, A-MOST '05</v>
      </c>
      <c r="B15126" s="8" t="str">
        <f>"9781595931153"</f>
        <v>9781595931153</v>
      </c>
      <c r="C15126" s="8" t="s">
        <v>21</v>
      </c>
    </row>
    <row r="15127" spans="1:3" x14ac:dyDescent="0.25">
      <c r="A15127" s="8" t="str">
        <f>"Proceedings of the 1st International Workshop on Adversarial Information Retrieval on the Web, AIRWeb 2005 - Held in Conjunction with the 14th International World Wide Web Conference"</f>
        <v>Proceedings of the 1st International Workshop on Adversarial Information Retrieval on the Web, AIRWeb 2005 - Held in Conjunction with the 14th International World Wide Web Conference</v>
      </c>
      <c r="B15127" s="8" t="str">
        <f>"-"</f>
        <v>-</v>
      </c>
      <c r="C15127" s="8" t="s">
        <v>2171</v>
      </c>
    </row>
    <row r="15128" spans="1:3" x14ac:dyDescent="0.25">
      <c r="A15128" s="8" t="str">
        <f>"Proceedings of the 1st International Workshop on Artificial Neural Networks and Intelligent Information Processing, ANNIIP 2005 - In Conjunction with ICINCO 2005"</f>
        <v>Proceedings of the 1st International Workshop on Artificial Neural Networks and Intelligent Information Processing, ANNIIP 2005 - In Conjunction with ICINCO 2005</v>
      </c>
      <c r="B15128" s="8" t="str">
        <f>"9789728865368"</f>
        <v>9789728865368</v>
      </c>
      <c r="C15128" s="8" t="s">
        <v>1197</v>
      </c>
    </row>
    <row r="15129" spans="1:3" x14ac:dyDescent="0.25">
      <c r="A15129" s="8" t="str">
        <f>"Proceedings of the 1st International Workshop on Camera-Based Document Analysis and Recognition, CBDAR 2005"</f>
        <v>Proceedings of the 1st International Workshop on Camera-Based Document Analysis and Recognition, CBDAR 2005</v>
      </c>
      <c r="B15129" s="8" t="str">
        <f>"-"</f>
        <v>-</v>
      </c>
      <c r="C15129" s="8" t="s">
        <v>2172</v>
      </c>
    </row>
    <row r="15130" spans="1:3" x14ac:dyDescent="0.25">
      <c r="A15130" s="8" t="str">
        <f>"Proceedings of the 1st International Workshop on Cloud Computing Platforms, CloudCP 2011"</f>
        <v>Proceedings of the 1st International Workshop on Cloud Computing Platforms, CloudCP 2011</v>
      </c>
      <c r="B15130" s="8" t="str">
        <f>"9781450307277"</f>
        <v>9781450307277</v>
      </c>
      <c r="C15130" s="8" t="s">
        <v>21</v>
      </c>
    </row>
    <row r="15131" spans="1:3" x14ac:dyDescent="0.25">
      <c r="A15131" s="8" t="str">
        <f>"Proceedings of the 1st International Workshop on Data Mining for Service and Maintenance, KDD4Service 2011 - Held in Conjunction with SIGKDD'11"</f>
        <v>Proceedings of the 1st International Workshop on Data Mining for Service and Maintenance, KDD4Service 2011 - Held in Conjunction with SIGKDD'11</v>
      </c>
      <c r="B15131" s="8" t="str">
        <f>"9781450308427"</f>
        <v>9781450308427</v>
      </c>
      <c r="C15131" s="8" t="s">
        <v>21</v>
      </c>
    </row>
    <row r="15132" spans="1:3" x14ac:dyDescent="0.25">
      <c r="A15132" s="8" t="str">
        <f>"Proceedings of the 1st International Workshop on Distributed Objects for the 21st Century, DO21, Co-located with the 23rd European Conference on Object-oriented Programming, ECOOP '09"</f>
        <v>Proceedings of the 1st International Workshop on Distributed Objects for the 21st Century, DO21, Co-located with the 23rd European Conference on Object-oriented Programming, ECOOP '09</v>
      </c>
      <c r="B15132" s="8" t="str">
        <f>"9781605585451"</f>
        <v>9781605585451</v>
      </c>
      <c r="C15132" s="8" t="s">
        <v>21</v>
      </c>
    </row>
    <row r="15133" spans="1:3" x14ac:dyDescent="0.25">
      <c r="A15133" s="8" t="str">
        <f>"Proceedings of the 1st International Workshop on Education Technology and Computer Science, ETCS 2009"</f>
        <v>Proceedings of the 1st International Workshop on Education Technology and Computer Science, ETCS 2009</v>
      </c>
      <c r="B15133" s="8" t="str">
        <f>"9780769535579"</f>
        <v>9780769535579</v>
      </c>
      <c r="C15133" s="8" t="s">
        <v>9</v>
      </c>
    </row>
    <row r="15134" spans="1:3" x14ac:dyDescent="0.25">
      <c r="A15134" s="8" t="str">
        <f>"Proceedings of the 1st International Workshop on Free Composition, FREECO'11 @ ECOOP 2011"</f>
        <v>Proceedings of the 1st International Workshop on Free Composition, FREECO'11 @ ECOOP 2011</v>
      </c>
      <c r="B15134" s="8" t="str">
        <f>"9781450308922"</f>
        <v>9781450308922</v>
      </c>
      <c r="C15134" s="8" t="s">
        <v>21</v>
      </c>
    </row>
    <row r="15135" spans="1:3" x14ac:dyDescent="0.25">
      <c r="A15135" s="8" t="str">
        <f>"Proceedings of the 1st International Workshop on Hot Topics in Software Upgrades, HotSWUp'08"</f>
        <v>Proceedings of the 1st International Workshop on Hot Topics in Software Upgrades, HotSWUp'08</v>
      </c>
      <c r="B15135" s="8" t="str">
        <f>"9781605583044"</f>
        <v>9781605583044</v>
      </c>
      <c r="C15135" s="8" t="s">
        <v>21</v>
      </c>
    </row>
    <row r="15136" spans="1:3" x14ac:dyDescent="0.25">
      <c r="A15136" s="8" t="str">
        <f>"Proceedings of the 1st International Workshop on Human Resource Information Systems, HRIS 2007, In Conjunction with ICEIS 2007"</f>
        <v>Proceedings of the 1st International Workshop on Human Resource Information Systems, HRIS 2007, In Conjunction with ICEIS 2007</v>
      </c>
      <c r="B15136" s="8" t="str">
        <f>"9789898111029"</f>
        <v>9789898111029</v>
      </c>
      <c r="C15136" s="8" t="s">
        <v>1553</v>
      </c>
    </row>
    <row r="15137" spans="1:3" x14ac:dyDescent="0.25">
      <c r="A15137" s="8" t="str">
        <f>"Proceedings of the 1st International Workshop on Image Mining Theory and Applications, IMTA 2008 - In Conjunction with VIISIGRAPP 2008"</f>
        <v>Proceedings of the 1st International Workshop on Image Mining Theory and Applications, IMTA 2008 - In Conjunction with VIISIGRAPP 2008</v>
      </c>
      <c r="B15137" s="8" t="str">
        <f>"9789898111258"</f>
        <v>9789898111258</v>
      </c>
      <c r="C15137" s="8" t="s">
        <v>1553</v>
      </c>
    </row>
    <row r="15138" spans="1:3" x14ac:dyDescent="0.25">
      <c r="A15138" s="8" t="str">
        <f>"Proceedings of the 1st International Workshop on Information Heterogeneity and Fusion in Recommender Systems, HetRec 2010, Held at the 4th ACM Conference on Recommender Systems, RecSys 2010"</f>
        <v>Proceedings of the 1st International Workshop on Information Heterogeneity and Fusion in Recommender Systems, HetRec 2010, Held at the 4th ACM Conference on Recommender Systems, RecSys 2010</v>
      </c>
      <c r="B15138" s="8" t="str">
        <f>"9781450304078"</f>
        <v>9781450304078</v>
      </c>
      <c r="C15138" s="8" t="s">
        <v>21</v>
      </c>
    </row>
    <row r="15139" spans="1:3" x14ac:dyDescent="0.25">
      <c r="A15139" s="8" t="str">
        <f>"Proceedings of the 1st International Workshop on Interaction Design in Educational Environments, IDEE 2012, in Conjunction with ICEIS 2012"</f>
        <v>Proceedings of the 1st International Workshop on Interaction Design in Educational Environments, IDEE 2012, in Conjunction with ICEIS 2012</v>
      </c>
      <c r="B15139" s="8" t="str">
        <f>"9789898565174"</f>
        <v>9789898565174</v>
      </c>
      <c r="C15139" s="8" t="s">
        <v>1197</v>
      </c>
    </row>
    <row r="15140" spans="1:3" x14ac:dyDescent="0.25">
      <c r="A15140" s="8" t="str">
        <f>"Proceedings of the 1st International Workshop on Medical Image Analysis and Description for Diagnosis Systems, MIAD 2009 in Conjunction with BIOSTEC 2009"</f>
        <v>Proceedings of the 1st International Workshop on Medical Image Analysis and Description for Diagnosis Systems, MIAD 2009 in Conjunction with BIOSTEC 2009</v>
      </c>
      <c r="B15140" s="8" t="str">
        <f>"9789898111777"</f>
        <v>9789898111777</v>
      </c>
      <c r="C15140" s="8" t="s">
        <v>1525</v>
      </c>
    </row>
    <row r="15141" spans="1:3" x14ac:dyDescent="0.25">
      <c r="A15141" s="8" t="str">
        <f>"Proceedings of the 1st International Workshop on Metadata Mining for Image Understanding, MMIU 2008 - In Conjunction with VISIGRAPP 2008"</f>
        <v>Proceedings of the 1st International Workshop on Metadata Mining for Image Understanding, MMIU 2008 - In Conjunction with VISIGRAPP 2008</v>
      </c>
      <c r="B15141" s="8" t="str">
        <f>"9789898111241"</f>
        <v>9789898111241</v>
      </c>
      <c r="C15141" s="8" t="s">
        <v>1553</v>
      </c>
    </row>
    <row r="15142" spans="1:3" x14ac:dyDescent="0.25">
      <c r="A15142" s="8" t="str">
        <f>"Proceedings of the 1st International Workshop on Mobile Commerce: Mobile Commerce Workshop 2001"</f>
        <v>Proceedings of the 1st International Workshop on Mobile Commerce: Mobile Commerce Workshop 2001</v>
      </c>
      <c r="B15142" s="8" t="str">
        <f>"9781581133769"</f>
        <v>9781581133769</v>
      </c>
      <c r="C15142" s="8" t="s">
        <v>21</v>
      </c>
    </row>
    <row r="15143" spans="1:3" x14ac:dyDescent="0.25">
      <c r="A15143" s="8" t="str">
        <f>"Proceedings of the 1st International Workshop on Mobilizing Health Information to Support Healthcare-Related Knowledge Work, MobiHealthInf 2009 In Conjunction with BIOSTEC 2009"</f>
        <v>Proceedings of the 1st International Workshop on Mobilizing Health Information to Support Healthcare-Related Knowledge Work, MobiHealthInf 2009 In Conjunction with BIOSTEC 2009</v>
      </c>
      <c r="B15143" s="8" t="str">
        <f>"9789898111784"</f>
        <v>9789898111784</v>
      </c>
      <c r="C15143" s="8" t="s">
        <v>1525</v>
      </c>
    </row>
    <row r="15144" spans="1:3" x14ac:dyDescent="0.25">
      <c r="A15144" s="8" t="str">
        <f>"Proceedings of the 1st International Workshop on Multimodal Learning Analytics, MLA'12"</f>
        <v>Proceedings of the 1st International Workshop on Multimodal Learning Analytics, MLA'12</v>
      </c>
      <c r="B15144" s="8" t="str">
        <f>"9781450315159"</f>
        <v>9781450315159</v>
      </c>
      <c r="C15144" s="8" t="s">
        <v>21</v>
      </c>
    </row>
    <row r="15145" spans="1:3" x14ac:dyDescent="0.25">
      <c r="A15145" s="8" t="str">
        <f>"Proceedings of the 1st International Workshop on Ontology-supported Business Intelligence, OBI 2008"</f>
        <v>Proceedings of the 1st International Workshop on Ontology-supported Business Intelligence, OBI 2008</v>
      </c>
      <c r="B15145" s="8" t="str">
        <f>"9781605582191"</f>
        <v>9781605582191</v>
      </c>
      <c r="C15145" s="8" t="s">
        <v>21</v>
      </c>
    </row>
    <row r="15146" spans="1:3" x14ac:dyDescent="0.25">
      <c r="A15146" s="8" t="str">
        <f>"Proceedings of the 1st International Workshop on Open Distributed Processing: Enterprise, Computation, Knowledge, Engineering and Realisation, WOODPECKER 2001 - In Conjunction with ICEIS 2001"</f>
        <v>Proceedings of the 1st International Workshop on Open Distributed Processing: Enterprise, Computation, Knowledge, Engineering and Realisation, WOODPECKER 2001 - In Conjunction with ICEIS 2001</v>
      </c>
      <c r="B15146" s="8" t="str">
        <f>"9789729805059"</f>
        <v>9789729805059</v>
      </c>
      <c r="C15146" s="8" t="s">
        <v>1880</v>
      </c>
    </row>
    <row r="15147" spans="1:3" x14ac:dyDescent="0.25">
      <c r="A15147" s="8" t="str">
        <f>"Proceedings of the 1st International Workshop on Open Source in European Health Care: The Time is Ripe, OSEHC 2009 In Conjunction with BIOSTEC 2009 and the EFMI LIFOSS WG"</f>
        <v>Proceedings of the 1st International Workshop on Open Source in European Health Care: The Time is Ripe, OSEHC 2009 In Conjunction with BIOSTEC 2009 and the EFMI LIFOSS WG</v>
      </c>
      <c r="B15147" s="8" t="str">
        <f>"9789898111791"</f>
        <v>9789898111791</v>
      </c>
      <c r="C15147" s="8" t="s">
        <v>1525</v>
      </c>
    </row>
    <row r="15148" spans="1:3" x14ac:dyDescent="0.25">
      <c r="A15148" s="8" t="str">
        <f>"Proceedings of the 1st International Workshop on Random Testing, RT'06"</f>
        <v>Proceedings of the 1st International Workshop on Random Testing, RT'06</v>
      </c>
      <c r="B15148" s="8" t="str">
        <f>"-"</f>
        <v>-</v>
      </c>
      <c r="C15148" s="8" t="s">
        <v>21</v>
      </c>
    </row>
    <row r="15149" spans="1:3" x14ac:dyDescent="0.25">
      <c r="A15149" s="8" t="str">
        <f>"Proceedings of the 1st International Workshop on RFID Technology - Concepts, Applications, Challenges IWRT 2007; In Conjunction with ICEIS 2007"</f>
        <v>Proceedings of the 1st International Workshop on RFID Technology - Concepts, Applications, Challenges IWRT 2007; In Conjunction with ICEIS 2007</v>
      </c>
      <c r="B15149" s="8" t="str">
        <f>"9789898111012"</f>
        <v>9789898111012</v>
      </c>
      <c r="C15149" s="8" t="s">
        <v>1553</v>
      </c>
    </row>
    <row r="15150" spans="1:3" x14ac:dyDescent="0.25">
      <c r="A15150" s="8" t="str">
        <f>"Proceedings of the 1st International Workshop on Robot Vision; In Conjunction with VISAPP 2007"</f>
        <v>Proceedings of the 1st International Workshop on Robot Vision; In Conjunction with VISAPP 2007</v>
      </c>
      <c r="B15150" s="8" t="str">
        <f>"9789728865764"</f>
        <v>9789728865764</v>
      </c>
      <c r="C15150" s="8" t="s">
        <v>1553</v>
      </c>
    </row>
    <row r="15151" spans="1:3" x14ac:dyDescent="0.25">
      <c r="A15151" s="8" t="str">
        <f>"Proceedings of the 1st International Workshop on Runtime and Operating Systems for Supercomputers, ROSS 2011"</f>
        <v>Proceedings of the 1st International Workshop on Runtime and Operating Systems for Supercomputers, ROSS 2011</v>
      </c>
      <c r="B15151" s="8" t="str">
        <f>"9781450307611"</f>
        <v>9781450307611</v>
      </c>
      <c r="C15151" s="8" t="s">
        <v>21</v>
      </c>
    </row>
    <row r="15152" spans="1:3" x14ac:dyDescent="0.25">
      <c r="A15152" s="8" t="str">
        <f>"Proceedings of the 1st International Workshop on Technologies for Collaborative Business Process Management, TCoB 2006, in Conjunction with ICEIS 2006"</f>
        <v>Proceedings of the 1st International Workshop on Technologies for Collaborative Business Process Management, TCoB 2006, in Conjunction with ICEIS 2006</v>
      </c>
      <c r="B15152" s="8" t="str">
        <f>"9789728865573"</f>
        <v>9789728865573</v>
      </c>
      <c r="C15152" s="8" t="s">
        <v>1680</v>
      </c>
    </row>
    <row r="15153" spans="1:3" x14ac:dyDescent="0.25">
      <c r="A15153" s="8" t="str">
        <f>"Proceedings of the 1st International Workshop on Utility-Based Data Mining, UBDM '05"</f>
        <v>Proceedings of the 1st International Workshop on Utility-Based Data Mining, UBDM '05</v>
      </c>
      <c r="B15153" s="8" t="str">
        <f>"9781595932082"</f>
        <v>9781595932082</v>
      </c>
      <c r="C15153" s="8" t="s">
        <v>21</v>
      </c>
    </row>
    <row r="15154" spans="1:3" x14ac:dyDescent="0.25">
      <c r="A15154" s="8" t="str">
        <f>"Proceedings of the 1st Kuwait Conference on e-Services and e-Systems, eConf '09"</f>
        <v>Proceedings of the 1st Kuwait Conference on e-Services and e-Systems, eConf '09</v>
      </c>
      <c r="B15154" s="8" t="str">
        <f>"9781605587974"</f>
        <v>9781605587974</v>
      </c>
      <c r="C15154" s="8" t="s">
        <v>21</v>
      </c>
    </row>
    <row r="15155" spans="1:3" x14ac:dyDescent="0.25">
      <c r="A15155" s="8" t="str">
        <f>"Proceedings of the 1st LHC Detector Alignment Workshop"</f>
        <v>Proceedings of the 1st LHC Detector Alignment Workshop</v>
      </c>
      <c r="B15155" s="8" t="str">
        <f>"-"</f>
        <v>-</v>
      </c>
      <c r="C15155" s="8" t="s">
        <v>259</v>
      </c>
    </row>
    <row r="15156" spans="1:3" x14ac:dyDescent="0.25">
      <c r="A15156" s="8" t="str">
        <f>"Proceedings of the 1st US-Japan Workshop on Life-Cycle Cost Analysis and Design of Civil Infrastructure Systems - Life-Cycle Cost Analysis and Design of Civil Infrastructure Systems"</f>
        <v>Proceedings of the 1st US-Japan Workshop on Life-Cycle Cost Analysis and Design of Civil Infrastructure Systems - Life-Cycle Cost Analysis and Design of Civil Infrastructure Systems</v>
      </c>
      <c r="B15156" s="8" t="str">
        <f>"9780784407073"</f>
        <v>9780784407073</v>
      </c>
      <c r="C15156" s="8" t="s">
        <v>111</v>
      </c>
    </row>
    <row r="15157" spans="1:3" x14ac:dyDescent="0.25">
      <c r="A15157" s="8" t="str">
        <f>"Proceedings of the 1st Workshop on All-Web Real-Time Systems, AweS 2015 - In Conjunction with EuroSys 2015"</f>
        <v>Proceedings of the 1st Workshop on All-Web Real-Time Systems, AweS 2015 - In Conjunction with EuroSys 2015</v>
      </c>
      <c r="B15157" s="8" t="str">
        <f>"9781450334778"</f>
        <v>9781450334778</v>
      </c>
      <c r="C15157" s="8" t="s">
        <v>1235</v>
      </c>
    </row>
    <row r="15158" spans="1:3" x14ac:dyDescent="0.25">
      <c r="A15158" s="8" t="str">
        <f>"Proceedings of the 1st Workshop on Automated Control for Datacenters and Clouds, ACDC '09"</f>
        <v>Proceedings of the 1st Workshop on Automated Control for Datacenters and Clouds, ACDC '09</v>
      </c>
      <c r="B15158" s="8" t="str">
        <f>"9781605585857"</f>
        <v>9781605585857</v>
      </c>
      <c r="C15158" s="8" t="s">
        <v>21</v>
      </c>
    </row>
    <row r="15159" spans="1:3" x14ac:dyDescent="0.25">
      <c r="A15159" s="8" t="str">
        <f>"Proceedings of the 1st Workshop on Building Analysis Datasets and Gathering Experience Returns for Security, BADGERS 2011"</f>
        <v>Proceedings of the 1st Workshop on Building Analysis Datasets and Gathering Experience Returns for Security, BADGERS 2011</v>
      </c>
      <c r="B15159" s="8" t="str">
        <f>"9781450307680"</f>
        <v>9781450307680</v>
      </c>
      <c r="C15159" s="8" t="s">
        <v>21</v>
      </c>
    </row>
    <row r="15160" spans="1:3" x14ac:dyDescent="0.25">
      <c r="A15160" s="8" t="str">
        <f>"Proceedings of the 1st Workshop on Flavor Symmetries and Consequences in Accelerators and Cosmology, FLASY 2011"</f>
        <v>Proceedings of the 1st Workshop on Flavor Symmetries and Consequences in Accelerators and Cosmology, FLASY 2011</v>
      </c>
      <c r="B15160" s="8" t="str">
        <f>"-"</f>
        <v>-</v>
      </c>
      <c r="C15160" s="8" t="s">
        <v>2173</v>
      </c>
    </row>
    <row r="15161" spans="1:3" x14ac:dyDescent="0.25">
      <c r="A15161" s="8" t="str">
        <f>"Proceedings of the 1st Workshop on Measurement, Privacy, and Mobility, MPM'12"</f>
        <v>Proceedings of the 1st Workshop on Measurement, Privacy, and Mobility, MPM'12</v>
      </c>
      <c r="B15161" s="8" t="str">
        <f>"9781450311632"</f>
        <v>9781450311632</v>
      </c>
      <c r="C15161" s="8" t="s">
        <v>21</v>
      </c>
    </row>
    <row r="15162" spans="1:3" x14ac:dyDescent="0.25">
      <c r="A15162" s="8" t="str">
        <f>"Proceedings of the 1st Workshop on Mobile Middleware: Embracing the Personal Communication Device, Co-located with ACM/IFIP/USENIX International Middleware Conference, MobMid 2008"</f>
        <v>Proceedings of the 1st Workshop on Mobile Middleware: Embracing the Personal Communication Device, Co-located with ACM/IFIP/USENIX International Middleware Conference, MobMid 2008</v>
      </c>
      <c r="B15162" s="8" t="str">
        <f>"9781605583624"</f>
        <v>9781605583624</v>
      </c>
      <c r="C15162" s="8" t="s">
        <v>21</v>
      </c>
    </row>
    <row r="15163" spans="1:3" x14ac:dyDescent="0.25">
      <c r="A15163" s="8" t="str">
        <f>"Proceedings of the 1st Workshop on Modularity in Systems Software, MISS 2011"</f>
        <v>Proceedings of the 1st Workshop on Modularity in Systems Software, MISS 2011</v>
      </c>
      <c r="B15163" s="8" t="str">
        <f>"9781450306478"</f>
        <v>9781450306478</v>
      </c>
      <c r="C15163" s="8" t="s">
        <v>21</v>
      </c>
    </row>
    <row r="15164" spans="1:3" x14ac:dyDescent="0.25">
      <c r="A15164" s="8" t="str">
        <f>"Proceedings of the 1st Workshop on Personalised Multilingual Hypertext Retrieval, PMHR 2011"</f>
        <v>Proceedings of the 1st Workshop on Personalised Multilingual Hypertext Retrieval, PMHR 2011</v>
      </c>
      <c r="B15164" s="8" t="str">
        <f>"9781450308977"</f>
        <v>9781450308977</v>
      </c>
      <c r="C15164" s="8" t="s">
        <v>21</v>
      </c>
    </row>
    <row r="15165" spans="1:3" x14ac:dyDescent="0.25">
      <c r="A15165" s="8" t="str">
        <f>"Proceedings of the 1st Workshop on Practices of Linking Aspect Technology and Evolution, PLATE '09, Co-located with the 8th International Conference on Aspect-Oriented Software Development, AOSD.09"</f>
        <v>Proceedings of the 1st Workshop on Practices of Linking Aspect Technology and Evolution, PLATE '09, Co-located with the 8th International Conference on Aspect-Oriented Software Development, AOSD.09</v>
      </c>
      <c r="B15165" s="8" t="str">
        <f>"9781605584539"</f>
        <v>9781605584539</v>
      </c>
      <c r="C15165" s="8" t="s">
        <v>21</v>
      </c>
    </row>
    <row r="15166" spans="1:3" x14ac:dyDescent="0.25">
      <c r="A15166" s="8" t="str">
        <f>"Proceedings of the 1st Workshop on Programming Language Evolution, PLE 2014 - co-located with ECOOP 2014"</f>
        <v>Proceedings of the 1st Workshop on Programming Language Evolution, PLE 2014 - co-located with ECOOP 2014</v>
      </c>
      <c r="B15166" s="8" t="str">
        <f>"9781450328678"</f>
        <v>9781450328678</v>
      </c>
      <c r="C15166" s="8" t="s">
        <v>1235</v>
      </c>
    </row>
    <row r="15167" spans="1:3" x14ac:dyDescent="0.25">
      <c r="A15167" s="8" t="str">
        <f>"Proceedings of the 1st Workshop on Robot Motion and Control, RoMoCo 1999"</f>
        <v>Proceedings of the 1st Workshop on Robot Motion and Control, RoMoCo 1999</v>
      </c>
      <c r="B15167" s="8" t="str">
        <f>"9780780356559"</f>
        <v>9780780356559</v>
      </c>
      <c r="C15167" s="8" t="s">
        <v>105</v>
      </c>
    </row>
    <row r="15168" spans="1:3" x14ac:dyDescent="0.25">
      <c r="A15168" s="8" t="str">
        <f>"Proceedings of the 1st Workshop on Smart Material Interfaces: A Material Step to the Future, SMI 2012"</f>
        <v>Proceedings of the 1st Workshop on Smart Material Interfaces: A Material Step to the Future, SMI 2012</v>
      </c>
      <c r="B15168" s="8" t="str">
        <f>"9781450315180"</f>
        <v>9781450315180</v>
      </c>
      <c r="C15168" s="8" t="s">
        <v>21</v>
      </c>
    </row>
    <row r="15169" spans="1:3" x14ac:dyDescent="0.25">
      <c r="A15169" s="8" t="str">
        <f>"Proceedings of the 1st Workshop on Social Network Systems, SocialNets'08 - Affiliated with EuroSys 2008"</f>
        <v>Proceedings of the 1st Workshop on Social Network Systems, SocialNets'08 - Affiliated with EuroSys 2008</v>
      </c>
      <c r="B15169" s="8" t="str">
        <f>"9781605581248"</f>
        <v>9781605581248</v>
      </c>
      <c r="C15169" s="8" t="s">
        <v>21</v>
      </c>
    </row>
    <row r="15170" spans="1:3" x14ac:dyDescent="0.25">
      <c r="A15170" s="8" t="str">
        <f>"Proceedings of the 1st Workshop on the Analysis of Model Transformations, AMT 2012"</f>
        <v>Proceedings of the 1st Workshop on the Analysis of Model Transformations, AMT 2012</v>
      </c>
      <c r="B15170" s="8" t="str">
        <f>"9781450318037"</f>
        <v>9781450318037</v>
      </c>
      <c r="C15170" s="8" t="s">
        <v>21</v>
      </c>
    </row>
    <row r="15171" spans="1:3" x14ac:dyDescent="0.25">
      <c r="A15171" s="8" t="str">
        <f>"Proceedings of the 1st Workshop on the Globalization of Domain Specific Languages, GlobalDSL 2013"</f>
        <v>Proceedings of the 1st Workshop on the Globalization of Domain Specific Languages, GlobalDSL 2013</v>
      </c>
      <c r="B15171" s="8" t="str">
        <f>"9781450320436"</f>
        <v>9781450320436</v>
      </c>
      <c r="C15171" s="8" t="s">
        <v>21</v>
      </c>
    </row>
    <row r="15172" spans="1:3" x14ac:dyDescent="0.25">
      <c r="A15172" s="8" t="str">
        <f>"Proceedings of the 1st Workshop on the Principles and Practice of Consistency for Distributed Data, PaPoC 2015"</f>
        <v>Proceedings of the 1st Workshop on the Principles and Practice of Consistency for Distributed Data, PaPoC 2015</v>
      </c>
      <c r="B15172" s="8" t="str">
        <f>"9781450335379"</f>
        <v>9781450335379</v>
      </c>
      <c r="C15172" s="8" t="s">
        <v>1235</v>
      </c>
    </row>
    <row r="15173" spans="1:3" x14ac:dyDescent="0.25">
      <c r="A15173" s="8" t="str">
        <f>"Proceedings of the 1st Workshop on the Principles and Practice of Eventual Consistency, PaPEC 2014"</f>
        <v>Proceedings of the 1st Workshop on the Principles and Practice of Eventual Consistency, PaPEC 2014</v>
      </c>
      <c r="B15173" s="8" t="str">
        <f>"9781450327169"</f>
        <v>9781450327169</v>
      </c>
      <c r="C15173" s="8" t="s">
        <v>21</v>
      </c>
    </row>
    <row r="15174" spans="1:3" x14ac:dyDescent="0.25">
      <c r="A15174" s="8" t="str">
        <f>"Proceedings of the 1st Workshop on View-Based, Aspect-Oriented and Orthographic Software Modelling, VAO 2013"</f>
        <v>Proceedings of the 1st Workshop on View-Based, Aspect-Oriented and Orthographic Software Modelling, VAO 2013</v>
      </c>
      <c r="B15174" s="8" t="str">
        <f>"9781450320702"</f>
        <v>9781450320702</v>
      </c>
      <c r="C15174" s="8" t="s">
        <v>21</v>
      </c>
    </row>
    <row r="15175" spans="1:3" x14ac:dyDescent="0.25">
      <c r="A15175" s="8" t="str">
        <f>"Proceedings of the 1st Workshop on Virtualization in Mobile Computing, MobiVirt '08"</f>
        <v>Proceedings of the 1st Workshop on Virtualization in Mobile Computing, MobiVirt '08</v>
      </c>
      <c r="B15175" s="8" t="str">
        <f>"9781605583280"</f>
        <v>9781605583280</v>
      </c>
      <c r="C15175" s="8" t="s">
        <v>21</v>
      </c>
    </row>
    <row r="15176" spans="1:3" x14ac:dyDescent="0.25">
      <c r="A15176" s="8" t="str">
        <f>"Proceedings of the 1st World Congress on Engineering Asset Management, WCEAM 2006"</f>
        <v>Proceedings of the 1st World Congress on Engineering Asset Management, WCEAM 2006</v>
      </c>
      <c r="B15176" s="8" t="str">
        <f>"9781846285837"</f>
        <v>9781846285837</v>
      </c>
      <c r="C15176" s="8" t="s">
        <v>62</v>
      </c>
    </row>
    <row r="15177" spans="1:3" x14ac:dyDescent="0.25">
      <c r="A15177" s="8" t="str">
        <f>"Proceedings of the 1st World Congress on Integrated Computational Materials Engineering, ICME"</f>
        <v>Proceedings of the 1st World Congress on Integrated Computational Materials Engineering, ICME</v>
      </c>
      <c r="B15177" s="8" t="str">
        <f>"9780470943199"</f>
        <v>9780470943199</v>
      </c>
      <c r="C15177" s="8" t="s">
        <v>87</v>
      </c>
    </row>
    <row r="15178" spans="1:3" x14ac:dyDescent="0.25">
      <c r="A15178" s="8" t="str">
        <f>"Proceedings of the 2000 Congress on Evolutionary Computation, CEC 2000"</f>
        <v>Proceedings of the 2000 Congress on Evolutionary Computation, CEC 2000</v>
      </c>
      <c r="B15178" s="8" t="str">
        <f>"9780780363755"</f>
        <v>9780780363755</v>
      </c>
      <c r="C15178" s="8" t="s">
        <v>9</v>
      </c>
    </row>
    <row r="15179" spans="1:3" x14ac:dyDescent="0.25">
      <c r="A15179" s="8" t="str">
        <f>"Proceedings of the 2000 IEEE Engineering Management Society, EMS 2000"</f>
        <v>Proceedings of the 2000 IEEE Engineering Management Society, EMS 2000</v>
      </c>
      <c r="B15179" s="8" t="str">
        <f>"9780780364424"</f>
        <v>9780780364424</v>
      </c>
      <c r="C15179" s="8" t="s">
        <v>105</v>
      </c>
    </row>
    <row r="15180" spans="1:3" x14ac:dyDescent="0.25">
      <c r="A15180" s="8" t="str">
        <f>"Proceedings of the 2000 IEEE International Conference on Management of Innovation and Technology: "</f>
        <v xml:space="preserve">Proceedings of the 2000 IEEE International Conference on Management of Innovation and Technology: </v>
      </c>
      <c r="B15180" s="8" t="str">
        <f>"-"</f>
        <v>-</v>
      </c>
      <c r="C15180" s="8" t="s">
        <v>105</v>
      </c>
    </row>
    <row r="15181" spans="1:3" x14ac:dyDescent="0.25">
      <c r="A15181" s="8" t="str">
        <f>"Proceedings of the 2000 International Chemical Information Conference"</f>
        <v>Proceedings of the 2000 International Chemical Information Conference</v>
      </c>
      <c r="B15181" s="8" t="str">
        <f>"9781873699683"</f>
        <v>9781873699683</v>
      </c>
      <c r="C15181" s="8" t="s">
        <v>2174</v>
      </c>
    </row>
    <row r="15182" spans="1:3" x14ac:dyDescent="0.25">
      <c r="A15182" s="8" t="str">
        <f>"Proceedings of the 2001 ACM International Symposium on Mobile Ad Hoc Networking and Computing: MobiHoc 2001"</f>
        <v>Proceedings of the 2001 ACM International Symposium on Mobile Ad Hoc Networking and Computing: MobiHoc 2001</v>
      </c>
      <c r="B15182" s="8" t="str">
        <f>"9781581134285"</f>
        <v>9781581134285</v>
      </c>
      <c r="C15182" s="8" t="s">
        <v>21</v>
      </c>
    </row>
    <row r="15183" spans="1:3" x14ac:dyDescent="0.25">
      <c r="A15183" s="8" t="str">
        <f>"Proceedings of the 2001 Wetlands Engineering and River Restoration Conference"</f>
        <v>Proceedings of the 2001 Wetlands Engineering and River Restoration Conference</v>
      </c>
      <c r="B15183" s="8" t="str">
        <f>"9780784405819"</f>
        <v>9780784405819</v>
      </c>
      <c r="C15183" s="8" t="s">
        <v>111</v>
      </c>
    </row>
    <row r="15184" spans="1:3" x14ac:dyDescent="0.25">
      <c r="A15184" s="8" t="str">
        <f>"Proceedings of the 2002 ACM SIGPLAN Haskell Workshop"</f>
        <v>Proceedings of the 2002 ACM SIGPLAN Haskell Workshop</v>
      </c>
      <c r="B15184" s="8" t="str">
        <f>"9781581136050"</f>
        <v>9781581136050</v>
      </c>
      <c r="C15184" s="8" t="s">
        <v>21</v>
      </c>
    </row>
    <row r="15185" spans="1:3" x14ac:dyDescent="0.25">
      <c r="A15185" s="8" t="str">
        <f>"Proceedings of the 2002 ACM SIGPLAN Workshop on Rule-Based Programming"</f>
        <v>Proceedings of the 2002 ACM SIGPLAN Workshop on Rule-Based Programming</v>
      </c>
      <c r="B15185" s="8" t="str">
        <f>"9781581136067"</f>
        <v>9781581136067</v>
      </c>
      <c r="C15185" s="8" t="s">
        <v>21</v>
      </c>
    </row>
    <row r="15186" spans="1:3" x14ac:dyDescent="0.25">
      <c r="A15186" s="8" t="str">
        <f>"Proceedings of the 2002 ACM Symposium on Document Engineering"</f>
        <v>Proceedings of the 2002 ACM Symposium on Document Engineering</v>
      </c>
      <c r="B15186" s="8" t="str">
        <f>"9781581135947"</f>
        <v>9781581135947</v>
      </c>
      <c r="C15186" s="8" t="s">
        <v>21</v>
      </c>
    </row>
    <row r="15187" spans="1:3" x14ac:dyDescent="0.25">
      <c r="A15187" s="8" t="str">
        <f>"Proceedings of the 2002 Congress on Evolutionary Computation, CEC 2002"</f>
        <v>Proceedings of the 2002 Congress on Evolutionary Computation, CEC 2002</v>
      </c>
      <c r="B15187" s="8" t="str">
        <f>"9780780372825"</f>
        <v>9780780372825</v>
      </c>
      <c r="C15187" s="8" t="s">
        <v>9</v>
      </c>
    </row>
    <row r="15188" spans="1:3" x14ac:dyDescent="0.25">
      <c r="A15188" s="8" t="str">
        <f>"Proceedings of the 2002 IEEE Information Theory Workshop, ITW 2002"</f>
        <v>Proceedings of the 2002 IEEE Information Theory Workshop, ITW 2002</v>
      </c>
      <c r="B15188" s="8" t="str">
        <f>"9780780376298"</f>
        <v>9780780376298</v>
      </c>
      <c r="C15188" s="8" t="s">
        <v>105</v>
      </c>
    </row>
    <row r="15189" spans="1:3" x14ac:dyDescent="0.25">
      <c r="A15189" s="8" t="str">
        <f>"Proceedings of the 2002 International Conference on Compilers, Architecture, and Synthesis for Embedded Systems, CASES '02"</f>
        <v>Proceedings of the 2002 International Conference on Compilers, Architecture, and Synthesis for Embedded Systems, CASES '02</v>
      </c>
      <c r="B15189" s="8" t="str">
        <f>"9781581135756"</f>
        <v>9781581135756</v>
      </c>
      <c r="C15189" s="8" t="s">
        <v>21</v>
      </c>
    </row>
    <row r="15190" spans="1:3" x14ac:dyDescent="0.25">
      <c r="A15190" s="8" t="str">
        <f>"Proceedings of the 2002 International Conference on Dependable Systems and Networks"</f>
        <v>Proceedings of the 2002 International Conference on Dependable Systems and Networks</v>
      </c>
      <c r="B15190" s="8" t="str">
        <f>"9780769515977"</f>
        <v>9780769515977</v>
      </c>
      <c r="C15190" s="8" t="s">
        <v>9</v>
      </c>
    </row>
    <row r="15191" spans="1:3" x14ac:dyDescent="0.25">
      <c r="A15191" s="8" t="str">
        <f>"Proceedings of the 2002 International Conference on Dependable Systems and Networks"</f>
        <v>Proceedings of the 2002 International Conference on Dependable Systems and Networks</v>
      </c>
      <c r="B15191" s="8" t="str">
        <f>"9780769507088"</f>
        <v>9780769507088</v>
      </c>
      <c r="C15191" s="8" t="s">
        <v>9</v>
      </c>
    </row>
    <row r="15192" spans="1:3" x14ac:dyDescent="0.25">
      <c r="A15192" s="8" t="str">
        <f>"Proceedings of the 2002 International Conference on Noise and Vibration Engineering, ISMA"</f>
        <v>Proceedings of the 2002 International Conference on Noise and Vibration Engineering, ISMA</v>
      </c>
      <c r="B15192" s="8" t="str">
        <f>"9789073802797"</f>
        <v>9789073802797</v>
      </c>
      <c r="C15192" s="8" t="s">
        <v>2124</v>
      </c>
    </row>
    <row r="15193" spans="1:3" x14ac:dyDescent="0.25">
      <c r="A15193" s="8" t="str">
        <f>"Proceedings of the 2002 International Joint Power Generation Conference"</f>
        <v>Proceedings of the 2002 International Joint Power Generation Conference</v>
      </c>
      <c r="B15193" s="8" t="str">
        <f>"9780791836170"</f>
        <v>9780791836170</v>
      </c>
      <c r="C15193" s="8" t="s">
        <v>1308</v>
      </c>
    </row>
    <row r="15194" spans="1:3" x14ac:dyDescent="0.25">
      <c r="A15194" s="8" t="str">
        <f>"Proceedings of the 2003 4th International Symposium on Heating, Ventilating and Air Conditioning"</f>
        <v>Proceedings of the 2003 4th International Symposium on Heating, Ventilating and Air Conditioning</v>
      </c>
      <c r="B15194" s="8" t="str">
        <f>"9787302073260"</f>
        <v>9787302073260</v>
      </c>
      <c r="C15194" s="8" t="s">
        <v>465</v>
      </c>
    </row>
    <row r="15195" spans="1:3" x14ac:dyDescent="0.25">
      <c r="A15195" s="8" t="str">
        <f>"Proceedings of the 2003 5th International Symposium on Coal Combustion"</f>
        <v>Proceedings of the 2003 5th International Symposium on Coal Combustion</v>
      </c>
      <c r="B15195" s="8" t="str">
        <f>"9787810893770"</f>
        <v>9787810893770</v>
      </c>
      <c r="C15195" s="8" t="s">
        <v>343</v>
      </c>
    </row>
    <row r="15196" spans="1:3" x14ac:dyDescent="0.25">
      <c r="A15196" s="8" t="str">
        <f>"Proceedings of the 2003 ACM SIGMM Workshop on Experiential Telepresence, ETP '03"</f>
        <v>Proceedings of the 2003 ACM SIGMM Workshop on Experiential Telepresence, ETP '03</v>
      </c>
      <c r="B15196" s="8" t="str">
        <f>"9781581137750"</f>
        <v>9781581137750</v>
      </c>
      <c r="C15196" s="8" t="s">
        <v>21</v>
      </c>
    </row>
    <row r="15197" spans="1:3" x14ac:dyDescent="0.25">
      <c r="A15197" s="8" t="str">
        <f>"Proceedings of the 2003 ACM SIGPLAN Haskell Workshop"</f>
        <v>Proceedings of the 2003 ACM SIGPLAN Haskell Workshop</v>
      </c>
      <c r="B15197" s="8" t="str">
        <f>"9781581137583"</f>
        <v>9781581137583</v>
      </c>
      <c r="C15197" s="8" t="s">
        <v>21</v>
      </c>
    </row>
    <row r="15198" spans="1:3" x14ac:dyDescent="0.25">
      <c r="A15198" s="8" t="str">
        <f>"Proceedings of the 2003 ACM SIGPLAN International Workshop on Types in Languages Design and Implementation"</f>
        <v>Proceedings of the 2003 ACM SIGPLAN International Workshop on Types in Languages Design and Implementation</v>
      </c>
      <c r="B15198" s="8" t="str">
        <f>"9781581136494"</f>
        <v>9781581136494</v>
      </c>
      <c r="C15198" s="8" t="s">
        <v>21</v>
      </c>
    </row>
    <row r="15199" spans="1:3" x14ac:dyDescent="0.25">
      <c r="A15199" s="8" t="str">
        <f>"Proceedings of the 2003 ACM SIGPLAN Workshop on Erlang, ERLANG '03"</f>
        <v>Proceedings of the 2003 ACM SIGPLAN Workshop on Erlang, ERLANG '03</v>
      </c>
      <c r="B15199" s="8" t="str">
        <f>"9781581137729"</f>
        <v>9781581137729</v>
      </c>
      <c r="C15199" s="8" t="s">
        <v>21</v>
      </c>
    </row>
    <row r="15200" spans="1:3" x14ac:dyDescent="0.25">
      <c r="A15200" s="8" t="str">
        <f>"Proceedings of the 2003 ACM SIGPLAN Workshop on Haskell, Haskell '03"</f>
        <v>Proceedings of the 2003 ACM SIGPLAN Workshop on Haskell, Haskell '03</v>
      </c>
      <c r="B15200" s="8" t="str">
        <f>"9781581137583"</f>
        <v>9781581137583</v>
      </c>
      <c r="C15200" s="8" t="s">
        <v>21</v>
      </c>
    </row>
    <row r="15201" spans="1:3" x14ac:dyDescent="0.25">
      <c r="A15201" s="8" t="str">
        <f>"Proceedings of the 2003 ACM Symposium on Document Engineering"</f>
        <v>Proceedings of the 2003 ACM Symposium on Document Engineering</v>
      </c>
      <c r="B15201" s="8" t="str">
        <f>"9781581137248"</f>
        <v>9781581137248</v>
      </c>
      <c r="C15201" s="8" t="s">
        <v>21</v>
      </c>
    </row>
    <row r="15202" spans="1:3" x14ac:dyDescent="0.25">
      <c r="A15202" s="8" t="str">
        <f>"Proceedings of the 2003 ACM/IEEE Conference on Supercomputing, SC 2003"</f>
        <v>Proceedings of the 2003 ACM/IEEE Conference on Supercomputing, SC 2003</v>
      </c>
      <c r="B15202" s="8" t="str">
        <f>"9781581136951"</f>
        <v>9781581136951</v>
      </c>
      <c r="C15202" s="8" t="s">
        <v>21</v>
      </c>
    </row>
    <row r="15203" spans="1:3" x14ac:dyDescent="0.25">
      <c r="A15203" s="8" t="str">
        <f>"Proceedings of the 2003 Conference on Array Programming Languages: Stretching the Mind, APL 2003"</f>
        <v>Proceedings of the 2003 Conference on Array Programming Languages: Stretching the Mind, APL 2003</v>
      </c>
      <c r="B15203" s="8" t="str">
        <f>"9781581136685"</f>
        <v>9781581136685</v>
      </c>
      <c r="C15203" s="8" t="s">
        <v>21</v>
      </c>
    </row>
    <row r="15204" spans="1:3" x14ac:dyDescent="0.25">
      <c r="A15204" s="8" t="str">
        <f>"Proceedings of the 2003 Conference on Designing for User Experiences, DUX '03"</f>
        <v>Proceedings of the 2003 Conference on Designing for User Experiences, DUX '03</v>
      </c>
      <c r="B15204" s="8" t="str">
        <f>"9781581137286"</f>
        <v>9781581137286</v>
      </c>
      <c r="C15204" s="8" t="s">
        <v>21</v>
      </c>
    </row>
    <row r="15205" spans="1:3" x14ac:dyDescent="0.25">
      <c r="A15205" s="8" t="str">
        <f>"Proceedings of the 2003 Conference on Diversity in Computing, TAPIA '03"</f>
        <v>Proceedings of the 2003 Conference on Diversity in Computing, TAPIA '03</v>
      </c>
      <c r="B15205" s="8" t="str">
        <f>"9781581137903"</f>
        <v>9781581137903</v>
      </c>
      <c r="C15205" s="8" t="s">
        <v>21</v>
      </c>
    </row>
    <row r="15206" spans="1:3" x14ac:dyDescent="0.25">
      <c r="A15206" s="8" t="str">
        <f>"Proceedings of the 2003 Conference on Universal Usability, CCU 2003"</f>
        <v>Proceedings of the 2003 Conference on Universal Usability, CCU 2003</v>
      </c>
      <c r="B15206" s="8" t="str">
        <f>"9781581137019"</f>
        <v>9781581137019</v>
      </c>
      <c r="C15206" s="8" t="s">
        <v>21</v>
      </c>
    </row>
    <row r="15207" spans="1:3" x14ac:dyDescent="0.25">
      <c r="A15207" s="8" t="str">
        <f>"Proceedings of the 2003 IEEE International Conference on Information Reuse and Integration, IRI 2003"</f>
        <v>Proceedings of the 2003 IEEE International Conference on Information Reuse and Integration, IRI 2003</v>
      </c>
      <c r="B15207" s="8" t="str">
        <f>"9780780382428"</f>
        <v>9780780382428</v>
      </c>
      <c r="C15207" s="8" t="s">
        <v>105</v>
      </c>
    </row>
    <row r="15208" spans="1:3" x14ac:dyDescent="0.25">
      <c r="A15208" s="8" t="str">
        <f>"Proceedings of the 2003 IEEE Systems and Information Engineering Design Symposium, SIEDS 2003"</f>
        <v>Proceedings of the 2003 IEEE Systems and Information Engineering Design Symposium, SIEDS 2003</v>
      </c>
      <c r="B15208" s="8" t="str">
        <f>"9780974455907"</f>
        <v>9780974455907</v>
      </c>
      <c r="C15208" s="8" t="s">
        <v>105</v>
      </c>
    </row>
    <row r="15209" spans="1:3" x14ac:dyDescent="0.25">
      <c r="A15209" s="8" t="str">
        <f>"Proceedings of the 2003 International Autumn Seminar on Propellants, Explosives and Pyrotechnics (2003 IASPEP) - Theory and Practice of Energetic Materials"</f>
        <v>Proceedings of the 2003 International Autumn Seminar on Propellants, Explosives and Pyrotechnics (2003 IASPEP) - Theory and Practice of Energetic Materials</v>
      </c>
      <c r="B15209" s="8" t="str">
        <f>"-"</f>
        <v>-</v>
      </c>
      <c r="C15209" s="8" t="s">
        <v>37</v>
      </c>
    </row>
    <row r="15210" spans="1:3" x14ac:dyDescent="0.25">
      <c r="A15210" s="8" t="str">
        <f>"Proceedings of the 2003 International Conference on Cryogenics and Refrigeration"</f>
        <v>Proceedings of the 2003 International Conference on Cryogenics and Refrigeration</v>
      </c>
      <c r="B15210" s="8" t="str">
        <f>"9787506258647"</f>
        <v>9787506258647</v>
      </c>
      <c r="C15210" s="8" t="s">
        <v>991</v>
      </c>
    </row>
    <row r="15211" spans="1:3" x14ac:dyDescent="0.25">
      <c r="A15211" s="8" t="str">
        <f>"Proceedings of the 2003 International Joint Power Generation Conference"</f>
        <v>Proceedings of the 2003 International Joint Power Generation Conference</v>
      </c>
      <c r="B15211" s="8" t="str">
        <f>"9780791836927"</f>
        <v>9780791836927</v>
      </c>
      <c r="C15211" s="8" t="s">
        <v>1308</v>
      </c>
    </row>
    <row r="15212" spans="1:3" x14ac:dyDescent="0.25">
      <c r="A15212" s="8" t="str">
        <f>"Proceedings of the 2003 International Symposium on Water Resources and the Urban Environment"</f>
        <v>Proceedings of the 2003 International Symposium on Water Resources and the Urban Environment</v>
      </c>
      <c r="B15212" s="8" t="str">
        <f>"9787801637642"</f>
        <v>9787801637642</v>
      </c>
      <c r="C15212" s="8" t="s">
        <v>2175</v>
      </c>
    </row>
    <row r="15213" spans="1:3" x14ac:dyDescent="0.25">
      <c r="A15213" s="8" t="str">
        <f>"Proceedings of the 2003 OOPSLA Workshop on Eclipse Technology eXchange, eclipse '03"</f>
        <v>Proceedings of the 2003 OOPSLA Workshop on Eclipse Technology eXchange, eclipse '03</v>
      </c>
      <c r="B15213" s="8" t="str">
        <f>"-"</f>
        <v>-</v>
      </c>
      <c r="C15213" s="8" t="s">
        <v>21</v>
      </c>
    </row>
    <row r="15214" spans="1:3" x14ac:dyDescent="0.25">
      <c r="A15214" s="8" t="str">
        <f>"Proceedings of the 2003 Workshop on MEmory Performance: DEaling with Applications, Systems and Architecture, MEDEA '03"</f>
        <v>Proceedings of the 2003 Workshop on MEmory Performance: DEaling with Applications, Systems and Architecture, MEDEA '03</v>
      </c>
      <c r="B15214" s="8" t="str">
        <f>"-"</f>
        <v>-</v>
      </c>
      <c r="C15214" s="8" t="s">
        <v>21</v>
      </c>
    </row>
    <row r="15215" spans="1:3" x14ac:dyDescent="0.25">
      <c r="A15215" s="8" t="str">
        <f>"Proceedings of the 2004 2nd Workshop on Embedded Systems for Real-Time Multimedia"</f>
        <v>Proceedings of the 2004 2nd Workshop on Embedded Systems for Real-Time Multimedia</v>
      </c>
      <c r="B15215" s="8" t="str">
        <f>"9780780386310"</f>
        <v>9780780386310</v>
      </c>
      <c r="C15215" s="8" t="s">
        <v>105</v>
      </c>
    </row>
    <row r="15216" spans="1:3" x14ac:dyDescent="0.25">
      <c r="A15216" s="8" t="str">
        <f>"Proceedings of the 2004 7th Annual IEEE International Workshop on Workload Characterization, WWC-7"</f>
        <v>Proceedings of the 2004 7th Annual IEEE International Workshop on Workload Characterization, WWC-7</v>
      </c>
      <c r="B15216" s="8" t="str">
        <f>"9780780388284"</f>
        <v>9780780388284</v>
      </c>
      <c r="C15216" s="8" t="s">
        <v>105</v>
      </c>
    </row>
    <row r="15217" spans="1:3" x14ac:dyDescent="0.25">
      <c r="A15217" s="8" t="str">
        <f>"Proceedings of the 2004 ACM SIGCOMM Internet Measurement Conference, IMC 2004"</f>
        <v>Proceedings of the 2004 ACM SIGCOMM Internet Measurement Conference, IMC 2004</v>
      </c>
      <c r="B15217" s="8" t="str">
        <f>"9781581138214"</f>
        <v>9781581138214</v>
      </c>
      <c r="C15217" s="8" t="s">
        <v>21</v>
      </c>
    </row>
    <row r="15218" spans="1:3" x14ac:dyDescent="0.25">
      <c r="A15218" s="8" t="str">
        <f>"Proceedings of the 2004 ACM Symposium on Document Engineering"</f>
        <v>Proceedings of the 2004 ACM Symposium on Document Engineering</v>
      </c>
      <c r="B15218" s="8" t="str">
        <f>"9781581139389"</f>
        <v>9781581139389</v>
      </c>
      <c r="C15218" s="8" t="s">
        <v>21</v>
      </c>
    </row>
    <row r="15219" spans="1:3" x14ac:dyDescent="0.25">
      <c r="A15219" s="8" t="str">
        <f>"Proceedings of the 2004 ACM Workshop on Security of Ad Hoc and Sensor Networks, SASN'04"</f>
        <v>Proceedings of the 2004 ACM Workshop on Security of Ad Hoc and Sensor Networks, SASN'04</v>
      </c>
      <c r="B15219" s="8" t="str">
        <f>"9781581139723"</f>
        <v>9781581139723</v>
      </c>
      <c r="C15219" s="8" t="s">
        <v>21</v>
      </c>
    </row>
    <row r="15220" spans="1:3" x14ac:dyDescent="0.25">
      <c r="A15220" s="8" t="str">
        <f>"Proceedings of the 2004 ACM Workshop on Wireless Security, WiSe"</f>
        <v>Proceedings of the 2004 ACM Workshop on Wireless Security, WiSe</v>
      </c>
      <c r="B15220" s="8" t="str">
        <f>"9781581139259"</f>
        <v>9781581139259</v>
      </c>
      <c r="C15220" s="8" t="s">
        <v>21</v>
      </c>
    </row>
    <row r="15221" spans="1:3" x14ac:dyDescent="0.25">
      <c r="A15221" s="8" t="str">
        <f>"Proceedings of the 2004 Chinese Control and Decision Conference (16thCDC)"</f>
        <v>Proceedings of the 2004 Chinese Control and Decision Conference (16thCDC)</v>
      </c>
      <c r="B15221" s="8" t="str">
        <f>"9787810545006"</f>
        <v>9787810545006</v>
      </c>
      <c r="C15221" s="8" t="s">
        <v>342</v>
      </c>
    </row>
    <row r="15222" spans="1:3" x14ac:dyDescent="0.25">
      <c r="A15222" s="8" t="str">
        <f>"Proceedings of the 2004 Congress on Evolutionary Computation, CEC2004"</f>
        <v>Proceedings of the 2004 Congress on Evolutionary Computation, CEC2004</v>
      </c>
      <c r="B15222" s="8" t="str">
        <f>"9780780385153"</f>
        <v>9780780385153</v>
      </c>
      <c r="C15222" s="8" t="s">
        <v>105</v>
      </c>
    </row>
    <row r="15223" spans="1:3" x14ac:dyDescent="0.25">
      <c r="A15223" s="8" t="str">
        <f>"Proceedings of the 2004 Fall Technical Conference of the ASME Internal Combustion Engine Division"</f>
        <v>Proceedings of the 2004 Fall Technical Conference of the ASME Internal Combustion Engine Division</v>
      </c>
      <c r="B15223" s="8" t="str">
        <f>"9780791837467"</f>
        <v>9780791837467</v>
      </c>
      <c r="C15223" s="8" t="s">
        <v>1308</v>
      </c>
    </row>
    <row r="15224" spans="1:3" x14ac:dyDescent="0.25">
      <c r="A15224" s="8" t="str">
        <f>"Proceedings of the 2004 IEEE Dallas/CAS Workshop: Implementation of High Performance Circuits. DCAS-04"</f>
        <v>Proceedings of the 2004 IEEE Dallas/CAS Workshop: Implementation of High Performance Circuits. DCAS-04</v>
      </c>
      <c r="B15224" s="8" t="str">
        <f>"9780780387133"</f>
        <v>9780780387133</v>
      </c>
      <c r="C15224" s="8" t="s">
        <v>105</v>
      </c>
    </row>
    <row r="15225" spans="1:3" x14ac:dyDescent="0.25">
      <c r="A15225" s="8" t="str">
        <f>"Proceedings of the 2004 IEEE International Conference on Computational Intelligence for Homeland Security and Personal Safety, CIHSPS 2004"</f>
        <v>Proceedings of the 2004 IEEE International Conference on Computational Intelligence for Homeland Security and Personal Safety, CIHSPS 2004</v>
      </c>
      <c r="B15225" s="8" t="str">
        <f>"9780780383814"</f>
        <v>9780780383814</v>
      </c>
      <c r="C15225" s="8" t="s">
        <v>105</v>
      </c>
    </row>
    <row r="15226" spans="1:3" x14ac:dyDescent="0.25">
      <c r="A15226" s="8" t="str">
        <f>"Proceedings of the 2004 IEEE International Conference on Electric Utility Deregulation, Restructuring and Power Technologies (DRPT2004)"</f>
        <v>Proceedings of the 2004 IEEE International Conference on Electric Utility Deregulation, Restructuring and Power Technologies (DRPT2004)</v>
      </c>
      <c r="B15226" s="8" t="str">
        <f>"9780780382374"</f>
        <v>9780780382374</v>
      </c>
      <c r="C15226" s="8" t="s">
        <v>105</v>
      </c>
    </row>
    <row r="15227" spans="1:3" x14ac:dyDescent="0.25">
      <c r="A15227" s="8" t="str">
        <f>"Proceedings of the 2004 IEEE International Conference on Information Reuse and Integration, IRI-2004"</f>
        <v>Proceedings of the 2004 IEEE International Conference on Information Reuse and Integration, IRI-2004</v>
      </c>
      <c r="B15227" s="8" t="str">
        <f>"9780780388192"</f>
        <v>9780780388192</v>
      </c>
      <c r="C15227" s="8" t="s">
        <v>105</v>
      </c>
    </row>
    <row r="15228" spans="1:3" x14ac:dyDescent="0.25">
      <c r="A15228" s="8" t="str">
        <f>"Proceedings of the 2004 IEEE International Conference on Solid Dielectrics ICSD 2004"</f>
        <v>Proceedings of the 2004 IEEE International Conference on Solid Dielectrics ICSD 2004</v>
      </c>
      <c r="B15228" s="8" t="str">
        <f>"9780780383487"</f>
        <v>9780780383487</v>
      </c>
      <c r="C15228" s="8" t="s">
        <v>105</v>
      </c>
    </row>
    <row r="15229" spans="1:3" x14ac:dyDescent="0.25">
      <c r="A15229" s="8" t="str">
        <f>"Proceedings of the 2004 IEEE Symposium on Computational Intelligence in Bioinformatics and Computational Biology, CIBCB'04"</f>
        <v>Proceedings of the 2004 IEEE Symposium on Computational Intelligence in Bioinformatics and Computational Biology, CIBCB'04</v>
      </c>
      <c r="B15229" s="8" t="str">
        <f>"9780780387287"</f>
        <v>9780780387287</v>
      </c>
      <c r="C15229" s="8" t="s">
        <v>105</v>
      </c>
    </row>
    <row r="15230" spans="1:3" x14ac:dyDescent="0.25">
      <c r="A15230" s="8" t="str">
        <f>"Proceedings of the 2004 Intelligent Sensors, Sensor Networks and Information Processing Conference, ISSNIP '04"</f>
        <v>Proceedings of the 2004 Intelligent Sensors, Sensor Networks and Information Processing Conference, ISSNIP '04</v>
      </c>
      <c r="B15230" s="8" t="str">
        <f>"9780780388932"</f>
        <v>9780780388932</v>
      </c>
      <c r="C15230" s="8" t="s">
        <v>9</v>
      </c>
    </row>
    <row r="15231" spans="1:3" x14ac:dyDescent="0.25">
      <c r="A15231" s="8" t="str">
        <f>"Proceedings of the 2004 International Conference on Information Acquisition, ICIA 2004"</f>
        <v>Proceedings of the 2004 International Conference on Information Acquisition, ICIA 2004</v>
      </c>
      <c r="B15231" s="8" t="str">
        <f>"9780780386297"</f>
        <v>9780780386297</v>
      </c>
      <c r="C15231" s="8" t="s">
        <v>105</v>
      </c>
    </row>
    <row r="15232" spans="1:3" x14ac:dyDescent="0.25">
      <c r="A15232" s="8" t="str">
        <f>"Proceedings of the 2004 International Conference on Machine Learning and Applications, ICMLA '04"</f>
        <v>Proceedings of the 2004 International Conference on Machine Learning and Applications, ICMLA '04</v>
      </c>
      <c r="B15232" s="8" t="str">
        <f>"9780780388239"</f>
        <v>9780780388239</v>
      </c>
      <c r="C15232" s="8" t="s">
        <v>105</v>
      </c>
    </row>
    <row r="15233" spans="1:3" x14ac:dyDescent="0.25">
      <c r="A15233" s="8" t="str">
        <f>"Proceedings of the 2004 International Conference on Noise and Vibration Engineering, ISMA"</f>
        <v>Proceedings of the 2004 International Conference on Noise and Vibration Engineering, ISMA</v>
      </c>
      <c r="B15233" s="8" t="str">
        <f>"9789073802827"</f>
        <v>9789073802827</v>
      </c>
      <c r="C15233" s="8" t="s">
        <v>2124</v>
      </c>
    </row>
    <row r="15234" spans="1:3" x14ac:dyDescent="0.25">
      <c r="A15234" s="8" t="str">
        <f>"Proceedings of the 2004 International Congress on Advances in Nuclear Power Plants, ICAPP'04"</f>
        <v>Proceedings of the 2004 International Congress on Advances in Nuclear Power Plants, ICAPP'04</v>
      </c>
      <c r="B15234" s="8" t="str">
        <f>"9780894486807"</f>
        <v>9780894486807</v>
      </c>
      <c r="C15234" s="8" t="s">
        <v>453</v>
      </c>
    </row>
    <row r="15235" spans="1:3" x14ac:dyDescent="0.25">
      <c r="A15235" s="8" t="str">
        <f>"Proceedings of the 2004 International Meeting on LWR Fuel Performance"</f>
        <v>Proceedings of the 2004 International Meeting on LWR Fuel Performance</v>
      </c>
      <c r="B15235" s="8" t="str">
        <f>"9780894486876"</f>
        <v>9780894486876</v>
      </c>
      <c r="C15235" s="8" t="s">
        <v>453</v>
      </c>
    </row>
    <row r="15236" spans="1:3" x14ac:dyDescent="0.25">
      <c r="A15236" s="8" t="str">
        <f>"Proceedings of the 2004 International Symposium on Lower Power Electronics and Design, ISLPED'04"</f>
        <v>Proceedings of the 2004 International Symposium on Lower Power Electronics and Design, ISLPED'04</v>
      </c>
      <c r="B15236" s="8" t="str">
        <f>"9781581139297"</f>
        <v>9781581139297</v>
      </c>
      <c r="C15236" s="8" t="s">
        <v>21</v>
      </c>
    </row>
    <row r="15237" spans="1:3" x14ac:dyDescent="0.25">
      <c r="A15237" s="8" t="str">
        <f>"Proceedings of the 2004 International Symposium on Micro-NanoMechatronics and Human Science, MHS2004; The Fourth Symposium 'Micro-NanoMechatronics for and Information-Based Society' The 21st Century"</f>
        <v>Proceedings of the 2004 International Symposium on Micro-NanoMechatronics and Human Science, MHS2004; The Fourth Symposium 'Micro-NanoMechatronics for and Information-Based Society' The 21st Century</v>
      </c>
      <c r="B15237" s="8" t="str">
        <f>"9780780386075"</f>
        <v>9780780386075</v>
      </c>
      <c r="C15237" s="8" t="s">
        <v>105</v>
      </c>
    </row>
    <row r="15238" spans="1:3" x14ac:dyDescent="0.25">
      <c r="A15238" s="8" t="str">
        <f>"Proceedings of the 2004 International Workshop on Robot Sensing"</f>
        <v>Proceedings of the 2004 International Workshop on Robot Sensing</v>
      </c>
      <c r="B15238" s="8" t="str">
        <f>"9780780382961"</f>
        <v>9780780382961</v>
      </c>
      <c r="C15238" s="8" t="s">
        <v>105</v>
      </c>
    </row>
    <row r="15239" spans="1:3" x14ac:dyDescent="0.25">
      <c r="A15239" s="8" t="str">
        <f>"Proceedings of the 2004 Joint Workshop on Foundations of Mobile Computing, DIALM-POMC'04"</f>
        <v>Proceedings of the 2004 Joint Workshop on Foundations of Mobile Computing, DIALM-POMC'04</v>
      </c>
      <c r="B15239" s="8" t="str">
        <f>"9781581139211"</f>
        <v>9781581139211</v>
      </c>
      <c r="C15239" s="8" t="s">
        <v>21</v>
      </c>
    </row>
    <row r="15240" spans="1:3" x14ac:dyDescent="0.25">
      <c r="A15240" s="8" t="str">
        <f>"Proceedings of the 2004 Self-Sustaining Solutions for Streams, Wetlands, and Watersheds Conference"</f>
        <v>Proceedings of the 2004 Self-Sustaining Solutions for Streams, Wetlands, and Watersheds Conference</v>
      </c>
      <c r="B15240" s="8" t="str">
        <f>"9781892769442"</f>
        <v>9781892769442</v>
      </c>
      <c r="C15240" s="8" t="s">
        <v>140</v>
      </c>
    </row>
    <row r="15241" spans="1:3" x14ac:dyDescent="0.25">
      <c r="A15241" s="8" t="str">
        <f>"Proceedings of the 2004 Structures Congress - Building on the Past: Securing the Future"</f>
        <v>Proceedings of the 2004 Structures Congress - Building on the Past: Securing the Future</v>
      </c>
      <c r="B15241" s="8" t="str">
        <f>"9780784407004"</f>
        <v>9780784407004</v>
      </c>
      <c r="C15241" s="8" t="s">
        <v>111</v>
      </c>
    </row>
    <row r="15242" spans="1:3" x14ac:dyDescent="0.25">
      <c r="A15242" s="8" t="str">
        <f>"Proceedings of the 2004 Workshop on Computer Architecture Education, WCAE 2004 - Held in Conjunction with the 31st International Symposium on Computer Architecture, ISCA 2004"</f>
        <v>Proceedings of the 2004 Workshop on Computer Architecture Education, WCAE 2004 - Held in Conjunction with the 31st International Symposium on Computer Architecture, ISCA 2004</v>
      </c>
      <c r="B15242" s="8" t="str">
        <f>"-"</f>
        <v>-</v>
      </c>
      <c r="C15242" s="8" t="s">
        <v>21</v>
      </c>
    </row>
    <row r="15243" spans="1:3" x14ac:dyDescent="0.25">
      <c r="A15243" s="8" t="str">
        <f>"Proceedings of the 2004 Workshop on MEmory Performance: DEaling with Applications, Systems and Architecture, MEDEA '04"</f>
        <v>Proceedings of the 2004 Workshop on MEmory Performance: DEaling with Applications, Systems and Architecture, MEDEA '04</v>
      </c>
      <c r="B15243" s="8" t="str">
        <f>"-"</f>
        <v>-</v>
      </c>
      <c r="C15243" s="8" t="s">
        <v>21</v>
      </c>
    </row>
    <row r="15244" spans="1:3" x14ac:dyDescent="0.25">
      <c r="A15244" s="8" t="str">
        <f>"Proceedings of the 2004 World Water and Environmetal Resources Congress: Critical Transitions in Water and Environmetal Resources Management"</f>
        <v>Proceedings of the 2004 World Water and Environmetal Resources Congress: Critical Transitions in Water and Environmetal Resources Management</v>
      </c>
      <c r="B15244" s="8" t="str">
        <f>"9780784407370"</f>
        <v>9780784407370</v>
      </c>
      <c r="C15244" s="8" t="s">
        <v>73</v>
      </c>
    </row>
    <row r="15245" spans="1:3" x14ac:dyDescent="0.25">
      <c r="A15245" s="8" t="str">
        <f>"Proceedings of the 2005 29th Annual IEEE/NASA Software Engineering Workshop, SEW'05"</f>
        <v>Proceedings of the 2005 29th Annual IEEE/NASA Software Engineering Workshop, SEW'05</v>
      </c>
      <c r="B15245" s="8" t="str">
        <f>"-"</f>
        <v>-</v>
      </c>
      <c r="C15245" s="8" t="s">
        <v>9</v>
      </c>
    </row>
    <row r="15246" spans="1:3" x14ac:dyDescent="0.25">
      <c r="A15246" s="8" t="str">
        <f>"Proceedings of the 2005 3rd Workshop on Embedded Systems for Real-Time Multimedia"</f>
        <v>Proceedings of the 2005 3rd Workshop on Embedded Systems for Real-Time Multimedia</v>
      </c>
      <c r="B15246" s="8" t="str">
        <f>"-"</f>
        <v>-</v>
      </c>
      <c r="C15246" s="8" t="s">
        <v>9</v>
      </c>
    </row>
    <row r="15247" spans="1:3" x14ac:dyDescent="0.25">
      <c r="A15247" s="8" t="str">
        <f>"Proceedings of the 2005 ACM Symposium on Document Engineering"</f>
        <v>Proceedings of the 2005 ACM Symposium on Document Engineering</v>
      </c>
      <c r="B15247" s="8" t="str">
        <f>"-"</f>
        <v>-</v>
      </c>
      <c r="C15247" s="8" t="s">
        <v>21</v>
      </c>
    </row>
    <row r="15248" spans="1:3" x14ac:dyDescent="0.25">
      <c r="A15248" s="8" t="str">
        <f>"Proceedings of the 2005 ASCE International Conference on Computing in Civil Engineering"</f>
        <v>Proceedings of the 2005 ASCE International Conference on Computing in Civil Engineering</v>
      </c>
      <c r="B15248" s="8" t="str">
        <f>"9780784407943"</f>
        <v>9780784407943</v>
      </c>
      <c r="C15248" s="8" t="s">
        <v>111</v>
      </c>
    </row>
    <row r="15249" spans="1:3" x14ac:dyDescent="0.25">
      <c r="A15249" s="8" t="str">
        <f>"Proceedings of the 2005 Australasian Conference on Robotics and Automation, ACRA 2005"</f>
        <v>Proceedings of the 2005 Australasian Conference on Robotics and Automation, ACRA 2005</v>
      </c>
      <c r="B15249" s="8" t="str">
        <f>"9780958758376"</f>
        <v>9780958758376</v>
      </c>
      <c r="C15249" s="8" t="s">
        <v>2176</v>
      </c>
    </row>
    <row r="15250" spans="1:3" x14ac:dyDescent="0.25">
      <c r="A15250" s="8" t="str">
        <f>"Proceedings of the 2005 European Conference on Circuit Theory and Design"</f>
        <v>Proceedings of the 2005 European Conference on Circuit Theory and Design</v>
      </c>
      <c r="B15250" s="8" t="str">
        <f>"9780780390669"</f>
        <v>9780780390669</v>
      </c>
      <c r="C15250" s="8" t="s">
        <v>9</v>
      </c>
    </row>
    <row r="15251" spans="1:3" x14ac:dyDescent="0.25">
      <c r="A15251" s="8" t="str">
        <f>"Proceedings of the 2005 IEEE 9th International Conference on Rehabilitation Robotics"</f>
        <v>Proceedings of the 2005 IEEE 9th International Conference on Rehabilitation Robotics</v>
      </c>
      <c r="B15251" s="8" t="str">
        <f t="shared" ref="B15251:B15262" si="31">"-"</f>
        <v>-</v>
      </c>
      <c r="C15251" s="8" t="s">
        <v>9</v>
      </c>
    </row>
    <row r="15252" spans="1:3" x14ac:dyDescent="0.25">
      <c r="A15252" s="8" t="str">
        <f>"Proceedings of the 2005 IEEE Conference on Automation Science and Engineering, IEEE-CASE 2005"</f>
        <v>Proceedings of the 2005 IEEE Conference on Automation Science and Engineering, IEEE-CASE 2005</v>
      </c>
      <c r="B15252" s="8" t="str">
        <f t="shared" si="31"/>
        <v>-</v>
      </c>
      <c r="C15252" s="8" t="s">
        <v>9</v>
      </c>
    </row>
    <row r="15253" spans="1:3" x14ac:dyDescent="0.25">
      <c r="A15253" s="8" t="str">
        <f>"Proceedings of the 2005 IEEE Dallas/CAS Workshop: Architecture, Circuits and Implementation of SoCs, DCAS '05"</f>
        <v>Proceedings of the 2005 IEEE Dallas/CAS Workshop: Architecture, Circuits and Implementation of SoCs, DCAS '05</v>
      </c>
      <c r="B15253" s="8" t="str">
        <f t="shared" si="31"/>
        <v>-</v>
      </c>
      <c r="C15253" s="8" t="s">
        <v>9</v>
      </c>
    </row>
    <row r="15254" spans="1:3" x14ac:dyDescent="0.25">
      <c r="A15254" s="8" t="str">
        <f>"Proceedings of the 2005 IEEE International Conference on Computational Intelligence for Homeland Security and Personal Safety, CIHSPS 2005"</f>
        <v>Proceedings of the 2005 IEEE International Conference on Computational Intelligence for Homeland Security and Personal Safety, CIHSPS 2005</v>
      </c>
      <c r="B15254" s="8" t="str">
        <f t="shared" si="31"/>
        <v>-</v>
      </c>
      <c r="C15254" s="8" t="s">
        <v>9</v>
      </c>
    </row>
    <row r="15255" spans="1:3" x14ac:dyDescent="0.25">
      <c r="A15255" s="8" t="str">
        <f>"Proceedings of the 2005 IEEE International Conference on Computational Intelligence for Measurement Systems and Applications, CIMSA 2005"</f>
        <v>Proceedings of the 2005 IEEE International Conference on Computational Intelligence for Measurement Systems and Applications, CIMSA 2005</v>
      </c>
      <c r="B15255" s="8" t="str">
        <f t="shared" si="31"/>
        <v>-</v>
      </c>
      <c r="C15255" s="8" t="s">
        <v>9</v>
      </c>
    </row>
    <row r="15256" spans="1:3" x14ac:dyDescent="0.25">
      <c r="A15256" s="8" t="str">
        <f>"Proceedings of the 2005 IEEE International Conference on Information Reuse and Integration, IRI - 2005"</f>
        <v>Proceedings of the 2005 IEEE International Conference on Information Reuse and Integration, IRI - 2005</v>
      </c>
      <c r="B15256" s="8" t="str">
        <f t="shared" si="31"/>
        <v>-</v>
      </c>
      <c r="C15256" s="8" t="s">
        <v>9</v>
      </c>
    </row>
    <row r="15257" spans="1:3" x14ac:dyDescent="0.25">
      <c r="A15257" s="8" t="str">
        <f>"Proceedings of the 2005 IEEE International Conference on Mechatronics, ICM '05"</f>
        <v>Proceedings of the 2005 IEEE International Conference on Mechatronics, ICM '05</v>
      </c>
      <c r="B15257" s="8" t="str">
        <f t="shared" si="31"/>
        <v>-</v>
      </c>
      <c r="C15257" s="8" t="s">
        <v>9</v>
      </c>
    </row>
    <row r="15258" spans="1:3" x14ac:dyDescent="0.25">
      <c r="A15258" s="8" t="str">
        <f>"Proceedings of the 2005 IEEE International Symposium on Workload Characterization, IISWC-2005"</f>
        <v>Proceedings of the 2005 IEEE International Symposium on Workload Characterization, IISWC-2005</v>
      </c>
      <c r="B15258" s="8" t="str">
        <f t="shared" si="31"/>
        <v>-</v>
      </c>
      <c r="C15258" s="8" t="s">
        <v>9</v>
      </c>
    </row>
    <row r="15259" spans="1:3" x14ac:dyDescent="0.25">
      <c r="A15259" s="8" t="str">
        <f>"Proceedings of the 2005 IEEE International Workshop on Advanced Methods for Uncertainty Estimation in Measurement, AMUEM 2005"</f>
        <v>Proceedings of the 2005 IEEE International Workshop on Advanced Methods for Uncertainty Estimation in Measurement, AMUEM 2005</v>
      </c>
      <c r="B15259" s="8" t="str">
        <f t="shared" si="31"/>
        <v>-</v>
      </c>
      <c r="C15259" s="8" t="s">
        <v>9</v>
      </c>
    </row>
    <row r="15260" spans="1:3" x14ac:dyDescent="0.25">
      <c r="A15260" s="8" t="str">
        <f>"Proceedings of the 2005 IEEE International Workshop on Robotic Sensors: Robotic and Sensor Environments, ROSE 2005"</f>
        <v>Proceedings of the 2005 IEEE International Workshop on Robotic Sensors: Robotic and Sensor Environments, ROSE 2005</v>
      </c>
      <c r="B15260" s="8" t="str">
        <f t="shared" si="31"/>
        <v>-</v>
      </c>
      <c r="C15260" s="8" t="s">
        <v>9</v>
      </c>
    </row>
    <row r="15261" spans="1:3" x14ac:dyDescent="0.25">
      <c r="A15261" s="8" t="str">
        <f>"Proceedings of the 2005 IEEE International Workshop on Safety, Security and Rescue Robotics"</f>
        <v>Proceedings of the 2005 IEEE International Workshop on Safety, Security and Rescue Robotics</v>
      </c>
      <c r="B15261" s="8" t="str">
        <f t="shared" si="31"/>
        <v>-</v>
      </c>
      <c r="C15261" s="8" t="s">
        <v>9</v>
      </c>
    </row>
    <row r="15262" spans="1:3" x14ac:dyDescent="0.25">
      <c r="A15262" s="8" t="str">
        <f>"Proceedings of the 2005 IEEE International Workshop on Software Evolvability"</f>
        <v>Proceedings of the 2005 IEEE International Workshop on Software Evolvability</v>
      </c>
      <c r="B15262" s="8" t="str">
        <f t="shared" si="31"/>
        <v>-</v>
      </c>
      <c r="C15262" s="8" t="s">
        <v>9</v>
      </c>
    </row>
    <row r="15263" spans="1:3" x14ac:dyDescent="0.25">
      <c r="A15263" s="8" t="str">
        <f>"Proceedings of the 2005 IEEE International Workshop on VLSI Design and Video Technology, IWVDVT 2005"</f>
        <v>Proceedings of the 2005 IEEE International Workshop on VLSI Design and Video Technology, IWVDVT 2005</v>
      </c>
      <c r="B15263" s="8" t="str">
        <f>"9780780390065"</f>
        <v>9780780390065</v>
      </c>
      <c r="C15263" s="8" t="s">
        <v>105</v>
      </c>
    </row>
    <row r="15264" spans="1:3" x14ac:dyDescent="0.25">
      <c r="A15264" s="8" t="str">
        <f>"Proceedings of the 2005 IEEE Symposium on Computational Intelligence in Bioinformatics and Computational Biology, CIBCB '05"</f>
        <v>Proceedings of the 2005 IEEE Symposium on Computational Intelligence in Bioinformatics and Computational Biology, CIBCB '05</v>
      </c>
      <c r="B15264" s="8" t="str">
        <f>"-"</f>
        <v>-</v>
      </c>
      <c r="C15264" s="8" t="s">
        <v>9</v>
      </c>
    </row>
    <row r="15265" spans="1:3" x14ac:dyDescent="0.25">
      <c r="A15265" s="8" t="str">
        <f>"Proceedings of the 2005 IEEE Systems and Information Engineering Design Symposium"</f>
        <v>Proceedings of the 2005 IEEE Systems and Information Engineering Design Symposium</v>
      </c>
      <c r="B15265" s="8" t="str">
        <f>"-"</f>
        <v>-</v>
      </c>
      <c r="C15265" s="8" t="s">
        <v>9</v>
      </c>
    </row>
    <row r="15266" spans="1:3" x14ac:dyDescent="0.25">
      <c r="A15266" s="8" t="str">
        <f>"Proceedings of the 2005 Information Security Curriculum Development Conference, InfoSecCD '05"</f>
        <v>Proceedings of the 2005 Information Security Curriculum Development Conference, InfoSecCD '05</v>
      </c>
      <c r="B15266" s="8" t="str">
        <f>"9781595932617"</f>
        <v>9781595932617</v>
      </c>
      <c r="C15266" s="8" t="s">
        <v>21</v>
      </c>
    </row>
    <row r="15267" spans="1:3" x14ac:dyDescent="0.25">
      <c r="A15267" s="8" t="str">
        <f>"Proceedings of the 2005 Intelligent Sensors, Sensor Networks and Information Processing Conference"</f>
        <v>Proceedings of the 2005 Intelligent Sensors, Sensor Networks and Information Processing Conference</v>
      </c>
      <c r="B15267" s="8" t="str">
        <f>"-"</f>
        <v>-</v>
      </c>
      <c r="C15267" s="8" t="s">
        <v>9</v>
      </c>
    </row>
    <row r="15268" spans="1:3" x14ac:dyDescent="0.25">
      <c r="A15268" s="8" t="str">
        <f>"Proceedings of the 2005 International Conference on Active Media Technology, AMT 2005"</f>
        <v>Proceedings of the 2005 International Conference on Active Media Technology, AMT 2005</v>
      </c>
      <c r="B15268" s="8" t="str">
        <f>"-"</f>
        <v>-</v>
      </c>
      <c r="C15268" s="8" t="s">
        <v>9</v>
      </c>
    </row>
    <row r="15269" spans="1:3" x14ac:dyDescent="0.25">
      <c r="A15269" s="8" t="str">
        <f>"Proceedings of the 2005 International Conference on Algorithmic Mathematics and Computer Science, AMCS'05"</f>
        <v>Proceedings of the 2005 International Conference on Algorithmic Mathematics and Computer Science, AMCS'05</v>
      </c>
      <c r="B15269" s="8" t="str">
        <f>"9781932415636"</f>
        <v>9781932415636</v>
      </c>
      <c r="C15269" s="8" t="s">
        <v>1432</v>
      </c>
    </row>
    <row r="15270" spans="1:3" x14ac:dyDescent="0.25">
      <c r="A15270" s="8" t="str">
        <f>"Proceedings of the 2005 International Conference on Algorithmic Mathematics and Computer Science, AMCS'05"</f>
        <v>Proceedings of the 2005 International Conference on Algorithmic Mathematics and Computer Science, AMCS'05</v>
      </c>
      <c r="B15270" s="8" t="str">
        <f>"9781932415636"</f>
        <v>9781932415636</v>
      </c>
      <c r="C15270" s="8" t="s">
        <v>1432</v>
      </c>
    </row>
    <row r="15271" spans="1:3" x14ac:dyDescent="0.25">
      <c r="A15271" s="8" t="str">
        <f>"Proceedings of the 2005 International Conference on Artificial Intelligence, ICAI'05"</f>
        <v>Proceedings of the 2005 International Conference on Artificial Intelligence, ICAI'05</v>
      </c>
      <c r="B15271" s="8" t="str">
        <f>"9781932415667"</f>
        <v>9781932415667</v>
      </c>
      <c r="C15271" s="8" t="s">
        <v>1432</v>
      </c>
    </row>
    <row r="15272" spans="1:3" x14ac:dyDescent="0.25">
      <c r="A15272" s="8" t="str">
        <f>"Proceedings of the 2005 International Conference on Artificial Intelligence, ICAI'05"</f>
        <v>Proceedings of the 2005 International Conference on Artificial Intelligence, ICAI'05</v>
      </c>
      <c r="B15272" s="8" t="str">
        <f>"9781932415667"</f>
        <v>9781932415667</v>
      </c>
      <c r="C15272" s="8" t="s">
        <v>1432</v>
      </c>
    </row>
    <row r="15273" spans="1:3" x14ac:dyDescent="0.25">
      <c r="A15273" s="8" t="str">
        <f>"Proceedings of the 2005 International Conference on Artificial Intelligence, ICAI'05"</f>
        <v>Proceedings of the 2005 International Conference on Artificial Intelligence, ICAI'05</v>
      </c>
      <c r="B15273" s="8" t="str">
        <f>"9781932415674"</f>
        <v>9781932415674</v>
      </c>
      <c r="C15273" s="8" t="s">
        <v>1432</v>
      </c>
    </row>
    <row r="15274" spans="1:3" x14ac:dyDescent="0.25">
      <c r="A15274" s="8" t="str">
        <f>"Proceedings of the 2005 International Conference on Communications in Computing, CIC'05"</f>
        <v>Proceedings of the 2005 International Conference on Communications in Computing, CIC'05</v>
      </c>
      <c r="B15274" s="8" t="str">
        <f>"9781932415568"</f>
        <v>9781932415568</v>
      </c>
      <c r="C15274" s="8" t="s">
        <v>1432</v>
      </c>
    </row>
    <row r="15275" spans="1:3" x14ac:dyDescent="0.25">
      <c r="A15275" s="8" t="str">
        <f>"Proceedings of the 2005 International Conference on Communications in Computing, CIC'05"</f>
        <v>Proceedings of the 2005 International Conference on Communications in Computing, CIC'05</v>
      </c>
      <c r="B15275" s="8" t="str">
        <f>"9781932415568"</f>
        <v>9781932415568</v>
      </c>
      <c r="C15275" s="8" t="s">
        <v>1432</v>
      </c>
    </row>
    <row r="15276" spans="1:3" x14ac:dyDescent="0.25">
      <c r="A15276" s="8" t="str">
        <f>"Proceedings of the 2005 International Conference on Computer Design, CDES'05"</f>
        <v>Proceedings of the 2005 International Conference on Computer Design, CDES'05</v>
      </c>
      <c r="B15276" s="8" t="str">
        <f>"9781932415544"</f>
        <v>9781932415544</v>
      </c>
      <c r="C15276" s="8" t="s">
        <v>1432</v>
      </c>
    </row>
    <row r="15277" spans="1:3" x14ac:dyDescent="0.25">
      <c r="A15277" s="8" t="str">
        <f>"Proceedings of the 2005 International Conference on Computer Design, CDES'05"</f>
        <v>Proceedings of the 2005 International Conference on Computer Design, CDES'05</v>
      </c>
      <c r="B15277" s="8" t="str">
        <f>"9781932415544"</f>
        <v>9781932415544</v>
      </c>
      <c r="C15277" s="8" t="s">
        <v>1432</v>
      </c>
    </row>
    <row r="15278" spans="1:3" x14ac:dyDescent="0.25">
      <c r="A15278" s="8" t="str">
        <f>"Proceedings of the 2005 International Conference on Computer Vision, VISION'05"</f>
        <v>Proceedings of the 2005 International Conference on Computer Vision, VISION'05</v>
      </c>
      <c r="B15278" s="8" t="str">
        <f>"9781932415650"</f>
        <v>9781932415650</v>
      </c>
      <c r="C15278" s="8" t="s">
        <v>1432</v>
      </c>
    </row>
    <row r="15279" spans="1:3" x14ac:dyDescent="0.25">
      <c r="A15279" s="8" t="str">
        <f>"Proceedings of the 2005 International Conference on Computer Vision, VISION'05"</f>
        <v>Proceedings of the 2005 International Conference on Computer Vision, VISION'05</v>
      </c>
      <c r="B15279" s="8" t="str">
        <f>"9781932415650"</f>
        <v>9781932415650</v>
      </c>
      <c r="C15279" s="8" t="s">
        <v>1432</v>
      </c>
    </row>
    <row r="15280" spans="1:3" x14ac:dyDescent="0.25">
      <c r="A15280" s="8" t="str">
        <f>"Proceedings of the 2005 International Conference on Computers for People with Special Needs, CPSN'05"</f>
        <v>Proceedings of the 2005 International Conference on Computers for People with Special Needs, CPSN'05</v>
      </c>
      <c r="B15280" s="8" t="str">
        <f>"9781932415780"</f>
        <v>9781932415780</v>
      </c>
      <c r="C15280" s="8" t="s">
        <v>1432</v>
      </c>
    </row>
    <row r="15281" spans="1:3" x14ac:dyDescent="0.25">
      <c r="A15281" s="8" t="str">
        <f>"Proceedings of the 2005 International Conference on Computers for People with Special Needs, CPSN'05"</f>
        <v>Proceedings of the 2005 International Conference on Computers for People with Special Needs, CPSN'05</v>
      </c>
      <c r="B15281" s="8" t="str">
        <f>"9781932415780"</f>
        <v>9781932415780</v>
      </c>
      <c r="C15281" s="8" t="s">
        <v>1432</v>
      </c>
    </row>
    <row r="15282" spans="1:3" x14ac:dyDescent="0.25">
      <c r="A15282" s="8" t="str">
        <f>"Proceedings of the 2005 International Conference on Data Mining, DMIN'05"</f>
        <v>Proceedings of the 2005 International Conference on Data Mining, DMIN'05</v>
      </c>
      <c r="B15282" s="8" t="str">
        <f>"9781932415797"</f>
        <v>9781932415797</v>
      </c>
      <c r="C15282" s="8" t="s">
        <v>1432</v>
      </c>
    </row>
    <row r="15283" spans="1:3" x14ac:dyDescent="0.25">
      <c r="A15283" s="8" t="str">
        <f>"Proceedings of the 2005 International Conference on Data Mining, DMIN'05"</f>
        <v>Proceedings of the 2005 International Conference on Data Mining, DMIN'05</v>
      </c>
      <c r="B15283" s="8" t="str">
        <f>"9781932415797"</f>
        <v>9781932415797</v>
      </c>
      <c r="C15283" s="8" t="s">
        <v>1432</v>
      </c>
    </row>
    <row r="15284" spans="1:3" x14ac:dyDescent="0.25">
      <c r="A15284" s="8" t="str">
        <f>"Proceedings of the 2005 International Conference on e-Business, Enterprise Information Systems, e-Government, and Outsourcing, EEE'05"</f>
        <v>Proceedings of the 2005 International Conference on e-Business, Enterprise Information Systems, e-Government, and Outsourcing, EEE'05</v>
      </c>
      <c r="B15284" s="8" t="str">
        <f>"9781932415766"</f>
        <v>9781932415766</v>
      </c>
      <c r="C15284" s="8" t="s">
        <v>1432</v>
      </c>
    </row>
    <row r="15285" spans="1:3" x14ac:dyDescent="0.25">
      <c r="A15285" s="8" t="str">
        <f>"Proceedings of the 2005 International Conference on Embedded Systems and Applications, ESA'05"</f>
        <v>Proceedings of the 2005 International Conference on Embedded Systems and Applications, ESA'05</v>
      </c>
      <c r="B15285" s="8" t="str">
        <f>"9781932415537"</f>
        <v>9781932415537</v>
      </c>
      <c r="C15285" s="8" t="s">
        <v>1432</v>
      </c>
    </row>
    <row r="15286" spans="1:3" x14ac:dyDescent="0.25">
      <c r="A15286" s="8" t="str">
        <f>"Proceedings of the 2005 International Conference on Embedded Systems and Applications, ESA'05"</f>
        <v>Proceedings of the 2005 International Conference on Embedded Systems and Applications, ESA'05</v>
      </c>
      <c r="B15286" s="8" t="str">
        <f>"9781932415537"</f>
        <v>9781932415537</v>
      </c>
      <c r="C15286" s="8" t="s">
        <v>1432</v>
      </c>
    </row>
    <row r="15287" spans="1:3" x14ac:dyDescent="0.25">
      <c r="A15287" s="8" t="str">
        <f>"Proceedings of the 2005 International Conference on Engineering of Reconfigurable Systems and Algorithms, ERSA'05"</f>
        <v>Proceedings of the 2005 International Conference on Engineering of Reconfigurable Systems and Algorithms, ERSA'05</v>
      </c>
      <c r="B15287" s="8" t="str">
        <f>"9781932415742"</f>
        <v>9781932415742</v>
      </c>
      <c r="C15287" s="8" t="s">
        <v>1432</v>
      </c>
    </row>
    <row r="15288" spans="1:3" x14ac:dyDescent="0.25">
      <c r="A15288" s="8" t="str">
        <f>"Proceedings of the 2005 International Conference on Engineering of Reconfigurable Systems and Algorithms, ERSA'05"</f>
        <v>Proceedings of the 2005 International Conference on Engineering of Reconfigurable Systems and Algorithms, ERSA'05</v>
      </c>
      <c r="B15288" s="8" t="str">
        <f>"9781932415742"</f>
        <v>9781932415742</v>
      </c>
      <c r="C15288" s="8" t="s">
        <v>1432</v>
      </c>
    </row>
    <row r="15289" spans="1:3" x14ac:dyDescent="0.25">
      <c r="A15289" s="8" t="str">
        <f>"Proceedings of the 2005 International Conference on Foundations of Computer Science, FCS'05"</f>
        <v>Proceedings of the 2005 International Conference on Foundations of Computer Science, FCS'05</v>
      </c>
      <c r="B15289" s="8" t="str">
        <f>"9781932415711"</f>
        <v>9781932415711</v>
      </c>
      <c r="C15289" s="8" t="s">
        <v>1432</v>
      </c>
    </row>
    <row r="15290" spans="1:3" x14ac:dyDescent="0.25">
      <c r="A15290" s="8" t="str">
        <f>"Proceedings of the 2005 International Conference on Foundations of Computer Science, FCS'05"</f>
        <v>Proceedings of the 2005 International Conference on Foundations of Computer Science, FCS'05</v>
      </c>
      <c r="B15290" s="8" t="str">
        <f>"9781932415711"</f>
        <v>9781932415711</v>
      </c>
      <c r="C15290" s="8" t="s">
        <v>1432</v>
      </c>
    </row>
    <row r="15291" spans="1:3" x14ac:dyDescent="0.25">
      <c r="A15291" s="8" t="str">
        <f>"Proceedings of the 2005 International Conference on Frontiers in Education: Computer Science and Computer Engineering, FECS'05"</f>
        <v>Proceedings of the 2005 International Conference on Frontiers in Education: Computer Science and Computer Engineering, FECS'05</v>
      </c>
      <c r="B15291" s="8" t="str">
        <f>"9781932415841"</f>
        <v>9781932415841</v>
      </c>
      <c r="C15291" s="8" t="s">
        <v>1432</v>
      </c>
    </row>
    <row r="15292" spans="1:3" x14ac:dyDescent="0.25">
      <c r="A15292" s="8" t="str">
        <f>"Proceedings of the 2005 International Conference on Frontiers in Education: Computer Science and Computer Engineering, FECS'05"</f>
        <v>Proceedings of the 2005 International Conference on Frontiers in Education: Computer Science and Computer Engineering, FECS'05</v>
      </c>
      <c r="B15292" s="8" t="str">
        <f>"9781932415841"</f>
        <v>9781932415841</v>
      </c>
      <c r="C15292" s="8" t="s">
        <v>1432</v>
      </c>
    </row>
    <row r="15293" spans="1:3" x14ac:dyDescent="0.25">
      <c r="A15293" s="8" t="str">
        <f>"Proceedings of the 2005 International Conference on Grid Computing and Applications, GCA'05"</f>
        <v>Proceedings of the 2005 International Conference on Grid Computing and Applications, GCA'05</v>
      </c>
      <c r="B15293" s="8" t="str">
        <f>"9781932415575"</f>
        <v>9781932415575</v>
      </c>
      <c r="C15293" s="8" t="s">
        <v>1432</v>
      </c>
    </row>
    <row r="15294" spans="1:3" x14ac:dyDescent="0.25">
      <c r="A15294" s="8" t="str">
        <f>"Proceedings of the 2005 International Conference on Grid Computing and Applications, GCA'05"</f>
        <v>Proceedings of the 2005 International Conference on Grid Computing and Applications, GCA'05</v>
      </c>
      <c r="B15294" s="8" t="str">
        <f>"9781932415575"</f>
        <v>9781932415575</v>
      </c>
      <c r="C15294" s="8" t="s">
        <v>1432</v>
      </c>
    </row>
    <row r="15295" spans="1:3" x14ac:dyDescent="0.25">
      <c r="A15295" s="8" t="str">
        <f>"Proceedings of the 2005 International Conference on Human-Computer Interaction, HCI'05"</f>
        <v>Proceedings of the 2005 International Conference on Human-Computer Interaction, HCI'05</v>
      </c>
      <c r="B15295" s="8" t="str">
        <f>"9781932415803"</f>
        <v>9781932415803</v>
      </c>
      <c r="C15295" s="8" t="s">
        <v>1432</v>
      </c>
    </row>
    <row r="15296" spans="1:3" x14ac:dyDescent="0.25">
      <c r="A15296" s="8" t="str">
        <f>"Proceedings of the 2005 International Conference on Human-Computer Interaction, HCI'05"</f>
        <v>Proceedings of the 2005 International Conference on Human-Computer Interaction, HCI'05</v>
      </c>
      <c r="B15296" s="8" t="str">
        <f>"9781932415803"</f>
        <v>9781932415803</v>
      </c>
      <c r="C15296" s="8" t="s">
        <v>1432</v>
      </c>
    </row>
    <row r="15297" spans="1:3" x14ac:dyDescent="0.25">
      <c r="A15297" s="8" t="str">
        <f>"Proceedings of the 2005 International Conference on Imaging Science, Systems, and Technology: Computer Graphics, CISST'05"</f>
        <v>Proceedings of the 2005 International Conference on Imaging Science, Systems, and Technology: Computer Graphics, CISST'05</v>
      </c>
      <c r="B15297" s="8" t="str">
        <f>"9781932415643"</f>
        <v>9781932415643</v>
      </c>
      <c r="C15297" s="8" t="s">
        <v>1432</v>
      </c>
    </row>
    <row r="15298" spans="1:3" x14ac:dyDescent="0.25">
      <c r="A15298" s="8" t="str">
        <f>"Proceedings of the 2005 International Conference on Imaging Science, Systems, and Technology: Computer Graphics, CISST'05"</f>
        <v>Proceedings of the 2005 International Conference on Imaging Science, Systems, and Technology: Computer Graphics, CISST'05</v>
      </c>
      <c r="B15298" s="8" t="str">
        <f>"9781932415643"</f>
        <v>9781932415643</v>
      </c>
      <c r="C15298" s="8" t="s">
        <v>1432</v>
      </c>
    </row>
    <row r="15299" spans="1:3" x14ac:dyDescent="0.25">
      <c r="A15299" s="8" t="str">
        <f>"Proceedings of the 2005 International Conference on Informatics Education Research"</f>
        <v>Proceedings of the 2005 International Conference on Informatics Education Research</v>
      </c>
      <c r="B15299" s="8" t="str">
        <f>"-"</f>
        <v>-</v>
      </c>
      <c r="C15299" s="8" t="s">
        <v>289</v>
      </c>
    </row>
    <row r="15300" spans="1:3" x14ac:dyDescent="0.25">
      <c r="A15300" s="8" t="str">
        <f>"Proceedings of the 2005 International Conference on Information and Knowledge Engineering, IKE'05"</f>
        <v>Proceedings of the 2005 International Conference on Information and Knowledge Engineering, IKE'05</v>
      </c>
      <c r="B15300" s="8" t="str">
        <f>"9781932415810"</f>
        <v>9781932415810</v>
      </c>
      <c r="C15300" s="8" t="s">
        <v>1432</v>
      </c>
    </row>
    <row r="15301" spans="1:3" x14ac:dyDescent="0.25">
      <c r="A15301" s="8" t="str">
        <f>"Proceedings of the 2005 International Conference on Information and Knowledge Engineering, IKE'05"</f>
        <v>Proceedings of the 2005 International Conference on Information and Knowledge Engineering, IKE'05</v>
      </c>
      <c r="B15301" s="8" t="str">
        <f>"9781932415810"</f>
        <v>9781932415810</v>
      </c>
      <c r="C15301" s="8" t="s">
        <v>1432</v>
      </c>
    </row>
    <row r="15302" spans="1:3" x14ac:dyDescent="0.25">
      <c r="A15302" s="8" t="str">
        <f>"Proceedings of the 2005 International Conference on Information Quality, ICIQ 2005"</f>
        <v>Proceedings of the 2005 International Conference on Information Quality, ICIQ 2005</v>
      </c>
      <c r="B15302" s="8" t="str">
        <f>"9781586035952"</f>
        <v>9781586035952</v>
      </c>
      <c r="C15302" s="8" t="s">
        <v>1107</v>
      </c>
    </row>
    <row r="15303" spans="1:3" x14ac:dyDescent="0.25">
      <c r="A15303" s="8" t="str">
        <f>"Proceedings of the 2005 International Conference on Internet Computing, ICOMP'05"</f>
        <v>Proceedings of the 2005 International Conference on Internet Computing, ICOMP'05</v>
      </c>
      <c r="B15303" s="8" t="str">
        <f>"9781932415698"</f>
        <v>9781932415698</v>
      </c>
      <c r="C15303" s="8" t="s">
        <v>1432</v>
      </c>
    </row>
    <row r="15304" spans="1:3" x14ac:dyDescent="0.25">
      <c r="A15304" s="8" t="str">
        <f>"Proceedings of the 2005 International Conference on Internet Computing, ICOMP'05"</f>
        <v>Proceedings of the 2005 International Conference on Internet Computing, ICOMP'05</v>
      </c>
      <c r="B15304" s="8" t="str">
        <f>"9781932415698"</f>
        <v>9781932415698</v>
      </c>
      <c r="C15304" s="8" t="s">
        <v>1432</v>
      </c>
    </row>
    <row r="15305" spans="1:3" x14ac:dyDescent="0.25">
      <c r="A15305" s="8" t="str">
        <f>"Proceedings of the 2005 International Conference on Machine Learning; Models, Technologies and Applications, MLMTA'05"</f>
        <v>Proceedings of the 2005 International Conference on Machine Learning; Models, Technologies and Applications, MLMTA'05</v>
      </c>
      <c r="B15305" s="8" t="str">
        <f>"9781932415735"</f>
        <v>9781932415735</v>
      </c>
      <c r="C15305" s="8" t="s">
        <v>1432</v>
      </c>
    </row>
    <row r="15306" spans="1:3" x14ac:dyDescent="0.25">
      <c r="A15306" s="8" t="str">
        <f>"Proceedings of the 2005 International Conference on Machine Learning; Models, Technologies and Applications, MLMTA'05"</f>
        <v>Proceedings of the 2005 International Conference on Machine Learning; Models, Technologies and Applications, MLMTA'05</v>
      </c>
      <c r="B15306" s="8" t="str">
        <f>"9781932415735"</f>
        <v>9781932415735</v>
      </c>
      <c r="C15306" s="8" t="s">
        <v>1432</v>
      </c>
    </row>
    <row r="15307" spans="1:3" x14ac:dyDescent="0.25">
      <c r="A15307" s="8" t="str">
        <f>"Proceedings of the 2005 International Conference on Mathematics and Engineering Techniques in Medicine and Biological Sciences, METMBS'05"</f>
        <v>Proceedings of the 2005 International Conference on Mathematics and Engineering Techniques in Medicine and Biological Sciences, METMBS'05</v>
      </c>
      <c r="B15307" s="8" t="str">
        <f>"9781932415834"</f>
        <v>9781932415834</v>
      </c>
      <c r="C15307" s="8" t="s">
        <v>1432</v>
      </c>
    </row>
    <row r="15308" spans="1:3" x14ac:dyDescent="0.25">
      <c r="A15308" s="8" t="str">
        <f>"Proceedings of the 2005 International Conference on Mathematics and Engineering Techniques in Medicine and Biological Sciences, METMBS'05"</f>
        <v>Proceedings of the 2005 International Conference on Mathematics and Engineering Techniques in Medicine and Biological Sciences, METMBS'05</v>
      </c>
      <c r="B15308" s="8" t="str">
        <f>"9781932415834"</f>
        <v>9781932415834</v>
      </c>
      <c r="C15308" s="8" t="s">
        <v>1432</v>
      </c>
    </row>
    <row r="15309" spans="1:3" x14ac:dyDescent="0.25">
      <c r="A15309" s="8" t="str">
        <f>"Proceedings of the 2005 International Conference on Modeling, Simulation and Visualization Methods, MSV'05"</f>
        <v>Proceedings of the 2005 International Conference on Modeling, Simulation and Visualization Methods, MSV'05</v>
      </c>
      <c r="B15309" s="8" t="str">
        <f>"9781932415704"</f>
        <v>9781932415704</v>
      </c>
      <c r="C15309" s="8" t="s">
        <v>1432</v>
      </c>
    </row>
    <row r="15310" spans="1:3" x14ac:dyDescent="0.25">
      <c r="A15310" s="8" t="str">
        <f>"Proceedings of the 2005 International Conference on Modeling, Simulation and Visualization Methods, MSV'05"</f>
        <v>Proceedings of the 2005 International Conference on Modeling, Simulation and Visualization Methods, MSV'05</v>
      </c>
      <c r="B15310" s="8" t="str">
        <f>"9781932415704"</f>
        <v>9781932415704</v>
      </c>
      <c r="C15310" s="8" t="s">
        <v>1432</v>
      </c>
    </row>
    <row r="15311" spans="1:3" x14ac:dyDescent="0.25">
      <c r="A15311" s="8" t="str">
        <f>"Proceedings of the 2005 International Conference on Parallel and Distributed Processing Techniques and Applications, PDPTA'05"</f>
        <v>Proceedings of the 2005 International Conference on Parallel and Distributed Processing Techniques and Applications, PDPTA'05</v>
      </c>
      <c r="B15311" s="8" t="str">
        <f>"9781932415582"</f>
        <v>9781932415582</v>
      </c>
      <c r="C15311" s="8" t="s">
        <v>1432</v>
      </c>
    </row>
    <row r="15312" spans="1:3" x14ac:dyDescent="0.25">
      <c r="A15312" s="8" t="str">
        <f>"Proceedings of the 2005 International Conference on Parallel and Distributed Processing Techniques and Applications, PDPTA'05"</f>
        <v>Proceedings of the 2005 International Conference on Parallel and Distributed Processing Techniques and Applications, PDPTA'05</v>
      </c>
      <c r="B15312" s="8" t="str">
        <f>"9781932415582"</f>
        <v>9781932415582</v>
      </c>
      <c r="C15312" s="8" t="s">
        <v>1432</v>
      </c>
    </row>
    <row r="15313" spans="1:3" x14ac:dyDescent="0.25">
      <c r="A15313" s="8" t="str">
        <f>"Proceedings of the 2005 International Conference on Parallel and Distributed Processing Techniques and Applications, PDPTA'05"</f>
        <v>Proceedings of the 2005 International Conference on Parallel and Distributed Processing Techniques and Applications, PDPTA'05</v>
      </c>
      <c r="B15313" s="8" t="str">
        <f>"9781932415599"</f>
        <v>9781932415599</v>
      </c>
      <c r="C15313" s="8" t="s">
        <v>1432</v>
      </c>
    </row>
    <row r="15314" spans="1:3" x14ac:dyDescent="0.25">
      <c r="A15314" s="8" t="str">
        <f>"Proceedings of the 2005 International Conference on Parallel and Distributed Processing Techniques and Applications, PDPTA'05"</f>
        <v>Proceedings of the 2005 International Conference on Parallel and Distributed Processing Techniques and Applications, PDPTA'05</v>
      </c>
      <c r="B15314" s="8" t="str">
        <f>"9781932415605"</f>
        <v>9781932415605</v>
      </c>
      <c r="C15314" s="8" t="s">
        <v>1432</v>
      </c>
    </row>
    <row r="15315" spans="1:3" x14ac:dyDescent="0.25">
      <c r="A15315" s="8" t="str">
        <f>"Proceedings of the 2005 International Conference on Pervasive Systems and Computing, PSC'05"</f>
        <v>Proceedings of the 2005 International Conference on Pervasive Systems and Computing, PSC'05</v>
      </c>
      <c r="B15315" s="8" t="str">
        <f>"9781932415520"</f>
        <v>9781932415520</v>
      </c>
      <c r="C15315" s="8" t="s">
        <v>1432</v>
      </c>
    </row>
    <row r="15316" spans="1:3" x14ac:dyDescent="0.25">
      <c r="A15316" s="8" t="str">
        <f>"Proceedings of the 2005 International Conference on Pervasive Systems and Computing, PSC'05"</f>
        <v>Proceedings of the 2005 International Conference on Pervasive Systems and Computing, PSC'05</v>
      </c>
      <c r="B15316" s="8" t="str">
        <f>"9781932415520"</f>
        <v>9781932415520</v>
      </c>
      <c r="C15316" s="8" t="s">
        <v>1432</v>
      </c>
    </row>
    <row r="15317" spans="1:3" x14ac:dyDescent="0.25">
      <c r="A15317" s="8" t="str">
        <f>"Proceedings of the 2005 International Conference on Programming Languages and Compilers, PLC'05"</f>
        <v>Proceedings of the 2005 International Conference on Programming Languages and Compilers, PLC'05</v>
      </c>
      <c r="B15317" s="8" t="str">
        <f>"9781932415759"</f>
        <v>9781932415759</v>
      </c>
      <c r="C15317" s="8" t="s">
        <v>1432</v>
      </c>
    </row>
    <row r="15318" spans="1:3" x14ac:dyDescent="0.25">
      <c r="A15318" s="8" t="str">
        <f>"Proceedings of the 2005 International Conference on Programming Languages and Compilers, PLC'05"</f>
        <v>Proceedings of the 2005 International Conference on Programming Languages and Compilers, PLC'05</v>
      </c>
      <c r="B15318" s="8" t="str">
        <f>"9781932415759"</f>
        <v>9781932415759</v>
      </c>
      <c r="C15318" s="8" t="s">
        <v>1432</v>
      </c>
    </row>
    <row r="15319" spans="1:3" x14ac:dyDescent="0.25">
      <c r="A15319" s="8" t="str">
        <f>"Proceedings of the 2005 International Conference on Scientific Computing, CSC'05"</f>
        <v>Proceedings of the 2005 International Conference on Scientific Computing, CSC'05</v>
      </c>
      <c r="B15319" s="8" t="str">
        <f>"9781932415629"</f>
        <v>9781932415629</v>
      </c>
      <c r="C15319" s="8" t="s">
        <v>1432</v>
      </c>
    </row>
    <row r="15320" spans="1:3" x14ac:dyDescent="0.25">
      <c r="A15320" s="8" t="str">
        <f>"Proceedings of the 2005 International Conference on Scientific Computing, CSC'05"</f>
        <v>Proceedings of the 2005 International Conference on Scientific Computing, CSC'05</v>
      </c>
      <c r="B15320" s="8" t="str">
        <f>"9781932415629"</f>
        <v>9781932415629</v>
      </c>
      <c r="C15320" s="8" t="s">
        <v>1432</v>
      </c>
    </row>
    <row r="15321" spans="1:3" x14ac:dyDescent="0.25">
      <c r="A15321" s="8" t="str">
        <f>"Proceedings of the 2005 International Conference on Security and Management, SAM'05"</f>
        <v>Proceedings of the 2005 International Conference on Security and Management, SAM'05</v>
      </c>
      <c r="B15321" s="8" t="str">
        <f>"9781932415827"</f>
        <v>9781932415827</v>
      </c>
      <c r="C15321" s="8" t="s">
        <v>1432</v>
      </c>
    </row>
    <row r="15322" spans="1:3" x14ac:dyDescent="0.25">
      <c r="A15322" s="8" t="str">
        <f>"Proceedings of the 2005 International Conference on Security and Management, SAM'05"</f>
        <v>Proceedings of the 2005 International Conference on Security and Management, SAM'05</v>
      </c>
      <c r="B15322" s="8" t="str">
        <f>"9781932415827"</f>
        <v>9781932415827</v>
      </c>
      <c r="C15322" s="8" t="s">
        <v>1432</v>
      </c>
    </row>
    <row r="15323" spans="1:3" x14ac:dyDescent="0.25">
      <c r="A15323" s="8" t="str">
        <f>"Proceedings of The 2005 International Conference on Security and Management, SAM'05"</f>
        <v>Proceedings of The 2005 International Conference on Security and Management, SAM'05</v>
      </c>
      <c r="B15323" s="8" t="str">
        <f>"9781932415827"</f>
        <v>9781932415827</v>
      </c>
      <c r="C15323" s="8" t="s">
        <v>1432</v>
      </c>
    </row>
    <row r="15324" spans="1:3" x14ac:dyDescent="0.25">
      <c r="A15324" s="8" t="str">
        <f>"Proceedings of the 2005 International Conference on Software Engineering Research and Practice, SERP'05"</f>
        <v>Proceedings of the 2005 International Conference on Software Engineering Research and Practice, SERP'05</v>
      </c>
      <c r="B15324" s="8" t="str">
        <f>"9781932415490"</f>
        <v>9781932415490</v>
      </c>
      <c r="C15324" s="8" t="s">
        <v>1432</v>
      </c>
    </row>
    <row r="15325" spans="1:3" x14ac:dyDescent="0.25">
      <c r="A15325" s="8" t="str">
        <f>"Proceedings of the 2005 International Conference on Software Engineering Research and Practice, SERP'05"</f>
        <v>Proceedings of the 2005 International Conference on Software Engineering Research and Practice, SERP'05</v>
      </c>
      <c r="B15325" s="8" t="str">
        <f>"9781932415490"</f>
        <v>9781932415490</v>
      </c>
      <c r="C15325" s="8" t="s">
        <v>1432</v>
      </c>
    </row>
    <row r="15326" spans="1:3" x14ac:dyDescent="0.25">
      <c r="A15326" s="8" t="str">
        <f>"Proceedings of the 2005 International Conference on Software Engineering Research and Practice, SERP'05"</f>
        <v>Proceedings of the 2005 International Conference on Software Engineering Research and Practice, SERP'05</v>
      </c>
      <c r="B15326" s="8" t="str">
        <f>"9781932415506"</f>
        <v>9781932415506</v>
      </c>
      <c r="C15326" s="8" t="s">
        <v>1432</v>
      </c>
    </row>
    <row r="15327" spans="1:3" x14ac:dyDescent="0.25">
      <c r="A15327" s="8" t="str">
        <f>"Proceedings of the 2005 International Conference on Wireless Networks, ICWN'05"</f>
        <v>Proceedings of the 2005 International Conference on Wireless Networks, ICWN'05</v>
      </c>
      <c r="B15327" s="8" t="str">
        <f>"9781932415551"</f>
        <v>9781932415551</v>
      </c>
      <c r="C15327" s="8" t="s">
        <v>1432</v>
      </c>
    </row>
    <row r="15328" spans="1:3" x14ac:dyDescent="0.25">
      <c r="A15328" s="8" t="str">
        <f>"Proceedings of the 2005 International Conference on Wireless Networks, ICWN'05"</f>
        <v>Proceedings of the 2005 International Conference on Wireless Networks, ICWN'05</v>
      </c>
      <c r="B15328" s="8" t="str">
        <f>"9781932415551"</f>
        <v>9781932415551</v>
      </c>
      <c r="C15328" s="8" t="s">
        <v>1432</v>
      </c>
    </row>
    <row r="15329" spans="1:3" x14ac:dyDescent="0.25">
      <c r="A15329" s="8" t="str">
        <f>"Proceedings of the 2005 International Symposium on Code Generation and Optimization, CGO 2005"</f>
        <v>Proceedings of the 2005 International Symposium on Code Generation and Optimization, CGO 2005</v>
      </c>
      <c r="B15329" s="8" t="str">
        <f>"-"</f>
        <v>-</v>
      </c>
      <c r="C15329" s="8" t="s">
        <v>9</v>
      </c>
    </row>
    <row r="15330" spans="1:3" x14ac:dyDescent="0.25">
      <c r="A15330" s="8" t="str">
        <f>"Proceedings of the 2005 International Symposium on Micro-NanoMechatronics and Human Science, Eighth Symposium on Micro- and Nano-Mechatronics for Information-Based Society - The 21st Century COE Progr"</f>
        <v>Proceedings of the 2005 International Symposium on Micro-NanoMechatronics and Human Science, Eighth Symposium on Micro- and Nano-Mechatronics for Information-Based Society - The 21st Century COE Progr</v>
      </c>
      <c r="B15330" s="8" t="str">
        <f>"-"</f>
        <v>-</v>
      </c>
      <c r="C15330" s="8" t="s">
        <v>9</v>
      </c>
    </row>
    <row r="15331" spans="1:3" x14ac:dyDescent="0.25">
      <c r="A15331" s="8" t="str">
        <f>"Proceedings of the 2005 International Symposium on Web Services and Applications, ISWS'05"</f>
        <v>Proceedings of the 2005 International Symposium on Web Services and Applications, ISWS'05</v>
      </c>
      <c r="B15331" s="8" t="str">
        <f>"9781932415728"</f>
        <v>9781932415728</v>
      </c>
      <c r="C15331" s="8" t="s">
        <v>1432</v>
      </c>
    </row>
    <row r="15332" spans="1:3" x14ac:dyDescent="0.25">
      <c r="A15332" s="8" t="str">
        <f>"Proceedings of the 2005 International Symposium on Web Services and Applications, ISWS'05"</f>
        <v>Proceedings of the 2005 International Symposium on Web Services and Applications, ISWS'05</v>
      </c>
      <c r="B15332" s="8" t="str">
        <f>"9781932415728"</f>
        <v>9781932415728</v>
      </c>
      <c r="C15332" s="8" t="s">
        <v>1432</v>
      </c>
    </row>
    <row r="15333" spans="1:3" x14ac:dyDescent="0.25">
      <c r="A15333" s="8" t="str">
        <f>"Proceedings of the 2005 Joint Workshop on Foundations of Mobile Computing, DIALM-POMC'05"</f>
        <v>Proceedings of the 2005 Joint Workshop on Foundations of Mobile Computing, DIALM-POMC'05</v>
      </c>
      <c r="B15333" s="8" t="str">
        <f>"-"</f>
        <v>-</v>
      </c>
      <c r="C15333" s="8" t="s">
        <v>21</v>
      </c>
    </row>
    <row r="15334" spans="1:3" x14ac:dyDescent="0.25">
      <c r="A15334" s="8" t="str">
        <f>"Proceedings of the 2005 OOPSLA Workshop on Eclipse Technology eXchange, eclipse'05"</f>
        <v>Proceedings of the 2005 OOPSLA Workshop on Eclipse Technology eXchange, eclipse'05</v>
      </c>
      <c r="B15334" s="8" t="str">
        <f>"9781595933423"</f>
        <v>9781595933423</v>
      </c>
      <c r="C15334" s="8" t="s">
        <v>21</v>
      </c>
    </row>
    <row r="15335" spans="1:3" x14ac:dyDescent="0.25">
      <c r="A15335" s="8" t="str">
        <f>"Proceedings of the 2005 SEM Annual Conference and Exposition on Experimental and Applied Mechanics"</f>
        <v>Proceedings of the 2005 SEM Annual Conference and Exposition on Experimental and Applied Mechanics</v>
      </c>
      <c r="B15335" s="8" t="str">
        <f>"9780912053905"</f>
        <v>9780912053905</v>
      </c>
      <c r="C15335" s="8" t="s">
        <v>996</v>
      </c>
    </row>
    <row r="15336" spans="1:3" x14ac:dyDescent="0.25">
      <c r="A15336" s="8" t="str">
        <f>"Proceedings of the 2005 SIAM International Conference on Data Mining, SDM 2005"</f>
        <v>Proceedings of the 2005 SIAM International Conference on Data Mining, SDM 2005</v>
      </c>
      <c r="B15336" s="8" t="str">
        <f>"-"</f>
        <v>-</v>
      </c>
      <c r="C15336" s="8" t="s">
        <v>249</v>
      </c>
    </row>
    <row r="15337" spans="1:3" x14ac:dyDescent="0.25">
      <c r="A15337" s="8" t="str">
        <f>"Proceedings of the 2005 Summer Bioengineering Conference"</f>
        <v>Proceedings of the 2005 Summer Bioengineering Conference</v>
      </c>
      <c r="B15337" s="8" t="str">
        <f>"-"</f>
        <v>-</v>
      </c>
      <c r="C15337" s="8" t="s">
        <v>73</v>
      </c>
    </row>
    <row r="15338" spans="1:3" x14ac:dyDescent="0.25">
      <c r="A15338" s="8" t="str">
        <f>"Proceedings of the 2005 UK Workshop on Computational Intelligence, UKCI 2005"</f>
        <v>Proceedings of the 2005 UK Workshop on Computational Intelligence, UKCI 2005</v>
      </c>
      <c r="B15338" s="8" t="str">
        <f>"-"</f>
        <v>-</v>
      </c>
      <c r="C15338" s="8" t="s">
        <v>2177</v>
      </c>
    </row>
    <row r="15339" spans="1:3" x14ac:dyDescent="0.25">
      <c r="A15339" s="8" t="str">
        <f>"Proceedings of the 2005 Watershed Management Conference - Managing Watersheds for Human and Natural Impacts: Engineering, Ecological, and Economic Challenges"</f>
        <v>Proceedings of the 2005 Watershed Management Conference - Managing Watersheds for Human and Natural Impacts: Engineering, Ecological, and Economic Challenges</v>
      </c>
      <c r="B15339" s="8" t="str">
        <f>"9780784407639"</f>
        <v>9780784407639</v>
      </c>
      <c r="C15339" s="8" t="s">
        <v>111</v>
      </c>
    </row>
    <row r="15340" spans="1:3" x14ac:dyDescent="0.25">
      <c r="A15340" s="8" t="str">
        <f>"Proceedings of the 2005 Workshop on Issues in the Theory of Security, WITS '05"</f>
        <v>Proceedings of the 2005 Workshop on Issues in the Theory of Security, WITS '05</v>
      </c>
      <c r="B15340" s="8" t="str">
        <f>"9781581139808"</f>
        <v>9781581139808</v>
      </c>
      <c r="C15340" s="8" t="s">
        <v>21</v>
      </c>
    </row>
    <row r="15341" spans="1:3" x14ac:dyDescent="0.25">
      <c r="A15341" s="8" t="str">
        <f>"Proceedings of the 2005 Workshop on Realising Evidence-Based Software Engineering, REBSE '05"</f>
        <v>Proceedings of the 2005 Workshop on Realising Evidence-Based Software Engineering, REBSE '05</v>
      </c>
      <c r="B15341" s="8" t="str">
        <f>"9781595931214"</f>
        <v>9781595931214</v>
      </c>
      <c r="C15341" s="8" t="s">
        <v>21</v>
      </c>
    </row>
    <row r="15342" spans="1:3" x14ac:dyDescent="0.25">
      <c r="A15342" s="8" t="str">
        <f>"Proceedings of the 2006 16th IEEE Signal Processing Society Workshop on Machine Learning for Signal Processing, MLSP 2006"</f>
        <v>Proceedings of the 2006 16th IEEE Signal Processing Society Workshop on Machine Learning for Signal Processing, MLSP 2006</v>
      </c>
      <c r="B15342" s="8" t="str">
        <f>"9781424406562"</f>
        <v>9781424406562</v>
      </c>
      <c r="C15342" s="8" t="s">
        <v>9</v>
      </c>
    </row>
    <row r="15343" spans="1:3" x14ac:dyDescent="0.25">
      <c r="A15343" s="8" t="str">
        <f>"Proceedings of the 2006 6th IEEE-RAS International Conference on Humanoid Robots, HUMANOIDS"</f>
        <v>Proceedings of the 2006 6th IEEE-RAS International Conference on Humanoid Robots, HUMANOIDS</v>
      </c>
      <c r="B15343" s="8" t="str">
        <f>"9781424402007"</f>
        <v>9781424402007</v>
      </c>
      <c r="C15343" s="8" t="s">
        <v>9</v>
      </c>
    </row>
    <row r="15344" spans="1:3" x14ac:dyDescent="0.25">
      <c r="A15344" s="8" t="str">
        <f>"Proceedings of the 2006 ACM SIGPLAN Workshop on Memory Systems Performance and Correctness, MSPC 2006"</f>
        <v>Proceedings of the 2006 ACM SIGPLAN Workshop on Memory Systems Performance and Correctness, MSPC 2006</v>
      </c>
      <c r="B15344" s="8" t="str">
        <f>"9781595935786"</f>
        <v>9781595935786</v>
      </c>
      <c r="C15344" s="8" t="s">
        <v>21</v>
      </c>
    </row>
    <row r="15345" spans="1:3" x14ac:dyDescent="0.25">
      <c r="A15345" s="8" t="str">
        <f>"Proceedings of the 2006 ACM Symposium on Document Engineering, DocEng 2006"</f>
        <v>Proceedings of the 2006 ACM Symposium on Document Engineering, DocEng 2006</v>
      </c>
      <c r="B15345" s="8" t="str">
        <f>"-"</f>
        <v>-</v>
      </c>
      <c r="C15345" s="8" t="s">
        <v>21</v>
      </c>
    </row>
    <row r="15346" spans="1:3" x14ac:dyDescent="0.25">
      <c r="A15346" s="8" t="str">
        <f>"Proceedings of the 2006 ACM Symposium on Information, Computer and Communications Security, ASIACCS '06"</f>
        <v>Proceedings of the 2006 ACM Symposium on Information, Computer and Communications Security, ASIACCS '06</v>
      </c>
      <c r="B15346" s="8" t="str">
        <f>"-"</f>
        <v>-</v>
      </c>
      <c r="C15346" s="8" t="s">
        <v>21</v>
      </c>
    </row>
    <row r="15347" spans="1:3" x14ac:dyDescent="0.25">
      <c r="A15347" s="8" t="str">
        <f>"Proceedings of the 2006 ACM/IEEE Conference on Supercomputing, SC'06"</f>
        <v>Proceedings of the 2006 ACM/IEEE Conference on Supercomputing, SC'06</v>
      </c>
      <c r="B15347" s="8" t="str">
        <f>"9780769527000"</f>
        <v>9780769527000</v>
      </c>
      <c r="C15347" s="8" t="s">
        <v>21</v>
      </c>
    </row>
    <row r="15348" spans="1:3" x14ac:dyDescent="0.25">
      <c r="A15348" s="8" t="str">
        <f>"Proceedings of the 2006 Airfield and Highway Pavement Specialty Conference"</f>
        <v>Proceedings of the 2006 Airfield and Highway Pavement Specialty Conference</v>
      </c>
      <c r="B15348" s="8" t="str">
        <f>"-"</f>
        <v>-</v>
      </c>
      <c r="C15348" s="8" t="s">
        <v>111</v>
      </c>
    </row>
    <row r="15349" spans="1:3" x14ac:dyDescent="0.25">
      <c r="A15349" s="8" t="str">
        <f>"Proceedings of the 2006 Australasian Conference on Robotics and Automation, ACRA 2006"</f>
        <v>Proceedings of the 2006 Australasian Conference on Robotics and Automation, ACRA 2006</v>
      </c>
      <c r="B15349" s="8" t="str">
        <f>"9780958758383"</f>
        <v>9780958758383</v>
      </c>
      <c r="C15349" s="8" t="s">
        <v>2176</v>
      </c>
    </row>
    <row r="15350" spans="1:3" x14ac:dyDescent="0.25">
      <c r="A15350" s="8" t="str">
        <f>"Proceedings of the 2006 Conference of the Center for Advanced Studies on Collaborative Research, CASCON '06"</f>
        <v>Proceedings of the 2006 Conference of the Center for Advanced Studies on Collaborative Research, CASCON '06</v>
      </c>
      <c r="B15350" s="8" t="str">
        <f>"-"</f>
        <v>-</v>
      </c>
      <c r="C15350" s="8" t="s">
        <v>21</v>
      </c>
    </row>
    <row r="15351" spans="1:3" x14ac:dyDescent="0.25">
      <c r="A15351" s="8" t="str">
        <f>"Proceedings of the 2006 Conference on Specification and Verification of Component-Based Systems, SAVCBS 2006"</f>
        <v>Proceedings of the 2006 Conference on Specification and Verification of Component-Based Systems, SAVCBS 2006</v>
      </c>
      <c r="B15351" s="8" t="str">
        <f>"9781595935861"</f>
        <v>9781595935861</v>
      </c>
      <c r="C15351" s="8" t="s">
        <v>21</v>
      </c>
    </row>
    <row r="15352" spans="1:3" x14ac:dyDescent="0.25">
      <c r="A15352" s="8" t="str">
        <f>"Proceedings of the 2006 EuroSys Conference"</f>
        <v>Proceedings of the 2006 EuroSys Conference</v>
      </c>
      <c r="B15352" s="8" t="str">
        <f>"9781595933225"</f>
        <v>9781595933225</v>
      </c>
      <c r="C15352" s="8" t="s">
        <v>21</v>
      </c>
    </row>
    <row r="15353" spans="1:3" x14ac:dyDescent="0.25">
      <c r="A15353" s="8" t="str">
        <f>"Proceedings of the 2006 IEEE Conference on Computer Aided Control Systems Design, CACSD"</f>
        <v>Proceedings of the 2006 IEEE Conference on Computer Aided Control Systems Design, CACSD</v>
      </c>
      <c r="B15353" s="8" t="str">
        <f>"9780780397972"</f>
        <v>9780780397972</v>
      </c>
      <c r="C15353" s="8" t="s">
        <v>105</v>
      </c>
    </row>
    <row r="15354" spans="1:3" x14ac:dyDescent="0.25">
      <c r="A15354" s="8" t="str">
        <f>"Proceedings of the 2006 IEEE International Conference on Computational Intelligence for Homeland Security and Personal Safety, CIHSPS 2006"</f>
        <v>Proceedings of the 2006 IEEE International Conference on Computational Intelligence for Homeland Security and Personal Safety, CIHSPS 2006</v>
      </c>
      <c r="B15354" s="8" t="str">
        <f>"-"</f>
        <v>-</v>
      </c>
      <c r="C15354" s="8" t="s">
        <v>9</v>
      </c>
    </row>
    <row r="15355" spans="1:3" x14ac:dyDescent="0.25">
      <c r="A15355" s="8" t="str">
        <f>"Proceedings of the 2006 IEEE International Conference on Information Reuse and Integration, IRI-2006"</f>
        <v>Proceedings of the 2006 IEEE International Conference on Information Reuse and Integration, IRI-2006</v>
      </c>
      <c r="B15355" s="8" t="str">
        <f>"9780780397880"</f>
        <v>9780780397880</v>
      </c>
      <c r="C15355" s="8" t="s">
        <v>9</v>
      </c>
    </row>
    <row r="15356" spans="1:3" x14ac:dyDescent="0.25">
      <c r="A15356" s="8" t="str">
        <f>"Proceedings of the 2006 IEEE International Conference on Networking, Sensing and Control, ICNSC'06"</f>
        <v>Proceedings of the 2006 IEEE International Conference on Networking, Sensing and Control, ICNSC'06</v>
      </c>
      <c r="B15356" s="8" t="str">
        <f>"-"</f>
        <v>-</v>
      </c>
      <c r="C15356" s="8" t="s">
        <v>9</v>
      </c>
    </row>
    <row r="15357" spans="1:3" x14ac:dyDescent="0.25">
      <c r="A15357" s="8" t="str">
        <f>"Proceedings of the 2006 IEEE International Conference on Reconfigurable Computing and FPGA's, ReConFig 2006"</f>
        <v>Proceedings of the 2006 IEEE International Conference on Reconfigurable Computing and FPGA's, ReConFig 2006</v>
      </c>
      <c r="B15357" s="8" t="str">
        <f>"9781424406906"</f>
        <v>9781424406906</v>
      </c>
      <c r="C15357" s="8" t="s">
        <v>9</v>
      </c>
    </row>
    <row r="15358" spans="1:3" x14ac:dyDescent="0.25">
      <c r="A15358" s="8" t="str">
        <f>"Proceedings of the 2006 IEEE International Symposium on Workload Characterization, IISWC - 2006"</f>
        <v>Proceedings of the 2006 IEEE International Symposium on Workload Characterization, IISWC - 2006</v>
      </c>
      <c r="B15358" s="8" t="str">
        <f>"9781424405084"</f>
        <v>9781424405084</v>
      </c>
      <c r="C15358" s="8" t="s">
        <v>9</v>
      </c>
    </row>
    <row r="15359" spans="1:3" x14ac:dyDescent="0.25">
      <c r="A15359" s="8" t="str">
        <f>"Proceedings of the 2006 IEEE International Workshop on Advanced Methods for Uncertainty Estimation in Measurement, AMUEM 2006"</f>
        <v>Proceedings of the 2006 IEEE International Workshop on Advanced Methods for Uncertainty Estimation in Measurement, AMUEM 2006</v>
      </c>
      <c r="B15359" s="8" t="str">
        <f>"-"</f>
        <v>-</v>
      </c>
      <c r="C15359" s="8" t="s">
        <v>9</v>
      </c>
    </row>
    <row r="15360" spans="1:3" x14ac:dyDescent="0.25">
      <c r="A15360" s="8" t="str">
        <f>"Proceedings of the 2006 IEEE International Workshop on Haptic Audio Visual Environments and Their Applications, HAVE 2006"</f>
        <v>Proceedings of the 2006 IEEE International Workshop on Haptic Audio Visual Environments and Their Applications, HAVE 2006</v>
      </c>
      <c r="B15360" s="8" t="str">
        <f>"9781424407613"</f>
        <v>9781424407613</v>
      </c>
      <c r="C15360" s="8" t="s">
        <v>105</v>
      </c>
    </row>
    <row r="15361" spans="1:3" x14ac:dyDescent="0.25">
      <c r="A15361" s="8" t="str">
        <f>"Proceedings of the 2006 IEEE Sensors Applications Symposium"</f>
        <v>Proceedings of the 2006 IEEE Sensors Applications Symposium</v>
      </c>
      <c r="B15361" s="8" t="str">
        <f>"-"</f>
        <v>-</v>
      </c>
      <c r="C15361" s="8" t="s">
        <v>9</v>
      </c>
    </row>
    <row r="15362" spans="1:3" x14ac:dyDescent="0.25">
      <c r="A15362" s="8" t="str">
        <f>"Proceedings of the 2006 IEEE Symposium on Computational Intelligence and Games, CIG'06"</f>
        <v>Proceedings of the 2006 IEEE Symposium on Computational Intelligence and Games, CIG'06</v>
      </c>
      <c r="B15362" s="8" t="str">
        <f>"9781424404643"</f>
        <v>9781424404643</v>
      </c>
      <c r="C15362" s="8" t="s">
        <v>1348</v>
      </c>
    </row>
    <row r="15363" spans="1:3" x14ac:dyDescent="0.25">
      <c r="A15363" s="8" t="str">
        <f>"Proceedings of the 2006 IEEE Symposium on Computational Intelligence in Bioinformatics and Computational Biology, CIBCB'06"</f>
        <v>Proceedings of the 2006 IEEE Symposium on Computational Intelligence in Bioinformatics and Computational Biology, CIBCB'06</v>
      </c>
      <c r="B15363" s="8" t="str">
        <f>"9781424406234"</f>
        <v>9781424406234</v>
      </c>
      <c r="C15363" s="8" t="s">
        <v>9</v>
      </c>
    </row>
    <row r="15364" spans="1:3" x14ac:dyDescent="0.25">
      <c r="A15364" s="8" t="str">
        <f>"Proceedings of the 2006 IEEE Systems and Information Engineering Design Symposium, SIEDS'06"</f>
        <v>Proceedings of the 2006 IEEE Systems and Information Engineering Design Symposium, SIEDS'06</v>
      </c>
      <c r="B15364" s="8" t="str">
        <f>"9781424404742"</f>
        <v>9781424404742</v>
      </c>
      <c r="C15364" s="8" t="s">
        <v>9</v>
      </c>
    </row>
    <row r="15365" spans="1:3" x14ac:dyDescent="0.25">
      <c r="A15365" s="8" t="str">
        <f>"Proceedings of the 2006 IEEE Workshop on Information Assurance"</f>
        <v>Proceedings of the 2006 IEEE Workshop on Information Assurance</v>
      </c>
      <c r="B15365" s="8" t="str">
        <f>"-"</f>
        <v>-</v>
      </c>
      <c r="C15365" s="8" t="s">
        <v>9</v>
      </c>
    </row>
    <row r="15366" spans="1:3" x14ac:dyDescent="0.25">
      <c r="A15366" s="8" t="str">
        <f>"Proceedings of the 2006 IEEE/ACM/IFIP Workshop on Embedded Systems for Real Time Multimedia, ESTIMEDIA 2006"</f>
        <v>Proceedings of the 2006 IEEE/ACM/IFIP Workshop on Embedded Systems for Real Time Multimedia, ESTIMEDIA 2006</v>
      </c>
      <c r="B15366" s="8" t="str">
        <f>"9780780397835"</f>
        <v>9780780397835</v>
      </c>
      <c r="C15366" s="8" t="s">
        <v>9</v>
      </c>
    </row>
    <row r="15367" spans="1:3" x14ac:dyDescent="0.25">
      <c r="A15367" s="8" t="str">
        <f>"Proceedings of the 2006 Information Security Curriculum Development Conference, InfoSecCD '06"</f>
        <v>Proceedings of the 2006 Information Security Curriculum Development Conference, InfoSecCD '06</v>
      </c>
      <c r="B15367" s="8" t="str">
        <f>"9781595934376"</f>
        <v>9781595934376</v>
      </c>
      <c r="C15367" s="8" t="s">
        <v>21</v>
      </c>
    </row>
    <row r="15368" spans="1:3" x14ac:dyDescent="0.25">
      <c r="A15368" s="8" t="str">
        <f>"Proceedings of the 2006 International Conference on Artificial Intelligence, ICAI'06"</f>
        <v>Proceedings of the 2006 International Conference on Artificial Intelligence, ICAI'06</v>
      </c>
      <c r="B15368" s="8" t="str">
        <f>"9781932415988"</f>
        <v>9781932415988</v>
      </c>
      <c r="C15368" s="8" t="s">
        <v>1432</v>
      </c>
    </row>
    <row r="15369" spans="1:3" x14ac:dyDescent="0.25">
      <c r="A15369" s="8" t="str">
        <f>"Proceedings of the 2006 International Conference on Communications in Computing, CIC 2006"</f>
        <v>Proceedings of the 2006 International Conference on Communications in Computing, CIC 2006</v>
      </c>
      <c r="B15369" s="8" t="str">
        <f>"9781601320124"</f>
        <v>9781601320124</v>
      </c>
      <c r="C15369" s="8" t="s">
        <v>1432</v>
      </c>
    </row>
    <row r="15370" spans="1:3" x14ac:dyDescent="0.25">
      <c r="A15370" s="8" t="str">
        <f>"Proceedings of the 2006 International Conference on Image Processing, Computer Vision, and Pattern Recognition, IPCV'06"</f>
        <v>Proceedings of the 2006 International Conference on Image Processing, Computer Vision, and Pattern Recognition, IPCV'06</v>
      </c>
      <c r="B15370" s="8" t="str">
        <f>"9781932415957"</f>
        <v>9781932415957</v>
      </c>
      <c r="C15370" s="8" t="s">
        <v>1432</v>
      </c>
    </row>
    <row r="15371" spans="1:3" x14ac:dyDescent="0.25">
      <c r="A15371" s="8" t="str">
        <f>"Proceedings of the 2006 International Conference on Information Quality, ICIQ 2006"</f>
        <v>Proceedings of the 2006 International Conference on Information Quality, ICIQ 2006</v>
      </c>
      <c r="B15371" s="8" t="str">
        <f>"-"</f>
        <v>-</v>
      </c>
      <c r="C15371" s="8" t="s">
        <v>1107</v>
      </c>
    </row>
    <row r="15372" spans="1:3" x14ac:dyDescent="0.25">
      <c r="A15372" s="8" t="str">
        <f>"Proceedings of the 2006 International Conference on Machine Learning and Cybernetics"</f>
        <v>Proceedings of the 2006 International Conference on Machine Learning and Cybernetics</v>
      </c>
      <c r="B15372" s="8" t="str">
        <f>"9781424400614"</f>
        <v>9781424400614</v>
      </c>
      <c r="C15372" s="8" t="s">
        <v>9</v>
      </c>
    </row>
    <row r="15373" spans="1:3" x14ac:dyDescent="0.25">
      <c r="A15373" s="8" t="str">
        <f>"Proceedings of the 2006 International Conference on Nanoscience and Nanotechnology, ICONN"</f>
        <v>Proceedings of the 2006 International Conference on Nanoscience and Nanotechnology, ICONN</v>
      </c>
      <c r="B15373" s="8" t="str">
        <f>"9781424404537"</f>
        <v>9781424404537</v>
      </c>
      <c r="C15373" s="8" t="s">
        <v>9</v>
      </c>
    </row>
    <row r="15374" spans="1:3" x14ac:dyDescent="0.25">
      <c r="A15374" s="8" t="str">
        <f>"Proceedings of The 2006 International Conference on Security and Management, SAM'06"</f>
        <v>Proceedings of The 2006 International Conference on Security and Management, SAM'06</v>
      </c>
      <c r="B15374" s="8" t="str">
        <f>"9781601320018"</f>
        <v>9781601320018</v>
      </c>
      <c r="C15374" s="8" t="s">
        <v>1432</v>
      </c>
    </row>
    <row r="15375" spans="1:3" x14ac:dyDescent="0.25">
      <c r="A15375" s="8" t="str">
        <f>"Proceedings of the 2006 International Conference on Security and Management, SM'06a"</f>
        <v>Proceedings of the 2006 International Conference on Security and Management, SM'06a</v>
      </c>
      <c r="B15375" s="8" t="str">
        <f>"9781601320018"</f>
        <v>9781601320018</v>
      </c>
      <c r="C15375" s="8" t="s">
        <v>1432</v>
      </c>
    </row>
    <row r="15376" spans="1:3" x14ac:dyDescent="0.25">
      <c r="A15376" s="8" t="str">
        <f>"Proceedings of the 2006 International Congress on Advances in Nuclear Power Plants, ICAPP'06"</f>
        <v>Proceedings of the 2006 International Congress on Advances in Nuclear Power Plants, ICAPP'06</v>
      </c>
      <c r="B15376" s="8" t="str">
        <f>"-"</f>
        <v>-</v>
      </c>
      <c r="C15376" s="8" t="s">
        <v>453</v>
      </c>
    </row>
    <row r="15377" spans="1:3" x14ac:dyDescent="0.25">
      <c r="A15377" s="8" t="str">
        <f>"Proceedings of the 2006 International Symposium on Collaborative Technologies and Systems, CTS 2006"</f>
        <v>Proceedings of the 2006 International Symposium on Collaborative Technologies and Systems, CTS 2006</v>
      </c>
      <c r="B15377" s="8" t="str">
        <f>"-"</f>
        <v>-</v>
      </c>
      <c r="C15377" s="8" t="s">
        <v>9</v>
      </c>
    </row>
    <row r="15378" spans="1:3" x14ac:dyDescent="0.25">
      <c r="A15378" s="8" t="str">
        <f>"Proceedings of the 2006 International Symposium on Evolving Fuzzy Systems, EFS'06"</f>
        <v>Proceedings of the 2006 International Symposium on Evolving Fuzzy Systems, EFS'06</v>
      </c>
      <c r="B15378" s="8" t="str">
        <f>"-"</f>
        <v>-</v>
      </c>
      <c r="C15378" s="8" t="s">
        <v>9</v>
      </c>
    </row>
    <row r="15379" spans="1:3" x14ac:dyDescent="0.25">
      <c r="A15379" s="8" t="str">
        <f>"Proceedings of the 2006 International Symposium on Software Testing and Analysis, ISSTA 2006"</f>
        <v>Proceedings of the 2006 International Symposium on Software Testing and Analysis, ISSTA 2006</v>
      </c>
      <c r="B15379" s="8" t="str">
        <f>"-"</f>
        <v>-</v>
      </c>
      <c r="C15379" s="8" t="s">
        <v>21</v>
      </c>
    </row>
    <row r="15380" spans="1:3" x14ac:dyDescent="0.25">
      <c r="A15380" s="8" t="str">
        <f>"Proceedings of the 2006 International Workshop on Variable Structure Systems, VSS'06"</f>
        <v>Proceedings of the 2006 International Workshop on Variable Structure Systems, VSS'06</v>
      </c>
      <c r="B15380" s="8" t="str">
        <f>"-"</f>
        <v>-</v>
      </c>
      <c r="C15380" s="8" t="s">
        <v>9</v>
      </c>
    </row>
    <row r="15381" spans="1:3" x14ac:dyDescent="0.25">
      <c r="A15381" s="8" t="str">
        <f>"Proceedings of the 2006 OOPSLA Workshop on Eclipse Technology eXchange, ETX 2006"</f>
        <v>Proceedings of the 2006 OOPSLA Workshop on Eclipse Technology eXchange, ETX 2006</v>
      </c>
      <c r="B15381" s="8" t="str">
        <f>"9781595936219"</f>
        <v>9781595936219</v>
      </c>
      <c r="C15381" s="8" t="s">
        <v>21</v>
      </c>
    </row>
    <row r="15382" spans="1:3" x14ac:dyDescent="0.25">
      <c r="A15382" s="8" t="str">
        <f>"Proceedings of the 2006 Pipeline Division Specialty Conference - Pipelines 2006: Service to the Owner"</f>
        <v>Proceedings of the 2006 Pipeline Division Specialty Conference - Pipelines 2006: Service to the Owner</v>
      </c>
      <c r="B15382" s="8" t="str">
        <f>"-"</f>
        <v>-</v>
      </c>
      <c r="C15382" s="8" t="s">
        <v>111</v>
      </c>
    </row>
    <row r="15383" spans="1:3" x14ac:dyDescent="0.25">
      <c r="A15383" s="8" t="str">
        <f>"Proceedings of the 2006 SEM Annual Conference and Exposition on Experimental and Applied Mechanics 2006"</f>
        <v>Proceedings of the 2006 SEM Annual Conference and Exposition on Experimental and Applied Mechanics 2006</v>
      </c>
      <c r="B15383" s="8" t="str">
        <f>"9780912053950"</f>
        <v>9780912053950</v>
      </c>
      <c r="C15383" s="8" t="s">
        <v>996</v>
      </c>
    </row>
    <row r="15384" spans="1:3" x14ac:dyDescent="0.25">
      <c r="A15384" s="8" t="str">
        <f>"Proceedings of the 2006 SIGCOMM Workshop on Challenged Networks, CHANTS'06"</f>
        <v>Proceedings of the 2006 SIGCOMM Workshop on Challenged Networks, CHANTS'06</v>
      </c>
      <c r="B15384" s="8" t="str">
        <f t="shared" ref="B15384:B15390" si="32">"-"</f>
        <v>-</v>
      </c>
      <c r="C15384" s="8" t="s">
        <v>21</v>
      </c>
    </row>
    <row r="15385" spans="1:3" x14ac:dyDescent="0.25">
      <c r="A15385" s="8" t="str">
        <f>"Proceedings of the 2006 SIGCOMM Workshop on Internet Network Management, INM'06"</f>
        <v>Proceedings of the 2006 SIGCOMM Workshop on Internet Network Management, INM'06</v>
      </c>
      <c r="B15385" s="8" t="str">
        <f t="shared" si="32"/>
        <v>-</v>
      </c>
      <c r="C15385" s="8" t="s">
        <v>21</v>
      </c>
    </row>
    <row r="15386" spans="1:3" x14ac:dyDescent="0.25">
      <c r="A15386" s="8" t="str">
        <f>"Proceedings of the 2006 SIGCOMM Workshop on Large-scale Attack Defense, LSAD'06"</f>
        <v>Proceedings of the 2006 SIGCOMM Workshop on Large-scale Attack Defense, LSAD'06</v>
      </c>
      <c r="B15386" s="8" t="str">
        <f t="shared" si="32"/>
        <v>-</v>
      </c>
      <c r="C15386" s="8" t="s">
        <v>21</v>
      </c>
    </row>
    <row r="15387" spans="1:3" x14ac:dyDescent="0.25">
      <c r="A15387" s="8" t="str">
        <f>"Proceedings of the 2006 SIGCOMM Workshop on Mining Network Data, MineNet'06"</f>
        <v>Proceedings of the 2006 SIGCOMM Workshop on Mining Network Data, MineNet'06</v>
      </c>
      <c r="B15387" s="8" t="str">
        <f t="shared" si="32"/>
        <v>-</v>
      </c>
      <c r="C15387" s="8" t="s">
        <v>21</v>
      </c>
    </row>
    <row r="15388" spans="1:3" x14ac:dyDescent="0.25">
      <c r="A15388" s="8" t="str">
        <f>"Proceedings of the 2006 Workshop on Computer Architecture Education; held in conjunction with the 33rd International Symposium on Computer Architecture"</f>
        <v>Proceedings of the 2006 Workshop on Computer Architecture Education; held in conjunction with the 33rd International Symposium on Computer Architecture</v>
      </c>
      <c r="B15388" s="8" t="str">
        <f t="shared" si="32"/>
        <v>-</v>
      </c>
      <c r="C15388" s="8" t="s">
        <v>21</v>
      </c>
    </row>
    <row r="15389" spans="1:3" x14ac:dyDescent="0.25">
      <c r="A15389" s="8" t="str">
        <f>"Proceedings of the 2006 Workshop on MEmory Performance: DEaling with Applications, Systems and Architectures, MEDEA '06"</f>
        <v>Proceedings of the 2006 Workshop on MEmory Performance: DEaling with Applications, Systems and Architectures, MEDEA '06</v>
      </c>
      <c r="B15389" s="8" t="str">
        <f t="shared" si="32"/>
        <v>-</v>
      </c>
      <c r="C15389" s="8" t="s">
        <v>21</v>
      </c>
    </row>
    <row r="15390" spans="1:3" x14ac:dyDescent="0.25">
      <c r="A15390" s="8" t="str">
        <f>"Proceedings of the 2006 Workshop on Testing, Analysis, and Verification of Web Services and Applications, TAV WEB'06"</f>
        <v>Proceedings of the 2006 Workshop on Testing, Analysis, and Verification of Web Services and Applications, TAV WEB'06</v>
      </c>
      <c r="B15390" s="8" t="str">
        <f t="shared" si="32"/>
        <v>-</v>
      </c>
      <c r="C15390" s="8" t="s">
        <v>21</v>
      </c>
    </row>
    <row r="15391" spans="1:3" x14ac:dyDescent="0.25">
      <c r="A15391" s="8" t="str">
        <f>"Proceedings of the 2007 11th International Conference on Computer Supported Cooperative Work in Design, CSCWD"</f>
        <v>Proceedings of the 2007 11th International Conference on Computer Supported Cooperative Work in Design, CSCWD</v>
      </c>
      <c r="B15391" s="8" t="str">
        <f>"9781424409631"</f>
        <v>9781424409631</v>
      </c>
      <c r="C15391" s="8" t="s">
        <v>9</v>
      </c>
    </row>
    <row r="15392" spans="1:3" x14ac:dyDescent="0.25">
      <c r="A15392" s="8" t="str">
        <f>"Proceedings of the 2007 1st International Symposium on Information Technologies and Applications in Education, ISITAE 2007"</f>
        <v>Proceedings of the 2007 1st International Symposium on Information Technologies and Applications in Education, ISITAE 2007</v>
      </c>
      <c r="B15392" s="8" t="str">
        <f>"9781424413850"</f>
        <v>9781424413850</v>
      </c>
      <c r="C15392" s="8" t="s">
        <v>9</v>
      </c>
    </row>
    <row r="15393" spans="1:3" x14ac:dyDescent="0.25">
      <c r="A15393" s="8" t="str">
        <f>"Proceedings of the 2007 2nd International Conference on Communication System Software and Middleware and Workshops, COMSWARE 2007"</f>
        <v>Proceedings of the 2007 2nd International Conference on Communication System Software and Middleware and Workshops, COMSWARE 2007</v>
      </c>
      <c r="B15393" s="8" t="str">
        <f>"9781424406142"</f>
        <v>9781424406142</v>
      </c>
      <c r="C15393" s="8" t="s">
        <v>9</v>
      </c>
    </row>
    <row r="15394" spans="1:3" x14ac:dyDescent="0.25">
      <c r="A15394" s="8" t="str">
        <f>"Proceedings of the 2007 3rd International Conference on Information and Automation for Sustainability, ICIAFS"</f>
        <v>Proceedings of the 2007 3rd International Conference on Information and Automation for Sustainability, ICIAFS</v>
      </c>
      <c r="B15394" s="8" t="str">
        <f>"9781424419005"</f>
        <v>9781424419005</v>
      </c>
      <c r="C15394" s="8" t="s">
        <v>9</v>
      </c>
    </row>
    <row r="15395" spans="1:3" x14ac:dyDescent="0.25">
      <c r="A15395" s="8" t="str">
        <f>"Proceedings of the 2007 4th IEEE International Conference on Mechatronics, ICM 2007"</f>
        <v>Proceedings of the 2007 4th IEEE International Conference on Mechatronics, ICM 2007</v>
      </c>
      <c r="B15395" s="8" t="str">
        <f>"9781424411849"</f>
        <v>9781424411849</v>
      </c>
      <c r="C15395" s="8" t="s">
        <v>9</v>
      </c>
    </row>
    <row r="15396" spans="1:3" x14ac:dyDescent="0.25">
      <c r="A15396" s="8" t="str">
        <f>"Proceedings of the 2007 4th International Workshop on Advanced Ground Penetrating Radar, IWAGPR 2007"</f>
        <v>Proceedings of the 2007 4th International Workshop on Advanced Ground Penetrating Radar, IWAGPR 2007</v>
      </c>
      <c r="B15396" s="8" t="str">
        <f>"9781424408870"</f>
        <v>9781424408870</v>
      </c>
      <c r="C15396" s="8" t="s">
        <v>9</v>
      </c>
    </row>
    <row r="15397" spans="1:3" x14ac:dyDescent="0.25">
      <c r="A15397" s="8" t="str">
        <f>"Proceedings of the 2007 5th International Conference on Standardization and Innovation in Information Technology, SIIT 2007"</f>
        <v>Proceedings of the 2007 5th International Conference on Standardization and Innovation in Information Technology, SIIT 2007</v>
      </c>
      <c r="B15397" s="8" t="str">
        <f>"9781424414963"</f>
        <v>9781424414963</v>
      </c>
      <c r="C15397" s="8" t="s">
        <v>9</v>
      </c>
    </row>
    <row r="15398" spans="1:3" x14ac:dyDescent="0.25">
      <c r="A15398" s="8" t="str">
        <f>"Proceedings of the 2007 7th IEEE-RAS International Conference on Humanoid Robots, HUMANOIDS 2007"</f>
        <v>Proceedings of the 2007 7th IEEE-RAS International Conference on Humanoid Robots, HUMANOIDS 2007</v>
      </c>
      <c r="B15398" s="8" t="str">
        <f>"9781424418626"</f>
        <v>9781424418626</v>
      </c>
      <c r="C15398" s="8" t="s">
        <v>9</v>
      </c>
    </row>
    <row r="15399" spans="1:3" x14ac:dyDescent="0.25">
      <c r="A15399" s="8" t="str">
        <f>"Proceedings of the 2007 ACM SIGMIS Computer Personnel Research Conference: The Global Information Technology Workforce, SIGMIS-CPR 2007"</f>
        <v>Proceedings of the 2007 ACM SIGMIS Computer Personnel Research Conference: The Global Information Technology Workforce, SIGMIS-CPR 2007</v>
      </c>
      <c r="B15399" s="8" t="str">
        <f>"-"</f>
        <v>-</v>
      </c>
      <c r="C15399" s="8" t="s">
        <v>21</v>
      </c>
    </row>
    <row r="15400" spans="1:3" x14ac:dyDescent="0.25">
      <c r="A15400" s="8" t="str">
        <f>"Proceedings of the 2007 ACM Workshop on Parallel and Distributed Systems: Testing and Debugging, PADTAD'07"</f>
        <v>Proceedings of the 2007 ACM Workshop on Parallel and Distributed Systems: Testing and Debugging, PADTAD'07</v>
      </c>
      <c r="B15400" s="8" t="str">
        <f>"9781595937483"</f>
        <v>9781595937483</v>
      </c>
      <c r="C15400" s="8" t="s">
        <v>21</v>
      </c>
    </row>
    <row r="15401" spans="1:3" x14ac:dyDescent="0.25">
      <c r="A15401" s="8" t="str">
        <f>"Proceedings of the 2007 ACM/IEEE Conference on Supercomputing, SC'07"</f>
        <v>Proceedings of the 2007 ACM/IEEE Conference on Supercomputing, SC'07</v>
      </c>
      <c r="B15401" s="8" t="str">
        <f>"9781595937643"</f>
        <v>9781595937643</v>
      </c>
      <c r="C15401" s="8" t="s">
        <v>21</v>
      </c>
    </row>
    <row r="15402" spans="1:3" x14ac:dyDescent="0.25">
      <c r="A15402" s="8" t="str">
        <f>"Proceedings of the 2007 Australasian Conference on Robotics and Automation, ACRA 2007"</f>
        <v>Proceedings of the 2007 Australasian Conference on Robotics and Automation, ACRA 2007</v>
      </c>
      <c r="B15402" s="8" t="str">
        <f>"9780958758390"</f>
        <v>9780958758390</v>
      </c>
      <c r="C15402" s="8" t="s">
        <v>2176</v>
      </c>
    </row>
    <row r="15403" spans="1:3" x14ac:dyDescent="0.25">
      <c r="A15403" s="8" t="str">
        <f>"Proceedings of the 2007 Conference of the Center for Advanced Studies on Collaborative Research, CASCON '07"</f>
        <v>Proceedings of the 2007 Conference of the Center for Advanced Studies on Collaborative Research, CASCON '07</v>
      </c>
      <c r="B15403" s="8" t="str">
        <f>"-"</f>
        <v>-</v>
      </c>
      <c r="C15403" s="8" t="s">
        <v>21</v>
      </c>
    </row>
    <row r="15404" spans="1:3" x14ac:dyDescent="0.25">
      <c r="A15404" s="8" t="str">
        <f>"Proceedings of the 2007 Conference on Designing for User eXperiences, DUX'07"</f>
        <v>Proceedings of the 2007 Conference on Designing for User eXperiences, DUX'07</v>
      </c>
      <c r="B15404" s="8" t="str">
        <f>"9781605583082"</f>
        <v>9781605583082</v>
      </c>
      <c r="C15404" s="8" t="s">
        <v>21</v>
      </c>
    </row>
    <row r="15405" spans="1:3" x14ac:dyDescent="0.25">
      <c r="A15405" s="8" t="str">
        <f>"Proceedings of the 2007 Conference on Designing Pleasurable Products and Interfaces, DPPI'07"</f>
        <v>Proceedings of the 2007 Conference on Designing Pleasurable Products and Interfaces, DPPI'07</v>
      </c>
      <c r="B15405" s="8" t="str">
        <f>"9781595939425"</f>
        <v>9781595939425</v>
      </c>
      <c r="C15405" s="8" t="s">
        <v>21</v>
      </c>
    </row>
    <row r="15406" spans="1:3" x14ac:dyDescent="0.25">
      <c r="A15406" s="8" t="str">
        <f>"Proceedings of the 2007 Conference on Future Play, Future Play '07"</f>
        <v>Proceedings of the 2007 Conference on Future Play, Future Play '07</v>
      </c>
      <c r="B15406" s="8" t="str">
        <f>"9781595939432"</f>
        <v>9781595939432</v>
      </c>
      <c r="C15406" s="8" t="s">
        <v>21</v>
      </c>
    </row>
    <row r="15407" spans="1:3" x14ac:dyDescent="0.25">
      <c r="A15407" s="8" t="str">
        <f>"Proceedings of the 2007 Fall Technical Conference of the ASME Internal Combustion Engine Division"</f>
        <v>Proceedings of the 2007 Fall Technical Conference of the ASME Internal Combustion Engine Division</v>
      </c>
      <c r="B15407" s="8" t="str">
        <f>"9780791848111"</f>
        <v>9780791848111</v>
      </c>
      <c r="C15407" s="8" t="s">
        <v>73</v>
      </c>
    </row>
    <row r="15408" spans="1:3" x14ac:dyDescent="0.25">
      <c r="A15408" s="8" t="str">
        <f>"Proceedings of the 2007 IEEE Information Theory Workshop on Information Theory for Wireless Networks, ITW"</f>
        <v>Proceedings of the 2007 IEEE Information Theory Workshop on Information Theory for Wireless Networks, ITW</v>
      </c>
      <c r="B15408" s="8" t="str">
        <f>"9781424411993"</f>
        <v>9781424411993</v>
      </c>
      <c r="C15408" s="8" t="s">
        <v>9</v>
      </c>
    </row>
    <row r="15409" spans="1:3" x14ac:dyDescent="0.25">
      <c r="A15409" s="8" t="str">
        <f>"Proceedings of the 2007 IEEE International Conference on Computational Intelligence for Measurement Systems and Applications, CIMSA"</f>
        <v>Proceedings of the 2007 IEEE International Conference on Computational Intelligence for Measurement Systems and Applications, CIMSA</v>
      </c>
      <c r="B15409" s="8" t="str">
        <f>"9781424408245"</f>
        <v>9781424408245</v>
      </c>
      <c r="C15409" s="8" t="s">
        <v>9</v>
      </c>
    </row>
    <row r="15410" spans="1:3" x14ac:dyDescent="0.25">
      <c r="A15410" s="8" t="str">
        <f>"Proceedings of the 2007 IEEE International Conference on Mechatronics and Automation, ICMA 2007"</f>
        <v>Proceedings of the 2007 IEEE International Conference on Mechatronics and Automation, ICMA 2007</v>
      </c>
      <c r="B15410" s="8" t="str">
        <f>"9781424408283"</f>
        <v>9781424408283</v>
      </c>
      <c r="C15410" s="8" t="s">
        <v>9</v>
      </c>
    </row>
    <row r="15411" spans="1:3" x14ac:dyDescent="0.25">
      <c r="A15411" s="8" t="str">
        <f>"Proceedings of the 2007 IEEE International Conference on Multimedia and Expo, ICME 2007"</f>
        <v>Proceedings of the 2007 IEEE International Conference on Multimedia and Expo, ICME 2007</v>
      </c>
      <c r="B15411" s="8" t="str">
        <f>"9781424410170"</f>
        <v>9781424410170</v>
      </c>
      <c r="C15411" s="8" t="s">
        <v>9</v>
      </c>
    </row>
    <row r="15412" spans="1:3" x14ac:dyDescent="0.25">
      <c r="A15412" s="8" t="str">
        <f>"Proceedings of the 2007 IEEE International Conference on Virtual Environments, Human-Computer Interfaces, and Measurement Systems, VECIMS 2007"</f>
        <v>Proceedings of the 2007 IEEE International Conference on Virtual Environments, Human-Computer Interfaces, and Measurement Systems, VECIMS 2007</v>
      </c>
      <c r="B15412" s="8" t="str">
        <f>"9781424408207"</f>
        <v>9781424408207</v>
      </c>
      <c r="C15412" s="8" t="s">
        <v>9</v>
      </c>
    </row>
    <row r="15413" spans="1:3" x14ac:dyDescent="0.25">
      <c r="A15413" s="8" t="str">
        <f>"Proceedings of the 2007 IEEE International Symposium on Computational Intelligence in Robotics and Automation, CIRA 2007"</f>
        <v>Proceedings of the 2007 IEEE International Symposium on Computational Intelligence in Robotics and Automation, CIRA 2007</v>
      </c>
      <c r="B15413" s="8" t="str">
        <f>"9781424407903"</f>
        <v>9781424407903</v>
      </c>
      <c r="C15413" s="8" t="s">
        <v>9</v>
      </c>
    </row>
    <row r="15414" spans="1:3" x14ac:dyDescent="0.25">
      <c r="A15414" s="8" t="str">
        <f>"Proceedings of the 2007 IEEE International Symposium on Workload Characterization, IISWC"</f>
        <v>Proceedings of the 2007 IEEE International Symposium on Workload Characterization, IISWC</v>
      </c>
      <c r="B15414" s="8" t="str">
        <f>"9781424415618"</f>
        <v>9781424415618</v>
      </c>
      <c r="C15414" s="8" t="s">
        <v>9</v>
      </c>
    </row>
    <row r="15415" spans="1:3" x14ac:dyDescent="0.25">
      <c r="A15415" s="8" t="str">
        <f>"Proceedings of the 2007 IEEE International Workshop on Imaging Systems and Techniques, IST'07"</f>
        <v>Proceedings of the 2007 IEEE International Workshop on Imaging Systems and Techniques, IST'07</v>
      </c>
      <c r="B15415" s="8" t="str">
        <f>"9781424409655"</f>
        <v>9781424409655</v>
      </c>
      <c r="C15415" s="8" t="s">
        <v>9</v>
      </c>
    </row>
    <row r="15416" spans="1:3" x14ac:dyDescent="0.25">
      <c r="A15416" s="8" t="str">
        <f>"Proceedings of the 2007 IEEE Sensors Applications Symposium, SAS"</f>
        <v>Proceedings of the 2007 IEEE Sensors Applications Symposium, SAS</v>
      </c>
      <c r="B15416" s="8" t="str">
        <f>"9781424406784"</f>
        <v>9781424406784</v>
      </c>
      <c r="C15416" s="8" t="s">
        <v>9</v>
      </c>
    </row>
    <row r="15417" spans="1:3" x14ac:dyDescent="0.25">
      <c r="A15417" s="8" t="str">
        <f>"Proceedings of the 2007 IEEE Swarm Intelligence Symposium, SIS 2007"</f>
        <v>Proceedings of the 2007 IEEE Swarm Intelligence Symposium, SIS 2007</v>
      </c>
      <c r="B15417" s="8" t="str">
        <f>"9781424407088"</f>
        <v>9781424407088</v>
      </c>
      <c r="C15417" s="8" t="s">
        <v>9</v>
      </c>
    </row>
    <row r="15418" spans="1:3" x14ac:dyDescent="0.25">
      <c r="A15418" s="8" t="str">
        <f>"Proceedings of the 2007 IEEE Symposium on Approximate Dynamic Programming and Reinforcement Learning, ADPRL 2007"</f>
        <v>Proceedings of the 2007 IEEE Symposium on Approximate Dynamic Programming and Reinforcement Learning, ADPRL 2007</v>
      </c>
      <c r="B15418" s="8" t="str">
        <f>"9781424407064"</f>
        <v>9781424407064</v>
      </c>
      <c r="C15418" s="8" t="s">
        <v>9</v>
      </c>
    </row>
    <row r="15419" spans="1:3" x14ac:dyDescent="0.25">
      <c r="A15419" s="8" t="str">
        <f>"Proceedings of the 2007 IEEE Symposium on Artificial Life, CI-ALife 2007"</f>
        <v>Proceedings of the 2007 IEEE Symposium on Artificial Life, CI-ALife 2007</v>
      </c>
      <c r="B15419" s="8" t="str">
        <f>"9781424407019"</f>
        <v>9781424407019</v>
      </c>
      <c r="C15419" s="8" t="s">
        <v>9</v>
      </c>
    </row>
    <row r="15420" spans="1:3" x14ac:dyDescent="0.25">
      <c r="A15420" s="8" t="str">
        <f>"Proceedings of the 2007 IEEE Symposium on Computational Intelligence and Data Mining, CIDM 2007"</f>
        <v>Proceedings of the 2007 IEEE Symposium on Computational Intelligence and Data Mining, CIDM 2007</v>
      </c>
      <c r="B15420" s="8" t="str">
        <f>"9781424407057"</f>
        <v>9781424407057</v>
      </c>
      <c r="C15420" s="8" t="s">
        <v>9</v>
      </c>
    </row>
    <row r="15421" spans="1:3" x14ac:dyDescent="0.25">
      <c r="A15421" s="8" t="str">
        <f>"Proceedings of the 2007 IEEE Symposium on Computational Intelligence and Games, CIG 2007"</f>
        <v>Proceedings of the 2007 IEEE Symposium on Computational Intelligence and Games, CIG 2007</v>
      </c>
      <c r="B15421" s="8" t="str">
        <f>"9781424407095"</f>
        <v>9781424407095</v>
      </c>
      <c r="C15421" s="8" t="s">
        <v>1348</v>
      </c>
    </row>
    <row r="15422" spans="1:3" x14ac:dyDescent="0.25">
      <c r="A15422" s="8" t="str">
        <f>"Proceedings of the 2007 IEEE Symposium on Computational Intelligence in Image and Signal Processing, CIISP 2007"</f>
        <v>Proceedings of the 2007 IEEE Symposium on Computational Intelligence in Image and Signal Processing, CIISP 2007</v>
      </c>
      <c r="B15422" s="8" t="str">
        <f>"9781424407071"</f>
        <v>9781424407071</v>
      </c>
      <c r="C15422" s="8" t="s">
        <v>9</v>
      </c>
    </row>
    <row r="15423" spans="1:3" x14ac:dyDescent="0.25">
      <c r="A15423" s="8" t="str">
        <f>"Proceedings of the 2007 IEEE Symposium on Computational Intelligence in Multicriteria Decision Making, MCDM 2007"</f>
        <v>Proceedings of the 2007 IEEE Symposium on Computational Intelligence in Multicriteria Decision Making, MCDM 2007</v>
      </c>
      <c r="B15423" s="8" t="str">
        <f>"9781424407026"</f>
        <v>9781424407026</v>
      </c>
      <c r="C15423" s="8" t="s">
        <v>9</v>
      </c>
    </row>
    <row r="15424" spans="1:3" x14ac:dyDescent="0.25">
      <c r="A15424" s="8" t="str">
        <f>"Proceedings of the 2007 IEEE Symposium on Computational Intelligence in Scheduling, CI-Sched 2007"</f>
        <v>Proceedings of the 2007 IEEE Symposium on Computational Intelligence in Scheduling, CI-Sched 2007</v>
      </c>
      <c r="B15424" s="8" t="str">
        <f>"9781424407040"</f>
        <v>9781424407040</v>
      </c>
      <c r="C15424" s="8" t="s">
        <v>9</v>
      </c>
    </row>
    <row r="15425" spans="1:3" x14ac:dyDescent="0.25">
      <c r="A15425" s="8" t="str">
        <f>"Proceedings of the 2007 IEEE Symposium on Computational Intelligence in Security and Defense Applications, CISDA 2007"</f>
        <v>Proceedings of the 2007 IEEE Symposium on Computational Intelligence in Security and Defense Applications, CISDA 2007</v>
      </c>
      <c r="B15425" s="8" t="str">
        <f>"9781424407002"</f>
        <v>9781424407002</v>
      </c>
      <c r="C15425" s="8" t="s">
        <v>9</v>
      </c>
    </row>
    <row r="15426" spans="1:3" x14ac:dyDescent="0.25">
      <c r="A15426" s="8" t="str">
        <f>"Proceedings of the 2007 IEEE Symposium on Foundations of Computational Intelligence, FOCI 2007"</f>
        <v>Proceedings of the 2007 IEEE Symposium on Foundations of Computational Intelligence, FOCI 2007</v>
      </c>
      <c r="B15426" s="8" t="str">
        <f>"9781424407033"</f>
        <v>9781424407033</v>
      </c>
      <c r="C15426" s="8" t="s">
        <v>9</v>
      </c>
    </row>
    <row r="15427" spans="1:3" x14ac:dyDescent="0.25">
      <c r="A15427" s="8" t="str">
        <f>"Proceedings of the 2007 IEEE Workshop on Design and Diagnostics of Electronic Circuits and Systems, DDECS"</f>
        <v>Proceedings of the 2007 IEEE Workshop on Design and Diagnostics of Electronic Circuits and Systems, DDECS</v>
      </c>
      <c r="B15427" s="8" t="str">
        <f>"9781424411610"</f>
        <v>9781424411610</v>
      </c>
      <c r="C15427" s="8" t="s">
        <v>9</v>
      </c>
    </row>
    <row r="15428" spans="1:3" x14ac:dyDescent="0.25">
      <c r="A15428" s="8" t="str">
        <f>"Proceedings of the 2007 IEEE Workshop on Evolvable and Adaptive Hardware, WEAH 2007"</f>
        <v>Proceedings of the 2007 IEEE Workshop on Evolvable and Adaptive Hardware, WEAH 2007</v>
      </c>
      <c r="B15428" s="8" t="str">
        <f>"9781424406999"</f>
        <v>9781424406999</v>
      </c>
      <c r="C15428" s="8" t="s">
        <v>9</v>
      </c>
    </row>
    <row r="15429" spans="1:3" x14ac:dyDescent="0.25">
      <c r="A15429" s="8" t="str">
        <f>"Proceedings of the 2007 IEEE Workshop on Information Assurance, IAW"</f>
        <v>Proceedings of the 2007 IEEE Workshop on Information Assurance, IAW</v>
      </c>
      <c r="B15429" s="8" t="str">
        <f>"9781424413041"</f>
        <v>9781424413041</v>
      </c>
      <c r="C15429" s="8" t="s">
        <v>9</v>
      </c>
    </row>
    <row r="15430" spans="1:3" x14ac:dyDescent="0.25">
      <c r="A15430" s="8" t="str">
        <f>"Proceedings of the 2007 IEEE/ACM/IFIP Workshop on Embedded Systems for Real-Time Multimedia, ESTIMedia 2007"</f>
        <v>Proceedings of the 2007 IEEE/ACM/IFIP Workshop on Embedded Systems for Real-Time Multimedia, ESTIMedia 2007</v>
      </c>
      <c r="B15430" s="8" t="str">
        <f>"9781424416547"</f>
        <v>9781424416547</v>
      </c>
      <c r="C15430" s="8" t="s">
        <v>9</v>
      </c>
    </row>
    <row r="15431" spans="1:3" x14ac:dyDescent="0.25">
      <c r="A15431" s="8" t="str">
        <f>"Proceedings of the 2007 Inaugural IEEE-IES Digital EcoSystems and Technologies Conference, DEST 2007"</f>
        <v>Proceedings of the 2007 Inaugural IEEE-IES Digital EcoSystems and Technologies Conference, DEST 2007</v>
      </c>
      <c r="B15431" s="8" t="str">
        <f>"9781424404704"</f>
        <v>9781424404704</v>
      </c>
      <c r="C15431" s="8" t="s">
        <v>9</v>
      </c>
    </row>
    <row r="15432" spans="1:3" x14ac:dyDescent="0.25">
      <c r="A15432" s="8" t="str">
        <f>"Proceedings of the 2007 Integrated Communications, Navigation and Surveillance Conference, 7th ICNS Conference 2007"</f>
        <v>Proceedings of the 2007 Integrated Communications, Navigation and Surveillance Conference, 7th ICNS Conference 2007</v>
      </c>
      <c r="B15432" s="8" t="str">
        <f>"9781424412167"</f>
        <v>9781424412167</v>
      </c>
      <c r="C15432" s="8" t="s">
        <v>9</v>
      </c>
    </row>
    <row r="15433" spans="1:3" x14ac:dyDescent="0.25">
      <c r="A15433" s="8" t="str">
        <f>"Proceedings of the 2007 International Conference on Artificial Intelligence, ICAI 2007"</f>
        <v>Proceedings of the 2007 International Conference on Artificial Intelligence, ICAI 2007</v>
      </c>
      <c r="B15433" s="8" t="str">
        <f>"9781601320254"</f>
        <v>9781601320254</v>
      </c>
      <c r="C15433" s="8" t="s">
        <v>1432</v>
      </c>
    </row>
    <row r="15434" spans="1:3" x14ac:dyDescent="0.25">
      <c r="A15434" s="8" t="str">
        <f>"Proceedings of the 2007 International Conference on Communications in Computing, CIC 2007"</f>
        <v>Proceedings of the 2007 International Conference on Communications in Computing, CIC 2007</v>
      </c>
      <c r="B15434" s="8" t="str">
        <f>"9781601320308"</f>
        <v>9781601320308</v>
      </c>
      <c r="C15434" s="8" t="s">
        <v>1432</v>
      </c>
    </row>
    <row r="15435" spans="1:3" x14ac:dyDescent="0.25">
      <c r="A15435" s="8" t="str">
        <f>"Proceedings of the 2007 International Conference on Image Processing, Computer Vision, and Pattern Recognition, IPCV 2007"</f>
        <v>Proceedings of the 2007 International Conference on Image Processing, Computer Vision, and Pattern Recognition, IPCV 2007</v>
      </c>
      <c r="B15435" s="8" t="str">
        <f>"9781601320438"</f>
        <v>9781601320438</v>
      </c>
      <c r="C15435" s="8" t="s">
        <v>1432</v>
      </c>
    </row>
    <row r="15436" spans="1:3" x14ac:dyDescent="0.25">
      <c r="A15436" s="8" t="str">
        <f>"Proceedings of the 2007 International Conference on Information Acquisition, ICIA"</f>
        <v>Proceedings of the 2007 International Conference on Information Acquisition, ICIA</v>
      </c>
      <c r="B15436" s="8" t="str">
        <f>"9781424412198"</f>
        <v>9781424412198</v>
      </c>
      <c r="C15436" s="8" t="s">
        <v>9</v>
      </c>
    </row>
    <row r="15437" spans="1:3" x14ac:dyDescent="0.25">
      <c r="A15437" s="8" t="str">
        <f>"Proceedings of the 2007 International Conference on Information Quality, ICIQ 2007"</f>
        <v>Proceedings of the 2007 International Conference on Information Quality, ICIQ 2007</v>
      </c>
      <c r="B15437" s="8" t="str">
        <f>"-"</f>
        <v>-</v>
      </c>
      <c r="C15437" s="8" t="s">
        <v>1107</v>
      </c>
    </row>
    <row r="15438" spans="1:3" x14ac:dyDescent="0.25">
      <c r="A15438" s="8" t="str">
        <f>"Proceedings of the 2007 International Conference on Intelligent Sensors, Sensor Networks and Information Processing, ISSNIP"</f>
        <v>Proceedings of the 2007 International Conference on Intelligent Sensors, Sensor Networks and Information Processing, ISSNIP</v>
      </c>
      <c r="B15438" s="8" t="str">
        <f>"9781424415021"</f>
        <v>9781424415021</v>
      </c>
      <c r="C15438" s="8" t="s">
        <v>9</v>
      </c>
    </row>
    <row r="15439" spans="1:3" x14ac:dyDescent="0.25">
      <c r="A15439" s="8" t="str">
        <f>"Proceedings of the 2007 International Conference on Security and Management, SAM 2007"</f>
        <v>Proceedings of the 2007 International Conference on Security and Management, SAM 2007</v>
      </c>
      <c r="B15439" s="8" t="str">
        <f>"9781601320483"</f>
        <v>9781601320483</v>
      </c>
      <c r="C15439" s="8" t="s">
        <v>1432</v>
      </c>
    </row>
    <row r="15440" spans="1:3" x14ac:dyDescent="0.25">
      <c r="A15440" s="8" t="str">
        <f>"Proceedings of The 2007 International Conference on Security and Management, SAM'07"</f>
        <v>Proceedings of The 2007 International Conference on Security and Management, SAM'07</v>
      </c>
      <c r="B15440" s="8" t="str">
        <f>"9781601320483"</f>
        <v>9781601320483</v>
      </c>
      <c r="C15440" s="8" t="s">
        <v>1432</v>
      </c>
    </row>
    <row r="15441" spans="1:3" x14ac:dyDescent="0.25">
      <c r="A15441" s="8" t="str">
        <f>"Proceedings of the 2007 International Conference on Wavelet Analysis and Pattern Recognition, ICWAPR '07"</f>
        <v>Proceedings of the 2007 International Conference on Wavelet Analysis and Pattern Recognition, ICWAPR '07</v>
      </c>
      <c r="B15441" s="8" t="str">
        <f>"9781424410668"</f>
        <v>9781424410668</v>
      </c>
      <c r="C15441" s="8" t="s">
        <v>105</v>
      </c>
    </row>
    <row r="15442" spans="1:3" x14ac:dyDescent="0.25">
      <c r="A15442" s="8" t="str">
        <f>"Proceedings of the 2007 International Lisp Conference, ILC '07"</f>
        <v>Proceedings of the 2007 International Lisp Conference, ILC '07</v>
      </c>
      <c r="B15442" s="8" t="str">
        <f>"9781595936189"</f>
        <v>9781595936189</v>
      </c>
      <c r="C15442" s="8" t="s">
        <v>21</v>
      </c>
    </row>
    <row r="15443" spans="1:3" x14ac:dyDescent="0.25">
      <c r="A15443" s="8" t="str">
        <f>"Proceedings of the 2007 International Symposium on Collaborative Technologies and Systems, CTS"</f>
        <v>Proceedings of the 2007 International Symposium on Collaborative Technologies and Systems, CTS</v>
      </c>
      <c r="B15443" s="8" t="str">
        <f>"9780978569914"</f>
        <v>9780978569914</v>
      </c>
      <c r="C15443" s="8" t="s">
        <v>9</v>
      </c>
    </row>
    <row r="15444" spans="1:3" x14ac:dyDescent="0.25">
      <c r="A15444" s="8" t="str">
        <f>"Proceedings of the 2007 National Conference on Environmental Science and Technology"</f>
        <v>Proceedings of the 2007 National Conference on Environmental Science and Technology</v>
      </c>
      <c r="B15444" s="8" t="str">
        <f>"9780387884820"</f>
        <v>9780387884820</v>
      </c>
      <c r="C15444" s="8" t="s">
        <v>834</v>
      </c>
    </row>
    <row r="15445" spans="1:3" x14ac:dyDescent="0.25">
      <c r="A15445" s="8" t="str">
        <f>"Proceedings of the 2007 Ph.D Research in Microelectronics and Electronics conference, PRIME 2007"</f>
        <v>Proceedings of the 2007 Ph.D Research in Microelectronics and Electronics conference, PRIME 2007</v>
      </c>
      <c r="B15445" s="8" t="str">
        <f>"9781424410002"</f>
        <v>9781424410002</v>
      </c>
      <c r="C15445" s="8" t="s">
        <v>9</v>
      </c>
    </row>
    <row r="15446" spans="1:3" x14ac:dyDescent="0.25">
      <c r="A15446" s="8" t="str">
        <f>"Proceedings of the 2007 SIGCOMM Workshop on Internet Network Management, INM '07"</f>
        <v>Proceedings of the 2007 SIGCOMM Workshop on Internet Network Management, INM '07</v>
      </c>
      <c r="B15446" s="8" t="str">
        <f>"9781595937889"</f>
        <v>9781595937889</v>
      </c>
      <c r="C15446" s="8" t="s">
        <v>21</v>
      </c>
    </row>
    <row r="15447" spans="1:3" x14ac:dyDescent="0.25">
      <c r="A15447" s="8" t="str">
        <f>"Proceedings of the 2007 Symposium on Computer Human Interaction for the Management of Information Technology, CHIMIT '07"</f>
        <v>Proceedings of the 2007 Symposium on Computer Human Interaction for the Management of Information Technology, CHIMIT '07</v>
      </c>
      <c r="B15447" s="8" t="str">
        <f>"-"</f>
        <v>-</v>
      </c>
      <c r="C15447" s="8" t="s">
        <v>21</v>
      </c>
    </row>
    <row r="15448" spans="1:3" x14ac:dyDescent="0.25">
      <c r="A15448" s="8" t="str">
        <f>"Proceedings of the 2007 Workshop on Automating Service Quality, WRASQ '07, Held at the International Conference on Automated Software Engineering, ASE 2007"</f>
        <v>Proceedings of the 2007 Workshop on Automating Service Quality, WRASQ '07, Held at the International Conference on Automated Software Engineering, ASE 2007</v>
      </c>
      <c r="B15448" s="8" t="str">
        <f>"9781595938787"</f>
        <v>9781595938787</v>
      </c>
      <c r="C15448" s="8" t="s">
        <v>21</v>
      </c>
    </row>
    <row r="15449" spans="1:3" x14ac:dyDescent="0.25">
      <c r="A15449" s="8" t="str">
        <f>"Proceedings of the 2007 Workshop on Computer Architecture Education, WCAE'07"</f>
        <v>Proceedings of the 2007 Workshop on Computer Architecture Education, WCAE'07</v>
      </c>
      <c r="B15449" s="8" t="str">
        <f>"9781595937971"</f>
        <v>9781595937971</v>
      </c>
      <c r="C15449" s="8" t="s">
        <v>21</v>
      </c>
    </row>
    <row r="15450" spans="1:3" x14ac:dyDescent="0.25">
      <c r="A15450" s="8" t="str">
        <f>"Proceedings of the 2007 Workshop on Engineering Fault Tolerant Systems, EFTS '07"</f>
        <v>Proceedings of the 2007 Workshop on Engineering Fault Tolerant Systems, EFTS '07</v>
      </c>
      <c r="B15450" s="8" t="str">
        <f>"9781595937254"</f>
        <v>9781595937254</v>
      </c>
      <c r="C15450" s="8" t="s">
        <v>21</v>
      </c>
    </row>
    <row r="15451" spans="1:3" x14ac:dyDescent="0.25">
      <c r="A15451" s="8" t="str">
        <f>"Proceedings of the 2007 Workshop on Experimental Computer Science"</f>
        <v>Proceedings of the 2007 Workshop on Experimental Computer Science</v>
      </c>
      <c r="B15451" s="8" t="str">
        <f>"9781595937513"</f>
        <v>9781595937513</v>
      </c>
      <c r="C15451" s="8" t="s">
        <v>21</v>
      </c>
    </row>
    <row r="15452" spans="1:3" x14ac:dyDescent="0.25">
      <c r="A15452" s="8" t="str">
        <f>"Proceedings of the 2007 Workshop on Grid Monitoring, GMW'07"</f>
        <v>Proceedings of the 2007 Workshop on Grid Monitoring, GMW'07</v>
      </c>
      <c r="B15452" s="8" t="str">
        <f>"9781595937162"</f>
        <v>9781595937162</v>
      </c>
      <c r="C15452" s="8" t="s">
        <v>21</v>
      </c>
    </row>
    <row r="15453" spans="1:3" x14ac:dyDescent="0.25">
      <c r="A15453" s="8" t="str">
        <f>"Proceedings of the 2007 Workshop on Large Scale Attack Defense, LSAD '07"</f>
        <v>Proceedings of the 2007 Workshop on Large Scale Attack Defense, LSAD '07</v>
      </c>
      <c r="B15453" s="8" t="str">
        <f>"9781595937858"</f>
        <v>9781595937858</v>
      </c>
      <c r="C15453" s="8" t="s">
        <v>21</v>
      </c>
    </row>
    <row r="15454" spans="1:3" x14ac:dyDescent="0.25">
      <c r="A15454" s="8" t="str">
        <f>"Proceedings of the 2007 Workshop on Massive Datasets, MD '07"</f>
        <v>Proceedings of the 2007 Workshop on Massive Datasets, MD '07</v>
      </c>
      <c r="B15454" s="8" t="str">
        <f>"9781595938718"</f>
        <v>9781595938718</v>
      </c>
      <c r="C15454" s="8" t="s">
        <v>21</v>
      </c>
    </row>
    <row r="15455" spans="1:3" x14ac:dyDescent="0.25">
      <c r="A15455" s="8" t="str">
        <f>"Proceedings of the 2007 Workshop on Networked Systems for Developing Regions, NSDR'07"</f>
        <v>Proceedings of the 2007 Workshop on Networked Systems for Developing Regions, NSDR'07</v>
      </c>
      <c r="B15455" s="8" t="str">
        <f>"9781595937872"</f>
        <v>9781595937872</v>
      </c>
      <c r="C15455" s="8" t="s">
        <v>21</v>
      </c>
    </row>
    <row r="15456" spans="1:3" x14ac:dyDescent="0.25">
      <c r="A15456" s="8" t="str">
        <f>"Proceedings of the 2007 Workshop on Peer-to-Peer Streaming and IP-TV, P2P-TV'07"</f>
        <v>Proceedings of the 2007 Workshop on Peer-to-Peer Streaming and IP-TV, P2P-TV'07</v>
      </c>
      <c r="B15456" s="8" t="str">
        <f>"9781595937896"</f>
        <v>9781595937896</v>
      </c>
      <c r="C15456" s="8" t="s">
        <v>21</v>
      </c>
    </row>
    <row r="15457" spans="1:3" x14ac:dyDescent="0.25">
      <c r="A15457" s="8" t="str">
        <f>"Proceedings of the 2007 Workshop on Service-Oriented Computing Performance: Aspects, Issues, and Approaches, SOCP'07"</f>
        <v>Proceedings of the 2007 Workshop on Service-Oriented Computing Performance: Aspects, Issues, and Approaches, SOCP'07</v>
      </c>
      <c r="B15457" s="8" t="str">
        <f>"9781595937179"</f>
        <v>9781595937179</v>
      </c>
      <c r="C15457" s="8" t="s">
        <v>21</v>
      </c>
    </row>
    <row r="15458" spans="1:3" x14ac:dyDescent="0.25">
      <c r="A15458" s="8" t="str">
        <f>"Proceedings of the 2008 - International Symposium on Performance Evaluation of Computer and Telecommunication Systems, SPECTS 2008"</f>
        <v>Proceedings of the 2008 - International Symposium on Performance Evaluation of Computer and Telecommunication Systems, SPECTS 2008</v>
      </c>
      <c r="B15458" s="8" t="str">
        <f>"9781565553200"</f>
        <v>9781565553200</v>
      </c>
      <c r="C15458" s="8" t="s">
        <v>9</v>
      </c>
    </row>
    <row r="15459" spans="1:3" x14ac:dyDescent="0.25">
      <c r="A15459" s="8" t="str">
        <f>"Proceedings of the 2008 10th International Symposium on Symbolic and Numeric Algorithms for Scientific Computing, SYNASC 2008"</f>
        <v>Proceedings of the 2008 10th International Symposium on Symbolic and Numeric Algorithms for Scientific Computing, SYNASC 2008</v>
      </c>
      <c r="B15459" s="8" t="str">
        <f>"9780769535234"</f>
        <v>9780769535234</v>
      </c>
      <c r="C15459" s="8" t="s">
        <v>9</v>
      </c>
    </row>
    <row r="15460" spans="1:3" x14ac:dyDescent="0.25">
      <c r="A15460" s="8" t="str">
        <f>"Proceedings of the 2008 12th International Conference on Computer Supported Cooperative Work in Design, CSCWD"</f>
        <v>Proceedings of the 2008 12th International Conference on Computer Supported Cooperative Work in Design, CSCWD</v>
      </c>
      <c r="B15460" s="8" t="str">
        <f>"9781424416509"</f>
        <v>9781424416509</v>
      </c>
      <c r="C15460" s="8" t="s">
        <v>9</v>
      </c>
    </row>
    <row r="15461" spans="1:3" x14ac:dyDescent="0.25">
      <c r="A15461" s="8" t="str">
        <f>"Proceedings of the 2008 16th IEEE Workshop on Local and Metropolitan Area Networks, LANMAN 2008"</f>
        <v>Proceedings of the 2008 16th IEEE Workshop on Local and Metropolitan Area Networks, LANMAN 2008</v>
      </c>
      <c r="B15461" s="8" t="str">
        <f>"9781424420285"</f>
        <v>9781424420285</v>
      </c>
      <c r="C15461" s="8" t="s">
        <v>9</v>
      </c>
    </row>
    <row r="15462" spans="1:3" x14ac:dyDescent="0.25">
      <c r="A15462" s="8" t="str">
        <f>"Proceedings of the 2008 16th International Conference on Advanced Computing and Communications, ADCOM 2008"</f>
        <v>Proceedings of the 2008 16th International Conference on Advanced Computing and Communications, ADCOM 2008</v>
      </c>
      <c r="B15462" s="8" t="str">
        <f>"9781424429639"</f>
        <v>9781424429639</v>
      </c>
      <c r="C15462" s="8" t="s">
        <v>9</v>
      </c>
    </row>
    <row r="15463" spans="1:3" x14ac:dyDescent="0.25">
      <c r="A15463" s="8" t="str">
        <f>"Proceedings of the 2008 16th International Conference on Networks, ICON 2008"</f>
        <v>Proceedings of the 2008 16th International Conference on Networks, ICON 2008</v>
      </c>
      <c r="B15463" s="8" t="str">
        <f>"9781424438051"</f>
        <v>9781424438051</v>
      </c>
      <c r="C15463" s="8" t="s">
        <v>9</v>
      </c>
    </row>
    <row r="15464" spans="1:3" x14ac:dyDescent="0.25">
      <c r="A15464" s="8" t="str">
        <f>"Proceedings of the 2008 1st India Software Engineering Conference, ISEC'08"</f>
        <v>Proceedings of the 2008 1st India Software Engineering Conference, ISEC'08</v>
      </c>
      <c r="B15464" s="8" t="str">
        <f>"9781595939173"</f>
        <v>9781595939173</v>
      </c>
      <c r="C15464" s="8" t="s">
        <v>21</v>
      </c>
    </row>
    <row r="15465" spans="1:3" x14ac:dyDescent="0.25">
      <c r="A15465" s="8" t="str">
        <f>"Proceedings of the 2008 1st International Conference on Information Technology, IT 2008"</f>
        <v>Proceedings of the 2008 1st International Conference on Information Technology, IT 2008</v>
      </c>
      <c r="B15465" s="8" t="str">
        <f>"9781424422456"</f>
        <v>9781424422456</v>
      </c>
      <c r="C15465" s="8" t="s">
        <v>9</v>
      </c>
    </row>
    <row r="15466" spans="1:3" x14ac:dyDescent="0.25">
      <c r="A15466" s="8" t="str">
        <f>"Proceedings of the 2008 2nd International Conference on Future Generation Communication and Networking, FGCN 2008"</f>
        <v>Proceedings of the 2008 2nd International Conference on Future Generation Communication and Networking, FGCN 2008</v>
      </c>
      <c r="B15466" s="8" t="str">
        <f>"9780769534312"</f>
        <v>9780769534312</v>
      </c>
      <c r="C15466" s="8" t="s">
        <v>9</v>
      </c>
    </row>
    <row r="15467" spans="1:3" x14ac:dyDescent="0.25">
      <c r="A15467" s="8" t="str">
        <f>"Proceedings of the 2008 2nd International Conference on Future Generation Communication and Networking, FGCN 2008"</f>
        <v>Proceedings of the 2008 2nd International Conference on Future Generation Communication and Networking, FGCN 2008</v>
      </c>
      <c r="B15467" s="8" t="str">
        <f>"9780769535463"</f>
        <v>9780769535463</v>
      </c>
      <c r="C15467" s="8" t="s">
        <v>9</v>
      </c>
    </row>
    <row r="15468" spans="1:3" x14ac:dyDescent="0.25">
      <c r="A15468" s="8" t="str">
        <f>"Proceedings of the 2008 2nd International Conference on Future Generation Communication and Networking, FGCN 2008 and BSBT 2008: 2008 International Conference on Bio-Science and Bio-Technology"</f>
        <v>Proceedings of the 2008 2nd International Conference on Future Generation Communication and Networking, FGCN 2008 and BSBT 2008: 2008 International Conference on Bio-Science and Bio-Technology</v>
      </c>
      <c r="B15468" s="8" t="str">
        <f>"9780769534312"</f>
        <v>9780769534312</v>
      </c>
      <c r="C15468" s="8" t="s">
        <v>9</v>
      </c>
    </row>
    <row r="15469" spans="1:3" x14ac:dyDescent="0.25">
      <c r="A15469" s="8" t="str">
        <f>"Proceedings of the 2008 2nd Workshop on USE of Remote Sensing Techniques for Monitoring Volcanoes and Seismogenic Areas, USEReST 2008"</f>
        <v>Proceedings of the 2008 2nd Workshop on USE of Remote Sensing Techniques for Monitoring Volcanoes and Seismogenic Areas, USEReST 2008</v>
      </c>
      <c r="B15469" s="8" t="str">
        <f>"9781424425471"</f>
        <v>9781424425471</v>
      </c>
      <c r="C15469" s="8" t="s">
        <v>9</v>
      </c>
    </row>
    <row r="15470" spans="1:3" x14ac:dyDescent="0.25">
      <c r="A15470" s="8" t="str">
        <f>"Proceedings of the 2008 3rd Petascale Data Storage Workshop, PDSW 2008"</f>
        <v>Proceedings of the 2008 3rd Petascale Data Storage Workshop, PDSW 2008</v>
      </c>
      <c r="B15470" s="8" t="str">
        <f>"9781424442089"</f>
        <v>9781424442089</v>
      </c>
      <c r="C15470" s="8" t="s">
        <v>9</v>
      </c>
    </row>
    <row r="15471" spans="1:3" x14ac:dyDescent="0.25">
      <c r="A15471" s="8" t="str">
        <f>"Proceedings of the 2008 4th International Conference on Information and Automation for Sustainability, ICIAFS 2008"</f>
        <v>Proceedings of the 2008 4th International Conference on Information and Automation for Sustainability, ICIAFS 2008</v>
      </c>
      <c r="B15471" s="8" t="str">
        <f>"9781424429004"</f>
        <v>9781424429004</v>
      </c>
      <c r="C15471" s="8" t="s">
        <v>9</v>
      </c>
    </row>
    <row r="15472" spans="1:3" x14ac:dyDescent="0.25">
      <c r="A15472" s="8" t="str">
        <f>"Proceedings of the 2008 4th International Telecommunication Networking Workshop on QoS in Multiservice IP Networks, IT-NEWS"</f>
        <v>Proceedings of the 2008 4th International Telecommunication Networking Workshop on QoS in Multiservice IP Networks, IT-NEWS</v>
      </c>
      <c r="B15472" s="8" t="str">
        <f>"9781424418459"</f>
        <v>9781424418459</v>
      </c>
      <c r="C15472" s="8" t="s">
        <v>9</v>
      </c>
    </row>
    <row r="15473" spans="1:3" x14ac:dyDescent="0.25">
      <c r="A15473" s="8" t="str">
        <f>"Proceedings of the 2008 ACM Symposium on Information, Computer and Communications Security, ASIACCS '08"</f>
        <v>Proceedings of the 2008 ACM Symposium on Information, Computer and Communications Security, ASIACCS '08</v>
      </c>
      <c r="B15473" s="8" t="str">
        <f>"9781595939791"</f>
        <v>9781595939791</v>
      </c>
      <c r="C15473" s="8" t="s">
        <v>21</v>
      </c>
    </row>
    <row r="15474" spans="1:3" x14ac:dyDescent="0.25">
      <c r="A15474" s="8" t="str">
        <f>"Proceedings of the 2008 ACM Symposium on Solid and Physical Modeling 2008, SPM'08"</f>
        <v>Proceedings of the 2008 ACM Symposium on Solid and Physical Modeling 2008, SPM'08</v>
      </c>
      <c r="B15474" s="8" t="str">
        <f>"-"</f>
        <v>-</v>
      </c>
      <c r="C15474" s="8" t="s">
        <v>21</v>
      </c>
    </row>
    <row r="15475" spans="1:3" x14ac:dyDescent="0.25">
      <c r="A15475" s="8" t="str">
        <f>"Proceedings of the 2008 Advanced Software Engineering and its Applications, ASEA 2008"</f>
        <v>Proceedings of the 2008 Advanced Software Engineering and its Applications, ASEA 2008</v>
      </c>
      <c r="B15475" s="8" t="str">
        <f>"9780769534329"</f>
        <v>9780769534329</v>
      </c>
      <c r="C15475" s="8" t="s">
        <v>9</v>
      </c>
    </row>
    <row r="15476" spans="1:3" x14ac:dyDescent="0.25">
      <c r="A15476" s="8" t="str">
        <f>"Proceedings of the 2008 Australasian Conference on Robotics and Automation, ACRA 2008"</f>
        <v>Proceedings of the 2008 Australasian Conference on Robotics and Automation, ACRA 2008</v>
      </c>
      <c r="B15476" s="8" t="str">
        <f>"9780646506432"</f>
        <v>9780646506432</v>
      </c>
      <c r="C15476" s="8" t="s">
        <v>2176</v>
      </c>
    </row>
    <row r="15477" spans="1:3" x14ac:dyDescent="0.25">
      <c r="A15477" s="8" t="str">
        <f>"Proceedings of the 2008 Australasian Telecommunication Networks and Applications Conference, ATNAC 2008"</f>
        <v>Proceedings of the 2008 Australasian Telecommunication Networks and Applications Conference, ATNAC 2008</v>
      </c>
      <c r="B15477" s="8" t="str">
        <f>"9781424426034"</f>
        <v>9781424426034</v>
      </c>
      <c r="C15477" s="8" t="s">
        <v>9</v>
      </c>
    </row>
    <row r="15478" spans="1:3" x14ac:dyDescent="0.25">
      <c r="A15478" s="8" t="str">
        <f>"Proceedings of the 2008 Australian Communications Theory Workshop, AusCTW08"</f>
        <v>Proceedings of the 2008 Australian Communications Theory Workshop, AusCTW08</v>
      </c>
      <c r="B15478" s="8" t="str">
        <f>"9781424420384"</f>
        <v>9781424420384</v>
      </c>
      <c r="C15478" s="8" t="s">
        <v>9</v>
      </c>
    </row>
    <row r="15479" spans="1:3" x14ac:dyDescent="0.25">
      <c r="A15479" s="8" t="str">
        <f>"Proceedings of the 2008 CGO - Sixth International Symposium on Code Generation and Optimization"</f>
        <v>Proceedings of the 2008 CGO - Sixth International Symposium on Code Generation and Optimization</v>
      </c>
      <c r="B15479" s="8" t="str">
        <f>"9781595939784"</f>
        <v>9781595939784</v>
      </c>
      <c r="C15479" s="8" t="s">
        <v>21</v>
      </c>
    </row>
    <row r="15480" spans="1:3" x14ac:dyDescent="0.25">
      <c r="A15480" s="8" t="str">
        <f>"Proceedings of the 2008 Chinese Conference on Pattern Recognition, CCPR 2008"</f>
        <v>Proceedings of the 2008 Chinese Conference on Pattern Recognition, CCPR 2008</v>
      </c>
      <c r="B15480" s="8" t="str">
        <f>"9781424423163"</f>
        <v>9781424423163</v>
      </c>
      <c r="C15480" s="8" t="s">
        <v>9</v>
      </c>
    </row>
    <row r="15481" spans="1:3" x14ac:dyDescent="0.25">
      <c r="A15481" s="8" t="str">
        <f>"Proceedings of the 2008 Conference of the Center for Advanced Studies, CASCON'08"</f>
        <v>Proceedings of the 2008 Conference of the Center for Advanced Studies, CASCON'08</v>
      </c>
      <c r="B15481" s="8" t="str">
        <f>"-"</f>
        <v>-</v>
      </c>
      <c r="C15481" s="8" t="s">
        <v>21</v>
      </c>
    </row>
    <row r="15482" spans="1:3" x14ac:dyDescent="0.25">
      <c r="A15482" s="8" t="str">
        <f>"Proceedings of the 2008 Conference on BEyond Time and Errors: Novel EvaLuation Methods for Information Visualization 2008, BELIV'08"</f>
        <v>Proceedings of the 2008 Conference on BEyond Time and Errors: Novel EvaLuation Methods for Information Visualization 2008, BELIV'08</v>
      </c>
      <c r="B15482" s="8" t="str">
        <f>"9781605580166"</f>
        <v>9781605580166</v>
      </c>
      <c r="C15482" s="8" t="s">
        <v>21</v>
      </c>
    </row>
    <row r="15483" spans="1:3" x14ac:dyDescent="0.25">
      <c r="A15483" s="8" t="str">
        <f>"Proceedings of the 2008 ECSIS Symposium on Learning and Adaptive Behaviors for Robotic Systems, LAB-RS 2008"</f>
        <v>Proceedings of the 2008 ECSIS Symposium on Learning and Adaptive Behaviors for Robotic Systems, LAB-RS 2008</v>
      </c>
      <c r="B15483" s="8" t="str">
        <f>"9780769532721"</f>
        <v>9780769532721</v>
      </c>
      <c r="C15483" s="8" t="s">
        <v>9</v>
      </c>
    </row>
    <row r="15484" spans="1:3" x14ac:dyDescent="0.25">
      <c r="A15484" s="8" t="str">
        <f>"Proceedings of the 2008 Frontiers of Software Maintenance, FoSM 2008"</f>
        <v>Proceedings of the 2008 Frontiers of Software Maintenance, FoSM 2008</v>
      </c>
      <c r="B15484" s="8" t="str">
        <f>"9781424426553"</f>
        <v>9781424426553</v>
      </c>
      <c r="C15484" s="8" t="s">
        <v>9</v>
      </c>
    </row>
    <row r="15485" spans="1:3" x14ac:dyDescent="0.25">
      <c r="A15485" s="8" t="str">
        <f>"Proceedings of the 2008 Global Symposium on Recycling, Waste Treatment and Clean Technology, REWAS 2008"</f>
        <v>Proceedings of the 2008 Global Symposium on Recycling, Waste Treatment and Clean Technology, REWAS 2008</v>
      </c>
      <c r="B15485" s="8" t="str">
        <f>"9780873397261"</f>
        <v>9780873397261</v>
      </c>
      <c r="C15485" s="8" t="s">
        <v>648</v>
      </c>
    </row>
    <row r="15486" spans="1:3" x14ac:dyDescent="0.25">
      <c r="A15486" s="8" t="str">
        <f>"Proceedings of the 2008 IEEE 10th Workshop on Multimedia Signal Processing, MMSP 2008"</f>
        <v>Proceedings of the 2008 IEEE 10th Workshop on Multimedia Signal Processing, MMSP 2008</v>
      </c>
      <c r="B15486" s="8" t="str">
        <f>"9781424422951"</f>
        <v>9781424422951</v>
      </c>
      <c r="C15486" s="8" t="s">
        <v>9</v>
      </c>
    </row>
    <row r="15487" spans="1:3" x14ac:dyDescent="0.25">
      <c r="A15487" s="8" t="str">
        <f>"Proceedings of the 2008 IEEE Conference on Innovative Technologies in Intelligent Systems and Industrial Applications, CITISIA"</f>
        <v>Proceedings of the 2008 IEEE Conference on Innovative Technologies in Intelligent Systems and Industrial Applications, CITISIA</v>
      </c>
      <c r="B15487" s="8" t="str">
        <f>"9781424424160"</f>
        <v>9781424424160</v>
      </c>
      <c r="C15487" s="8" t="s">
        <v>9</v>
      </c>
    </row>
    <row r="15488" spans="1:3" x14ac:dyDescent="0.25">
      <c r="A15488" s="8" t="str">
        <f>"Proceedings of the 2008 IEEE Dallas Circuits and Systems Workshop on System-on-Chip, SoC: Design, Applications, Integration, and Software, DCAS 2008"</f>
        <v>Proceedings of the 2008 IEEE Dallas Circuits and Systems Workshop on System-on-Chip, SoC: Design, Applications, Integration, and Software, DCAS 2008</v>
      </c>
      <c r="B15488" s="8" t="str">
        <f>"9781424429561"</f>
        <v>9781424429561</v>
      </c>
      <c r="C15488" s="8" t="s">
        <v>9</v>
      </c>
    </row>
    <row r="15489" spans="1:3" x14ac:dyDescent="0.25">
      <c r="A15489" s="8" t="str">
        <f>"Proceedings of the 2008 IEEE International Conference on Information and Automation, ICIA 2008"</f>
        <v>Proceedings of the 2008 IEEE International Conference on Information and Automation, ICIA 2008</v>
      </c>
      <c r="B15489" s="8" t="str">
        <f>"9781424421848"</f>
        <v>9781424421848</v>
      </c>
      <c r="C15489" s="8" t="s">
        <v>9</v>
      </c>
    </row>
    <row r="15490" spans="1:3" x14ac:dyDescent="0.25">
      <c r="A15490" s="8" t="str">
        <f>"Proceedings of the 2008 IEEE International Conference on Networking, Architecture, and Storage - IEEE NAS 2008"</f>
        <v>Proceedings of the 2008 IEEE International Conference on Networking, Architecture, and Storage - IEEE NAS 2008</v>
      </c>
      <c r="B15490" s="8" t="str">
        <f>"9780769531878"</f>
        <v>9780769531878</v>
      </c>
      <c r="C15490" s="8" t="s">
        <v>9</v>
      </c>
    </row>
    <row r="15491" spans="1:3" x14ac:dyDescent="0.25">
      <c r="A15491" s="8" t="str">
        <f>"Proceedings of the 2008 IEEE International Conference on Vehicular Electronics and Safety, ICVES 2008"</f>
        <v>Proceedings of the 2008 IEEE International Conference on Vehicular Electronics and Safety, ICVES 2008</v>
      </c>
      <c r="B15491" s="8" t="str">
        <f>"9781424423606"</f>
        <v>9781424423606</v>
      </c>
      <c r="C15491" s="8" t="s">
        <v>9</v>
      </c>
    </row>
    <row r="15492" spans="1:3" x14ac:dyDescent="0.25">
      <c r="A15492" s="8" t="str">
        <f>"Proceedings of the 2008 IEEE International Power Modulators and High Voltage Conference, PMHVC"</f>
        <v>Proceedings of the 2008 IEEE International Power Modulators and High Voltage Conference, PMHVC</v>
      </c>
      <c r="B15492" s="8" t="str">
        <f>"9781424415359"</f>
        <v>9781424415359</v>
      </c>
      <c r="C15492" s="8" t="s">
        <v>9</v>
      </c>
    </row>
    <row r="15493" spans="1:3" x14ac:dyDescent="0.25">
      <c r="A15493" s="8" t="str">
        <f>"Proceedings of the 2008 IEEE International Workshop on Safety, Security and Rescue Robotics, SSRR 2008"</f>
        <v>Proceedings of the 2008 IEEE International Workshop on Safety, Security and Rescue Robotics, SSRR 2008</v>
      </c>
      <c r="B15493" s="8" t="str">
        <f>"9781424420322"</f>
        <v>9781424420322</v>
      </c>
      <c r="C15493" s="8" t="s">
        <v>9</v>
      </c>
    </row>
    <row r="15494" spans="1:3" x14ac:dyDescent="0.25">
      <c r="A15494" s="8" t="str">
        <f>"Proceedings of the 2008 IEEE Sarnoff Symposium, SARNOFF"</f>
        <v>Proceedings of the 2008 IEEE Sarnoff Symposium, SARNOFF</v>
      </c>
      <c r="B15494" s="8" t="str">
        <f>"9781424418435"</f>
        <v>9781424418435</v>
      </c>
      <c r="C15494" s="8" t="s">
        <v>9</v>
      </c>
    </row>
    <row r="15495" spans="1:3" x14ac:dyDescent="0.25">
      <c r="A15495" s="8" t="str">
        <f>"Proceedings of the 2008 IEEE Systems and Information Engineering Design Symposium, SIEDS 2008"</f>
        <v>Proceedings of the 2008 IEEE Systems and Information Engineering Design Symposium, SIEDS 2008</v>
      </c>
      <c r="B15495" s="8" t="str">
        <f>"9781424423668"</f>
        <v>9781424423668</v>
      </c>
      <c r="C15495" s="8" t="s">
        <v>9</v>
      </c>
    </row>
    <row r="15496" spans="1:3" x14ac:dyDescent="0.25">
      <c r="A15496" s="8" t="str">
        <f>"Proceedings of the 2008 IEEE Workshop on Machine Learning for Signal Processing, MLSP 2008"</f>
        <v>Proceedings of the 2008 IEEE Workshop on Machine Learning for Signal Processing, MLSP 2008</v>
      </c>
      <c r="B15496" s="8" t="str">
        <f>"9781424423767"</f>
        <v>9781424423767</v>
      </c>
      <c r="C15496" s="8" t="s">
        <v>9</v>
      </c>
    </row>
    <row r="15497" spans="1:3" x14ac:dyDescent="0.25">
      <c r="A15497" s="8" t="str">
        <f>"Proceedings of the 2008 IEEE/ACM/IFIP Workshop on Embedded Systems for Real-Time Multimedia, ESTIMedia 2008"</f>
        <v>Proceedings of the 2008 IEEE/ACM/IFIP Workshop on Embedded Systems for Real-Time Multimedia, ESTIMedia 2008</v>
      </c>
      <c r="B15497" s="8" t="str">
        <f>"9781424426126"</f>
        <v>9781424426126</v>
      </c>
      <c r="C15497" s="8" t="s">
        <v>9</v>
      </c>
    </row>
    <row r="15498" spans="1:3" x14ac:dyDescent="0.25">
      <c r="A15498" s="8" t="str">
        <f>"Proceedings of the 2008 Integrated Communications, Navigation and Surveillance Conference, ICNS Conference 2008"</f>
        <v>Proceedings of the 2008 Integrated Communications, Navigation and Surveillance Conference, ICNS Conference 2008</v>
      </c>
      <c r="B15498" s="8" t="str">
        <f>"9781424423040"</f>
        <v>9781424423040</v>
      </c>
      <c r="C15498" s="8" t="s">
        <v>9</v>
      </c>
    </row>
    <row r="15499" spans="1:3" x14ac:dyDescent="0.25">
      <c r="A15499" s="8" t="str">
        <f>"Proceedings of the 2008 International Conference on Advanced Infocomm Technology, ICAIT '08"</f>
        <v>Proceedings of the 2008 International Conference on Advanced Infocomm Technology, ICAIT '08</v>
      </c>
      <c r="B15499" s="8" t="str">
        <f>"9781605580883"</f>
        <v>9781605580883</v>
      </c>
      <c r="C15499" s="8" t="s">
        <v>21</v>
      </c>
    </row>
    <row r="15500" spans="1:3" x14ac:dyDescent="0.25">
      <c r="A15500" s="8" t="str">
        <f>"Proceedings of the 2008 International Conference on Advances in Computer Entertainment Technology, ACE 2008"</f>
        <v>Proceedings of the 2008 International Conference on Advances in Computer Entertainment Technology, ACE 2008</v>
      </c>
      <c r="B15500" s="8" t="str">
        <f>"9781605583938"</f>
        <v>9781605583938</v>
      </c>
      <c r="C15500" s="8" t="s">
        <v>21</v>
      </c>
    </row>
    <row r="15501" spans="1:3" x14ac:dyDescent="0.25">
      <c r="A15501" s="8" t="str">
        <f>"Proceedings of the 2008 International Conference on Advances in Computer Entertainment Technology, ACE 2008"</f>
        <v>Proceedings of the 2008 International Conference on Advances in Computer Entertainment Technology, ACE 2008</v>
      </c>
      <c r="B15501" s="8" t="str">
        <f>"9781605583938"</f>
        <v>9781605583938</v>
      </c>
      <c r="C15501" s="8" t="s">
        <v>21</v>
      </c>
    </row>
    <row r="15502" spans="1:3" x14ac:dyDescent="0.25">
      <c r="A15502" s="8" t="str">
        <f>"Proceedings of the 2008 International Conference on Artificial Intelligence and Proceedings of the 2008 International Conference on Machine Learning; Models, Technologies and Applications, ICAI 2008"</f>
        <v>Proceedings of the 2008 International Conference on Artificial Intelligence and Proceedings of the 2008 International Conference on Machine Learning; Models, Technologies and Applications, ICAI 2008</v>
      </c>
      <c r="B15502" s="8" t="str">
        <f>"9781601320728"</f>
        <v>9781601320728</v>
      </c>
      <c r="C15502" s="8" t="s">
        <v>1432</v>
      </c>
    </row>
    <row r="15503" spans="1:3" x14ac:dyDescent="0.25">
      <c r="A15503" s="8" t="str">
        <f>"Proceedings of the 2008 International Conference on Artificial Intelligence, ICAI 2008 and Proceedings of the 2008 International Conference on Machine Learning; Models, Technologies and Applications"</f>
        <v>Proceedings of the 2008 International Conference on Artificial Intelligence, ICAI 2008 and Proceedings of the 2008 International Conference on Machine Learning; Models, Technologies and Applications</v>
      </c>
      <c r="B15503" s="8" t="str">
        <f>"9781601320728"</f>
        <v>9781601320728</v>
      </c>
      <c r="C15503" s="8" t="s">
        <v>1432</v>
      </c>
    </row>
    <row r="15504" spans="1:3" x14ac:dyDescent="0.25">
      <c r="A15504" s="8" t="str">
        <f>"Proceedings of the 2008 International Conference on Bioinformatics and Computational Biology, BIOCOMP 2008"</f>
        <v>Proceedings of the 2008 International Conference on Bioinformatics and Computational Biology, BIOCOMP 2008</v>
      </c>
      <c r="B15504" s="8" t="str">
        <f>"9781601320551"</f>
        <v>9781601320551</v>
      </c>
      <c r="C15504" s="8" t="s">
        <v>1432</v>
      </c>
    </row>
    <row r="15505" spans="1:3" x14ac:dyDescent="0.25">
      <c r="A15505" s="8" t="str">
        <f>"Proceedings of the 2008 International Conference on Communications in Computing, CIC 2008"</f>
        <v>Proceedings of the 2008 International Conference on Communications in Computing, CIC 2008</v>
      </c>
      <c r="B15505" s="8" t="str">
        <f>"9781601320582"</f>
        <v>9781601320582</v>
      </c>
      <c r="C15505" s="8" t="s">
        <v>1432</v>
      </c>
    </row>
    <row r="15506" spans="1:3" x14ac:dyDescent="0.25">
      <c r="A15506" s="8" t="str">
        <f>"Proceedings of the 2008 International Conference on Computer and Electrical Engineering, ICCEE 2008"</f>
        <v>Proceedings of the 2008 International Conference on Computer and Electrical Engineering, ICCEE 2008</v>
      </c>
      <c r="B15506" s="8" t="str">
        <f>"9780769535043"</f>
        <v>9780769535043</v>
      </c>
      <c r="C15506" s="8" t="s">
        <v>9</v>
      </c>
    </row>
    <row r="15507" spans="1:3" x14ac:dyDescent="0.25">
      <c r="A15507" s="8" t="str">
        <f>"Proceedings of the 2008 International Conference on Computer Design, CDES 2008"</f>
        <v>Proceedings of the 2008 International Conference on Computer Design, CDES 2008</v>
      </c>
      <c r="B15507" s="8" t="str">
        <f>"9781601320568"</f>
        <v>9781601320568</v>
      </c>
      <c r="C15507" s="8" t="s">
        <v>1432</v>
      </c>
    </row>
    <row r="15508" spans="1:3" x14ac:dyDescent="0.25">
      <c r="A15508" s="8" t="str">
        <f>"Proceedings of the 2008 International Conference on Computer Graphics and Virtual Reality, CGVR 2008"</f>
        <v>Proceedings of the 2008 International Conference on Computer Graphics and Virtual Reality, CGVR 2008</v>
      </c>
      <c r="B15508" s="8" t="str">
        <f>"9781601320575"</f>
        <v>9781601320575</v>
      </c>
      <c r="C15508" s="8" t="s">
        <v>1432</v>
      </c>
    </row>
    <row r="15509" spans="1:3" x14ac:dyDescent="0.25">
      <c r="A15509" s="8" t="str">
        <f>"Proceedings of the 2008 International Conference on Computing, Communication and Networking, ICCCN 2008"</f>
        <v>Proceedings of the 2008 International Conference on Computing, Communication and Networking, ICCCN 2008</v>
      </c>
      <c r="B15509" s="8" t="str">
        <f>"9781424435951"</f>
        <v>9781424435951</v>
      </c>
      <c r="C15509" s="8" t="s">
        <v>9</v>
      </c>
    </row>
    <row r="15510" spans="1:3" x14ac:dyDescent="0.25">
      <c r="A15510" s="8" t="str">
        <f>"Proceedings of the 2008 International Conference on Cyberworlds, CW 2008"</f>
        <v>Proceedings of the 2008 International Conference on Cyberworlds, CW 2008</v>
      </c>
      <c r="B15510" s="8" t="str">
        <f>"9780769533810"</f>
        <v>9780769533810</v>
      </c>
      <c r="C15510" s="8" t="s">
        <v>9</v>
      </c>
    </row>
    <row r="15511" spans="1:3" x14ac:dyDescent="0.25">
      <c r="A15511" s="8" t="str">
        <f>"Proceedings of the 2008 International Conference on Data Mining, DMIN 2008"</f>
        <v>Proceedings of the 2008 International Conference on Data Mining, DMIN 2008</v>
      </c>
      <c r="B15511" s="8" t="str">
        <f>"9781601320629"</f>
        <v>9781601320629</v>
      </c>
      <c r="C15511" s="8" t="s">
        <v>1432</v>
      </c>
    </row>
    <row r="15512" spans="1:3" x14ac:dyDescent="0.25">
      <c r="A15512" s="8" t="str">
        <f>"Proceedings of the 2008 International Conference on e-Learning, e-Business, Enterprise Information Systems, and e-Government, EEE 2008"</f>
        <v>Proceedings of the 2008 International Conference on e-Learning, e-Business, Enterprise Information Systems, and e-Government, EEE 2008</v>
      </c>
      <c r="B15512" s="8" t="str">
        <f>"9781601320636"</f>
        <v>9781601320636</v>
      </c>
      <c r="C15512" s="8" t="s">
        <v>1432</v>
      </c>
    </row>
    <row r="15513" spans="1:3" x14ac:dyDescent="0.25">
      <c r="A15513" s="8" t="str">
        <f>"Proceedings of the 2008 International Conference on Electrical Machines, ICEM'08"</f>
        <v>Proceedings of the 2008 International Conference on Electrical Machines, ICEM'08</v>
      </c>
      <c r="B15513" s="8" t="str">
        <f>"9781424417360"</f>
        <v>9781424417360</v>
      </c>
      <c r="C15513" s="8" t="s">
        <v>9</v>
      </c>
    </row>
    <row r="15514" spans="1:3" x14ac:dyDescent="0.25">
      <c r="A15514" s="8" t="str">
        <f>"Proceedings of the 2008 International Conference on Embedded Systems and Applications, ESA 2008"</f>
        <v>Proceedings of the 2008 International Conference on Embedded Systems and Applications, ESA 2008</v>
      </c>
      <c r="B15514" s="8" t="str">
        <f>"9781601320650"</f>
        <v>9781601320650</v>
      </c>
      <c r="C15514" s="8" t="s">
        <v>1432</v>
      </c>
    </row>
    <row r="15515" spans="1:3" x14ac:dyDescent="0.25">
      <c r="A15515" s="8" t="str">
        <f>"Proceedings of the 2008 International Conference on Engineering of Reconfigurable Systems and Algorithms, ERSA 2008"</f>
        <v>Proceedings of the 2008 International Conference on Engineering of Reconfigurable Systems and Algorithms, ERSA 2008</v>
      </c>
      <c r="B15515" s="8" t="str">
        <f>"9781601320643"</f>
        <v>9781601320643</v>
      </c>
      <c r="C15515" s="8" t="s">
        <v>1432</v>
      </c>
    </row>
    <row r="15516" spans="1:3" x14ac:dyDescent="0.25">
      <c r="A15516" s="8" t="str">
        <f>"Proceedings of the 2008 International Conference on Field-Programmable Technology, ICFPT 2008"</f>
        <v>Proceedings of the 2008 International Conference on Field-Programmable Technology, ICFPT 2008</v>
      </c>
      <c r="B15516" s="8" t="str">
        <f>"9781424427963"</f>
        <v>9781424427963</v>
      </c>
      <c r="C15516" s="8" t="s">
        <v>9</v>
      </c>
    </row>
    <row r="15517" spans="1:3" x14ac:dyDescent="0.25">
      <c r="A15517" s="8" t="str">
        <f>"Proceedings of the 2008 International Conference on Formal Methods in Computer-Aided Design, FMCAD"</f>
        <v>Proceedings of the 2008 International Conference on Formal Methods in Computer-Aided Design, FMCAD</v>
      </c>
      <c r="B15517" s="8" t="str">
        <f>"9781424427352"</f>
        <v>9781424427352</v>
      </c>
      <c r="C15517" s="8" t="s">
        <v>9</v>
      </c>
    </row>
    <row r="15518" spans="1:3" x14ac:dyDescent="0.25">
      <c r="A15518" s="8" t="str">
        <f>"Proceedings of the 2008 International Conference on Foundations of Computer Science, FCS 2008"</f>
        <v>Proceedings of the 2008 International Conference on Foundations of Computer Science, FCS 2008</v>
      </c>
      <c r="B15518" s="8" t="str">
        <f>"9781601320667"</f>
        <v>9781601320667</v>
      </c>
      <c r="C15518" s="8" t="s">
        <v>1432</v>
      </c>
    </row>
    <row r="15519" spans="1:3" x14ac:dyDescent="0.25">
      <c r="A15519" s="8" t="str">
        <f>"Proceedings of the 2008 International Conference on Frontiers in Education: Computer Science and Computer Engineering, FECS 2008"</f>
        <v>Proceedings of the 2008 International Conference on Frontiers in Education: Computer Science and Computer Engineering, FECS 2008</v>
      </c>
      <c r="B15519" s="8" t="str">
        <f>"9781601320674"</f>
        <v>9781601320674</v>
      </c>
      <c r="C15519" s="8" t="s">
        <v>1432</v>
      </c>
    </row>
    <row r="15520" spans="1:3" x14ac:dyDescent="0.25">
      <c r="A15520" s="8" t="str">
        <f>"Proceedings of the 2008 International Conference on Genetic and Evolutionary Methods, GEM 2008"</f>
        <v>Proceedings of the 2008 International Conference on Genetic and Evolutionary Methods, GEM 2008</v>
      </c>
      <c r="B15520" s="8" t="str">
        <f>"9781601320698"</f>
        <v>9781601320698</v>
      </c>
      <c r="C15520" s="8" t="s">
        <v>1432</v>
      </c>
    </row>
    <row r="15521" spans="1:3" x14ac:dyDescent="0.25">
      <c r="A15521" s="8" t="str">
        <f>"Proceedings of the 2008 International Conference on Grid Computing and Applications, GCA 2008"</f>
        <v>Proceedings of the 2008 International Conference on Grid Computing and Applications, GCA 2008</v>
      </c>
      <c r="B15521" s="8" t="str">
        <f>"9781601320681"</f>
        <v>9781601320681</v>
      </c>
      <c r="C15521" s="8" t="s">
        <v>1432</v>
      </c>
    </row>
    <row r="15522" spans="1:3" x14ac:dyDescent="0.25">
      <c r="A15522" s="8" t="str">
        <f>"Proceedings of the 2008 International Conference on Image Processing, Computer Vision, and Pattern Recognition, IPCV 2008"</f>
        <v>Proceedings of the 2008 International Conference on Image Processing, Computer Vision, and Pattern Recognition, IPCV 2008</v>
      </c>
      <c r="B15522" s="8" t="str">
        <f>"9781601320780"</f>
        <v>9781601320780</v>
      </c>
      <c r="C15522" s="8" t="s">
        <v>1432</v>
      </c>
    </row>
    <row r="15523" spans="1:3" x14ac:dyDescent="0.25">
      <c r="A15523" s="8" t="str">
        <f>"Proceedings of the 2008 International Conference on Information and Knowledge Engineering, IKE 2008"</f>
        <v>Proceedings of the 2008 International Conference on Information and Knowledge Engineering, IKE 2008</v>
      </c>
      <c r="B15523" s="8" t="str">
        <f>"9781601320759"</f>
        <v>9781601320759</v>
      </c>
      <c r="C15523" s="8" t="s">
        <v>1432</v>
      </c>
    </row>
    <row r="15524" spans="1:3" x14ac:dyDescent="0.25">
      <c r="A15524" s="8" t="str">
        <f>"Proceedings of the 2008 International Conference on Information Quality, ICIQ 2008"</f>
        <v>Proceedings of the 2008 International Conference on Information Quality, ICIQ 2008</v>
      </c>
      <c r="B15524" s="8" t="str">
        <f>"-"</f>
        <v>-</v>
      </c>
      <c r="C15524" s="8" t="s">
        <v>1107</v>
      </c>
    </row>
    <row r="15525" spans="1:3" x14ac:dyDescent="0.25">
      <c r="A15525" s="8" t="str">
        <f>"Proceedings of the 2008 International Conference on Information Theory and Statistical Learning, ITSL 2008"</f>
        <v>Proceedings of the 2008 International Conference on Information Theory and Statistical Learning, ITSL 2008</v>
      </c>
      <c r="B15525" s="8" t="str">
        <f>"9781601320797"</f>
        <v>9781601320797</v>
      </c>
      <c r="C15525" s="8" t="s">
        <v>1432</v>
      </c>
    </row>
    <row r="15526" spans="1:3" x14ac:dyDescent="0.25">
      <c r="A15526" s="8" t="str">
        <f>"Proceedings of the 2008 International Conference on Internet Computing, ICOMP 2008"</f>
        <v>Proceedings of the 2008 International Conference on Internet Computing, ICOMP 2008</v>
      </c>
      <c r="B15526" s="8" t="str">
        <f>"9781601320735"</f>
        <v>9781601320735</v>
      </c>
      <c r="C15526" s="8" t="s">
        <v>1432</v>
      </c>
    </row>
    <row r="15527" spans="1:3" x14ac:dyDescent="0.25">
      <c r="A15527" s="8" t="str">
        <f>"Proceedings of the 2008 International Conference on Modeling, Simulation and Visualization Methods, MSV 2008"</f>
        <v>Proceedings of the 2008 International Conference on Modeling, Simulation and Visualization Methods, MSV 2008</v>
      </c>
      <c r="B15527" s="8" t="str">
        <f>"9781601320810"</f>
        <v>9781601320810</v>
      </c>
      <c r="C15527" s="8" t="s">
        <v>1432</v>
      </c>
    </row>
    <row r="15528" spans="1:3" x14ac:dyDescent="0.25">
      <c r="A15528" s="8" t="str">
        <f>"Proceedings of the 2008 International Conference on Nanoscience and Nanotechnology, ICONN 2008"</f>
        <v>Proceedings of the 2008 International Conference on Nanoscience and Nanotechnology, ICONN 2008</v>
      </c>
      <c r="B15528" s="8" t="str">
        <f>"9781424415045"</f>
        <v>9781424415045</v>
      </c>
      <c r="C15528" s="8" t="s">
        <v>9</v>
      </c>
    </row>
    <row r="15529" spans="1:3" x14ac:dyDescent="0.25">
      <c r="A15529" s="8" t="str">
        <f>"Proceedings of the 2008 International Conference on Parallel and Distributed Processing Techniques and Applications, PDPTA 2008"</f>
        <v>Proceedings of the 2008 International Conference on Parallel and Distributed Processing Techniques and Applications, PDPTA 2008</v>
      </c>
      <c r="B15529" s="8" t="str">
        <f>"9781601320841"</f>
        <v>9781601320841</v>
      </c>
      <c r="C15529" s="8" t="s">
        <v>1432</v>
      </c>
    </row>
    <row r="15530" spans="1:3" x14ac:dyDescent="0.25">
      <c r="A15530" s="8" t="str">
        <f>"Proceedings of the 2008 International Conference on Radar, Radar 2008"</f>
        <v>Proceedings of the 2008 International Conference on Radar, Radar 2008</v>
      </c>
      <c r="B15530" s="8" t="str">
        <f>"9781424423224"</f>
        <v>9781424423224</v>
      </c>
      <c r="C15530" s="8" t="s">
        <v>9</v>
      </c>
    </row>
    <row r="15531" spans="1:3" x14ac:dyDescent="0.25">
      <c r="A15531" s="8" t="str">
        <f>"Proceedings of the 2008 International Conference on Scientific Computing, CSC 2008"</f>
        <v>Proceedings of the 2008 International Conference on Scientific Computing, CSC 2008</v>
      </c>
      <c r="B15531" s="8" t="str">
        <f>"9781601320599"</f>
        <v>9781601320599</v>
      </c>
      <c r="C15531" s="8" t="s">
        <v>1432</v>
      </c>
    </row>
    <row r="15532" spans="1:3" x14ac:dyDescent="0.25">
      <c r="A15532" s="8" t="str">
        <f>"Proceedings of the 2008 International Conference on Security and Management, SAM 2008"</f>
        <v>Proceedings of the 2008 International Conference on Security and Management, SAM 2008</v>
      </c>
      <c r="B15532" s="8" t="str">
        <f>"9781601320858"</f>
        <v>9781601320858</v>
      </c>
      <c r="C15532" s="8" t="s">
        <v>1432</v>
      </c>
    </row>
    <row r="15533" spans="1:3" x14ac:dyDescent="0.25">
      <c r="A15533" s="8" t="str">
        <f>"Proceedings of the 2008 International Conference on Semantic Web and Web Services, SWWS 2008"</f>
        <v>Proceedings of the 2008 International Conference on Semantic Web and Web Services, SWWS 2008</v>
      </c>
      <c r="B15533" s="8" t="str">
        <f>"9781601320896"</f>
        <v>9781601320896</v>
      </c>
      <c r="C15533" s="8" t="s">
        <v>1432</v>
      </c>
    </row>
    <row r="15534" spans="1:3" x14ac:dyDescent="0.25">
      <c r="A15534" s="8" t="str">
        <f>"Proceedings of the 2008 International Conference on Software Engineering Research and Practice, SERP 2008"</f>
        <v>Proceedings of the 2008 International Conference on Software Engineering Research and Practice, SERP 2008</v>
      </c>
      <c r="B15534" s="8" t="str">
        <f>"9781601320889"</f>
        <v>9781601320889</v>
      </c>
      <c r="C15534" s="8" t="s">
        <v>1432</v>
      </c>
    </row>
    <row r="15535" spans="1:3" x14ac:dyDescent="0.25">
      <c r="A15535" s="8" t="str">
        <f>"Proceedings of the 2008 International Conference on Wavelet Analysis and Pattern Recognition, ICWAPR"</f>
        <v>Proceedings of the 2008 International Conference on Wavelet Analysis and Pattern Recognition, ICWAPR</v>
      </c>
      <c r="B15535" s="8" t="str">
        <f>"9781424422395"</f>
        <v>9781424422395</v>
      </c>
      <c r="C15535" s="8" t="s">
        <v>9</v>
      </c>
    </row>
    <row r="15536" spans="1:3" x14ac:dyDescent="0.25">
      <c r="A15536" s="8" t="str">
        <f>"Proceedings of the 2008 International Conference on Wireless Networks, ICWN 2008"</f>
        <v>Proceedings of the 2008 International Conference on Wireless Networks, ICWN 2008</v>
      </c>
      <c r="B15536" s="8" t="str">
        <f>"9781601320919"</f>
        <v>9781601320919</v>
      </c>
      <c r="C15536" s="8" t="s">
        <v>1432</v>
      </c>
    </row>
    <row r="15537" spans="1:3" x14ac:dyDescent="0.25">
      <c r="A15537" s="8" t="str">
        <f>"Proceedings of the 2008 International Hydrogen Conference - Effects of Hydrogen on Materials"</f>
        <v>Proceedings of the 2008 International Hydrogen Conference - Effects of Hydrogen on Materials</v>
      </c>
      <c r="B15537" s="8" t="str">
        <f>"9781615030033"</f>
        <v>9781615030033</v>
      </c>
      <c r="C15537" s="8" t="s">
        <v>65</v>
      </c>
    </row>
    <row r="15538" spans="1:3" x14ac:dyDescent="0.25">
      <c r="A15538" s="8" t="str">
        <f>"Proceedings of the 2008 International Symposium on Computational Intelligence and Design, ISCID 2008"</f>
        <v>Proceedings of the 2008 International Symposium on Computational Intelligence and Design, ISCID 2008</v>
      </c>
      <c r="B15538" s="8" t="str">
        <f>"9780769533117"</f>
        <v>9780769533117</v>
      </c>
      <c r="C15538" s="8" t="s">
        <v>9</v>
      </c>
    </row>
    <row r="15539" spans="1:3" x14ac:dyDescent="0.25">
      <c r="A15539" s="8" t="str">
        <f>"Proceedings of the 2008 International Symposium on Computational Intelligence and Design, ISCID 2008"</f>
        <v>Proceedings of the 2008 International Symposium on Computational Intelligence and Design, ISCID 2008</v>
      </c>
      <c r="B15539" s="8" t="str">
        <f>"9780769533117"</f>
        <v>9780769533117</v>
      </c>
      <c r="C15539" s="8" t="s">
        <v>9</v>
      </c>
    </row>
    <row r="15540" spans="1:3" x14ac:dyDescent="0.25">
      <c r="A15540" s="8" t="str">
        <f>"Proceedings of the 2008 International Symposium on Parallel and Distributed Processing with Applications, ISPA 2008"</f>
        <v>Proceedings of the 2008 International Symposium on Parallel and Distributed Processing with Applications, ISPA 2008</v>
      </c>
      <c r="B15540" s="8" t="str">
        <f>"9780769534718"</f>
        <v>9780769534718</v>
      </c>
      <c r="C15540" s="8" t="s">
        <v>9</v>
      </c>
    </row>
    <row r="15541" spans="1:3" x14ac:dyDescent="0.25">
      <c r="A15541" s="8" t="str">
        <f>"Proceedings of the 2008 NASA/ESA Conference on Adaptive Hardware and Systems, AHS 2008"</f>
        <v>Proceedings of the 2008 NASA/ESA Conference on Adaptive Hardware and Systems, AHS 2008</v>
      </c>
      <c r="B15541" s="8" t="str">
        <f>"9780769531663"</f>
        <v>9780769531663</v>
      </c>
      <c r="C15541" s="8" t="s">
        <v>9</v>
      </c>
    </row>
    <row r="15542" spans="1:3" x14ac:dyDescent="0.25">
      <c r="A15542" s="8" t="str">
        <f>"Proceedings of the 2008 RISE/EFTS Joint International Workshop on Software Engineering for Resilient Systems, SERENE'08"</f>
        <v>Proceedings of the 2008 RISE/EFTS Joint International Workshop on Software Engineering for Resilient Systems, SERENE'08</v>
      </c>
      <c r="B15542" s="8" t="str">
        <f>"9781605582757"</f>
        <v>9781605582757</v>
      </c>
      <c r="C15542" s="8" t="s">
        <v>21</v>
      </c>
    </row>
    <row r="15543" spans="1:3" x14ac:dyDescent="0.25">
      <c r="A15543" s="8" t="str">
        <f>"Proceedings of the 2008 Spring Simulation Multiconference, SpringSim'08"</f>
        <v>Proceedings of the 2008 Spring Simulation Multiconference, SpringSim'08</v>
      </c>
      <c r="B15543" s="8" t="str">
        <f>"9781565553194"</f>
        <v>9781565553194</v>
      </c>
      <c r="C15543" s="8" t="s">
        <v>21</v>
      </c>
    </row>
    <row r="15544" spans="1:3" x14ac:dyDescent="0.25">
      <c r="A15544" s="8" t="str">
        <f>"Proceedings of the 2008 Structures Congress - Structures Congress 2008: Crossing the Borders"</f>
        <v>Proceedings of the 2008 Structures Congress - Structures Congress 2008: Crossing the Borders</v>
      </c>
      <c r="B15544" s="8" t="str">
        <f>"9780784410165"</f>
        <v>9780784410165</v>
      </c>
      <c r="C15544" s="8" t="s">
        <v>111</v>
      </c>
    </row>
    <row r="15545" spans="1:3" x14ac:dyDescent="0.25">
      <c r="A15545" s="8" t="str">
        <f>"Proceedings of the 2008 Workshop on Applications of Private and Anonymous Communications, AIPACa'08"</f>
        <v>Proceedings of the 2008 Workshop on Applications of Private and Anonymous Communications, AIPACa'08</v>
      </c>
      <c r="B15545" s="8" t="str">
        <f>"-"</f>
        <v>-</v>
      </c>
      <c r="C15545" s="8" t="s">
        <v>21</v>
      </c>
    </row>
    <row r="15546" spans="1:3" x14ac:dyDescent="0.25">
      <c r="A15546" s="8" t="str">
        <f>"Proceedings of the 2008 Workshop Security in Opportunistic and SOCial Networks, SOSOC'08"</f>
        <v>Proceedings of the 2008 Workshop Security in Opportunistic and SOCial Networks, SOSOC'08</v>
      </c>
      <c r="B15546" s="8" t="str">
        <f>"-"</f>
        <v>-</v>
      </c>
      <c r="C15546" s="8" t="s">
        <v>21</v>
      </c>
    </row>
    <row r="15547" spans="1:3" x14ac:dyDescent="0.25">
      <c r="A15547" s="8" t="str">
        <f>"Proceedings of the 2009 13th International Conference on Computer Supported Cooperative Work in Design, CSCWD 2009"</f>
        <v>Proceedings of the 2009 13th International Conference on Computer Supported Cooperative Work in Design, CSCWD 2009</v>
      </c>
      <c r="B15547" s="8" t="str">
        <f>"9781424435357"</f>
        <v>9781424435357</v>
      </c>
      <c r="C15547" s="8" t="s">
        <v>9</v>
      </c>
    </row>
    <row r="15548" spans="1:3" x14ac:dyDescent="0.25">
      <c r="A15548" s="8" t="str">
        <f>"Proceedings of the 2009 1st IEEE International Workshop on Information Forensics and Security, WIFS 2009"</f>
        <v>Proceedings of the 2009 1st IEEE International Workshop on Information Forensics and Security, WIFS 2009</v>
      </c>
      <c r="B15548" s="8" t="str">
        <f>"9781424452804"</f>
        <v>9781424452804</v>
      </c>
      <c r="C15548" s="8" t="s">
        <v>9</v>
      </c>
    </row>
    <row r="15549" spans="1:3" x14ac:dyDescent="0.25">
      <c r="A15549" s="8" t="str">
        <f>"Proceedings of the 2009 1st International Conference on Wireless Communication, Vehicular Technology, Information Theory and Aerospace and Electronic Systems Technology, Wireless VITAE 2009"</f>
        <v>Proceedings of the 2009 1st International Conference on Wireless Communication, Vehicular Technology, Information Theory and Aerospace and Electronic Systems Technology, Wireless VITAE 2009</v>
      </c>
      <c r="B15549" s="8" t="str">
        <f>"9781424440672"</f>
        <v>9781424440672</v>
      </c>
      <c r="C15549" s="8" t="s">
        <v>9</v>
      </c>
    </row>
    <row r="15550" spans="1:3" x14ac:dyDescent="0.25">
      <c r="A15550" s="8" t="str">
        <f>"Proceedings of the 2009 2nd International Conference on Biomedical Engineering and Informatics, BMEI 2009"</f>
        <v>Proceedings of the 2009 2nd International Conference on Biomedical Engineering and Informatics, BMEI 2009</v>
      </c>
      <c r="B15550" s="8" t="str">
        <f>"9781424441341"</f>
        <v>9781424441341</v>
      </c>
      <c r="C15550" s="8" t="s">
        <v>9</v>
      </c>
    </row>
    <row r="15551" spans="1:3" x14ac:dyDescent="0.25">
      <c r="A15551" s="8" t="str">
        <f>"Proceedings of the 2009 2nd International Conference on Computer Science and Its Applications, CSA 2009"</f>
        <v>Proceedings of the 2009 2nd International Conference on Computer Science and Its Applications, CSA 2009</v>
      </c>
      <c r="B15551" s="8" t="str">
        <f>"9781424449460"</f>
        <v>9781424449460</v>
      </c>
      <c r="C15551" s="8" t="s">
        <v>9</v>
      </c>
    </row>
    <row r="15552" spans="1:3" x14ac:dyDescent="0.25">
      <c r="A15552" s="8" t="str">
        <f>"Proceedings of the 2009 2nd International Congress on Image and Signal Processing, CISP'09"</f>
        <v>Proceedings of the 2009 2nd International Congress on Image and Signal Processing, CISP'09</v>
      </c>
      <c r="B15552" s="8" t="str">
        <f>"9781424441310"</f>
        <v>9781424441310</v>
      </c>
      <c r="C15552" s="8" t="s">
        <v>9</v>
      </c>
    </row>
    <row r="15553" spans="1:3" x14ac:dyDescent="0.25">
      <c r="A15553" s="8" t="str">
        <f>"Proceedings of the 2009 2nd Pacific-Asia Conference on Web Mining and Web-Based Application, WMWA 2009"</f>
        <v>Proceedings of the 2009 2nd Pacific-Asia Conference on Web Mining and Web-Based Application, WMWA 2009</v>
      </c>
      <c r="B15553" s="8" t="str">
        <f>"9780769536460"</f>
        <v>9780769536460</v>
      </c>
      <c r="C15553" s="8" t="s">
        <v>9</v>
      </c>
    </row>
    <row r="15554" spans="1:3" x14ac:dyDescent="0.25">
      <c r="A15554" s="8" t="str">
        <f>"Proceedings of the 2009 3rd International Conference on Research Challenges in Information Science, RCIS 2009"</f>
        <v>Proceedings of the 2009 3rd International Conference on Research Challenges in Information Science, RCIS 2009</v>
      </c>
      <c r="B15554" s="8" t="str">
        <f>"9781424428656"</f>
        <v>9781424428656</v>
      </c>
      <c r="C15554" s="8" t="s">
        <v>9</v>
      </c>
    </row>
    <row r="15555" spans="1:3" x14ac:dyDescent="0.25">
      <c r="A15555" s="8" t="str">
        <f>"Proceedings of the 2009 4th International Conference on Cognitive Radio Oriented Wireless Networks and Communications, CROWNCOM 2009"</f>
        <v>Proceedings of the 2009 4th International Conference on Cognitive Radio Oriented Wireless Networks and Communications, CROWNCOM 2009</v>
      </c>
      <c r="B15555" s="8" t="str">
        <f>"9781424434244"</f>
        <v>9781424434244</v>
      </c>
      <c r="C15555" s="8" t="s">
        <v>9</v>
      </c>
    </row>
    <row r="15556" spans="1:3" x14ac:dyDescent="0.25">
      <c r="A15556" s="8" t="str">
        <f>"Proceedings of the 2009 4th International Conference on Embedded and Multimedia Computing, EM-Com 2009"</f>
        <v>Proceedings of the 2009 4th International Conference on Embedded and Multimedia Computing, EM-Com 2009</v>
      </c>
      <c r="B15556" s="8" t="str">
        <f>"9781424449965"</f>
        <v>9781424449965</v>
      </c>
      <c r="C15556" s="8" t="s">
        <v>9</v>
      </c>
    </row>
    <row r="15557" spans="1:3" x14ac:dyDescent="0.25">
      <c r="A15557" s="8" t="str">
        <f>"Proceedings of the 2009 4th International Conference on Internet and Web Applications and Services, ICIW 2009"</f>
        <v>Proceedings of the 2009 4th International Conference on Internet and Web Applications and Services, ICIW 2009</v>
      </c>
      <c r="B15557" s="8" t="str">
        <f>"9780769536132"</f>
        <v>9780769536132</v>
      </c>
      <c r="C15557" s="8" t="s">
        <v>9</v>
      </c>
    </row>
    <row r="15558" spans="1:3" x14ac:dyDescent="0.25">
      <c r="A15558" s="8" t="str">
        <f>"Proceedings of the 2009 5th Advanced International Conference on Telecommunications, AICT 2009"</f>
        <v>Proceedings of the 2009 5th Advanced International Conference on Telecommunications, AICT 2009</v>
      </c>
      <c r="B15558" s="8" t="str">
        <f>"9780769536118"</f>
        <v>9780769536118</v>
      </c>
      <c r="C15558" s="8" t="s">
        <v>9</v>
      </c>
    </row>
    <row r="15559" spans="1:3" x14ac:dyDescent="0.25">
      <c r="A15559" s="8" t="str">
        <f>"Proceedings of the 2009 6th IEEE International Working Conference on Mining Software Repositories, MSR 2009"</f>
        <v>Proceedings of the 2009 6th IEEE International Working Conference on Mining Software Repositories, MSR 2009</v>
      </c>
      <c r="B15559" s="8" t="str">
        <f>"9781424434930"</f>
        <v>9781424434930</v>
      </c>
      <c r="C15559" s="8" t="s">
        <v>9</v>
      </c>
    </row>
    <row r="15560" spans="1:3" x14ac:dyDescent="0.25">
      <c r="A15560" s="8" t="str">
        <f>"Proceedings of the 2009 6th International Conference on Broadband Communications, Networks and Systems, BROADNETS 2009"</f>
        <v>Proceedings of the 2009 6th International Conference on Broadband Communications, Networks and Systems, BROADNETS 2009</v>
      </c>
      <c r="B15560" s="8" t="str">
        <f>"9789639799493"</f>
        <v>9789639799493</v>
      </c>
      <c r="C15560" s="8" t="s">
        <v>9</v>
      </c>
    </row>
    <row r="15561" spans="1:3" x14ac:dyDescent="0.25">
      <c r="A15561" s="8" t="str">
        <f>"Proceedings of the 2009 6th International Conference on Computer Graphics, Imaging and Visualization: New Advances and Trends, CGIV2009"</f>
        <v>Proceedings of the 2009 6th International Conference on Computer Graphics, Imaging and Visualization: New Advances and Trends, CGIV2009</v>
      </c>
      <c r="B15561" s="8" t="str">
        <f>"9780769537894"</f>
        <v>9780769537894</v>
      </c>
      <c r="C15561" s="8" t="s">
        <v>9</v>
      </c>
    </row>
    <row r="15562" spans="1:3" x14ac:dyDescent="0.25">
      <c r="A15562" s="8" t="str">
        <f>"Proceedings of the 2009 6th International Conference on Service Systems and Service Management, ICSSSM '09"</f>
        <v>Proceedings of the 2009 6th International Conference on Service Systems and Service Management, ICSSSM '09</v>
      </c>
      <c r="B15562" s="8" t="str">
        <f>"9781424436620"</f>
        <v>9781424436620</v>
      </c>
      <c r="C15562" s="8" t="s">
        <v>9</v>
      </c>
    </row>
    <row r="15563" spans="1:3" x14ac:dyDescent="0.25">
      <c r="A15563" s="8" t="str">
        <f>"Proceedings of the 2009 6th International Symposium on Wireless Communication Systems, ISWCS'09"</f>
        <v>Proceedings of the 2009 6th International Symposium on Wireless Communication Systems, ISWCS'09</v>
      </c>
      <c r="B15563" s="8" t="str">
        <f>"9781424435845"</f>
        <v>9781424435845</v>
      </c>
      <c r="C15563" s="8" t="s">
        <v>9</v>
      </c>
    </row>
    <row r="15564" spans="1:3" x14ac:dyDescent="0.25">
      <c r="A15564" s="8" t="str">
        <f>"Proceedings of the 2009 7th International Workshop on the Design of Reliable Communication Networks, DRCN 2009"</f>
        <v>Proceedings of the 2009 7th International Workshop on the Design of Reliable Communication Networks, DRCN 2009</v>
      </c>
      <c r="B15564" s="8" t="str">
        <f>"9781424450480"</f>
        <v>9781424450480</v>
      </c>
      <c r="C15564" s="8" t="s">
        <v>9</v>
      </c>
    </row>
    <row r="15565" spans="1:3" x14ac:dyDescent="0.25">
      <c r="A15565" s="8" t="str">
        <f>"Proceedings of the 2009 8th IEEE International Conference on Cognitive Informatics, ICCI 2009"</f>
        <v>Proceedings of the 2009 8th IEEE International Conference on Cognitive Informatics, ICCI 2009</v>
      </c>
      <c r="B15565" s="8" t="str">
        <f>"9781424446421"</f>
        <v>9781424446421</v>
      </c>
      <c r="C15565" s="8" t="s">
        <v>9</v>
      </c>
    </row>
    <row r="15566" spans="1:3" x14ac:dyDescent="0.25">
      <c r="A15566" s="8" t="str">
        <f>"Proceedings of the 2009 8th IEEE/ACIS International Conference on Computer and Information Science, ICIS 2009"</f>
        <v>Proceedings of the 2009 8th IEEE/ACIS International Conference on Computer and Information Science, ICIS 2009</v>
      </c>
      <c r="B15566" s="8" t="str">
        <f>"9780769536415"</f>
        <v>9780769536415</v>
      </c>
      <c r="C15566" s="8" t="s">
        <v>9</v>
      </c>
    </row>
    <row r="15567" spans="1:3" x14ac:dyDescent="0.25">
      <c r="A15567" s="8" t="str">
        <f>"Proceedings of the 2009 9th IEEE International Conference on Bioinformatics and BioEngineering, BIBE 2009"</f>
        <v>Proceedings of the 2009 9th IEEE International Conference on Bioinformatics and BioEngineering, BIBE 2009</v>
      </c>
      <c r="B15567" s="8" t="str">
        <f>"9780769536569"</f>
        <v>9780769536569</v>
      </c>
      <c r="C15567" s="8" t="s">
        <v>9</v>
      </c>
    </row>
    <row r="15568" spans="1:3" x14ac:dyDescent="0.25">
      <c r="A15568" s="8" t="str">
        <f>"Proceedings of the 2009 ACM Conference on Emerging Networking Experiments and Technologies, CoNEXT'09 - Co-located 1st ACM Workshop on User-Provided Networking: Challenges and Opportunities, U-NET '09"</f>
        <v>Proceedings of the 2009 ACM Conference on Emerging Networking Experiments and Technologies, CoNEXT'09 - Co-located 1st ACM Workshop on User-Provided Networking: Challenges and Opportunities, U-NET '09</v>
      </c>
      <c r="B15568" s="8" t="str">
        <f>"9781605587509"</f>
        <v>9781605587509</v>
      </c>
      <c r="C15568" s="8" t="s">
        <v>21</v>
      </c>
    </row>
    <row r="15569" spans="1:3" x14ac:dyDescent="0.25">
      <c r="A15569" s="8" t="str">
        <f>"Proceedings of the 2009 ACM Conference on Emerging Networking Experiments and Technologies, CoNEXT'09 - Co-located 2009 Workshop on Re-Architecting the Internet, ReArch'09"</f>
        <v>Proceedings of the 2009 ACM Conference on Emerging Networking Experiments and Technologies, CoNEXT'09 - Co-located 2009 Workshop on Re-Architecting the Internet, ReArch'09</v>
      </c>
      <c r="B15569" s="8" t="str">
        <f>"9781605587493"</f>
        <v>9781605587493</v>
      </c>
      <c r="C15569" s="8" t="s">
        <v>21</v>
      </c>
    </row>
    <row r="15570" spans="1:3" x14ac:dyDescent="0.25">
      <c r="A15570" s="8" t="str">
        <f>"Proceedings of the 2009 ACM Conference on Emerging Networking Experiments and Technologies, CoNEXT'09 - Co-located Student Workshop, CoNext Student Workshop '09"</f>
        <v>Proceedings of the 2009 ACM Conference on Emerging Networking Experiments and Technologies, CoNEXT'09 - Co-located Student Workshop, CoNext Student Workshop '09</v>
      </c>
      <c r="B15570" s="8" t="str">
        <f>"9781605587516"</f>
        <v>9781605587516</v>
      </c>
      <c r="C15570" s="8" t="s">
        <v>21</v>
      </c>
    </row>
    <row r="15571" spans="1:3" x14ac:dyDescent="0.25">
      <c r="A15571" s="8" t="str">
        <f>"Proceedings of the 2009 ACM International Wireless Communications and Mobile Computing Conference, IWCMC 2009"</f>
        <v>Proceedings of the 2009 ACM International Wireless Communications and Mobile Computing Conference, IWCMC 2009</v>
      </c>
      <c r="B15571" s="8" t="str">
        <f>"9781605585697"</f>
        <v>9781605585697</v>
      </c>
      <c r="C15571" s="8" t="s">
        <v>21</v>
      </c>
    </row>
    <row r="15572" spans="1:3" x14ac:dyDescent="0.25">
      <c r="A15572" s="8" t="str">
        <f>"Proceedings of the 2009 ACM SIGCHI International Workshop on Intercultural Collaboration, IWIC'09"</f>
        <v>Proceedings of the 2009 ACM SIGCHI International Workshop on Intercultural Collaboration, IWIC'09</v>
      </c>
      <c r="B15572" s="8" t="str">
        <f>"9781605585024"</f>
        <v>9781605585024</v>
      </c>
      <c r="C15572" s="8" t="s">
        <v>21</v>
      </c>
    </row>
    <row r="15573" spans="1:3" x14ac:dyDescent="0.25">
      <c r="A15573" s="8" t="str">
        <f>"Proceedings of the 2009 ACM SIGGRAPH Symposium on Video Games, Sandbox '09"</f>
        <v>Proceedings of the 2009 ACM SIGGRAPH Symposium on Video Games, Sandbox '09</v>
      </c>
      <c r="B15573" s="8" t="str">
        <f>"9781605585147"</f>
        <v>9781605585147</v>
      </c>
      <c r="C15573" s="8" t="s">
        <v>21</v>
      </c>
    </row>
    <row r="15574" spans="1:3" x14ac:dyDescent="0.25">
      <c r="A15574" s="8" t="str">
        <f>"Proceedings of the 2009 ACM SIGPLAN Symposium on Partial Evaluation and Program Manipulation, PEPM'09"</f>
        <v>Proceedings of the 2009 ACM SIGPLAN Symposium on Partial Evaluation and Program Manipulation, PEPM'09</v>
      </c>
      <c r="B15574" s="8" t="str">
        <f>"9781605583273"</f>
        <v>9781605583273</v>
      </c>
      <c r="C15574" s="8" t="s">
        <v>21</v>
      </c>
    </row>
    <row r="15575" spans="1:3" x14ac:dyDescent="0.25">
      <c r="A15575" s="8" t="str">
        <f>"Proceedings of the 2009 ACM SIGPLAN Workshop on Generic Programming, WGP'09, Co-located with the International Conference on Functional Programming, ICFP 2009"</f>
        <v>Proceedings of the 2009 ACM SIGPLAN Workshop on Generic Programming, WGP'09, Co-located with the International Conference on Functional Programming, ICFP 2009</v>
      </c>
      <c r="B15575" s="8" t="str">
        <f>"9781605585109"</f>
        <v>9781605585109</v>
      </c>
      <c r="C15575" s="8" t="s">
        <v>21</v>
      </c>
    </row>
    <row r="15576" spans="1:3" x14ac:dyDescent="0.25">
      <c r="A15576" s="8" t="str">
        <f>"Proceedings of the 2009 ACM SIGPLAN Workshop on Programming Languages meets Program Verification, PLPV'09"</f>
        <v>Proceedings of the 2009 ACM SIGPLAN Workshop on Programming Languages meets Program Verification, PLPV'09</v>
      </c>
      <c r="B15576" s="8" t="str">
        <f>"9781605583303"</f>
        <v>9781605583303</v>
      </c>
      <c r="C15576" s="8" t="s">
        <v>21</v>
      </c>
    </row>
    <row r="15577" spans="1:3" x14ac:dyDescent="0.25">
      <c r="A15577" s="8" t="str">
        <f>"Proceedings of the 2009 ACM SIGPLAN Workshop on Types in Language Design and Implementation, TLDI'09"</f>
        <v>Proceedings of the 2009 ACM SIGPLAN Workshop on Types in Language Design and Implementation, TLDI'09</v>
      </c>
      <c r="B15577" s="8" t="str">
        <f>"9781605584201"</f>
        <v>9781605584201</v>
      </c>
      <c r="C15577" s="8" t="s">
        <v>21</v>
      </c>
    </row>
    <row r="15578" spans="1:3" x14ac:dyDescent="0.25">
      <c r="A15578" s="8" t="str">
        <f>"Proceedings of the 2009 ACM SIGPLAN/SIGOPS International Conference on Virtual Execution Environments, VEE'09"</f>
        <v>Proceedings of the 2009 ACM SIGPLAN/SIGOPS International Conference on Virtual Execution Environments, VEE'09</v>
      </c>
      <c r="B15578" s="8" t="str">
        <f>"9781605583754"</f>
        <v>9781605583754</v>
      </c>
      <c r="C15578" s="8" t="s">
        <v>21</v>
      </c>
    </row>
    <row r="15579" spans="1:3" x14ac:dyDescent="0.25">
      <c r="A15579" s="8" t="str">
        <f>"Proceedings of the 2009 ACM Workshop on Cognitive Radio Networks, CoRoNet'09, Co-located with the Mobile Computing and Networking Conference, MobiCom'09"</f>
        <v>Proceedings of the 2009 ACM Workshop on Cognitive Radio Networks, CoRoNet'09, Co-located with the Mobile Computing and Networking Conference, MobiCom'09</v>
      </c>
      <c r="B15579" s="8" t="str">
        <f>"9781605587387"</f>
        <v>9781605587387</v>
      </c>
      <c r="C15579" s="8" t="s">
        <v>21</v>
      </c>
    </row>
    <row r="15580" spans="1:3" x14ac:dyDescent="0.25">
      <c r="A15580" s="8" t="str">
        <f>"Proceedings of the 2009 Alice Symposium, ALICE '09"</f>
        <v>Proceedings of the 2009 Alice Symposium, ALICE '09</v>
      </c>
      <c r="B15580" s="8" t="str">
        <f>"9781605588551"</f>
        <v>9781605588551</v>
      </c>
      <c r="C15580" s="8" t="s">
        <v>21</v>
      </c>
    </row>
    <row r="15581" spans="1:3" x14ac:dyDescent="0.25">
      <c r="A15581" s="8" t="str">
        <f>"Proceedings of the 2009 Annual Conference of the Southern African Computer Lecturers' Association, SACLA 2009"</f>
        <v>Proceedings of the 2009 Annual Conference of the Southern African Computer Lecturers' Association, SACLA 2009</v>
      </c>
      <c r="B15581" s="8" t="str">
        <f>"9781605586830"</f>
        <v>9781605586830</v>
      </c>
      <c r="C15581" s="8" t="s">
        <v>21</v>
      </c>
    </row>
    <row r="15582" spans="1:3" x14ac:dyDescent="0.25">
      <c r="A15582" s="8" t="str">
        <f>"Proceedings of the 2009 ASCE International Workshop on Computing in Civil Engineering"</f>
        <v>Proceedings of the 2009 ASCE International Workshop on Computing in Civil Engineering</v>
      </c>
      <c r="B15582" s="8" t="str">
        <f>"9780784410523"</f>
        <v>9780784410523</v>
      </c>
      <c r="C15582" s="8" t="s">
        <v>111</v>
      </c>
    </row>
    <row r="15583" spans="1:3" x14ac:dyDescent="0.25">
      <c r="A15583" s="8" t="str">
        <f>"Proceedings of the 2009 ASME/IFToMM International Conference on Reconfigurable Mechanisms and Robots, ReMAR 2009"</f>
        <v>Proceedings of the 2009 ASME/IFToMM International Conference on Reconfigurable Mechanisms and Robots, ReMAR 2009</v>
      </c>
      <c r="B15583" s="8" t="str">
        <f>"-"</f>
        <v>-</v>
      </c>
      <c r="C15583" s="8" t="s">
        <v>9</v>
      </c>
    </row>
    <row r="15584" spans="1:3" x14ac:dyDescent="0.25">
      <c r="A15584" s="8" t="str">
        <f>"Proceedings of the 2009 Australasian Conference on Robotics and Automation, ACRA 2009"</f>
        <v>Proceedings of the 2009 Australasian Conference on Robotics and Automation, ACRA 2009</v>
      </c>
      <c r="B15584" s="8" t="str">
        <f>"9780980740400"</f>
        <v>9780980740400</v>
      </c>
      <c r="C15584" s="8" t="s">
        <v>2176</v>
      </c>
    </row>
    <row r="15585" spans="1:3" x14ac:dyDescent="0.25">
      <c r="A15585" s="8" t="str">
        <f>"Proceedings of the 2009 Australian Communications Theory Workshop, AusCTW 2009"</f>
        <v>Proceedings of the 2009 Australian Communications Theory Workshop, AusCTW 2009</v>
      </c>
      <c r="B15585" s="8" t="str">
        <f>"9781424433575"</f>
        <v>9781424433575</v>
      </c>
      <c r="C15585" s="8" t="s">
        <v>9</v>
      </c>
    </row>
    <row r="15586" spans="1:3" x14ac:dyDescent="0.25">
      <c r="A15586" s="8" t="str">
        <f>"Proceedings of the 2009 Canadian Conference on Computer and Robot Vision, CRV 2009"</f>
        <v>Proceedings of the 2009 Canadian Conference on Computer and Robot Vision, CRV 2009</v>
      </c>
      <c r="B15586" s="8" t="str">
        <f>"9780769536514"</f>
        <v>9780769536514</v>
      </c>
      <c r="C15586" s="8" t="s">
        <v>9</v>
      </c>
    </row>
    <row r="15587" spans="1:3" x14ac:dyDescent="0.25">
      <c r="A15587" s="8" t="str">
        <f>"Proceedings of the 2009 CGO - 7th International Symposium on Code Generation and Optimization"</f>
        <v>Proceedings of the 2009 CGO - 7th International Symposium on Code Generation and Optimization</v>
      </c>
      <c r="B15587" s="8" t="str">
        <f>"9780769535760"</f>
        <v>9780769535760</v>
      </c>
      <c r="C15587" s="8" t="s">
        <v>9</v>
      </c>
    </row>
    <row r="15588" spans="1:3" x14ac:dyDescent="0.25">
      <c r="A15588" s="8" t="str">
        <f>"Proceedings of the 2009 Chinese Conference on Pattern Recognition, CCPR 2009, and the 1st CJK Joint Workshop on Pattern Recognition, CJKPR"</f>
        <v>Proceedings of the 2009 Chinese Conference on Pattern Recognition, CCPR 2009, and the 1st CJK Joint Workshop on Pattern Recognition, CJKPR</v>
      </c>
      <c r="B15588" s="8" t="str">
        <f>"9781424441990"</f>
        <v>9781424441990</v>
      </c>
      <c r="C15588" s="8" t="s">
        <v>9</v>
      </c>
    </row>
    <row r="15589" spans="1:3" x14ac:dyDescent="0.25">
      <c r="A15589" s="8" t="str">
        <f>"Proceedings of the 2009 Conference in Games and Virtual Worlds for Serious Applications, VS-GAMES 2009"</f>
        <v>Proceedings of the 2009 Conference in Games and Virtual Worlds for Serious Applications, VS-GAMES 2009</v>
      </c>
      <c r="B15589" s="8" t="str">
        <f>"9780769535883"</f>
        <v>9780769535883</v>
      </c>
      <c r="C15589" s="8" t="s">
        <v>9</v>
      </c>
    </row>
    <row r="15590" spans="1:3" x14ac:dyDescent="0.25">
      <c r="A15590" s="8" t="str">
        <f>"Proceedings of the 2009 Conference of the Center for Advanced Studies on Collaborative Research, CASCON '09"</f>
        <v>Proceedings of the 2009 Conference of the Center for Advanced Studies on Collaborative Research, CASCON '09</v>
      </c>
      <c r="B15590" s="8" t="str">
        <f>"-"</f>
        <v>-</v>
      </c>
      <c r="C15590" s="8" t="s">
        <v>21</v>
      </c>
    </row>
    <row r="15591" spans="1:3" x14ac:dyDescent="0.25">
      <c r="A15591" s="8" t="str">
        <f>"Proceedings of the 2009 Conference on Information Science, Technology and Applications, ISTA '09"</f>
        <v>Proceedings of the 2009 Conference on Information Science, Technology and Applications, ISTA '09</v>
      </c>
      <c r="B15591" s="8" t="str">
        <f>"9781605584782"</f>
        <v>9781605584782</v>
      </c>
      <c r="C15591" s="8" t="s">
        <v>21</v>
      </c>
    </row>
    <row r="15592" spans="1:3" x14ac:dyDescent="0.25">
      <c r="A15592" s="8" t="str">
        <f>"Proceedings of the 2009 Conference on Symbolic Numeric Computation, SNC 2009"</f>
        <v>Proceedings of the 2009 Conference on Symbolic Numeric Computation, SNC 2009</v>
      </c>
      <c r="B15592" s="8" t="str">
        <f>"9781605586649"</f>
        <v>9781605586649</v>
      </c>
      <c r="C15592" s="8" t="s">
        <v>21</v>
      </c>
    </row>
    <row r="15593" spans="1:3" x14ac:dyDescent="0.25">
      <c r="A15593" s="8" t="str">
        <f>"Proceedings of the 2009 Electrical Transmission and Substation Structures Conference - Electrical Transmission and Substation Structures 2009: Technology for the Next Generation"</f>
        <v>Proceedings of the 2009 Electrical Transmission and Substation Structures Conference - Electrical Transmission and Substation Structures 2009: Technology for the Next Generation</v>
      </c>
      <c r="B15593" s="8" t="str">
        <f>"9780784410776"</f>
        <v>9780784410776</v>
      </c>
      <c r="C15593" s="8" t="s">
        <v>111</v>
      </c>
    </row>
    <row r="15594" spans="1:3" x14ac:dyDescent="0.25">
      <c r="A15594" s="8" t="str">
        <f>"Proceedings of the 2009 Euro American Conference on Telematics and Information Systems: New Opportunities to Increase Digital Citizenship, EATIS '09"</f>
        <v>Proceedings of the 2009 Euro American Conference on Telematics and Information Systems: New Opportunities to Increase Digital Citizenship, EATIS '09</v>
      </c>
      <c r="B15594" s="8" t="str">
        <f>"9781605583983"</f>
        <v>9781605583983</v>
      </c>
      <c r="C15594" s="8" t="s">
        <v>21</v>
      </c>
    </row>
    <row r="15595" spans="1:3" x14ac:dyDescent="0.25">
      <c r="A15595" s="8" t="str">
        <f>"Proceedings of the 2009 High Power Diode Lasers and Systems Conference, HPD '09, Co-located with Photonex 2009"</f>
        <v>Proceedings of the 2009 High Power Diode Lasers and Systems Conference, HPD '09, Co-located with Photonex 2009</v>
      </c>
      <c r="B15595" s="8" t="str">
        <f>"9781424455478"</f>
        <v>9781424455478</v>
      </c>
      <c r="C15595" s="8" t="s">
        <v>9</v>
      </c>
    </row>
    <row r="15596" spans="1:3" x14ac:dyDescent="0.25">
      <c r="A15596" s="8" t="str">
        <f>"Proceedings of the 2009 Huntsville Simulation Conference, HSC 2009"</f>
        <v>Proceedings of the 2009 Huntsville Simulation Conference, HSC 2009</v>
      </c>
      <c r="B15596" s="8" t="str">
        <f>"9781617385872"</f>
        <v>9781617385872</v>
      </c>
      <c r="C15596" s="8" t="s">
        <v>1072</v>
      </c>
    </row>
    <row r="15597" spans="1:3" x14ac:dyDescent="0.25">
      <c r="A15597" s="8" t="str">
        <f>"Proceedings of the 2009 ICSE Workshop on Aspect-Oriented Requirements Engineering and Architecture Design, EA 2009"</f>
        <v>Proceedings of the 2009 ICSE Workshop on Aspect-Oriented Requirements Engineering and Architecture Design, EA 2009</v>
      </c>
      <c r="B15597" s="8" t="str">
        <f>"9781424437191"</f>
        <v>9781424437191</v>
      </c>
      <c r="C15597" s="8" t="s">
        <v>9</v>
      </c>
    </row>
    <row r="15598" spans="1:3" x14ac:dyDescent="0.25">
      <c r="A15598" s="8" t="str">
        <f>"Proceedings of the 2009 ICSE Workshop on Automation of Software Test, AST 2009"</f>
        <v>Proceedings of the 2009 ICSE Workshop on Automation of Software Test, AST 2009</v>
      </c>
      <c r="B15598" s="8" t="str">
        <f>"9781424437436"</f>
        <v>9781424437436</v>
      </c>
      <c r="C15598" s="8" t="s">
        <v>9</v>
      </c>
    </row>
    <row r="15599" spans="1:3" x14ac:dyDescent="0.25">
      <c r="A15599" s="8" t="str">
        <f>"Proceedings of the 2009 ICSE Workshop on Comparison and Versioning of Software Models, CVSM 2009"</f>
        <v>Proceedings of the 2009 ICSE Workshop on Comparison and Versioning of Software Models, CVSM 2009</v>
      </c>
      <c r="B15599" s="8" t="str">
        <f>"9781424437146"</f>
        <v>9781424437146</v>
      </c>
      <c r="C15599" s="8" t="s">
        <v>9</v>
      </c>
    </row>
    <row r="15600" spans="1:3" x14ac:dyDescent="0.25">
      <c r="A15600" s="8" t="str">
        <f>"Proceedings of the 2009 ICSE Workshop on Cooperative and Human Aspects on Software Engineering, CHASE 2009"</f>
        <v>Proceedings of the 2009 ICSE Workshop on Cooperative and Human Aspects on Software Engineering, CHASE 2009</v>
      </c>
      <c r="B15600" s="8" t="str">
        <f>"9781424437122"</f>
        <v>9781424437122</v>
      </c>
      <c r="C15600" s="8" t="s">
        <v>9</v>
      </c>
    </row>
    <row r="15601" spans="1:3" x14ac:dyDescent="0.25">
      <c r="A15601" s="8" t="str">
        <f>"Proceedings of the 2009 ICSE Workshop on Emerging Trends in Free/Libre/Open Source Software Research and Development, FLOSS 2009"</f>
        <v>Proceedings of the 2009 ICSE Workshop on Emerging Trends in Free/Libre/Open Source Software Research and Development, FLOSS 2009</v>
      </c>
      <c r="B15601" s="8" t="str">
        <f>"9781424437207"</f>
        <v>9781424437207</v>
      </c>
      <c r="C15601" s="8" t="s">
        <v>9</v>
      </c>
    </row>
    <row r="15602" spans="1:3" x14ac:dyDescent="0.25">
      <c r="A15602" s="8" t="str">
        <f>"Proceedings of the 2009 ICSE Workshop on Leadership and Management in Software Architecture, LMSA 2009"</f>
        <v>Proceedings of the 2009 ICSE Workshop on Leadership and Management in Software Architecture, LMSA 2009</v>
      </c>
      <c r="B15602" s="8" t="str">
        <f>"9781424437177"</f>
        <v>9781424437177</v>
      </c>
      <c r="C15602" s="8" t="s">
        <v>9</v>
      </c>
    </row>
    <row r="15603" spans="1:3" x14ac:dyDescent="0.25">
      <c r="A15603" s="8" t="str">
        <f>"Proceedings of the 2009 ICSE Workshop on Model-Based Methodologies for Pervasive and Embedded Software, MOMPES 2009"</f>
        <v>Proceedings of the 2009 ICSE Workshop on Model-Based Methodologies for Pervasive and Embedded Software, MOMPES 2009</v>
      </c>
      <c r="B15603" s="8" t="str">
        <f>"9781424437214"</f>
        <v>9781424437214</v>
      </c>
      <c r="C15603" s="8" t="s">
        <v>9</v>
      </c>
    </row>
    <row r="15604" spans="1:3" x14ac:dyDescent="0.25">
      <c r="A15604" s="8" t="str">
        <f>"Proceedings of the 2009 ICSE Workshop on Multicore Software Engineering, IWMSE 2009"</f>
        <v>Proceedings of the 2009 ICSE Workshop on Multicore Software Engineering, IWMSE 2009</v>
      </c>
      <c r="B15604" s="8" t="str">
        <f>"9781424437184"</f>
        <v>9781424437184</v>
      </c>
      <c r="C15604" s="8" t="s">
        <v>9</v>
      </c>
    </row>
    <row r="15605" spans="1:3" x14ac:dyDescent="0.25">
      <c r="A15605" s="8" t="str">
        <f>"Proceedings of the 2009 ICSE Workshop on Principles of Engineering Service Oriented Systems, PESOS 2009"</f>
        <v>Proceedings of the 2009 ICSE Workshop on Principles of Engineering Service Oriented Systems, PESOS 2009</v>
      </c>
      <c r="B15605" s="8" t="str">
        <f>"9781424437160"</f>
        <v>9781424437160</v>
      </c>
      <c r="C15605" s="8" t="s">
        <v>9</v>
      </c>
    </row>
    <row r="15606" spans="1:3" x14ac:dyDescent="0.25">
      <c r="A15606" s="8" t="str">
        <f>"Proceedings of the 2009 ICSE Workshop on Sharing and Reusing Architectural Knowledge, SHARK 2009"</f>
        <v>Proceedings of the 2009 ICSE Workshop on Sharing and Reusing Architectural Knowledge, SHARK 2009</v>
      </c>
      <c r="B15606" s="8" t="str">
        <f>"9781424437269"</f>
        <v>9781424437269</v>
      </c>
      <c r="C15606" s="8" t="s">
        <v>9</v>
      </c>
    </row>
    <row r="15607" spans="1:3" x14ac:dyDescent="0.25">
      <c r="A15607" s="8" t="str">
        <f>"Proceedings of the 2009 ICSE Workshop on Software Development Governance, SDG 2009"</f>
        <v>Proceedings of the 2009 ICSE Workshop on Software Development Governance, SDG 2009</v>
      </c>
      <c r="B15607" s="8" t="str">
        <f>"9781424437368"</f>
        <v>9781424437368</v>
      </c>
      <c r="C15607" s="8" t="s">
        <v>9</v>
      </c>
    </row>
    <row r="15608" spans="1:3" x14ac:dyDescent="0.25">
      <c r="A15608" s="8" t="str">
        <f>"Proceedings of the 2009 ICSE Workshop on Software Engineering Challenges of Cloud Computing, CLOUD 2009"</f>
        <v>Proceedings of the 2009 ICSE Workshop on Software Engineering Challenges of Cloud Computing, CLOUD 2009</v>
      </c>
      <c r="B15608" s="8" t="str">
        <f>"9781424437139"</f>
        <v>9781424437139</v>
      </c>
      <c r="C15608" s="8" t="s">
        <v>9</v>
      </c>
    </row>
    <row r="15609" spans="1:3" x14ac:dyDescent="0.25">
      <c r="A15609" s="8" t="str">
        <f>"Proceedings of the 2009 ICSE Workshop on Software Engineering for Adaptive and Self-Managing Systems, SEAMS 2009"</f>
        <v>Proceedings of the 2009 ICSE Workshop on Software Engineering for Adaptive and Self-Managing Systems, SEAMS 2009</v>
      </c>
      <c r="B15609" s="8" t="str">
        <f>"9781424437245"</f>
        <v>9781424437245</v>
      </c>
      <c r="C15609" s="8" t="s">
        <v>9</v>
      </c>
    </row>
    <row r="15610" spans="1:3" x14ac:dyDescent="0.25">
      <c r="A15610" s="8" t="str">
        <f>"Proceedings of the 2009 ICSE Workshop on Software Engineering for Computational Science and Engineering, SECSE 2009"</f>
        <v>Proceedings of the 2009 ICSE Workshop on Software Engineering for Computational Science and Engineering, SECSE 2009</v>
      </c>
      <c r="B15610" s="8" t="str">
        <f>"9781424437375"</f>
        <v>9781424437375</v>
      </c>
      <c r="C15610" s="8" t="s">
        <v>9</v>
      </c>
    </row>
    <row r="15611" spans="1:3" x14ac:dyDescent="0.25">
      <c r="A15611" s="8" t="str">
        <f>"Proceedings of the 2009 ICSE Workshop on Software Engineering for Secure Systems, SESS 2009"</f>
        <v>Proceedings of the 2009 ICSE Workshop on Software Engineering for Secure Systems, SESS 2009</v>
      </c>
      <c r="B15611" s="8" t="str">
        <f>"9781424437252"</f>
        <v>9781424437252</v>
      </c>
      <c r="C15611" s="8" t="s">
        <v>9</v>
      </c>
    </row>
    <row r="15612" spans="1:3" x14ac:dyDescent="0.25">
      <c r="A15612" s="8" t="str">
        <f>"Proceedings of the 2009 ICSE Workshop on Software Engineering Foundations for End User Programming, SEEUP 2009"</f>
        <v>Proceedings of the 2009 ICSE Workshop on Software Engineering Foundations for End User Programming, SEEUP 2009</v>
      </c>
      <c r="B15612" s="8" t="str">
        <f>"9781424437382"</f>
        <v>9781424437382</v>
      </c>
      <c r="C15612" s="8" t="s">
        <v>9</v>
      </c>
    </row>
    <row r="15613" spans="1:3" x14ac:dyDescent="0.25">
      <c r="A15613" s="8" t="str">
        <f>"Proceedings of the 2009 ICSE Workshop on Software Engineering in Health Care, SEHC 2009"</f>
        <v>Proceedings of the 2009 ICSE Workshop on Software Engineering in Health Care, SEHC 2009</v>
      </c>
      <c r="B15613" s="8" t="str">
        <f>"9781424437399"</f>
        <v>9781424437399</v>
      </c>
      <c r="C15613" s="8" t="s">
        <v>9</v>
      </c>
    </row>
    <row r="15614" spans="1:3" x14ac:dyDescent="0.25">
      <c r="A15614" s="8" t="str">
        <f>"Proceedings of the 2009 ICSE Workshop on Traceability in Emerging Forms of Software Engineering, TEFSE 2009"</f>
        <v>Proceedings of the 2009 ICSE Workshop on Traceability in Emerging Forms of Software Engineering, TEFSE 2009</v>
      </c>
      <c r="B15614" s="8" t="str">
        <f>"9781424437412"</f>
        <v>9781424437412</v>
      </c>
      <c r="C15614" s="8" t="s">
        <v>9</v>
      </c>
    </row>
    <row r="15615" spans="1:3" x14ac:dyDescent="0.25">
      <c r="A15615" s="8" t="str">
        <f>"Proceedings of the 2009 IEEE Computer Society Annual Symposium on VLSI, ISVLSI 2009"</f>
        <v>Proceedings of the 2009 IEEE Computer Society Annual Symposium on VLSI, ISVLSI 2009</v>
      </c>
      <c r="B15615" s="8" t="str">
        <f>"9780769536842"</f>
        <v>9780769536842</v>
      </c>
      <c r="C15615" s="8" t="s">
        <v>9</v>
      </c>
    </row>
    <row r="15616" spans="1:3" x14ac:dyDescent="0.25">
      <c r="A15616" s="8" t="str">
        <f>"Proceedings of the 2009 IEEE Dallas Circuits and Systems Workshop: Energy Efficient Circuits and Systems, DCAS-2009"</f>
        <v>Proceedings of the 2009 IEEE Dallas Circuits and Systems Workshop: Energy Efficient Circuits and Systems, DCAS-2009</v>
      </c>
      <c r="B15616" s="8" t="str">
        <f>"9781424454846"</f>
        <v>9781424454846</v>
      </c>
      <c r="C15616" s="8" t="s">
        <v>9</v>
      </c>
    </row>
    <row r="15617" spans="1:3" x14ac:dyDescent="0.25">
      <c r="A15617" s="8" t="str">
        <f>"Proceedings of the 2009 IEEE International Conference on Automation and Logistics, ICAL 2009"</f>
        <v>Proceedings of the 2009 IEEE International Conference on Automation and Logistics, ICAL 2009</v>
      </c>
      <c r="B15617" s="8" t="str">
        <f>"9781424447954"</f>
        <v>9781424447954</v>
      </c>
      <c r="C15617" s="8" t="s">
        <v>9</v>
      </c>
    </row>
    <row r="15618" spans="1:3" x14ac:dyDescent="0.25">
      <c r="A15618" s="8" t="str">
        <f>"Proceedings of the 2009 IEEE International Conference on Networking, Sensing and Control, ICNSC 2009"</f>
        <v>Proceedings of the 2009 IEEE International Conference on Networking, Sensing and Control, ICNSC 2009</v>
      </c>
      <c r="B15618" s="8" t="str">
        <f>"9781424434923"</f>
        <v>9781424434923</v>
      </c>
      <c r="C15618" s="8" t="s">
        <v>9</v>
      </c>
    </row>
    <row r="15619" spans="1:3" x14ac:dyDescent="0.25">
      <c r="A15619" s="8" t="str">
        <f>"Proceedings of the 2009 IEEE International Interconnect Technology Conference, IITC 2009"</f>
        <v>Proceedings of the 2009 IEEE International Interconnect Technology Conference, IITC 2009</v>
      </c>
      <c r="B15619" s="8" t="str">
        <f>"9781424444939"</f>
        <v>9781424444939</v>
      </c>
      <c r="C15619" s="8" t="s">
        <v>9</v>
      </c>
    </row>
    <row r="15620" spans="1:3" x14ac:dyDescent="0.25">
      <c r="A15620" s="8" t="str">
        <f>"Proceedings of the 2009 IEEE International Symposium on Object/Component/Service-Oriented Real-Time Distributed Computing, ISORC 2009"</f>
        <v>Proceedings of the 2009 IEEE International Symposium on Object/Component/Service-Oriented Real-Time Distributed Computing, ISORC 2009</v>
      </c>
      <c r="B15620" s="8" t="str">
        <f>"9780769535739"</f>
        <v>9780769535739</v>
      </c>
      <c r="C15620" s="8" t="s">
        <v>9</v>
      </c>
    </row>
    <row r="15621" spans="1:3" x14ac:dyDescent="0.25">
      <c r="A15621" s="8" t="str">
        <f>"Proceedings of the 2009 IEEE International Symposium on Workload Characterization, IISWC 2009"</f>
        <v>Proceedings of the 2009 IEEE International Symposium on Workload Characterization, IISWC 2009</v>
      </c>
      <c r="B15621" s="8" t="str">
        <f>"9781424451562"</f>
        <v>9781424451562</v>
      </c>
      <c r="C15621" s="8" t="s">
        <v>9</v>
      </c>
    </row>
    <row r="15622" spans="1:3" x14ac:dyDescent="0.25">
      <c r="A15622" s="8" t="str">
        <f>"Proceedings of the 2009 IEEE International Workshop on Memory Technology, Design, and Testing, MTDT 2009"</f>
        <v>Proceedings of the 2009 IEEE International Workshop on Memory Technology, Design, and Testing, MTDT 2009</v>
      </c>
      <c r="B15622" s="8" t="str">
        <f>"9780769537979"</f>
        <v>9780769537979</v>
      </c>
      <c r="C15622" s="8" t="s">
        <v>9</v>
      </c>
    </row>
    <row r="15623" spans="1:3" x14ac:dyDescent="0.25">
      <c r="A15623" s="8" t="str">
        <f>"Proceedings of the 2009 IEEE Symposium on Design and Diagnostics of Electronic Circuits and Systems, DDECS 2009"</f>
        <v>Proceedings of the 2009 IEEE Symposium on Design and Diagnostics of Electronic Circuits and Systems, DDECS 2009</v>
      </c>
      <c r="B15623" s="8" t="str">
        <f>"9781424433391"</f>
        <v>9781424433391</v>
      </c>
      <c r="C15623" s="8" t="s">
        <v>9</v>
      </c>
    </row>
    <row r="15624" spans="1:3" x14ac:dyDescent="0.25">
      <c r="A15624" s="8" t="str">
        <f>"Proceedings of the 2009 IEEE Workshop on Automatic Speech Recognition and Understanding, ASRU 2009"</f>
        <v>Proceedings of the 2009 IEEE Workshop on Automatic Speech Recognition and Understanding, ASRU 2009</v>
      </c>
      <c r="B15624" s="8" t="str">
        <f>"9781424454792"</f>
        <v>9781424454792</v>
      </c>
      <c r="C15624" s="8" t="s">
        <v>9</v>
      </c>
    </row>
    <row r="15625" spans="1:3" x14ac:dyDescent="0.25">
      <c r="A15625" s="8" t="str">
        <f>"Proceedings of the 2009 Information Security Curriculum Development Annual Conference, InfoSecCD'09"</f>
        <v>Proceedings of the 2009 Information Security Curriculum Development Annual Conference, InfoSecCD'09</v>
      </c>
      <c r="B15625" s="8" t="str">
        <f>"9781605586618"</f>
        <v>9781605586618</v>
      </c>
      <c r="C15625" s="8" t="s">
        <v>21</v>
      </c>
    </row>
    <row r="15626" spans="1:3" x14ac:dyDescent="0.25">
      <c r="A15626" s="8" t="str">
        <f>"Proceedings of the 2009 Integrated Communications, Navigation and Surveillance Conference, ICNS 2009"</f>
        <v>Proceedings of the 2009 Integrated Communications, Navigation and Surveillance Conference, ICNS 2009</v>
      </c>
      <c r="B15626" s="8" t="str">
        <f>"9781424447343"</f>
        <v>9781424447343</v>
      </c>
      <c r="C15626" s="8" t="s">
        <v>9</v>
      </c>
    </row>
    <row r="15627" spans="1:3" x14ac:dyDescent="0.25">
      <c r="A15627" s="8" t="str">
        <f>"Proceedings of the 2009 International Conference on Adaptive and Intelligent Systems, ICAIS 2009"</f>
        <v>Proceedings of the 2009 International Conference on Adaptive and Intelligent Systems, ICAIS 2009</v>
      </c>
      <c r="B15627" s="8" t="str">
        <f>"9780769538273"</f>
        <v>9780769538273</v>
      </c>
      <c r="C15627" s="8" t="s">
        <v>9</v>
      </c>
    </row>
    <row r="15628" spans="1:3" x14ac:dyDescent="0.25">
      <c r="A15628" s="8" t="str">
        <f>"Proceedings of the 2009 International Conference on Advances in Social Network Analysis and Mining, ASONAM 2009"</f>
        <v>Proceedings of the 2009 International Conference on Advances in Social Network Analysis and Mining, ASONAM 2009</v>
      </c>
      <c r="B15628" s="8" t="str">
        <f>"9780769536897"</f>
        <v>9780769536897</v>
      </c>
      <c r="C15628" s="8" t="s">
        <v>9</v>
      </c>
    </row>
    <row r="15629" spans="1:3" x14ac:dyDescent="0.25">
      <c r="A15629" s="8" t="str">
        <f>"Proceedings of the 2009 International Conference on Artificial Intelligence, ICAI 2009"</f>
        <v>Proceedings of the 2009 International Conference on Artificial Intelligence, ICAI 2009</v>
      </c>
      <c r="B15629" s="8" t="str">
        <f>"9781601321091"</f>
        <v>9781601321091</v>
      </c>
      <c r="C15629" s="8" t="s">
        <v>1432</v>
      </c>
    </row>
    <row r="15630" spans="1:3" x14ac:dyDescent="0.25">
      <c r="A15630" s="8" t="str">
        <f>"Proceedings of the 2009 International Conference on Communication Software and Networks, ICCSN 2009"</f>
        <v>Proceedings of the 2009 International Conference on Communication Software and Networks, ICCSN 2009</v>
      </c>
      <c r="B15630" s="8" t="str">
        <f>"9780769535227"</f>
        <v>9780769535227</v>
      </c>
      <c r="C15630" s="8" t="s">
        <v>9</v>
      </c>
    </row>
    <row r="15631" spans="1:3" x14ac:dyDescent="0.25">
      <c r="A15631" s="8" t="str">
        <f>"Proceedings of the 2009 International Conference on Computational Intelligence and Natural Computing, CINC 2009"</f>
        <v>Proceedings of the 2009 International Conference on Computational Intelligence and Natural Computing, CINC 2009</v>
      </c>
      <c r="B15631" s="8" t="str">
        <f>"9780769536453"</f>
        <v>9780769536453</v>
      </c>
      <c r="C15631" s="8" t="s">
        <v>9</v>
      </c>
    </row>
    <row r="15632" spans="1:3" x14ac:dyDescent="0.25">
      <c r="A15632" s="8" t="str">
        <f>"Proceedings of the 2009 International Conference on Computational Science and Its Applications, ICCSA 2009"</f>
        <v>Proceedings of the 2009 International Conference on Computational Science and Its Applications, ICCSA 2009</v>
      </c>
      <c r="B15632" s="8" t="str">
        <f>"9780769537016"</f>
        <v>9780769537016</v>
      </c>
      <c r="C15632" s="8" t="s">
        <v>9</v>
      </c>
    </row>
    <row r="15633" spans="1:3" x14ac:dyDescent="0.25">
      <c r="A15633" s="8" t="str">
        <f>"Proceedings of the 2009 International Conference on Electrical Engineering and Informatics, ICEEI 2009"</f>
        <v>Proceedings of the 2009 International Conference on Electrical Engineering and Informatics, ICEEI 2009</v>
      </c>
      <c r="B15633" s="8" t="str">
        <f>"9781424449132"</f>
        <v>9781424449132</v>
      </c>
      <c r="C15633" s="8" t="s">
        <v>9</v>
      </c>
    </row>
    <row r="15634" spans="1:3" x14ac:dyDescent="0.25">
      <c r="A15634" s="8" t="str">
        <f>"Proceedings of the 2009 International Conference on Electromagnetics in Advanced Applications, ICEAA '09"</f>
        <v>Proceedings of the 2009 International Conference on Electromagnetics in Advanced Applications, ICEAA '09</v>
      </c>
      <c r="B15634" s="8" t="str">
        <f>"9781424433865"</f>
        <v>9781424433865</v>
      </c>
      <c r="C15634" s="8" t="s">
        <v>9</v>
      </c>
    </row>
    <row r="15635" spans="1:3" x14ac:dyDescent="0.25">
      <c r="A15635" s="8" t="str">
        <f>"Proceedings of the 2009 International Conference on Field-Programmable Technology, FPT'09"</f>
        <v>Proceedings of the 2009 International Conference on Field-Programmable Technology, FPT'09</v>
      </c>
      <c r="B15635" s="8" t="str">
        <f>"9781424443772"</f>
        <v>9781424443772</v>
      </c>
      <c r="C15635" s="8" t="s">
        <v>9</v>
      </c>
    </row>
    <row r="15636" spans="1:3" x14ac:dyDescent="0.25">
      <c r="A15636" s="8" t="str">
        <f>"Proceedings of the 2009 International Conference on Game Theory for Networks, GameNets '09"</f>
        <v>Proceedings of the 2009 International Conference on Game Theory for Networks, GameNets '09</v>
      </c>
      <c r="B15636" s="8" t="str">
        <f>"9781424441778"</f>
        <v>9781424441778</v>
      </c>
      <c r="C15636" s="8" t="s">
        <v>9</v>
      </c>
    </row>
    <row r="15637" spans="1:3" x14ac:dyDescent="0.25">
      <c r="A15637" s="8" t="str">
        <f>"Proceedings of the 2009 International Conference on High Performance Computing and Simulation, HPCS 2009"</f>
        <v>Proceedings of the 2009 International Conference on High Performance Computing and Simulation, HPCS 2009</v>
      </c>
      <c r="B15637" s="8" t="str">
        <f>"9781424449071"</f>
        <v>9781424449071</v>
      </c>
      <c r="C15637" s="8" t="s">
        <v>9</v>
      </c>
    </row>
    <row r="15638" spans="1:3" x14ac:dyDescent="0.25">
      <c r="A15638" s="8" t="str">
        <f>"Proceedings of the 2009 International Conference on Image Processing, Computer Vision, and Pattern Recognition, IPCV 2009"</f>
        <v>Proceedings of the 2009 International Conference on Image Processing, Computer Vision, and Pattern Recognition, IPCV 2009</v>
      </c>
      <c r="B15638" s="8" t="str">
        <f>"9781601321190"</f>
        <v>9781601321190</v>
      </c>
      <c r="C15638" s="8" t="s">
        <v>1432</v>
      </c>
    </row>
    <row r="15639" spans="1:3" x14ac:dyDescent="0.25">
      <c r="A15639" s="8" t="str">
        <f>"Proceedings of the 2009 International Conference on Information Quality, ICIQ 2009"</f>
        <v>Proceedings of the 2009 International Conference on Information Quality, ICIQ 2009</v>
      </c>
      <c r="B15639" s="8" t="str">
        <f>"-"</f>
        <v>-</v>
      </c>
      <c r="C15639" s="8" t="s">
        <v>1107</v>
      </c>
    </row>
    <row r="15640" spans="1:3" x14ac:dyDescent="0.25">
      <c r="A15640" s="8" t="str">
        <f>"Proceedings of the 2009 International Conference on Machine Learning and Cybernetics"</f>
        <v>Proceedings of the 2009 International Conference on Machine Learning and Cybernetics</v>
      </c>
      <c r="B15640" s="8" t="str">
        <f>"9781424437030"</f>
        <v>9781424437030</v>
      </c>
      <c r="C15640" s="8" t="s">
        <v>9</v>
      </c>
    </row>
    <row r="15641" spans="1:3" x14ac:dyDescent="0.25">
      <c r="A15641" s="8" t="str">
        <f>"Proceedings of the 2009 International Conference on the Current Trends in Information Technology, CTIT 2009"</f>
        <v>Proceedings of the 2009 International Conference on the Current Trends in Information Technology, CTIT 2009</v>
      </c>
      <c r="B15641" s="8" t="str">
        <f>"9781424457557"</f>
        <v>9781424457557</v>
      </c>
      <c r="C15641" s="8" t="s">
        <v>9</v>
      </c>
    </row>
    <row r="15642" spans="1:3" x14ac:dyDescent="0.25">
      <c r="A15642" s="8" t="str">
        <f>"Proceedings of the 2009 International Joint Conference on Computational Sciences and Optimization, CSO 2009"</f>
        <v>Proceedings of the 2009 International Joint Conference on Computational Sciences and Optimization, CSO 2009</v>
      </c>
      <c r="B15642" s="8" t="str">
        <f>"9780769536057"</f>
        <v>9780769536057</v>
      </c>
      <c r="C15642" s="8" t="s">
        <v>9</v>
      </c>
    </row>
    <row r="15643" spans="1:3" x14ac:dyDescent="0.25">
      <c r="A15643" s="8" t="str">
        <f>"Proceedings of the 2009 International SIGED: IAIM Conference"</f>
        <v>Proceedings of the 2009 International SIGED: IAIM Conference</v>
      </c>
      <c r="B15643" s="8" t="str">
        <f>"9780620458979"</f>
        <v>9780620458979</v>
      </c>
      <c r="C15643" s="8" t="s">
        <v>289</v>
      </c>
    </row>
    <row r="15644" spans="1:3" x14ac:dyDescent="0.25">
      <c r="A15644" s="8" t="str">
        <f>"Proceedings of the 2009 International Symposium on Performance Evaluation of Computer and Telecommunication Systems, SPECTS 2009"</f>
        <v>Proceedings of the 2009 International Symposium on Performance Evaluation of Computer and Telecommunication Systems, SPECTS 2009</v>
      </c>
      <c r="B15644" s="8" t="str">
        <f>"9781565553309"</f>
        <v>9781565553309</v>
      </c>
      <c r="C15644" s="8" t="s">
        <v>9</v>
      </c>
    </row>
    <row r="15645" spans="1:3" x14ac:dyDescent="0.25">
      <c r="A15645" s="8" t="str">
        <f>"Proceedings of the 2009 Pacific-Asia Conference on Circuits, Communications and System, PACCS 2009"</f>
        <v>Proceedings of the 2009 Pacific-Asia Conference on Circuits, Communications and System, PACCS 2009</v>
      </c>
      <c r="B15645" s="8" t="str">
        <f>"9780769536149"</f>
        <v>9780769536149</v>
      </c>
      <c r="C15645" s="8" t="s">
        <v>9</v>
      </c>
    </row>
    <row r="15646" spans="1:3" x14ac:dyDescent="0.25">
      <c r="A15646" s="8" t="str">
        <f>"Proceedings of the 2009 Spanish Conference on Electron Devices, CDE'09"</f>
        <v>Proceedings of the 2009 Spanish Conference on Electron Devices, CDE'09</v>
      </c>
      <c r="B15646" s="8" t="str">
        <f>"9781424428397"</f>
        <v>9781424428397</v>
      </c>
      <c r="C15646" s="8" t="s">
        <v>9</v>
      </c>
    </row>
    <row r="15647" spans="1:3" x14ac:dyDescent="0.25">
      <c r="A15647" s="8" t="str">
        <f>"Proceedings of the 2009 Structures Congress - Don't Mess with Structural Engineers: Expanding Our Role"</f>
        <v>Proceedings of the 2009 Structures Congress - Don't Mess with Structural Engineers: Expanding Our Role</v>
      </c>
      <c r="B15647" s="8" t="str">
        <f>"9780784410318"</f>
        <v>9780784410318</v>
      </c>
      <c r="C15647" s="8" t="s">
        <v>111</v>
      </c>
    </row>
    <row r="15648" spans="1:3" x14ac:dyDescent="0.25">
      <c r="A15648" s="8" t="str">
        <f>"Proceedings of the 2009 Workshop on Bio-inspired Algorithms for Distributed Systems, BADS '09"</f>
        <v>Proceedings of the 2009 Workshop on Bio-inspired Algorithms for Distributed Systems, BADS '09</v>
      </c>
      <c r="B15648" s="8" t="str">
        <f>"9781605585840"</f>
        <v>9781605585840</v>
      </c>
      <c r="C15648" s="8" t="s">
        <v>21</v>
      </c>
    </row>
    <row r="15649" spans="1:3" x14ac:dyDescent="0.25">
      <c r="A15649" s="8" t="str">
        <f>"Proceedings of the 2009 Workshop on Component-Based High-Performance Computing, CBHPC 2009"</f>
        <v>Proceedings of the 2009 Workshop on Component-Based High-Performance Computing, CBHPC 2009</v>
      </c>
      <c r="B15649" s="8" t="str">
        <f>"9781605587189"</f>
        <v>9781605587189</v>
      </c>
      <c r="C15649" s="8" t="s">
        <v>21</v>
      </c>
    </row>
    <row r="15650" spans="1:3" x14ac:dyDescent="0.25">
      <c r="A15650" s="8" t="str">
        <f>"Proceedings of the 2009 Workshop on Data Mining using Matrices and Tensors, DMMT'09 in Conjunction with the 15th ACM SIGKDD International Conference on Knowledge Discovery and Data Mining, SIGKDD 2009"</f>
        <v>Proceedings of the 2009 Workshop on Data Mining using Matrices and Tensors, DMMT'09 in Conjunction with the 15th ACM SIGKDD International Conference on Knowledge Discovery and Data Mining, SIGKDD 2009</v>
      </c>
      <c r="B15650" s="8" t="str">
        <f>"9781605586731"</f>
        <v>9781605586731</v>
      </c>
      <c r="C15650" s="8" t="s">
        <v>21</v>
      </c>
    </row>
    <row r="15651" spans="1:3" x14ac:dyDescent="0.25">
      <c r="A15651" s="8" t="str">
        <f>"Proceedings of the 2009 Workshop on Foundations of Aspect-Oriented Languages, FOAL '09, Co-located with the 8th International Conference on Aspect-Oriented Software Development, AOSD.09"</f>
        <v>Proceedings of the 2009 Workshop on Foundations of Aspect-Oriented Languages, FOAL '09, Co-located with the 8th International Conference on Aspect-Oriented Software Development, AOSD.09</v>
      </c>
      <c r="B15651" s="8" t="str">
        <f>"9781605584522"</f>
        <v>9781605584522</v>
      </c>
      <c r="C15651" s="8" t="s">
        <v>21</v>
      </c>
    </row>
    <row r="15652" spans="1:3" x14ac:dyDescent="0.25">
      <c r="A15652" s="8" t="str">
        <f>"Proceedings of the 2009 Workshop on Resiliency in High Performance, Resilience'09, Co-located with the 2009 International Symposium on High Performance Distributed Computing Conference, HPDC'09"</f>
        <v>Proceedings of the 2009 Workshop on Resiliency in High Performance, Resilience'09, Co-located with the 2009 International Symposium on High Performance Distributed Computing Conference, HPDC'09</v>
      </c>
      <c r="B15652" s="8" t="str">
        <f>"9781605585932"</f>
        <v>9781605585932</v>
      </c>
      <c r="C15652" s="8" t="s">
        <v>21</v>
      </c>
    </row>
    <row r="15653" spans="1:3" x14ac:dyDescent="0.25">
      <c r="A15653" s="8" t="str">
        <f>"Proceedings of the 2009 Workshop on Ultrascale Visualization, UltraVis '09"</f>
        <v>Proceedings of the 2009 Workshop on Ultrascale Visualization, UltraVis '09</v>
      </c>
      <c r="B15653" s="8" t="str">
        <f>"9781605588971"</f>
        <v>9781605588971</v>
      </c>
      <c r="C15653" s="8" t="s">
        <v>21</v>
      </c>
    </row>
    <row r="15654" spans="1:3" x14ac:dyDescent="0.25">
      <c r="A15654" s="8" t="str">
        <f>"Proceedings of the 2009 WRI Global Congress on Intelligent Systems, GCIS 2009"</f>
        <v>Proceedings of the 2009 WRI Global Congress on Intelligent Systems, GCIS 2009</v>
      </c>
      <c r="B15654" s="8" t="str">
        <f>"9780769535715"</f>
        <v>9780769535715</v>
      </c>
      <c r="C15654" s="8" t="s">
        <v>9</v>
      </c>
    </row>
    <row r="15655" spans="1:3" x14ac:dyDescent="0.25">
      <c r="A15655" s="8" t="str">
        <f>"Proceedings of the 2010 - International Symposium on Performance Evaluation of Computer and Telecommunication Systems, SPECTS"</f>
        <v>Proceedings of the 2010 - International Symposium on Performance Evaluation of Computer and Telecommunication Systems, SPECTS</v>
      </c>
      <c r="B15655" s="8" t="str">
        <f>"9781617387036"</f>
        <v>9781617387036</v>
      </c>
      <c r="C15655" s="8" t="s">
        <v>1072</v>
      </c>
    </row>
    <row r="15656" spans="1:3" x14ac:dyDescent="0.25">
      <c r="A15656" s="8" t="str">
        <f>"Proceedings of the 2010 10th Conference-Seminar International School on Nonsinusoidal Currents and Compensation, ISNCC 2010"</f>
        <v>Proceedings of the 2010 10th Conference-Seminar International School on Nonsinusoidal Currents and Compensation, ISNCC 2010</v>
      </c>
      <c r="B15656" s="8" t="str">
        <f>"9781424454358"</f>
        <v>9781424454358</v>
      </c>
      <c r="C15656" s="8" t="s">
        <v>9</v>
      </c>
    </row>
    <row r="15657" spans="1:3" x14ac:dyDescent="0.25">
      <c r="A15657" s="8" t="str">
        <f>"Proceedings of the 2010 10th International Conference on Intelligent Systems Design and Applications, ISDA'10"</f>
        <v>Proceedings of the 2010 10th International Conference on Intelligent Systems Design and Applications, ISDA'10</v>
      </c>
      <c r="B15657" s="8" t="str">
        <f>"9781424481354"</f>
        <v>9781424481354</v>
      </c>
      <c r="C15657" s="8" t="s">
        <v>21</v>
      </c>
    </row>
    <row r="15658" spans="1:3" x14ac:dyDescent="0.25">
      <c r="A15658" s="8" t="str">
        <f>"Proceedings of the 2010 11th International Workshop on Variable Structure Systems, VSS 2010"</f>
        <v>Proceedings of the 2010 11th International Workshop on Variable Structure Systems, VSS 2010</v>
      </c>
      <c r="B15658" s="8" t="str">
        <f>"9781424458318"</f>
        <v>9781424458318</v>
      </c>
      <c r="C15658" s="8" t="s">
        <v>21</v>
      </c>
    </row>
    <row r="15659" spans="1:3" x14ac:dyDescent="0.25">
      <c r="A15659" s="8" t="str">
        <f>"Proceedings of the 2010 14th International Conference on Computer Supported Cooperative Work in Design, CSCWD 2010"</f>
        <v>Proceedings of the 2010 14th International Conference on Computer Supported Cooperative Work in Design, CSCWD 2010</v>
      </c>
      <c r="B15659" s="8" t="str">
        <f>"9781424467631"</f>
        <v>9781424467631</v>
      </c>
      <c r="C15659" s="8" t="s">
        <v>9</v>
      </c>
    </row>
    <row r="15660" spans="1:3" x14ac:dyDescent="0.25">
      <c r="A15660" s="8" t="str">
        <f>"Proceedings of the 2010 18th IEEE International Requirements Engineering Conference, RE2010"</f>
        <v>Proceedings of the 2010 18th IEEE International Requirements Engineering Conference, RE2010</v>
      </c>
      <c r="B15660" s="8" t="str">
        <f>"9780769541624"</f>
        <v>9780769541624</v>
      </c>
      <c r="C15660" s="8" t="s">
        <v>9</v>
      </c>
    </row>
    <row r="15661" spans="1:3" x14ac:dyDescent="0.25">
      <c r="A15661" s="8" t="str">
        <f>"Proceedings of the 2010 18th IEEE/IFIP International Conference on VLSI and System-on-Chip, VLSI-SoC 2010"</f>
        <v>Proceedings of the 2010 18th IEEE/IFIP International Conference on VLSI and System-on-Chip, VLSI-SoC 2010</v>
      </c>
      <c r="B15661" s="8" t="str">
        <f>"9781424464708"</f>
        <v>9781424464708</v>
      </c>
      <c r="C15661" s="8" t="s">
        <v>9</v>
      </c>
    </row>
    <row r="15662" spans="1:3" x14ac:dyDescent="0.25">
      <c r="A15662" s="8" t="str">
        <f>"Proceedings of the 2010 2nd International Conference on Future Computer and Communication, ICFCC 2010"</f>
        <v>Proceedings of the 2010 2nd International Conference on Future Computer and Communication, ICFCC 2010</v>
      </c>
      <c r="B15662" s="8" t="str">
        <f>"9781424458226"</f>
        <v>9781424458226</v>
      </c>
      <c r="C15662" s="8" t="s">
        <v>9</v>
      </c>
    </row>
    <row r="15663" spans="1:3" x14ac:dyDescent="0.25">
      <c r="A15663" s="8" t="str">
        <f>"Proceedings of the 2010 2nd International Conference on Information Technology, ICIT 2010"</f>
        <v>Proceedings of the 2010 2nd International Conference on Information Technology, ICIT 2010</v>
      </c>
      <c r="B15663" s="8" t="str">
        <f>"9788360779026"</f>
        <v>9788360779026</v>
      </c>
      <c r="C15663" s="8" t="s">
        <v>9</v>
      </c>
    </row>
    <row r="15664" spans="1:3" x14ac:dyDescent="0.25">
      <c r="A15664" s="8" t="str">
        <f>"Proceedings of the 2010 4th International DMTF Academic Alliance Workshop on Systems and Virtualization Management, SVM 2010, Co-located with CNSM 2010"</f>
        <v>Proceedings of the 2010 4th International DMTF Academic Alliance Workshop on Systems and Virtualization Management, SVM 2010, Co-located with CNSM 2010</v>
      </c>
      <c r="B15664" s="8" t="str">
        <f>"9781424491797"</f>
        <v>9781424491797</v>
      </c>
      <c r="C15664" s="8" t="s">
        <v>9</v>
      </c>
    </row>
    <row r="15665" spans="1:3" x14ac:dyDescent="0.25">
      <c r="A15665" s="8" t="str">
        <f>"Proceedings of the 2010 5th IEEE Conference on Industrial Electronics and Applications, ICIEA 2010"</f>
        <v>Proceedings of the 2010 5th IEEE Conference on Industrial Electronics and Applications, ICIEA 2010</v>
      </c>
      <c r="B15665" s="8" t="str">
        <f>"9781424450466"</f>
        <v>9781424450466</v>
      </c>
      <c r="C15665" s="8" t="s">
        <v>9</v>
      </c>
    </row>
    <row r="15666" spans="1:3" x14ac:dyDescent="0.25">
      <c r="A15666" s="8" t="str">
        <f>"Proceedings of the 2010 5th International Conference on Information and Automation for Sustainability, ICIAfS 2010"</f>
        <v>Proceedings of the 2010 5th International Conference on Information and Automation for Sustainability, ICIAfS 2010</v>
      </c>
      <c r="B15666" s="8" t="str">
        <f>"9781424485512"</f>
        <v>9781424485512</v>
      </c>
      <c r="C15666" s="8" t="s">
        <v>9</v>
      </c>
    </row>
    <row r="15667" spans="1:3" x14ac:dyDescent="0.25">
      <c r="A15667" s="8" t="str">
        <f>"Proceedings of the 2010 5th Petascale Data Storage Workshop, PDSW'10, Held in Conjunction with SC'10 - The International Conference for High Performance Computing, Networking, Storage and Analysis"</f>
        <v>Proceedings of the 2010 5th Petascale Data Storage Workshop, PDSW'10, Held in Conjunction with SC'10 - The International Conference for High Performance Computing, Networking, Storage and Analysis</v>
      </c>
      <c r="B15667" s="8" t="str">
        <f>"9781424489121"</f>
        <v>9781424489121</v>
      </c>
      <c r="C15667" s="8" t="s">
        <v>9</v>
      </c>
    </row>
    <row r="15668" spans="1:3" x14ac:dyDescent="0.25">
      <c r="A15668" s="8" t="str">
        <f>"Proceedings of the 2010 6th International Conference on Intelligent Sensors, Sensor Networks and Information Processing, ISSNIP 2010"</f>
        <v>Proceedings of the 2010 6th International Conference on Intelligent Sensors, Sensor Networks and Information Processing, ISSNIP 2010</v>
      </c>
      <c r="B15668" s="8" t="str">
        <f>"9781424471768"</f>
        <v>9781424471768</v>
      </c>
      <c r="C15668" s="8" t="s">
        <v>9</v>
      </c>
    </row>
    <row r="15669" spans="1:3" x14ac:dyDescent="0.25">
      <c r="A15669" s="8" t="str">
        <f>"Proceedings of the 2010 7th International Symposium on Wireless Communication Systems, ISWCS'10"</f>
        <v>Proceedings of the 2010 7th International Symposium on Wireless Communication Systems, ISWCS'10</v>
      </c>
      <c r="B15669" s="8" t="str">
        <f>"9781424463169"</f>
        <v>9781424463169</v>
      </c>
      <c r="C15669" s="8" t="s">
        <v>9</v>
      </c>
    </row>
    <row r="15670" spans="1:3" x14ac:dyDescent="0.25">
      <c r="A15670" s="8" t="str">
        <f>"Proceedings of the 2010 7th Workshop on Positioning, Navigation and Communication, WPNC'10"</f>
        <v>Proceedings of the 2010 7th Workshop on Positioning, Navigation and Communication, WPNC'10</v>
      </c>
      <c r="B15670" s="8" t="str">
        <f>"9781424471577"</f>
        <v>9781424471577</v>
      </c>
      <c r="C15670" s="8" t="s">
        <v>9</v>
      </c>
    </row>
    <row r="15671" spans="1:3" x14ac:dyDescent="0.25">
      <c r="A15671" s="8" t="str">
        <f>"Proceedings of the 2010 ACM SIGCOMM Workshop on Home Networks, HomeNets '10, Co-located with SIGCOMM 2010"</f>
        <v>Proceedings of the 2010 ACM SIGCOMM Workshop on Home Networks, HomeNets '10, Co-located with SIGCOMM 2010</v>
      </c>
      <c r="B15671" s="8" t="str">
        <f>"9781450301985"</f>
        <v>9781450301985</v>
      </c>
      <c r="C15671" s="8" t="s">
        <v>21</v>
      </c>
    </row>
    <row r="15672" spans="1:3" x14ac:dyDescent="0.25">
      <c r="A15672" s="8" t="str">
        <f>"Proceedings of the 2010 American Control Conference, ACC 2010"</f>
        <v>Proceedings of the 2010 American Control Conference, ACC 2010</v>
      </c>
      <c r="B15672" s="8" t="str">
        <f>"9781424474264"</f>
        <v>9781424474264</v>
      </c>
      <c r="C15672" s="8" t="s">
        <v>9</v>
      </c>
    </row>
    <row r="15673" spans="1:3" x14ac:dyDescent="0.25">
      <c r="A15673" s="8" t="str">
        <f>"Proceedings of the 2010 Annual IEEE India Conference: Green Energy, Computing and Communication, INDICON 2010"</f>
        <v>Proceedings of the 2010 Annual IEEE India Conference: Green Energy, Computing and Communication, INDICON 2010</v>
      </c>
      <c r="B15673" s="8" t="str">
        <f>"9781424490745"</f>
        <v>9781424490745</v>
      </c>
      <c r="C15673" s="8" t="s">
        <v>9</v>
      </c>
    </row>
    <row r="15674" spans="1:3" x14ac:dyDescent="0.25">
      <c r="A15674" s="8" t="str">
        <f>"Proceedings of the 2010 Australasian Conference on Robotics and Automation, ACRA 2010"</f>
        <v>Proceedings of the 2010 Australasian Conference on Robotics and Automation, ACRA 2010</v>
      </c>
      <c r="B15674" s="8" t="str">
        <f>"9780980740417"</f>
        <v>9780980740417</v>
      </c>
      <c r="C15674" s="8" t="s">
        <v>2176</v>
      </c>
    </row>
    <row r="15675" spans="1:3" x14ac:dyDescent="0.25">
      <c r="A15675" s="8" t="str">
        <f>"Proceedings of the 2010 Biomedical Science and Engineering Conference, BSEC 2010: Biomedical Research and Analysis in Neuroscience, BRAiN"</f>
        <v>Proceedings of the 2010 Biomedical Science and Engineering Conference, BSEC 2010: Biomedical Research and Analysis in Neuroscience, BRAiN</v>
      </c>
      <c r="B15675" s="8" t="str">
        <f>"9781424467143"</f>
        <v>9781424467143</v>
      </c>
      <c r="C15675" s="8" t="s">
        <v>9</v>
      </c>
    </row>
    <row r="15676" spans="1:3" x14ac:dyDescent="0.25">
      <c r="A15676" s="8" t="str">
        <f>"Proceedings of the 2010 CGO - The 8th International Symposium on Code Generation and Optimization"</f>
        <v>Proceedings of the 2010 CGO - The 8th International Symposium on Code Generation and Optimization</v>
      </c>
      <c r="B15676" s="8" t="str">
        <f>"9781605586359"</f>
        <v>9781605586359</v>
      </c>
      <c r="C15676" s="8" t="s">
        <v>21</v>
      </c>
    </row>
    <row r="15677" spans="1:3" x14ac:dyDescent="0.25">
      <c r="A15677" s="8" t="str">
        <f>"Proceedings of the 2010 Conference of the Center for Advanced Studies on Collaborative Research, CASCON'10"</f>
        <v>Proceedings of the 2010 Conference of the Center for Advanced Studies on Collaborative Research, CASCON'10</v>
      </c>
      <c r="B15677" s="8" t="str">
        <f>"-"</f>
        <v>-</v>
      </c>
      <c r="C15677" s="8" t="s">
        <v>21</v>
      </c>
    </row>
    <row r="15678" spans="1:3" x14ac:dyDescent="0.25">
      <c r="A15678" s="8" t="str">
        <f>"Proceedings of the 2010 Conference on Intelligent Data Understanding, CIDU 2010"</f>
        <v>Proceedings of the 2010 Conference on Intelligent Data Understanding, CIDU 2010</v>
      </c>
      <c r="B15678" s="8" t="str">
        <f>"-"</f>
        <v>-</v>
      </c>
      <c r="C15678" s="8" t="s">
        <v>2178</v>
      </c>
    </row>
    <row r="15679" spans="1:3" x14ac:dyDescent="0.25">
      <c r="A15679" s="8" t="str">
        <f>"Proceedings of the 2010 High Power Diode Lasers and Systems Conference, HPD'10 - Co Located with Photonex 2010"</f>
        <v>Proceedings of the 2010 High Power Diode Lasers and Systems Conference, HPD'10 - Co Located with Photonex 2010</v>
      </c>
      <c r="B15679" s="8" t="str">
        <f>"9781424487011"</f>
        <v>9781424487011</v>
      </c>
      <c r="C15679" s="8" t="s">
        <v>9</v>
      </c>
    </row>
    <row r="15680" spans="1:3" x14ac:dyDescent="0.25">
      <c r="A15680" s="8" t="str">
        <f>"Proceedings of the 2010 Huntsville Simulation Multiconference, HSC 2009"</f>
        <v>Proceedings of the 2010 Huntsville Simulation Multiconference, HSC 2009</v>
      </c>
      <c r="B15680" s="8" t="str">
        <f>"9781617823169"</f>
        <v>9781617823169</v>
      </c>
      <c r="C15680" s="8" t="s">
        <v>1072</v>
      </c>
    </row>
    <row r="15681" spans="1:3" x14ac:dyDescent="0.25">
      <c r="A15681" s="8" t="str">
        <f>"Proceedings of the 2010 IEEE 16th International Mixed-Signals, Sensors and Systems Test Workshop, IMS3TW 2010"</f>
        <v>Proceedings of the 2010 IEEE 16th International Mixed-Signals, Sensors and Systems Test Workshop, IMS3TW 2010</v>
      </c>
      <c r="B15681" s="8" t="str">
        <f>"9781424477937"</f>
        <v>9781424477937</v>
      </c>
      <c r="C15681" s="8" t="s">
        <v>9</v>
      </c>
    </row>
    <row r="15682" spans="1:3" x14ac:dyDescent="0.25">
      <c r="A15682" s="8" t="str">
        <f>"Proceedings of the 2010 IEEE 16th International On-Line Testing Symposium, IOLTS 2010"</f>
        <v>Proceedings of the 2010 IEEE 16th International On-Line Testing Symposium, IOLTS 2010</v>
      </c>
      <c r="B15682" s="8" t="str">
        <f>"9781424477227"</f>
        <v>9781424477227</v>
      </c>
      <c r="C15682" s="8" t="s">
        <v>9</v>
      </c>
    </row>
    <row r="15683" spans="1:3" x14ac:dyDescent="0.25">
      <c r="A15683" s="8" t="str">
        <f>"Proceedings of the 2010 IEEE 36th Annual Northeast Bioengineering Conference, NEBEC 2010"</f>
        <v>Proceedings of the 2010 IEEE 36th Annual Northeast Bioengineering Conference, NEBEC 2010</v>
      </c>
      <c r="B15683" s="8" t="str">
        <f>"9781424468799"</f>
        <v>9781424468799</v>
      </c>
      <c r="C15683" s="8" t="s">
        <v>9</v>
      </c>
    </row>
    <row r="15684" spans="1:3" x14ac:dyDescent="0.25">
      <c r="A15684" s="8" t="str">
        <f>"Proceedings of the 2010 IEEE 8th Symposium on Application Specific Processors, SASP'10"</f>
        <v>Proceedings of the 2010 IEEE 8th Symposium on Application Specific Processors, SASP'10</v>
      </c>
      <c r="B15684" s="8" t="str">
        <f>"9781424479528"</f>
        <v>9781424479528</v>
      </c>
      <c r="C15684" s="8" t="s">
        <v>9</v>
      </c>
    </row>
    <row r="15685" spans="1:3" x14ac:dyDescent="0.25">
      <c r="A15685" s="8" t="str">
        <f>"Proceedings of the 2010 IEEE Conference on Computational Intelligence and Games, CIG2010"</f>
        <v>Proceedings of the 2010 IEEE Conference on Computational Intelligence and Games, CIG2010</v>
      </c>
      <c r="B15685" s="8" t="str">
        <f>"9781424462971"</f>
        <v>9781424462971</v>
      </c>
      <c r="C15685" s="8" t="s">
        <v>9</v>
      </c>
    </row>
    <row r="15686" spans="1:3" x14ac:dyDescent="0.25">
      <c r="A15686" s="8" t="str">
        <f>"Proceedings of the 2010 IEEE Dallas Circuits and Systems Workshop: Design Automation, Methodologies and Manufacturability, DCAS 2010"</f>
        <v>Proceedings of the 2010 IEEE Dallas Circuits and Systems Workshop: Design Automation, Methodologies and Manufacturability, DCAS 2010</v>
      </c>
      <c r="B15686" s="8" t="str">
        <f>"9781424495344"</f>
        <v>9781424495344</v>
      </c>
      <c r="C15686" s="8" t="s">
        <v>9</v>
      </c>
    </row>
    <row r="15687" spans="1:3" x14ac:dyDescent="0.25">
      <c r="A15687" s="8" t="str">
        <f>"Proceedings of the 2010 IEEE International Conference on Progress in Informatics and Computing, PIC 2010"</f>
        <v>Proceedings of the 2010 IEEE International Conference on Progress in Informatics and Computing, PIC 2010</v>
      </c>
      <c r="B15687" s="8" t="str">
        <f>"9781424467860"</f>
        <v>9781424467860</v>
      </c>
      <c r="C15687" s="8" t="s">
        <v>9</v>
      </c>
    </row>
    <row r="15688" spans="1:3" x14ac:dyDescent="0.25">
      <c r="A15688" s="8" t="str">
        <f>"Proceedings of the 2010 IEEE International Conference on Solid Dielectrics, ICSD 2010"</f>
        <v>Proceedings of the 2010 IEEE International Conference on Solid Dielectrics, ICSD 2010</v>
      </c>
      <c r="B15688" s="8" t="str">
        <f>"9781424479443"</f>
        <v>9781424479443</v>
      </c>
      <c r="C15688" s="8" t="s">
        <v>9</v>
      </c>
    </row>
    <row r="15689" spans="1:3" x14ac:dyDescent="0.25">
      <c r="A15689" s="8" t="str">
        <f>"Proceedings of the 2010 IEEE International Power Modulator and High Voltage Conference, IPMHVC 2010"</f>
        <v>Proceedings of the 2010 IEEE International Power Modulator and High Voltage Conference, IPMHVC 2010</v>
      </c>
      <c r="B15689" s="8" t="str">
        <f>"9781424471294"</f>
        <v>9781424471294</v>
      </c>
      <c r="C15689" s="8" t="s">
        <v>9</v>
      </c>
    </row>
    <row r="15690" spans="1:3" x14ac:dyDescent="0.25">
      <c r="A15690" s="8" t="str">
        <f>"Proceedings of the 2010 IEEE International Symposium on Hardware-Oriented Security and Trust, HOST 2010"</f>
        <v>Proceedings of the 2010 IEEE International Symposium on Hardware-Oriented Security and Trust, HOST 2010</v>
      </c>
      <c r="B15690" s="8" t="str">
        <f>"9781424478101"</f>
        <v>9781424478101</v>
      </c>
      <c r="C15690" s="8" t="s">
        <v>9</v>
      </c>
    </row>
    <row r="15691" spans="1:3" x14ac:dyDescent="0.25">
      <c r="A15691" s="8" t="str">
        <f>"Proceedings of the 2010 IEEE International Symposium on Parallel and Distributed Processing, IPDPS 2010"</f>
        <v>Proceedings of the 2010 IEEE International Symposium on Parallel and Distributed Processing, IPDPS 2010</v>
      </c>
      <c r="B15691" s="8" t="str">
        <f>"9781424464432"</f>
        <v>9781424464432</v>
      </c>
      <c r="C15691" s="8" t="s">
        <v>9</v>
      </c>
    </row>
    <row r="15692" spans="1:3" x14ac:dyDescent="0.25">
      <c r="A15692" s="8" t="str">
        <f>"Proceedings of the 2010 IEEE International Symposium on Parallel and Distributed Processing, Workshops and Phd Forum, IPDPSW 2010"</f>
        <v>Proceedings of the 2010 IEEE International Symposium on Parallel and Distributed Processing, Workshops and Phd Forum, IPDPSW 2010</v>
      </c>
      <c r="B15692" s="8" t="str">
        <f>"9781424465347"</f>
        <v>9781424465347</v>
      </c>
      <c r="C15692" s="8" t="s">
        <v>9</v>
      </c>
    </row>
    <row r="15693" spans="1:3" x14ac:dyDescent="0.25">
      <c r="A15693" s="8" t="str">
        <f>"Proceedings of the 2010 IEEE International Symposium on Sustainable Systems and Technology, ISSST 2010"</f>
        <v>Proceedings of the 2010 IEEE International Symposium on Sustainable Systems and Technology, ISSST 2010</v>
      </c>
      <c r="B15693" s="8" t="str">
        <f>"9781424470938"</f>
        <v>9781424470938</v>
      </c>
      <c r="C15693" s="8" t="s">
        <v>9</v>
      </c>
    </row>
    <row r="15694" spans="1:3" x14ac:dyDescent="0.25">
      <c r="A15694" s="8" t="str">
        <f>"Proceedings of the 2010 IEEE International Symposium on the Applications of Ferroelectrics, ISAF 2010, Co-located with the 10th European Conference on the Applications of Polar Dielectrics, ECAPD 2010"</f>
        <v>Proceedings of the 2010 IEEE International Symposium on the Applications of Ferroelectrics, ISAF 2010, Co-located with the 10th European Conference on the Applications of Polar Dielectrics, ECAPD 2010</v>
      </c>
      <c r="B15694" s="8" t="str">
        <f>"9781424481910"</f>
        <v>9781424481910</v>
      </c>
      <c r="C15694" s="8" t="s">
        <v>9</v>
      </c>
    </row>
    <row r="15695" spans="1:3" x14ac:dyDescent="0.25">
      <c r="A15695" s="8" t="str">
        <f>"Proceedings of the 2010 IEEE International Workshop on Machine Learning for Signal Processing, MLSP 2010"</f>
        <v>Proceedings of the 2010 IEEE International Workshop on Machine Learning for Signal Processing, MLSP 2010</v>
      </c>
      <c r="B15695" s="8" t="str">
        <f>"9781424478774"</f>
        <v>9781424478774</v>
      </c>
      <c r="C15695" s="8" t="s">
        <v>9</v>
      </c>
    </row>
    <row r="15696" spans="1:3" x14ac:dyDescent="0.25">
      <c r="A15696" s="8" t="str">
        <f>"Proceedings of the 2010 IEEE/ACM International Symposium on Nanoscale Architectures, NANOARCH 2010"</f>
        <v>Proceedings of the 2010 IEEE/ACM International Symposium on Nanoscale Architectures, NANOARCH 2010</v>
      </c>
      <c r="B15696" s="8" t="str">
        <f>"9781424480180"</f>
        <v>9781424480180</v>
      </c>
      <c r="C15696" s="8" t="s">
        <v>9</v>
      </c>
    </row>
    <row r="15697" spans="1:3" x14ac:dyDescent="0.25">
      <c r="A15697" s="8" t="str">
        <f>"Proceedings of the 2010 IEEE/IFIP Network Operations and Management Symposium, NOMS 2010"</f>
        <v>Proceedings of the 2010 IEEE/IFIP Network Operations and Management Symposium, NOMS 2010</v>
      </c>
      <c r="B15697" s="8" t="str">
        <f>"9781424453672"</f>
        <v>9781424453672</v>
      </c>
      <c r="C15697" s="8" t="s">
        <v>9</v>
      </c>
    </row>
    <row r="15698" spans="1:3" x14ac:dyDescent="0.25">
      <c r="A15698" s="8" t="str">
        <f>"Proceedings of the 2010 Information Security Curriculum Development Annual Conference, InfoSecCD'10"</f>
        <v>Proceedings of the 2010 Information Security Curriculum Development Annual Conference, InfoSecCD'10</v>
      </c>
      <c r="B15698" s="8" t="str">
        <f>"9781450302029"</f>
        <v>9781450302029</v>
      </c>
      <c r="C15698" s="8" t="s">
        <v>21</v>
      </c>
    </row>
    <row r="15699" spans="1:3" x14ac:dyDescent="0.25">
      <c r="A15699" s="8" t="str">
        <f>"Proceedings of the 2010 Information Security for South Africa Conference, ISSA 2010"</f>
        <v>Proceedings of the 2010 Information Security for South Africa Conference, ISSA 2010</v>
      </c>
      <c r="B15699" s="8" t="str">
        <f>"9781424454952"</f>
        <v>9781424454952</v>
      </c>
      <c r="C15699" s="8" t="s">
        <v>9</v>
      </c>
    </row>
    <row r="15700" spans="1:3" x14ac:dyDescent="0.25">
      <c r="A15700" s="8" t="str">
        <f>"Proceedings of the 2010 International Conference of Soft Computing and Pattern Recognition, SoCPaR 2010"</f>
        <v>Proceedings of the 2010 International Conference of Soft Computing and Pattern Recognition, SoCPaR 2010</v>
      </c>
      <c r="B15700" s="8" t="str">
        <f>"9781424478958"</f>
        <v>9781424478958</v>
      </c>
      <c r="C15700" s="8" t="s">
        <v>9</v>
      </c>
    </row>
    <row r="15701" spans="1:3" x14ac:dyDescent="0.25">
      <c r="A15701" s="8" t="str">
        <f>"Proceedings of the 2010 International Conference on Artificial Intelligence, ICAI 2010"</f>
        <v>Proceedings of the 2010 International Conference on Artificial Intelligence, ICAI 2010</v>
      </c>
      <c r="B15701" s="8" t="str">
        <f>"9781601321480"</f>
        <v>9781601321480</v>
      </c>
      <c r="C15701" s="8" t="s">
        <v>1432</v>
      </c>
    </row>
    <row r="15702" spans="1:3" x14ac:dyDescent="0.25">
      <c r="A15702" s="8" t="str">
        <f>"Proceedings of the 2010 International Conference on High Performance Computing and Simulation, HPCS 2010"</f>
        <v>Proceedings of the 2010 International Conference on High Performance Computing and Simulation, HPCS 2010</v>
      </c>
      <c r="B15702" s="8" t="str">
        <f>"9781424468287"</f>
        <v>9781424468287</v>
      </c>
      <c r="C15702" s="8" t="s">
        <v>9</v>
      </c>
    </row>
    <row r="15703" spans="1:3" x14ac:dyDescent="0.25">
      <c r="A15703" s="8" t="str">
        <f>"Proceedings of the 2010 International Conference on Image Processing, Computer Vision, and Pattern Recognition, IPCV 2010"</f>
        <v>Proceedings of the 2010 International Conference on Image Processing, Computer Vision, and Pattern Recognition, IPCV 2010</v>
      </c>
      <c r="B15703" s="8" t="str">
        <f>"9781601321541"</f>
        <v>9781601321541</v>
      </c>
      <c r="C15703" s="8" t="s">
        <v>1432</v>
      </c>
    </row>
    <row r="15704" spans="1:3" x14ac:dyDescent="0.25">
      <c r="A15704" s="8" t="str">
        <f>"Proceedings of the 2010 International Conference on Information Quality, ICIQ 2010"</f>
        <v>Proceedings of the 2010 International Conference on Information Quality, ICIQ 2010</v>
      </c>
      <c r="B15704" s="8" t="str">
        <f>"-"</f>
        <v>-</v>
      </c>
      <c r="C15704" s="8" t="s">
        <v>1107</v>
      </c>
    </row>
    <row r="15705" spans="1:3" x14ac:dyDescent="0.25">
      <c r="A15705" s="8" t="str">
        <f>"Proceedings of the 2010 International Conference on Lisp, ILC '10"</f>
        <v>Proceedings of the 2010 International Conference on Lisp, ILC '10</v>
      </c>
      <c r="B15705" s="8" t="str">
        <f>"9781450304702"</f>
        <v>9781450304702</v>
      </c>
      <c r="C15705" s="8" t="s">
        <v>21</v>
      </c>
    </row>
    <row r="15706" spans="1:3" x14ac:dyDescent="0.25">
      <c r="A15706" s="8" t="str">
        <f>"Proceedings of the 2010 International Conference on Mechanical, Industrial, and Manufacturing Technologies, MIMT 2010"</f>
        <v>Proceedings of the 2010 International Conference on Mechanical, Industrial, and Manufacturing Technologies, MIMT 2010</v>
      </c>
      <c r="B15706" s="8" t="str">
        <f>"9780791859544"</f>
        <v>9780791859544</v>
      </c>
      <c r="C15706" s="8" t="s">
        <v>73</v>
      </c>
    </row>
    <row r="15707" spans="1:3" x14ac:dyDescent="0.25">
      <c r="A15707" s="8" t="str">
        <f>"Proceedings of the 2010 International Conference on Network and Service Management, CNSM 2010"</f>
        <v>Proceedings of the 2010 International Conference on Network and Service Management, CNSM 2010</v>
      </c>
      <c r="B15707" s="8" t="str">
        <f>"9781424489084"</f>
        <v>9781424489084</v>
      </c>
      <c r="C15707" s="8" t="s">
        <v>9</v>
      </c>
    </row>
    <row r="15708" spans="1:3" x14ac:dyDescent="0.25">
      <c r="A15708" s="8" t="str">
        <f>"Proceedings of the 2010 International Conference on Signal and Image Processing, ICSIP 2010"</f>
        <v>Proceedings of the 2010 International Conference on Signal and Image Processing, ICSIP 2010</v>
      </c>
      <c r="B15708" s="8" t="str">
        <f>"9781424485949"</f>
        <v>9781424485949</v>
      </c>
      <c r="C15708" s="8" t="s">
        <v>9</v>
      </c>
    </row>
    <row r="15709" spans="1:3" x14ac:dyDescent="0.25">
      <c r="A15709" s="8" t="str">
        <f>"Proceedings of the 2010 International SIGED: IAIM Conference"</f>
        <v>Proceedings of the 2010 International SIGED: IAIM Conference</v>
      </c>
      <c r="B15709" s="8" t="str">
        <f>"9780620491495"</f>
        <v>9780620491495</v>
      </c>
      <c r="C15709" s="8" t="s">
        <v>289</v>
      </c>
    </row>
    <row r="15710" spans="1:3" x14ac:dyDescent="0.25">
      <c r="A15710" s="8" t="str">
        <f>"Proceedings of the 2010 International Symposium on Performance Evaluation of Computer and Telecommunication Systems, SPECTS'2010"</f>
        <v>Proceedings of the 2010 International Symposium on Performance Evaluation of Computer and Telecommunication Systems, SPECTS'2010</v>
      </c>
      <c r="B15710" s="8" t="str">
        <f>"9781565553415"</f>
        <v>9781565553415</v>
      </c>
      <c r="C15710" s="8" t="s">
        <v>9</v>
      </c>
    </row>
    <row r="15711" spans="1:3" x14ac:dyDescent="0.25">
      <c r="A15711" s="8" t="str">
        <f>"Proceedings of the 2010 Operational Research Society Simulation Workshop, SW 2010"</f>
        <v>Proceedings of the 2010 Operational Research Society Simulation Workshop, SW 2010</v>
      </c>
      <c r="B15711" s="8" t="str">
        <f>"-"</f>
        <v>-</v>
      </c>
      <c r="C15711" s="8" t="s">
        <v>1377</v>
      </c>
    </row>
    <row r="15712" spans="1:3" x14ac:dyDescent="0.25">
      <c r="A15712" s="8" t="str">
        <f>"Proceedings of the 2010 Power and Energy Conference at Illinois, PECI 2010"</f>
        <v>Proceedings of the 2010 Power and Energy Conference at Illinois, PECI 2010</v>
      </c>
      <c r="B15712" s="8" t="str">
        <f>"9781424459018"</f>
        <v>9781424459018</v>
      </c>
      <c r="C15712" s="8" t="s">
        <v>9</v>
      </c>
    </row>
    <row r="15713" spans="1:3" x14ac:dyDescent="0.25">
      <c r="A15713" s="8" t="str">
        <f>"Proceedings of the 2010 Spring Simulation Multiconference - Emerging M and S Applications in Industry and Academia Symposium, EAIA"</f>
        <v>Proceedings of the 2010 Spring Simulation Multiconference - Emerging M and S Applications in Industry and Academia Symposium, EAIA</v>
      </c>
      <c r="B15713" s="8" t="str">
        <f>"-"</f>
        <v>-</v>
      </c>
      <c r="C15713" s="8" t="s">
        <v>1072</v>
      </c>
    </row>
    <row r="15714" spans="1:3" x14ac:dyDescent="0.25">
      <c r="A15714" s="8" t="str">
        <f>"Proceedings of the 2010 Symposium on Piezoelectricity, Acoustic Waves and Device Applications, SPAWDA10"</f>
        <v>Proceedings of the 2010 Symposium on Piezoelectricity, Acoustic Waves and Device Applications, SPAWDA10</v>
      </c>
      <c r="B15714" s="8" t="str">
        <f>"9781424498208"</f>
        <v>9781424498208</v>
      </c>
      <c r="C15714" s="8" t="s">
        <v>9</v>
      </c>
    </row>
    <row r="15715" spans="1:3" x14ac:dyDescent="0.25">
      <c r="A15715" s="8" t="str">
        <f>"Proceedings of the 2010 TeraGrid Conference, TG '10"</f>
        <v>Proceedings of the 2010 TeraGrid Conference, TG '10</v>
      </c>
      <c r="B15715" s="8" t="str">
        <f>"9781605588186"</f>
        <v>9781605588186</v>
      </c>
      <c r="C15715" s="8" t="s">
        <v>21</v>
      </c>
    </row>
    <row r="15716" spans="1:3" x14ac:dyDescent="0.25">
      <c r="A15716" s="8" t="str">
        <f>"Proceedings of the 2010 Workshop on Dynamic Analysis, WODA 2010"</f>
        <v>Proceedings of the 2010 Workshop on Dynamic Analysis, WODA 2010</v>
      </c>
      <c r="B15716" s="8" t="str">
        <f>"9781450301374"</f>
        <v>9781450301374</v>
      </c>
      <c r="C15716" s="8" t="s">
        <v>21</v>
      </c>
    </row>
    <row r="15717" spans="1:3" x14ac:dyDescent="0.25">
      <c r="A15717" s="8" t="str">
        <f>"Proceedings of the 2010 Workshop on Knowledge-Oriented Product Line Engineering, KOPLE'10"</f>
        <v>Proceedings of the 2010 Workshop on Knowledge-Oriented Product Line Engineering, KOPLE'10</v>
      </c>
      <c r="B15717" s="8" t="str">
        <f>"9781450305426"</f>
        <v>9781450305426</v>
      </c>
      <c r="C15717" s="8" t="s">
        <v>21</v>
      </c>
    </row>
    <row r="15718" spans="1:3" x14ac:dyDescent="0.25">
      <c r="A15718" s="8" t="str">
        <f>"Proceedings of the 2011 - Grand Challenges in Modeling and Simulation Conference, GCMS 2011"</f>
        <v>Proceedings of the 2011 - Grand Challenges in Modeling and Simulation Conference, GCMS 2011</v>
      </c>
      <c r="B15718" s="8" t="str">
        <f>"9781617829512"</f>
        <v>9781617829512</v>
      </c>
      <c r="C15718" s="8" t="s">
        <v>1072</v>
      </c>
    </row>
    <row r="15719" spans="1:3" x14ac:dyDescent="0.25">
      <c r="A15719" s="8" t="str">
        <f>"Proceedings of the 2011 11th IEEE International Conference on Advanced Learning Technologies, ICALT 2011"</f>
        <v>Proceedings of the 2011 11th IEEE International Conference on Advanced Learning Technologies, ICALT 2011</v>
      </c>
      <c r="B15719" s="8" t="str">
        <f>"9780769543468"</f>
        <v>9780769543468</v>
      </c>
      <c r="C15719" s="8" t="s">
        <v>9</v>
      </c>
    </row>
    <row r="15720" spans="1:3" x14ac:dyDescent="0.25">
      <c r="A15720" s="8" t="str">
        <f>"Proceedings of the 2011 11th International Conference on Hybrid Intelligent Systems, HIS 2011"</f>
        <v>Proceedings of the 2011 11th International Conference on Hybrid Intelligent Systems, HIS 2011</v>
      </c>
      <c r="B15720" s="8" t="str">
        <f>"9781457721502"</f>
        <v>9781457721502</v>
      </c>
      <c r="C15720" s="8" t="s">
        <v>9</v>
      </c>
    </row>
    <row r="15721" spans="1:3" x14ac:dyDescent="0.25">
      <c r="A15721" s="8" t="str">
        <f>"Proceedings of the 2011 12th International Carpathian Control Conference, ICCC'2011"</f>
        <v>Proceedings of the 2011 12th International Carpathian Control Conference, ICCC'2011</v>
      </c>
      <c r="B15721" s="8" t="str">
        <f>"9781612843599"</f>
        <v>9781612843599</v>
      </c>
      <c r="C15721" s="8" t="s">
        <v>9</v>
      </c>
    </row>
    <row r="15722" spans="1:3" x14ac:dyDescent="0.25">
      <c r="A15722" s="8" t="str">
        <f>"Proceedings of the 2011 14th European Conference on Power Electronics and Applications, EPE 2011"</f>
        <v>Proceedings of the 2011 14th European Conference on Power Electronics and Applications, EPE 2011</v>
      </c>
      <c r="B15722" s="8" t="str">
        <f>"9781612841670"</f>
        <v>9781612841670</v>
      </c>
      <c r="C15722" s="8" t="s">
        <v>9</v>
      </c>
    </row>
    <row r="15723" spans="1:3" x14ac:dyDescent="0.25">
      <c r="A15723" s="8" t="str">
        <f>"Proceedings of the 2011 15th International Conference on Computer Supported Cooperative Work in Design, CSCWD 2011"</f>
        <v>Proceedings of the 2011 15th International Conference on Computer Supported Cooperative Work in Design, CSCWD 2011</v>
      </c>
      <c r="B15723" s="8" t="str">
        <f>"9781457703874"</f>
        <v>9781457703874</v>
      </c>
      <c r="C15723" s="8" t="s">
        <v>9</v>
      </c>
    </row>
    <row r="15724" spans="1:3" x14ac:dyDescent="0.25">
      <c r="A15724" s="8" t="str">
        <f>"Proceedings of the 2011 1st International Workshop on Computing in Heterogeneous, Autonomous 'N' Goal-Oriented Environments, CHANGE 2011"</f>
        <v>Proceedings of the 2011 1st International Workshop on Computing in Heterogeneous, Autonomous 'N' Goal-Oriented Environments, CHANGE 2011</v>
      </c>
      <c r="B15724" s="8" t="str">
        <f>"9780769541792"</f>
        <v>9780769541792</v>
      </c>
      <c r="C15724" s="8" t="s">
        <v>9</v>
      </c>
    </row>
    <row r="15725" spans="1:3" x14ac:dyDescent="0.25">
      <c r="A15725" s="8" t="str">
        <f>"Proceedings of the 2011 20th IEEE International Workshops on Enabling Technologies: Infrastructure for Collaborative Enterprises, WETICE 2011"</f>
        <v>Proceedings of the 2011 20th IEEE International Workshops on Enabling Technologies: Infrastructure for Collaborative Enterprises, WETICE 2011</v>
      </c>
      <c r="B15725" s="8" t="str">
        <f>"9780769544106"</f>
        <v>9780769544106</v>
      </c>
      <c r="C15725" s="8" t="s">
        <v>9</v>
      </c>
    </row>
    <row r="15726" spans="1:3" x14ac:dyDescent="0.25">
      <c r="A15726" s="8" t="str">
        <f>"Proceedings of the 2011 23rd International Teletraffic Congress, ITC 2011"</f>
        <v>Proceedings of the 2011 23rd International Teletraffic Congress, ITC 2011</v>
      </c>
      <c r="B15726" s="8" t="str">
        <f>"9780983628309"</f>
        <v>9780983628309</v>
      </c>
      <c r="C15726" s="8" t="s">
        <v>9</v>
      </c>
    </row>
    <row r="15727" spans="1:3" x14ac:dyDescent="0.25">
      <c r="A15727" s="8" t="str">
        <f>"Proceedings of the 2011 2nd International Conference on Digital Manufacturing and Automation, ICDMA 2011"</f>
        <v>Proceedings of the 2011 2nd International Conference on Digital Manufacturing and Automation, ICDMA 2011</v>
      </c>
      <c r="B15727" s="8" t="str">
        <f>"9780769544557"</f>
        <v>9780769544557</v>
      </c>
      <c r="C15727" s="8" t="s">
        <v>9</v>
      </c>
    </row>
    <row r="15728" spans="1:3" x14ac:dyDescent="0.25">
      <c r="A15728" s="8" t="str">
        <f>"Proceedings of the 2011 2nd International Workshop on Requirements@Run.Time, RE@RunTime 2011"</f>
        <v>Proceedings of the 2011 2nd International Workshop on Requirements@Run.Time, RE@RunTime 2011</v>
      </c>
      <c r="B15728" s="8" t="str">
        <f>"9781457709449"</f>
        <v>9781457709449</v>
      </c>
      <c r="C15728" s="8" t="s">
        <v>9</v>
      </c>
    </row>
    <row r="15729" spans="1:3" x14ac:dyDescent="0.25">
      <c r="A15729" s="8" t="str">
        <f>"Proceedings of the 2011 3rd International Youth Conference on Energetics, IYCE 2011"</f>
        <v>Proceedings of the 2011 3rd International Youth Conference on Energetics, IYCE 2011</v>
      </c>
      <c r="B15729" s="8" t="str">
        <f>"9781457714948"</f>
        <v>9781457714948</v>
      </c>
      <c r="C15729" s="8" t="s">
        <v>9</v>
      </c>
    </row>
    <row r="15730" spans="1:3" x14ac:dyDescent="0.25">
      <c r="A15730" s="8" t="str">
        <f>"Proceedings of the 2011 3rd World Congress on Nature and Biologically Inspired Computing, NaBIC 2011"</f>
        <v>Proceedings of the 2011 3rd World Congress on Nature and Biologically Inspired Computing, NaBIC 2011</v>
      </c>
      <c r="B15730" s="8" t="str">
        <f>"9781457711237"</f>
        <v>9781457711237</v>
      </c>
      <c r="C15730" s="8" t="s">
        <v>9</v>
      </c>
    </row>
    <row r="15731" spans="1:3" x14ac:dyDescent="0.25">
      <c r="A15731" s="8" t="str">
        <f>"Proceedings of the 2011 5th FTRA International Conference on Multimedia and Ubiquitous Engineering, MUE 2011"</f>
        <v>Proceedings of the 2011 5th FTRA International Conference on Multimedia and Ubiquitous Engineering, MUE 2011</v>
      </c>
      <c r="B15731" s="8" t="str">
        <f>"9780769544700"</f>
        <v>9780769544700</v>
      </c>
      <c r="C15731" s="8" t="s">
        <v>9</v>
      </c>
    </row>
    <row r="15732" spans="1:3" x14ac:dyDescent="0.25">
      <c r="A15732" s="8" t="str">
        <f>"Proceedings of the 2011 6th IEEE Conference on Industrial Electronics and Applications, ICIEA 2011"</f>
        <v>Proceedings of the 2011 6th IEEE Conference on Industrial Electronics and Applications, ICIEA 2011</v>
      </c>
      <c r="B15732" s="8" t="str">
        <f>"9781424487554"</f>
        <v>9781424487554</v>
      </c>
      <c r="C15732" s="8" t="s">
        <v>9</v>
      </c>
    </row>
    <row r="15733" spans="1:3" x14ac:dyDescent="0.25">
      <c r="A15733" s="8" t="str">
        <f>"Proceedings of the 2011 6th International Conference on Availability, Reliability and Security, ARES 2011"</f>
        <v>Proceedings of the 2011 6th International Conference on Availability, Reliability and Security, ARES 2011</v>
      </c>
      <c r="B15733" s="8" t="str">
        <f>"9780769544854"</f>
        <v>9780769544854</v>
      </c>
      <c r="C15733" s="8" t="s">
        <v>9</v>
      </c>
    </row>
    <row r="15734" spans="1:3" x14ac:dyDescent="0.25">
      <c r="A15734" s="8" t="str">
        <f>"Proceedings of the 2011 6th International Conference on Malicious and Unwanted Software, Malware 2011"</f>
        <v>Proceedings of the 2011 6th International Conference on Malicious and Unwanted Software, Malware 2011</v>
      </c>
      <c r="B15734" s="8" t="str">
        <f>"9781467300339"</f>
        <v>9781467300339</v>
      </c>
      <c r="C15734" s="8" t="s">
        <v>9</v>
      </c>
    </row>
    <row r="15735" spans="1:3" x14ac:dyDescent="0.25">
      <c r="A15735" s="8" t="str">
        <f>"Proceedings of the 2011 6th International ICST Conference on Cognitive Radio Oriented Wireless Networks and Communications, CROWNCOM 2011"</f>
        <v>Proceedings of the 2011 6th International ICST Conference on Cognitive Radio Oriented Wireless Networks and Communications, CROWNCOM 2011</v>
      </c>
      <c r="B15735" s="8" t="str">
        <f>"9781936968190"</f>
        <v>9781936968190</v>
      </c>
      <c r="C15735" s="8" t="s">
        <v>9</v>
      </c>
    </row>
    <row r="15736" spans="1:3" x14ac:dyDescent="0.25">
      <c r="A15736" s="8" t="str">
        <f>"Proceedings of the 2011 6th International ICST Conference on Communications and Networking in China, CHINACOM 2011"</f>
        <v>Proceedings of the 2011 6th International ICST Conference on Communications and Networking in China, CHINACOM 2011</v>
      </c>
      <c r="B15736" s="8" t="str">
        <f>"9781457701016"</f>
        <v>9781457701016</v>
      </c>
      <c r="C15736" s="8" t="s">
        <v>9</v>
      </c>
    </row>
    <row r="15737" spans="1:3" x14ac:dyDescent="0.25">
      <c r="A15737" s="8" t="str">
        <f>"Proceedings of the 2011 7th International Conference on Information Assurance and Security, IAS 2011"</f>
        <v>Proceedings of the 2011 7th International Conference on Information Assurance and Security, IAS 2011</v>
      </c>
      <c r="B15737" s="8" t="str">
        <f>"9781457721533"</f>
        <v>9781457721533</v>
      </c>
      <c r="C15737" s="8" t="s">
        <v>9</v>
      </c>
    </row>
    <row r="15738" spans="1:3" x14ac:dyDescent="0.25">
      <c r="A15738" s="8" t="str">
        <f>"Proceedings of the 2011 7th International Conference on Intelligent Sensors, Sensor Networks and Information Processing, ISSNIP 2011"</f>
        <v>Proceedings of the 2011 7th International Conference on Intelligent Sensors, Sensor Networks and Information Processing, ISSNIP 2011</v>
      </c>
      <c r="B15738" s="8" t="str">
        <f>"9781457706738"</f>
        <v>9781457706738</v>
      </c>
      <c r="C15738" s="8" t="s">
        <v>9</v>
      </c>
    </row>
    <row r="15739" spans="1:3" x14ac:dyDescent="0.25">
      <c r="A15739" s="8" t="str">
        <f>"Proceedings of the 2011 7th International Conference on Next Generation Web Services Practices, NWeSP 2011"</f>
        <v>Proceedings of the 2011 7th International Conference on Next Generation Web Services Practices, NWeSP 2011</v>
      </c>
      <c r="B15739" s="8" t="str">
        <f>"9781457711268"</f>
        <v>9781457711268</v>
      </c>
      <c r="C15739" s="8" t="s">
        <v>9</v>
      </c>
    </row>
    <row r="15740" spans="1:3" x14ac:dyDescent="0.25">
      <c r="A15740" s="8" t="str">
        <f>"Proceedings of the 2011 7th Southern Conference on Programmable Logic, SPL 2011"</f>
        <v>Proceedings of the 2011 7th Southern Conference on Programmable Logic, SPL 2011</v>
      </c>
      <c r="B15740" s="8" t="str">
        <f>"9781424488483"</f>
        <v>9781424488483</v>
      </c>
      <c r="C15740" s="8" t="s">
        <v>9</v>
      </c>
    </row>
    <row r="15741" spans="1:3" x14ac:dyDescent="0.25">
      <c r="A15741" s="8" t="str">
        <f>"Proceedings of the 2011 8th International Conference on Quantitative Evaluation of Systems, QEST 2011"</f>
        <v>Proceedings of the 2011 8th International Conference on Quantitative Evaluation of Systems, QEST 2011</v>
      </c>
      <c r="B15741" s="8" t="str">
        <f>"9780769544915"</f>
        <v>9780769544915</v>
      </c>
      <c r="C15741" s="8" t="s">
        <v>9</v>
      </c>
    </row>
    <row r="15742" spans="1:3" x14ac:dyDescent="0.25">
      <c r="A15742" s="8" t="str">
        <f>"Proceedings of the 2011 8th International Joint Conference on Computer Science and Software Engineering, JCSSE 2011"</f>
        <v>Proceedings of the 2011 8th International Joint Conference on Computer Science and Software Engineering, JCSSE 2011</v>
      </c>
      <c r="B15742" s="8" t="str">
        <f>"9781457706875"</f>
        <v>9781457706875</v>
      </c>
      <c r="C15742" s="8" t="s">
        <v>9</v>
      </c>
    </row>
    <row r="15743" spans="1:3" x14ac:dyDescent="0.25">
      <c r="A15743" s="8" t="str">
        <f>"Proceedings of the 2011 ACM Research in Applied Computation Symposium, RACS 2011"</f>
        <v>Proceedings of the 2011 ACM Research in Applied Computation Symposium, RACS 2011</v>
      </c>
      <c r="B15743" s="8" t="str">
        <f>"9781450310871"</f>
        <v>9781450310871</v>
      </c>
      <c r="C15743" s="8" t="s">
        <v>21</v>
      </c>
    </row>
    <row r="15744" spans="1:3" x14ac:dyDescent="0.25">
      <c r="A15744" s="8" t="str">
        <f>"Proceedings of the 2011 ACM SIGPLAN Workshop on Memory Systems Performance and Correctness, MSPC 2011"</f>
        <v>Proceedings of the 2011 ACM SIGPLAN Workshop on Memory Systems Performance and Correctness, MSPC 2011</v>
      </c>
      <c r="B15744" s="8" t="str">
        <f>"9781450307949"</f>
        <v>9781450307949</v>
      </c>
      <c r="C15744" s="8" t="s">
        <v>21</v>
      </c>
    </row>
    <row r="15745" spans="1:3" x14ac:dyDescent="0.25">
      <c r="A15745" s="8" t="str">
        <f>"Proceedings of the 2011 ACM SIGPLAN X10 Workshop, X10 '11"</f>
        <v>Proceedings of the 2011 ACM SIGPLAN X10 Workshop, X10 '11</v>
      </c>
      <c r="B15745" s="8" t="str">
        <f>"9781450307703"</f>
        <v>9781450307703</v>
      </c>
      <c r="C15745" s="8" t="s">
        <v>21</v>
      </c>
    </row>
    <row r="15746" spans="1:3" x14ac:dyDescent="0.25">
      <c r="A15746" s="8" t="str">
        <f>"Proceedings of the 2011 ACM SIGPLAN/SIGOPS International Conference on Virtual Execution Environments, VEE 2011"</f>
        <v>Proceedings of the 2011 ACM SIGPLAN/SIGOPS International Conference on Virtual Execution Environments, VEE 2011</v>
      </c>
      <c r="B15746" s="8" t="str">
        <f>"9781450305013"</f>
        <v>9781450305013</v>
      </c>
      <c r="C15746" s="8" t="s">
        <v>21</v>
      </c>
    </row>
    <row r="15747" spans="1:3" x14ac:dyDescent="0.25">
      <c r="A15747" s="8" t="str">
        <f>"Proceedings of the 2011 Australasian Conference on Robotics and Automation"</f>
        <v>Proceedings of the 2011 Australasian Conference on Robotics and Automation</v>
      </c>
      <c r="B15747" s="8" t="str">
        <f>"9780980740424"</f>
        <v>9780980740424</v>
      </c>
      <c r="C15747" s="8" t="s">
        <v>2176</v>
      </c>
    </row>
    <row r="15748" spans="1:3" x14ac:dyDescent="0.25">
      <c r="A15748" s="8" t="str">
        <f>"Proceedings of the 2011 Australian Communications Theory Workshop, AusCTW 2011"</f>
        <v>Proceedings of the 2011 Australian Communications Theory Workshop, AusCTW 2011</v>
      </c>
      <c r="B15748" s="8" t="str">
        <f>"9781424497157"</f>
        <v>9781424497157</v>
      </c>
      <c r="C15748" s="8" t="s">
        <v>9</v>
      </c>
    </row>
    <row r="15749" spans="1:3" x14ac:dyDescent="0.25">
      <c r="A15749" s="8" t="str">
        <f>"Proceedings of the 2011 Australian Control Conference, AUCC 2011"</f>
        <v>Proceedings of the 2011 Australian Control Conference, AUCC 2011</v>
      </c>
      <c r="B15749" s="8" t="str">
        <f>"9780858259874"</f>
        <v>9780858259874</v>
      </c>
      <c r="C15749" s="8" t="s">
        <v>9</v>
      </c>
    </row>
    <row r="15750" spans="1:3" x14ac:dyDescent="0.25">
      <c r="A15750" s="8" t="str">
        <f>"Proceedings of the 2011 Biomedical Sciences and Engineering Conference: Image Informatics and Analytics in Biomedicine, BSEC 2011"</f>
        <v>Proceedings of the 2011 Biomedical Sciences and Engineering Conference: Image Informatics and Analytics in Biomedicine, BSEC 2011</v>
      </c>
      <c r="B15750" s="8" t="str">
        <f>"9781612844107"</f>
        <v>9781612844107</v>
      </c>
      <c r="C15750" s="8" t="s">
        <v>9</v>
      </c>
    </row>
    <row r="15751" spans="1:3" x14ac:dyDescent="0.25">
      <c r="A15751" s="8" t="str">
        <f>"Proceedings of the 2011 Chinese Control and Decision Conference, CCDC 2011"</f>
        <v>Proceedings of the 2011 Chinese Control and Decision Conference, CCDC 2011</v>
      </c>
      <c r="B15751" s="8" t="str">
        <f>"9781424487363"</f>
        <v>9781424487363</v>
      </c>
      <c r="C15751" s="8" t="s">
        <v>9</v>
      </c>
    </row>
    <row r="15752" spans="1:3" x14ac:dyDescent="0.25">
      <c r="A15752" s="8" t="str">
        <f>"Proceedings of the 2011 Conference on Intelligent Data Understanding, CIDU 2011"</f>
        <v>Proceedings of the 2011 Conference on Intelligent Data Understanding, CIDU 2011</v>
      </c>
      <c r="B15752" s="8" t="str">
        <f>"-"</f>
        <v>-</v>
      </c>
      <c r="C15752" s="8" t="s">
        <v>2178</v>
      </c>
    </row>
    <row r="15753" spans="1:3" x14ac:dyDescent="0.25">
      <c r="A15753" s="8" t="str">
        <f>"Proceedings of the 2011 IEEE 17th International On-Line Testing Symposium, IOLTS 2011"</f>
        <v>Proceedings of the 2011 IEEE 17th International On-Line Testing Symposium, IOLTS 2011</v>
      </c>
      <c r="B15753" s="8" t="str">
        <f>"9781457710551"</f>
        <v>9781457710551</v>
      </c>
      <c r="C15753" s="8" t="s">
        <v>9</v>
      </c>
    </row>
    <row r="15754" spans="1:3" x14ac:dyDescent="0.25">
      <c r="A15754" s="8" t="str">
        <f>"Proceedings of the 2011 IEEE 19th International Requirements Engineering Conference, RE 2011"</f>
        <v>Proceedings of the 2011 IEEE 19th International Requirements Engineering Conference, RE 2011</v>
      </c>
      <c r="B15754" s="8" t="str">
        <f>"9781457709234"</f>
        <v>9781457709234</v>
      </c>
      <c r="C15754" s="8" t="s">
        <v>9</v>
      </c>
    </row>
    <row r="15755" spans="1:3" x14ac:dyDescent="0.25">
      <c r="A15755" s="8" t="str">
        <f>"Proceedings of the 2011 IEEE 1st International Network Science Workshop, NSW 2011"</f>
        <v>Proceedings of the 2011 IEEE 1st International Network Science Workshop, NSW 2011</v>
      </c>
      <c r="B15755" s="8" t="str">
        <f>"9781457710490"</f>
        <v>9781457710490</v>
      </c>
      <c r="C15755" s="8" t="s">
        <v>9</v>
      </c>
    </row>
    <row r="15756" spans="1:3" x14ac:dyDescent="0.25">
      <c r="A15756" s="8" t="str">
        <f>"Proceedings of the 2011 IEEE 5th International Conference on Cybernetics and Intelligent Systems, CIS 2011"</f>
        <v>Proceedings of the 2011 IEEE 5th International Conference on Cybernetics and Intelligent Systems, CIS 2011</v>
      </c>
      <c r="B15756" s="8" t="str">
        <f>"9781612841984"</f>
        <v>9781612841984</v>
      </c>
      <c r="C15756" s="8" t="s">
        <v>9</v>
      </c>
    </row>
    <row r="15757" spans="1:3" x14ac:dyDescent="0.25">
      <c r="A15757" s="8" t="str">
        <f>"Proceedings of the 2011 IEEE 9th Symposium on Application Specific Processors, SASP 2011"</f>
        <v>Proceedings of the 2011 IEEE 9th Symposium on Application Specific Processors, SASP 2011</v>
      </c>
      <c r="B15757" s="8" t="str">
        <f>"9781457712111"</f>
        <v>9781457712111</v>
      </c>
      <c r="C15757" s="8" t="s">
        <v>9</v>
      </c>
    </row>
    <row r="15758" spans="1:3" x14ac:dyDescent="0.25">
      <c r="A15758" s="8" t="str">
        <f>"Proceedings of the 2011 IEEE International Conference on Information Reuse and Integration, IRI 2011"</f>
        <v>Proceedings of the 2011 IEEE International Conference on Information Reuse and Integration, IRI 2011</v>
      </c>
      <c r="B15758" s="8" t="str">
        <f>"9781457709661"</f>
        <v>9781457709661</v>
      </c>
      <c r="C15758" s="8" t="s">
        <v>9</v>
      </c>
    </row>
    <row r="15759" spans="1:3" x14ac:dyDescent="0.25">
      <c r="A15759" s="8" t="str">
        <f>"Proceedings of the 2011 IEEE International Symposium on Sustainable Systems and Technology, ISSST 2011"</f>
        <v>Proceedings of the 2011 IEEE International Symposium on Sustainable Systems and Technology, ISSST 2011</v>
      </c>
      <c r="B15759" s="8" t="str">
        <f>"9781612843926"</f>
        <v>9781612843926</v>
      </c>
      <c r="C15759" s="8" t="s">
        <v>9</v>
      </c>
    </row>
    <row r="15760" spans="1:3" x14ac:dyDescent="0.25">
      <c r="A15760" s="8" t="str">
        <f>"Proceedings of the 2011 IEEE Symposium on Design and Diagnostics of Electronic Circuits and Systems, DDECS 2011"</f>
        <v>Proceedings of the 2011 IEEE Symposium on Design and Diagnostics of Electronic Circuits and Systems, DDECS 2011</v>
      </c>
      <c r="B15760" s="8" t="str">
        <f>"9781424497560"</f>
        <v>9781424497560</v>
      </c>
      <c r="C15760" s="8" t="s">
        <v>9</v>
      </c>
    </row>
    <row r="15761" spans="1:3" x14ac:dyDescent="0.25">
      <c r="A15761" s="8" t="str">
        <f>"Proceedings of the 2011 IEEE/ACM International Symposium on Nanoscale Architectures, NANOARCH 2011"</f>
        <v>Proceedings of the 2011 IEEE/ACM International Symposium on Nanoscale Architectures, NANOARCH 2011</v>
      </c>
      <c r="B15761" s="8" t="str">
        <f>"9781457709944"</f>
        <v>9781457709944</v>
      </c>
      <c r="C15761" s="8" t="s">
        <v>9</v>
      </c>
    </row>
    <row r="15762" spans="1:3" x14ac:dyDescent="0.25">
      <c r="A15762" s="8" t="str">
        <f>"Proceedings of the 2011 IEEE/NIH Life Science Systems and Applications Workshop, LiSSA 2011"</f>
        <v>Proceedings of the 2011 IEEE/NIH Life Science Systems and Applications Workshop, LiSSA 2011</v>
      </c>
      <c r="B15762" s="8" t="str">
        <f>"9781457704208"</f>
        <v>9781457704208</v>
      </c>
      <c r="C15762" s="8" t="s">
        <v>9</v>
      </c>
    </row>
    <row r="15763" spans="1:3" x14ac:dyDescent="0.25">
      <c r="A15763" s="8" t="str">
        <f>"Proceedings of the 2011 Information Security Curriculum Development Conference, InfoSecCD'11"</f>
        <v>Proceedings of the 2011 Information Security Curriculum Development Conference, InfoSecCD'11</v>
      </c>
      <c r="B15763" s="8" t="str">
        <f>"9781450308120"</f>
        <v>9781450308120</v>
      </c>
      <c r="C15763" s="8" t="s">
        <v>21</v>
      </c>
    </row>
    <row r="15764" spans="1:3" x14ac:dyDescent="0.25">
      <c r="A15764" s="8" t="str">
        <f>"Proceedings of the 2011 International Conference and Utility Exhibition on Power and Energy Systems: Issues and Prospects for Asia, ICUE 2011"</f>
        <v>Proceedings of the 2011 International Conference and Utility Exhibition on Power and Energy Systems: Issues and Prospects for Asia, ICUE 2011</v>
      </c>
      <c r="B15764" s="8" t="str">
        <f>"9781467360081"</f>
        <v>9781467360081</v>
      </c>
      <c r="C15764" s="8" t="s">
        <v>9</v>
      </c>
    </row>
    <row r="15765" spans="1:3" x14ac:dyDescent="0.25">
      <c r="A15765" s="8" t="str">
        <f>"Proceedings of the 2011 International Conference and Workshop on the Current Trends in Information Technology, CTIT'11"</f>
        <v>Proceedings of the 2011 International Conference and Workshop on the Current Trends in Information Technology, CTIT'11</v>
      </c>
      <c r="B15765" s="8" t="str">
        <f>"9781467300957"</f>
        <v>9781467300957</v>
      </c>
      <c r="C15765" s="8" t="s">
        <v>9</v>
      </c>
    </row>
    <row r="15766" spans="1:3" x14ac:dyDescent="0.25">
      <c r="A15766" s="8" t="str">
        <f>"Proceedings of the 2011 International Conference of Soft Computing and Pattern Recognition, SoCPaR 2011"</f>
        <v>Proceedings of the 2011 International Conference of Soft Computing and Pattern Recognition, SoCPaR 2011</v>
      </c>
      <c r="B15766" s="8" t="str">
        <f>"9781457711947"</f>
        <v>9781457711947</v>
      </c>
      <c r="C15766" s="8" t="s">
        <v>9</v>
      </c>
    </row>
    <row r="15767" spans="1:3" x14ac:dyDescent="0.25">
      <c r="A15767" s="8" t="str">
        <f>"Proceedings of the 2011 International Conference on Artificial Intelligence, ICAI 2011"</f>
        <v>Proceedings of the 2011 International Conference on Artificial Intelligence, ICAI 2011</v>
      </c>
      <c r="B15767" s="8" t="str">
        <f>"9781601321855"</f>
        <v>9781601321855</v>
      </c>
      <c r="C15767" s="8" t="s">
        <v>1432</v>
      </c>
    </row>
    <row r="15768" spans="1:3" x14ac:dyDescent="0.25">
      <c r="A15768" s="8" t="str">
        <f>"Proceedings of the 2011 International Conference on Business Computing and Global Informatization, BCGIn 2011"</f>
        <v>Proceedings of the 2011 International Conference on Business Computing and Global Informatization, BCGIn 2011</v>
      </c>
      <c r="B15768" s="8" t="str">
        <f>"9780769544649"</f>
        <v>9780769544649</v>
      </c>
      <c r="C15768" s="8" t="s">
        <v>9</v>
      </c>
    </row>
    <row r="15769" spans="1:3" x14ac:dyDescent="0.25">
      <c r="A15769" s="8" t="str">
        <f>"Proceedings of the 2011 International Conference on Collaboration Technologies and Systems, CTS 2011"</f>
        <v>Proceedings of the 2011 International Conference on Collaboration Technologies and Systems, CTS 2011</v>
      </c>
      <c r="B15769" s="8" t="str">
        <f>"9781612846378"</f>
        <v>9781612846378</v>
      </c>
      <c r="C15769" s="8" t="s">
        <v>9</v>
      </c>
    </row>
    <row r="15770" spans="1:3" x14ac:dyDescent="0.25">
      <c r="A15770" s="8" t="str">
        <f>"Proceedings of the 2011 International Conference on Communication and Industrial Application, ICCIA 2011"</f>
        <v>Proceedings of the 2011 International Conference on Communication and Industrial Application, ICCIA 2011</v>
      </c>
      <c r="B15770" s="8" t="str">
        <f>"9781457719172"</f>
        <v>9781457719172</v>
      </c>
      <c r="C15770" s="8" t="s">
        <v>9</v>
      </c>
    </row>
    <row r="15771" spans="1:3" x14ac:dyDescent="0.25">
      <c r="A15771" s="8" t="str">
        <f>"Proceedings of the 2011 International Conference on Computational Aspects of Social Networks, CASoN'11"</f>
        <v>Proceedings of the 2011 International Conference on Computational Aspects of Social Networks, CASoN'11</v>
      </c>
      <c r="B15771" s="8" t="str">
        <f>"9781457711312"</f>
        <v>9781457711312</v>
      </c>
      <c r="C15771" s="8" t="s">
        <v>9</v>
      </c>
    </row>
    <row r="15772" spans="1:3" x14ac:dyDescent="0.25">
      <c r="A15772" s="8" t="str">
        <f>"Proceedings of the 2011 International Conference on Electrical Engineering and Informatics, ICEEI 2011"</f>
        <v>Proceedings of the 2011 International Conference on Electrical Engineering and Informatics, ICEEI 2011</v>
      </c>
      <c r="B15772" s="8" t="str">
        <f>"9781457707520"</f>
        <v>9781457707520</v>
      </c>
      <c r="C15772" s="8" t="s">
        <v>9</v>
      </c>
    </row>
    <row r="15773" spans="1:3" x14ac:dyDescent="0.25">
      <c r="A15773" s="8" t="str">
        <f>"Proceedings of the 2011 International Conference on Future Computer Science and Education, ICFCSE 2011"</f>
        <v>Proceedings of the 2011 International Conference on Future Computer Science and Education, ICFCSE 2011</v>
      </c>
      <c r="B15773" s="8" t="str">
        <f>"9780769545332"</f>
        <v>9780769545332</v>
      </c>
      <c r="C15773" s="8" t="s">
        <v>9</v>
      </c>
    </row>
    <row r="15774" spans="1:3" x14ac:dyDescent="0.25">
      <c r="A15774" s="8" t="str">
        <f>"Proceedings of the 2011 International Conference on High Performance Computing and Simulation, HPCS 2011"</f>
        <v>Proceedings of the 2011 International Conference on High Performance Computing and Simulation, HPCS 2011</v>
      </c>
      <c r="B15774" s="8" t="str">
        <f>"9781612843810"</f>
        <v>9781612843810</v>
      </c>
      <c r="C15774" s="8" t="s">
        <v>9</v>
      </c>
    </row>
    <row r="15775" spans="1:3" x14ac:dyDescent="0.25">
      <c r="A15775" s="8" t="str">
        <f>"Proceedings of the 2011 International Conference on Image Processing, Computer Vision, and Pattern Recognition, IPCV 2011"</f>
        <v>Proceedings of the 2011 International Conference on Image Processing, Computer Vision, and Pattern Recognition, IPCV 2011</v>
      </c>
      <c r="B15775" s="8" t="str">
        <f>"9781601321916"</f>
        <v>9781601321916</v>
      </c>
      <c r="C15775" s="8" t="s">
        <v>1432</v>
      </c>
    </row>
    <row r="15776" spans="1:3" x14ac:dyDescent="0.25">
      <c r="A15776" s="8" t="str">
        <f>"Proceedings of the 2011 International Conference on Innovative Computing and Cloud Computing, ICCC'11"</f>
        <v>Proceedings of the 2011 International Conference on Innovative Computing and Cloud Computing, ICCC'11</v>
      </c>
      <c r="B15776" s="8" t="str">
        <f>"9781450305679"</f>
        <v>9781450305679</v>
      </c>
      <c r="C15776" s="8" t="s">
        <v>21</v>
      </c>
    </row>
    <row r="15777" spans="1:3" x14ac:dyDescent="0.25">
      <c r="A15777" s="8" t="str">
        <f>"Proceedings of the 2011 International Conference on Pattern Analysis and Intelligent Robotics, ICPAIR 2011"</f>
        <v>Proceedings of the 2011 International Conference on Pattern Analysis and Intelligent Robotics, ICPAIR 2011</v>
      </c>
      <c r="B15777" s="8" t="str">
        <f>"9781612844046"</f>
        <v>9781612844046</v>
      </c>
      <c r="C15777" s="8" t="s">
        <v>9</v>
      </c>
    </row>
    <row r="15778" spans="1:3" x14ac:dyDescent="0.25">
      <c r="A15778" s="8" t="str">
        <f>"Proceedings of the 2011 International SIGED: IAIM Conference"</f>
        <v>Proceedings of the 2011 International SIGED: IAIM Conference</v>
      </c>
      <c r="B15778" s="8" t="str">
        <f>"9780620518161"</f>
        <v>9780620518161</v>
      </c>
      <c r="C15778" s="8" t="s">
        <v>289</v>
      </c>
    </row>
    <row r="15779" spans="1:3" x14ac:dyDescent="0.25">
      <c r="A15779" s="8" t="str">
        <f>"Proceedings of the 2011 International Symposium on Ocean Electronics, SYMPOL-2011"</f>
        <v>Proceedings of the 2011 International Symposium on Ocean Electronics, SYMPOL-2011</v>
      </c>
      <c r="B15779" s="8" t="str">
        <f>"9781467302647"</f>
        <v>9781467302647</v>
      </c>
      <c r="C15779" s="8" t="s">
        <v>9</v>
      </c>
    </row>
    <row r="15780" spans="1:3" x14ac:dyDescent="0.25">
      <c r="A15780" s="8" t="str">
        <f>"Proceedings of the 2011 International Symposium on Performance Evaluation of Computer and Telecommunication Systems, SPECTS 2011"</f>
        <v>Proceedings of the 2011 International Symposium on Performance Evaluation of Computer and Telecommunication Systems, SPECTS 2011</v>
      </c>
      <c r="B15780" s="8" t="str">
        <f>"9781617823091"</f>
        <v>9781617823091</v>
      </c>
      <c r="C15780" s="8" t="s">
        <v>9</v>
      </c>
    </row>
    <row r="15781" spans="1:3" x14ac:dyDescent="0.25">
      <c r="A15781" s="8" t="str">
        <f>"Proceedings of the 2011 International Workshop on Early Aspects, EA'11"</f>
        <v>Proceedings of the 2011 International Workshop on Early Aspects, EA'11</v>
      </c>
      <c r="B15781" s="8" t="str">
        <f>"9781450306454"</f>
        <v>9781450306454</v>
      </c>
      <c r="C15781" s="8" t="s">
        <v>21</v>
      </c>
    </row>
    <row r="15782" spans="1:3" x14ac:dyDescent="0.25">
      <c r="A15782" s="8" t="str">
        <f>"Proceedings of the 2011 NASA/ESA Conference on Adaptive Hardware and Systems, AHS 2011"</f>
        <v>Proceedings of the 2011 NASA/ESA Conference on Adaptive Hardware and Systems, AHS 2011</v>
      </c>
      <c r="B15782" s="8" t="str">
        <f>"9781457705984"</f>
        <v>9781457705984</v>
      </c>
      <c r="C15782" s="8" t="s">
        <v>9</v>
      </c>
    </row>
    <row r="15783" spans="1:3" x14ac:dyDescent="0.25">
      <c r="A15783" s="8" t="str">
        <f>"Proceedings of the 2011 RAL School for Experimental High Energy Physics Students"</f>
        <v>Proceedings of the 2011 RAL School for Experimental High Energy Physics Students</v>
      </c>
      <c r="B15783" s="8" t="str">
        <f>"-"</f>
        <v>-</v>
      </c>
      <c r="C15783" s="8" t="s">
        <v>1975</v>
      </c>
    </row>
    <row r="15784" spans="1:3" x14ac:dyDescent="0.25">
      <c r="A15784" s="8" t="str">
        <f>"Proceedings of the 2011 SIGCHI Symposium on Engineering Interactive Computing Systems, EICS 2011"</f>
        <v>Proceedings of the 2011 SIGCHI Symposium on Engineering Interactive Computing Systems, EICS 2011</v>
      </c>
      <c r="B15784" s="8" t="str">
        <f>"9781450307789"</f>
        <v>9781450307789</v>
      </c>
      <c r="C15784" s="8" t="s">
        <v>21</v>
      </c>
    </row>
    <row r="15785" spans="1:3" x14ac:dyDescent="0.25">
      <c r="A15785" s="8" t="str">
        <f>"Proceedings of the 2011 SIGGRAPH Asia Conference, SA'11"</f>
        <v>Proceedings of the 2011 SIGGRAPH Asia Conference, SA'11</v>
      </c>
      <c r="B15785" s="8" t="str">
        <f>"9781450308076"</f>
        <v>9781450308076</v>
      </c>
      <c r="C15785" s="8" t="s">
        <v>21</v>
      </c>
    </row>
    <row r="15786" spans="1:3" x14ac:dyDescent="0.25">
      <c r="A15786" s="8" t="str">
        <f>"Proceedings of the 2011 Summer Computer Simulation Conference"</f>
        <v>Proceedings of the 2011 Summer Computer Simulation Conference</v>
      </c>
      <c r="B15786" s="8" t="str">
        <f>"9781617829505"</f>
        <v>9781617829505</v>
      </c>
      <c r="C15786" s="8" t="s">
        <v>1072</v>
      </c>
    </row>
    <row r="15787" spans="1:3" x14ac:dyDescent="0.25">
      <c r="A15787" s="8" t="str">
        <f>"Proceedings of the 2011 Symposium on Piezoelectricity, Acoustic Waves and Device Applications, SPAWDA 2011"</f>
        <v>Proceedings of the 2011 Symposium on Piezoelectricity, Acoustic Waves and Device Applications, SPAWDA 2011</v>
      </c>
      <c r="B15787" s="8" t="str">
        <f>"9781467310789"</f>
        <v>9781467310789</v>
      </c>
      <c r="C15787" s="8" t="s">
        <v>9</v>
      </c>
    </row>
    <row r="15788" spans="1:3" x14ac:dyDescent="0.25">
      <c r="A15788" s="8" t="str">
        <f>"Proceedings of the 2011 Theoretical Advanced Study Institute in Elementary Particle Physics, TASI 2011: The Dark Secrets of the Terascale"</f>
        <v>Proceedings of the 2011 Theoretical Advanced Study Institute in Elementary Particle Physics, TASI 2011: The Dark Secrets of the Terascale</v>
      </c>
      <c r="B15788" s="8" t="str">
        <f>"9789814390156"</f>
        <v>9789814390156</v>
      </c>
      <c r="C15788" s="8" t="s">
        <v>157</v>
      </c>
    </row>
    <row r="15789" spans="1:3" x14ac:dyDescent="0.25">
      <c r="A15789" s="8" t="str">
        <f>"Proceedings of the 2011 Workshop on Knowledge Discovery, Modeling and Simulation, KDMS'11"</f>
        <v>Proceedings of the 2011 Workshop on Knowledge Discovery, Modeling and Simulation, KDMS'11</v>
      </c>
      <c r="B15789" s="8" t="str">
        <f>"9781450308366"</f>
        <v>9781450308366</v>
      </c>
      <c r="C15789" s="8" t="s">
        <v>21</v>
      </c>
    </row>
    <row r="15790" spans="1:3" x14ac:dyDescent="0.25">
      <c r="A15790" s="8" t="str">
        <f>"Proceedings of the 2011 World Congress on Information and Communication Technologies, WICT 2011"</f>
        <v>Proceedings of the 2011 World Congress on Information and Communication Technologies, WICT 2011</v>
      </c>
      <c r="B15790" s="8" t="str">
        <f>"9781467301251"</f>
        <v>9781467301251</v>
      </c>
      <c r="C15790" s="8" t="s">
        <v>9</v>
      </c>
    </row>
    <row r="15791" spans="1:3" x14ac:dyDescent="0.25">
      <c r="A15791" s="8" t="str">
        <f>"Proceedings of the 2012 - 10th International Conference on Bond Graph Modeling and Simulation, ICBGM'12, Part of SummerSim 2012 Multiconference"</f>
        <v>Proceedings of the 2012 - 10th International Conference on Bond Graph Modeling and Simulation, ICBGM'12, Part of SummerSim 2012 Multiconference</v>
      </c>
      <c r="B15791" s="8" t="str">
        <f>"9781618399854"</f>
        <v>9781618399854</v>
      </c>
      <c r="C15791" s="8" t="s">
        <v>1072</v>
      </c>
    </row>
    <row r="15792" spans="1:3" x14ac:dyDescent="0.25">
      <c r="A15792" s="8" t="str">
        <f>"Proceedings of the 2012 - Grand Challenges in Modeling and Simulation, GCMS 2012, Part of SummerSim 2012 Multiconference"</f>
        <v>Proceedings of the 2012 - Grand Challenges in Modeling and Simulation, GCMS 2012, Part of SummerSim 2012 Multiconference</v>
      </c>
      <c r="B15792" s="8" t="str">
        <f>"9781618399830"</f>
        <v>9781618399830</v>
      </c>
      <c r="C15792" s="8" t="s">
        <v>1072</v>
      </c>
    </row>
    <row r="15793" spans="1:3" x14ac:dyDescent="0.25">
      <c r="A15793" s="8" t="str">
        <f>"Proceedings of the 2012 - Summer Computer Simulation Conference, SCSC 2012, Part of SummerSim 2012 Multiconference"</f>
        <v>Proceedings of the 2012 - Summer Computer Simulation Conference, SCSC 2012, Part of SummerSim 2012 Multiconference</v>
      </c>
      <c r="B15793" s="8" t="str">
        <f>"9781618399847"</f>
        <v>9781618399847</v>
      </c>
      <c r="C15793" s="8" t="s">
        <v>1072</v>
      </c>
    </row>
    <row r="15794" spans="1:3" x14ac:dyDescent="0.25">
      <c r="A15794" s="8" t="str">
        <f>"Proceedings of the 2012 10th IEEE International Symposium on Parallel and Distributed Processing with Applications, ISPA 2012"</f>
        <v>Proceedings of the 2012 10th IEEE International Symposium on Parallel and Distributed Processing with Applications, ISPA 2012</v>
      </c>
      <c r="B15794" s="8" t="str">
        <f>"9780769547015"</f>
        <v>9780769547015</v>
      </c>
      <c r="C15794" s="8" t="s">
        <v>9</v>
      </c>
    </row>
    <row r="15795" spans="1:3" x14ac:dyDescent="0.25">
      <c r="A15795" s="8" t="str">
        <f>"Proceedings of the 2012 12th International Conference on Hybrid Intelligent Systems, HIS 2012"</f>
        <v>Proceedings of the 2012 12th International Conference on Hybrid Intelligent Systems, HIS 2012</v>
      </c>
      <c r="B15795" s="8" t="str">
        <f>"9781467351157"</f>
        <v>9781467351157</v>
      </c>
      <c r="C15795" s="8" t="s">
        <v>9</v>
      </c>
    </row>
    <row r="15796" spans="1:3" x14ac:dyDescent="0.25">
      <c r="A15796" s="8" t="str">
        <f>"Proceedings of the 2012 13th International Carpathian Control Conference, ICCC 2012"</f>
        <v>Proceedings of the 2012 13th International Carpathian Control Conference, ICCC 2012</v>
      </c>
      <c r="B15796" s="8" t="str">
        <f>"9781457718687"</f>
        <v>9781457718687</v>
      </c>
      <c r="C15796" s="8" t="s">
        <v>9</v>
      </c>
    </row>
    <row r="15797" spans="1:3" x14ac:dyDescent="0.25">
      <c r="A15797" s="8" t="str">
        <f>"Proceedings of the 2012 15th International Conference on Network-Based Information Systems, NBIS 2012"</f>
        <v>Proceedings of the 2012 15th International Conference on Network-Based Information Systems, NBIS 2012</v>
      </c>
      <c r="B15797" s="8" t="str">
        <f>"9780769547794"</f>
        <v>9780769547794</v>
      </c>
      <c r="C15797" s="8" t="s">
        <v>9</v>
      </c>
    </row>
    <row r="15798" spans="1:3" x14ac:dyDescent="0.25">
      <c r="A15798" s="8" t="str">
        <f>"Proceedings of the 2012 16th Panhellenic Conference on Informatics, PCI 2012"</f>
        <v>Proceedings of the 2012 16th Panhellenic Conference on Informatics, PCI 2012</v>
      </c>
      <c r="B15798" s="8" t="str">
        <f>"9780769548258"</f>
        <v>9780769548258</v>
      </c>
      <c r="C15798" s="8" t="s">
        <v>9</v>
      </c>
    </row>
    <row r="15799" spans="1:3" x14ac:dyDescent="0.25">
      <c r="A15799" s="8" t="str">
        <f>"Proceedings of the 2012 18th International Conference on Virtual Systems and Multimedia, VSMM 2012: Virtual Systems in the Information Society"</f>
        <v>Proceedings of the 2012 18th International Conference on Virtual Systems and Multimedia, VSMM 2012: Virtual Systems in the Information Society</v>
      </c>
      <c r="B15799" s="8" t="str">
        <f>"9781467325653"</f>
        <v>9781467325653</v>
      </c>
      <c r="C15799" s="8" t="s">
        <v>9</v>
      </c>
    </row>
    <row r="15800" spans="1:3" x14ac:dyDescent="0.25">
      <c r="A15800" s="8" t="str">
        <f>"Proceedings of the 2012 1st International Conference on Innovative Engineering Systems, ICIES 2012"</f>
        <v>Proceedings of the 2012 1st International Conference on Innovative Engineering Systems, ICIES 2012</v>
      </c>
      <c r="B15800" s="8" t="str">
        <f>"9781467344388"</f>
        <v>9781467344388</v>
      </c>
      <c r="C15800" s="8" t="s">
        <v>9</v>
      </c>
    </row>
    <row r="15801" spans="1:3" x14ac:dyDescent="0.25">
      <c r="A15801" s="8" t="str">
        <f>"Proceedings of the 2012 24th Chinese Control and Decision Conference, CCDC 2012"</f>
        <v>Proceedings of the 2012 24th Chinese Control and Decision Conference, CCDC 2012</v>
      </c>
      <c r="B15801" s="8" t="str">
        <f>"9781457720727"</f>
        <v>9781457720727</v>
      </c>
      <c r="C15801" s="8" t="s">
        <v>9</v>
      </c>
    </row>
    <row r="15802" spans="1:3" x14ac:dyDescent="0.25">
      <c r="A15802" s="8" t="str">
        <f>"Proceedings of the 2012 27th Annual ACM/IEEE Symposium on Logic in Computer Science, LICS 2012"</f>
        <v>Proceedings of the 2012 27th Annual ACM/IEEE Symposium on Logic in Computer Science, LICS 2012</v>
      </c>
      <c r="B15802" s="8" t="str">
        <f>"9780769547695"</f>
        <v>9780769547695</v>
      </c>
      <c r="C15802" s="8" t="s">
        <v>9</v>
      </c>
    </row>
    <row r="15803" spans="1:3" x14ac:dyDescent="0.25">
      <c r="A15803" s="8" t="str">
        <f>"Proceedings of the 2012 2nd International Conference on Business Computing and Global Informatization, BCGIN 2012"</f>
        <v>Proceedings of the 2012 2nd International Conference on Business Computing and Global Informatization, BCGIN 2012</v>
      </c>
      <c r="B15803" s="8" t="str">
        <f>"9780769548548"</f>
        <v>9780769548548</v>
      </c>
      <c r="C15803" s="8" t="s">
        <v>9</v>
      </c>
    </row>
    <row r="15804" spans="1:3" x14ac:dyDescent="0.25">
      <c r="A15804" s="8" t="str">
        <f>"Proceedings of the 2012 2nd International Conference on Instrumentation and Measurement, Computer, Communication and Control, IMCCC 2012"</f>
        <v>Proceedings of the 2012 2nd International Conference on Instrumentation and Measurement, Computer, Communication and Control, IMCCC 2012</v>
      </c>
      <c r="B15804" s="8" t="str">
        <f>"9780769549354"</f>
        <v>9780769549354</v>
      </c>
      <c r="C15804" s="8" t="s">
        <v>9</v>
      </c>
    </row>
    <row r="15805" spans="1:3" x14ac:dyDescent="0.25">
      <c r="A15805" s="8" t="str">
        <f>"Proceedings of the 2012 3rd International Conference on Computer and Communication Technology, ICCCT 2012"</f>
        <v>Proceedings of the 2012 3rd International Conference on Computer and Communication Technology, ICCCT 2012</v>
      </c>
      <c r="B15805" s="8" t="str">
        <f>"9780769548722"</f>
        <v>9780769548722</v>
      </c>
      <c r="C15805" s="8" t="s">
        <v>9</v>
      </c>
    </row>
    <row r="15806" spans="1:3" x14ac:dyDescent="0.25">
      <c r="A15806" s="8" t="str">
        <f>"Proceedings of the 2012 3rd International Conference on Networking and Computing, ICNC 2012"</f>
        <v>Proceedings of the 2012 3rd International Conference on Networking and Computing, ICNC 2012</v>
      </c>
      <c r="B15806" s="8" t="str">
        <f>"9780769548937"</f>
        <v>9780769548937</v>
      </c>
      <c r="C15806" s="8" t="s">
        <v>9</v>
      </c>
    </row>
    <row r="15807" spans="1:3" x14ac:dyDescent="0.25">
      <c r="A15807" s="8" t="str">
        <f>"Proceedings of the 2012 3rd World Congress on Software Engineering, WCSE 2012"</f>
        <v>Proceedings of the 2012 3rd World Congress on Software Engineering, WCSE 2012</v>
      </c>
      <c r="B15807" s="8" t="str">
        <f>"9780769548630"</f>
        <v>9780769548630</v>
      </c>
      <c r="C15807" s="8" t="s">
        <v>9</v>
      </c>
    </row>
    <row r="15808" spans="1:3" x14ac:dyDescent="0.25">
      <c r="A15808" s="8" t="str">
        <f>"Proceedings of the 2012 4th International Conference on Computational Aspects of Social Networks, CASoN 2012"</f>
        <v>Proceedings of the 2012 4th International Conference on Computational Aspects of Social Networks, CASoN 2012</v>
      </c>
      <c r="B15808" s="8" t="str">
        <f>"9781467347921"</f>
        <v>9781467347921</v>
      </c>
      <c r="C15808" s="8" t="s">
        <v>9</v>
      </c>
    </row>
    <row r="15809" spans="1:3" x14ac:dyDescent="0.25">
      <c r="A15809" s="8" t="str">
        <f>"Proceedings of the 2012 4th International Conference on Intelligent Human-Machine Systems and Cybernetics, IHMSC 2012"</f>
        <v>Proceedings of the 2012 4th International Conference on Intelligent Human-Machine Systems and Cybernetics, IHMSC 2012</v>
      </c>
      <c r="B15809" s="8" t="str">
        <f>"9780769547213"</f>
        <v>9780769547213</v>
      </c>
      <c r="C15809" s="8" t="s">
        <v>9</v>
      </c>
    </row>
    <row r="15810" spans="1:3" x14ac:dyDescent="0.25">
      <c r="A15810" s="8" t="str">
        <f>"Proceedings of the 2012 4th International Conference on Intelligent Networking and Collaborative Systems, INCoS 2012"</f>
        <v>Proceedings of the 2012 4th International Conference on Intelligent Networking and Collaborative Systems, INCoS 2012</v>
      </c>
      <c r="B15810" s="8" t="str">
        <f>"9780769548081"</f>
        <v>9780769548081</v>
      </c>
      <c r="C15810" s="8" t="s">
        <v>9</v>
      </c>
    </row>
    <row r="15811" spans="1:3" x14ac:dyDescent="0.25">
      <c r="A15811" s="8" t="str">
        <f>"Proceedings of the 2012 4th International Conference on Knowledge and Smart Technology, KST 2012"</f>
        <v>Proceedings of the 2012 4th International Conference on Knowledge and Smart Technology, KST 2012</v>
      </c>
      <c r="B15811" s="8" t="str">
        <f>"9781467321662"</f>
        <v>9781467321662</v>
      </c>
      <c r="C15811" s="8" t="s">
        <v>9</v>
      </c>
    </row>
    <row r="15812" spans="1:3" x14ac:dyDescent="0.25">
      <c r="A15812" s="8" t="str">
        <f>"Proceedings of the 2012 4th International Symposium on Information Science and Engineering, ISISE 2012"</f>
        <v>Proceedings of the 2012 4th International Symposium on Information Science and Engineering, ISISE 2012</v>
      </c>
      <c r="B15812" s="8" t="str">
        <f>"9780769549514"</f>
        <v>9780769549514</v>
      </c>
      <c r="C15812" s="8" t="s">
        <v>9</v>
      </c>
    </row>
    <row r="15813" spans="1:3" x14ac:dyDescent="0.25">
      <c r="A15813" s="8" t="str">
        <f>"Proceedings of the 2012 4th Software Engineering Colloquium, SE 2012"</f>
        <v>Proceedings of the 2012 4th Software Engineering Colloquium, SE 2012</v>
      </c>
      <c r="B15813" s="8" t="str">
        <f>"9781467316477"</f>
        <v>9781467316477</v>
      </c>
      <c r="C15813" s="8" t="s">
        <v>9</v>
      </c>
    </row>
    <row r="15814" spans="1:3" x14ac:dyDescent="0.25">
      <c r="A15814" s="8" t="str">
        <f>"Proceedings of the 2012 4th World Congress on Nature and Biologically Inspired Computing, NaBIC 2012"</f>
        <v>Proceedings of the 2012 4th World Congress on Nature and Biologically Inspired Computing, NaBIC 2012</v>
      </c>
      <c r="B15814" s="8" t="str">
        <f>"9781467347686"</f>
        <v>9781467347686</v>
      </c>
      <c r="C15814" s="8" t="s">
        <v>9</v>
      </c>
    </row>
    <row r="15815" spans="1:3" x14ac:dyDescent="0.25">
      <c r="A15815" s="8" t="str">
        <f>"Proceedings of the 2012 5th International Advanced Research Workshop on In Silico Oncology and Cancer Investigation - The TUMOR Project Workshop, IARWISOCI 2012"</f>
        <v>Proceedings of the 2012 5th International Advanced Research Workshop on In Silico Oncology and Cancer Investigation - The TUMOR Project Workshop, IARWISOCI 2012</v>
      </c>
      <c r="B15815" s="8" t="str">
        <f>"9786188034808"</f>
        <v>9786188034808</v>
      </c>
      <c r="C15815" s="8" t="s">
        <v>9</v>
      </c>
    </row>
    <row r="15816" spans="1:3" x14ac:dyDescent="0.25">
      <c r="A15816" s="8" t="str">
        <f>"Proceedings of the 2012 5th International Conference on Business Intelligence and Financial Engineering, BIFE 2012"</f>
        <v>Proceedings of the 2012 5th International Conference on Business Intelligence and Financial Engineering, BIFE 2012</v>
      </c>
      <c r="B15816" s="8" t="str">
        <f>"9780769547503"</f>
        <v>9780769547503</v>
      </c>
      <c r="C15816" s="8" t="s">
        <v>9</v>
      </c>
    </row>
    <row r="15817" spans="1:3" x14ac:dyDescent="0.25">
      <c r="A15817" s="8" t="str">
        <f>"Proceedings of the 2012 5th International Joint Conference on Computational Sciences and Optimization, CSO 2012"</f>
        <v>Proceedings of the 2012 5th International Joint Conference on Computational Sciences and Optimization, CSO 2012</v>
      </c>
      <c r="B15817" s="8" t="str">
        <f>"9780769546902"</f>
        <v>9780769546902</v>
      </c>
      <c r="C15817" s="8" t="s">
        <v>9</v>
      </c>
    </row>
    <row r="15818" spans="1:3" x14ac:dyDescent="0.25">
      <c r="A15818" s="8" t="str">
        <f>"Proceedings of the 2012 6th IEEE/ACM International Symposium on Networks-on-Chip, NoCS 2012"</f>
        <v>Proceedings of the 2012 6th IEEE/ACM International Symposium on Networks-on-Chip, NoCS 2012</v>
      </c>
      <c r="B15818" s="8" t="str">
        <f>"9780769546773"</f>
        <v>9780769546773</v>
      </c>
      <c r="C15818" s="8" t="s">
        <v>9</v>
      </c>
    </row>
    <row r="15819" spans="1:3" x14ac:dyDescent="0.25">
      <c r="A15819" s="8" t="str">
        <f>"Proceedings of the 2012 6th IEEE/PES Transmission and Distribution: Latin America Conference and Exposition, T and D-LA 2012"</f>
        <v>Proceedings of the 2012 6th IEEE/PES Transmission and Distribution: Latin America Conference and Exposition, T and D-LA 2012</v>
      </c>
      <c r="B15819" s="8" t="str">
        <f>"9781467326711"</f>
        <v>9781467326711</v>
      </c>
      <c r="C15819" s="8" t="s">
        <v>9</v>
      </c>
    </row>
    <row r="15820" spans="1:3" x14ac:dyDescent="0.25">
      <c r="A15820" s="8" t="str">
        <f>"Proceedings of the 2012 6th International ICST Conference on Performance Evaluation Methodologies and Tools, VALUETOOLS 2012"</f>
        <v>Proceedings of the 2012 6th International ICST Conference on Performance Evaluation Methodologies and Tools, VALUETOOLS 2012</v>
      </c>
      <c r="B15820" s="8" t="str">
        <f>"9781936968633"</f>
        <v>9781936968633</v>
      </c>
      <c r="C15820" s="8" t="s">
        <v>9</v>
      </c>
    </row>
    <row r="15821" spans="1:3" x14ac:dyDescent="0.25">
      <c r="A15821" s="8" t="str">
        <f>"Proceedings of the 2012 7th Asia Joint Conference on Information Security, AsiaJCIS 2012"</f>
        <v>Proceedings of the 2012 7th Asia Joint Conference on Information Security, AsiaJCIS 2012</v>
      </c>
      <c r="B15821" s="8" t="str">
        <f>"9780769547763"</f>
        <v>9780769547763</v>
      </c>
      <c r="C15821" s="8" t="s">
        <v>9</v>
      </c>
    </row>
    <row r="15822" spans="1:3" x14ac:dyDescent="0.25">
      <c r="A15822" s="8" t="str">
        <f>"Proceedings of the 2012 7th IEEE Conference on Industrial Electronics and Applications, ICIEA 2012"</f>
        <v>Proceedings of the 2012 7th IEEE Conference on Industrial Electronics and Applications, ICIEA 2012</v>
      </c>
      <c r="B15822" s="8" t="str">
        <f>"9781457721175"</f>
        <v>9781457721175</v>
      </c>
      <c r="C15822" s="8" t="s">
        <v>9</v>
      </c>
    </row>
    <row r="15823" spans="1:3" x14ac:dyDescent="0.25">
      <c r="A15823" s="8" t="str">
        <f>"Proceedings of the 2012 7th International Conference on Malicious and Unwanted Software, Malware 2012"</f>
        <v>Proceedings of the 2012 7th International Conference on Malicious and Unwanted Software, Malware 2012</v>
      </c>
      <c r="B15823" s="8" t="str">
        <f>"9781467348782"</f>
        <v>9781467348782</v>
      </c>
      <c r="C15823" s="8" t="s">
        <v>9</v>
      </c>
    </row>
    <row r="15824" spans="1:3" x14ac:dyDescent="0.25">
      <c r="A15824" s="8" t="str">
        <f>"Proceedings of the 2012 7th International ICST Conference on Cognitive Radio Oriented Wireless Networks and Communications, CROWNCOM 2012"</f>
        <v>Proceedings of the 2012 7th International ICST Conference on Cognitive Radio Oriented Wireless Networks and Communications, CROWNCOM 2012</v>
      </c>
      <c r="B15824" s="8" t="str">
        <f>"9781936968558"</f>
        <v>9781936968558</v>
      </c>
      <c r="C15824" s="8" t="s">
        <v>9</v>
      </c>
    </row>
    <row r="15825" spans="1:3" x14ac:dyDescent="0.25">
      <c r="A15825" s="8" t="str">
        <f>"Proceedings of the 2012 7th Open Cirrus Summit, OCS 2012"</f>
        <v>Proceedings of the 2012 7th Open Cirrus Summit, OCS 2012</v>
      </c>
      <c r="B15825" s="8" t="str">
        <f>"9780769549088"</f>
        <v>9780769549088</v>
      </c>
      <c r="C15825" s="8" t="s">
        <v>9</v>
      </c>
    </row>
    <row r="15826" spans="1:3" x14ac:dyDescent="0.25">
      <c r="A15826" s="8" t="str">
        <f>"Proceedings of the 2012 8th International Conference on Computational Intelligence and Security, CIS 2012"</f>
        <v>Proceedings of the 2012 8th International Conference on Computational Intelligence and Security, CIS 2012</v>
      </c>
      <c r="B15826" s="8" t="str">
        <f>"9780769548968"</f>
        <v>9780769548968</v>
      </c>
      <c r="C15826" s="8" t="s">
        <v>9</v>
      </c>
    </row>
    <row r="15827" spans="1:3" x14ac:dyDescent="0.25">
      <c r="A15827" s="8" t="str">
        <f>"Proceedings of the 2012 8th International Conference on Intelligent Information Hiding and Multimedia Signal Processing, IIH-MSP 2012"</f>
        <v>Proceedings of the 2012 8th International Conference on Intelligent Information Hiding and Multimedia Signal Processing, IIH-MSP 2012</v>
      </c>
      <c r="B15827" s="8" t="str">
        <f>"9780769547121"</f>
        <v>9780769547121</v>
      </c>
      <c r="C15827" s="8" t="s">
        <v>9</v>
      </c>
    </row>
    <row r="15828" spans="1:3" x14ac:dyDescent="0.25">
      <c r="A15828" s="8" t="str">
        <f>"Proceedings of the 2012 8th International Conference on Network and Service Management, CNSM 2012"</f>
        <v>Proceedings of the 2012 8th International Conference on Network and Service Management, CNSM 2012</v>
      </c>
      <c r="B15828" s="8" t="str">
        <f>"9783901882494"</f>
        <v>9783901882494</v>
      </c>
      <c r="C15828" s="8" t="s">
        <v>9</v>
      </c>
    </row>
    <row r="15829" spans="1:3" x14ac:dyDescent="0.25">
      <c r="A15829" s="8" t="str">
        <f>"Proceedings of the 2012 8th International Symposium on Communication Systems, Networks and Digital Signal Processing, CSNDSP 2012"</f>
        <v>Proceedings of the 2012 8th International Symposium on Communication Systems, Networks and Digital Signal Processing, CSNDSP 2012</v>
      </c>
      <c r="B15829" s="8" t="str">
        <f>"9781457714733"</f>
        <v>9781457714733</v>
      </c>
      <c r="C15829" s="8" t="s">
        <v>9</v>
      </c>
    </row>
    <row r="15830" spans="1:3" x14ac:dyDescent="0.25">
      <c r="A15830" s="8" t="str">
        <f>"Proceedings of the 2012 9th Conference on Computer and Robot Vision, CRV 2012"</f>
        <v>Proceedings of the 2012 9th Conference on Computer and Robot Vision, CRV 2012</v>
      </c>
      <c r="B15830" s="8" t="str">
        <f>"9780769546834"</f>
        <v>9780769546834</v>
      </c>
      <c r="C15830" s="8" t="s">
        <v>9</v>
      </c>
    </row>
    <row r="15831" spans="1:3" x14ac:dyDescent="0.25">
      <c r="A15831" s="8" t="str">
        <f>"Proceedings of the 2012 9th International Symposium on Voronoi Diagrams in Science and Engineering, ISVD 2012"</f>
        <v>Proceedings of the 2012 9th International Symposium on Voronoi Diagrams in Science and Engineering, ISVD 2012</v>
      </c>
      <c r="B15831" s="8" t="str">
        <f>"9780769547244"</f>
        <v>9780769547244</v>
      </c>
      <c r="C15831" s="8" t="s">
        <v>9</v>
      </c>
    </row>
    <row r="15832" spans="1:3" x14ac:dyDescent="0.25">
      <c r="A15832" s="8" t="str">
        <f>"Proceedings of the 2012 ACM SIGPLAN Workshop on Memory Systems Performance and Correctness, MSPC'12"</f>
        <v>Proceedings of the 2012 ACM SIGPLAN Workshop on Memory Systems Performance and Correctness, MSPC'12</v>
      </c>
      <c r="B15832" s="8" t="str">
        <f>"9781450312196"</f>
        <v>9781450312196</v>
      </c>
      <c r="C15832" s="8" t="s">
        <v>21</v>
      </c>
    </row>
    <row r="15833" spans="1:3" x14ac:dyDescent="0.25">
      <c r="A15833" s="8" t="str">
        <f>"Proceedings of the 2012 ASE International Conference on BioMedical Computing, BioMedCom 2012"</f>
        <v>Proceedings of the 2012 ASE International Conference on BioMedical Computing, BioMedCom 2012</v>
      </c>
      <c r="B15833" s="8" t="str">
        <f>"9780769549385"</f>
        <v>9780769549385</v>
      </c>
      <c r="C15833" s="8" t="s">
        <v>9</v>
      </c>
    </row>
    <row r="15834" spans="1:3" x14ac:dyDescent="0.25">
      <c r="A15834" s="8" t="str">
        <f>"Proceedings of the 2012 ASE International Conference on Cyber Security, CyberSecurity 2012"</f>
        <v>Proceedings of the 2012 ASE International Conference on Cyber Security, CyberSecurity 2012</v>
      </c>
      <c r="B15834" s="8" t="str">
        <f>"9780769550145"</f>
        <v>9780769550145</v>
      </c>
      <c r="C15834" s="8" t="s">
        <v>9</v>
      </c>
    </row>
    <row r="15835" spans="1:3" x14ac:dyDescent="0.25">
      <c r="A15835" s="8" t="str">
        <f>"Proceedings of the 2012 ASE International Conference on Social Informatics, SocialInformatics 2012"</f>
        <v>Proceedings of the 2012 ASE International Conference on Social Informatics, SocialInformatics 2012</v>
      </c>
      <c r="B15835" s="8" t="str">
        <f>"9780769550152"</f>
        <v>9780769550152</v>
      </c>
      <c r="C15835" s="8" t="s">
        <v>9</v>
      </c>
    </row>
    <row r="15836" spans="1:3" x14ac:dyDescent="0.25">
      <c r="A15836" s="8" t="str">
        <f>"Proceedings of the 2012 ESA Workshop on Aerospace EMC 2012"</f>
        <v>Proceedings of the 2012 ESA Workshop on Aerospace EMC 2012</v>
      </c>
      <c r="B15836" s="8" t="str">
        <f>"9789290922667"</f>
        <v>9789290922667</v>
      </c>
      <c r="C15836" s="8" t="s">
        <v>9</v>
      </c>
    </row>
    <row r="15837" spans="1:3" x14ac:dyDescent="0.25">
      <c r="A15837" s="8" t="str">
        <f>"Proceedings of the 2012 IEEE 13th International Conference on Information Reuse and Integration, IRI 2012"</f>
        <v>Proceedings of the 2012 IEEE 13th International Conference on Information Reuse and Integration, IRI 2012</v>
      </c>
      <c r="B15837" s="8" t="str">
        <f>"9781467322843"</f>
        <v>9781467322843</v>
      </c>
      <c r="C15837" s="8" t="s">
        <v>9</v>
      </c>
    </row>
    <row r="15838" spans="1:3" x14ac:dyDescent="0.25">
      <c r="A15838" s="8" t="str">
        <f>"Proceedings of the 2012 IEEE 14th Electronics Packaging Technology Conference, EPTC 2012"</f>
        <v>Proceedings of the 2012 IEEE 14th Electronics Packaging Technology Conference, EPTC 2012</v>
      </c>
      <c r="B15838" s="8" t="str">
        <f>"9781467345514"</f>
        <v>9781467345514</v>
      </c>
      <c r="C15838" s="8" t="s">
        <v>9</v>
      </c>
    </row>
    <row r="15839" spans="1:3" x14ac:dyDescent="0.25">
      <c r="A15839" s="8" t="str">
        <f>"Proceedings of the 2012 IEEE 14th International Conference on Commerce and Enterprise Computing, CEC 2012"</f>
        <v>Proceedings of the 2012 IEEE 14th International Conference on Commerce and Enterprise Computing, CEC 2012</v>
      </c>
      <c r="B15839" s="8" t="str">
        <f>"9780769548579"</f>
        <v>9780769548579</v>
      </c>
      <c r="C15839" s="8" t="s">
        <v>9</v>
      </c>
    </row>
    <row r="15840" spans="1:3" x14ac:dyDescent="0.25">
      <c r="A15840" s="8" t="str">
        <f>"Proceedings of the 2012 IEEE 15th International Symposium on Design and Diagnostics of Electronic Circuits and Systems, DDECS 2012"</f>
        <v>Proceedings of the 2012 IEEE 15th International Symposium on Design and Diagnostics of Electronic Circuits and Systems, DDECS 2012</v>
      </c>
      <c r="B15840" s="8" t="str">
        <f>"9781467311854"</f>
        <v>9781467311854</v>
      </c>
      <c r="C15840" s="8" t="s">
        <v>9</v>
      </c>
    </row>
    <row r="15841" spans="1:3" x14ac:dyDescent="0.25">
      <c r="A15841" s="8" t="str">
        <f>"Proceedings of the 2012 IEEE 16th International Conference on Computer Supported Cooperative Work in Design, CSCWD 2012"</f>
        <v>Proceedings of the 2012 IEEE 16th International Conference on Computer Supported Cooperative Work in Design, CSCWD 2012</v>
      </c>
      <c r="B15841" s="8" t="str">
        <f>"9781467312127"</f>
        <v>9781467312127</v>
      </c>
      <c r="C15841" s="8" t="s">
        <v>9</v>
      </c>
    </row>
    <row r="15842" spans="1:3" x14ac:dyDescent="0.25">
      <c r="A15842" s="8" t="str">
        <f>"Proceedings of the 2012 IEEE 16th International Enterprise Distributed Object Computing Conference Workshops, EDOCW 2012"</f>
        <v>Proceedings of the 2012 IEEE 16th International Enterprise Distributed Object Computing Conference Workshops, EDOCW 2012</v>
      </c>
      <c r="B15842" s="8" t="str">
        <f>"9780769547862"</f>
        <v>9780769547862</v>
      </c>
      <c r="C15842" s="8" t="s">
        <v>9</v>
      </c>
    </row>
    <row r="15843" spans="1:3" x14ac:dyDescent="0.25">
      <c r="A15843" s="8" t="str">
        <f>"Proceedings of the 2012 IEEE 16th International Enterprise Distributed Object Computing Conference, EDOC 2012"</f>
        <v>Proceedings of the 2012 IEEE 16th International Enterprise Distributed Object Computing Conference, EDOC 2012</v>
      </c>
      <c r="B15843" s="8" t="str">
        <f>"9780769547855"</f>
        <v>9780769547855</v>
      </c>
      <c r="C15843" s="8" t="s">
        <v>9</v>
      </c>
    </row>
    <row r="15844" spans="1:3" x14ac:dyDescent="0.25">
      <c r="A15844" s="8" t="str">
        <f>"Proceedings of the 2012 IEEE 18th International Mixed-Signal, Sensors, and Systems Test Workshop, IMS3TW 2012"</f>
        <v>Proceedings of the 2012 IEEE 18th International Mixed-Signal, Sensors, and Systems Test Workshop, IMS3TW 2012</v>
      </c>
      <c r="B15844" s="8" t="str">
        <f>"9780769547268"</f>
        <v>9780769547268</v>
      </c>
      <c r="C15844" s="8" t="s">
        <v>9</v>
      </c>
    </row>
    <row r="15845" spans="1:3" x14ac:dyDescent="0.25">
      <c r="A15845" s="8" t="str">
        <f>"Proceedings of the 2012 IEEE 18th International On-Line Testing Symposium, IOLTS 2012"</f>
        <v>Proceedings of the 2012 IEEE 18th International On-Line Testing Symposium, IOLTS 2012</v>
      </c>
      <c r="B15845" s="8" t="str">
        <f>"9781467320849"</f>
        <v>9781467320849</v>
      </c>
      <c r="C15845" s="8" t="s">
        <v>9</v>
      </c>
    </row>
    <row r="15846" spans="1:3" x14ac:dyDescent="0.25">
      <c r="A15846" s="8" t="str">
        <f>"Proceedings of the 2012 IEEE 20th International Symposium on Field-Programmable Custom Computing Machines, FCCM 2012"</f>
        <v>Proceedings of the 2012 IEEE 20th International Symposium on Field-Programmable Custom Computing Machines, FCCM 2012</v>
      </c>
      <c r="B15846" s="8" t="str">
        <f>"9780769546995"</f>
        <v>9780769546995</v>
      </c>
      <c r="C15846" s="8" t="s">
        <v>9</v>
      </c>
    </row>
    <row r="15847" spans="1:3" x14ac:dyDescent="0.25">
      <c r="A15847" s="8" t="str">
        <f>"Proceedings of the 2012 IEEE 20th International Symposium on Modeling, Analysis and Simulation of Computer and Telecommunication Systems, MASCOTS 2012"</f>
        <v>Proceedings of the 2012 IEEE 20th International Symposium on Modeling, Analysis and Simulation of Computer and Telecommunication Systems, MASCOTS 2012</v>
      </c>
      <c r="B15847" s="8" t="str">
        <f>"9780769547930"</f>
        <v>9780769547930</v>
      </c>
      <c r="C15847" s="8" t="s">
        <v>9</v>
      </c>
    </row>
    <row r="15848" spans="1:3" x14ac:dyDescent="0.25">
      <c r="A15848" s="8" t="str">
        <f>"Proceedings of the 2012 IEEE 26th International Parallel and Distributed Processing Symposium Workshops, IPDPSW 2012"</f>
        <v>Proceedings of the 2012 IEEE 26th International Parallel and Distributed Processing Symposium Workshops, IPDPSW 2012</v>
      </c>
      <c r="B15848" s="8" t="str">
        <f>"9780769546766"</f>
        <v>9780769546766</v>
      </c>
      <c r="C15848" s="8" t="s">
        <v>9</v>
      </c>
    </row>
    <row r="15849" spans="1:3" x14ac:dyDescent="0.25">
      <c r="A15849" s="8" t="str">
        <f>"Proceedings of the 2012 IEEE 26th International Parallel and Distributed Processing Symposium, IPDPS 2012"</f>
        <v>Proceedings of the 2012 IEEE 26th International Parallel and Distributed Processing Symposium, IPDPS 2012</v>
      </c>
      <c r="B15849" s="8" t="str">
        <f>"9780769546759"</f>
        <v>9780769546759</v>
      </c>
      <c r="C15849" s="8" t="s">
        <v>9</v>
      </c>
    </row>
    <row r="15850" spans="1:3" x14ac:dyDescent="0.25">
      <c r="A15850" s="8" t="str">
        <f>"Proceedings of the 2012 IEEE 2nd International Workshop on Advanced Information Systems for Enterprises, IWAISE 2012"</f>
        <v>Proceedings of the 2012 IEEE 2nd International Workshop on Advanced Information Systems for Enterprises, IWAISE 2012</v>
      </c>
      <c r="B15850" s="8" t="str">
        <f>"9780769548456"</f>
        <v>9780769548456</v>
      </c>
      <c r="C15850" s="8" t="s">
        <v>9</v>
      </c>
    </row>
    <row r="15851" spans="1:3" x14ac:dyDescent="0.25">
      <c r="A15851" s="8" t="str">
        <f>"Proceedings of the 2012 IEEE 35th Software Engineering Workshop, SEW 2012"</f>
        <v>Proceedings of the 2012 IEEE 35th Software Engineering Workshop, SEW 2012</v>
      </c>
      <c r="B15851" s="8" t="str">
        <f>"9780769549477"</f>
        <v>9780769549477</v>
      </c>
      <c r="C15851" s="8" t="s">
        <v>9</v>
      </c>
    </row>
    <row r="15852" spans="1:3" x14ac:dyDescent="0.25">
      <c r="A15852" s="8" t="str">
        <f>"Proceedings of the 2012 IEEE 4th International Conference on Adaptive Science and Technology, ICAST 2012"</f>
        <v>Proceedings of the 2012 IEEE 4th International Conference on Adaptive Science and Technology, ICAST 2012</v>
      </c>
      <c r="B15852" s="8" t="str">
        <f>"9781467347884"</f>
        <v>9781467347884</v>
      </c>
      <c r="C15852" s="8" t="s">
        <v>9</v>
      </c>
    </row>
    <row r="15853" spans="1:3" x14ac:dyDescent="0.25">
      <c r="A15853" s="8" t="str">
        <f>"Proceedings of the 2012 IEEE 6th International Conference on Software Security and Reliability Companion, SERE-C 2012"</f>
        <v>Proceedings of the 2012 IEEE 6th International Conference on Software Security and Reliability Companion, SERE-C 2012</v>
      </c>
      <c r="B15853" s="8" t="str">
        <f>"9780769547435"</f>
        <v>9780769547435</v>
      </c>
      <c r="C15853" s="8" t="s">
        <v>9</v>
      </c>
    </row>
    <row r="15854" spans="1:3" x14ac:dyDescent="0.25">
      <c r="A15854" s="8" t="str">
        <f>"Proceedings of the 2012 IEEE 6th International Conference on Software Security and Reliability, SERE 2012"</f>
        <v>Proceedings of the 2012 IEEE 6th International Conference on Software Security and Reliability, SERE 2012</v>
      </c>
      <c r="B15854" s="8" t="str">
        <f>"9780769547428"</f>
        <v>9780769547428</v>
      </c>
      <c r="C15854" s="8" t="s">
        <v>9</v>
      </c>
    </row>
    <row r="15855" spans="1:3" x14ac:dyDescent="0.25">
      <c r="A15855" s="8" t="str">
        <f>"Proceedings of the 2012 IEEE Conference on Technology and Society in Asia, T and SA 2012"</f>
        <v>Proceedings of the 2012 IEEE Conference on Technology and Society in Asia, T and SA 2012</v>
      </c>
      <c r="B15855" s="8" t="str">
        <f>"9781467320702"</f>
        <v>9781467320702</v>
      </c>
      <c r="C15855" s="8" t="s">
        <v>9</v>
      </c>
    </row>
    <row r="15856" spans="1:3" x14ac:dyDescent="0.25">
      <c r="A15856" s="8" t="str">
        <f>"Proceedings of the 2012 IEEE International Conference on Multimedia and Expo Workshops, ICMEW 2012"</f>
        <v>Proceedings of the 2012 IEEE International Conference on Multimedia and Expo Workshops, ICMEW 2012</v>
      </c>
      <c r="B15856" s="8" t="str">
        <f>"9780769547299"</f>
        <v>9780769547299</v>
      </c>
      <c r="C15856" s="8" t="s">
        <v>9</v>
      </c>
    </row>
    <row r="15857" spans="1:3" x14ac:dyDescent="0.25">
      <c r="A15857" s="8" t="str">
        <f>"Proceedings of the 2012 IEEE International Power Modulator and High Voltage Conference, IPMHVC 2012"</f>
        <v>Proceedings of the 2012 IEEE International Power Modulator and High Voltage Conference, IPMHVC 2012</v>
      </c>
      <c r="B15857" s="8" t="str">
        <f>"9781467312233"</f>
        <v>9781467312233</v>
      </c>
      <c r="C15857" s="8" t="s">
        <v>9</v>
      </c>
    </row>
    <row r="15858" spans="1:3" x14ac:dyDescent="0.25">
      <c r="A15858" s="8" t="str">
        <f>"Proceedings of the 2012 IEEE International Symposium on Hardware-Oriented Security and Trust, HOST 2012"</f>
        <v>Proceedings of the 2012 IEEE International Symposium on Hardware-Oriented Security and Trust, HOST 2012</v>
      </c>
      <c r="B15858" s="8" t="str">
        <f>"9781467323390"</f>
        <v>9781467323390</v>
      </c>
      <c r="C15858" s="8" t="s">
        <v>9</v>
      </c>
    </row>
    <row r="15859" spans="1:3" x14ac:dyDescent="0.25">
      <c r="A15859" s="8" t="str">
        <f>"Proceedings of the 2012 IEEE International Symposium on Radio-Frequency Integration Technology, RFIT 2012"</f>
        <v>Proceedings of the 2012 IEEE International Symposium on Radio-Frequency Integration Technology, RFIT 2012</v>
      </c>
      <c r="B15859" s="8" t="str">
        <f>"9781467323048"</f>
        <v>9781467323048</v>
      </c>
      <c r="C15859" s="8" t="s">
        <v>9</v>
      </c>
    </row>
    <row r="15860" spans="1:3" x14ac:dyDescent="0.25">
      <c r="A15860" s="8" t="str">
        <f>"Proceedings of the 2012 IEEE Latin America Conference on Cloud Computing and Communications, LatinCloud 2012"</f>
        <v>Proceedings of the 2012 IEEE Latin America Conference on Cloud Computing and Communications, LatinCloud 2012</v>
      </c>
      <c r="B15860" s="8" t="str">
        <f>"9781467351638"</f>
        <v>9781467351638</v>
      </c>
      <c r="C15860" s="8" t="s">
        <v>9</v>
      </c>
    </row>
    <row r="15861" spans="1:3" x14ac:dyDescent="0.25">
      <c r="A15861" s="8" t="str">
        <f>"Proceedings of the 2012 IEEE Network Operations and Management Symposium, NOMS 2012"</f>
        <v>Proceedings of the 2012 IEEE Network Operations and Management Symposium, NOMS 2012</v>
      </c>
      <c r="B15861" s="8" t="str">
        <f>"9781467302685"</f>
        <v>9781467302685</v>
      </c>
      <c r="C15861" s="8" t="s">
        <v>9</v>
      </c>
    </row>
    <row r="15862" spans="1:3" x14ac:dyDescent="0.25">
      <c r="A15862" s="8" t="str">
        <f>"Proceedings of the 2012 IEEE/ACM International Conference on Advances in Social Networks Analysis and Mining, ASONAM 2012"</f>
        <v>Proceedings of the 2012 IEEE/ACM International Conference on Advances in Social Networks Analysis and Mining, ASONAM 2012</v>
      </c>
      <c r="B15862" s="8" t="str">
        <f>"9780769547992"</f>
        <v>9780769547992</v>
      </c>
      <c r="C15862" s="8" t="s">
        <v>9</v>
      </c>
    </row>
    <row r="15863" spans="1:3" x14ac:dyDescent="0.25">
      <c r="A15863" s="8" t="str">
        <f>"Proceedings of the 2012 IEEE/ACM International Symposium on Nanoscale Architectures, NANOARCH 2012"</f>
        <v>Proceedings of the 2012 IEEE/ACM International Symposium on Nanoscale Architectures, NANOARCH 2012</v>
      </c>
      <c r="B15863" s="8" t="str">
        <f>"9781450316712"</f>
        <v>9781450316712</v>
      </c>
      <c r="C15863" s="8" t="s">
        <v>9</v>
      </c>
    </row>
    <row r="15864" spans="1:3" x14ac:dyDescent="0.25">
      <c r="A15864" s="8" t="str">
        <f>"Proceedings of the 2012 IEEE/WIC/ACM International Conference on Web Intelligence and Intelligent Agent Technology Workshops, WI-IAT 2012"</f>
        <v>Proceedings of the 2012 IEEE/WIC/ACM International Conference on Web Intelligence and Intelligent Agent Technology Workshops, WI-IAT 2012</v>
      </c>
      <c r="B15864" s="8" t="str">
        <f>"9780769548807"</f>
        <v>9780769548807</v>
      </c>
      <c r="C15864" s="8" t="s">
        <v>9</v>
      </c>
    </row>
    <row r="15865" spans="1:3" x14ac:dyDescent="0.25">
      <c r="A15865" s="8" t="str">
        <f>"Proceedings of the 2012 IEEE-APS Topical Conference on Antennas and Propagation in Wireless Communications, APWC'12"</f>
        <v>Proceedings of the 2012 IEEE-APS Topical Conference on Antennas and Propagation in Wireless Communications, APWC'12</v>
      </c>
      <c r="B15865" s="8" t="str">
        <f>"9781467304054"</f>
        <v>9781467304054</v>
      </c>
      <c r="C15865" s="8" t="s">
        <v>9</v>
      </c>
    </row>
    <row r="15866" spans="1:3" x14ac:dyDescent="0.25">
      <c r="A15866" s="8" t="str">
        <f>"Proceedings of the 2012 IIAI International Conference on Advanced Applied Informatics, IIAIAAI 2012"</f>
        <v>Proceedings of the 2012 IIAI International Conference on Advanced Applied Informatics, IIAIAAI 2012</v>
      </c>
      <c r="B15866" s="8" t="str">
        <f>"9780769548265"</f>
        <v>9780769548265</v>
      </c>
      <c r="C15866" s="8" t="s">
        <v>9</v>
      </c>
    </row>
    <row r="15867" spans="1:3" x14ac:dyDescent="0.25">
      <c r="A15867" s="8" t="str">
        <f>"Proceedings of the 2012 Information Security Curriculum Development Conference, InfoSec CD 2012"</f>
        <v>Proceedings of the 2012 Information Security Curriculum Development Conference, InfoSec CD 2012</v>
      </c>
      <c r="B15867" s="8" t="str">
        <f>"9781450315388"</f>
        <v>9781450315388</v>
      </c>
      <c r="C15867" s="8" t="s">
        <v>21</v>
      </c>
    </row>
    <row r="15868" spans="1:3" x14ac:dyDescent="0.25">
      <c r="A15868" s="8" t="str">
        <f>"Proceedings of the 2012 International Conference in Green and Ubiquitous Technology, GUT 2012"</f>
        <v>Proceedings of the 2012 International Conference in Green and Ubiquitous Technology, GUT 2012</v>
      </c>
      <c r="B15868" s="8" t="str">
        <f>"9781457721724"</f>
        <v>9781457721724</v>
      </c>
      <c r="C15868" s="8" t="s">
        <v>9</v>
      </c>
    </row>
    <row r="15869" spans="1:3" x14ac:dyDescent="0.25">
      <c r="A15869" s="8" t="str">
        <f>"Proceedings of the 2012 International Conference on Advances in Mobile Networks, Communication and Its Applications, MNCApps 2012"</f>
        <v>Proceedings of the 2012 International Conference on Advances in Mobile Networks, Communication and Its Applications, MNCApps 2012</v>
      </c>
      <c r="B15869" s="8" t="str">
        <f>"9780769547206"</f>
        <v>9780769547206</v>
      </c>
      <c r="C15869" s="8" t="s">
        <v>9</v>
      </c>
    </row>
    <row r="15870" spans="1:3" x14ac:dyDescent="0.25">
      <c r="A15870" s="8" t="str">
        <f>"Proceedings of the 2012 International Conference on Artificial Intelligence, ICAI 2012"</f>
        <v>Proceedings of the 2012 International Conference on Artificial Intelligence, ICAI 2012</v>
      </c>
      <c r="B15870" s="8" t="str">
        <f>"-"</f>
        <v>-</v>
      </c>
      <c r="C15870" s="8" t="s">
        <v>1432</v>
      </c>
    </row>
    <row r="15871" spans="1:3" x14ac:dyDescent="0.25">
      <c r="A15871" s="8" t="str">
        <f>"Proceedings of the 2012 International Conference on Cloud Computing and Service Computing, CSC 2012"</f>
        <v>Proceedings of the 2012 International Conference on Cloud Computing and Service Computing, CSC 2012</v>
      </c>
      <c r="B15871" s="8" t="str">
        <f>"9780769549101"</f>
        <v>9780769549101</v>
      </c>
      <c r="C15871" s="8" t="s">
        <v>9</v>
      </c>
    </row>
    <row r="15872" spans="1:3" x14ac:dyDescent="0.25">
      <c r="A15872" s="8" t="str">
        <f>"Proceedings of the 2012 International Conference on Collaboration Technologies and Systems, CTS 2012"</f>
        <v>Proceedings of the 2012 International Conference on Collaboration Technologies and Systems, CTS 2012</v>
      </c>
      <c r="B15872" s="8" t="str">
        <f>"9781467313803"</f>
        <v>9781467313803</v>
      </c>
      <c r="C15872" s="8" t="s">
        <v>9</v>
      </c>
    </row>
    <row r="15873" spans="1:3" x14ac:dyDescent="0.25">
      <c r="A15873" s="8" t="str">
        <f>"Proceedings of the 2012 International Conference on Communications, Devices and Intelligent Systems, CODIS 2012"</f>
        <v>Proceedings of the 2012 International Conference on Communications, Devices and Intelligent Systems, CODIS 2012</v>
      </c>
      <c r="B15873" s="8" t="str">
        <f>"9781467346986"</f>
        <v>9781467346986</v>
      </c>
      <c r="C15873" s="8" t="s">
        <v>9</v>
      </c>
    </row>
    <row r="15874" spans="1:3" x14ac:dyDescent="0.25">
      <c r="A15874" s="8" t="str">
        <f>"Proceedings of the 2012 International Conference on Computer Application and System Modeling, ICCASM 2012"</f>
        <v>Proceedings of the 2012 International Conference on Computer Application and System Modeling, ICCASM 2012</v>
      </c>
      <c r="B15874" s="8" t="str">
        <f>"9789491216008"</f>
        <v>9789491216008</v>
      </c>
      <c r="C15874" s="8" t="s">
        <v>1380</v>
      </c>
    </row>
    <row r="15875" spans="1:3" x14ac:dyDescent="0.25">
      <c r="A15875" s="8" t="str">
        <f>"Proceedings of the 2012 International Conference on Cyber-Enabled Distributed Computing and Knowledge Discovery, CyberC 2012"</f>
        <v>Proceedings of the 2012 International Conference on Cyber-Enabled Distributed Computing and Knowledge Discovery, CyberC 2012</v>
      </c>
      <c r="B15875" s="8" t="str">
        <f>"9780769548104"</f>
        <v>9780769548104</v>
      </c>
      <c r="C15875" s="8" t="s">
        <v>9</v>
      </c>
    </row>
    <row r="15876" spans="1:3" x14ac:dyDescent="0.25">
      <c r="A15876" s="8" t="str">
        <f>"Proceedings of the 2012 International Conference on Cyberworlds, Cyberworlds 2012"</f>
        <v>Proceedings of the 2012 International Conference on Cyberworlds, Cyberworlds 2012</v>
      </c>
      <c r="B15876" s="8" t="str">
        <f>"9780769548142"</f>
        <v>9780769548142</v>
      </c>
      <c r="C15876" s="8" t="s">
        <v>9</v>
      </c>
    </row>
    <row r="15877" spans="1:3" x14ac:dyDescent="0.25">
      <c r="A15877" s="8" t="str">
        <f>"Proceedings of the 2012 International Conference on Electromagnetics in Advanced Applications, ICEAA'12"</f>
        <v>Proceedings of the 2012 International Conference on Electromagnetics in Advanced Applications, ICEAA'12</v>
      </c>
      <c r="B15877" s="8" t="str">
        <f>"9781467303354"</f>
        <v>9781467303354</v>
      </c>
      <c r="C15877" s="8" t="s">
        <v>9</v>
      </c>
    </row>
    <row r="15878" spans="1:3" x14ac:dyDescent="0.25">
      <c r="A15878" s="8" t="str">
        <f>"Proceedings of the 2012 International Conference on High Performance Computing and Simulation, HPCS 2012"</f>
        <v>Proceedings of the 2012 International Conference on High Performance Computing and Simulation, HPCS 2012</v>
      </c>
      <c r="B15878" s="8" t="str">
        <f>"9781467323598"</f>
        <v>9781467323598</v>
      </c>
      <c r="C15878" s="8" t="s">
        <v>9</v>
      </c>
    </row>
    <row r="15879" spans="1:3" x14ac:dyDescent="0.25">
      <c r="A15879" s="8" t="str">
        <f>"Proceedings of the 2012 International Conference on Image Processing, Computer Vision, and Pattern Recognition, IPCV 2012"</f>
        <v>Proceedings of the 2012 International Conference on Image Processing, Computer Vision, and Pattern Recognition, IPCV 2012</v>
      </c>
      <c r="B15879" s="8" t="str">
        <f>"9781601322258"</f>
        <v>9781601322258</v>
      </c>
      <c r="C15879" s="8" t="s">
        <v>1432</v>
      </c>
    </row>
    <row r="15880" spans="1:3" x14ac:dyDescent="0.25">
      <c r="A15880" s="8" t="str">
        <f>"Proceedings of the 2012 International Conference on Industrial Control and Electronics Engineering, ICICEE 2012"</f>
        <v>Proceedings of the 2012 International Conference on Industrial Control and Electronics Engineering, ICICEE 2012</v>
      </c>
      <c r="B15880" s="8" t="str">
        <f>"9780769547923"</f>
        <v>9780769547923</v>
      </c>
      <c r="C15880" s="8" t="s">
        <v>9</v>
      </c>
    </row>
    <row r="15881" spans="1:3" x14ac:dyDescent="0.25">
      <c r="A15881" s="8" t="str">
        <f>"Proceedings of the 2012 International Conference on Recent Advances in Computing and Software Systems, RACSS 2012"</f>
        <v>Proceedings of the 2012 International Conference on Recent Advances in Computing and Software Systems, RACSS 2012</v>
      </c>
      <c r="B15881" s="8" t="str">
        <f>"9781467302548"</f>
        <v>9781467302548</v>
      </c>
      <c r="C15881" s="8" t="s">
        <v>9</v>
      </c>
    </row>
    <row r="15882" spans="1:3" x14ac:dyDescent="0.25">
      <c r="A15882" s="8" t="str">
        <f>"Proceedings of the 2012 International Conference on Speech Database and Assessments, Oriental COCOSDA 2012"</f>
        <v>Proceedings of the 2012 International Conference on Speech Database and Assessments, Oriental COCOSDA 2012</v>
      </c>
      <c r="B15882" s="8" t="str">
        <f>"9781467328104"</f>
        <v>9781467328104</v>
      </c>
      <c r="C15882" s="8" t="s">
        <v>9</v>
      </c>
    </row>
    <row r="15883" spans="1:3" x14ac:dyDescent="0.25">
      <c r="A15883" s="8" t="str">
        <f>"Proceedings of the 2012 International Conference on System Engineering and Technology, ICSET 2012"</f>
        <v>Proceedings of the 2012 International Conference on System Engineering and Technology, ICSET 2012</v>
      </c>
      <c r="B15883" s="8" t="str">
        <f>"9781467323765"</f>
        <v>9781467323765</v>
      </c>
      <c r="C15883" s="8" t="s">
        <v>9</v>
      </c>
    </row>
    <row r="15884" spans="1:3" x14ac:dyDescent="0.25">
      <c r="A15884" s="8" t="str">
        <f>"Proceedings of the 2012 International Conference on Virtual Reality and Visualization, ICVRV 2012"</f>
        <v>Proceedings of the 2012 International Conference on Virtual Reality and Visualization, ICVRV 2012</v>
      </c>
      <c r="B15884" s="8" t="str">
        <f>"9780769548364"</f>
        <v>9780769548364</v>
      </c>
      <c r="C15884" s="8" t="s">
        <v>9</v>
      </c>
    </row>
    <row r="15885" spans="1:3" x14ac:dyDescent="0.25">
      <c r="A15885" s="8" t="str">
        <f>"Proceedings of the 2012 International Symposium on Performance Evaluation of Computer and Telecommunication Systems, SPECTS'12 - Part of SummerSim 2012 Multiconference"</f>
        <v>Proceedings of the 2012 International Symposium on Performance Evaluation of Computer and Telecommunication Systems, SPECTS'12 - Part of SummerSim 2012 Multiconference</v>
      </c>
      <c r="B15885" s="8" t="str">
        <f>"9781618399823"</f>
        <v>9781618399823</v>
      </c>
      <c r="C15885" s="8" t="s">
        <v>9</v>
      </c>
    </row>
    <row r="15886" spans="1:3" x14ac:dyDescent="0.25">
      <c r="A15886" s="8" t="str">
        <f>"Proceedings of the 2012 International Symposium on Pervasive Systems, Algorithms, and Networks, I-SPAN 2012"</f>
        <v>Proceedings of the 2012 International Symposium on Pervasive Systems, Algorithms, and Networks, I-SPAN 2012</v>
      </c>
      <c r="B15886" s="8" t="str">
        <f>"9780769549309"</f>
        <v>9780769549309</v>
      </c>
      <c r="C15886" s="8" t="s">
        <v>9</v>
      </c>
    </row>
    <row r="15887" spans="1:3" x14ac:dyDescent="0.25">
      <c r="A15887" s="8" t="str">
        <f>"Proceedings of the 2012 International Workshop on Metamaterials, Meta 2012"</f>
        <v>Proceedings of the 2012 International Workshop on Metamaterials, Meta 2012</v>
      </c>
      <c r="B15887" s="8" t="str">
        <f>"9781467328081"</f>
        <v>9781467328081</v>
      </c>
      <c r="C15887" s="8" t="s">
        <v>9</v>
      </c>
    </row>
    <row r="15888" spans="1:3" x14ac:dyDescent="0.25">
      <c r="A15888" s="8" t="str">
        <f>"Proceedings of the 2012 International Workshop on Programming Models and Applications for Multicores and Manycores, PMAM 2012"</f>
        <v>Proceedings of the 2012 International Workshop on Programming Models and Applications for Multicores and Manycores, PMAM 2012</v>
      </c>
      <c r="B15888" s="8" t="str">
        <f>"9781450312110"</f>
        <v>9781450312110</v>
      </c>
      <c r="C15888" s="8" t="s">
        <v>21</v>
      </c>
    </row>
    <row r="15889" spans="1:3" x14ac:dyDescent="0.25">
      <c r="A15889" s="8" t="str">
        <f>"Proceedings of the 2012 Japan-Egypt Conference on Electronics, Communications and Computers, JEC-ECC 2012"</f>
        <v>Proceedings of the 2012 Japan-Egypt Conference on Electronics, Communications and Computers, JEC-ECC 2012</v>
      </c>
      <c r="B15889" s="8" t="str">
        <f>"9781467304832"</f>
        <v>9781467304832</v>
      </c>
      <c r="C15889" s="8" t="s">
        <v>9</v>
      </c>
    </row>
    <row r="15890" spans="1:3" x14ac:dyDescent="0.25">
      <c r="A15890" s="8" t="str">
        <f>"Proceedings of the 2012 Joint Conf. of the 22nd Int. Workshop on Software Measurement and the 2012 7th Int. Conf. on Software Process and Product Measurement, IWSM-MENSURA 2012"</f>
        <v>Proceedings of the 2012 Joint Conf. of the 22nd Int. Workshop on Software Measurement and the 2012 7th Int. Conf. on Software Process and Product Measurement, IWSM-MENSURA 2012</v>
      </c>
      <c r="B15890" s="8" t="str">
        <f>"9780769548401"</f>
        <v>9780769548401</v>
      </c>
      <c r="C15890" s="8" t="s">
        <v>9</v>
      </c>
    </row>
    <row r="15891" spans="1:3" x14ac:dyDescent="0.25">
      <c r="A15891" s="8" t="str">
        <f>"Proceedings of the 2012 Joint Working Conference on Software Architecture and 6th European Conference on Software Architecture, WICSA/ECSA 2012"</f>
        <v>Proceedings of the 2012 Joint Working Conference on Software Architecture and 6th European Conference on Software Architecture, WICSA/ECSA 2012</v>
      </c>
      <c r="B15891" s="8" t="str">
        <f>"9780769548272"</f>
        <v>9780769548272</v>
      </c>
      <c r="C15891" s="8" t="s">
        <v>9</v>
      </c>
    </row>
    <row r="15892" spans="1:3" x14ac:dyDescent="0.25">
      <c r="A15892" s="8" t="str">
        <f>"Proceedings of the 2012 NASA/ESA Conference on Adaptive Hardware and Systems, AHS 2012"</f>
        <v>Proceedings of the 2012 NASA/ESA Conference on Adaptive Hardware and Systems, AHS 2012</v>
      </c>
      <c r="B15892" s="8" t="str">
        <f>"9781467319157"</f>
        <v>9781467319157</v>
      </c>
      <c r="C15892" s="8" t="s">
        <v>9</v>
      </c>
    </row>
    <row r="15893" spans="1:3" x14ac:dyDescent="0.25">
      <c r="A15893" s="8" t="str">
        <f>"Proceedings of the 2012 National Conference on Information Technology and Computer Science, CITCS 2012"</f>
        <v>Proceedings of the 2012 National Conference on Information Technology and Computer Science, CITCS 2012</v>
      </c>
      <c r="B15893" s="8" t="str">
        <f>"9789491216381"</f>
        <v>9789491216381</v>
      </c>
      <c r="C15893" s="8" t="s">
        <v>1380</v>
      </c>
    </row>
    <row r="15894" spans="1:3" x14ac:dyDescent="0.25">
      <c r="A15894" s="8" t="str">
        <f>"Proceedings of the 2012 Symposium on Piezoelectricity, Acoustic Waves and Device Applications, SPAWDA 2012"</f>
        <v>Proceedings of the 2012 Symposium on Piezoelectricity, Acoustic Waves and Device Applications, SPAWDA 2012</v>
      </c>
      <c r="B15894" s="8" t="str">
        <f>"9781467348164"</f>
        <v>9781467348164</v>
      </c>
      <c r="C15894" s="8" t="s">
        <v>9</v>
      </c>
    </row>
    <row r="15895" spans="1:3" x14ac:dyDescent="0.25">
      <c r="A15895" s="8" t="str">
        <f>"Proceedings of the 2012 Tyrrhenian Workshop on Advances in Radar and Remote Sensing: From Earth Observation to Homeland Security, TyWRRS 2012"</f>
        <v>Proceedings of the 2012 Tyrrhenian Workshop on Advances in Radar and Remote Sensing: From Earth Observation to Homeland Security, TyWRRS 2012</v>
      </c>
      <c r="B15895" s="8" t="str">
        <f>"9781467324434"</f>
        <v>9781467324434</v>
      </c>
      <c r="C15895" s="8" t="s">
        <v>9</v>
      </c>
    </row>
    <row r="15896" spans="1:3" x14ac:dyDescent="0.25">
      <c r="A15896" s="8" t="str">
        <f>"Proceedings of the 2012 UKACC International Conference on Control, CONTROL 2012"</f>
        <v>Proceedings of the 2012 UKACC International Conference on Control, CONTROL 2012</v>
      </c>
      <c r="B15896" s="8" t="str">
        <f>"9781467315609"</f>
        <v>9781467315609</v>
      </c>
      <c r="C15896" s="8" t="s">
        <v>9</v>
      </c>
    </row>
    <row r="15897" spans="1:3" x14ac:dyDescent="0.25">
      <c r="A15897" s="8" t="str">
        <f>"Proceedings of the 2012 Workshop on Embedded and Cyber-Physical Systems Education, WESE 2012"</f>
        <v>Proceedings of the 2012 Workshop on Embedded and Cyber-Physical Systems Education, WESE 2012</v>
      </c>
      <c r="B15897" s="8" t="str">
        <f>"9781450317658"</f>
        <v>9781450317658</v>
      </c>
      <c r="C15897" s="8" t="s">
        <v>21</v>
      </c>
    </row>
    <row r="15898" spans="1:3" x14ac:dyDescent="0.25">
      <c r="A15898" s="8" t="str">
        <f>"Proceedings of the 2012 World Congress on Information and Communication Technologies, WICT 2012"</f>
        <v>Proceedings of the 2012 World Congress on Information and Communication Technologies, WICT 2012</v>
      </c>
      <c r="B15898" s="8" t="str">
        <f>"9781467348041"</f>
        <v>9781467348041</v>
      </c>
      <c r="C15898" s="8" t="s">
        <v>9</v>
      </c>
    </row>
    <row r="15899" spans="1:3" x14ac:dyDescent="0.25">
      <c r="A15899" s="8" t="str">
        <f>"Proceedings of the 2013 10th International Conference on Information Technology: New Generations, ITNG 2013"</f>
        <v>Proceedings of the 2013 10th International Conference on Information Technology: New Generations, ITNG 2013</v>
      </c>
      <c r="B15899" s="8" t="str">
        <f>"9780769549675"</f>
        <v>9780769549675</v>
      </c>
      <c r="C15899" s="8" t="s">
        <v>9</v>
      </c>
    </row>
    <row r="15900" spans="1:3" x14ac:dyDescent="0.25">
      <c r="A15900" s="8" t="str">
        <f>"Proceedings of the 2013 10th International Joint Conference on Computer Science and Software Engineering, JCSSE 2013"</f>
        <v>Proceedings of the 2013 10th International Joint Conference on Computer Science and Software Engineering, JCSSE 2013</v>
      </c>
      <c r="B15900" s="8" t="str">
        <f>"9781479908066"</f>
        <v>9781479908066</v>
      </c>
      <c r="C15900" s="8" t="s">
        <v>9</v>
      </c>
    </row>
    <row r="15901" spans="1:3" x14ac:dyDescent="0.25">
      <c r="A15901" s="8" t="str">
        <f>"Proceedings of the 2013 11th International Symposium on Programming and Systems, ISPS 2013"</f>
        <v>Proceedings of the 2013 11th International Symposium on Programming and Systems, ISPS 2013</v>
      </c>
      <c r="B15901" s="8" t="str">
        <f>"9781479911516"</f>
        <v>9781479911516</v>
      </c>
      <c r="C15901" s="8" t="s">
        <v>9</v>
      </c>
    </row>
    <row r="15902" spans="1:3" x14ac:dyDescent="0.25">
      <c r="A15902" s="8" t="str">
        <f>"Proceedings of the 2013 13th International Conference on Autonomous Robot Systems, ROBOTICA 2013"</f>
        <v>Proceedings of the 2013 13th International Conference on Autonomous Robot Systems, ROBOTICA 2013</v>
      </c>
      <c r="B15902" s="8" t="str">
        <f>"9781479912476"</f>
        <v>9781479912476</v>
      </c>
      <c r="C15902" s="8" t="s">
        <v>9</v>
      </c>
    </row>
    <row r="15903" spans="1:3" x14ac:dyDescent="0.25">
      <c r="A15903" s="8" t="str">
        <f>"Proceedings of the 2013 13th International Conference on Computational Science and Its Applications, ICCSA 2013"</f>
        <v>Proceedings of the 2013 13th International Conference on Computational Science and Its Applications, ICCSA 2013</v>
      </c>
      <c r="B15903" s="8" t="str">
        <f>"9780769550459"</f>
        <v>9780769550459</v>
      </c>
      <c r="C15903" s="8" t="s">
        <v>9</v>
      </c>
    </row>
    <row r="15904" spans="1:3" x14ac:dyDescent="0.25">
      <c r="A15904" s="8" t="str">
        <f>"Proceedings of the 2013 14th International Carpathian Control Conference, ICCC 2013"</f>
        <v>Proceedings of the 2013 14th International Carpathian Control Conference, ICCC 2013</v>
      </c>
      <c r="B15904" s="8" t="str">
        <f>"9781467344890"</f>
        <v>9781467344890</v>
      </c>
      <c r="C15904" s="8" t="s">
        <v>9</v>
      </c>
    </row>
    <row r="15905" spans="1:3" x14ac:dyDescent="0.25">
      <c r="A15905" s="8" t="str">
        <f>"Proceedings of the 2013 18th European Conference on Network and Optical Communications, NOC 2013 and 2013 8th Conference on Optical Cabling and Infrastructure, OC and I 2013"</f>
        <v>Proceedings of the 2013 18th European Conference on Network and Optical Communications, NOC 2013 and 2013 8th Conference on Optical Cabling and Infrastructure, OC and I 2013</v>
      </c>
      <c r="B15905" s="8" t="str">
        <f>"9781467358224"</f>
        <v>9781467358224</v>
      </c>
      <c r="C15905" s="8" t="s">
        <v>9</v>
      </c>
    </row>
    <row r="15906" spans="1:3" x14ac:dyDescent="0.25">
      <c r="A15906" s="8" t="str">
        <f>"Proceedings of the 2013 21st Euromicro International Conference on Parallel, Distributed, and Network-Based Processing, PDP 2013"</f>
        <v>Proceedings of the 2013 21st Euromicro International Conference on Parallel, Distributed, and Network-Based Processing, PDP 2013</v>
      </c>
      <c r="B15906" s="8" t="str">
        <f>"9780769549392"</f>
        <v>9780769549392</v>
      </c>
      <c r="C15906" s="8" t="s">
        <v>9</v>
      </c>
    </row>
    <row r="15907" spans="1:3" x14ac:dyDescent="0.25">
      <c r="A15907" s="8" t="str">
        <f>"Proceedings of the 2013 25th International Teletraffic Congress, ITC 2013"</f>
        <v>Proceedings of the 2013 25th International Teletraffic Congress, ITC 2013</v>
      </c>
      <c r="B15907" s="8" t="str">
        <f>"9780983628378"</f>
        <v>9780983628378</v>
      </c>
      <c r="C15907" s="8" t="s">
        <v>9</v>
      </c>
    </row>
    <row r="15908" spans="1:3" x14ac:dyDescent="0.25">
      <c r="A15908" s="8" t="str">
        <f>"Proceedings of the 2013 2nd International Conference on Information Management in the Knowledge Economy, IMKE 2013"</f>
        <v>Proceedings of the 2013 2nd International Conference on Information Management in the Knowledge Economy, IMKE 2013</v>
      </c>
      <c r="B15908" s="8" t="str">
        <f>"9788192024974"</f>
        <v>9788192024974</v>
      </c>
      <c r="C15908" s="8" t="s">
        <v>105</v>
      </c>
    </row>
    <row r="15909" spans="1:3" x14ac:dyDescent="0.25">
      <c r="A15909" s="8" t="str">
        <f>"Proceedings of the 2013 2nd International Japan-Egypt Conference on Electronics, Communications and Computers, JEC-ECC 2013"</f>
        <v>Proceedings of the 2013 2nd International Japan-Egypt Conference on Electronics, Communications and Computers, JEC-ECC 2013</v>
      </c>
      <c r="B15909" s="8" t="str">
        <f>"9781479931590"</f>
        <v>9781479931590</v>
      </c>
      <c r="C15909" s="8" t="s">
        <v>9</v>
      </c>
    </row>
    <row r="15910" spans="1:3" x14ac:dyDescent="0.25">
      <c r="A15910" s="8" t="str">
        <f>"Proceedings of the 2013 2nd International Workshop on Optical Wireless Communications, IWOW 2013"</f>
        <v>Proceedings of the 2013 2nd International Workshop on Optical Wireless Communications, IWOW 2013</v>
      </c>
      <c r="B15910" s="8" t="str">
        <f>"9781479911882"</f>
        <v>9781479911882</v>
      </c>
      <c r="C15910" s="8" t="s">
        <v>9</v>
      </c>
    </row>
    <row r="15911" spans="1:3" x14ac:dyDescent="0.25">
      <c r="A15911" s="8" t="str">
        <f>"Proceedings of the 2013 39th Latin American Computing Conference, CLEI 2013"</f>
        <v>Proceedings of the 2013 39th Latin American Computing Conference, CLEI 2013</v>
      </c>
      <c r="B15911" s="8" t="str">
        <f>"9781479913404"</f>
        <v>9781479913404</v>
      </c>
      <c r="C15911" s="8" t="s">
        <v>9</v>
      </c>
    </row>
    <row r="15912" spans="1:3" x14ac:dyDescent="0.25">
      <c r="A15912" s="8" t="str">
        <f>"Proceedings of the 2013 3rd IEEE International Advance Computing Conference, IACC 2013"</f>
        <v>Proceedings of the 2013 3rd IEEE International Advance Computing Conference, IACC 2013</v>
      </c>
      <c r="B15912" s="8" t="str">
        <f>"9781467345286"</f>
        <v>9781467345286</v>
      </c>
      <c r="C15912" s="8" t="s">
        <v>9</v>
      </c>
    </row>
    <row r="15913" spans="1:3" x14ac:dyDescent="0.25">
      <c r="A15913" s="8" t="str">
        <f>"Proceedings of the 2013 3rd International Conference on Intelligent System Design and Engineering Applications, ISDEA 2013"</f>
        <v>Proceedings of the 2013 3rd International Conference on Intelligent System Design and Engineering Applications, ISDEA 2013</v>
      </c>
      <c r="B15913" s="8" t="str">
        <f>"9780769549231"</f>
        <v>9780769549231</v>
      </c>
      <c r="C15913" s="8" t="s">
        <v>9</v>
      </c>
    </row>
    <row r="15914" spans="1:3" x14ac:dyDescent="0.25">
      <c r="A15914" s="8" t="str">
        <f>"Proceedings of the 2013 4th Annual ORNL Biomedical Sciences and Engineering Conference: Collaborative Biomedical Innovations, BSEC 2013"</f>
        <v>Proceedings of the 2013 4th Annual ORNL Biomedical Sciences and Engineering Conference: Collaborative Biomedical Innovations, BSEC 2013</v>
      </c>
      <c r="B15914" s="8" t="str">
        <f>"9781479921188"</f>
        <v>9781479921188</v>
      </c>
      <c r="C15914" s="8" t="s">
        <v>9</v>
      </c>
    </row>
    <row r="15915" spans="1:3" x14ac:dyDescent="0.25">
      <c r="A15915" s="8" t="str">
        <f>"Proceedings of the 2013 4th International Workshop on Computational Intelligence in Medical Imaging, CIMI 2013 - 2013 IEEE Symposium Series on Computational Intelligence, SSCI 2013"</f>
        <v>Proceedings of the 2013 4th International Workshop on Computational Intelligence in Medical Imaging, CIMI 2013 - 2013 IEEE Symposium Series on Computational Intelligence, SSCI 2013</v>
      </c>
      <c r="B15915" s="8" t="str">
        <f>"9781467359191"</f>
        <v>9781467359191</v>
      </c>
      <c r="C15915" s="8" t="s">
        <v>9</v>
      </c>
    </row>
    <row r="15916" spans="1:3" x14ac:dyDescent="0.25">
      <c r="A15916" s="8" t="str">
        <f>"Proceedings of the 2013 5th IEEE International Workshop on Advances in Sensors and Interfaces, IWASI 2013"</f>
        <v>Proceedings of the 2013 5th IEEE International Workshop on Advances in Sensors and Interfaces, IWASI 2013</v>
      </c>
      <c r="B15916" s="8" t="str">
        <f>"9781479900404"</f>
        <v>9781479900404</v>
      </c>
      <c r="C15916" s="8" t="s">
        <v>9</v>
      </c>
    </row>
    <row r="15917" spans="1:3" x14ac:dyDescent="0.25">
      <c r="A15917" s="8" t="str">
        <f>"Proceedings of the 2013 6th International Conference on Biomedical Engineering and Informatics, BMEI 2013"</f>
        <v>Proceedings of the 2013 6th International Conference on Biomedical Engineering and Informatics, BMEI 2013</v>
      </c>
      <c r="B15917" s="8" t="str">
        <f>"9781479927616"</f>
        <v>9781479927616</v>
      </c>
      <c r="C15917" s="8" t="s">
        <v>9</v>
      </c>
    </row>
    <row r="15918" spans="1:3" x14ac:dyDescent="0.25">
      <c r="A15918" s="8" t="str">
        <f>"Proceedings of the 2013 6th International Congress on Image and Signal Processing, CISP 2013"</f>
        <v>Proceedings of the 2013 6th International Congress on Image and Signal Processing, CISP 2013</v>
      </c>
      <c r="B15918" s="8" t="str">
        <f>"9781479927647"</f>
        <v>9781479927647</v>
      </c>
      <c r="C15918" s="8" t="s">
        <v>9</v>
      </c>
    </row>
    <row r="15919" spans="1:3" x14ac:dyDescent="0.25">
      <c r="A15919" s="8" t="str">
        <f>"Proceedings of the 2013 7th International Conference on Pervasive Computing Technologies for Healthcare and Workshops, PervasiveHealth 2013"</f>
        <v>Proceedings of the 2013 7th International Conference on Pervasive Computing Technologies for Healthcare and Workshops, PervasiveHealth 2013</v>
      </c>
      <c r="B15919" s="8" t="str">
        <f>"9781936968800"</f>
        <v>9781936968800</v>
      </c>
      <c r="C15919" s="8" t="s">
        <v>9</v>
      </c>
    </row>
    <row r="15920" spans="1:3" x14ac:dyDescent="0.25">
      <c r="A15920" s="8" t="str">
        <f>"Proceedings of the 2013 8th International Conference on Cognitive Radio Oriented Wireless Networks and Communications, CROWNCOM 2013"</f>
        <v>Proceedings of the 2013 8th International Conference on Cognitive Radio Oriented Wireless Networks and Communications, CROWNCOM 2013</v>
      </c>
      <c r="B15920" s="8" t="str">
        <f>"9781479921201"</f>
        <v>9781479921201</v>
      </c>
      <c r="C15920" s="8" t="s">
        <v>9</v>
      </c>
    </row>
    <row r="15921" spans="1:3" x14ac:dyDescent="0.25">
      <c r="A15921" s="8" t="str">
        <f>"Proceedings of the 2013 8th International Conference on Design and Technology of Integrated Systems in Nanoscale Era, DTIS 2013"</f>
        <v>Proceedings of the 2013 8th International Conference on Design and Technology of Integrated Systems in Nanoscale Era, DTIS 2013</v>
      </c>
      <c r="B15921" s="8" t="str">
        <f>"9781467360388"</f>
        <v>9781467360388</v>
      </c>
      <c r="C15921" s="8" t="s">
        <v>9</v>
      </c>
    </row>
    <row r="15922" spans="1:3" x14ac:dyDescent="0.25">
      <c r="A15922" s="8" t="s">
        <v>2179</v>
      </c>
      <c r="B15922" s="8" t="str">
        <f>"9781479925339"</f>
        <v>9781479925339</v>
      </c>
      <c r="C15922" s="8" t="s">
        <v>9</v>
      </c>
    </row>
    <row r="15923" spans="1:3" x14ac:dyDescent="0.25">
      <c r="A15923" s="8" t="str">
        <f>"Proceedings of the 2013 High Power Diode Lasers and Systems Conference, HPD 2013 - Co-located with Photonex 2013"</f>
        <v>Proceedings of the 2013 High Power Diode Lasers and Systems Conference, HPD 2013 - Co-located with Photonex 2013</v>
      </c>
      <c r="B15923" s="8" t="str">
        <f>"9781479927487"</f>
        <v>9781479927487</v>
      </c>
      <c r="C15923" s="8" t="s">
        <v>9</v>
      </c>
    </row>
    <row r="15924" spans="1:3" x14ac:dyDescent="0.25">
      <c r="A15924" s="8" t="str">
        <f>"Proceedings of the 2013 IEEE 14th International Conference on Information Reuse and Integration, IEEE IRI 2013"</f>
        <v>Proceedings of the 2013 IEEE 14th International Conference on Information Reuse and Integration, IEEE IRI 2013</v>
      </c>
      <c r="B15924" s="8" t="str">
        <f>"9781479910502"</f>
        <v>9781479910502</v>
      </c>
      <c r="C15924" s="8" t="s">
        <v>9</v>
      </c>
    </row>
    <row r="15925" spans="1:3" x14ac:dyDescent="0.25">
      <c r="A15925" s="8" t="str">
        <f>"Proceedings of the 2013 IEEE 15th Electronics Packaging Technology Conference, EPTC 2013"</f>
        <v>Proceedings of the 2013 IEEE 15th Electronics Packaging Technology Conference, EPTC 2013</v>
      </c>
      <c r="B15925" s="8" t="str">
        <f>"9781479928330"</f>
        <v>9781479928330</v>
      </c>
      <c r="C15925" s="8" t="s">
        <v>9</v>
      </c>
    </row>
    <row r="15926" spans="1:3" x14ac:dyDescent="0.25">
      <c r="A15926" s="8" t="str">
        <f>"Proceedings of the 2013 IEEE 16th International Symposium on Design and Diagnostics of Electronic Circuits and Systems, DDECS 2013"</f>
        <v>Proceedings of the 2013 IEEE 16th International Symposium on Design and Diagnostics of Electronic Circuits and Systems, DDECS 2013</v>
      </c>
      <c r="B15926" s="8" t="str">
        <f>"9781467361361"</f>
        <v>9781467361361</v>
      </c>
      <c r="C15926" s="8" t="s">
        <v>9</v>
      </c>
    </row>
    <row r="15927" spans="1:3" x14ac:dyDescent="0.25">
      <c r="A15927" s="8" t="str">
        <f>"Proceedings of the 2013 IEEE 17th International Conference on Computer Supported Cooperative Work in Design, CSCWD 2013"</f>
        <v>Proceedings of the 2013 IEEE 17th International Conference on Computer Supported Cooperative Work in Design, CSCWD 2013</v>
      </c>
      <c r="B15927" s="8" t="str">
        <f>"9781467360852"</f>
        <v>9781467360852</v>
      </c>
      <c r="C15927" s="8" t="s">
        <v>9</v>
      </c>
    </row>
    <row r="15928" spans="1:3" x14ac:dyDescent="0.25">
      <c r="A15928" s="8" t="str">
        <f>"Proceedings of the 2013 IEEE 19th International On-Line Testing Symposium, IOLTS 2013"</f>
        <v>Proceedings of the 2013 IEEE 19th International On-Line Testing Symposium, IOLTS 2013</v>
      </c>
      <c r="B15928" s="8" t="str">
        <f>"9781479906628"</f>
        <v>9781479906628</v>
      </c>
      <c r="C15928" s="8" t="s">
        <v>9</v>
      </c>
    </row>
    <row r="15929" spans="1:3" x14ac:dyDescent="0.25">
      <c r="A15929" s="8" t="str">
        <f>"Proceedings of the 2013 IEEE 2nd International Conference on Cloud Networking, CloudNet 2013"</f>
        <v>Proceedings of the 2013 IEEE 2nd International Conference on Cloud Networking, CloudNet 2013</v>
      </c>
      <c r="B15929" s="8" t="str">
        <f>"9781479905669"</f>
        <v>9781479905669</v>
      </c>
      <c r="C15929" s="8" t="s">
        <v>9</v>
      </c>
    </row>
    <row r="15930" spans="1:3" x14ac:dyDescent="0.25">
      <c r="A15930" s="8" t="str">
        <f>"Proceedings of the 2013 IEEE 2nd International Network Science Workshop, NSW 2013"</f>
        <v>Proceedings of the 2013 IEEE 2nd International Network Science Workshop, NSW 2013</v>
      </c>
      <c r="B15930" s="8" t="str">
        <f>"9781479904365"</f>
        <v>9781479904365</v>
      </c>
      <c r="C15930" s="8" t="s">
        <v>9</v>
      </c>
    </row>
    <row r="15931" spans="1:3" x14ac:dyDescent="0.25">
      <c r="A15931" s="8" t="str">
        <f>"Proceedings of the 2013 IEEE 7th International Conference on Intelligent Data Acquisition and Advanced Computing Systems, IDAACS 2013"</f>
        <v>Proceedings of the 2013 IEEE 7th International Conference on Intelligent Data Acquisition and Advanced Computing Systems, IDAACS 2013</v>
      </c>
      <c r="B15931" s="8" t="str">
        <f>"9781479914265"</f>
        <v>9781479914265</v>
      </c>
      <c r="C15931" s="8" t="s">
        <v>9</v>
      </c>
    </row>
    <row r="15932" spans="1:3" x14ac:dyDescent="0.25">
      <c r="A15932" s="8" t="str">
        <f>"Proceedings of the 2013 IEEE 7th International Power Engineering and Optimization Conference, PEOCO 2013"</f>
        <v>Proceedings of the 2013 IEEE 7th International Power Engineering and Optimization Conference, PEOCO 2013</v>
      </c>
      <c r="B15932" s="8" t="str">
        <f>"9781467350730"</f>
        <v>9781467350730</v>
      </c>
      <c r="C15932" s="8" t="s">
        <v>9</v>
      </c>
    </row>
    <row r="15933" spans="1:3" x14ac:dyDescent="0.25">
      <c r="A15933" s="8" t="str">
        <f>"Proceedings of the 2013 IEEE 8th Conference on Industrial Electronics and Applications, ICIEA 2013"</f>
        <v>Proceedings of the 2013 IEEE 8th Conference on Industrial Electronics and Applications, ICIEA 2013</v>
      </c>
      <c r="B15933" s="8" t="str">
        <f>"9781467363211"</f>
        <v>9781467363211</v>
      </c>
      <c r="C15933" s="8" t="s">
        <v>9</v>
      </c>
    </row>
    <row r="15934" spans="1:3" x14ac:dyDescent="0.25">
      <c r="A15934" s="8" t="str">
        <f>"Proceedings of the 2013 IEEE 8th International Conference on Intelligent Sensors, Sensor Networks and Information Processing: Sensing the Future, ISSNIP 2013"</f>
        <v>Proceedings of the 2013 IEEE 8th International Conference on Intelligent Sensors, Sensor Networks and Information Processing: Sensing the Future, ISSNIP 2013</v>
      </c>
      <c r="B15934" s="8" t="str">
        <f>"9781467355001"</f>
        <v>9781467355001</v>
      </c>
      <c r="C15934" s="8" t="s">
        <v>9</v>
      </c>
    </row>
    <row r="15935" spans="1:3" x14ac:dyDescent="0.25">
      <c r="A15935" s="8" t="str">
        <f>"Proceedings of the 2013 IEEE Asian Solid-State Circuits Conference, A-SSCC 2013"</f>
        <v>Proceedings of the 2013 IEEE Asian Solid-State Circuits Conference, A-SSCC 2013</v>
      </c>
      <c r="B15935" s="8" t="str">
        <f>"9781479902781"</f>
        <v>9781479902781</v>
      </c>
      <c r="C15935" s="8" t="s">
        <v>9</v>
      </c>
    </row>
    <row r="15936" spans="1:3" x14ac:dyDescent="0.25">
      <c r="A15936" s="8" t="str">
        <f>"Proceedings of the 2013 IEEE Conference on Computational Intelligence for Financial Engineering and Economics, CIFEr 2013 - 2013 IEEE Symposium Series on Computational Intelligence, SSCI 2013"</f>
        <v>Proceedings of the 2013 IEEE Conference on Computational Intelligence for Financial Engineering and Economics, CIFEr 2013 - 2013 IEEE Symposium Series on Computational Intelligence, SSCI 2013</v>
      </c>
      <c r="B15936" s="8" t="str">
        <f>"9781467359214"</f>
        <v>9781467359214</v>
      </c>
      <c r="C15936" s="8" t="s">
        <v>9</v>
      </c>
    </row>
    <row r="15937" spans="1:3" x14ac:dyDescent="0.25">
      <c r="A15937" s="8" t="str">
        <f>"Proceedings of the 2013 IEEE Conference on Cybernetics and Intelligent Systems, CIS 2013"</f>
        <v>Proceedings of the 2013 IEEE Conference on Cybernetics and Intelligent Systems, CIS 2013</v>
      </c>
      <c r="B15937" s="8" t="str">
        <f>"9781479910731"</f>
        <v>9781479910731</v>
      </c>
      <c r="C15937" s="8" t="s">
        <v>9</v>
      </c>
    </row>
    <row r="15938" spans="1:3" x14ac:dyDescent="0.25">
      <c r="A15938" s="8" t="str">
        <f>"Proceedings of the 2013 IEEE Conference on Evolving and Adaptive Intelligent Systems, EAIS 2013 - 2013 IEEE Symposium Series on Computational Intelligence, SSCI 2013"</f>
        <v>Proceedings of the 2013 IEEE Conference on Evolving and Adaptive Intelligent Systems, EAIS 2013 - 2013 IEEE Symposium Series on Computational Intelligence, SSCI 2013</v>
      </c>
      <c r="B15938" s="8" t="str">
        <f>"9781467358552"</f>
        <v>9781467358552</v>
      </c>
      <c r="C15938" s="8" t="s">
        <v>9</v>
      </c>
    </row>
    <row r="15939" spans="1:3" x14ac:dyDescent="0.25">
      <c r="A15939" s="8" t="str">
        <f>"Proceedings of the 2013 IEEE International Conference in MOOC, Innovation and Technology in Education, MITE 2013"</f>
        <v>Proceedings of the 2013 IEEE International Conference in MOOC, Innovation and Technology in Education, MITE 2013</v>
      </c>
      <c r="B15939" s="8" t="str">
        <f>"9781479916252"</f>
        <v>9781479916252</v>
      </c>
      <c r="C15939" s="8" t="s">
        <v>9</v>
      </c>
    </row>
    <row r="15940" spans="1:3" x14ac:dyDescent="0.25">
      <c r="A15940" s="8" t="str">
        <f>"Proceedings of the 2013 IEEE International Conference on Evolvable Systems, ICES 2013 - 2013 IEEE Symposium Series on Computational Intelligence, SSCI 2013"</f>
        <v>Proceedings of the 2013 IEEE International Conference on Evolvable Systems, ICES 2013 - 2013 IEEE Symposium Series on Computational Intelligence, SSCI 2013</v>
      </c>
      <c r="B15940" s="8" t="str">
        <f>"9781467358699"</f>
        <v>9781467358699</v>
      </c>
      <c r="C15940" s="8" t="s">
        <v>9</v>
      </c>
    </row>
    <row r="15941" spans="1:3" x14ac:dyDescent="0.25">
      <c r="A15941" s="8" t="str">
        <f>"Proceedings of the 2013 IEEE International Electric Machines and Drives Conference, IEMDC 2013"</f>
        <v>Proceedings of the 2013 IEEE International Electric Machines and Drives Conference, IEMDC 2013</v>
      </c>
      <c r="B15941" s="8" t="str">
        <f>"9781467349758"</f>
        <v>9781467349758</v>
      </c>
      <c r="C15941" s="8" t="s">
        <v>9</v>
      </c>
    </row>
    <row r="15942" spans="1:3" x14ac:dyDescent="0.25">
      <c r="A15942" s="8" t="str">
        <f>"Proceedings of the 2013 IEEE International Interconnect Technology Conference, IITC 2013"</f>
        <v>Proceedings of the 2013 IEEE International Interconnect Technology Conference, IITC 2013</v>
      </c>
      <c r="B15942" s="8" t="str">
        <f>"9781479904396"</f>
        <v>9781479904396</v>
      </c>
      <c r="C15942" s="8" t="s">
        <v>9</v>
      </c>
    </row>
    <row r="15943" spans="1:3" x14ac:dyDescent="0.25">
      <c r="A15943" s="8" t="str">
        <f>"Proceedings of the 2013 IEEE International Symposium on Hardware-Oriented Security and Trust, HOST 2013"</f>
        <v>Proceedings of the 2013 IEEE International Symposium on Hardware-Oriented Security and Trust, HOST 2013</v>
      </c>
      <c r="B15943" s="8" t="str">
        <f>"9781479906000"</f>
        <v>9781479906000</v>
      </c>
      <c r="C15943" s="8" t="s">
        <v>9</v>
      </c>
    </row>
    <row r="15944" spans="1:3" x14ac:dyDescent="0.25">
      <c r="A15944" s="8" t="str">
        <f>"Proceedings of the 2013 IEEE International Workshop on Genetic and Evolutionary Fuzzy Systems, GEFS 2013 - 2013 IEEE Symposium Series on Computational Intelligence, SSCI 2013"</f>
        <v>Proceedings of the 2013 IEEE International Workshop on Genetic and Evolutionary Fuzzy Systems, GEFS 2013 - 2013 IEEE Symposium Series on Computational Intelligence, SSCI 2013</v>
      </c>
      <c r="B15944" s="8" t="str">
        <f>"9781467358996"</f>
        <v>9781467358996</v>
      </c>
      <c r="C15944" s="8" t="s">
        <v>9</v>
      </c>
    </row>
    <row r="15945" spans="1:3" x14ac:dyDescent="0.25">
      <c r="A15945" s="8" t="str">
        <f>"Proceedings of the 2013 IEEE International Workshop on Information Forensics and Security, WIFS 2013"</f>
        <v>Proceedings of the 2013 IEEE International Workshop on Information Forensics and Security, WIFS 2013</v>
      </c>
      <c r="B15945" s="8" t="str">
        <f>"9781467355933"</f>
        <v>9781467355933</v>
      </c>
      <c r="C15945" s="8" t="s">
        <v>9</v>
      </c>
    </row>
    <row r="15946" spans="1:3" x14ac:dyDescent="0.25">
      <c r="A15946" s="8" t="str">
        <f>"Proceedings of the 2013 IEEE Symposium on Advances in Type-2 Fuzzy Logic Systems, T2FUZZ 2013 - 2013 IEEE Symposium Series on Computational Intelligence, SSCI 2013"</f>
        <v>Proceedings of the 2013 IEEE Symposium on Advances in Type-2 Fuzzy Logic Systems, T2FUZZ 2013 - 2013 IEEE Symposium Series on Computational Intelligence, SSCI 2013</v>
      </c>
      <c r="B15946" s="8" t="str">
        <f>"9781467358651"</f>
        <v>9781467358651</v>
      </c>
      <c r="C15946" s="8" t="s">
        <v>9</v>
      </c>
    </row>
    <row r="15947" spans="1:3" x14ac:dyDescent="0.25">
      <c r="A15947" s="8" t="str">
        <f>"Proceedings of the 2013 IEEE Symposium on Computational Intelligence and Data Mining, CIDM 2013 - 2013 IEEE Symposium Series on Computational Intelligence, SSCI 2013"</f>
        <v>Proceedings of the 2013 IEEE Symposium on Computational Intelligence and Data Mining, CIDM 2013 - 2013 IEEE Symposium Series on Computational Intelligence, SSCI 2013</v>
      </c>
      <c r="B15947" s="8" t="str">
        <f>"9781467358958"</f>
        <v>9781467358958</v>
      </c>
      <c r="C15947" s="8" t="s">
        <v>9</v>
      </c>
    </row>
    <row r="15948" spans="1:3" x14ac:dyDescent="0.25">
      <c r="A15948" s="8" t="str">
        <f>"Proceedings of the 2013 IEEE Symposium on Computational Intelligence and Ensemble Learning, CIEL 2013 - 2013 IEEE Symposium Series on Computational Intelligence, SSCI 2013"</f>
        <v>Proceedings of the 2013 IEEE Symposium on Computational Intelligence and Ensemble Learning, CIEL 2013 - 2013 IEEE Symposium Series on Computational Intelligence, SSCI 2013</v>
      </c>
      <c r="B15948" s="8" t="str">
        <f>"9781467358538"</f>
        <v>9781467358538</v>
      </c>
      <c r="C15948" s="8" t="s">
        <v>9</v>
      </c>
    </row>
    <row r="15949" spans="1:3" x14ac:dyDescent="0.25">
      <c r="A15949" s="8" t="str">
        <f>"Proceedings of the 2013 IEEE Symposium on Computational Intelligence for Communication Systems and Networks, CIComms 2013 - 2013 IEEE Symposium Series on Computational Intelligence, SSCI 2013"</f>
        <v>Proceedings of the 2013 IEEE Symposium on Computational Intelligence for Communication Systems and Networks, CIComms 2013 - 2013 IEEE Symposium Series on Computational Intelligence, SSCI 2013</v>
      </c>
      <c r="B15949" s="8" t="str">
        <f>"9781467359030"</f>
        <v>9781467359030</v>
      </c>
      <c r="C15949" s="8" t="s">
        <v>9</v>
      </c>
    </row>
    <row r="15950" spans="1:3" x14ac:dyDescent="0.25">
      <c r="A15950" s="8" t="str">
        <f>"Proceedings of the 2013 IEEE Symposium on Computational Intelligence for Creativity and Affective Computing, CICAC 2013 - 2013 IEEE Symposium Series on Computational Intelligence, SSCI 2013"</f>
        <v>Proceedings of the 2013 IEEE Symposium on Computational Intelligence for Creativity and Affective Computing, CICAC 2013 - 2013 IEEE Symposium Series on Computational Intelligence, SSCI 2013</v>
      </c>
      <c r="B15950" s="8" t="str">
        <f>"9781467360104"</f>
        <v>9781467360104</v>
      </c>
      <c r="C15950" s="8" t="s">
        <v>9</v>
      </c>
    </row>
    <row r="15951" spans="1:3" x14ac:dyDescent="0.25">
      <c r="A15951" s="8" t="str">
        <f>"Proceedings of the 2013 IEEE Symposium on Computational Intelligence for Engineering Solutions, CIES 2013 - 2013 IEEE Symposium Series on Computational Intelligence, SSCI 2013"</f>
        <v>Proceedings of the 2013 IEEE Symposium on Computational Intelligence for Engineering Solutions, CIES 2013 - 2013 IEEE Symposium Series on Computational Intelligence, SSCI 2013</v>
      </c>
      <c r="B15951" s="8" t="str">
        <f>"9781467358514"</f>
        <v>9781467358514</v>
      </c>
      <c r="C15951" s="8" t="s">
        <v>9</v>
      </c>
    </row>
    <row r="15952" spans="1:3" x14ac:dyDescent="0.25">
      <c r="A15952" s="8" t="str">
        <f>"Proceedings of the 2013 IEEE Symposium on Computational Intelligence for Human-Like Intelligence, CIHLI 2013 - 2013 IEEE Symposium Series on Computational Intelligence, SSCI 2013"</f>
        <v>Proceedings of the 2013 IEEE Symposium on Computational Intelligence for Human-Like Intelligence, CIHLI 2013 - 2013 IEEE Symposium Series on Computational Intelligence, SSCI 2013</v>
      </c>
      <c r="B15952" s="8" t="str">
        <f>"9781467359238"</f>
        <v>9781467359238</v>
      </c>
      <c r="C15952" s="8" t="s">
        <v>9</v>
      </c>
    </row>
    <row r="15953" spans="1:3" x14ac:dyDescent="0.25">
      <c r="A15953" s="8" t="str">
        <f>"Proceedings of the 2013 IEEE Symposium on Computational Intelligence for Multimedia, Signal and Vision Processing, CIMSIVP 2013 - 2013 IEEE Symposium Series on Computational Intelligence, SSCI 2013"</f>
        <v>Proceedings of the 2013 IEEE Symposium on Computational Intelligence for Multimedia, Signal and Vision Processing, CIMSIVP 2013 - 2013 IEEE Symposium Series on Computational Intelligence, SSCI 2013</v>
      </c>
      <c r="B15953" s="8" t="str">
        <f>"9781467359177"</f>
        <v>9781467359177</v>
      </c>
      <c r="C15953" s="8" t="s">
        <v>9</v>
      </c>
    </row>
    <row r="15954" spans="1:3" x14ac:dyDescent="0.25">
      <c r="A15954" s="8" t="str">
        <f>"Proceedings of the 2013 IEEE Symposium on Computational Intelligence for Security and Defense Applications, CISDA 2013 - 2013 IEEE Symposium Series on Computational Intelligence, SSCI 2013"</f>
        <v>Proceedings of the 2013 IEEE Symposium on Computational Intelligence for Security and Defense Applications, CISDA 2013 - 2013 IEEE Symposium Series on Computational Intelligence, SSCI 2013</v>
      </c>
      <c r="B15954" s="8" t="str">
        <f>"9781467359115"</f>
        <v>9781467359115</v>
      </c>
      <c r="C15954" s="8" t="s">
        <v>9</v>
      </c>
    </row>
    <row r="15955" spans="1:3" x14ac:dyDescent="0.25">
      <c r="A15955" s="8" t="str">
        <f>"Proceedings of the 2013 IEEE Symposium on Computational Intelligence in Control and Automation, CICA 2013 - 2013 IEEE Symposium Series on Computational Intelligence, SSCI 2013"</f>
        <v>Proceedings of the 2013 IEEE Symposium on Computational Intelligence in Control and Automation, CICA 2013 - 2013 IEEE Symposium Series on Computational Intelligence, SSCI 2013</v>
      </c>
      <c r="B15955" s="8" t="str">
        <f>"9781467358934"</f>
        <v>9781467358934</v>
      </c>
      <c r="C15955" s="8" t="s">
        <v>9</v>
      </c>
    </row>
    <row r="15956" spans="1:3" x14ac:dyDescent="0.25">
      <c r="A15956" s="8" t="str">
        <f>"Proceedings of the 2013 IEEE Symposium on Computational Intelligence in Cyber Security, CICS 2013 - 2013 IEEE Symposium Series on Computational Intelligence, SSCI 2013"</f>
        <v>Proceedings of the 2013 IEEE Symposium on Computational Intelligence in Cyber Security, CICS 2013 - 2013 IEEE Symposium Series on Computational Intelligence, SSCI 2013</v>
      </c>
      <c r="B15956" s="8" t="str">
        <f>"9781467358675"</f>
        <v>9781467358675</v>
      </c>
      <c r="C15956" s="8" t="s">
        <v>9</v>
      </c>
    </row>
    <row r="15957" spans="1:3" x14ac:dyDescent="0.25">
      <c r="A15957" s="8" t="str">
        <f>"Proceedings of the 2013 IEEE Symposium on Computational Intelligence in Dynamic and Uncertain Environments, CIDUE 2013 - 2013 IEEE Symposium Series on Computational Intelligence, SSCI 2013"</f>
        <v>Proceedings of the 2013 IEEE Symposium on Computational Intelligence in Dynamic and Uncertain Environments, CIDUE 2013 - 2013 IEEE Symposium Series on Computational Intelligence, SSCI 2013</v>
      </c>
      <c r="B15957" s="8" t="str">
        <f>"9781467358491"</f>
        <v>9781467358491</v>
      </c>
      <c r="C15957" s="8" t="s">
        <v>9</v>
      </c>
    </row>
    <row r="15958" spans="1:3" x14ac:dyDescent="0.25">
      <c r="A15958" s="8" t="str">
        <f>"Proceedings of the 2013 IEEE Symposium on Computational Intelligence in Healthcare and e-Health, CICARE 2013 - 2013 IEEE Symposium Series on Computational Intelligence, SSCI 2013"</f>
        <v>Proceedings of the 2013 IEEE Symposium on Computational Intelligence in Healthcare and e-Health, CICARE 2013 - 2013 IEEE Symposium Series on Computational Intelligence, SSCI 2013</v>
      </c>
      <c r="B15958" s="8" t="str">
        <f>"9781467358835"</f>
        <v>9781467358835</v>
      </c>
      <c r="C15958" s="8" t="s">
        <v>9</v>
      </c>
    </row>
    <row r="15959" spans="1:3" x14ac:dyDescent="0.25">
      <c r="A15959" s="8" t="str">
        <f>"Proceedings of the 2013 IEEE Symposium on Computational Intelligence in Multi-Criteria Decision-Making, MCDM 2013 - 2013 IEEE Symposium Series on Computational Intelligence, SSCI 2013"</f>
        <v>Proceedings of the 2013 IEEE Symposium on Computational Intelligence in Multi-Criteria Decision-Making, MCDM 2013 - 2013 IEEE Symposium Series on Computational Intelligence, SSCI 2013</v>
      </c>
      <c r="B15959" s="8" t="str">
        <f>"9781467358897"</f>
        <v>9781467358897</v>
      </c>
      <c r="C15959" s="8" t="s">
        <v>9</v>
      </c>
    </row>
    <row r="15960" spans="1:3" x14ac:dyDescent="0.25">
      <c r="A15960" s="8" t="str">
        <f>"Proceedings of the 2013 IEEE Symposium on Computational Intelligence in Production and Logistics Systems, CIPLS 2013 - 2013 IEEE Symposium Series on Computational Intelligence, SSCI 2013"</f>
        <v>Proceedings of the 2013 IEEE Symposium on Computational Intelligence in Production and Logistics Systems, CIPLS 2013 - 2013 IEEE Symposium Series on Computational Intelligence, SSCI 2013</v>
      </c>
      <c r="B15960" s="8" t="str">
        <f>"9781467359054"</f>
        <v>9781467359054</v>
      </c>
      <c r="C15960" s="8" t="s">
        <v>9</v>
      </c>
    </row>
    <row r="15961" spans="1:3" x14ac:dyDescent="0.25">
      <c r="A15961" s="8" t="str">
        <f>"Proceedings of the 2013 IEEE Symposium on Computational Intelligence in Rehabilitation and Assistive Technologies, CIRAT 2013 - 2013 IEEE Symposium Series on Computational Intelligence, SSCI 2013"</f>
        <v>Proceedings of the 2013 IEEE Symposium on Computational Intelligence in Rehabilitation and Assistive Technologies, CIRAT 2013 - 2013 IEEE Symposium Series on Computational Intelligence, SSCI 2013</v>
      </c>
      <c r="B15961" s="8" t="str">
        <f>"9781467359078"</f>
        <v>9781467359078</v>
      </c>
      <c r="C15961" s="8" t="s">
        <v>9</v>
      </c>
    </row>
    <row r="15962" spans="1:3" x14ac:dyDescent="0.25">
      <c r="A15962" s="8" t="str">
        <f>"Proceedings of the 2013 IEEE Symposium on Computational Intelligence in Scheduling, CISched 2013 - 2013 IEEE Symposium Series on Computational Intelligence, SSCI 2013"</f>
        <v>Proceedings of the 2013 IEEE Symposium on Computational Intelligence in Scheduling, CISched 2013 - 2013 IEEE Symposium Series on Computational Intelligence, SSCI 2013</v>
      </c>
      <c r="B15962" s="8" t="str">
        <f>"9781467359092"</f>
        <v>9781467359092</v>
      </c>
      <c r="C15962" s="8" t="s">
        <v>9</v>
      </c>
    </row>
    <row r="15963" spans="1:3" x14ac:dyDescent="0.25">
      <c r="A15963" s="8" t="str">
        <f>"Proceedings of the 2013 IEEE Symposium on Computational Intelligence in Vehicles and Transportation Systems, CIVTS 2013 - 2013 IEEE Symposium Series on Computational Intelligence, SSCI 2013"</f>
        <v>Proceedings of the 2013 IEEE Symposium on Computational Intelligence in Vehicles and Transportation Systems, CIVTS 2013 - 2013 IEEE Symposium Series on Computational Intelligence, SSCI 2013</v>
      </c>
      <c r="B15963" s="8" t="str">
        <f>"9781467359139"</f>
        <v>9781467359139</v>
      </c>
      <c r="C15963" s="8" t="s">
        <v>9</v>
      </c>
    </row>
    <row r="15964" spans="1:3" x14ac:dyDescent="0.25">
      <c r="A15964" s="8" t="str">
        <f>"Proceedings of the 2013 IEEE Symposium on Computational Intelligence, Cognitive Algorithms, Mind, and Brain, CCMB 2013 - 2013 IEEE Symposium Series on Computational Intelligence, SSCI 2013"</f>
        <v>Proceedings of the 2013 IEEE Symposium on Computational Intelligence, Cognitive Algorithms, Mind, and Brain, CCMB 2013 - 2013 IEEE Symposium Series on Computational Intelligence, SSCI 2013</v>
      </c>
      <c r="B15964" s="8" t="str">
        <f>"9781467358712"</f>
        <v>9781467358712</v>
      </c>
      <c r="C15964" s="8" t="s">
        <v>9</v>
      </c>
    </row>
    <row r="15965" spans="1:3" x14ac:dyDescent="0.25">
      <c r="A15965" s="8" t="str">
        <f>"Proceedings of the 2013 IEEE Symposium on Differential Evolution, SDE 2013 - 2013 IEEE Symposium Series on Computational Intelligence, SSCI 2013"</f>
        <v>Proceedings of the 2013 IEEE Symposium on Differential Evolution, SDE 2013 - 2013 IEEE Symposium Series on Computational Intelligence, SSCI 2013</v>
      </c>
      <c r="B15965" s="8" t="str">
        <f>"9781467358736"</f>
        <v>9781467358736</v>
      </c>
      <c r="C15965" s="8" t="s">
        <v>9</v>
      </c>
    </row>
    <row r="15966" spans="1:3" x14ac:dyDescent="0.25">
      <c r="A15966" s="8" t="str">
        <f>"Proceedings of the 2013 IEEE Symposium on Foundations of Computational Intelligence, FOCI 2013 - 2013 IEEE Symposium Series on Computational Intelligence, SSCI 2013"</f>
        <v>Proceedings of the 2013 IEEE Symposium on Foundations of Computational Intelligence, FOCI 2013 - 2013 IEEE Symposium Series on Computational Intelligence, SSCI 2013</v>
      </c>
      <c r="B15966" s="8" t="str">
        <f>"9781467359016"</f>
        <v>9781467359016</v>
      </c>
      <c r="C15966" s="8" t="s">
        <v>9</v>
      </c>
    </row>
    <row r="15967" spans="1:3" x14ac:dyDescent="0.25">
      <c r="A15967" s="8" t="str">
        <f>"Proceedings of the 2013 IEEE Symposium on Intelligent Agents, IA 2013 - 2013 IEEE Symposium Series on Computational Intelligence, SSCI 2013"</f>
        <v>Proceedings of the 2013 IEEE Symposium on Intelligent Agents, IA 2013 - 2013 IEEE Symposium Series on Computational Intelligence, SSCI 2013</v>
      </c>
      <c r="B15967" s="8" t="str">
        <f>"9781467358811"</f>
        <v>9781467358811</v>
      </c>
      <c r="C15967" s="8" t="s">
        <v>9</v>
      </c>
    </row>
    <row r="15968" spans="1:3" x14ac:dyDescent="0.25">
      <c r="A15968" s="8" t="str">
        <f>"Proceedings of the 2013 IEEE Symposium on Swarm Intelligence, SIS 2013 - 2013 IEEE Symposium Series on Computational Intelligence, SSCI 2013"</f>
        <v>Proceedings of the 2013 IEEE Symposium on Swarm Intelligence, SIS 2013 - 2013 IEEE Symposium Series on Computational Intelligence, SSCI 2013</v>
      </c>
      <c r="B15968" s="8" t="str">
        <f>"9781467360043"</f>
        <v>9781467360043</v>
      </c>
      <c r="C15968" s="8" t="s">
        <v>9</v>
      </c>
    </row>
    <row r="15969" spans="1:3" x14ac:dyDescent="0.25">
      <c r="A15969" s="8" t="str">
        <f>"Proceedings of the 2013 IEEE Texas Symposium on Wireless and Microwave Circuits and Systems, WMCS 2013"</f>
        <v>Proceedings of the 2013 IEEE Texas Symposium on Wireless and Microwave Circuits and Systems, WMCS 2013</v>
      </c>
      <c r="B15969" s="8" t="str">
        <f>"9781479904556"</f>
        <v>9781479904556</v>
      </c>
      <c r="C15969" s="8" t="s">
        <v>9</v>
      </c>
    </row>
    <row r="15970" spans="1:3" x14ac:dyDescent="0.25">
      <c r="A15970" s="8" t="str">
        <f>"Proceedings of the 2013 IEEE Workshop on Hybrid Intelligent Models and Applications, HIMA 2013 - 2013 IEEE Symposium Series on Computational Intelligence, SSCI 2013"</f>
        <v>Proceedings of the 2013 IEEE Workshop on Hybrid Intelligent Models and Applications, HIMA 2013 - 2013 IEEE Symposium Series on Computational Intelligence, SSCI 2013</v>
      </c>
      <c r="B15970" s="8" t="str">
        <f>"9781467358972"</f>
        <v>9781467358972</v>
      </c>
      <c r="C15970" s="8" t="s">
        <v>9</v>
      </c>
    </row>
    <row r="15971" spans="1:3" x14ac:dyDescent="0.25">
      <c r="A15971" s="8" t="str">
        <f>"Proceedings of the 2013 IEEE Workshop on Memetic Computing, MC 2013 - 2013 IEEE Symposium Series on Computational Intelligence, SSCI 2013"</f>
        <v>Proceedings of the 2013 IEEE Workshop on Memetic Computing, MC 2013 - 2013 IEEE Symposium Series on Computational Intelligence, SSCI 2013</v>
      </c>
      <c r="B15971" s="8" t="str">
        <f>"9781467358910"</f>
        <v>9781467358910</v>
      </c>
      <c r="C15971" s="8" t="s">
        <v>9</v>
      </c>
    </row>
    <row r="15972" spans="1:3" x14ac:dyDescent="0.25">
      <c r="A15972" s="8" t="str">
        <f>"Proceedings of the 2013 IEEE Workshop on Robotic Intelligence in Informationally Structured Space, RiiSS 2013 - 2013 IEEE Symposium Series on Computational Intelligence, SSCI 2013"</f>
        <v>Proceedings of the 2013 IEEE Workshop on Robotic Intelligence in Informationally Structured Space, RiiSS 2013 - 2013 IEEE Symposium Series on Computational Intelligence, SSCI 2013</v>
      </c>
      <c r="B15972" s="8" t="str">
        <f>"9781467358774"</f>
        <v>9781467358774</v>
      </c>
      <c r="C15972" s="8" t="s">
        <v>9</v>
      </c>
    </row>
    <row r="15973" spans="1:3" x14ac:dyDescent="0.25">
      <c r="A15973" s="8" t="str">
        <f>"Proceedings of the 2013 IEEE/ACM International Conference on Advances in Social Networks Analysis and Mining, ASONAM 2013"</f>
        <v>Proceedings of the 2013 IEEE/ACM International Conference on Advances in Social Networks Analysis and Mining, ASONAM 2013</v>
      </c>
      <c r="B15973" s="8" t="str">
        <f>"9781450322409"</f>
        <v>9781450322409</v>
      </c>
      <c r="C15973" s="8" t="s">
        <v>21</v>
      </c>
    </row>
    <row r="15974" spans="1:3" x14ac:dyDescent="0.25">
      <c r="A15974" s="8" t="str">
        <f>"Proceedings of the 2013 IEEE/ACM International Symposium on Code Generation and Optimization, CGO 2013"</f>
        <v>Proceedings of the 2013 IEEE/ACM International Symposium on Code Generation and Optimization, CGO 2013</v>
      </c>
      <c r="B15974" s="8" t="str">
        <f>"9781467355254"</f>
        <v>9781467355254</v>
      </c>
      <c r="C15974" s="8" t="s">
        <v>9</v>
      </c>
    </row>
    <row r="15975" spans="1:3" x14ac:dyDescent="0.25">
      <c r="A15975" s="8" t="str">
        <f>"Proceedings of the 2013 IEEE/ACM International Symposium on Nanoscale Architectures, NANOARCH 2013"</f>
        <v>Proceedings of the 2013 IEEE/ACM International Symposium on Nanoscale Architectures, NANOARCH 2013</v>
      </c>
      <c r="B15975" s="8" t="str">
        <f>"9781479908738"</f>
        <v>9781479908738</v>
      </c>
      <c r="C15975" s="8" t="s">
        <v>21</v>
      </c>
    </row>
    <row r="15976" spans="1:3" x14ac:dyDescent="0.25">
      <c r="A15976" s="8" t="str">
        <f>"Proceedings of the 2013 IEEE-APS Topical Conference on Antennas and Propagation in Wireless Communications, IEEE APWC 2013"</f>
        <v>Proceedings of the 2013 IEEE-APS Topical Conference on Antennas and Propagation in Wireless Communications, IEEE APWC 2013</v>
      </c>
      <c r="B15976" s="8" t="str">
        <f>"9781467356893"</f>
        <v>9781467356893</v>
      </c>
      <c r="C15976" s="8" t="s">
        <v>9</v>
      </c>
    </row>
    <row r="15977" spans="1:3" x14ac:dyDescent="0.25">
      <c r="A15977" s="8" t="str">
        <f>"Proceedings of the 2013 IFIP/IEEE International Symposium on Integrated Network Management, IM 2013"</f>
        <v>Proceedings of the 2013 IFIP/IEEE International Symposium on Integrated Network Management, IM 2013</v>
      </c>
      <c r="B15977" s="8" t="str">
        <f>"9783901882517"</f>
        <v>9783901882517</v>
      </c>
      <c r="C15977" s="8" t="s">
        <v>9</v>
      </c>
    </row>
    <row r="15978" spans="1:3" x14ac:dyDescent="0.25">
      <c r="A15978" s="8" t="str">
        <f>"Proceedings of the 2013 Information Security Curriculum Development Conference, InfoSec CD 2013"</f>
        <v>Proceedings of the 2013 Information Security Curriculum Development Conference, InfoSec CD 2013</v>
      </c>
      <c r="B15978" s="8" t="str">
        <f>"9781450325479"</f>
        <v>9781450325479</v>
      </c>
      <c r="C15978" s="8" t="s">
        <v>21</v>
      </c>
    </row>
    <row r="15979" spans="1:3" x14ac:dyDescent="0.25">
      <c r="A15979" s="8" t="str">
        <f>"Proceedings of the 2013 International Conference on Advanced Electronic Systems, ICAES 2013"</f>
        <v>Proceedings of the 2013 International Conference on Advanced Electronic Systems, ICAES 2013</v>
      </c>
      <c r="B15979" s="8" t="str">
        <f>"9781479914418"</f>
        <v>9781479914418</v>
      </c>
      <c r="C15979" s="8" t="s">
        <v>9</v>
      </c>
    </row>
    <row r="15980" spans="1:3" x14ac:dyDescent="0.25">
      <c r="A15980" s="8" t="str">
        <f>"Proceedings of the 2013 International Conference on Advanced Information Engineering and Education Science, ICAIEES 2013"</f>
        <v>Proceedings of the 2013 International Conference on Advanced Information Engineering and Education Science, ICAIEES 2013</v>
      </c>
      <c r="B15980" s="8" t="str">
        <f>"9789078677949"</f>
        <v>9789078677949</v>
      </c>
      <c r="C15980" s="8" t="s">
        <v>1380</v>
      </c>
    </row>
    <row r="15981" spans="1:3" x14ac:dyDescent="0.25">
      <c r="A15981" s="8" t="str">
        <f>"Proceedings of the 2013 International Conference on Advances in Computing, Communications and Informatics, ICACCI 2013"</f>
        <v>Proceedings of the 2013 International Conference on Advances in Computing, Communications and Informatics, ICACCI 2013</v>
      </c>
      <c r="B15981" s="8" t="str">
        <f>"9781467362153"</f>
        <v>9781467362153</v>
      </c>
      <c r="C15981" s="8" t="s">
        <v>9</v>
      </c>
    </row>
    <row r="15982" spans="1:3" x14ac:dyDescent="0.25">
      <c r="A15982" s="8" t="str">
        <f>"Proceedings of the 2013 International Conference on Artificial Intelligence, ICAI 2013"</f>
        <v>Proceedings of the 2013 International Conference on Artificial Intelligence, ICAI 2013</v>
      </c>
      <c r="B15982" s="8" t="str">
        <f>"-"</f>
        <v>-</v>
      </c>
      <c r="C15982" s="8" t="s">
        <v>1432</v>
      </c>
    </row>
    <row r="15983" spans="1:3" x14ac:dyDescent="0.25">
      <c r="A15983" s="8" t="str">
        <f>"Proceedings of the 2013 International Conference on Collaboration Technologies and Systems, CTS 2013"</f>
        <v>Proceedings of the 2013 International Conference on Collaboration Technologies and Systems, CTS 2013</v>
      </c>
      <c r="B15983" s="8" t="str">
        <f>"9781467364027"</f>
        <v>9781467364027</v>
      </c>
      <c r="C15983" s="8" t="s">
        <v>9</v>
      </c>
    </row>
    <row r="15984" spans="1:3" x14ac:dyDescent="0.25">
      <c r="A15984" s="8" t="str">
        <f>"Proceedings of the 2013 International Conference on Current Trends in Information Technology, CTIT 2013"</f>
        <v>Proceedings of the 2013 International Conference on Current Trends in Information Technology, CTIT 2013</v>
      </c>
      <c r="B15984" s="8" t="str">
        <f>"9781479924257"</f>
        <v>9781479924257</v>
      </c>
      <c r="C15984" s="8" t="s">
        <v>9</v>
      </c>
    </row>
    <row r="15985" spans="1:3" x14ac:dyDescent="0.25">
      <c r="A15985" s="8" t="str">
        <f>"Proceedings of the 2013 International Conference on Electromagnetics in Advanced Applications, ICEAA 2013"</f>
        <v>Proceedings of the 2013 International Conference on Electromagnetics in Advanced Applications, ICEAA 2013</v>
      </c>
      <c r="B15985" s="8" t="str">
        <f>"9781467357074"</f>
        <v>9781467357074</v>
      </c>
      <c r="C15985" s="8" t="s">
        <v>9</v>
      </c>
    </row>
    <row r="15986" spans="1:3" x14ac:dyDescent="0.25">
      <c r="A15986" s="8" t="str">
        <f>"Proceedings of the 2013 International Conference on High Performance Computing and Simulation, HPCS 2013"</f>
        <v>Proceedings of the 2013 International Conference on High Performance Computing and Simulation, HPCS 2013</v>
      </c>
      <c r="B15986" s="8" t="str">
        <f>"9781479908363"</f>
        <v>9781479908363</v>
      </c>
      <c r="C15986" s="8" t="s">
        <v>9</v>
      </c>
    </row>
    <row r="15987" spans="1:3" x14ac:dyDescent="0.25">
      <c r="A15987" s="8" t="str">
        <f>"Proceedings of the 2013 International Conference on Information Systems and Computer Networks, ISCON 2013"</f>
        <v>Proceedings of the 2013 International Conference on Information Systems and Computer Networks, ISCON 2013</v>
      </c>
      <c r="B15987" s="8" t="str">
        <f>"9781467359863"</f>
        <v>9781467359863</v>
      </c>
      <c r="C15987" s="8" t="s">
        <v>9</v>
      </c>
    </row>
    <row r="15988" spans="1:3" x14ac:dyDescent="0.25">
      <c r="A15988" s="8" t="str">
        <f>"Proceedings of the 2013 International Conference on Intelligent Control and Information Processing, ICICIP 2013"</f>
        <v>Proceedings of the 2013 International Conference on Intelligent Control and Information Processing, ICICIP 2013</v>
      </c>
      <c r="B15988" s="8" t="str">
        <f>"9781467362481"</f>
        <v>9781467362481</v>
      </c>
      <c r="C15988" s="8" t="s">
        <v>9</v>
      </c>
    </row>
    <row r="15989" spans="1:3" x14ac:dyDescent="0.25">
      <c r="A15989" s="8" t="str">
        <f>"Proceedings of the 2013 International Conference on Pattern Recognition, Informatics and Mobile Engineering, PRIME 2013"</f>
        <v>Proceedings of the 2013 International Conference on Pattern Recognition, Informatics and Mobile Engineering, PRIME 2013</v>
      </c>
      <c r="B15989" s="8" t="str">
        <f>"9781467358453"</f>
        <v>9781467358453</v>
      </c>
      <c r="C15989" s="8" t="s">
        <v>9</v>
      </c>
    </row>
    <row r="15990" spans="1:3" x14ac:dyDescent="0.25">
      <c r="A15990" s="8" t="str">
        <f>"Proceedings of the 2013 International Conference on Process Control, PC 2013"</f>
        <v>Proceedings of the 2013 International Conference on Process Control, PC 2013</v>
      </c>
      <c r="B15990" s="8" t="str">
        <f>"9781479909278"</f>
        <v>9781479909278</v>
      </c>
      <c r="C15990" s="8" t="s">
        <v>9</v>
      </c>
    </row>
    <row r="15991" spans="1:3" x14ac:dyDescent="0.25">
      <c r="A15991" s="8" t="str">
        <f>"Proceedings of the 2013 International Symposium on Performance Evaluation of Computer and Telecommunication Systems, SPECTS 2013 - Part of SummerSim 2013 Multiconference"</f>
        <v>Proceedings of the 2013 International Symposium on Performance Evaluation of Computer and Telecommunication Systems, SPECTS 2013 - Part of SummerSim 2013 Multiconference</v>
      </c>
      <c r="B15991" s="8" t="str">
        <f>"9781565553514"</f>
        <v>9781565553514</v>
      </c>
      <c r="C15991" s="8" t="s">
        <v>9</v>
      </c>
    </row>
    <row r="15992" spans="1:3" x14ac:dyDescent="0.25">
      <c r="A15992" s="8" t="str">
        <f>"Proceedings of the 2013 International Symposium on Rapid System Prototyping: Shortening the Path from Specification to Prototype, RSP 2013"</f>
        <v>Proceedings of the 2013 International Symposium on Rapid System Prototyping: Shortening the Path from Specification to Prototype, RSP 2013</v>
      </c>
      <c r="B15992" s="8" t="str">
        <f>"9781479924103"</f>
        <v>9781479924103</v>
      </c>
      <c r="C15992" s="8" t="s">
        <v>9</v>
      </c>
    </row>
    <row r="15993" spans="1:3" x14ac:dyDescent="0.25">
      <c r="A15993" s="8" t="str">
        <f>"Proceedings of the 2013 International Workshop on Programming Models and Applications for Multicores and Manycores, PMAM 2013"</f>
        <v>Proceedings of the 2013 International Workshop on Programming Models and Applications for Multicores and Manycores, PMAM 2013</v>
      </c>
      <c r="B15993" s="8" t="str">
        <f>"9781450319089"</f>
        <v>9781450319089</v>
      </c>
      <c r="C15993" s="8" t="s">
        <v>21</v>
      </c>
    </row>
    <row r="15994" spans="1:3" x14ac:dyDescent="0.25">
      <c r="A15994" s="8" t="str">
        <f>"Proceedings of the 2013 Joint IFSA World Congress and NAFIPS Annual Meeting, IFSA/NAFIPS 2013"</f>
        <v>Proceedings of the 2013 Joint IFSA World Congress and NAFIPS Annual Meeting, IFSA/NAFIPS 2013</v>
      </c>
      <c r="B15994" s="8" t="str">
        <f>"9781479903474"</f>
        <v>9781479903474</v>
      </c>
      <c r="C15994" s="8" t="s">
        <v>9</v>
      </c>
    </row>
    <row r="15995" spans="1:3" x14ac:dyDescent="0.25">
      <c r="A15995" s="8" t="str">
        <f>"Proceedings of the 2013 Joint International Conference on Rural Information and Communication Technology and Electric-Vehicle Technology, rICT and ICEV-T 2013"</f>
        <v>Proceedings of the 2013 Joint International Conference on Rural Information and Communication Technology and Electric-Vehicle Technology, rICT and ICEV-T 2013</v>
      </c>
      <c r="B15995" s="8" t="str">
        <f>"9781479933655"</f>
        <v>9781479933655</v>
      </c>
      <c r="C15995" s="8" t="s">
        <v>9</v>
      </c>
    </row>
    <row r="15996" spans="1:3" x14ac:dyDescent="0.25">
      <c r="A15996" s="8" t="str">
        <f>"Proceedings of the 2013 KDD Cup 2013 Workshop"</f>
        <v>Proceedings of the 2013 KDD Cup 2013 Workshop</v>
      </c>
      <c r="B15996" s="8" t="str">
        <f>"9781450324953"</f>
        <v>9781450324953</v>
      </c>
      <c r="C15996" s="8" t="s">
        <v>21</v>
      </c>
    </row>
    <row r="15997" spans="1:3" x14ac:dyDescent="0.25">
      <c r="A15997" s="8" t="str">
        <f>"Proceedings of the 2013 Middleware Doctoral Symposium, MDS 2013 - Co-located with ACM/IFIP/USENIX International Middleware Conference, Middleware 2013"</f>
        <v>Proceedings of the 2013 Middleware Doctoral Symposium, MDS 2013 - Co-located with ACM/IFIP/USENIX International Middleware Conference, Middleware 2013</v>
      </c>
      <c r="B15997" s="8" t="str">
        <f>"9781450325486"</f>
        <v>9781450325486</v>
      </c>
      <c r="C15997" s="8" t="s">
        <v>21</v>
      </c>
    </row>
    <row r="15998" spans="1:3" x14ac:dyDescent="0.25">
      <c r="A15998" s="8" t="str">
        <f>"Proceedings of the 2013 NASA/ESA Conference on Adaptive Hardware and Systems, AHS 2013"</f>
        <v>Proceedings of the 2013 NASA/ESA Conference on Adaptive Hardware and Systems, AHS 2013</v>
      </c>
      <c r="B15998" s="8" t="str">
        <f>"9781467363839"</f>
        <v>9781467363839</v>
      </c>
      <c r="C15998" s="8" t="s">
        <v>9</v>
      </c>
    </row>
    <row r="15999" spans="1:3" x14ac:dyDescent="0.25">
      <c r="A15999" s="8" t="str">
        <f>"Proceedings of the 2013 Palestinian International Conference on Information and Communication Technology, PICICT 2013"</f>
        <v>Proceedings of the 2013 Palestinian International Conference on Information and Communication Technology, PICICT 2013</v>
      </c>
      <c r="B15999" s="8" t="str">
        <f>"9780769549842"</f>
        <v>9780769549842</v>
      </c>
      <c r="C15999" s="8" t="s">
        <v>9</v>
      </c>
    </row>
    <row r="16000" spans="1:3" x14ac:dyDescent="0.25">
      <c r="A16000" s="8" t="str">
        <f>"Proceedings of the 2013 Research in Adaptive and Convergent Systems, RACS 2013"</f>
        <v>Proceedings of the 2013 Research in Adaptive and Convergent Systems, RACS 2013</v>
      </c>
      <c r="B16000" s="8" t="str">
        <f>"9781450323482"</f>
        <v>9781450323482</v>
      </c>
      <c r="C16000" s="8" t="s">
        <v>21</v>
      </c>
    </row>
    <row r="16001" spans="1:3" x14ac:dyDescent="0.25">
      <c r="A16001" s="8" t="str">
        <f>"Proceedings of the 2013 Spanish Conference on Electron Devices, CDE 2013"</f>
        <v>Proceedings of the 2013 Spanish Conference on Electron Devices, CDE 2013</v>
      </c>
      <c r="B16001" s="8" t="str">
        <f>"9781467346689"</f>
        <v>9781467346689</v>
      </c>
      <c r="C16001" s="8" t="s">
        <v>9</v>
      </c>
    </row>
    <row r="16002" spans="1:3" x14ac:dyDescent="0.25">
      <c r="A16002" s="8" t="str">
        <f>"Proceedings of the 2013 Winter Simulation Conference - Simulation: Making Decisions in a Complex World, WSC 2013"</f>
        <v>Proceedings of the 2013 Winter Simulation Conference - Simulation: Making Decisions in a Complex World, WSC 2013</v>
      </c>
      <c r="B16002" s="8" t="str">
        <f>"9781479939503"</f>
        <v>9781479939503</v>
      </c>
      <c r="C16002" s="8" t="s">
        <v>9</v>
      </c>
    </row>
    <row r="16003" spans="1:3" x14ac:dyDescent="0.25">
      <c r="A16003" s="8" t="str">
        <f>"Proceedings of the 2014 10th International Conference on Heterogeneous Networking for Quality, Reliability, Security and Robustness, QSHINE 2014"</f>
        <v>Proceedings of the 2014 10th International Conference on Heterogeneous Networking for Quality, Reliability, Security and Robustness, QSHINE 2014</v>
      </c>
      <c r="B16003" s="8" t="str">
        <f>"9781631900259"</f>
        <v>9781631900259</v>
      </c>
      <c r="C16003" s="8" t="s">
        <v>105</v>
      </c>
    </row>
    <row r="16004" spans="1:3" x14ac:dyDescent="0.25">
      <c r="A16004" s="8" t="str">
        <f>"Proceedings of the 2014 1st International Conference on 5G for Ubiquitous Connectivity, 5GU 2014"</f>
        <v>Proceedings of the 2014 1st International Conference on 5G for Ubiquitous Connectivity, 5GU 2014</v>
      </c>
      <c r="B16004" s="8" t="str">
        <f>"9781631900556"</f>
        <v>9781631900556</v>
      </c>
      <c r="C16004" s="8" t="s">
        <v>105</v>
      </c>
    </row>
    <row r="16005" spans="1:3" x14ac:dyDescent="0.25">
      <c r="A16005" s="8" t="str">
        <f>"Proceedings of the 2014 29th Conference on Design of Circuits and Integrated Systems, DCIS 2014"</f>
        <v>Proceedings of the 2014 29th Conference on Design of Circuits and Integrated Systems, DCIS 2014</v>
      </c>
      <c r="B16005" s="8" t="str">
        <f>"9781479957439"</f>
        <v>9781479957439</v>
      </c>
      <c r="C16005" s="8" t="s">
        <v>105</v>
      </c>
    </row>
    <row r="16006" spans="1:3" x14ac:dyDescent="0.25">
      <c r="A16006" s="8" t="str">
        <f>"Proceedings of the 2014 37th International Spring Seminar on Electronics Technology, ISSE 2014"</f>
        <v>Proceedings of the 2014 37th International Spring Seminar on Electronics Technology, ISSE 2014</v>
      </c>
      <c r="B16006" s="8" t="str">
        <f>"9781479944552"</f>
        <v>9781479944552</v>
      </c>
      <c r="C16006" s="8" t="s">
        <v>105</v>
      </c>
    </row>
    <row r="16007" spans="1:3" x14ac:dyDescent="0.25">
      <c r="A16007" s="8" t="str">
        <f>"Proceedings of the 2014 3rd ICT International Senior Project Conference, ICT-ISPC 2014"</f>
        <v>Proceedings of the 2014 3rd ICT International Senior Project Conference, ICT-ISPC 2014</v>
      </c>
      <c r="B16007" s="8" t="str">
        <f>"9781479955725"</f>
        <v>9781479955725</v>
      </c>
      <c r="C16007" s="8" t="s">
        <v>105</v>
      </c>
    </row>
    <row r="16008" spans="1:3" x14ac:dyDescent="0.25">
      <c r="A16008" s="8" t="s">
        <v>2180</v>
      </c>
      <c r="B16008" s="8" t="str">
        <f>"9781631900143"</f>
        <v>9781631900143</v>
      </c>
      <c r="C16008" s="8" t="s">
        <v>105</v>
      </c>
    </row>
    <row r="16009" spans="1:3" x14ac:dyDescent="0.25">
      <c r="A16009" s="8" t="str">
        <f>"Proceedings of the 2014 6th International Advanced Research Workshop on In Silico Oncology and Cancer Investigation - The CHIC Project Workshop, IARWISOCI 2014"</f>
        <v>Proceedings of the 2014 6th International Advanced Research Workshop on In Silico Oncology and Cancer Investigation - The CHIC Project Workshop, IARWISOCI 2014</v>
      </c>
      <c r="B16009" s="8" t="str">
        <f>"9781479998852"</f>
        <v>9781479998852</v>
      </c>
      <c r="C16009" s="8" t="s">
        <v>105</v>
      </c>
    </row>
    <row r="16010" spans="1:3" x14ac:dyDescent="0.25">
      <c r="A16010" s="8" t="str">
        <f>"Proceedings of the 2014 6th International Conference on Electronics, Computers and Artificial Intelligence, ECAI 2014"</f>
        <v>Proceedings of the 2014 6th International Conference on Electronics, Computers and Artificial Intelligence, ECAI 2014</v>
      </c>
      <c r="B16010" s="8" t="str">
        <f>"9781479954780"</f>
        <v>9781479954780</v>
      </c>
      <c r="C16010" s="8" t="s">
        <v>105</v>
      </c>
    </row>
    <row r="16011" spans="1:3" x14ac:dyDescent="0.25">
      <c r="A16011" s="8" t="str">
        <f>"Proceedings of the 2014 6th International Conference on Mobile Computing, Applications and Services, MobiCASE 2014"</f>
        <v>Proceedings of the 2014 6th International Conference on Mobile Computing, Applications and Services, MobiCASE 2014</v>
      </c>
      <c r="B16011" s="8" t="str">
        <f>"9781631900242"</f>
        <v>9781631900242</v>
      </c>
      <c r="C16011" s="8" t="s">
        <v>105</v>
      </c>
    </row>
    <row r="16012" spans="1:3" x14ac:dyDescent="0.25">
      <c r="A16012" s="8" t="str">
        <f>"Proceedings of the 2014 7th IEEE Symposium on Computational Intelligence for Security and Defense Applications, CISDA 2014"</f>
        <v>Proceedings of the 2014 7th IEEE Symposium on Computational Intelligence for Security and Defense Applications, CISDA 2014</v>
      </c>
      <c r="B16012" s="8" t="str">
        <f>"9781479954315"</f>
        <v>9781479954315</v>
      </c>
      <c r="C16012" s="8" t="s">
        <v>105</v>
      </c>
    </row>
    <row r="16013" spans="1:3" x14ac:dyDescent="0.25">
      <c r="A16013" s="8" t="str">
        <f>"Proceedings of the 2014 9th IEEE Conference on Industrial Electronics and Applications, ICIEA 2014"</f>
        <v>Proceedings of the 2014 9th IEEE Conference on Industrial Electronics and Applications, ICIEA 2014</v>
      </c>
      <c r="B16013" s="8" t="str">
        <f>"9781479943166"</f>
        <v>9781479943166</v>
      </c>
      <c r="C16013" s="8" t="s">
        <v>105</v>
      </c>
    </row>
    <row r="16014" spans="1:3" x14ac:dyDescent="0.25">
      <c r="A16014" s="8" t="str">
        <f>"Proceedings of the 2014 9th International Conference on Communications and Networking in China, CHINACOM 2014"</f>
        <v>Proceedings of the 2014 9th International Conference on Communications and Networking in China, CHINACOM 2014</v>
      </c>
      <c r="B16014" s="8" t="str">
        <f>"9781479959709"</f>
        <v>9781479959709</v>
      </c>
      <c r="C16014" s="8" t="s">
        <v>105</v>
      </c>
    </row>
    <row r="16015" spans="1:3" x14ac:dyDescent="0.25">
      <c r="A16015" s="8" t="str">
        <f>"Proceedings of the 2014 Argentine School of Micro-Nanoelectronics, Technology and Applications, EAMTA 2014"</f>
        <v>Proceedings of the 2014 Argentine School of Micro-Nanoelectronics, Technology and Applications, EAMTA 2014</v>
      </c>
      <c r="B16015" s="8" t="str">
        <f>"9789871907861"</f>
        <v>9789871907861</v>
      </c>
      <c r="C16015" s="8" t="s">
        <v>105</v>
      </c>
    </row>
    <row r="16016" spans="1:3" x14ac:dyDescent="0.25">
      <c r="A16016" s="8" t="s">
        <v>2181</v>
      </c>
      <c r="B16016" s="8" t="str">
        <f>"9781479941599"</f>
        <v>9781479941599</v>
      </c>
      <c r="C16016" s="8" t="s">
        <v>105</v>
      </c>
    </row>
    <row r="16017" spans="1:3" x14ac:dyDescent="0.25">
      <c r="A16017" s="8" t="str">
        <f>"Proceedings of the 2014 Conference on IT in Business, Industry and Government: An International Conference by CSI on Big Data, CSIBIG 2014"</f>
        <v>Proceedings of the 2014 Conference on IT in Business, Industry and Government: An International Conference by CSI on Big Data, CSIBIG 2014</v>
      </c>
      <c r="B16017" s="8" t="str">
        <f>"9781479930630"</f>
        <v>9781479930630</v>
      </c>
      <c r="C16017" s="8" t="s">
        <v>105</v>
      </c>
    </row>
    <row r="16018" spans="1:3" x14ac:dyDescent="0.25">
      <c r="A16018" s="8" t="str">
        <f>"Proceedings of the 2014 IEEE 15th International Conference on Information Reuse and Integration, IEEE IRI 2014"</f>
        <v>Proceedings of the 2014 IEEE 15th International Conference on Information Reuse and Integration, IEEE IRI 2014</v>
      </c>
      <c r="B16018" s="8" t="str">
        <f>"9781479958801"</f>
        <v>9781479958801</v>
      </c>
      <c r="C16018" s="8" t="s">
        <v>105</v>
      </c>
    </row>
    <row r="16019" spans="1:3" x14ac:dyDescent="0.25">
      <c r="A16019" s="8" t="str">
        <f>"Proceedings of the 2014 IEEE 17th International Symposium on Design and Diagnostics of Electronic Circuits and Systems, DDECS 2014"</f>
        <v>Proceedings of the 2014 IEEE 17th International Symposium on Design and Diagnostics of Electronic Circuits and Systems, DDECS 2014</v>
      </c>
      <c r="B16019" s="8" t="str">
        <f>"9781479945580"</f>
        <v>9781479945580</v>
      </c>
      <c r="C16019" s="8" t="s">
        <v>105</v>
      </c>
    </row>
    <row r="16020" spans="1:3" x14ac:dyDescent="0.25">
      <c r="A16020" s="8" t="str">
        <f>"Proceedings of the 2014 IEEE 18th International Conference on Dielectric Liquids, ICDL 2014"</f>
        <v>Proceedings of the 2014 IEEE 18th International Conference on Dielectric Liquids, ICDL 2014</v>
      </c>
      <c r="B16020" s="8" t="str">
        <f>"9781479920631"</f>
        <v>9781479920631</v>
      </c>
      <c r="C16020" s="8" t="s">
        <v>105</v>
      </c>
    </row>
    <row r="16021" spans="1:3" x14ac:dyDescent="0.25">
      <c r="A16021" s="8" t="str">
        <f>"Proceedings of the 2014 IEEE 21st Symposium on Communications and Vehicular Technology in the BeNeLux, IEEE SCVT 2014"</f>
        <v>Proceedings of the 2014 IEEE 21st Symposium on Communications and Vehicular Technology in the BeNeLux, IEEE SCVT 2014</v>
      </c>
      <c r="B16021" s="8" t="str">
        <f>"9781479980307"</f>
        <v>9781479980307</v>
      </c>
      <c r="C16021" s="8" t="s">
        <v>105</v>
      </c>
    </row>
    <row r="16022" spans="1:3" x14ac:dyDescent="0.25">
      <c r="A16022" s="8" t="str">
        <f>"Proceedings of the 2014 IEEE 2nd International Conference on Electrical Energy Systems, ICEES 2014"</f>
        <v>Proceedings of the 2014 IEEE 2nd International Conference on Electrical Energy Systems, ICEES 2014</v>
      </c>
      <c r="B16022" s="8" t="str">
        <f>"9781479937387"</f>
        <v>9781479937387</v>
      </c>
      <c r="C16022" s="8" t="s">
        <v>105</v>
      </c>
    </row>
    <row r="16023" spans="1:3" x14ac:dyDescent="0.25">
      <c r="A16023" s="8" t="str">
        <f>"Proceedings of the 2014 IEEE 4th International Conference on System Engineering and Technology, ICSET 2014"</f>
        <v>Proceedings of the 2014 IEEE 4th International Conference on System Engineering and Technology, ICSET 2014</v>
      </c>
      <c r="B16023" s="8" t="str">
        <f>"9781479971893"</f>
        <v>9781479971893</v>
      </c>
      <c r="C16023" s="8" t="s">
        <v>105</v>
      </c>
    </row>
    <row r="16024" spans="1:3" x14ac:dyDescent="0.25">
      <c r="A16024" s="8" t="str">
        <f>"Proceedings of the 2014 IEEE 8th International Power Engineering and Optimization Conference, PEOCO 2014"</f>
        <v>Proceedings of the 2014 IEEE 8th International Power Engineering and Optimization Conference, PEOCO 2014</v>
      </c>
      <c r="B16024" s="8" t="str">
        <f>"9781479924219"</f>
        <v>9781479924219</v>
      </c>
      <c r="C16024" s="8" t="s">
        <v>9</v>
      </c>
    </row>
    <row r="16025" spans="1:3" x14ac:dyDescent="0.25">
      <c r="A16025" s="8" t="str">
        <f>"Proceedings of the 2014 IEEE Central America and Panama Convention, CONCAPAN 2014"</f>
        <v>Proceedings of the 2014 IEEE Central America and Panama Convention, CONCAPAN 2014</v>
      </c>
      <c r="B16025" s="8" t="str">
        <f>"9781479975846"</f>
        <v>9781479975846</v>
      </c>
      <c r="C16025" s="8" t="s">
        <v>105</v>
      </c>
    </row>
    <row r="16026" spans="1:3" x14ac:dyDescent="0.25">
      <c r="A16026" s="8" t="str">
        <f>"Proceedings of the 2014 IEEE Congress on Evolutionary Computation, CEC 2014"</f>
        <v>Proceedings of the 2014 IEEE Congress on Evolutionary Computation, CEC 2014</v>
      </c>
      <c r="B16026" s="8" t="str">
        <f>"9781479914883"</f>
        <v>9781479914883</v>
      </c>
      <c r="C16026" s="8" t="s">
        <v>105</v>
      </c>
    </row>
    <row r="16027" spans="1:3" x14ac:dyDescent="0.25">
      <c r="A16027" s="8" t="str">
        <f>"Proceedings of the 2014 IEEE International Conference on MOOCs, Innovation and Technology in Education, IEEE MITE 2014"</f>
        <v>Proceedings of the 2014 IEEE International Conference on MOOCs, Innovation and Technology in Education, IEEE MITE 2014</v>
      </c>
      <c r="B16027" s="8" t="str">
        <f>"9781479968763"</f>
        <v>9781479968763</v>
      </c>
      <c r="C16027" s="8" t="s">
        <v>105</v>
      </c>
    </row>
    <row r="16028" spans="1:3" x14ac:dyDescent="0.25">
      <c r="A16028" s="8" t="str">
        <f>"Proceedings of the 2014 International Conference on Advances in Computing, Communications and Informatics, ICACCI 2014"</f>
        <v>Proceedings of the 2014 International Conference on Advances in Computing, Communications and Informatics, ICACCI 2014</v>
      </c>
      <c r="B16028" s="8" t="str">
        <f>"9781479930791"</f>
        <v>9781479930791</v>
      </c>
      <c r="C16028" s="8" t="s">
        <v>105</v>
      </c>
    </row>
    <row r="16029" spans="1:3" x14ac:dyDescent="0.25">
      <c r="A16029" s="8" t="str">
        <f>"Proceedings of the 2014 International Conference on Advances in Energy Conversion Technologies - Intelligent Energy Management: Technologies and Challenges, ICAECT 2014"</f>
        <v>Proceedings of the 2014 International Conference on Advances in Energy Conversion Technologies - Intelligent Energy Management: Technologies and Challenges, ICAECT 2014</v>
      </c>
      <c r="B16029" s="8" t="str">
        <f>"9781479922048"</f>
        <v>9781479922048</v>
      </c>
      <c r="C16029" s="8" t="s">
        <v>9</v>
      </c>
    </row>
    <row r="16030" spans="1:3" x14ac:dyDescent="0.25">
      <c r="A16030" s="8" t="str">
        <f>"Proceedings of the 2014 International Conference on Field-Programmable Technology, FPT 2014"</f>
        <v>Proceedings of the 2014 International Conference on Field-Programmable Technology, FPT 2014</v>
      </c>
      <c r="B16030" s="8" t="str">
        <f>"9781479962457"</f>
        <v>9781479962457</v>
      </c>
      <c r="C16030" s="8" t="s">
        <v>105</v>
      </c>
    </row>
    <row r="16031" spans="1:3" x14ac:dyDescent="0.25">
      <c r="A16031" s="8" t="str">
        <f>"Proceedings of the 2014 International Conference on High Performance Computing and Simulation, HPCS 2014"</f>
        <v>Proceedings of the 2014 International Conference on High Performance Computing and Simulation, HPCS 2014</v>
      </c>
      <c r="B16031" s="8" t="str">
        <f>"9781479953127"</f>
        <v>9781479953127</v>
      </c>
      <c r="C16031" s="8" t="s">
        <v>105</v>
      </c>
    </row>
    <row r="16032" spans="1:3" x14ac:dyDescent="0.25">
      <c r="A16032" s="8" t="str">
        <f>"Proceedings of the 2014 International Conference on Information Systems and Computer Networks, ISCON 2014"</f>
        <v>Proceedings of the 2014 International Conference on Information Systems and Computer Networks, ISCON 2014</v>
      </c>
      <c r="B16032" s="8" t="str">
        <f>"9781479929818"</f>
        <v>9781479929818</v>
      </c>
      <c r="C16032" s="8" t="s">
        <v>105</v>
      </c>
    </row>
    <row r="16033" spans="1:3" x14ac:dyDescent="0.25">
      <c r="A16033" s="8" t="str">
        <f>"Proceedings of the 2014 International Conference on Innovative Design and Manufacturing, ICIDM 2014"</f>
        <v>Proceedings of the 2014 International Conference on Innovative Design and Manufacturing, ICIDM 2014</v>
      </c>
      <c r="B16033" s="8" t="str">
        <f>"9781479962709"</f>
        <v>9781479962709</v>
      </c>
      <c r="C16033" s="8" t="s">
        <v>105</v>
      </c>
    </row>
    <row r="16034" spans="1:3" x14ac:dyDescent="0.25">
      <c r="A16034" s="8" t="str">
        <f>"Proceedings of the 2014 International Conference on Issues and Challenges in Intelligent Computing Techniques, ICICT 2014"</f>
        <v>Proceedings of the 2014 International Conference on Issues and Challenges in Intelligent Computing Techniques, ICICT 2014</v>
      </c>
      <c r="B16034" s="8" t="str">
        <f>"9781479928996"</f>
        <v>9781479928996</v>
      </c>
      <c r="C16034" s="8" t="s">
        <v>9</v>
      </c>
    </row>
    <row r="16035" spans="1:3" x14ac:dyDescent="0.25">
      <c r="A16035" s="8" t="str">
        <f>"Proceedings of the 2014 International Conference on Nanoscience and Nanotechnology, ICONN 2014"</f>
        <v>Proceedings of the 2014 International Conference on Nanoscience and Nanotechnology, ICONN 2014</v>
      </c>
      <c r="B16035" s="8" t="str">
        <f>"9781479935215"</f>
        <v>9781479935215</v>
      </c>
      <c r="C16035" s="8" t="s">
        <v>105</v>
      </c>
    </row>
    <row r="16036" spans="1:3" x14ac:dyDescent="0.25">
      <c r="A16036" s="8" t="str">
        <f>"Proceedings of the 2014 International Conference on Virtual Systems and Multimedia, VSMM 2014"</f>
        <v>Proceedings of the 2014 International Conference on Virtual Systems and Multimedia, VSMM 2014</v>
      </c>
      <c r="B16036" s="8" t="str">
        <f>"9781479972272"</f>
        <v>9781479972272</v>
      </c>
      <c r="C16036" s="8" t="s">
        <v>105</v>
      </c>
    </row>
    <row r="16037" spans="1:3" x14ac:dyDescent="0.25">
      <c r="A16037" s="8" t="str">
        <f>"Proceedings of the 2014 International Workshop on Programming Models and Applications for Multicores and Manycores, PMAM 2014"</f>
        <v>Proceedings of the 2014 International Workshop on Programming Models and Applications for Multicores and Manycores, PMAM 2014</v>
      </c>
      <c r="B16037" s="8" t="str">
        <f>"9781450326551"</f>
        <v>9781450326551</v>
      </c>
      <c r="C16037" s="8" t="s">
        <v>21</v>
      </c>
    </row>
    <row r="16038" spans="1:3" x14ac:dyDescent="0.25">
      <c r="A16038" s="8" t="str">
        <f>"Proceedings of the 2014 Latin American Computing Conference, CLEI 2014"</f>
        <v>Proceedings of the 2014 Latin American Computing Conference, CLEI 2014</v>
      </c>
      <c r="B16038" s="8" t="str">
        <f>"9781479961306"</f>
        <v>9781479961306</v>
      </c>
      <c r="C16038" s="8" t="s">
        <v>105</v>
      </c>
    </row>
    <row r="16039" spans="1:3" x14ac:dyDescent="0.25">
      <c r="A16039" s="8" t="str">
        <f>"Proceedings of the 2014 Research in Adaptive and Convergent Systems, RACS 2014"</f>
        <v>Proceedings of the 2014 Research in Adaptive and Convergent Systems, RACS 2014</v>
      </c>
      <c r="B16039" s="8" t="str">
        <f>"9781450330602"</f>
        <v>9781450330602</v>
      </c>
      <c r="C16039" s="8" t="s">
        <v>1235</v>
      </c>
    </row>
    <row r="16040" spans="1:3" x14ac:dyDescent="0.25">
      <c r="A16040" s="8" t="str">
        <f>"Proceedings of the 2014 Symposium on Piezoelectricity, Acoustic Waves and Device Applications, SPAWDA 2014"</f>
        <v>Proceedings of the 2014 Symposium on Piezoelectricity, Acoustic Waves and Device Applications, SPAWDA 2014</v>
      </c>
      <c r="B16040" s="8" t="str">
        <f>"9781479964253"</f>
        <v>9781479964253</v>
      </c>
      <c r="C16040" s="8" t="s">
        <v>105</v>
      </c>
    </row>
    <row r="16041" spans="1:3" x14ac:dyDescent="0.25">
      <c r="A16041" s="8" t="str">
        <f>"Proceedings of the 2015 10th Spanish Conference on Electron Devices, CDE 2015"</f>
        <v>Proceedings of the 2015 10th Spanish Conference on Electron Devices, CDE 2015</v>
      </c>
      <c r="B16041" s="8" t="str">
        <f>"9781479981083"</f>
        <v>9781479981083</v>
      </c>
      <c r="C16041" s="8" t="s">
        <v>105</v>
      </c>
    </row>
    <row r="16042" spans="1:3" x14ac:dyDescent="0.25">
      <c r="A16042" s="8" t="str">
        <f>"Proceedings of the 2015 12th International Joint Conference on Computer Science and Software Engineering, JCSSE 2015"</f>
        <v>Proceedings of the 2015 12th International Joint Conference on Computer Science and Software Engineering, JCSSE 2015</v>
      </c>
      <c r="B16042" s="8" t="str">
        <f>"9781479919659"</f>
        <v>9781479919659</v>
      </c>
      <c r="C16042" s="8" t="s">
        <v>105</v>
      </c>
    </row>
    <row r="16043" spans="1:3" x14ac:dyDescent="0.25">
      <c r="A16043" s="8" t="str">
        <f>"Proceedings of the 2015 16th International Carpathian Control Conference, ICCC 2015"</f>
        <v>Proceedings of the 2015 16th International Carpathian Control Conference, ICCC 2015</v>
      </c>
      <c r="B16043" s="8" t="str">
        <f>"9781479973705"</f>
        <v>9781479973705</v>
      </c>
      <c r="C16043" s="8" t="s">
        <v>105</v>
      </c>
    </row>
    <row r="16044" spans="1:3" x14ac:dyDescent="0.25">
      <c r="A16044" s="8" t="str">
        <f>"Proceedings of the 2015 16th International Scientific Conference on Electric Power Engineering, EPE 2015"</f>
        <v>Proceedings of the 2015 16th International Scientific Conference on Electric Power Engineering, EPE 2015</v>
      </c>
      <c r="B16044" s="8" t="str">
        <f>"9781467367882"</f>
        <v>9781467367882</v>
      </c>
      <c r="C16044" s="8" t="s">
        <v>105</v>
      </c>
    </row>
    <row r="16045" spans="1:3" x14ac:dyDescent="0.25">
      <c r="A16045" s="8" t="str">
        <f>"Proceedings of the 2015 18th AISEM Annual Conference, AISEM 2015"</f>
        <v>Proceedings of the 2015 18th AISEM Annual Conference, AISEM 2015</v>
      </c>
      <c r="B16045" s="8" t="str">
        <f>"9781479985913"</f>
        <v>9781479985913</v>
      </c>
      <c r="C16045" s="8" t="s">
        <v>105</v>
      </c>
    </row>
    <row r="16046" spans="1:3" x14ac:dyDescent="0.25">
      <c r="A16046" s="8" t="str">
        <f>"Proceedings of the 2015 1st International Conference on Industrial Networks and Intelligent Systems, INISCom 2015"</f>
        <v>Proceedings of the 2015 1st International Conference on Industrial Networks and Intelligent Systems, INISCom 2015</v>
      </c>
      <c r="B16046" s="8" t="str">
        <f>"9781631900228"</f>
        <v>9781631900228</v>
      </c>
      <c r="C16046" s="8" t="s">
        <v>105</v>
      </c>
    </row>
    <row r="16047" spans="1:3" x14ac:dyDescent="0.25">
      <c r="A16047" s="8" t="str">
        <f>"Proceedings of the 2015 20th International Conference on Process Control, PC 2015"</f>
        <v>Proceedings of the 2015 20th International Conference on Process Control, PC 2015</v>
      </c>
      <c r="B16047" s="8" t="str">
        <f>"9781467366274"</f>
        <v>9781467366274</v>
      </c>
      <c r="C16047" s="8" t="s">
        <v>105</v>
      </c>
    </row>
    <row r="16048" spans="1:3" x14ac:dyDescent="0.25">
      <c r="A16048" s="8" t="str">
        <f>"Proceedings of the 2015 27th Chinese Control and Decision Conference, CCDC 2015"</f>
        <v>Proceedings of the 2015 27th Chinese Control and Decision Conference, CCDC 2015</v>
      </c>
      <c r="B16048" s="8" t="str">
        <f>"9781479970179"</f>
        <v>9781479970179</v>
      </c>
      <c r="C16048" s="8" t="s">
        <v>105</v>
      </c>
    </row>
    <row r="16049" spans="1:3" x14ac:dyDescent="0.25">
      <c r="A16049" s="8" t="str">
        <f>"Proceedings of the 2015 3rd International Conference on Computer, Communication, Control and Information Technology, C3IT 2015"</f>
        <v>Proceedings of the 2015 3rd International Conference on Computer, Communication, Control and Information Technology, C3IT 2015</v>
      </c>
      <c r="B16049" s="8" t="str">
        <f>"9781479944460"</f>
        <v>9781479944460</v>
      </c>
      <c r="C16049" s="8" t="s">
        <v>105</v>
      </c>
    </row>
    <row r="16050" spans="1:3" x14ac:dyDescent="0.25">
      <c r="A16050" s="8" t="str">
        <f>"Proceedings of the 2015 IEEE 9th International Conference on Semantic Computing, IEEE ICSC 2015"</f>
        <v>Proceedings of the 2015 IEEE 9th International Conference on Semantic Computing, IEEE ICSC 2015</v>
      </c>
      <c r="B16050" s="8" t="str">
        <f>"9781479979356"</f>
        <v>9781479979356</v>
      </c>
      <c r="C16050" s="8" t="s">
        <v>105</v>
      </c>
    </row>
    <row r="16051" spans="1:3" x14ac:dyDescent="0.25">
      <c r="A16051" s="8" t="str">
        <f>"Proceedings of the 2015 IEEE International Symposium on Hardware-Oriented Security and Trust, HOST 2015"</f>
        <v>Proceedings of the 2015 IEEE International Symposium on Hardware-Oriented Security and Trust, HOST 2015</v>
      </c>
      <c r="B16051" s="8" t="str">
        <f>"9781467374200"</f>
        <v>9781467374200</v>
      </c>
      <c r="C16051" s="8" t="s">
        <v>105</v>
      </c>
    </row>
    <row r="16052" spans="1:3" x14ac:dyDescent="0.25">
      <c r="A16052" s="8" t="str">
        <f>"Proceedings of the 2015 IEEE North West Russia Section Young Researchers in Electrical and Electronic Engineering Conference, ElConRusNW 2015"</f>
        <v>Proceedings of the 2015 IEEE North West Russia Section Young Researchers in Electrical and Electronic Engineering Conference, ElConRusNW 2015</v>
      </c>
      <c r="B16052" s="8" t="str">
        <f>"9781479973057"</f>
        <v>9781479973057</v>
      </c>
      <c r="C16052" s="8" t="s">
        <v>105</v>
      </c>
    </row>
    <row r="16053" spans="1:3" x14ac:dyDescent="0.25">
      <c r="A16053" s="8" t="str">
        <f>"Proceedings of the 2015 IEEE/ACM International Symposium on Code Generation and Optimization, CGO 2015"</f>
        <v>Proceedings of the 2015 IEEE/ACM International Symposium on Code Generation and Optimization, CGO 2015</v>
      </c>
      <c r="B16053" s="8" t="str">
        <f>"9781479981618"</f>
        <v>9781479981618</v>
      </c>
      <c r="C16053" s="8" t="s">
        <v>105</v>
      </c>
    </row>
    <row r="16054" spans="1:3" x14ac:dyDescent="0.25">
      <c r="A16054" s="8" t="str">
        <f>"Proceedings of the 2015 IEEE/ACM International Symposium on Nanoscale Architectures, NANOARCH 2015"</f>
        <v>Proceedings of the 2015 IEEE/ACM International Symposium on Nanoscale Architectures, NANOARCH 2015</v>
      </c>
      <c r="B16054" s="8" t="str">
        <f>"9781467378482"</f>
        <v>9781467378482</v>
      </c>
      <c r="C16054" s="8" t="s">
        <v>105</v>
      </c>
    </row>
    <row r="16055" spans="1:3" x14ac:dyDescent="0.25">
      <c r="A16055" s="8" t="str">
        <f>"Proceedings of the 2015 IFIP/IEEE International Symposium on Integrated Network Management, IM 2015"</f>
        <v>Proceedings of the 2015 IFIP/IEEE International Symposium on Integrated Network Management, IM 2015</v>
      </c>
      <c r="B16055" s="8" t="str">
        <f>"9783901882760"</f>
        <v>9783901882760</v>
      </c>
      <c r="C16055" s="8" t="s">
        <v>105</v>
      </c>
    </row>
    <row r="16056" spans="1:3" x14ac:dyDescent="0.25">
      <c r="A16056" s="8" t="str">
        <f>"Proceedings of the 2015 International Conference on High Performance Computing and Simulation, HPCS 2015"</f>
        <v>Proceedings of the 2015 International Conference on High Performance Computing and Simulation, HPCS 2015</v>
      </c>
      <c r="B16056" s="8" t="str">
        <f>"9781467378123"</f>
        <v>9781467378123</v>
      </c>
      <c r="C16056" s="8" t="s">
        <v>105</v>
      </c>
    </row>
    <row r="16057" spans="1:3" x14ac:dyDescent="0.25">
      <c r="A16057" s="8" t="str">
        <f>"Proceedings of the 2015-7th International Conference on Knowledge and Smart Technology, KST 2015"</f>
        <v>Proceedings of the 2015-7th International Conference on Knowledge and Smart Technology, KST 2015</v>
      </c>
      <c r="B16057" s="8" t="str">
        <f>"9781479960491"</f>
        <v>9781479960491</v>
      </c>
      <c r="C16057" s="8" t="s">
        <v>105</v>
      </c>
    </row>
    <row r="16058" spans="1:3" x14ac:dyDescent="0.25">
      <c r="A16058" s="8" t="str">
        <f>"Proceedings of the 20th ACM Conference on Hypertext and Hypermedia, HT'09"</f>
        <v>Proceedings of the 20th ACM Conference on Hypertext and Hypermedia, HT'09</v>
      </c>
      <c r="B16058" s="8" t="str">
        <f>"9781605584867"</f>
        <v>9781605584867</v>
      </c>
      <c r="C16058" s="8" t="s">
        <v>21</v>
      </c>
    </row>
    <row r="16059" spans="1:3" x14ac:dyDescent="0.25">
      <c r="A16059" s="8" t="str">
        <f>"Proceedings of the 20th ACM Symposium on Operating Systems Principles, SOSP 2005"</f>
        <v>Proceedings of the 20th ACM Symposium on Operating Systems Principles, SOSP 2005</v>
      </c>
      <c r="B16059" s="8" t="str">
        <f>"9781595930798"</f>
        <v>9781595930798</v>
      </c>
      <c r="C16059" s="8" t="s">
        <v>21</v>
      </c>
    </row>
    <row r="16060" spans="1:3" x14ac:dyDescent="0.25">
      <c r="A16060" s="8" t="str">
        <f>"Proceedings of the 20th Annual ASPE Meeting, ASPE 2005"</f>
        <v>Proceedings of the 20th Annual ASPE Meeting, ASPE 2005</v>
      </c>
      <c r="B16060" s="8" t="str">
        <f>"9781887706391"</f>
        <v>9781887706391</v>
      </c>
      <c r="C16060" s="8" t="s">
        <v>2081</v>
      </c>
    </row>
    <row r="16061" spans="1:3" x14ac:dyDescent="0.25">
      <c r="A16061" s="8" t="str">
        <f>"Proceedings of the 20th Annual Canadian Conference on Computational Geometry, CCCG 2008"</f>
        <v>Proceedings of the 20th Annual Canadian Conference on Computational Geometry, CCCG 2008</v>
      </c>
      <c r="B16061" s="8" t="str">
        <f>"-"</f>
        <v>-</v>
      </c>
      <c r="C16061" s="8" t="s">
        <v>1438</v>
      </c>
    </row>
    <row r="16062" spans="1:3" x14ac:dyDescent="0.25">
      <c r="A16062" s="8" t="str">
        <f>"Proceedings of the 20th Annual Conference on Computer Graphics and Interactive Techniques, SIGGRAPH 1993"</f>
        <v>Proceedings of the 20th Annual Conference on Computer Graphics and Interactive Techniques, SIGGRAPH 1993</v>
      </c>
      <c r="B16062" s="8" t="str">
        <f>"9780897916011"</f>
        <v>9780897916011</v>
      </c>
      <c r="C16062" s="8" t="s">
        <v>1235</v>
      </c>
    </row>
    <row r="16063" spans="1:3" x14ac:dyDescent="0.25">
      <c r="A16063" s="8" t="str">
        <f>"Proceedings of the 20th Asia-Pacific Conference on Communication, APCC 2014"</f>
        <v>Proceedings of the 20th Asia-Pacific Conference on Communication, APCC 2014</v>
      </c>
      <c r="B16063" s="8" t="str">
        <f>"9781479964352"</f>
        <v>9781479964352</v>
      </c>
      <c r="C16063" s="8" t="s">
        <v>105</v>
      </c>
    </row>
    <row r="16064" spans="1:3" x14ac:dyDescent="0.25">
      <c r="A16064" s="8" t="str">
        <f>"Proceedings of the 20th Australasian Conference on Computer-Human Interaction: Designing for Habitus and Habitat, OZCHI'08"</f>
        <v>Proceedings of the 20th Australasian Conference on Computer-Human Interaction: Designing for Habitus and Habitat, OZCHI'08</v>
      </c>
      <c r="B16064" s="8" t="str">
        <f>"9780980306347"</f>
        <v>9780980306347</v>
      </c>
      <c r="C16064" s="8" t="s">
        <v>21</v>
      </c>
    </row>
    <row r="16065" spans="1:3" x14ac:dyDescent="0.25">
      <c r="A16065" s="8" t="str">
        <f>"Proceedings of the 20th Conference on Computational Linguistics and Speech Processing, ROCLING 2008"</f>
        <v>Proceedings of the 20th Conference on Computational Linguistics and Speech Processing, ROCLING 2008</v>
      </c>
      <c r="B16065" s="8" t="str">
        <f>"-"</f>
        <v>-</v>
      </c>
      <c r="C16065" s="8" t="s">
        <v>2162</v>
      </c>
    </row>
    <row r="16066" spans="1:3" x14ac:dyDescent="0.25">
      <c r="A16066" s="8" t="str">
        <f>"Proceedings of the 20th Conference on the Domestic Use of Energy, DUE 2012"</f>
        <v>Proceedings of the 20th Conference on the Domestic Use of Energy, DUE 2012</v>
      </c>
      <c r="B16066" s="8" t="str">
        <f>"9780981431178"</f>
        <v>9780981431178</v>
      </c>
      <c r="C16066" s="8" t="s">
        <v>9</v>
      </c>
    </row>
    <row r="16067" spans="1:3" x14ac:dyDescent="0.25">
      <c r="A16067" s="8" t="str">
        <f>"Proceedings of the 20th European Frequency and Time Forum, EFTF 2006"</f>
        <v>Proceedings of the 20th European Frequency and Time Forum, EFTF 2006</v>
      </c>
      <c r="B16067" s="8" t="str">
        <f>"9781467326421"</f>
        <v>9781467326421</v>
      </c>
      <c r="C16067" s="8" t="s">
        <v>9</v>
      </c>
    </row>
    <row r="16068" spans="1:3" x14ac:dyDescent="0.25">
      <c r="A16068" s="8" t="str">
        <f>"Proceedings of the 20th GI-Workshop on Foundations of Databases"</f>
        <v>Proceedings of the 20th GI-Workshop on Foundations of Databases</v>
      </c>
      <c r="B16068" s="8" t="str">
        <f>"-"</f>
        <v>-</v>
      </c>
      <c r="C16068" s="8" t="s">
        <v>2037</v>
      </c>
    </row>
    <row r="16069" spans="1:3" x14ac:dyDescent="0.25">
      <c r="A16069" s="8" t="str">
        <f>"Proceedings of the 20th IEEE International Symposium on Intelligent Control, ISIC '05 and the 13th Mediterranean Conference on Control and Automation, MED '05"</f>
        <v>Proceedings of the 20th IEEE International Symposium on Intelligent Control, ISIC '05 and the 13th Mediterranean Conference on Control and Automation, MED '05</v>
      </c>
      <c r="B16069" s="8" t="str">
        <f>"-"</f>
        <v>-</v>
      </c>
      <c r="C16069" s="8" t="s">
        <v>9</v>
      </c>
    </row>
    <row r="16070" spans="1:3" x14ac:dyDescent="0.25">
      <c r="A16070" s="8" t="str">
        <f>"Proceedings of the 20th International Conference Companion on World Wide Web, WWW 2011"</f>
        <v>Proceedings of the 20th International Conference Companion on World Wide Web, WWW 2011</v>
      </c>
      <c r="B16070" s="8" t="str">
        <f>"9781450305181"</f>
        <v>9781450305181</v>
      </c>
      <c r="C16070" s="8" t="s">
        <v>21</v>
      </c>
    </row>
    <row r="16071" spans="1:3" x14ac:dyDescent="0.25">
      <c r="A16071" s="8" t="str">
        <f>"Proceedings of the 20th International Conference on Computers in Education, ICCE 2012"</f>
        <v>Proceedings of the 20th International Conference on Computers in Education, ICCE 2012</v>
      </c>
      <c r="B16071" s="8" t="str">
        <f>"9789810746490"</f>
        <v>9789810746490</v>
      </c>
      <c r="C16071" s="8" t="s">
        <v>1789</v>
      </c>
    </row>
    <row r="16072" spans="1:3" x14ac:dyDescent="0.25">
      <c r="A16072" s="8" t="str">
        <f>"Proceedings of the 20th International Conference on Fluidized Bed Combustion"</f>
        <v>Proceedings of the 20th International Conference on Fluidized Bed Combustion</v>
      </c>
      <c r="B16072" s="8" t="str">
        <f>"-"</f>
        <v>-</v>
      </c>
      <c r="C16072" s="8" t="s">
        <v>182</v>
      </c>
    </row>
    <row r="16073" spans="1:3" x14ac:dyDescent="0.25">
      <c r="A16073" s="8" t="str">
        <f>"Proceedings of the 20th International Conference on Laser Spectroscopy, ICOLS 2011"</f>
        <v>Proceedings of the 20th International Conference on Laser Spectroscopy, ICOLS 2011</v>
      </c>
      <c r="B16073" s="8" t="str">
        <f>"9783832529932"</f>
        <v>9783832529932</v>
      </c>
      <c r="C16073" s="8" t="s">
        <v>2182</v>
      </c>
    </row>
    <row r="16074" spans="1:3" x14ac:dyDescent="0.25">
      <c r="A16074" s="8" t="str">
        <f>"Proceedings of the 20th International Conference on Mixed Design of Integrated Circuits and Systems, MIXDES 2013"</f>
        <v>Proceedings of the 20th International Conference on Mixed Design of Integrated Circuits and Systems, MIXDES 2013</v>
      </c>
      <c r="B16074" s="8" t="str">
        <f>"9788363578015"</f>
        <v>9788363578015</v>
      </c>
      <c r="C16074" s="8" t="s">
        <v>9</v>
      </c>
    </row>
    <row r="16075" spans="1:3" x14ac:dyDescent="0.25">
      <c r="A16075" s="8" t="str">
        <f>"Proceedings of the 20th International Conference on World Wide Web, WWW 2011"</f>
        <v>Proceedings of the 20th International Conference on World Wide Web, WWW 2011</v>
      </c>
      <c r="B16075" s="8" t="str">
        <f>"9781450306324"</f>
        <v>9781450306324</v>
      </c>
      <c r="C16075" s="8" t="s">
        <v>21</v>
      </c>
    </row>
    <row r="16076" spans="1:3" x14ac:dyDescent="0.25">
      <c r="A16076" s="8" t="str">
        <f>"Proceedings of the 20th International Meshing Roundtable, IMR 2011"</f>
        <v>Proceedings of the 20th International Meshing Roundtable, IMR 2011</v>
      </c>
      <c r="B16076" s="8" t="str">
        <f>"9783642247330"</f>
        <v>9783642247330</v>
      </c>
      <c r="C16076" s="8" t="s">
        <v>162</v>
      </c>
    </row>
    <row r="16077" spans="1:3" x14ac:dyDescent="0.25">
      <c r="A16077" s="8" t="str">
        <f>"Proceedings of the 20th International Workshop on Active-Matrix Flatpanel Displays and Devices: TFT Technologies and FPD Materials, AM-FPD 2013"</f>
        <v>Proceedings of the 20th International Workshop on Active-Matrix Flatpanel Displays and Devices: TFT Technologies and FPD Materials, AM-FPD 2013</v>
      </c>
      <c r="B16077" s="8" t="str">
        <f>"9784863483118"</f>
        <v>9784863483118</v>
      </c>
      <c r="C16077" s="8" t="s">
        <v>9</v>
      </c>
    </row>
    <row r="16078" spans="1:3" x14ac:dyDescent="0.25">
      <c r="A16078" s="8" t="str">
        <f>"Proceedings of the 20th International Zurich Symposium on Electromagnetic Compatibility, EMC Zurich 2009"</f>
        <v>Proceedings of the 20th International Zurich Symposium on Electromagnetic Compatibility, EMC Zurich 2009</v>
      </c>
      <c r="B16078" s="8" t="str">
        <f>"9783952328668"</f>
        <v>9783952328668</v>
      </c>
      <c r="C16078" s="8" t="s">
        <v>9</v>
      </c>
    </row>
    <row r="16079" spans="1:3" x14ac:dyDescent="0.25">
      <c r="A16079" s="8" t="str">
        <f>"Proceedings of the 20th Italian Symposium on Advanced Database Systems, SEBD 2012"</f>
        <v>Proceedings of the 20th Italian Symposium on Advanced Database Systems, SEBD 2012</v>
      </c>
      <c r="B16079" s="8" t="str">
        <f>"9788896477236"</f>
        <v>9788896477236</v>
      </c>
      <c r="C16079" s="8" t="s">
        <v>1640</v>
      </c>
    </row>
    <row r="16080" spans="1:3" x14ac:dyDescent="0.25">
      <c r="A16080" s="8" t="str">
        <f>"Proceedings of the 20th Lake Louise Winter Institute: Fundamental Interactions, LLWI 2005"</f>
        <v>Proceedings of the 20th Lake Louise Winter Institute: Fundamental Interactions, LLWI 2005</v>
      </c>
      <c r="B16080" s="8" t="str">
        <f>"9789812566317"</f>
        <v>9789812566317</v>
      </c>
      <c r="C16080" s="8" t="s">
        <v>157</v>
      </c>
    </row>
    <row r="16081" spans="1:3" x14ac:dyDescent="0.25">
      <c r="A16081" s="8" t="str">
        <f>"Proceedings of the 20th MAICS 2009 - Midwest Artificial Intelligence and Cognitive Science Conference"</f>
        <v>Proceedings of the 20th MAICS 2009 - Midwest Artificial Intelligence and Cognitive Science Conference</v>
      </c>
      <c r="B16081" s="8" t="str">
        <f>"-"</f>
        <v>-</v>
      </c>
      <c r="C16081" s="8" t="s">
        <v>2183</v>
      </c>
    </row>
    <row r="16082" spans="1:3" x14ac:dyDescent="0.25">
      <c r="A16082" s="8" t="str">
        <f>"Proceedings of the 20th Workshop on General Relativity and Gravitation in Japan, JGRG 2010"</f>
        <v>Proceedings of the 20th Workshop on General Relativity and Gravitation in Japan, JGRG 2010</v>
      </c>
      <c r="B16082" s="8" t="str">
        <f>"-"</f>
        <v>-</v>
      </c>
      <c r="C16082" s="8" t="s">
        <v>133</v>
      </c>
    </row>
    <row r="16083" spans="1:3" x14ac:dyDescent="0.25">
      <c r="A16083" s="8" t="str">
        <f>"Proceedings of the 20th Workshop on Logic Programming, WLP 2006"</f>
        <v>Proceedings of the 20th Workshop on Logic Programming, WLP 2006</v>
      </c>
      <c r="B16083" s="8" t="str">
        <f>"-"</f>
        <v>-</v>
      </c>
      <c r="C16083" s="8" t="s">
        <v>2184</v>
      </c>
    </row>
    <row r="16084" spans="1:3" x14ac:dyDescent="0.25">
      <c r="A16084" s="8" t="str">
        <f>"Proceedings of the 21st Annual ASPE Meeting, ASPE 2006"</f>
        <v>Proceedings of the 21st Annual ASPE Meeting, ASPE 2006</v>
      </c>
      <c r="B16084" s="8" t="str">
        <f>"9781887706414"</f>
        <v>9781887706414</v>
      </c>
      <c r="C16084" s="8" t="s">
        <v>2081</v>
      </c>
    </row>
    <row r="16085" spans="1:3" x14ac:dyDescent="0.25">
      <c r="A16085" s="8" t="str">
        <f>"Proceedings of the 21st Annual Canadian Conference on Computational Geometry, CCCG 2009"</f>
        <v>Proceedings of the 21st Annual Canadian Conference on Computational Geometry, CCCG 2009</v>
      </c>
      <c r="B16085" s="8" t="str">
        <f>"-"</f>
        <v>-</v>
      </c>
      <c r="C16085" s="8" t="s">
        <v>1438</v>
      </c>
    </row>
    <row r="16086" spans="1:3" x14ac:dyDescent="0.25">
      <c r="A16086" s="8" t="str">
        <f>"Proceedings of the 21st Annual Conference of the Australian Computer-Human Interaction Special Interest Group - Design: Open 24/7, OZCHI '09"</f>
        <v>Proceedings of the 21st Annual Conference of the Australian Computer-Human Interaction Special Interest Group - Design: Open 24/7, OZCHI '09</v>
      </c>
      <c r="B16086" s="8" t="str">
        <f>"9781605588544"</f>
        <v>9781605588544</v>
      </c>
      <c r="C16086" s="8" t="s">
        <v>21</v>
      </c>
    </row>
    <row r="16087" spans="1:3" x14ac:dyDescent="0.25">
      <c r="A16087" s="8" t="str">
        <f>"Proceedings of the 21st Conference on Computational Linguistics and Speech Processing, ROCLING 2009"</f>
        <v>Proceedings of the 21st Conference on Computational Linguistics and Speech Processing, ROCLING 2009</v>
      </c>
      <c r="B16087" s="8" t="str">
        <f>"-"</f>
        <v>-</v>
      </c>
      <c r="C16087" s="8" t="s">
        <v>2162</v>
      </c>
    </row>
    <row r="16088" spans="1:3" x14ac:dyDescent="0.25">
      <c r="A16088" s="8" t="str">
        <f>"Proceedings of the 21st Conference on the Domestic Use of Energy, DUE 2013"</f>
        <v>Proceedings of the 21st Conference on the Domestic Use of Energy, DUE 2013</v>
      </c>
      <c r="B16088" s="8" t="str">
        <f>"9780981431178"</f>
        <v>9780981431178</v>
      </c>
      <c r="C16088" s="8" t="s">
        <v>9</v>
      </c>
    </row>
    <row r="16089" spans="1:3" x14ac:dyDescent="0.25">
      <c r="A16089" s="8" t="str">
        <f>"Proceedings of the 21st Conference on Uncertainty in Artificial Intelligence, UAI 2005"</f>
        <v>Proceedings of the 21st Conference on Uncertainty in Artificial Intelligence, UAI 2005</v>
      </c>
      <c r="B16089" s="8" t="str">
        <f>"9780974903910"</f>
        <v>9780974903910</v>
      </c>
      <c r="C16089" s="8" t="s">
        <v>2185</v>
      </c>
    </row>
    <row r="16090" spans="1:3" x14ac:dyDescent="0.25">
      <c r="A16090" s="8" t="str">
        <f>"Proceedings of the 21st GI-Workshop on Foundations of Databases"</f>
        <v>Proceedings of the 21st GI-Workshop on Foundations of Databases</v>
      </c>
      <c r="B16090" s="8" t="str">
        <f>"-"</f>
        <v>-</v>
      </c>
      <c r="C16090" s="8" t="s">
        <v>2186</v>
      </c>
    </row>
    <row r="16091" spans="1:3" x14ac:dyDescent="0.25">
      <c r="A16091" s="8" t="str">
        <f>"Proceedings of the 21st Innovative Applications of Artificial Intelligence Conference, IAAI-09"</f>
        <v>Proceedings of the 21st Innovative Applications of Artificial Intelligence Conference, IAAI-09</v>
      </c>
      <c r="B16091" s="8" t="str">
        <f>"9781577354239"</f>
        <v>9781577354239</v>
      </c>
      <c r="C16091" s="8" t="s">
        <v>11</v>
      </c>
    </row>
    <row r="16092" spans="1:3" x14ac:dyDescent="0.25">
      <c r="A16092" s="8" t="str">
        <f>"Proceedings of the 21st International Conference on Computers in Education, ICCE 2013"</f>
        <v>Proceedings of the 21st International Conference on Computers in Education, ICCE 2013</v>
      </c>
      <c r="B16092" s="8" t="str">
        <f>"9786028040723"</f>
        <v>9786028040723</v>
      </c>
      <c r="C16092" s="8" t="s">
        <v>1787</v>
      </c>
    </row>
    <row r="16093" spans="1:3" x14ac:dyDescent="0.25">
      <c r="A16093" s="8" t="str">
        <f>"Proceedings of the 21st International Conference on Software Engineering and Data Engineering, SEDE 2012"</f>
        <v>Proceedings of the 21st International Conference on Software Engineering and Data Engineering, SEDE 2012</v>
      </c>
      <c r="B16093" s="8" t="str">
        <f>"9781880843864"</f>
        <v>9781880843864</v>
      </c>
      <c r="C16093" s="8" t="s">
        <v>1433</v>
      </c>
    </row>
    <row r="16094" spans="1:3" x14ac:dyDescent="0.25">
      <c r="A16094" s="8" t="str">
        <f>"Proceedings of the 21st International Conference on Software Engineering and Knowledge Engineering, SEKE 2009"</f>
        <v>Proceedings of the 21st International Conference on Software Engineering and Knowledge Engineering, SEKE 2009</v>
      </c>
      <c r="B16094" s="8" t="str">
        <f>"9781891706240"</f>
        <v>9781891706240</v>
      </c>
      <c r="C16094" s="8" t="s">
        <v>986</v>
      </c>
    </row>
    <row r="16095" spans="1:3" x14ac:dyDescent="0.25">
      <c r="A16095" s="8" t="str">
        <f>"Proceedings of the 21st International Meshing Roundtable, IMR 2012"</f>
        <v>Proceedings of the 21st International Meshing Roundtable, IMR 2012</v>
      </c>
      <c r="B16095" s="8" t="str">
        <f>"9783642335723"</f>
        <v>9783642335723</v>
      </c>
      <c r="C16095" s="8" t="s">
        <v>162</v>
      </c>
    </row>
    <row r="16096" spans="1:3" x14ac:dyDescent="0.25">
      <c r="A16096" s="8" t="str">
        <f>"Proceedings of the 21st International Mining Congress and Exhibition of Turkey, IMCET 2009"</f>
        <v>Proceedings of the 21st International Mining Congress and Exhibition of Turkey, IMCET 2009</v>
      </c>
      <c r="B16096" s="8" t="str">
        <f>"9789944897150"</f>
        <v>9789944897150</v>
      </c>
      <c r="C16096" s="8" t="s">
        <v>2187</v>
      </c>
    </row>
    <row r="16097" spans="1:3" x14ac:dyDescent="0.25">
      <c r="A16097" s="8" t="str">
        <f>"Proceedings of the 21st International Workshop on Network and Operating Systems Support for Digital Audio and Video, NOSSDAV 2011"</f>
        <v>Proceedings of the 21st International Workshop on Network and Operating Systems Support for Digital Audio and Video, NOSSDAV 2011</v>
      </c>
      <c r="B16097" s="8" t="str">
        <f>"9781450307529"</f>
        <v>9781450307529</v>
      </c>
      <c r="C16097" s="8" t="s">
        <v>21</v>
      </c>
    </row>
    <row r="16098" spans="1:3" x14ac:dyDescent="0.25">
      <c r="A16098" s="8" t="str">
        <f>"Proceedings of the 21st Lake Louise Winter Institute: Fundamental Interactions, LLWI 2006"</f>
        <v>Proceedings of the 21st Lake Louise Winter Institute: Fundamental Interactions, LLWI 2006</v>
      </c>
      <c r="B16098" s="8" t="str">
        <f>"9789812703675"</f>
        <v>9789812703675</v>
      </c>
      <c r="C16098" s="8" t="s">
        <v>157</v>
      </c>
    </row>
    <row r="16099" spans="1:3" x14ac:dyDescent="0.25">
      <c r="A16099" s="8" t="str">
        <f>"Proceedings of the 21st Midwest Artificial Intelligence and Cognitive Science Conference, MAICS 2010"</f>
        <v>Proceedings of the 21st Midwest Artificial Intelligence and Cognitive Science Conference, MAICS 2010</v>
      </c>
      <c r="B16099" s="8" t="str">
        <f>"-"</f>
        <v>-</v>
      </c>
      <c r="C16099" s="8" t="s">
        <v>2188</v>
      </c>
    </row>
    <row r="16100" spans="1:3" x14ac:dyDescent="0.25">
      <c r="A16100" s="8" t="str">
        <f>"Proceedings of the 21st Workshop on General Relativity and Gravitation in Japan, JGRG 2011"</f>
        <v>Proceedings of the 21st Workshop on General Relativity and Gravitation in Japan, JGRG 2011</v>
      </c>
      <c r="B16100" s="8" t="str">
        <f>"-"</f>
        <v>-</v>
      </c>
      <c r="C16100" s="8" t="s">
        <v>133</v>
      </c>
    </row>
    <row r="16101" spans="1:3" x14ac:dyDescent="0.25">
      <c r="A16101" s="8" t="str">
        <f>"Proceedings of the 21st Workshop on Radiation Detectors and Their Uses"</f>
        <v>Proceedings of the 21st Workshop on Radiation Detectors and Their Uses</v>
      </c>
      <c r="B16101" s="8" t="str">
        <f>"-"</f>
        <v>-</v>
      </c>
      <c r="C16101" s="8" t="s">
        <v>2189</v>
      </c>
    </row>
    <row r="16102" spans="1:3" x14ac:dyDescent="0.25">
      <c r="A16102" s="8" t="str">
        <f>"Proceedings of the 21st Workshop Planen, Scheduling und Konfigurieren, Entwerfen, PuK 2007 - Workshop at Kunstliche Intelligenz 2007 Annual Conference"</f>
        <v>Proceedings of the 21st Workshop Planen, Scheduling und Konfigurieren, Entwerfen, PuK 2007 - Workshop at Kunstliche Intelligenz 2007 Annual Conference</v>
      </c>
      <c r="B16102" s="8" t="str">
        <f>"-"</f>
        <v>-</v>
      </c>
      <c r="C16102" s="8" t="s">
        <v>42</v>
      </c>
    </row>
    <row r="16103" spans="1:3" x14ac:dyDescent="0.25">
      <c r="A16103" s="8" t="str">
        <f>"Proceedings of the 21th International Florida Artificial Intelligence Research Society Conference, FLAIRS-21"</f>
        <v>Proceedings of the 21th International Florida Artificial Intelligence Research Society Conference, FLAIRS-21</v>
      </c>
      <c r="B16103" s="8" t="str">
        <f>"9781577353652"</f>
        <v>9781577353652</v>
      </c>
      <c r="C16103" s="8" t="s">
        <v>11</v>
      </c>
    </row>
    <row r="16104" spans="1:3" x14ac:dyDescent="0.25">
      <c r="A16104" s="8" t="str">
        <f>"Proceedings of the 22nd Annual ASPE Meeting, ASPE 2007"</f>
        <v>Proceedings of the 22nd Annual ASPE Meeting, ASPE 2007</v>
      </c>
      <c r="B16104" s="8" t="str">
        <f>"9781887706452"</f>
        <v>9781887706452</v>
      </c>
      <c r="C16104" s="8" t="s">
        <v>2081</v>
      </c>
    </row>
    <row r="16105" spans="1:3" x14ac:dyDescent="0.25">
      <c r="A16105" s="8" t="str">
        <f>"Proceedings of the 22nd Annual Canadian Conference on Computational Geometry, CCCG 2010"</f>
        <v>Proceedings of the 22nd Annual Canadian Conference on Computational Geometry, CCCG 2010</v>
      </c>
      <c r="B16105" s="8" t="str">
        <f>"-"</f>
        <v>-</v>
      </c>
      <c r="C16105" s="8" t="s">
        <v>1438</v>
      </c>
    </row>
    <row r="16106" spans="1:3" x14ac:dyDescent="0.25">
      <c r="A16106" s="8" t="str">
        <f>"Proceedings of the 22nd Annual International Conference on Design of Communication - The Engineering of Quality Documentation"</f>
        <v>Proceedings of the 22nd Annual International Conference on Design of Communication - The Engineering of Quality Documentation</v>
      </c>
      <c r="B16106" s="8" t="str">
        <f>"9781581138092"</f>
        <v>9781581138092</v>
      </c>
      <c r="C16106" s="8" t="s">
        <v>21</v>
      </c>
    </row>
    <row r="16107" spans="1:3" x14ac:dyDescent="0.25">
      <c r="A16107" s="8" t="str">
        <f>"Proceedings of the 22nd British HCI Group Annual Conference on People and Computers: Culture, Creativity, Interaction, BCS HCI 2008"</f>
        <v>Proceedings of the 22nd British HCI Group Annual Conference on People and Computers: Culture, Creativity, Interaction, BCS HCI 2008</v>
      </c>
      <c r="B16107" s="8" t="str">
        <f>"-"</f>
        <v>-</v>
      </c>
      <c r="C16107" s="8" t="s">
        <v>1862</v>
      </c>
    </row>
    <row r="16108" spans="1:3" x14ac:dyDescent="0.25">
      <c r="A16108" s="8" t="str">
        <f>"Proceedings of the 22nd Conference on Computational Linguistics and Speech Processing, ROCLING 2010"</f>
        <v>Proceedings of the 22nd Conference on Computational Linguistics and Speech Processing, ROCLING 2010</v>
      </c>
      <c r="B16108" s="8" t="str">
        <f>"-"</f>
        <v>-</v>
      </c>
      <c r="C16108" s="8" t="s">
        <v>2162</v>
      </c>
    </row>
    <row r="16109" spans="1:3" x14ac:dyDescent="0.25">
      <c r="A16109" s="8" t="str">
        <f>"Proceedings of the 22nd Conference on Uncertainty in Artificial Intelligence, UAI 2006"</f>
        <v>Proceedings of the 22nd Conference on Uncertainty in Artificial Intelligence, UAI 2006</v>
      </c>
      <c r="B16109" s="8" t="str">
        <f>"9780974903927"</f>
        <v>9780974903927</v>
      </c>
      <c r="C16109" s="8" t="s">
        <v>2185</v>
      </c>
    </row>
    <row r="16110" spans="1:3" x14ac:dyDescent="0.25">
      <c r="A16110" s="8" t="str">
        <f>"Proceedings of the 22nd International Conference on Computers in Education, ICCE 2014"</f>
        <v>Proceedings of the 22nd International Conference on Computers in Education, ICCE 2014</v>
      </c>
      <c r="B16110" s="8" t="str">
        <f>"9784990801410"</f>
        <v>9784990801410</v>
      </c>
      <c r="C16110" s="8" t="s">
        <v>1278</v>
      </c>
    </row>
    <row r="16111" spans="1:3" x14ac:dyDescent="0.25">
      <c r="A16111" s="8" t="str">
        <f>"Proceedings of the 22nd International Florida Artificial Intelligence Research Society Conference, FLAIRS-22"</f>
        <v>Proceedings of the 22nd International Florida Artificial Intelligence Research Society Conference, FLAIRS-22</v>
      </c>
      <c r="B16111" s="8" t="str">
        <f>"9781577354192"</f>
        <v>9781577354192</v>
      </c>
      <c r="C16111" s="8" t="s">
        <v>1257</v>
      </c>
    </row>
    <row r="16112" spans="1:3" x14ac:dyDescent="0.25">
      <c r="A16112" s="8" t="str">
        <f>"Proceedings of the 22nd Lake Louise Winter Institute: Fundamental Interactions, LLWI 2007"</f>
        <v>Proceedings of the 22nd Lake Louise Winter Institute: Fundamental Interactions, LLWI 2007</v>
      </c>
      <c r="B16112" s="8" t="str">
        <f>"9789812776099"</f>
        <v>9789812776099</v>
      </c>
      <c r="C16112" s="8" t="s">
        <v>157</v>
      </c>
    </row>
    <row r="16113" spans="1:3" x14ac:dyDescent="0.25">
      <c r="A16113" s="8" t="str">
        <f>"Proceedings of the 22nd Midwest Artificial Intelligence and Cognitive Science Conference, MAICS 2011"</f>
        <v>Proceedings of the 22nd Midwest Artificial Intelligence and Cognitive Science Conference, MAICS 2011</v>
      </c>
      <c r="B16113" s="8" t="str">
        <f>"-"</f>
        <v>-</v>
      </c>
      <c r="C16113" s="8" t="s">
        <v>1985</v>
      </c>
    </row>
    <row r="16114" spans="1:3" x14ac:dyDescent="0.25">
      <c r="A16114" s="8" t="str">
        <f>"Proceedings of the 22nd Pacific Asia Conference on Language, Information and Computation, PACLIC 22"</f>
        <v>Proceedings of the 22nd Pacific Asia Conference on Language, Information and Computation, PACLIC 22</v>
      </c>
      <c r="B16114" s="8" t="str">
        <f>"-"</f>
        <v>-</v>
      </c>
      <c r="C16114" s="8" t="s">
        <v>2017</v>
      </c>
    </row>
    <row r="16115" spans="1:3" x14ac:dyDescent="0.25">
      <c r="A16115" s="8" t="str">
        <f>"Proceedings of the 22nd Pacific Asia Conference on Language, Information and Computation, PACLIC 22"</f>
        <v>Proceedings of the 22nd Pacific Asia Conference on Language, Information and Computation, PACLIC 22</v>
      </c>
      <c r="B16115" s="8" t="str">
        <f>"-"</f>
        <v>-</v>
      </c>
      <c r="C16115" s="8" t="s">
        <v>1239</v>
      </c>
    </row>
    <row r="16116" spans="1:3" x14ac:dyDescent="0.25">
      <c r="A16116" s="8" t="str">
        <f>"Proceedings of the 22nd Pipeline Pigging and Integrity Management Conference"</f>
        <v>Proceedings of the 22nd Pipeline Pigging and Integrity Management Conference</v>
      </c>
      <c r="B16116" s="8" t="str">
        <f>"-"</f>
        <v>-</v>
      </c>
      <c r="C16116" s="8" t="s">
        <v>1266</v>
      </c>
    </row>
    <row r="16117" spans="1:3" x14ac:dyDescent="0.25">
      <c r="A16117" s="8" t="str">
        <f>"Proceedings of the 22nd Symposium on Integrated Circuits and Systems Design, SBCCI 2009"</f>
        <v>Proceedings of the 22nd Symposium on Integrated Circuits and Systems Design, SBCCI 2009</v>
      </c>
      <c r="B16117" s="8" t="str">
        <f>"9781605587059"</f>
        <v>9781605587059</v>
      </c>
      <c r="C16117" s="8" t="s">
        <v>21</v>
      </c>
    </row>
    <row r="16118" spans="1:3" x14ac:dyDescent="0.25">
      <c r="A16118" s="8" t="str">
        <f>"Proceedings of the 22nd Workshop on Radiation Detectors and Their Uses"</f>
        <v>Proceedings of the 22nd Workshop on Radiation Detectors and Their Uses</v>
      </c>
      <c r="B16118" s="8" t="str">
        <f>"-"</f>
        <v>-</v>
      </c>
      <c r="C16118" s="8" t="s">
        <v>2189</v>
      </c>
    </row>
    <row r="16119" spans="1:3" x14ac:dyDescent="0.25">
      <c r="A16119" s="8" t="str">
        <f>"Proceedings of the 23rd Annual Canadian Conference on Computational Geometry, CCCG 2011"</f>
        <v>Proceedings of the 23rd Annual Canadian Conference on Computational Geometry, CCCG 2011</v>
      </c>
      <c r="B16119" s="8" t="str">
        <f>"-"</f>
        <v>-</v>
      </c>
      <c r="C16119" s="8" t="s">
        <v>1438</v>
      </c>
    </row>
    <row r="16120" spans="1:3" x14ac:dyDescent="0.25">
      <c r="A16120" s="8" t="str">
        <f>"Proceedings of the 23rd Annual Meeting of the American Society for Precision Engineering, ASPE 2008 and the 12th ICPE"</f>
        <v>Proceedings of the 23rd Annual Meeting of the American Society for Precision Engineering, ASPE 2008 and the 12th ICPE</v>
      </c>
      <c r="B16120" s="8" t="str">
        <f>"9781887706483"</f>
        <v>9781887706483</v>
      </c>
      <c r="C16120" s="8" t="s">
        <v>2081</v>
      </c>
    </row>
    <row r="16121" spans="1:3" x14ac:dyDescent="0.25">
      <c r="A16121" s="8" t="str">
        <f>"Proceedings of the 23rd Australian Computer-Human Interaction Conference, OzCHI 2011"</f>
        <v>Proceedings of the 23rd Australian Computer-Human Interaction Conference, OzCHI 2011</v>
      </c>
      <c r="B16121" s="8" t="str">
        <f>"9781450310901"</f>
        <v>9781450310901</v>
      </c>
      <c r="C16121" s="8" t="s">
        <v>21</v>
      </c>
    </row>
    <row r="16122" spans="1:3" x14ac:dyDescent="0.25">
      <c r="A16122" s="8" t="str">
        <f>"Proceedings of the 23rd Conference on Computational Linguistics and Speech Processing, ROCLING 2011"</f>
        <v>Proceedings of the 23rd Conference on Computational Linguistics and Speech Processing, ROCLING 2011</v>
      </c>
      <c r="B16122" s="8" t="str">
        <f>"-"</f>
        <v>-</v>
      </c>
      <c r="C16122" s="8" t="s">
        <v>2162</v>
      </c>
    </row>
    <row r="16123" spans="1:3" x14ac:dyDescent="0.25">
      <c r="A16123" s="8" t="str">
        <f>"Proceedings of the 23rd Conference on the Domestic Use of Energy, DUE 2015"</f>
        <v>Proceedings of the 23rd Conference on the Domestic Use of Energy, DUE 2015</v>
      </c>
      <c r="B16123" s="8" t="str">
        <f>"9780992204181"</f>
        <v>9780992204181</v>
      </c>
      <c r="C16123" s="8" t="s">
        <v>105</v>
      </c>
    </row>
    <row r="16124" spans="1:3" x14ac:dyDescent="0.25">
      <c r="A16124" s="8" t="str">
        <f>"Proceedings of the 23rd Conference on Uncertainty in Artificial Intelligence, UAI 2007"</f>
        <v>Proceedings of the 23rd Conference on Uncertainty in Artificial Intelligence, UAI 2007</v>
      </c>
      <c r="B16124" s="8" t="str">
        <f>"9780974903934"</f>
        <v>9780974903934</v>
      </c>
      <c r="C16124" s="8" t="s">
        <v>2185</v>
      </c>
    </row>
    <row r="16125" spans="1:3" x14ac:dyDescent="0.25">
      <c r="A16125" s="8" t="str">
        <f>"Proceedings of the 23rd International Conference on Design of Communication - Documenting and Designing for Pervasive Information"</f>
        <v>Proceedings of the 23rd International Conference on Design of Communication - Documenting and Designing for Pervasive Information</v>
      </c>
      <c r="B16125" s="8" t="str">
        <f>"9781595931757"</f>
        <v>9781595931757</v>
      </c>
      <c r="C16125" s="8" t="s">
        <v>21</v>
      </c>
    </row>
    <row r="16126" spans="1:3" x14ac:dyDescent="0.25">
      <c r="A16126" s="8" t="str">
        <f>"Proceedings of the 23rd International Conference on Efficiency, Cost, Optimization, Simulation, and Environmental Impact of Energy Systems, ECOS 2010"</f>
        <v>Proceedings of the 23rd International Conference on Efficiency, Cost, Optimization, Simulation, and Environmental Impact of Energy Systems, ECOS 2010</v>
      </c>
      <c r="B16126" s="8" t="str">
        <f>"-"</f>
        <v>-</v>
      </c>
      <c r="C16126" s="8" t="s">
        <v>1445</v>
      </c>
    </row>
    <row r="16127" spans="1:3" x14ac:dyDescent="0.25">
      <c r="A16127" s="8" t="str">
        <f>"Proceedings of the 23rd International Conference on Noise and Vibration Engineering, ISMA"</f>
        <v>Proceedings of the 23rd International Conference on Noise and Vibration Engineering, ISMA</v>
      </c>
      <c r="B16127" s="8" t="str">
        <f>"9789073802674"</f>
        <v>9789073802674</v>
      </c>
      <c r="C16127" s="8" t="s">
        <v>2124</v>
      </c>
    </row>
    <row r="16128" spans="1:3" x14ac:dyDescent="0.25">
      <c r="A16128" s="8" t="str">
        <f>"Proceedings of the 23rd International Florida Artificial Intelligence Research Society Conference, FLAIRS-23"</f>
        <v>Proceedings of the 23rd International Florida Artificial Intelligence Research Society Conference, FLAIRS-23</v>
      </c>
      <c r="B16128" s="8" t="str">
        <f>"9781577354475"</f>
        <v>9781577354475</v>
      </c>
      <c r="C16128" s="8" t="s">
        <v>1257</v>
      </c>
    </row>
    <row r="16129" spans="1:3" x14ac:dyDescent="0.25">
      <c r="A16129" s="8" t="str">
        <f>"Proceedings of the 23rd Lake Louise Winter Institute: Fundamental Interactions, LLWI 2008"</f>
        <v>Proceedings of the 23rd Lake Louise Winter Institute: Fundamental Interactions, LLWI 2008</v>
      </c>
      <c r="B16129" s="8" t="str">
        <f>"9789814280938"</f>
        <v>9789814280938</v>
      </c>
      <c r="C16129" s="8" t="s">
        <v>157</v>
      </c>
    </row>
    <row r="16130" spans="1:3" x14ac:dyDescent="0.25">
      <c r="A16130" s="8" t="str">
        <f>"Proceedings of the 23rd Midwest Artificial Intelligence and Cognitive Science Conference, MAICS 2012"</f>
        <v>Proceedings of the 23rd Midwest Artificial Intelligence and Cognitive Science Conference, MAICS 2012</v>
      </c>
      <c r="B16130" s="8" t="str">
        <f>"-"</f>
        <v>-</v>
      </c>
      <c r="C16130" s="8" t="s">
        <v>1985</v>
      </c>
    </row>
    <row r="16131" spans="1:3" x14ac:dyDescent="0.25">
      <c r="A16131" s="8" t="str">
        <f>"Proceedings of the 23rd Solvay Conference on Physics: The Quantum Structure of Space and Time"</f>
        <v>Proceedings of the 23rd Solvay Conference on Physics: The Quantum Structure of Space and Time</v>
      </c>
      <c r="B16131" s="8" t="str">
        <f>"9789812569523"</f>
        <v>9789812569523</v>
      </c>
      <c r="C16131" s="8" t="s">
        <v>157</v>
      </c>
    </row>
    <row r="16132" spans="1:3" x14ac:dyDescent="0.25">
      <c r="A16132" s="8" t="str">
        <f>"Proceedings of the 23rd Workshop on (Constraint) Logic Programming 2009, WLP 2009"</f>
        <v>Proceedings of the 23rd Workshop on (Constraint) Logic Programming 2009, WLP 2009</v>
      </c>
      <c r="B16132" s="8" t="str">
        <f>"9783869560267"</f>
        <v>9783869560267</v>
      </c>
      <c r="C16132" s="8" t="s">
        <v>1104</v>
      </c>
    </row>
    <row r="16133" spans="1:3" x14ac:dyDescent="0.25">
      <c r="A16133" s="8" t="str">
        <f>"Proceedings of the 23rd Workshop on Radiation Detectors and Their Uses"</f>
        <v>Proceedings of the 23rd Workshop on Radiation Detectors and Their Uses</v>
      </c>
      <c r="B16133" s="8" t="str">
        <f>"-"</f>
        <v>-</v>
      </c>
      <c r="C16133" s="8" t="s">
        <v>2189</v>
      </c>
    </row>
    <row r="16134" spans="1:3" x14ac:dyDescent="0.25">
      <c r="A16134" s="8" t="str">
        <f>"Proceedings of the 24th ACM Workshop on Network and Operating Systems Support for Digital Audio and Video, NOSSDAV 2014"</f>
        <v>Proceedings of the 24th ACM Workshop on Network and Operating Systems Support for Digital Audio and Video, NOSSDAV 2014</v>
      </c>
      <c r="B16134" s="8" t="str">
        <f>"9781450327060"</f>
        <v>9781450327060</v>
      </c>
      <c r="C16134" s="8" t="s">
        <v>21</v>
      </c>
    </row>
    <row r="16135" spans="1:3" x14ac:dyDescent="0.25">
      <c r="A16135" s="8" t="str">
        <f>"Proceedings of the 24th Annual Meeting of the American Society for Precision Engineering, ASPE 2009"</f>
        <v>Proceedings of the 24th Annual Meeting of the American Society for Precision Engineering, ASPE 2009</v>
      </c>
      <c r="B16135" s="8" t="str">
        <f>"9781887706520"</f>
        <v>9781887706520</v>
      </c>
      <c r="C16135" s="8" t="s">
        <v>2081</v>
      </c>
    </row>
    <row r="16136" spans="1:3" x14ac:dyDescent="0.25">
      <c r="A16136" s="8" t="str">
        <f>"Proceedings of the 24th Australasian Conference on Information Systems"</f>
        <v>Proceedings of the 24th Australasian Conference on Information Systems</v>
      </c>
      <c r="B16136" s="8" t="str">
        <f>"9780992449506"</f>
        <v>9780992449506</v>
      </c>
      <c r="C16136" s="8" t="s">
        <v>2190</v>
      </c>
    </row>
    <row r="16137" spans="1:3" x14ac:dyDescent="0.25">
      <c r="A16137" s="8" t="str">
        <f>"Proceedings of the 24th Australian Computer-Human Interaction Conference, OzCHI 2012"</f>
        <v>Proceedings of the 24th Australian Computer-Human Interaction Conference, OzCHI 2012</v>
      </c>
      <c r="B16137" s="8" t="str">
        <f>"9781450314381"</f>
        <v>9781450314381</v>
      </c>
      <c r="C16137" s="8" t="s">
        <v>21</v>
      </c>
    </row>
    <row r="16138" spans="1:3" x14ac:dyDescent="0.25">
      <c r="A16138" s="8" t="str">
        <f>"Proceedings of the 24th Canadian Conference on Computational Geometry, CCCG 2012"</f>
        <v>Proceedings of the 24th Canadian Conference on Computational Geometry, CCCG 2012</v>
      </c>
      <c r="B16138" s="8" t="str">
        <f>"-"</f>
        <v>-</v>
      </c>
      <c r="C16138" s="8" t="s">
        <v>1438</v>
      </c>
    </row>
    <row r="16139" spans="1:3" x14ac:dyDescent="0.25">
      <c r="A16139" s="8" t="str">
        <f>"Proceedings of the 24th Conference on Computational Linguistics and Speech Processing, ROCLING 2012"</f>
        <v>Proceedings of the 24th Conference on Computational Linguistics and Speech Processing, ROCLING 2012</v>
      </c>
      <c r="B16139" s="8" t="str">
        <f>"9789573079255"</f>
        <v>9789573079255</v>
      </c>
      <c r="C16139" s="8" t="s">
        <v>2162</v>
      </c>
    </row>
    <row r="16140" spans="1:3" x14ac:dyDescent="0.25">
      <c r="A16140" s="8" t="str">
        <f>"Proceedings of the 24th Conference on Uncertainty in Artificial Intelligence, UAI 2008"</f>
        <v>Proceedings of the 24th Conference on Uncertainty in Artificial Intelligence, UAI 2008</v>
      </c>
      <c r="B16140" s="8" t="str">
        <f>"9780974903941"</f>
        <v>9780974903941</v>
      </c>
      <c r="C16140" s="8" t="s">
        <v>2185</v>
      </c>
    </row>
    <row r="16141" spans="1:3" x14ac:dyDescent="0.25">
      <c r="A16141" s="8" t="str">
        <f>"Proceedings of the 24th International Business Information Management Association Conference - Crafting Global Competitive Economies: 2020 Vision Strategic Planning and Smart Implementation"</f>
        <v>Proceedings of the 24th International Business Information Management Association Conference - Crafting Global Competitive Economies: 2020 Vision Strategic Planning and Smart Implementation</v>
      </c>
      <c r="B16141" s="8" t="str">
        <f>"9780986041938"</f>
        <v>9780986041938</v>
      </c>
      <c r="C16141" s="8" t="s">
        <v>1760</v>
      </c>
    </row>
    <row r="16142" spans="1:3" x14ac:dyDescent="0.25">
      <c r="A16142" s="8" t="str">
        <f>"Proceedings of the 24th International Conference on European Association for Education in Electrical and Information Engineering, EAEEIE 2013"</f>
        <v>Proceedings of the 24th International Conference on European Association for Education in Electrical and Information Engineering, EAEEIE 2013</v>
      </c>
      <c r="B16142" s="8" t="str">
        <f>"9781479900435"</f>
        <v>9781479900435</v>
      </c>
      <c r="C16142" s="8" t="s">
        <v>9</v>
      </c>
    </row>
    <row r="16143" spans="1:3" x14ac:dyDescent="0.25">
      <c r="A16143" s="8" t="str">
        <f>"Proceedings of the 24th International Florida Artificial Intelligence Research Society, FLAIRS - 24"</f>
        <v>Proceedings of the 24th International Florida Artificial Intelligence Research Society, FLAIRS - 24</v>
      </c>
      <c r="B16143" s="8" t="str">
        <f>"9781577355014"</f>
        <v>9781577355014</v>
      </c>
      <c r="C16143" s="8" t="s">
        <v>1257</v>
      </c>
    </row>
    <row r="16144" spans="1:3" x14ac:dyDescent="0.25">
      <c r="A16144" s="8" t="str">
        <f>"Proceedings of the 24th International Mining Congress of Turkey, IMCET 2015"</f>
        <v>Proceedings of the 24th International Mining Congress of Turkey, IMCET 2015</v>
      </c>
      <c r="B16144" s="8" t="str">
        <f>"9786050107050"</f>
        <v>9786050107050</v>
      </c>
      <c r="C16144" s="8" t="s">
        <v>2191</v>
      </c>
    </row>
    <row r="16145" spans="1:3" x14ac:dyDescent="0.25">
      <c r="A16145" s="8" t="str">
        <f>"Proceedings of the 24th Linear Accelerator Conference, LINAC 2008"</f>
        <v>Proceedings of the 24th Linear Accelerator Conference, LINAC 2008</v>
      </c>
      <c r="B16145" s="8" t="str">
        <f>"-"</f>
        <v>-</v>
      </c>
      <c r="C16145" s="8" t="s">
        <v>1359</v>
      </c>
    </row>
    <row r="16146" spans="1:3" x14ac:dyDescent="0.25">
      <c r="A16146" s="8" t="str">
        <f>"Proceedings of the 24th Midwest Artificial Intelligence and Cognitive Science Conference, MAICS 2013"</f>
        <v>Proceedings of the 24th Midwest Artificial Intelligence and Cognitive Science Conference, MAICS 2013</v>
      </c>
      <c r="B16146" s="8" t="str">
        <f>"-"</f>
        <v>-</v>
      </c>
      <c r="C16146" s="8" t="s">
        <v>2188</v>
      </c>
    </row>
    <row r="16147" spans="1:3" x14ac:dyDescent="0.25">
      <c r="A16147" s="8" t="str">
        <f>"Proceedings of the 24th Solvay Conference on Physics: Quantum Theory of Condensed Matter"</f>
        <v>Proceedings of the 24th Solvay Conference on Physics: Quantum Theory of Condensed Matter</v>
      </c>
      <c r="B16147" s="8" t="str">
        <f>"9789814304467"</f>
        <v>9789814304467</v>
      </c>
      <c r="C16147" s="8" t="s">
        <v>157</v>
      </c>
    </row>
    <row r="16148" spans="1:3" x14ac:dyDescent="0.25">
      <c r="A16148" s="8" t="str">
        <f>"Proceedings of the 25th ACM Workshop on Network and Operating Systems Support for Digital Audio and Video, NOSSDAV 2015"</f>
        <v>Proceedings of the 25th ACM Workshop on Network and Operating Systems Support for Digital Audio and Video, NOSSDAV 2015</v>
      </c>
      <c r="B16148" s="8" t="str">
        <f>"9781450333528"</f>
        <v>9781450333528</v>
      </c>
      <c r="C16148" s="8" t="s">
        <v>1235</v>
      </c>
    </row>
    <row r="16149" spans="1:3" x14ac:dyDescent="0.25">
      <c r="A16149" s="8" t="str">
        <f>"Proceedings of the 25th Annual Conference on Computer Graphics and Interactive Techniques, SIGGRAPH 1998"</f>
        <v>Proceedings of the 25th Annual Conference on Computer Graphics and Interactive Techniques, SIGGRAPH 1998</v>
      </c>
      <c r="B16149" s="8" t="str">
        <f>"9780897919999"</f>
        <v>9780897919999</v>
      </c>
      <c r="C16149" s="8" t="s">
        <v>21</v>
      </c>
    </row>
    <row r="16150" spans="1:3" x14ac:dyDescent="0.25">
      <c r="A16150" s="8" t="str">
        <f>"Proceedings of the 25th Australian Computer-Human Interaction Conference: Augmentation, Application, Innovation, Collaboration, OzCHI 2013"</f>
        <v>Proceedings of the 25th Australian Computer-Human Interaction Conference: Augmentation, Application, Innovation, Collaboration, OzCHI 2013</v>
      </c>
      <c r="B16150" s="8" t="str">
        <f>"9781450325257"</f>
        <v>9781450325257</v>
      </c>
      <c r="C16150" s="8" t="s">
        <v>21</v>
      </c>
    </row>
    <row r="16151" spans="1:3" x14ac:dyDescent="0.25">
      <c r="A16151" s="8" t="str">
        <f>"Proceedings of the 25th Conference on Uncertainty in Artificial Intelligence, UAI 2009"</f>
        <v>Proceedings of the 25th Conference on Uncertainty in Artificial Intelligence, UAI 2009</v>
      </c>
      <c r="B16151" s="8" t="str">
        <f>"-"</f>
        <v>-</v>
      </c>
      <c r="C16151" s="8" t="s">
        <v>2185</v>
      </c>
    </row>
    <row r="16152" spans="1:3" x14ac:dyDescent="0.25">
      <c r="A16152" s="8" t="str">
        <f>"Proceedings of the 25th International Business Information Management Association Conference - Innovation Vision 2020: From Regional Development Sustainability to Global Economic Growth, IBIMA 2015"</f>
        <v>Proceedings of the 25th International Business Information Management Association Conference - Innovation Vision 2020: From Regional Development Sustainability to Global Economic Growth, IBIMA 2015</v>
      </c>
      <c r="B16152" s="8" t="str">
        <f>"9780986041945"</f>
        <v>9780986041945</v>
      </c>
      <c r="C16152" s="8" t="s">
        <v>1760</v>
      </c>
    </row>
    <row r="16153" spans="1:3" x14ac:dyDescent="0.25">
      <c r="A16153" s="8" t="str">
        <f>"Proceedings of the 25th International Conference on Efficiency, Cost, Optimization and Simulation of Energy Conversion Systems and Processes, ECOS 2012"</f>
        <v>Proceedings of the 25th International Conference on Efficiency, Cost, Optimization and Simulation of Energy Conversion Systems and Processes, ECOS 2012</v>
      </c>
      <c r="B16153" s="8" t="str">
        <f>"9788866553229"</f>
        <v>9788866553229</v>
      </c>
      <c r="C16153" s="8" t="s">
        <v>1445</v>
      </c>
    </row>
    <row r="16154" spans="1:3" x14ac:dyDescent="0.25">
      <c r="A16154" s="8" t="str">
        <f>"Proceedings of the 25th International Conference on Machine Learning"</f>
        <v>Proceedings of the 25th International Conference on Machine Learning</v>
      </c>
      <c r="B16154" s="8" t="str">
        <f>"9781605582054"</f>
        <v>9781605582054</v>
      </c>
      <c r="C16154" s="8" t="s">
        <v>21</v>
      </c>
    </row>
    <row r="16155" spans="1:3" x14ac:dyDescent="0.25">
      <c r="A16155" s="8" t="str">
        <f>"Proceedings of the 25th International Conference on Noise and Vibration Engineering, ISMA"</f>
        <v>Proceedings of the 25th International Conference on Noise and Vibration Engineering, ISMA</v>
      </c>
      <c r="B16155" s="8" t="str">
        <f>"9789073802728"</f>
        <v>9789073802728</v>
      </c>
      <c r="C16155" s="8" t="s">
        <v>2124</v>
      </c>
    </row>
    <row r="16156" spans="1:3" x14ac:dyDescent="0.25">
      <c r="A16156" s="8" t="str">
        <f>"Proceedings of the 25th International Florida Artificial Intelligence Research Society Conference, FLAIRS-25"</f>
        <v>Proceedings of the 25th International Florida Artificial Intelligence Research Society Conference, FLAIRS-25</v>
      </c>
      <c r="B16156" s="8" t="str">
        <f>"9781577355588"</f>
        <v>9781577355588</v>
      </c>
      <c r="C16156" s="8" t="s">
        <v>1257</v>
      </c>
    </row>
    <row r="16157" spans="1:3" x14ac:dyDescent="0.25">
      <c r="A16157" s="8" t="str">
        <f>"Proceedings of the 25th International Symposium on Theoretical Aspects of Computer Science, STACS 2008"</f>
        <v>Proceedings of the 25th International Symposium on Theoretical Aspects of Computer Science, STACS 2008</v>
      </c>
      <c r="B16157" s="8" t="str">
        <f>"9783939897064"</f>
        <v>9783939897064</v>
      </c>
      <c r="C16157" s="8" t="s">
        <v>1266</v>
      </c>
    </row>
    <row r="16158" spans="1:3" x14ac:dyDescent="0.25">
      <c r="A16158" s="8" t="str">
        <f>"Proceedings of the 25th Solvay Conference on Physics: The Theory of the Quantum World"</f>
        <v>Proceedings of the 25th Solvay Conference on Physics: The Theory of the Quantum World</v>
      </c>
      <c r="B16158" s="8" t="str">
        <f>"9789814440615"</f>
        <v>9789814440615</v>
      </c>
      <c r="C16158" s="8" t="s">
        <v>157</v>
      </c>
    </row>
    <row r="16159" spans="1:3" x14ac:dyDescent="0.25">
      <c r="A16159" s="8" t="str">
        <f>"Proceedings of the 25th Workshop on Radiation Detectors and Their Uses"</f>
        <v>Proceedings of the 25th Workshop on Radiation Detectors and Their Uses</v>
      </c>
      <c r="B16159" s="8" t="str">
        <f>"-"</f>
        <v>-</v>
      </c>
      <c r="C16159" s="8" t="s">
        <v>2189</v>
      </c>
    </row>
    <row r="16160" spans="1:3" x14ac:dyDescent="0.25">
      <c r="A16160" s="8" t="str">
        <f>"Proceedings of the 26th Australian Computer-Human Interaction Conference, OzCHI 2014"</f>
        <v>Proceedings of the 26th Australian Computer-Human Interaction Conference, OzCHI 2014</v>
      </c>
      <c r="B16160" s="8" t="str">
        <f>"9781450306539"</f>
        <v>9781450306539</v>
      </c>
      <c r="C16160" s="8" t="s">
        <v>1235</v>
      </c>
    </row>
    <row r="16161" spans="1:3" x14ac:dyDescent="0.25">
      <c r="A16161" s="8" t="str">
        <f>"Proceedings of the 26th Canadian Symposium on Remote Sensing"</f>
        <v>Proceedings of the 26th Canadian Symposium on Remote Sensing</v>
      </c>
      <c r="B16161" s="8" t="str">
        <f>"-"</f>
        <v>-</v>
      </c>
      <c r="C16161" s="8" t="s">
        <v>239</v>
      </c>
    </row>
    <row r="16162" spans="1:3" x14ac:dyDescent="0.25">
      <c r="A16162" s="8" t="str">
        <f>"Proceedings of the 26th Chinese Control Conference, CCC 2007"</f>
        <v>Proceedings of the 26th Chinese Control Conference, CCC 2007</v>
      </c>
      <c r="B16162" s="8" t="str">
        <f>"9787900719225"</f>
        <v>9787900719225</v>
      </c>
      <c r="C16162" s="8" t="s">
        <v>9</v>
      </c>
    </row>
    <row r="16163" spans="1:3" x14ac:dyDescent="0.25">
      <c r="A16163" s="8" t="str">
        <f>"Proceedings of the 26th Conference on Uncertainty in Artificial Intelligence, UAI 2010"</f>
        <v>Proceedings of the 26th Conference on Uncertainty in Artificial Intelligence, UAI 2010</v>
      </c>
      <c r="B16163" s="8" t="str">
        <f>"9780974903965"</f>
        <v>9780974903965</v>
      </c>
      <c r="C16163" s="8" t="s">
        <v>2185</v>
      </c>
    </row>
    <row r="16164" spans="1:3" x14ac:dyDescent="0.25">
      <c r="A16164" s="8" t="str">
        <f>"Proceedings of the 26th International Air Transportation Conference - The 2020 Vision of Air Transportation: Emerging Issues and Innovative Solutions"</f>
        <v>Proceedings of the 26th International Air Transportation Conference - The 2020 Vision of Air Transportation: Emerging Issues and Innovative Solutions</v>
      </c>
      <c r="B16164" s="8" t="str">
        <f>"9780784405307"</f>
        <v>9780784405307</v>
      </c>
      <c r="C16164" s="8" t="s">
        <v>111</v>
      </c>
    </row>
    <row r="16165" spans="1:3" x14ac:dyDescent="0.25">
      <c r="A16165" s="8" t="str">
        <f>"Proceedings of the 26th International Conference On Machine Learning, ICML 2009"</f>
        <v>Proceedings of the 26th International Conference On Machine Learning, ICML 2009</v>
      </c>
      <c r="B16165" s="8" t="str">
        <f>"9781605585161"</f>
        <v>9781605585161</v>
      </c>
      <c r="C16165" s="8" t="s">
        <v>1403</v>
      </c>
    </row>
    <row r="16166" spans="1:3" x14ac:dyDescent="0.25">
      <c r="A16166" s="8" t="str">
        <f>"Proceedings of the 26th International Conference on Very Large Data Bases, VLDB'00"</f>
        <v>Proceedings of the 26th International Conference on Very Large Data Bases, VLDB'00</v>
      </c>
      <c r="B16166" s="8" t="str">
        <f>"9781558607156"</f>
        <v>9781558607156</v>
      </c>
      <c r="C16166" s="8" t="s">
        <v>2192</v>
      </c>
    </row>
    <row r="16167" spans="1:3" x14ac:dyDescent="0.25">
      <c r="A16167" s="8" t="str">
        <f>"Proceedings of the 26th Pacific Asia Conference on Language, Information and Computation, PACLIC 2012"</f>
        <v>Proceedings of the 26th Pacific Asia Conference on Language, Information and Computation, PACLIC 2012</v>
      </c>
      <c r="B16167" s="8" t="str">
        <f>"9789791421171"</f>
        <v>9789791421171</v>
      </c>
      <c r="C16167" s="8" t="s">
        <v>2193</v>
      </c>
    </row>
    <row r="16168" spans="1:3" x14ac:dyDescent="0.25">
      <c r="A16168" s="8" t="str">
        <f>"Proceedings of the 26th Physics in Collision, PIC 2006"</f>
        <v>Proceedings of the 26th Physics in Collision, PIC 2006</v>
      </c>
      <c r="B16168" s="8" t="str">
        <f>"-"</f>
        <v>-</v>
      </c>
      <c r="C16168" s="8" t="s">
        <v>1471</v>
      </c>
    </row>
    <row r="16169" spans="1:3" x14ac:dyDescent="0.25">
      <c r="A16169" s="8" t="str">
        <f>"Proceedings of the 26th Workshop on Radiation Detectors and Their Uses"</f>
        <v>Proceedings of the 26th Workshop on Radiation Detectors and Their Uses</v>
      </c>
      <c r="B16169" s="8" t="str">
        <f>"-"</f>
        <v>-</v>
      </c>
      <c r="C16169" s="8" t="s">
        <v>2189</v>
      </c>
    </row>
    <row r="16170" spans="1:3" x14ac:dyDescent="0.25">
      <c r="A16170" s="8" t="str">
        <f>"Proceedings of the 27th AAAI Conference on Artificial Intelligence, AAAI 2013"</f>
        <v>Proceedings of the 27th AAAI Conference on Artificial Intelligence, AAAI 2013</v>
      </c>
      <c r="B16170" s="8" t="str">
        <f>"9781577356158"</f>
        <v>9781577356158</v>
      </c>
      <c r="C16170" s="8" t="s">
        <v>956</v>
      </c>
    </row>
    <row r="16171" spans="1:3" x14ac:dyDescent="0.25">
      <c r="A16171" s="8" t="str">
        <f>"Proceedings of the 27th Chinese Control Conference, CCC"</f>
        <v>Proceedings of the 27th Chinese Control Conference, CCC</v>
      </c>
      <c r="B16171" s="8" t="str">
        <f>"9787900719706"</f>
        <v>9787900719706</v>
      </c>
      <c r="C16171" s="8" t="s">
        <v>9</v>
      </c>
    </row>
    <row r="16172" spans="1:3" x14ac:dyDescent="0.25">
      <c r="A16172" s="8" t="str">
        <f>"Proceedings of the 27th Conference on Uncertainty in Artificial Intelligence, UAI 2011"</f>
        <v>Proceedings of the 27th Conference on Uncertainty in Artificial Intelligence, UAI 2011</v>
      </c>
      <c r="B16172" s="8" t="str">
        <f>"-"</f>
        <v>-</v>
      </c>
      <c r="C16172" s="8" t="s">
        <v>2185</v>
      </c>
    </row>
    <row r="16173" spans="1:3" x14ac:dyDescent="0.25">
      <c r="A16173" s="8" t="str">
        <f>"Proceedings of the 27th IEEE/ACM International Conference on Automated Software Engineering, ASE 2012"</f>
        <v>Proceedings of the 27th IEEE/ACM International Conference on Automated Software Engineering, ASE 2012</v>
      </c>
      <c r="B16173" s="8" t="str">
        <f>"9781450312042"</f>
        <v>9781450312042</v>
      </c>
      <c r="C16173" s="8" t="s">
        <v>9</v>
      </c>
    </row>
    <row r="16174" spans="1:3" x14ac:dyDescent="0.25">
      <c r="A16174" s="8" t="str">
        <f>"Proceedings of the 27th International Florida Artificial Intelligence Research Society Conference, FLAIRS 2014"</f>
        <v>Proceedings of the 27th International Florida Artificial Intelligence Research Society Conference, FLAIRS 2014</v>
      </c>
      <c r="B16174" s="8" t="str">
        <f>"-"</f>
        <v>-</v>
      </c>
      <c r="C16174" s="8" t="s">
        <v>2194</v>
      </c>
    </row>
    <row r="16175" spans="1:3" x14ac:dyDescent="0.25">
      <c r="A16175" s="8" t="str">
        <f>"Proceedings of the 27th International Free Electron Laser Conference, FEL 2005"</f>
        <v>Proceedings of the 27th International Free Electron Laser Conference, FEL 2005</v>
      </c>
      <c r="B16175" s="8" t="str">
        <f>"-"</f>
        <v>-</v>
      </c>
      <c r="C16175" s="8" t="s">
        <v>2195</v>
      </c>
    </row>
    <row r="16176" spans="1:3" x14ac:dyDescent="0.25">
      <c r="A16176" s="8" t="str">
        <f>"Proceedings of the 28th Annual Meeting of the American Society for Precision Engineering, ASPE 2013"</f>
        <v>Proceedings of the 28th Annual Meeting of the American Society for Precision Engineering, ASPE 2013</v>
      </c>
      <c r="B16176" s="8" t="str">
        <f>"9781887706636"</f>
        <v>9781887706636</v>
      </c>
      <c r="C16176" s="8" t="s">
        <v>2081</v>
      </c>
    </row>
    <row r="16177" spans="1:3" x14ac:dyDescent="0.25">
      <c r="A16177" s="8" t="str">
        <f>"Proceedings of the 28th International BCS Human Computer Interaction Conference: Sand, Sea and Sky - Holiday HCI, HCI 2014"</f>
        <v>Proceedings of the 28th International BCS Human Computer Interaction Conference: Sand, Sea and Sky - Holiday HCI, HCI 2014</v>
      </c>
      <c r="B16177" s="8" t="str">
        <f>"-"</f>
        <v>-</v>
      </c>
      <c r="C16177" s="8" t="s">
        <v>2196</v>
      </c>
    </row>
    <row r="16178" spans="1:3" x14ac:dyDescent="0.25">
      <c r="A16178" s="8" t="str">
        <f>"Proceedings of the 28th International Conference on Machine Learning, ICML 2011"</f>
        <v>Proceedings of the 28th International Conference on Machine Learning, ICML 2011</v>
      </c>
      <c r="B16178" s="8" t="str">
        <f>"9781450306195"</f>
        <v>9781450306195</v>
      </c>
      <c r="C16178" s="8" t="s">
        <v>21</v>
      </c>
    </row>
    <row r="16179" spans="1:3" x14ac:dyDescent="0.25">
      <c r="A16179" s="8" t="str">
        <f>"Proceedings of the 28th International Symposium on Automation and Robotics in Construction, ISARC 2011"</f>
        <v>Proceedings of the 28th International Symposium on Automation and Robotics in Construction, ISARC 2011</v>
      </c>
      <c r="B16179" s="8" t="str">
        <f>"-"</f>
        <v>-</v>
      </c>
      <c r="C16179" s="8" t="s">
        <v>1351</v>
      </c>
    </row>
    <row r="16180" spans="1:3" x14ac:dyDescent="0.25">
      <c r="A16180" s="8" t="str">
        <f>"Proceedings of the 29th Annual Conference on Computer Graphics and Interactive Techniques, SIGGRAPH '02"</f>
        <v>Proceedings of the 29th Annual Conference on Computer Graphics and Interactive Techniques, SIGGRAPH '02</v>
      </c>
      <c r="B16180" s="8" t="str">
        <f>"9781581135213"</f>
        <v>9781581135213</v>
      </c>
      <c r="C16180" s="8" t="s">
        <v>21</v>
      </c>
    </row>
    <row r="16181" spans="1:3" x14ac:dyDescent="0.25">
      <c r="A16181" s="8" t="str">
        <f>"Proceedings of the 29th Annual International ACM SIGIR Conference on Research and Development in Information Retrieval"</f>
        <v>Proceedings of the 29th Annual International ACM SIGIR Conference on Research and Development in Information Retrieval</v>
      </c>
      <c r="B16181" s="8" t="str">
        <f>"9781595933690"</f>
        <v>9781595933690</v>
      </c>
      <c r="C16181" s="8" t="s">
        <v>21</v>
      </c>
    </row>
    <row r="16182" spans="1:3" x14ac:dyDescent="0.25">
      <c r="A16182" s="8" t="str">
        <f>"Proceedings of the 29th Chinese Control Conference, CCC'10"</f>
        <v>Proceedings of the 29th Chinese Control Conference, CCC'10</v>
      </c>
      <c r="B16182" s="8" t="str">
        <f>"9787894631046"</f>
        <v>9787894631046</v>
      </c>
      <c r="C16182" s="8" t="s">
        <v>9</v>
      </c>
    </row>
    <row r="16183" spans="1:3" x14ac:dyDescent="0.25">
      <c r="A16183" s="8" t="str">
        <f>"Proceedings of the 29th International Conference on Machine Learning, ICML 2012"</f>
        <v>Proceedings of the 29th International Conference on Machine Learning, ICML 2012</v>
      </c>
      <c r="B16183" s="8" t="str">
        <f>"9781450312851"</f>
        <v>9781450312851</v>
      </c>
      <c r="C16183" s="8" t="s">
        <v>1403</v>
      </c>
    </row>
    <row r="16184" spans="1:3" x14ac:dyDescent="0.25">
      <c r="A16184" s="8" t="str">
        <f>"Proceedings of the 29th International Thermal Conductivity Conference, ITCC29 and the Proceedings of the 17th International Thermal Expansion Symposium, ITES17"</f>
        <v>Proceedings of the 29th International Thermal Conductivity Conference, ITCC29 and the Proceedings of the 17th International Thermal Expansion Symposium, ITES17</v>
      </c>
      <c r="B16184" s="8" t="str">
        <f>"9781932078725"</f>
        <v>9781932078725</v>
      </c>
      <c r="C16184" s="8" t="s">
        <v>757</v>
      </c>
    </row>
    <row r="16185" spans="1:3" x14ac:dyDescent="0.25">
      <c r="A16185" s="8" t="str">
        <f>"Proceedings of the 29th World Nuclear Association, WNA Annual Symposium 2004"</f>
        <v>Proceedings of the 29th World Nuclear Association, WNA Annual Symposium 2004</v>
      </c>
      <c r="B16185" s="8" t="str">
        <f>"-"</f>
        <v>-</v>
      </c>
      <c r="C16185" s="8" t="s">
        <v>1487</v>
      </c>
    </row>
    <row r="16186" spans="1:3" x14ac:dyDescent="0.25">
      <c r="A16186" s="8" t="str">
        <f>"Proceedings of the 2nd ACM Conference on Wireless Network Security, WiSec'09"</f>
        <v>Proceedings of the 2nd ACM Conference on Wireless Network Security, WiSec'09</v>
      </c>
      <c r="B16186" s="8" t="str">
        <f>"9781605584607"</f>
        <v>9781605584607</v>
      </c>
      <c r="C16186" s="8" t="s">
        <v>21</v>
      </c>
    </row>
    <row r="16187" spans="1:3" x14ac:dyDescent="0.25">
      <c r="A16187" s="8" t="str">
        <f>"Proceedings of the 2nd ACM EuroSys Workshop on Social Network Systems, SNS '09"</f>
        <v>Proceedings of the 2nd ACM EuroSys Workshop on Social Network Systems, SNS '09</v>
      </c>
      <c r="B16187" s="8" t="str">
        <f>"9781605584638"</f>
        <v>9781605584638</v>
      </c>
      <c r="C16187" s="8" t="s">
        <v>21</v>
      </c>
    </row>
    <row r="16188" spans="1:3" x14ac:dyDescent="0.25">
      <c r="A16188" s="8" t="str">
        <f>"Proceedings of the 2nd ACM International Conference on Context-awareness for Self-managing Systems, CASEMANS'08"</f>
        <v>Proceedings of the 2nd ACM International Conference on Context-awareness for Self-managing Systems, CASEMANS'08</v>
      </c>
      <c r="B16188" s="8" t="str">
        <f>"9781605580104"</f>
        <v>9781605580104</v>
      </c>
      <c r="C16188" s="8" t="s">
        <v>21</v>
      </c>
    </row>
    <row r="16189" spans="1:3" x14ac:dyDescent="0.25">
      <c r="A16189" s="8" t="str">
        <f>"Proceedings of the 2nd ACM International Conference on Multimedia Retrieval, ICMR 2012"</f>
        <v>Proceedings of the 2nd ACM International Conference on Multimedia Retrieval, ICMR 2012</v>
      </c>
      <c r="B16189" s="8" t="str">
        <f>"9781450313292"</f>
        <v>9781450313292</v>
      </c>
      <c r="C16189" s="8" t="s">
        <v>21</v>
      </c>
    </row>
    <row r="16190" spans="1:3" x14ac:dyDescent="0.25">
      <c r="A16190" s="8" t="str">
        <f>"Proceedings of the 2nd ACM International Conference on Web Search and Data Mining, WSDM'09"</f>
        <v>Proceedings of the 2nd ACM International Conference on Web Search and Data Mining, WSDM'09</v>
      </c>
      <c r="B16190" s="8" t="str">
        <f>"9781605583907"</f>
        <v>9781605583907</v>
      </c>
      <c r="C16190" s="8" t="s">
        <v>21</v>
      </c>
    </row>
    <row r="16191" spans="1:3" x14ac:dyDescent="0.25">
      <c r="A16191" s="8" t="str">
        <f>"Proceedings of the 2nd ACM International Workshop on Hot Topics in Planet-scale Measurement, HotPlanet '10"</f>
        <v>Proceedings of the 2nd ACM International Workshop on Hot Topics in Planet-scale Measurement, HotPlanet '10</v>
      </c>
      <c r="B16191" s="8" t="str">
        <f>"9781450301770"</f>
        <v>9781450301770</v>
      </c>
      <c r="C16191" s="8" t="s">
        <v>21</v>
      </c>
    </row>
    <row r="16192" spans="1:3" x14ac:dyDescent="0.25">
      <c r="A16192" s="8" t="str">
        <f>"Proceedings of the 2nd ACM International Workshop on Wireless Network Testbeds, Experimental Evaluation and Characterization, WiNTECH '07, Co-located with the ACM MobiCom 2007 Conference"</f>
        <v>Proceedings of the 2nd ACM International Workshop on Wireless Network Testbeds, Experimental Evaluation and Characterization, WiNTECH '07, Co-located with the ACM MobiCom 2007 Conference</v>
      </c>
      <c r="B16192" s="8" t="str">
        <f>"9781595939159"</f>
        <v>9781595939159</v>
      </c>
      <c r="C16192" s="8" t="s">
        <v>21</v>
      </c>
    </row>
    <row r="16193" spans="1:3" x14ac:dyDescent="0.25">
      <c r="A16193" s="8" t="str">
        <f>"Proceedings of the 2nd ACM SIGCOMM Workshop on Green Networking, GreenNets'11"</f>
        <v>Proceedings of the 2nd ACM SIGCOMM Workshop on Green Networking, GreenNets'11</v>
      </c>
      <c r="B16193" s="8" t="str">
        <f>"9781450307994"</f>
        <v>9781450307994</v>
      </c>
      <c r="C16193" s="8" t="s">
        <v>21</v>
      </c>
    </row>
    <row r="16194" spans="1:3" x14ac:dyDescent="0.25">
      <c r="A16194" s="8" t="str">
        <f>"Proceedings of the 2nd ACM SIGCOMM Workshop on Home Networks, HomeNets'11"</f>
        <v>Proceedings of the 2nd ACM SIGCOMM Workshop on Home Networks, HomeNets'11</v>
      </c>
      <c r="B16194" s="8" t="str">
        <f>"9781450307987"</f>
        <v>9781450307987</v>
      </c>
      <c r="C16194" s="8" t="s">
        <v>21</v>
      </c>
    </row>
    <row r="16195" spans="1:3" x14ac:dyDescent="0.25">
      <c r="A16195" s="8" t="str">
        <f>"Proceedings of the 2nd ACM SIGCOMM Workshop on Networking, Systems, and Applications on Mobile Handhelds, MobiHeld '10, Co-located with SIGCOMM 2010"</f>
        <v>Proceedings of the 2nd ACM SIGCOMM Workshop on Networking, Systems, and Applications on Mobile Handhelds, MobiHeld '10, Co-located with SIGCOMM 2010</v>
      </c>
      <c r="B16195" s="8" t="str">
        <f>"9781450301978"</f>
        <v>9781450301978</v>
      </c>
      <c r="C16195" s="8" t="s">
        <v>21</v>
      </c>
    </row>
    <row r="16196" spans="1:3" x14ac:dyDescent="0.25">
      <c r="A16196" s="8" t="str">
        <f>"Proceedings of the 2nd ACM SIGCOMM Workshop on Virtualized Infrastructure Systems and Architectures, VISA '10, Co-located with SIGCOMM 2010"</f>
        <v>Proceedings of the 2nd ACM SIGCOMM Workshop on Virtualized Infrastructure Systems and Architectures, VISA '10, Co-located with SIGCOMM 2010</v>
      </c>
      <c r="B16196" s="8" t="str">
        <f>"9781450301992"</f>
        <v>9781450301992</v>
      </c>
      <c r="C16196" s="8" t="s">
        <v>21</v>
      </c>
    </row>
    <row r="16197" spans="1:3" x14ac:dyDescent="0.25">
      <c r="A16197" s="8" t="str">
        <f>"Proceedings of the 2nd ACM SIGMOD Workshop on Databases and Social Networks, DBSocial 2012"</f>
        <v>Proceedings of the 2nd ACM SIGMOD Workshop on Databases and Social Networks, DBSocial 2012</v>
      </c>
      <c r="B16197" s="8" t="str">
        <f>"9781450314954"</f>
        <v>9781450314954</v>
      </c>
      <c r="C16197" s="8" t="s">
        <v>21</v>
      </c>
    </row>
    <row r="16198" spans="1:3" x14ac:dyDescent="0.25">
      <c r="A16198" s="8" t="str">
        <f>"Proceedings of the 2nd ACM SIGMOD Workshop on Scalable Workflow Execution Engines and Technologies, SWEET 2013"</f>
        <v>Proceedings of the 2nd ACM SIGMOD Workshop on Scalable Workflow Execution Engines and Technologies, SWEET 2013</v>
      </c>
      <c r="B16198" s="8" t="str">
        <f>"9781450323499"</f>
        <v>9781450323499</v>
      </c>
      <c r="C16198" s="8" t="s">
        <v>21</v>
      </c>
    </row>
    <row r="16199" spans="1:3" x14ac:dyDescent="0.25">
      <c r="A16199" s="8" t="str">
        <f>"Proceedings of the 2nd ACM SIGPLAN International Workshop on State of the Art in Java Program Analysis, SOAP 2013"</f>
        <v>Proceedings of the 2nd ACM SIGPLAN International Workshop on State of the Art in Java Program Analysis, SOAP 2013</v>
      </c>
      <c r="B16199" s="8" t="str">
        <f>"9781450322010"</f>
        <v>9781450322010</v>
      </c>
      <c r="C16199" s="8" t="s">
        <v>21</v>
      </c>
    </row>
    <row r="16200" spans="1:3" x14ac:dyDescent="0.25">
      <c r="A16200" s="8" t="str">
        <f>"Proceedings of the 2nd ACM SIGPLAN Program Protection and Reverse Engineering Workshop 2013, PPREW 2013"</f>
        <v>Proceedings of the 2nd ACM SIGPLAN Program Protection and Reverse Engineering Workshop 2013, PPREW 2013</v>
      </c>
      <c r="B16200" s="8" t="str">
        <f>"9781450318570"</f>
        <v>9781450318570</v>
      </c>
      <c r="C16200" s="8" t="s">
        <v>21</v>
      </c>
    </row>
    <row r="16201" spans="1:3" x14ac:dyDescent="0.25">
      <c r="A16201" s="8" t="str">
        <f>"Proceedings of the 2nd ACM SIGSPATIAL International Workshop on Analytics for Big Geospatial Data, BigSpatial 2013"</f>
        <v>Proceedings of the 2nd ACM SIGSPATIAL International Workshop on Analytics for Big Geospatial Data, BigSpatial 2013</v>
      </c>
      <c r="B16201" s="8" t="str">
        <f>"9781450325349"</f>
        <v>9781450325349</v>
      </c>
      <c r="C16201" s="8" t="s">
        <v>21</v>
      </c>
    </row>
    <row r="16202" spans="1:3" x14ac:dyDescent="0.25">
      <c r="A16202" s="8" t="str">
        <f>"Proceedings of the 2nd ACM SIGSPATIAL International Workshop on GeoStreaming, IWGS 2011"</f>
        <v>Proceedings of the 2nd ACM SIGSPATIAL International Workshop on GeoStreaming, IWGS 2011</v>
      </c>
      <c r="B16202" s="8" t="str">
        <f>"9781450310369"</f>
        <v>9781450310369</v>
      </c>
      <c r="C16202" s="8" t="s">
        <v>21</v>
      </c>
    </row>
    <row r="16203" spans="1:3" x14ac:dyDescent="0.25">
      <c r="A16203" s="8" t="str">
        <f>"Proceedings of the 2nd ACM SIGSPATIAL International Workshop on Location Based Social Networks, LBSN 2010 - Held in Conjunction with ACM SIGSPATIAL GIS 2010"</f>
        <v>Proceedings of the 2nd ACM SIGSPATIAL International Workshop on Location Based Social Networks, LBSN 2010 - Held in Conjunction with ACM SIGSPATIAL GIS 2010</v>
      </c>
      <c r="B16203" s="8" t="str">
        <f>"9781450304344"</f>
        <v>9781450304344</v>
      </c>
      <c r="C16203" s="8" t="s">
        <v>21</v>
      </c>
    </row>
    <row r="16204" spans="1:3" x14ac:dyDescent="0.25">
      <c r="A16204" s="8" t="str">
        <f>"Proceedings of the 2nd ACM SIGSPATIAL International Workshop on Querying and Mining Uncertain Spatio-Temporal Data, QUeST 2011"</f>
        <v>Proceedings of the 2nd ACM SIGSPATIAL International Workshop on Querying and Mining Uncertain Spatio-Temporal Data, QUeST 2011</v>
      </c>
      <c r="B16204" s="8" t="str">
        <f>"9781450310376"</f>
        <v>9781450310376</v>
      </c>
      <c r="C16204" s="8" t="s">
        <v>21</v>
      </c>
    </row>
    <row r="16205" spans="1:3" x14ac:dyDescent="0.25">
      <c r="A16205" s="8" t="str">
        <f>"Proceedings of the 2nd ACM Symposium on Cloud Computing, SOCC 2011"</f>
        <v>Proceedings of the 2nd ACM Symposium on Cloud Computing, SOCC 2011</v>
      </c>
      <c r="B16205" s="8" t="str">
        <f>"9781450309769"</f>
        <v>9781450309769</v>
      </c>
      <c r="C16205" s="8" t="s">
        <v>21</v>
      </c>
    </row>
    <row r="16206" spans="1:3" x14ac:dyDescent="0.25">
      <c r="A16206" s="8" t="str">
        <f>"Proceedings of the 2nd ACM Symposium on Computer Human Interaction for Management of Information Technology, CHiMiT '08"</f>
        <v>Proceedings of the 2nd ACM Symposium on Computer Human Interaction for Management of Information Technology, CHiMiT '08</v>
      </c>
      <c r="B16206" s="8" t="str">
        <f>"9781605583556"</f>
        <v>9781605583556</v>
      </c>
      <c r="C16206" s="8" t="s">
        <v>21</v>
      </c>
    </row>
    <row r="16207" spans="1:3" x14ac:dyDescent="0.25">
      <c r="A16207" s="8" t="str">
        <f>"Proceedings of the 2nd ACM Symposium on Computing for Development, DEV 2012"</f>
        <v>Proceedings of the 2nd ACM Symposium on Computing for Development, DEV 2012</v>
      </c>
      <c r="B16207" s="8" t="str">
        <f>"9781450312622"</f>
        <v>9781450312622</v>
      </c>
      <c r="C16207" s="8" t="s">
        <v>21</v>
      </c>
    </row>
    <row r="16208" spans="1:3" x14ac:dyDescent="0.25">
      <c r="A16208" s="8" t="str">
        <f>"Proceedings of the 2nd ACM Workshop on Many-Task Computing on Grids and Supercomputers 2009, MTAGS '09"</f>
        <v>Proceedings of the 2nd ACM Workshop on Many-Task Computing on Grids and Supercomputers 2009, MTAGS '09</v>
      </c>
      <c r="B16208" s="8" t="str">
        <f>"9781605587141"</f>
        <v>9781605587141</v>
      </c>
      <c r="C16208" s="8" t="s">
        <v>21</v>
      </c>
    </row>
    <row r="16209" spans="1:3" x14ac:dyDescent="0.25">
      <c r="A16209" s="8" t="str">
        <f>"Proceedings of the 2nd ACM Workshop on Quality of Protection, QoP'06. Co-located with the 13th ACM Conference on Computer and Communications Security, CCS'06"</f>
        <v>Proceedings of the 2nd ACM Workshop on Quality of Protection, QoP'06. Co-located with the 13th ACM Conference on Computer and Communications Security, CCS'06</v>
      </c>
      <c r="B16209" s="8" t="str">
        <f>"9781595935533"</f>
        <v>9781595935533</v>
      </c>
      <c r="C16209" s="8" t="s">
        <v>21</v>
      </c>
    </row>
    <row r="16210" spans="1:3" x14ac:dyDescent="0.25">
      <c r="A16210" s="8" t="str">
        <f>"Proceedings of the 2nd Artificial Intelligence and Interactive Digital Entertainment Conference, AIIDE 2006"</f>
        <v>Proceedings of the 2nd Artificial Intelligence and Interactive Digital Entertainment Conference, AIIDE 2006</v>
      </c>
      <c r="B16210" s="8" t="str">
        <f>"9781577352808"</f>
        <v>9781577352808</v>
      </c>
      <c r="C16210" s="8" t="s">
        <v>1257</v>
      </c>
    </row>
    <row r="16211" spans="1:3" x14ac:dyDescent="0.25">
      <c r="A16211" s="8" t="str">
        <f>"Proceedings of the 2nd Asia Symposium on Quality Electronic Design, ASQED 2010"</f>
        <v>Proceedings of the 2nd Asia Symposium on Quality Electronic Design, ASQED 2010</v>
      </c>
      <c r="B16211" s="8" t="str">
        <f>"9781424478088"</f>
        <v>9781424478088</v>
      </c>
      <c r="C16211" s="8" t="s">
        <v>9</v>
      </c>
    </row>
    <row r="16212" spans="1:3" x14ac:dyDescent="0.25">
      <c r="A16212" s="8" t="str">
        <f>"Proceedings of the 2nd Asia-Pacific Symposium on Internetware, Internetware 2010"</f>
        <v>Proceedings of the 2nd Asia-Pacific Symposium on Internetware, Internetware 2010</v>
      </c>
      <c r="B16212" s="8" t="str">
        <f>"9781450306942"</f>
        <v>9781450306942</v>
      </c>
      <c r="C16212" s="8" t="s">
        <v>21</v>
      </c>
    </row>
    <row r="16213" spans="1:3" x14ac:dyDescent="0.25">
      <c r="A16213" s="8" t="str">
        <f>"Proceedings of the 2nd Asia-Pacific Workshop on Systems, APSys'11"</f>
        <v>Proceedings of the 2nd Asia-Pacific Workshop on Systems, APSys'11</v>
      </c>
      <c r="B16213" s="8" t="str">
        <f>"9781450311793"</f>
        <v>9781450311793</v>
      </c>
      <c r="C16213" s="8" t="s">
        <v>21</v>
      </c>
    </row>
    <row r="16214" spans="1:3" x14ac:dyDescent="0.25">
      <c r="A16214" s="8" t="str">
        <f>"Proceedings of the 2nd Bangalore Annual Compute Conference, COMPUTE'09"</f>
        <v>Proceedings of the 2nd Bangalore Annual Compute Conference, COMPUTE'09</v>
      </c>
      <c r="B16214" s="8" t="str">
        <f>"9781605584768"</f>
        <v>9781605584768</v>
      </c>
      <c r="C16214" s="8" t="s">
        <v>21</v>
      </c>
    </row>
    <row r="16215" spans="1:3" x14ac:dyDescent="0.25">
      <c r="A16215" s="8" t="str">
        <f>"Proceedings of the 2nd Biennial IEEE/RAS-EMBS International Conference on Biomedical Robotics and Biomechatronics, BioRob 2008"</f>
        <v>Proceedings of the 2nd Biennial IEEE/RAS-EMBS International Conference on Biomedical Robotics and Biomechatronics, BioRob 2008</v>
      </c>
      <c r="B16215" s="8" t="str">
        <f>"9781424428830"</f>
        <v>9781424428830</v>
      </c>
      <c r="C16215" s="8" t="s">
        <v>9</v>
      </c>
    </row>
    <row r="16216" spans="1:3" x14ac:dyDescent="0.25">
      <c r="A16216" s="8" t="str">
        <f>"Proceedings of the 2nd Communities and Technologies Conference, C and T 2005"</f>
        <v>Proceedings of the 2nd Communities and Technologies Conference, C and T 2005</v>
      </c>
      <c r="B16216" s="8" t="str">
        <f>"9781402035906"</f>
        <v>9781402035906</v>
      </c>
      <c r="C16216" s="8" t="s">
        <v>162</v>
      </c>
    </row>
    <row r="16217" spans="1:3" x14ac:dyDescent="0.25">
      <c r="A16217" s="8" t="str">
        <f>"Proceedings of the 2nd Conference on Artificial General Intelligence, AGI 2009"</f>
        <v>Proceedings of the 2nd Conference on Artificial General Intelligence, AGI 2009</v>
      </c>
      <c r="B16217" s="8" t="str">
        <f>"9789078677246"</f>
        <v>9789078677246</v>
      </c>
      <c r="C16217" s="8" t="s">
        <v>1380</v>
      </c>
    </row>
    <row r="16218" spans="1:3" x14ac:dyDescent="0.25">
      <c r="A16218" s="8" t="str">
        <f>"Proceedings of the 2nd Energy Nanotechnology International Conference, ENIC2007"</f>
        <v>Proceedings of the 2nd Energy Nanotechnology International Conference, ENIC2007</v>
      </c>
      <c r="B16218" s="8" t="str">
        <f>"9780791847992"</f>
        <v>9780791847992</v>
      </c>
      <c r="C16218" s="8" t="s">
        <v>73</v>
      </c>
    </row>
    <row r="16219" spans="1:3" x14ac:dyDescent="0.25">
      <c r="A16219" s="8" t="str">
        <f>"Proceedings of the 2nd European Workshop on System Security, EUROSEC'09"</f>
        <v>Proceedings of the 2nd European Workshop on System Security, EUROSEC'09</v>
      </c>
      <c r="B16219" s="8" t="str">
        <f>"9781605584720"</f>
        <v>9781605584720</v>
      </c>
      <c r="C16219" s="8" t="s">
        <v>21</v>
      </c>
    </row>
    <row r="16220" spans="1:3" x14ac:dyDescent="0.25">
      <c r="A16220" s="8" t="str">
        <f>"Proceedings of the 2nd Frontiers in Biomedical Devices Conference 2007"</f>
        <v>Proceedings of the 2nd Frontiers in Biomedical Devices Conference 2007</v>
      </c>
      <c r="B16220" s="8" t="str">
        <f>"9780791842669"</f>
        <v>9780791842669</v>
      </c>
      <c r="C16220" s="8" t="s">
        <v>73</v>
      </c>
    </row>
    <row r="16221" spans="1:3" x14ac:dyDescent="0.25">
      <c r="A16221" s="8" t="str">
        <f>"Proceedings of the 2nd IASTED Asian Conference on Modelling, Identification, and Control, AsiaMIC 2012"</f>
        <v>Proceedings of the 2nd IASTED Asian Conference on Modelling, Identification, and Control, AsiaMIC 2012</v>
      </c>
      <c r="B16221" s="8" t="str">
        <f>"-"</f>
        <v>-</v>
      </c>
      <c r="C16221" s="8" t="s">
        <v>305</v>
      </c>
    </row>
    <row r="16222" spans="1:3" x14ac:dyDescent="0.25">
      <c r="A16222" s="8" t="str">
        <f>"Proceedings of the 2nd IASTED International Conference on Advances in Management Science and Risk Assessment, AMSRA 2010"</f>
        <v>Proceedings of the 2nd IASTED International Conference on Advances in Management Science and Risk Assessment, AMSRA 2010</v>
      </c>
      <c r="B16222" s="8" t="str">
        <f>"9780889868618"</f>
        <v>9780889868618</v>
      </c>
      <c r="C16222" s="8" t="s">
        <v>305</v>
      </c>
    </row>
    <row r="16223" spans="1:3" x14ac:dyDescent="0.25">
      <c r="A16223" s="8" t="str">
        <f>"Proceedings of the 2nd IASTED International Conference on Computational Bioscience, CompBio 2011"</f>
        <v>Proceedings of the 2nd IASTED International Conference on Computational Bioscience, CompBio 2011</v>
      </c>
      <c r="B16223" s="8" t="str">
        <f>"9780889868892"</f>
        <v>9780889868892</v>
      </c>
      <c r="C16223" s="8" t="s">
        <v>305</v>
      </c>
    </row>
    <row r="16224" spans="1:3" x14ac:dyDescent="0.25">
      <c r="A16224" s="8" t="str">
        <f>"Proceedings of the 2nd IASTED International Conference on Computational Intelligence, CI 2006"</f>
        <v>Proceedings of the 2nd IASTED International Conference on Computational Intelligence, CI 2006</v>
      </c>
      <c r="B16224" s="8" t="str">
        <f>"9780889866027"</f>
        <v>9780889866027</v>
      </c>
      <c r="C16224" s="8" t="s">
        <v>305</v>
      </c>
    </row>
    <row r="16225" spans="1:3" x14ac:dyDescent="0.25">
      <c r="A16225" s="8" t="str">
        <f>"Proceedings of the 2nd IASTED International Conference on Environmental Management and Engineering, EME 2010"</f>
        <v>Proceedings of the 2nd IASTED International Conference on Environmental Management and Engineering, EME 2010</v>
      </c>
      <c r="B16225" s="8" t="str">
        <f>"9780889868526"</f>
        <v>9780889868526</v>
      </c>
      <c r="C16225" s="8" t="s">
        <v>305</v>
      </c>
    </row>
    <row r="16226" spans="1:3" x14ac:dyDescent="0.25">
      <c r="A16226" s="8" t="str">
        <f>"Proceedings of the 2nd IASTED International Conference on Human-Computer Interaction, HCI 2007"</f>
        <v>Proceedings of the 2nd IASTED International Conference on Human-Computer Interaction, HCI 2007</v>
      </c>
      <c r="B16226" s="8" t="str">
        <f>"9780889866546"</f>
        <v>9780889866546</v>
      </c>
      <c r="C16226" s="8" t="s">
        <v>305</v>
      </c>
    </row>
    <row r="16227" spans="1:3" x14ac:dyDescent="0.25">
      <c r="A16227" s="8" t="str">
        <f>"Proceedings of the 2nd IASTED International Conference on Robotics, Robo 2011"</f>
        <v>Proceedings of the 2nd IASTED International Conference on Robotics, Robo 2011</v>
      </c>
      <c r="B16227" s="8" t="str">
        <f>"9780889869035"</f>
        <v>9780889869035</v>
      </c>
      <c r="C16227" s="8" t="s">
        <v>305</v>
      </c>
    </row>
    <row r="16228" spans="1:3" x14ac:dyDescent="0.25">
      <c r="A16228" s="8" t="str">
        <f>"Proceedings of the 2nd IASTED International Conference on Solar Energy, SOE 2010"</f>
        <v>Proceedings of the 2nd IASTED International Conference on Solar Energy, SOE 2010</v>
      </c>
      <c r="B16228" s="8" t="str">
        <f>"9780889868526"</f>
        <v>9780889868526</v>
      </c>
      <c r="C16228" s="8" t="s">
        <v>305</v>
      </c>
    </row>
    <row r="16229" spans="1:3" x14ac:dyDescent="0.25">
      <c r="A16229" s="8" t="str">
        <f>"Proceedings of the 2nd IASTED International Conference on Telehealth and Assistive Technology, TAT 2009"</f>
        <v>Proceedings of the 2nd IASTED International Conference on Telehealth and Assistive Technology, TAT 2009</v>
      </c>
      <c r="B16229" s="8" t="str">
        <f>"9780889868151"</f>
        <v>9780889868151</v>
      </c>
      <c r="C16229" s="8" t="s">
        <v>305</v>
      </c>
    </row>
    <row r="16230" spans="1:3" x14ac:dyDescent="0.25">
      <c r="A16230" s="8" t="str">
        <f>"Proceedings of The 2nd IEEE Asia-Pacific Services Computing Conference, APSCC 2007"</f>
        <v>Proceedings of The 2nd IEEE Asia-Pacific Services Computing Conference, APSCC 2007</v>
      </c>
      <c r="B16230" s="8" t="str">
        <f>"9780769530512"</f>
        <v>9780769530512</v>
      </c>
      <c r="C16230" s="8" t="s">
        <v>9</v>
      </c>
    </row>
    <row r="16231" spans="1:3" x14ac:dyDescent="0.25">
      <c r="A16231" s="8" t="str">
        <f>"Proceedings of the 2nd IEEE International Conference on Nano/Micro Engineered and Molecular Systems, IEEE NEMS 2007"</f>
        <v>Proceedings of the 2nd IEEE International Conference on Nano/Micro Engineered and Molecular Systems, IEEE NEMS 2007</v>
      </c>
      <c r="B16231" s="8" t="str">
        <f>"9781424406104"</f>
        <v>9781424406104</v>
      </c>
      <c r="C16231" s="8" t="s">
        <v>9</v>
      </c>
    </row>
    <row r="16232" spans="1:3" x14ac:dyDescent="0.25">
      <c r="A16232" s="8" t="str">
        <f>"Proceedings of the 2nd IEEE International Workshop on Advances in Sensors and Interfaces, IWASI"</f>
        <v>Proceedings of the 2nd IEEE International Workshop on Advances in Sensors and Interfaces, IWASI</v>
      </c>
      <c r="B16232" s="8" t="str">
        <f>"9781424412457"</f>
        <v>9781424412457</v>
      </c>
      <c r="C16232" s="8" t="s">
        <v>9</v>
      </c>
    </row>
    <row r="16233" spans="1:3" x14ac:dyDescent="0.25">
      <c r="A16233" s="8" t="str">
        <f>"Proceedings of the 2nd IEEE International Workshop on Intelligent Data Acquisition and Advanced Computing Systems: Technology and Applications, IDAACS 2003"</f>
        <v>Proceedings of the 2nd IEEE International Workshop on Intelligent Data Acquisition and Advanced Computing Systems: Technology and Applications, IDAACS 2003</v>
      </c>
      <c r="B16233" s="8" t="str">
        <f>"9780780381384"</f>
        <v>9780780381384</v>
      </c>
      <c r="C16233" s="8" t="s">
        <v>105</v>
      </c>
    </row>
    <row r="16234" spans="1:3" x14ac:dyDescent="0.25">
      <c r="A16234" s="8" t="str">
        <f>"Proceedings of the 2nd IEEE/ASME International Conference on Mechatronic and Embedded Systems and Applications, MESA 2006"</f>
        <v>Proceedings of the 2nd IEEE/ASME International Conference on Mechatronic and Embedded Systems and Applications, MESA 2006</v>
      </c>
      <c r="B16234" s="8" t="str">
        <f>"9780780397217"</f>
        <v>9780780397217</v>
      </c>
      <c r="C16234" s="8" t="s">
        <v>105</v>
      </c>
    </row>
    <row r="16235" spans="1:3" x14ac:dyDescent="0.25">
      <c r="A16235" s="8" t="str">
        <f>"Proceedings of the 2nd India Software Engineering Conference, ISEC 2009"</f>
        <v>Proceedings of the 2nd India Software Engineering Conference, ISEC 2009</v>
      </c>
      <c r="B16235" s="8" t="str">
        <f>"9781605584263"</f>
        <v>9781605584263</v>
      </c>
      <c r="C16235" s="8" t="s">
        <v>21</v>
      </c>
    </row>
    <row r="16236" spans="1:3" x14ac:dyDescent="0.25">
      <c r="A16236" s="8" t="str">
        <f>"Proceedings of the 2nd Indian International Conference on Artificial Intelligence, IICAI 2005"</f>
        <v>Proceedings of the 2nd Indian International Conference on Artificial Intelligence, IICAI 2005</v>
      </c>
      <c r="B16236" s="8" t="str">
        <f>"9780972741217"</f>
        <v>9780972741217</v>
      </c>
      <c r="C16236" s="8" t="s">
        <v>2197</v>
      </c>
    </row>
    <row r="16237" spans="1:3" x14ac:dyDescent="0.25">
      <c r="A16237" s="8" t="str">
        <f>"Proceedings of the 2nd Int. Workshop on Adversarial Information Retrieval on the Web, AIRWeb 2006 - 29th Annual Int. ACM SIGIR Conf. on Research and Development in Information Retrieval, SIGIR 2006"</f>
        <v>Proceedings of the 2nd Int. Workshop on Adversarial Information Retrieval on the Web, AIRWeb 2006 - 29th Annual Int. ACM SIGIR Conf. on Research and Development in Information Retrieval, SIGIR 2006</v>
      </c>
      <c r="B16237" s="8" t="str">
        <f>"-"</f>
        <v>-</v>
      </c>
      <c r="C16237" s="8" t="s">
        <v>2171</v>
      </c>
    </row>
    <row r="16238" spans="1:3" x14ac:dyDescent="0.25">
      <c r="A16238" s="8" t="str">
        <f>"Proceedings of the 2nd Interdisciplinary Engineering Design Education Conference, IEDEC 2012"</f>
        <v>Proceedings of the 2nd Interdisciplinary Engineering Design Education Conference, IEDEC 2012</v>
      </c>
      <c r="B16238" s="8" t="str">
        <f>"9781467308403"</f>
        <v>9781467308403</v>
      </c>
      <c r="C16238" s="8" t="s">
        <v>9</v>
      </c>
    </row>
    <row r="16239" spans="1:3" x14ac:dyDescent="0.25">
      <c r="A16239" s="8" t="str">
        <f>"Proceedings of the 2nd International ACM SIGPLAN Conference on Principles and Practice of Declarative Programming"</f>
        <v>Proceedings of the 2nd International ACM SIGPLAN Conference on Principles and Practice of Declarative Programming</v>
      </c>
      <c r="B16239" s="8" t="str">
        <f>"9781581132656"</f>
        <v>9781581132656</v>
      </c>
      <c r="C16239" s="8" t="s">
        <v>21</v>
      </c>
    </row>
    <row r="16240" spans="1:3" x14ac:dyDescent="0.25">
      <c r="A16240" s="8" t="str">
        <f>"Proceedings of the 2nd International Conference on Asian-European Environmental Technology and Knowledge Transfer"</f>
        <v>Proceedings of the 2nd International Conference on Asian-European Environmental Technology and Knowledge Transfer</v>
      </c>
      <c r="B16240" s="8" t="str">
        <f>"9783000246067"</f>
        <v>9783000246067</v>
      </c>
      <c r="C16240" s="8" t="s">
        <v>1266</v>
      </c>
    </row>
    <row r="16241" spans="1:3" x14ac:dyDescent="0.25">
      <c r="A16241" s="8" t="str">
        <f>"Proceedings of the 2nd International Conference on Asian-European Environmental Technology and Knowledge Transfer"</f>
        <v>Proceedings of the 2nd International Conference on Asian-European Environmental Technology and Knowledge Transfer</v>
      </c>
      <c r="B16241" s="8" t="str">
        <f>"9783000246067"</f>
        <v>9783000246067</v>
      </c>
      <c r="C16241" s="8" t="s">
        <v>1266</v>
      </c>
    </row>
    <row r="16242" spans="1:3" x14ac:dyDescent="0.25">
      <c r="A16242" s="8" t="str">
        <f>"Proceedings of the 2nd International Conference on Cognitive Radio Oriented Wireless Networks and Communications, CrownCom"</f>
        <v>Proceedings of the 2nd International Conference on Cognitive Radio Oriented Wireless Networks and Communications, CrownCom</v>
      </c>
      <c r="B16242" s="8" t="str">
        <f>"9781424408153"</f>
        <v>9781424408153</v>
      </c>
      <c r="C16242" s="8" t="s">
        <v>9</v>
      </c>
    </row>
    <row r="16243" spans="1:3" x14ac:dyDescent="0.25">
      <c r="A16243" s="8" t="str">
        <f>"Proceedings of the 2nd International Conference on Complex Systems Design and Management, CSDM 2011"</f>
        <v>Proceedings of the 2nd International Conference on Complex Systems Design and Management, CSDM 2011</v>
      </c>
      <c r="B16243" s="8" t="str">
        <f>"9783642252020"</f>
        <v>9783642252020</v>
      </c>
      <c r="C16243" s="8" t="s">
        <v>1639</v>
      </c>
    </row>
    <row r="16244" spans="1:3" x14ac:dyDescent="0.25">
      <c r="A16244" s="8" t="str">
        <f>"Proceedings of the 2nd International Conference on Computational Creativity, ICCC 2011"</f>
        <v>Proceedings of the 2nd International Conference on Computational Creativity, ICCC 2011</v>
      </c>
      <c r="B16244" s="8" t="str">
        <f>"9786074774870"</f>
        <v>9786074774870</v>
      </c>
      <c r="C16244" s="8" t="s">
        <v>2198</v>
      </c>
    </row>
    <row r="16245" spans="1:3" x14ac:dyDescent="0.25">
      <c r="A16245" s="8" t="str">
        <f>"Proceedings of the 2nd International Conference on Distributed Event-Based Systems, DEBS 2008"</f>
        <v>Proceedings of the 2nd International Conference on Distributed Event-Based Systems, DEBS 2008</v>
      </c>
      <c r="B16245" s="8" t="str">
        <f>"9781605580906"</f>
        <v>9781605580906</v>
      </c>
      <c r="C16245" s="8" t="s">
        <v>21</v>
      </c>
    </row>
    <row r="16246" spans="1:3" x14ac:dyDescent="0.25">
      <c r="A16246" s="8" t="str">
        <f>"Proceedings of the 2nd International Conference on Electronic and Mechanical Engineering and Information Technology, EMEIT 2012"</f>
        <v>Proceedings of the 2nd International Conference on Electronic and Mechanical Engineering and Information Technology, EMEIT 2012</v>
      </c>
      <c r="B16246" s="8" t="str">
        <f>"9789078677604"</f>
        <v>9789078677604</v>
      </c>
      <c r="C16246" s="8" t="s">
        <v>1380</v>
      </c>
    </row>
    <row r="16247" spans="1:3" x14ac:dyDescent="0.25">
      <c r="A16247" s="8" t="str">
        <f>"Proceedings of the 2nd International Conference on Environmental and Geological Science and Engineering, EG '09"</f>
        <v>Proceedings of the 2nd International Conference on Environmental and Geological Science and Engineering, EG '09</v>
      </c>
      <c r="B16247" s="8" t="str">
        <f>"9789604741199"</f>
        <v>9789604741199</v>
      </c>
      <c r="C16247" s="8" t="s">
        <v>553</v>
      </c>
    </row>
    <row r="16248" spans="1:3" x14ac:dyDescent="0.25">
      <c r="A16248" s="8" t="str">
        <f>"Proceedings of the 2nd International Conference on Information Security and Assurance, ISA 2008"</f>
        <v>Proceedings of the 2nd International Conference on Information Security and Assurance, ISA 2008</v>
      </c>
      <c r="B16248" s="8" t="str">
        <f>"9780769531267"</f>
        <v>9780769531267</v>
      </c>
      <c r="C16248" s="8" t="s">
        <v>9</v>
      </c>
    </row>
    <row r="16249" spans="1:3" x14ac:dyDescent="0.25">
      <c r="A16249" s="8" t="str">
        <f>"Proceedings of the 2nd International Conference on Intelligent Control and Information Processing, ICICIP 2011"</f>
        <v>Proceedings of the 2nd International Conference on Intelligent Control and Information Processing, ICICIP 2011</v>
      </c>
      <c r="B16249" s="8" t="str">
        <f>"9781457708145"</f>
        <v>9781457708145</v>
      </c>
      <c r="C16249" s="8" t="s">
        <v>9</v>
      </c>
    </row>
    <row r="16250" spans="1:3" x14ac:dyDescent="0.25">
      <c r="A16250" s="8" t="str">
        <f>"Proceedings of the 2nd International Conference on Internet Multimedia Computing and Service, ICIMCS'10"</f>
        <v>Proceedings of the 2nd International Conference on Internet Multimedia Computing and Service, ICIMCS'10</v>
      </c>
      <c r="B16250" s="8" t="str">
        <f>"9781450304603"</f>
        <v>9781450304603</v>
      </c>
      <c r="C16250" s="8" t="s">
        <v>21</v>
      </c>
    </row>
    <row r="16251" spans="1:3" x14ac:dyDescent="0.25">
      <c r="A16251" s="8" t="str">
        <f>"Proceedings of the 2nd International Conference on Internet Technologies and Applications, ITA 07"</f>
        <v>Proceedings of the 2nd International Conference on Internet Technologies and Applications, ITA 07</v>
      </c>
      <c r="B16251" s="8" t="str">
        <f>"9780946881543"</f>
        <v>9780946881543</v>
      </c>
      <c r="C16251" s="8" t="s">
        <v>2170</v>
      </c>
    </row>
    <row r="16252" spans="1:3" x14ac:dyDescent="0.25">
      <c r="A16252" s="8" t="str">
        <f>"Proceedings of the 2nd International Conference on Maritime and Naval Science and Engineering, MN '09"</f>
        <v>Proceedings of the 2nd International Conference on Maritime and Naval Science and Engineering, MN '09</v>
      </c>
      <c r="B16252" s="8" t="str">
        <f>"9789604741205"</f>
        <v>9789604741205</v>
      </c>
      <c r="C16252" s="8" t="s">
        <v>553</v>
      </c>
    </row>
    <row r="16253" spans="1:3" x14ac:dyDescent="0.25">
      <c r="A16253" s="8" t="str">
        <f>"Proceedings of the 2nd International Conference on Mobile Multimedia Communications, MobiMedia '06"</f>
        <v>Proceedings of the 2nd International Conference on Mobile Multimedia Communications, MobiMedia '06</v>
      </c>
      <c r="B16253" s="8" t="str">
        <f>"-"</f>
        <v>-</v>
      </c>
      <c r="C16253" s="8" t="s">
        <v>21</v>
      </c>
    </row>
    <row r="16254" spans="1:3" x14ac:dyDescent="0.25">
      <c r="A16254" s="8" t="str">
        <f>"Proceedings of the 2nd International Conference on Modelling and Simulation, ICMS2009"</f>
        <v>Proceedings of the 2nd International Conference on Modelling and Simulation, ICMS2009</v>
      </c>
      <c r="B16254" s="8" t="str">
        <f>"9781846260612"</f>
        <v>9781846260612</v>
      </c>
      <c r="C16254" s="8" t="s">
        <v>2199</v>
      </c>
    </row>
    <row r="16255" spans="1:3" x14ac:dyDescent="0.25">
      <c r="A16255" s="8" t="str">
        <f>"Proceedings of the 2nd International Conference on Pervasive Computing Technologies for Healthcare 2008, PervasiveHealth"</f>
        <v>Proceedings of the 2nd International Conference on Pervasive Computing Technologies for Healthcare 2008, PervasiveHealth</v>
      </c>
      <c r="B16255" s="8" t="str">
        <f>"9789639799158"</f>
        <v>9789639799158</v>
      </c>
      <c r="C16255" s="8" t="s">
        <v>9</v>
      </c>
    </row>
    <row r="16256" spans="1:3" x14ac:dyDescent="0.25">
      <c r="A16256" s="8" t="str">
        <f>"Proceedings of the 2nd International Conference on Research Challenges in Information Science, RCIS 2008"</f>
        <v>Proceedings of the 2nd International Conference on Research Challenges in Information Science, RCIS 2008</v>
      </c>
      <c r="B16256" s="8" t="str">
        <f>"9781424416776"</f>
        <v>9781424416776</v>
      </c>
      <c r="C16256" s="8" t="s">
        <v>9</v>
      </c>
    </row>
    <row r="16257" spans="1:3" x14ac:dyDescent="0.25">
      <c r="A16257" s="8" t="str">
        <f>"Proceedings of the 2nd International Conference on Transportation Engineering, ICTE 2009"</f>
        <v>Proceedings of the 2nd International Conference on Transportation Engineering, ICTE 2009</v>
      </c>
      <c r="B16257" s="8" t="str">
        <f>"9780784410394"</f>
        <v>9780784410394</v>
      </c>
      <c r="C16257" s="8" t="s">
        <v>111</v>
      </c>
    </row>
    <row r="16258" spans="1:3" x14ac:dyDescent="0.25">
      <c r="A16258" s="8" t="str">
        <f>"Proceedings of the 2nd International Conference on Trendz in Information Sciences and Computing, TISC-2010"</f>
        <v>Proceedings of the 2nd International Conference on Trendz in Information Sciences and Computing, TISC-2010</v>
      </c>
      <c r="B16258" s="8" t="str">
        <f>"9781424490080"</f>
        <v>9781424490080</v>
      </c>
      <c r="C16258" s="8" t="s">
        <v>9</v>
      </c>
    </row>
    <row r="16259" spans="1:3" x14ac:dyDescent="0.25">
      <c r="A16259" s="8" t="str">
        <f>"Proceedings of the 2nd International Conference on Ubiquitous Information Management and Communication, ICUIMC-2008"</f>
        <v>Proceedings of the 2nd International Conference on Ubiquitous Information Management and Communication, ICUIMC-2008</v>
      </c>
      <c r="B16259" s="8" t="str">
        <f>"9781595939937"</f>
        <v>9781595939937</v>
      </c>
      <c r="C16259" s="8" t="s">
        <v>21</v>
      </c>
    </row>
    <row r="16260" spans="1:3" x14ac:dyDescent="0.25">
      <c r="A16260" s="8" t="str">
        <f>"Proceedings of the 2nd International Conference on Value Engineering and Technology Innovation, ICVETI'04"</f>
        <v>Proceedings of the 2nd International Conference on Value Engineering and Technology Innovation, ICVETI'04</v>
      </c>
      <c r="B16260" s="8" t="str">
        <f>"9787506274463"</f>
        <v>9787506274463</v>
      </c>
      <c r="C16260" s="8" t="s">
        <v>991</v>
      </c>
    </row>
    <row r="16261" spans="1:3" x14ac:dyDescent="0.25">
      <c r="A16261" s="8" t="str">
        <f>"Proceedings of the 2nd International Conference on Value Engineering and Technology Innovation, ICVETI'04"</f>
        <v>Proceedings of the 2nd International Conference on Value Engineering and Technology Innovation, ICVETI'04</v>
      </c>
      <c r="B16261" s="8" t="str">
        <f>"9787506274463"</f>
        <v>9787506274463</v>
      </c>
    </row>
    <row r="16262" spans="1:3" x14ac:dyDescent="0.25">
      <c r="A16262" s="8" t="str">
        <f>"Proceedings of the 2nd International Conference on Web Information Systems Engineering, WISE 2001"</f>
        <v>Proceedings of the 2nd International Conference on Web Information Systems Engineering, WISE 2001</v>
      </c>
      <c r="B16262" s="8" t="str">
        <f>"-"</f>
        <v>-</v>
      </c>
      <c r="C16262" s="8" t="s">
        <v>105</v>
      </c>
    </row>
    <row r="16263" spans="1:3" x14ac:dyDescent="0.25">
      <c r="A16263" s="8" t="str">
        <f>"Proceedings of the 2nd International Conferences on Advances in Computer-Human Interactions, ACHI 2009"</f>
        <v>Proceedings of the 2nd International Conferences on Advances in Computer-Human Interactions, ACHI 2009</v>
      </c>
      <c r="B16263" s="8" t="str">
        <f>"9780769535296"</f>
        <v>9780769535296</v>
      </c>
      <c r="C16263" s="8" t="s">
        <v>9</v>
      </c>
    </row>
    <row r="16264" spans="1:3" x14ac:dyDescent="0.25">
      <c r="A16264" s="8" t="str">
        <f>"Proceedings of the 2nd International Cryptology Conference "</f>
        <v xml:space="preserve">Proceedings of the 2nd International Cryptology Conference </v>
      </c>
      <c r="B16264" s="8" t="str">
        <f>"9789832948780"</f>
        <v>9789832948780</v>
      </c>
      <c r="C16264" s="8" t="s">
        <v>2200</v>
      </c>
    </row>
    <row r="16265" spans="1:3" x14ac:dyDescent="0.25">
      <c r="A16265" s="8" t="str">
        <f>"Proceedings of the 2nd International Living Usability Lab Workshop on AAL Latest Solutions, Trends and Applications, AAL 2012, in Conjunction with BIOSTEC 2012"</f>
        <v>Proceedings of the 2nd International Living Usability Lab Workshop on AAL Latest Solutions, Trends and Applications, AAL 2012, in Conjunction with BIOSTEC 2012</v>
      </c>
      <c r="B16265" s="8" t="str">
        <f>"9789898425935"</f>
        <v>9789898425935</v>
      </c>
      <c r="C16265" s="8" t="s">
        <v>1197</v>
      </c>
    </row>
    <row r="16266" spans="1:3" x14ac:dyDescent="0.25">
      <c r="A16266" s="8" t="str">
        <f>"Proceedings of the 2nd International Petascale Data Storage Workshop, PDSW '07, held in Conjunction with Supercomputing '07"</f>
        <v>Proceedings of the 2nd International Petascale Data Storage Workshop, PDSW '07, held in Conjunction with Supercomputing '07</v>
      </c>
      <c r="B16266" s="8" t="str">
        <f>"9781595938992"</f>
        <v>9781595938992</v>
      </c>
      <c r="C16266" s="8" t="s">
        <v>21</v>
      </c>
    </row>
    <row r="16267" spans="1:3" x14ac:dyDescent="0.25">
      <c r="A16267" s="8" t="str">
        <f>"Proceedings of the 2nd International Postgraduate Conference on Infrastructure and Environment, IPCIE 2010"</f>
        <v>Proceedings of the 2nd International Postgraduate Conference on Infrastructure and Environment, IPCIE 2010</v>
      </c>
      <c r="B16267" s="8" t="str">
        <f>"9789881731135"</f>
        <v>9789881731135</v>
      </c>
      <c r="C16267" s="8" t="s">
        <v>2122</v>
      </c>
    </row>
    <row r="16268" spans="1:3" x14ac:dyDescent="0.25">
      <c r="A16268" s="8" t="str">
        <f>"Proceedings of the 2nd International Symposium on Human Aspects of Information Security and Assurance, HAISA 2008"</f>
        <v>Proceedings of the 2nd International Symposium on Human Aspects of Information Security and Assurance, HAISA 2008</v>
      </c>
      <c r="B16268" s="8" t="str">
        <f>"9781841021898"</f>
        <v>9781841021898</v>
      </c>
      <c r="C16268" s="8" t="s">
        <v>2201</v>
      </c>
    </row>
    <row r="16269" spans="1:3" x14ac:dyDescent="0.25">
      <c r="A16269" s="8" t="str">
        <f>"Proceedings of the 2nd International Symposium on New Frontiers in Human-Robot Interaction - A Symposium at the AISB 2010 Convention"</f>
        <v>Proceedings of the 2nd International Symposium on New Frontiers in Human-Robot Interaction - A Symposium at the AISB 2010 Convention</v>
      </c>
      <c r="B16269" s="8" t="str">
        <f>"9781902956879"</f>
        <v>9781902956879</v>
      </c>
      <c r="C16269" s="8" t="s">
        <v>1656</v>
      </c>
    </row>
    <row r="16270" spans="1:3" x14ac:dyDescent="0.25">
      <c r="A16270" s="8" t="str">
        <f>"Proceedings of the 2nd International Symposium on Universal Communication, ISUC 2008"</f>
        <v>Proceedings of the 2nd International Symposium on Universal Communication, ISUC 2008</v>
      </c>
      <c r="B16270" s="8" t="str">
        <f>"9780769534336"</f>
        <v>9780769534336</v>
      </c>
      <c r="C16270" s="8" t="s">
        <v>9</v>
      </c>
    </row>
    <row r="16271" spans="1:3" x14ac:dyDescent="0.25">
      <c r="A16271" s="8" t="str">
        <f>"Proceedings of the 2nd International Workshop on Advanced Ground Penetrating Radar"</f>
        <v>Proceedings of the 2nd International Workshop on Advanced Ground Penetrating Radar</v>
      </c>
      <c r="B16271" s="8" t="str">
        <f>"9789076928043"</f>
        <v>9789076928043</v>
      </c>
      <c r="C16271" s="8" t="s">
        <v>105</v>
      </c>
    </row>
    <row r="16272" spans="1:3" x14ac:dyDescent="0.25">
      <c r="A16272" s="8" t="str">
        <f>"Proceedings of the 2nd International Workshop on Architectures, Concepts and Technologies for Service Oriented Computing, ACT4SOC 2008 - In Conjunction with ICSOFT 2008"</f>
        <v>Proceedings of the 2nd International Workshop on Architectures, Concepts and Technologies for Service Oriented Computing, ACT4SOC 2008 - In Conjunction with ICSOFT 2008</v>
      </c>
      <c r="B16272" s="8" t="str">
        <f>"9789898111555"</f>
        <v>9789898111555</v>
      </c>
      <c r="C16272" s="8" t="s">
        <v>1553</v>
      </c>
    </row>
    <row r="16273" spans="1:3" x14ac:dyDescent="0.25">
      <c r="A16273" s="8" t="str">
        <f>"Proceedings of the 2nd International Workshop on Artificial Neural Networks and Intelligent Information Processing, ANNIIP 2006, in Conjunction with ICINCO 2006"</f>
        <v>Proceedings of the 2nd International Workshop on Artificial Neural Networks and Intelligent Information Processing, ANNIIP 2006, in Conjunction with ICINCO 2006</v>
      </c>
      <c r="B16273" s="8" t="str">
        <f>"9789728865689"</f>
        <v>9789728865689</v>
      </c>
      <c r="C16273" s="8" t="s">
        <v>1680</v>
      </c>
    </row>
    <row r="16274" spans="1:3" x14ac:dyDescent="0.25">
      <c r="A16274" s="8" t="str">
        <f>"Proceedings of the 2nd International Workshop on Biosignal Processing and Classification, BPC 2006, in Conjunction with ICINCO 2006"</f>
        <v>Proceedings of the 2nd International Workshop on Biosignal Processing and Classification, BPC 2006, in Conjunction with ICINCO 2006</v>
      </c>
      <c r="B16274" s="8" t="str">
        <f>"9789728865672"</f>
        <v>9789728865672</v>
      </c>
      <c r="C16274" s="8" t="s">
        <v>1680</v>
      </c>
    </row>
    <row r="16275" spans="1:3" x14ac:dyDescent="0.25">
      <c r="A16275" s="8" t="str">
        <f>"Proceedings of the 2nd International Workshop on Camera-Based Document Analysis and Recognition, CBDAR 2007"</f>
        <v>Proceedings of the 2nd International Workshop on Camera-Based Document Analysis and Recognition, CBDAR 2007</v>
      </c>
      <c r="B16275" s="8" t="str">
        <f>"-"</f>
        <v>-</v>
      </c>
      <c r="C16275" s="8" t="s">
        <v>2172</v>
      </c>
    </row>
    <row r="16276" spans="1:3" x14ac:dyDescent="0.25">
      <c r="A16276" s="8" t="str">
        <f>"Proceedings of the 2nd International Workshop on Cloud Computing Platforms, CloudCP 2012 - Co-located with EuroSys 2012"</f>
        <v>Proceedings of the 2nd International Workshop on Cloud Computing Platforms, CloudCP 2012 - Co-located with EuroSys 2012</v>
      </c>
      <c r="B16276" s="8" t="str">
        <f>"9781595930361"</f>
        <v>9781595930361</v>
      </c>
      <c r="C16276" s="8" t="s">
        <v>21</v>
      </c>
    </row>
    <row r="16277" spans="1:3" x14ac:dyDescent="0.25">
      <c r="A16277" s="8" t="str">
        <f>"Proceedings of the 2nd International Workshop on Combined Object-Oriented Modelling and Programming Languages, ECOOP 2013"</f>
        <v>Proceedings of the 2nd International Workshop on Combined Object-Oriented Modelling and Programming Languages, ECOOP 2013</v>
      </c>
      <c r="B16277" s="8" t="str">
        <f>"9781450320399"</f>
        <v>9781450320399</v>
      </c>
      <c r="C16277" s="8" t="s">
        <v>21</v>
      </c>
    </row>
    <row r="16278" spans="1:3" x14ac:dyDescent="0.25">
      <c r="A16278" s="8" t="str">
        <f>"Proceedings of the 2nd International Workshop on Computer Supported Activity Coordination, CSAC 2005, in Conjunction with ICEIS 2005"</f>
        <v>Proceedings of the 2nd International Workshop on Computer Supported Activity Coordination, CSAC 2005, in Conjunction with ICEIS 2005</v>
      </c>
      <c r="B16278" s="8" t="str">
        <f>"9789728865214"</f>
        <v>9789728865214</v>
      </c>
      <c r="C16278" s="8" t="s">
        <v>1680</v>
      </c>
    </row>
    <row r="16279" spans="1:3" x14ac:dyDescent="0.25">
      <c r="A16279" s="8" t="str">
        <f>"Proceedings of the 2nd International Workshop on Computing Paradigms for Mental Health, MindCare 2012, in Conjunction with BIOSTEC 2012"</f>
        <v>Proceedings of the 2nd International Workshop on Computing Paradigms for Mental Health, MindCare 2012, in Conjunction with BIOSTEC 2012</v>
      </c>
      <c r="B16279" s="8" t="str">
        <f>"9789898425928"</f>
        <v>9789898425928</v>
      </c>
      <c r="C16279" s="8" t="s">
        <v>1197</v>
      </c>
    </row>
    <row r="16280" spans="1:3" x14ac:dyDescent="0.25">
      <c r="A16280" s="8" t="str">
        <f>"Proceedings of the 2nd International Workshop on Cross-Cloud Systems, CrossCloud Brokers 2014 - Held in conjunction with the 15th ACM/IFIP/USENIX International Middleware Conference, Middleware 2014"</f>
        <v>Proceedings of the 2nd International Workshop on Cross-Cloud Systems, CrossCloud Brokers 2014 - Held in conjunction with the 15th ACM/IFIP/USENIX International Middleware Conference, Middleware 2014</v>
      </c>
      <c r="B16280" s="8" t="str">
        <f>"9781450332330"</f>
        <v>9781450332330</v>
      </c>
      <c r="C16280" s="8" t="s">
        <v>1235</v>
      </c>
    </row>
    <row r="16281" spans="1:3" x14ac:dyDescent="0.25">
      <c r="A16281" s="8" t="str">
        <f>"Proceedings of the 2nd International Workshop on Data Management on New Hardware 2006"</f>
        <v>Proceedings of the 2nd International Workshop on Data Management on New Hardware 2006</v>
      </c>
      <c r="B16281" s="8" t="str">
        <f>"-"</f>
        <v>-</v>
      </c>
      <c r="C16281" s="8" t="s">
        <v>21</v>
      </c>
    </row>
    <row r="16282" spans="1:3" x14ac:dyDescent="0.25">
      <c r="A16282" s="8" t="str">
        <f>"Proceedings of the 2nd International Workshop on Data Mining and Audience Intelligence for Advertising, ADKDD'08"</f>
        <v>Proceedings of the 2nd International Workshop on Data Mining and Audience Intelligence for Advertising, ADKDD'08</v>
      </c>
      <c r="B16282" s="8" t="str">
        <f>"9781605582771"</f>
        <v>9781605582771</v>
      </c>
      <c r="C16282" s="8" t="s">
        <v>21</v>
      </c>
    </row>
    <row r="16283" spans="1:3" x14ac:dyDescent="0.25">
      <c r="A16283" s="8" t="str">
        <f>"Proceedings of the 2nd International Workshop on Earth Observation and Remote Sensing Applications, EORSA 2012"</f>
        <v>Proceedings of the 2nd International Workshop on Earth Observation and Remote Sensing Applications, EORSA 2012</v>
      </c>
      <c r="B16283" s="8" t="str">
        <f>"9781467319461"</f>
        <v>9781467319461</v>
      </c>
      <c r="C16283" s="8" t="s">
        <v>9</v>
      </c>
    </row>
    <row r="16284" spans="1:3" x14ac:dyDescent="0.25">
      <c r="A16284" s="8" t="str">
        <f>"Proceedings of the 2nd International Workshop on e-Health Services and Technologies, EHST 2008 - In Conjunction with ICSOFT 2008"</f>
        <v>Proceedings of the 2nd International Workshop on e-Health Services and Technologies, EHST 2008 - In Conjunction with ICSOFT 2008</v>
      </c>
      <c r="B16284" s="8" t="str">
        <f>"9789898111562"</f>
        <v>9789898111562</v>
      </c>
      <c r="C16284" s="8" t="s">
        <v>1553</v>
      </c>
    </row>
    <row r="16285" spans="1:3" x14ac:dyDescent="0.25">
      <c r="A16285" s="8" t="str">
        <f>"Proceedings of the 2nd International Workshop on Enterprise Modelling and Information Systems Architectures - Concepts and Applications, EMISA 2007"</f>
        <v>Proceedings of the 2nd International Workshop on Enterprise Modelling and Information Systems Architectures - Concepts and Applications, EMISA 2007</v>
      </c>
      <c r="B16285" s="8" t="str">
        <f>"9783885792130"</f>
        <v>9783885792130</v>
      </c>
      <c r="C16285" s="8" t="s">
        <v>833</v>
      </c>
    </row>
    <row r="16286" spans="1:3" x14ac:dyDescent="0.25">
      <c r="A16286" s="8" t="str">
        <f>"Proceedings of the 2nd International Workshop on Experiences and Empirical Studies in Software Modelling, EESSMod 2012"</f>
        <v>Proceedings of the 2nd International Workshop on Experiences and Empirical Studies in Software Modelling, EESSMod 2012</v>
      </c>
      <c r="B16286" s="8" t="str">
        <f>"9781450318112"</f>
        <v>9781450318112</v>
      </c>
      <c r="C16286" s="8" t="s">
        <v>21</v>
      </c>
    </row>
    <row r="16287" spans="1:3" x14ac:dyDescent="0.25">
      <c r="A16287" s="8" t="str">
        <f>"Proceedings of the 2nd International Workshop on Feature-Oriented Software Development, FOSD'10"</f>
        <v>Proceedings of the 2nd International Workshop on Feature-Oriented Software Development, FOSD'10</v>
      </c>
      <c r="B16287" s="8" t="str">
        <f>"9781450302081"</f>
        <v>9781450302081</v>
      </c>
      <c r="C16287" s="8" t="s">
        <v>21</v>
      </c>
    </row>
    <row r="16288" spans="1:3" x14ac:dyDescent="0.25">
      <c r="A16288" s="8" t="str">
        <f>"Proceedings of the 2nd International Workshop on Future Trends of Model-Driven Development, FTMDD 2010, in Conjunction with ICEIS 2010"</f>
        <v>Proceedings of the 2nd International Workshop on Future Trends of Model-Driven Development, FTMDD 2010, in Conjunction with ICEIS 2010</v>
      </c>
      <c r="B16288" s="8" t="str">
        <f>"9789898425102"</f>
        <v>9789898425102</v>
      </c>
      <c r="C16288" s="8" t="s">
        <v>1197</v>
      </c>
    </row>
    <row r="16289" spans="1:3" x14ac:dyDescent="0.25">
      <c r="A16289" s="8" t="str">
        <f>"Proceedings of the 2nd International Workshop on Hot Topics in Software Upgrades, HotSWUp '09"</f>
        <v>Proceedings of the 2nd International Workshop on Hot Topics in Software Upgrades, HotSWUp '09</v>
      </c>
      <c r="B16289" s="8" t="str">
        <f>"9781605587233"</f>
        <v>9781605587233</v>
      </c>
      <c r="C16289" s="8" t="s">
        <v>21</v>
      </c>
    </row>
    <row r="16290" spans="1:3" x14ac:dyDescent="0.25">
      <c r="A16290" s="8" t="str">
        <f>"Proceedings of the 2nd International Workshop on Image Mining Theory and Applications, IMTA 2009 In Conjunction with VISIGRAPP 2009"</f>
        <v>Proceedings of the 2nd International Workshop on Image Mining Theory and Applications, IMTA 2009 In Conjunction with VISIGRAPP 2009</v>
      </c>
      <c r="B16290" s="8" t="str">
        <f>"9789898111425"</f>
        <v>9789898111425</v>
      </c>
      <c r="C16290" s="8" t="s">
        <v>1525</v>
      </c>
    </row>
    <row r="16291" spans="1:3" x14ac:dyDescent="0.25">
      <c r="A16291" s="8" t="str">
        <f>"Proceedings of the 2nd International Workshop on Information Heterogeneity and Fusion in Recommender Systems, HetRec 2011 - Held at the 5th ACM Conference on Recommender Systems, RecSys 2011"</f>
        <v>Proceedings of the 2nd International Workshop on Information Heterogeneity and Fusion in Recommender Systems, HetRec 2011 - Held at the 5th ACM Conference on Recommender Systems, RecSys 2011</v>
      </c>
      <c r="B16291" s="8" t="str">
        <f>"9781450310277"</f>
        <v>9781450310277</v>
      </c>
      <c r="C16291" s="8" t="s">
        <v>21</v>
      </c>
    </row>
    <row r="16292" spans="1:3" x14ac:dyDescent="0.25">
      <c r="A16292" s="8" t="str">
        <f>"Proceedings of the 2nd International Workshop on Intelligent Exploration of Semantic Data, IESD 2013"</f>
        <v>Proceedings of the 2nd International Workshop on Intelligent Exploration of Semantic Data, IESD 2013</v>
      </c>
      <c r="B16292" s="8" t="str">
        <f>"9781450320061"</f>
        <v>9781450320061</v>
      </c>
      <c r="C16292" s="8" t="s">
        <v>21</v>
      </c>
    </row>
    <row r="16293" spans="1:3" x14ac:dyDescent="0.25">
      <c r="A16293" s="8" t="str">
        <f>"Proceedings of the 2nd International Workshop on Issues of Sentiment Discovery and Opinion Mining, WISDOM 2013 - Held in Conjunction with SIGKDD 2013"</f>
        <v>Proceedings of the 2nd International Workshop on Issues of Sentiment Discovery and Opinion Mining, WISDOM 2013 - Held in Conjunction with SIGKDD 2013</v>
      </c>
      <c r="B16293" s="8" t="str">
        <f>"9781450323321"</f>
        <v>9781450323321</v>
      </c>
      <c r="C16293" s="8" t="s">
        <v>21</v>
      </c>
    </row>
    <row r="16294" spans="1:3" x14ac:dyDescent="0.25">
      <c r="A16294" s="8" t="str">
        <f>"Proceedings of the 2nd International Workshop on Keyword Search on Structured Data, KEYS '10"</f>
        <v>Proceedings of the 2nd International Workshop on Keyword Search on Structured Data, KEYS '10</v>
      </c>
      <c r="B16294" s="8" t="str">
        <f>"9781450301879"</f>
        <v>9781450301879</v>
      </c>
      <c r="C16294" s="8" t="s">
        <v>21</v>
      </c>
    </row>
    <row r="16295" spans="1:3" x14ac:dyDescent="0.25">
      <c r="A16295" s="8" t="str">
        <f>"Proceedings of the 2nd International Workshop on Location and the Web, LOCWEB'09"</f>
        <v>Proceedings of the 2nd International Workshop on Location and the Web, LOCWEB'09</v>
      </c>
      <c r="B16295" s="8" t="str">
        <f>"9781605584577"</f>
        <v>9781605584577</v>
      </c>
      <c r="C16295" s="8" t="s">
        <v>21</v>
      </c>
    </row>
    <row r="16296" spans="1:3" x14ac:dyDescent="0.25">
      <c r="A16296" s="8" t="str">
        <f>"Proceedings of the 2nd International Workshop on Medical Image Analysis and Description for Diagnosis Systems, MIAD 2011, in Conjunction with BIOSTEC 2011"</f>
        <v>Proceedings of the 2nd International Workshop on Medical Image Analysis and Description for Diagnosis Systems, MIAD 2011, in Conjunction with BIOSTEC 2011</v>
      </c>
      <c r="B16296" s="8" t="str">
        <f>"9789898425386"</f>
        <v>9789898425386</v>
      </c>
      <c r="C16296" s="8" t="s">
        <v>1197</v>
      </c>
    </row>
    <row r="16297" spans="1:3" x14ac:dyDescent="0.25">
      <c r="A16297" s="8" t="str">
        <f>"Proceedings of the 2nd International Workshop on Middleware for Sensor Networks"</f>
        <v>Proceedings of the 2nd International Workshop on Middleware for Sensor Networks</v>
      </c>
      <c r="B16297" s="8" t="str">
        <f>"9781595939296"</f>
        <v>9781595939296</v>
      </c>
      <c r="C16297" s="8" t="s">
        <v>21</v>
      </c>
    </row>
    <row r="16298" spans="1:3" x14ac:dyDescent="0.25">
      <c r="A16298" s="8" t="str">
        <f>"Proceedings of the 2nd International Workshop on Model-Driven Architecture and Modelling Theory-Driven Development, MDA and MTDD 2010, in Conjunction with ENASE 2010"</f>
        <v>Proceedings of the 2nd International Workshop on Model-Driven Architecture and Modelling Theory-Driven Development, MDA and MTDD 2010, in Conjunction with ENASE 2010</v>
      </c>
      <c r="B16298" s="8" t="str">
        <f>"9789898425164"</f>
        <v>9789898425164</v>
      </c>
      <c r="C16298" s="8" t="s">
        <v>1197</v>
      </c>
    </row>
    <row r="16299" spans="1:3" x14ac:dyDescent="0.25">
      <c r="A16299" s="8" t="str">
        <f>"Proceedings of the 2nd International Workshop on Multi-Agent Robotic Systems, MARS 2006, in Conjunction with ICINCO 2006"</f>
        <v>Proceedings of the 2nd International Workshop on Multi-Agent Robotic Systems, MARS 2006, in Conjunction with ICINCO 2006</v>
      </c>
      <c r="B16299" s="8" t="str">
        <f>"9789728865665"</f>
        <v>9789728865665</v>
      </c>
      <c r="C16299" s="8" t="s">
        <v>1680</v>
      </c>
    </row>
    <row r="16300" spans="1:3" x14ac:dyDescent="0.25">
      <c r="A16300" s="8" t="str">
        <f>"Proceedings of the 2nd International Workshop on Natural Language Understanding and Cognitive Science, NLUCS 2005, in Conjunction with ICEIS 2005"</f>
        <v>Proceedings of the 2nd International Workshop on Natural Language Understanding and Cognitive Science, NLUCS 2005, in Conjunction with ICEIS 2005</v>
      </c>
      <c r="B16300" s="8" t="str">
        <f>"9789728865238"</f>
        <v>9789728865238</v>
      </c>
      <c r="C16300" s="8" t="s">
        <v>1680</v>
      </c>
    </row>
    <row r="16301" spans="1:3" x14ac:dyDescent="0.25">
      <c r="A16301" s="8" t="str">
        <f>"Proceedings of the 2nd International Workshop on Ontology-Driven Software Engineering, ODiSE'10"</f>
        <v>Proceedings of the 2nd International Workshop on Ontology-Driven Software Engineering, ODiSE'10</v>
      </c>
      <c r="B16301" s="8" t="str">
        <f>"9781450305488"</f>
        <v>9781450305488</v>
      </c>
      <c r="C16301" s="8" t="s">
        <v>21</v>
      </c>
    </row>
    <row r="16302" spans="1:3" x14ac:dyDescent="0.25">
      <c r="A16302" s="8" t="str">
        <f>"Proceedings of the 2nd International Workshop on Parallel Tools for High Performance Computing"</f>
        <v>Proceedings of the 2nd International Workshop on Parallel Tools for High Performance Computing</v>
      </c>
      <c r="B16302" s="8" t="str">
        <f>"9783540685616"</f>
        <v>9783540685616</v>
      </c>
      <c r="C16302" s="8" t="s">
        <v>42</v>
      </c>
    </row>
    <row r="16303" spans="1:3" x14ac:dyDescent="0.25">
      <c r="A16303" s="8" t="str">
        <f>"Proceedings of the 2nd International Workshop on Quality Assurance for Service-Based Applications, QASBA 2013 - In Conjunction with ISSTA 2013"</f>
        <v>Proceedings of the 2nd International Workshop on Quality Assurance for Service-Based Applications, QASBA 2013 - In Conjunction with ISSTA 2013</v>
      </c>
      <c r="B16303" s="8" t="str">
        <f>"9781450321822"</f>
        <v>9781450321822</v>
      </c>
      <c r="C16303" s="8" t="s">
        <v>21</v>
      </c>
    </row>
    <row r="16304" spans="1:3" x14ac:dyDescent="0.25">
      <c r="A16304" s="8" t="str">
        <f>"Proceedings of the 2nd International Workshop on Random Testing, RT 2007, Co-located with the 22nd IEEE/ACM International Conference on Automated Software Engineering, ASE 2007"</f>
        <v>Proceedings of the 2nd International Workshop on Random Testing, RT 2007, Co-located with the 22nd IEEE/ACM International Conference on Automated Software Engineering, ASE 2007</v>
      </c>
      <c r="B16304" s="8" t="str">
        <f>"9781595938817"</f>
        <v>9781595938817</v>
      </c>
      <c r="C16304" s="8" t="s">
        <v>21</v>
      </c>
    </row>
    <row r="16305" spans="1:3" x14ac:dyDescent="0.25">
      <c r="A16305" s="8" t="str">
        <f>"Proceedings of the 2nd International Workshop on Robot Motion and Control, RoMoCo 2001"</f>
        <v>Proceedings of the 2nd International Workshop on Robot Motion and Control, RoMoCo 2001</v>
      </c>
      <c r="B16305" s="8" t="str">
        <f>"9788371435157"</f>
        <v>9788371435157</v>
      </c>
      <c r="C16305" s="8" t="s">
        <v>105</v>
      </c>
    </row>
    <row r="16306" spans="1:3" x14ac:dyDescent="0.25">
      <c r="A16306" s="8" t="str">
        <f>"Proceedings of the 2nd International Workshop on Runtime and Operating Systems for Supercomputers, ROSS 2012 - In Conjunction with: ICS 2012"</f>
        <v>Proceedings of the 2nd International Workshop on Runtime and Operating Systems for Supercomputers, ROSS 2012 - In Conjunction with: ICS 2012</v>
      </c>
      <c r="B16306" s="8" t="str">
        <f>"9781450314602"</f>
        <v>9781450314602</v>
      </c>
      <c r="C16306" s="8" t="s">
        <v>21</v>
      </c>
    </row>
    <row r="16307" spans="1:3" x14ac:dyDescent="0.25">
      <c r="A16307" s="8" t="str">
        <f>"Proceedings of the 2nd International Workshop on Software Engineering for Resilient Systems, SERENCE 2010"</f>
        <v>Proceedings of the 2nd International Workshop on Software Engineering for Resilient Systems, SERENCE 2010</v>
      </c>
      <c r="B16307" s="8" t="str">
        <f>"9781450302890"</f>
        <v>9781450302890</v>
      </c>
      <c r="C16307" s="8" t="s">
        <v>21</v>
      </c>
    </row>
    <row r="16308" spans="1:3" x14ac:dyDescent="0.25">
      <c r="A16308" s="8" t="str">
        <f>"Proceedings of the 2nd International Workshop on Software Knowledge, SKY 2011, in Conjunction with IC3K 2011"</f>
        <v>Proceedings of the 2nd International Workshop on Software Knowledge, SKY 2011, in Conjunction with IC3K 2011</v>
      </c>
      <c r="B16308" s="8" t="str">
        <f>"9789898425829"</f>
        <v>9789898425829</v>
      </c>
      <c r="C16308" s="8" t="s">
        <v>1197</v>
      </c>
    </row>
    <row r="16309" spans="1:3" x14ac:dyDescent="0.25">
      <c r="A16309" s="8" t="str">
        <f>"Proceedings of the 2nd International Workshop on Systems and Networking Support for Health Care and Assisted Living Environments, HealthNet'08"</f>
        <v>Proceedings of the 2nd International Workshop on Systems and Networking Support for Health Care and Assisted Living Environments, HealthNet'08</v>
      </c>
      <c r="B16309" s="8" t="str">
        <f>"9781605581996"</f>
        <v>9781605581996</v>
      </c>
      <c r="C16309" s="8" t="s">
        <v>21</v>
      </c>
    </row>
    <row r="16310" spans="1:3" x14ac:dyDescent="0.25">
      <c r="A16310" s="8" t="str">
        <f>"Proceedings of the 2nd International Workshop on Testing Database Systems, DBTest '09"</f>
        <v>Proceedings of the 2nd International Workshop on Testing Database Systems, DBTest '09</v>
      </c>
      <c r="B16310" s="8" t="str">
        <f>"9781605587066"</f>
        <v>9781605587066</v>
      </c>
      <c r="C16310" s="8" t="s">
        <v>21</v>
      </c>
    </row>
    <row r="16311" spans="1:3" x14ac:dyDescent="0.25">
      <c r="A16311" s="8" t="s">
        <v>2202</v>
      </c>
      <c r="B16311" s="8" t="str">
        <f>"-"</f>
        <v>-</v>
      </c>
      <c r="C16311" s="8" t="s">
        <v>2203</v>
      </c>
    </row>
    <row r="16312" spans="1:3" x14ac:dyDescent="0.25">
      <c r="A16312" s="8" t="str">
        <f>"Proceedings of the 2nd International Workshop on Ubiquitous Computing, IWUC 2005, in Conjunction with ICEIS 2005"</f>
        <v>Proceedings of the 2nd International Workshop on Ubiquitous Computing, IWUC 2005, in Conjunction with ICEIS 2005</v>
      </c>
      <c r="B16312" s="8" t="str">
        <f>"9789728865245"</f>
        <v>9789728865245</v>
      </c>
      <c r="C16312" s="8" t="s">
        <v>1680</v>
      </c>
    </row>
    <row r="16313" spans="1:3" x14ac:dyDescent="0.25">
      <c r="A16313" s="8" t="str">
        <f>"Proceedings of the 2nd International Workshop on Variability and Composition, VariComp 2011"</f>
        <v>Proceedings of the 2nd International Workshop on Variability and Composition, VariComp 2011</v>
      </c>
      <c r="B16313" s="8" t="str">
        <f>"9781450306461"</f>
        <v>9781450306461</v>
      </c>
      <c r="C16313" s="8" t="s">
        <v>21</v>
      </c>
    </row>
    <row r="16314" spans="1:3" x14ac:dyDescent="0.25">
      <c r="A16314" s="8" t="str">
        <f>"Proceedings of the 2nd International Workshop on Virtualization Technology in Distributed Computing, VTDC '07"</f>
        <v>Proceedings of the 2nd International Workshop on Virtualization Technology in Distributed Computing, VTDC '07</v>
      </c>
      <c r="B16314" s="8" t="str">
        <f>"9780769529158"</f>
        <v>9780769529158</v>
      </c>
      <c r="C16314" s="8" t="s">
        <v>9</v>
      </c>
    </row>
    <row r="16315" spans="1:3" x14ac:dyDescent="0.25">
      <c r="A16315" s="8" t="str">
        <f>"Proceedings of the 2nd Internet Measurement Workshop (IMW 2002)"</f>
        <v>Proceedings of the 2nd Internet Measurement Workshop (IMW 2002)</v>
      </c>
      <c r="B16315" s="8" t="str">
        <f>"9781581136036"</f>
        <v>9781581136036</v>
      </c>
      <c r="C16315" s="8" t="s">
        <v>21</v>
      </c>
    </row>
    <row r="16316" spans="1:3" x14ac:dyDescent="0.25">
      <c r="A16316" s="8" t="str">
        <f>"Proceedings of the 2nd KDD Workshop on Large-Scale Recommender Systems and the Netflix Prize Competition, NETFLIX '08"</f>
        <v>Proceedings of the 2nd KDD Workshop on Large-Scale Recommender Systems and the Netflix Prize Competition, NETFLIX '08</v>
      </c>
      <c r="B16316" s="8" t="str">
        <f>"9781605582658"</f>
        <v>9781605582658</v>
      </c>
      <c r="C16316" s="8" t="s">
        <v>21</v>
      </c>
    </row>
    <row r="16317" spans="1:3" x14ac:dyDescent="0.25">
      <c r="A16317" s="8" t="str">
        <f>"Proceedings of the 2nd Kuwait Conference on e-Services and e-Systems, KCESS'11"</f>
        <v>Proceedings of the 2nd Kuwait Conference on e-Services and e-Systems, KCESS'11</v>
      </c>
      <c r="B16317" s="8" t="str">
        <f>"9781450307932"</f>
        <v>9781450307932</v>
      </c>
      <c r="C16317" s="8" t="s">
        <v>21</v>
      </c>
    </row>
    <row r="16318" spans="1:3" x14ac:dyDescent="0.25">
      <c r="A16318" s="8" t="str">
        <f>"Proceedings of the 2nd National Days of Network Security and Systems, JNS2 2012"</f>
        <v>Proceedings of the 2nd National Days of Network Security and Systems, JNS2 2012</v>
      </c>
      <c r="B16318" s="8" t="str">
        <f>"9781467310512"</f>
        <v>9781467310512</v>
      </c>
      <c r="C16318" s="8" t="s">
        <v>9</v>
      </c>
    </row>
    <row r="16319" spans="1:3" x14ac:dyDescent="0.25">
      <c r="A16319" s="8" t="str">
        <f>"Proceedings of the 2nd Pan African International Conference on Science, Computing and Telecommunications, PACT 2014"</f>
        <v>Proceedings of the 2nd Pan African International Conference on Science, Computing and Telecommunications, PACT 2014</v>
      </c>
      <c r="B16319" s="8" t="str">
        <f>"9781479968992"</f>
        <v>9781479968992</v>
      </c>
      <c r="C16319" s="8" t="s">
        <v>105</v>
      </c>
    </row>
    <row r="16320" spans="1:3" x14ac:dyDescent="0.25">
      <c r="A16320" s="8" t="str">
        <f>"Proceedings of the 2nd Workshop on Child, Computer and Interaction, WOCCI '09"</f>
        <v>Proceedings of the 2nd Workshop on Child, Computer and Interaction, WOCCI '09</v>
      </c>
      <c r="B16320" s="8" t="str">
        <f>"9781605586908"</f>
        <v>9781605586908</v>
      </c>
      <c r="C16320" s="8" t="s">
        <v>21</v>
      </c>
    </row>
    <row r="16321" spans="1:3" x14ac:dyDescent="0.25">
      <c r="A16321" s="8" t="str">
        <f>"Proceedings of the 2nd Workshop on Data Analytics in the Cloud, DanaC 2013 - In Conjunction with ACM SIGMOD/PODS Conference"</f>
        <v>Proceedings of the 2nd Workshop on Data Analytics in the Cloud, DanaC 2013 - In Conjunction with ACM SIGMOD/PODS Conference</v>
      </c>
      <c r="B16321" s="8" t="str">
        <f>"9781450322027"</f>
        <v>9781450322027</v>
      </c>
      <c r="C16321" s="8" t="s">
        <v>21</v>
      </c>
    </row>
    <row r="16322" spans="1:3" x14ac:dyDescent="0.25">
      <c r="A16322" s="8" t="str">
        <f>"Proceedings of the 2nd Workshop on Flavor Symmetries and Consequences in Accelerators and Cosmology, FLASY 2012"</f>
        <v>Proceedings of the 2nd Workshop on Flavor Symmetries and Consequences in Accelerators and Cosmology, FLASY 2012</v>
      </c>
      <c r="B16322" s="8" t="str">
        <f>"-"</f>
        <v>-</v>
      </c>
      <c r="C16322" s="8" t="s">
        <v>2173</v>
      </c>
    </row>
    <row r="16323" spans="1:3" x14ac:dyDescent="0.25">
      <c r="A16323" s="8" t="str">
        <f>"Proceedings of the 2nd Workshop on Graphical Modeling Language Development, GMLD 2013 - In Conjunction with European Conference on Modelling Foundations and Applications, ECMFA 2013"</f>
        <v>Proceedings of the 2nd Workshop on Graphical Modeling Language Development, GMLD 2013 - In Conjunction with European Conference on Modelling Foundations and Applications, ECMFA 2013</v>
      </c>
      <c r="B16323" s="8" t="str">
        <f>"9781450320443"</f>
        <v>9781450320443</v>
      </c>
      <c r="C16323" s="8" t="s">
        <v>21</v>
      </c>
    </row>
    <row r="16324" spans="1:3" x14ac:dyDescent="0.25">
      <c r="A16324" s="8" t="str">
        <f>"Proceedings of the 2nd Workshop on High Performance Computational Finance, WHPCF '09"</f>
        <v>Proceedings of the 2nd Workshop on High Performance Computational Finance, WHPCF '09</v>
      </c>
      <c r="B16324" s="8" t="str">
        <f>"9781605587165"</f>
        <v>9781605587165</v>
      </c>
      <c r="C16324" s="8" t="s">
        <v>21</v>
      </c>
    </row>
    <row r="16325" spans="1:3" x14ac:dyDescent="0.25">
      <c r="A16325" s="8" t="str">
        <f>"Proceedings of the 2nd Workshop on Isolation and Integration in Embedded Systems, IIES'09"</f>
        <v>Proceedings of the 2nd Workshop on Isolation and Integration in Embedded Systems, IIES'09</v>
      </c>
      <c r="B16325" s="8" t="str">
        <f>"9781605584645"</f>
        <v>9781605584645</v>
      </c>
      <c r="C16325" s="8" t="s">
        <v>21</v>
      </c>
    </row>
    <row r="16326" spans="1:3" x14ac:dyDescent="0.25">
      <c r="A16326" s="8" t="str">
        <f>"Proceedings of the 2nd Workshop on Middleware for Service Oriented Computing, MW4SOC 2007 Held at the ACM/IFIP/USENIX International Middleware Conference"</f>
        <v>Proceedings of the 2nd Workshop on Middleware for Service Oriented Computing, MW4SOC 2007 Held at the ACM/IFIP/USENIX International Middleware Conference</v>
      </c>
      <c r="B16326" s="8" t="str">
        <f>"9781595939289"</f>
        <v>9781595939289</v>
      </c>
      <c r="C16326" s="8" t="s">
        <v>21</v>
      </c>
    </row>
    <row r="16327" spans="1:3" x14ac:dyDescent="0.25">
      <c r="A16327" s="8" t="str">
        <f>"Proceedings of the 2nd Workshop on Middleware-Application Interaction, MAI'2008 - Affiliated with the DisCoTec Federated Conferences 2008"</f>
        <v>Proceedings of the 2nd Workshop on Middleware-Application Interaction, MAI'2008 - Affiliated with the DisCoTec Federated Conferences 2008</v>
      </c>
      <c r="B16327" s="8" t="str">
        <f>"9781605582047"</f>
        <v>9781605582047</v>
      </c>
      <c r="C16327" s="8" t="s">
        <v>21</v>
      </c>
    </row>
    <row r="16328" spans="1:3" x14ac:dyDescent="0.25">
      <c r="A16328" s="8" t="str">
        <f>"Proceedings of the 2nd Workshop on Refactoring Tools, WRT '08, in conjunction with the Conference on Object Oriented Programming Systems Languages and Applications, OOPSLA 2008"</f>
        <v>Proceedings of the 2nd Workshop on Refactoring Tools, WRT '08, in conjunction with the Conference on Object Oriented Programming Systems Languages and Applications, OOPSLA 2008</v>
      </c>
      <c r="B16328" s="8" t="str">
        <f>"9781605583396"</f>
        <v>9781605583396</v>
      </c>
      <c r="C16328" s="8" t="s">
        <v>21</v>
      </c>
    </row>
    <row r="16329" spans="1:3" x14ac:dyDescent="0.25">
      <c r="A16329" s="8" t="str">
        <f>"Proceedings of the 2nd Workshop on Testing Aspect-oriented Programs, WTAOP '06"</f>
        <v>Proceedings of the 2nd Workshop on Testing Aspect-oriented Programs, WTAOP '06</v>
      </c>
      <c r="B16329" s="8" t="str">
        <f>"-"</f>
        <v>-</v>
      </c>
      <c r="C16329" s="8" t="s">
        <v>21</v>
      </c>
    </row>
    <row r="16330" spans="1:3" x14ac:dyDescent="0.25">
      <c r="A16330" s="8" t="str">
        <f>"Proceedings of the 2nd Workshop on Virtual Machines and Intermediate Languages for Emerging Modularization Mechanisms, VMIL 2008, held at the 23rd ACM SIGPLAN Conference on Object-Oriented Programming"</f>
        <v>Proceedings of the 2nd Workshop on Virtual Machines and Intermediate Languages for Emerging Modularization Mechanisms, VMIL 2008, held at the 23rd ACM SIGPLAN Conference on Object-Oriented Programming</v>
      </c>
      <c r="B16330" s="8" t="str">
        <f>"9781605583846"</f>
        <v>9781605583846</v>
      </c>
      <c r="C16330" s="8" t="s">
        <v>21</v>
      </c>
    </row>
    <row r="16331" spans="1:3" x14ac:dyDescent="0.25">
      <c r="A16331" s="8" t="str">
        <f>"Proceedings of the 2nd Workshop on Workflows in Support of Large-scale Science, WORKS'07"</f>
        <v>Proceedings of the 2nd Workshop on Workflows in Support of Large-scale Science, WORKS'07</v>
      </c>
      <c r="B16331" s="8" t="str">
        <f>"9781595937155"</f>
        <v>9781595937155</v>
      </c>
      <c r="C16331" s="8" t="s">
        <v>21</v>
      </c>
    </row>
    <row r="16332" spans="1:3" x14ac:dyDescent="0.25">
      <c r="A16332" s="8" t="str">
        <f>"Proceedings of the 2nd WSEAS International Conference on Biomedical Electronics and Biomedical Informatics, BEBI '09"</f>
        <v>Proceedings of the 2nd WSEAS International Conference on Biomedical Electronics and Biomedical Informatics, BEBI '09</v>
      </c>
      <c r="B16332" s="8" t="str">
        <f>"9789604741106"</f>
        <v>9789604741106</v>
      </c>
      <c r="C16332" s="8" t="s">
        <v>553</v>
      </c>
    </row>
    <row r="16333" spans="1:3" x14ac:dyDescent="0.25">
      <c r="A16333" s="8" t="str">
        <f>"Proceedings of the 2nd WSEAS International Conference on Engineering Mechanics, Structures and Engineering Geology, EMESEG '09"</f>
        <v>Proceedings of the 2nd WSEAS International Conference on Engineering Mechanics, Structures and Engineering Geology, EMESEG '09</v>
      </c>
      <c r="B16333" s="8" t="str">
        <f>"9789604741014"</f>
        <v>9789604741014</v>
      </c>
      <c r="C16333" s="8" t="s">
        <v>553</v>
      </c>
    </row>
    <row r="16334" spans="1:3" x14ac:dyDescent="0.25">
      <c r="A16334" s="8" t="str">
        <f>"Proceedings of the 2nd WSEAS International Conference on Natural Hazards, NAHA '09, Climate Changes, Global Warming, Biological Problems, CGB '09, Urban Rehabilitation and Sustainability, URES '09"</f>
        <v>Proceedings of the 2nd WSEAS International Conference on Natural Hazards, NAHA '09, Climate Changes, Global Warming, Biological Problems, CGB '09, Urban Rehabilitation and Sustainability, URES '09</v>
      </c>
      <c r="B16334" s="8" t="str">
        <f>"9789604741366"</f>
        <v>9789604741366</v>
      </c>
      <c r="C16334" s="8" t="s">
        <v>553</v>
      </c>
    </row>
    <row r="16335" spans="1:3" x14ac:dyDescent="0.25">
      <c r="A16335" s="8" t="str">
        <f>"Proceedings of the 2nd WSEAS International Conference on Sensors and Signals, SENSIG '09, Visualization, Imaging and Simulation, VIS '09, Materials Science, MATERIALS '09"</f>
        <v>Proceedings of the 2nd WSEAS International Conference on Sensors and Signals, SENSIG '09, Visualization, Imaging and Simulation, VIS '09, Materials Science, MATERIALS '09</v>
      </c>
      <c r="B16335" s="8" t="str">
        <f>"9789604741359"</f>
        <v>9789604741359</v>
      </c>
      <c r="C16335" s="8" t="s">
        <v>553</v>
      </c>
    </row>
    <row r="16336" spans="1:3" x14ac:dyDescent="0.25">
      <c r="A16336" s="8" t="str">
        <f>"Proceedings of the 30th Annual IEEE/NASA Software Engineering Workshop, SEW-30"</f>
        <v>Proceedings of the 30th Annual IEEE/NASA Software Engineering Workshop, SEW-30</v>
      </c>
      <c r="B16336" s="8" t="str">
        <f>"9780769526249"</f>
        <v>9780769526249</v>
      </c>
      <c r="C16336" s="8" t="s">
        <v>9</v>
      </c>
    </row>
    <row r="16337" spans="1:3" x14ac:dyDescent="0.25">
      <c r="A16337" s="8" t="str">
        <f>"Proceedings of the 30th Annual International ACM SIGIR Conference on Research and Development in Information Retrieval, SIGIR'07"</f>
        <v>Proceedings of the 30th Annual International ACM SIGIR Conference on Research and Development in Information Retrieval, SIGIR'07</v>
      </c>
      <c r="B16337" s="8" t="str">
        <f>"9781595935977"</f>
        <v>9781595935977</v>
      </c>
      <c r="C16337" s="8" t="s">
        <v>21</v>
      </c>
    </row>
    <row r="16338" spans="1:3" x14ac:dyDescent="0.25">
      <c r="A16338" s="8" t="s">
        <v>2204</v>
      </c>
      <c r="B16338" s="8" t="str">
        <f>"9781424418152"</f>
        <v>9781424418152</v>
      </c>
      <c r="C16338" s="8" t="s">
        <v>9</v>
      </c>
    </row>
    <row r="16339" spans="1:3" x14ac:dyDescent="0.25">
      <c r="A16339" s="8" t="str">
        <f>"Proceedings of the 30th Arctic and Marine Oilspill Program, AMOP Technical Seminar"</f>
        <v>Proceedings of the 30th Arctic and Marine Oilspill Program, AMOP Technical Seminar</v>
      </c>
      <c r="B16339" s="8" t="str">
        <f>"-"</f>
        <v>-</v>
      </c>
      <c r="C16339" s="8" t="s">
        <v>1266</v>
      </c>
    </row>
    <row r="16340" spans="1:3" x14ac:dyDescent="0.25">
      <c r="A16340" s="8" t="str">
        <f>"Proceedings of the 30th Chinese Control Conference, CCC 2011"</f>
        <v>Proceedings of the 30th Chinese Control Conference, CCC 2011</v>
      </c>
      <c r="B16340" s="8" t="str">
        <f>"9789881725592"</f>
        <v>9789881725592</v>
      </c>
      <c r="C16340" s="8" t="s">
        <v>9</v>
      </c>
    </row>
    <row r="16341" spans="1:3" x14ac:dyDescent="0.25">
      <c r="A16341" s="8" t="str">
        <f>"Proceedings of the 30th International Conference on Computers and Their Applications, CATA 2015"</f>
        <v>Proceedings of the 30th International Conference on Computers and Their Applications, CATA 2015</v>
      </c>
      <c r="B16341" s="8" t="str">
        <f>"9781880843987"</f>
        <v>9781880843987</v>
      </c>
      <c r="C16341" s="8" t="s">
        <v>1433</v>
      </c>
    </row>
    <row r="16342" spans="1:3" x14ac:dyDescent="0.25">
      <c r="A16342" s="8" t="str">
        <f>"Proceedings of the 30th International Cosmic Ray Conference, ICRC 2007"</f>
        <v>Proceedings of the 30th International Cosmic Ray Conference, ICRC 2007</v>
      </c>
      <c r="B16342" s="8" t="str">
        <f>"-"</f>
        <v>-</v>
      </c>
      <c r="C16342" s="8" t="s">
        <v>2205</v>
      </c>
    </row>
    <row r="16343" spans="1:3" x14ac:dyDescent="0.25">
      <c r="A16343" s="8" t="str">
        <f>"Proceedings of the 30th International Symposium for Testing and Failure Analysis, ISTFA 2004"</f>
        <v>Proceedings of the 30th International Symposium for Testing and Failure Analysis, ISTFA 2004</v>
      </c>
      <c r="B16343" s="8" t="str">
        <f>"9780871708076"</f>
        <v>9780871708076</v>
      </c>
      <c r="C16343" s="8" t="s">
        <v>65</v>
      </c>
    </row>
    <row r="16344" spans="1:3" x14ac:dyDescent="0.25">
      <c r="A16344" s="8" t="str">
        <f>"Proceedings of the 30th International Thermal Conductivity Conference and the 18th International Thermal Expansion Symposium, Thermal Conductivity 30/Thermal Expansion 18"</f>
        <v>Proceedings of the 30th International Thermal Conductivity Conference and the 18th International Thermal Expansion Symposium, Thermal Conductivity 30/Thermal Expansion 18</v>
      </c>
      <c r="B16344" s="8" t="str">
        <f>"9781605950150"</f>
        <v>9781605950150</v>
      </c>
      <c r="C16344" s="8" t="s">
        <v>757</v>
      </c>
    </row>
    <row r="16345" spans="1:3" x14ac:dyDescent="0.25">
      <c r="A16345" s="8" t="str">
        <f>"Proceedings of the 31st AMOP Technical Seminar on Environmental Contamination and Response"</f>
        <v>Proceedings of the 31st AMOP Technical Seminar on Environmental Contamination and Response</v>
      </c>
      <c r="B16345" s="8" t="str">
        <f>"-"</f>
        <v>-</v>
      </c>
      <c r="C16345" s="8" t="s">
        <v>1266</v>
      </c>
    </row>
    <row r="16346" spans="1:3" x14ac:dyDescent="0.25">
      <c r="A16346" s="8" t="str">
        <f>"Proceedings of the 31st Annual International Conference of the IEEE Engineering in Medicine and Biology Society: Engineering the Future of Biomedicine, EMBC 2009"</f>
        <v>Proceedings of the 31st Annual International Conference of the IEEE Engineering in Medicine and Biology Society: Engineering the Future of Biomedicine, EMBC 2009</v>
      </c>
      <c r="B16346" s="8" t="str">
        <f>"9781424432967"</f>
        <v>9781424432967</v>
      </c>
      <c r="C16346" s="8" t="s">
        <v>9</v>
      </c>
    </row>
    <row r="16347" spans="1:3" x14ac:dyDescent="0.25">
      <c r="A16347" s="8" t="str">
        <f>"Proceedings of the 31st International Conference on Physics in Collision, PIC 2011"</f>
        <v>Proceedings of the 31st International Conference on Physics in Collision, PIC 2011</v>
      </c>
      <c r="B16347" s="8" t="str">
        <f>"-"</f>
        <v>-</v>
      </c>
      <c r="C16347" s="8" t="s">
        <v>1471</v>
      </c>
    </row>
    <row r="16348" spans="1:3" x14ac:dyDescent="0.25">
      <c r="A16348" s="8" t="str">
        <f>"Proceedings of the 31st World Nuclear Association Annual Symposium, 2006"</f>
        <v>Proceedings of the 31st World Nuclear Association Annual Symposium, 2006</v>
      </c>
      <c r="B16348" s="8" t="str">
        <f>"-"</f>
        <v>-</v>
      </c>
      <c r="C16348" s="8" t="s">
        <v>1487</v>
      </c>
    </row>
    <row r="16349" spans="1:3" x14ac:dyDescent="0.25">
      <c r="A16349" s="8" t="str">
        <f>"Proceedings of the 32nd AMOP Technical Seminar on Environmental Contamination and Response"</f>
        <v>Proceedings of the 32nd AMOP Technical Seminar on Environmental Contamination and Response</v>
      </c>
      <c r="B16349" s="8" t="str">
        <f>"-"</f>
        <v>-</v>
      </c>
      <c r="C16349" s="8" t="s">
        <v>2206</v>
      </c>
    </row>
    <row r="16350" spans="1:3" x14ac:dyDescent="0.25">
      <c r="A16350" s="8" t="str">
        <f>"Proceedings of the 32nd International Cosmic Ray Conference, ICRC 2011"</f>
        <v>Proceedings of the 32nd International Cosmic Ray Conference, ICRC 2011</v>
      </c>
      <c r="B16350" s="8" t="str">
        <f>"-"</f>
        <v>-</v>
      </c>
      <c r="C16350" s="8" t="s">
        <v>2207</v>
      </c>
    </row>
    <row r="16351" spans="1:3" x14ac:dyDescent="0.25">
      <c r="A16351" s="8" t="str">
        <f>"Proceedings of the 33rd AMOP Technical Seminar on Environmental Contamination and Response"</f>
        <v>Proceedings of the 33rd AMOP Technical Seminar on Environmental Contamination and Response</v>
      </c>
      <c r="B16351" s="8" t="str">
        <f>"-"</f>
        <v>-</v>
      </c>
      <c r="C16351" s="8" t="s">
        <v>2206</v>
      </c>
    </row>
    <row r="16352" spans="1:3" x14ac:dyDescent="0.25">
      <c r="A16352" s="8" t="str">
        <f>"Proceedings of the 33rd ITA-AITES World Tunnel Congress - Underground Space - The 4th Dimension of Metropolises"</f>
        <v>Proceedings of the 33rd ITA-AITES World Tunnel Congress - Underground Space - The 4th Dimension of Metropolises</v>
      </c>
      <c r="B16352" s="8" t="str">
        <f>"9780415408073"</f>
        <v>9780415408073</v>
      </c>
      <c r="C16352" s="8" t="s">
        <v>1520</v>
      </c>
    </row>
    <row r="16353" spans="1:3" x14ac:dyDescent="0.25">
      <c r="A16353" s="8" t="str">
        <f>"Proceedings of the 34th AMOP Technical Seminar on Environmental Contamination and Response"</f>
        <v>Proceedings of the 34th AMOP Technical Seminar on Environmental Contamination and Response</v>
      </c>
      <c r="B16353" s="8" t="str">
        <f>"-"</f>
        <v>-</v>
      </c>
      <c r="C16353" s="8" t="s">
        <v>2206</v>
      </c>
    </row>
    <row r="16354" spans="1:3" x14ac:dyDescent="0.25">
      <c r="A16354" s="8" t="str">
        <f>"Proceedings of the 34th Annual ACM SIGUCCS Fall 2006 Conference, SIGUCCS '06"</f>
        <v>Proceedings of the 34th Annual ACM SIGUCCS Fall 2006 Conference, SIGUCCS '06</v>
      </c>
      <c r="B16354" s="8" t="str">
        <f>"9781595934383"</f>
        <v>9781595934383</v>
      </c>
      <c r="C16354" s="8" t="s">
        <v>21</v>
      </c>
    </row>
    <row r="16355" spans="1:3" x14ac:dyDescent="0.25">
      <c r="A16355" s="8" t="str">
        <f>"Proceedings of the 34th Hydrology and Water Resources Symposium, HWRS 2012"</f>
        <v>Proceedings of the 34th Hydrology and Water Resources Symposium, HWRS 2012</v>
      </c>
      <c r="B16355" s="8" t="str">
        <f>"9781922107626"</f>
        <v>9781922107626</v>
      </c>
      <c r="C16355" s="8" t="s">
        <v>1271</v>
      </c>
    </row>
    <row r="16356" spans="1:3" x14ac:dyDescent="0.25">
      <c r="A16356" s="8" t="str">
        <f>"Proceedings of the 35th AMOP Technical Seminar on Environmental Contamination and Response"</f>
        <v>Proceedings of the 35th AMOP Technical Seminar on Environmental Contamination and Response</v>
      </c>
      <c r="B16356" s="8" t="str">
        <f>"-"</f>
        <v>-</v>
      </c>
      <c r="C16356" s="8" t="s">
        <v>2206</v>
      </c>
    </row>
    <row r="16357" spans="1:3" x14ac:dyDescent="0.25">
      <c r="A16357" s="8" t="str">
        <f>"Proceedings of the 35th International Conference on Computers and Industrial Engineering, ICC and IE 2005"</f>
        <v>Proceedings of the 35th International Conference on Computers and Industrial Engineering, ICC and IE 2005</v>
      </c>
      <c r="B16357" s="8" t="str">
        <f>"9789755612652"</f>
        <v>9789755612652</v>
      </c>
      <c r="C16357" s="8" t="s">
        <v>1485</v>
      </c>
    </row>
    <row r="16358" spans="1:3" x14ac:dyDescent="0.25">
      <c r="A16358" s="8" t="str">
        <f>"Proceedings of the 35th International MATADOR 2007 Conference"</f>
        <v>Proceedings of the 35th International MATADOR 2007 Conference</v>
      </c>
      <c r="B16358" s="8" t="str">
        <f>"9781846289873"</f>
        <v>9781846289873</v>
      </c>
      <c r="C16358" s="8" t="s">
        <v>834</v>
      </c>
    </row>
    <row r="16359" spans="1:3" x14ac:dyDescent="0.25">
      <c r="A16359" s="8" t="str">
        <f>"Proceedings of the 36th AMOP Technical Seminar on Environmental Contamination and Response"</f>
        <v>Proceedings of the 36th AMOP Technical Seminar on Environmental Contamination and Response</v>
      </c>
      <c r="B16359" s="8" t="str">
        <f>"-"</f>
        <v>-</v>
      </c>
      <c r="C16359" s="8" t="s">
        <v>2206</v>
      </c>
    </row>
    <row r="16360" spans="1:3" x14ac:dyDescent="0.25">
      <c r="A16360" s="8" t="str">
        <f>"Proceedings of the 36th Conference of the Australian Society of Sugar Cane Technologists, ASSCT 2014"</f>
        <v>Proceedings of the 36th Conference of the Australian Society of Sugar Cane Technologists, ASSCT 2014</v>
      </c>
      <c r="B16360" s="8" t="str">
        <f>"-"</f>
        <v>-</v>
      </c>
      <c r="C16360" s="8" t="s">
        <v>1472</v>
      </c>
    </row>
    <row r="16361" spans="1:3" x14ac:dyDescent="0.25">
      <c r="A16361" s="8" t="str">
        <f>"Proceedings of the 36th European Microwave Conference, EuMC 2006"</f>
        <v>Proceedings of the 36th European Microwave Conference, EuMC 2006</v>
      </c>
      <c r="B16361" s="8" t="str">
        <f>"9782960055160"</f>
        <v>9782960055160</v>
      </c>
      <c r="C16361" s="8" t="s">
        <v>9</v>
      </c>
    </row>
    <row r="16362" spans="1:3" x14ac:dyDescent="0.25">
      <c r="A16362" s="8" t="str">
        <f>"Proceedings of the 36th International MATADOR Conference"</f>
        <v>Proceedings of the 36th International MATADOR Conference</v>
      </c>
      <c r="B16362" s="8" t="str">
        <f>"9781849964326"</f>
        <v>9781849964326</v>
      </c>
      <c r="C16362" s="8" t="s">
        <v>62</v>
      </c>
    </row>
    <row r="16363" spans="1:3" x14ac:dyDescent="0.25">
      <c r="A16363" s="8" t="str">
        <f>"Proceedings of the 37th AMOP Technical Seminar on Environmental Contamination and Response"</f>
        <v>Proceedings of the 37th AMOP Technical Seminar on Environmental Contamination and Response</v>
      </c>
      <c r="B16363" s="8" t="str">
        <f>"-"</f>
        <v>-</v>
      </c>
      <c r="C16363" s="8" t="s">
        <v>2206</v>
      </c>
    </row>
    <row r="16364" spans="1:3" x14ac:dyDescent="0.25">
      <c r="A16364" s="8" t="str">
        <f>"Proceedings of the 37th Annual North American Power Symposium, 2005"</f>
        <v>Proceedings of the 37th Annual North American Power Symposium, 2005</v>
      </c>
      <c r="B16364" s="8" t="str">
        <f>"-"</f>
        <v>-</v>
      </c>
      <c r="C16364" s="8" t="s">
        <v>9</v>
      </c>
    </row>
    <row r="16365" spans="1:3" x14ac:dyDescent="0.25">
      <c r="A16365" s="8" t="str">
        <f>"Proceedings of the 37th European Microwave Conference, EUMC"</f>
        <v>Proceedings of the 37th European Microwave Conference, EUMC</v>
      </c>
      <c r="B16365" s="8" t="str">
        <f>"9782874870033"</f>
        <v>9782874870033</v>
      </c>
      <c r="C16365" s="8" t="s">
        <v>9</v>
      </c>
    </row>
    <row r="16366" spans="1:3" x14ac:dyDescent="0.25">
      <c r="A16366" s="8" t="str">
        <f>"Proceedings of the 37th International MATADOR 2012 Conference"</f>
        <v>Proceedings of the 37th International MATADOR 2012 Conference</v>
      </c>
      <c r="B16366" s="8" t="str">
        <f>"9781447144793"</f>
        <v>9781447144793</v>
      </c>
      <c r="C16366" s="8" t="s">
        <v>834</v>
      </c>
    </row>
    <row r="16367" spans="1:3" x14ac:dyDescent="0.25">
      <c r="A16367" s="8" t="str">
        <f>"Proceedings of the 38th AMOP Technical Seminar on Environmental Contamination and Response"</f>
        <v>Proceedings of the 38th AMOP Technical Seminar on Environmental Contamination and Response</v>
      </c>
      <c r="B16367" s="8" t="str">
        <f>"-"</f>
        <v>-</v>
      </c>
      <c r="C16367" s="8" t="s">
        <v>2206</v>
      </c>
    </row>
    <row r="16368" spans="1:3" x14ac:dyDescent="0.25">
      <c r="A16368" s="8" t="str">
        <f>"Proceedings of the 38th Annual Symposium of Ultrasonic Industry Association, UIA 2009"</f>
        <v>Proceedings of the 38th Annual Symposium of Ultrasonic Industry Association, UIA 2009</v>
      </c>
      <c r="B16368" s="8" t="str">
        <f>"9781424464296"</f>
        <v>9781424464296</v>
      </c>
      <c r="C16368" s="8" t="s">
        <v>9</v>
      </c>
    </row>
    <row r="16369" spans="1:3" x14ac:dyDescent="0.25">
      <c r="A16369" s="8" t="str">
        <f>"Proceedings of the 38th European Microwave Conference, EuMC 2008"</f>
        <v>Proceedings of the 38th European Microwave Conference, EuMC 2008</v>
      </c>
      <c r="B16369" s="8" t="str">
        <f>"9782874870064"</f>
        <v>9782874870064</v>
      </c>
      <c r="C16369" s="8" t="s">
        <v>9</v>
      </c>
    </row>
    <row r="16370" spans="1:3" x14ac:dyDescent="0.25">
      <c r="A16370" s="8" t="str">
        <f>"Proceedings of the 39th Annual Symposium of the Ultrasonic Industry Association, UIA 2010"</f>
        <v>Proceedings of the 39th Annual Symposium of the Ultrasonic Industry Association, UIA 2010</v>
      </c>
      <c r="B16370" s="8" t="str">
        <f>"9781424479467"</f>
        <v>9781424479467</v>
      </c>
      <c r="C16370" s="8" t="s">
        <v>9</v>
      </c>
    </row>
    <row r="16371" spans="1:3" x14ac:dyDescent="0.25">
      <c r="A16371" s="8" t="str">
        <f>"Proceedings of the 3rd ACM International Conference on Distributed Event-Based Systems, DEBS 2009"</f>
        <v>Proceedings of the 3rd ACM International Conference on Distributed Event-Based Systems, DEBS 2009</v>
      </c>
      <c r="B16371" s="8" t="str">
        <f>"9781605586656"</f>
        <v>9781605586656</v>
      </c>
      <c r="C16371" s="8" t="s">
        <v>21</v>
      </c>
    </row>
    <row r="16372" spans="1:3" x14ac:dyDescent="0.25">
      <c r="A16372" s="8" t="str">
        <f>"Proceedings of the 3rd ACM International Conference on Intercultural Collaboration, ICIC '10"</f>
        <v>Proceedings of the 3rd ACM International Conference on Intercultural Collaboration, ICIC '10</v>
      </c>
      <c r="B16372" s="8" t="str">
        <f>"9781450301084"</f>
        <v>9781450301084</v>
      </c>
      <c r="C16372" s="8" t="s">
        <v>21</v>
      </c>
    </row>
    <row r="16373" spans="1:3" x14ac:dyDescent="0.25">
      <c r="A16373" s="8" t="str">
        <f>"Proceedings of the 3rd ACM International Workshop on Modeling, Analysis and Simulation of Wireless and Mobile Systems"</f>
        <v>Proceedings of the 3rd ACM International Workshop on Modeling, Analysis and Simulation of Wireless and Mobile Systems</v>
      </c>
      <c r="B16373" s="8" t="str">
        <f>"9781581133042"</f>
        <v>9781581133042</v>
      </c>
      <c r="C16373" s="8" t="s">
        <v>21</v>
      </c>
    </row>
    <row r="16374" spans="1:3" x14ac:dyDescent="0.25">
      <c r="A16374" s="8" t="str">
        <f>"Proceedings of the 3rd ACM International Workshop on Wireless Mobile Multimedia (WOWMOM 2000)"</f>
        <v>Proceedings of the 3rd ACM International Workshop on Wireless Mobile Multimedia (WOWMOM 2000)</v>
      </c>
      <c r="B16374" s="8" t="str">
        <f>"9781581133035"</f>
        <v>9781581133035</v>
      </c>
      <c r="C16374" s="8" t="s">
        <v>21</v>
      </c>
    </row>
    <row r="16375" spans="1:3" x14ac:dyDescent="0.25">
      <c r="A16375" s="8" t="str">
        <f>"Proceedings of the 3rd ACM SIGPLAN Program Protection and Reverse Engineering Workshop 2014, PPREW 2014"</f>
        <v>Proceedings of the 3rd ACM SIGPLAN Program Protection and Reverse Engineering Workshop 2014, PPREW 2014</v>
      </c>
      <c r="B16375" s="8" t="str">
        <f>"9781450326490"</f>
        <v>9781450326490</v>
      </c>
      <c r="C16375" s="8" t="s">
        <v>21</v>
      </c>
    </row>
    <row r="16376" spans="1:3" x14ac:dyDescent="0.25">
      <c r="A16376" s="8" t="str">
        <f>"Proceedings of the 3rd ACM SIGPLAN X10 Workshop, X10 2013"</f>
        <v>Proceedings of the 3rd ACM SIGPLAN X10 Workshop, X10 2013</v>
      </c>
      <c r="B16376" s="8" t="str">
        <f>"9781450321570"</f>
        <v>9781450321570</v>
      </c>
      <c r="C16376" s="8" t="s">
        <v>21</v>
      </c>
    </row>
    <row r="16377" spans="1:3" x14ac:dyDescent="0.25">
      <c r="A16377" s="8" t="str">
        <f>"Proceedings of the 3rd ACM SIGSPATIAL International Workshop on Analytics for Big Geospatial Data, BigSpatial 2014"</f>
        <v>Proceedings of the 3rd ACM SIGSPATIAL International Workshop on Analytics for Big Geospatial Data, BigSpatial 2014</v>
      </c>
      <c r="B16377" s="8" t="str">
        <f>"9781450331326"</f>
        <v>9781450331326</v>
      </c>
      <c r="C16377" s="8" t="s">
        <v>1235</v>
      </c>
    </row>
    <row r="16378" spans="1:3" x14ac:dyDescent="0.25">
      <c r="A16378" s="8" t="str">
        <f>"Proceedings of the 3rd ACM SIGSPATIAL International Workshop on Indoor Spatial Awareness, ISA'11"</f>
        <v>Proceedings of the 3rd ACM SIGSPATIAL International Workshop on Indoor Spatial Awareness, ISA'11</v>
      </c>
      <c r="B16378" s="8" t="str">
        <f>"9781450310352"</f>
        <v>9781450310352</v>
      </c>
      <c r="C16378" s="8" t="s">
        <v>21</v>
      </c>
    </row>
    <row r="16379" spans="1:3" x14ac:dyDescent="0.25">
      <c r="A16379" s="8" t="str">
        <f>"Proceedings of the 3rd ACM SIGSPATIAL International Workshop on Mobile Geographic Information Systems, MobiGIS 2014 - In Conjunction with the 22nd ACM SIGSPATIAL International Conference on Advances in Geographic Information Systems, ACM SIGSPATIAL 2014"</f>
        <v>Proceedings of the 3rd ACM SIGSPATIAL International Workshop on Mobile Geographic Information Systems, MobiGIS 2014 - In Conjunction with the 22nd ACM SIGSPATIAL International Conference on Advances in Geographic Information Systems, ACM SIGSPATIAL 2014</v>
      </c>
      <c r="B16379" s="8" t="str">
        <f>"9781450331425"</f>
        <v>9781450331425</v>
      </c>
      <c r="C16379" s="8" t="s">
        <v>1235</v>
      </c>
    </row>
    <row r="16380" spans="1:3" x14ac:dyDescent="0.25">
      <c r="A16380" s="8" t="str">
        <f>"Proceedings of the 3rd ACM SIGSPATIAL International Workshop on Querying and Mining Uncertain Spatio-Temporal Data, QUeST 2012"</f>
        <v>Proceedings of the 3rd ACM SIGSPATIAL International Workshop on Querying and Mining Uncertain Spatio-Temporal Data, QUeST 2012</v>
      </c>
      <c r="B16380" s="8" t="str">
        <f>"9781450317009"</f>
        <v>9781450317009</v>
      </c>
      <c r="C16380" s="8" t="s">
        <v>21</v>
      </c>
    </row>
    <row r="16381" spans="1:3" x14ac:dyDescent="0.25">
      <c r="A16381" s="8" t="str">
        <f>"Proceedings of the 3rd ACM SIGSPATIAL International Workshop on Security and Privacy in GIS and LBS, SPRINGL 2010"</f>
        <v>Proceedings of the 3rd ACM SIGSPATIAL International Workshop on Security and Privacy in GIS and LBS, SPRINGL 2010</v>
      </c>
      <c r="B16381" s="8" t="str">
        <f>"9781450304351"</f>
        <v>9781450304351</v>
      </c>
      <c r="C16381" s="8" t="s">
        <v>21</v>
      </c>
    </row>
    <row r="16382" spans="1:3" x14ac:dyDescent="0.25">
      <c r="A16382" s="8" t="str">
        <f>"Proceedings of the 3rd ACM SIGSPATIAL International Workshop on the Use of GIS in Public Health, HealthGIS 2014 - In Conjuncture with the 22nd ACM SIGSPATIAL International Conference on Advances in Geographic Information Systems, ACM GIS 2014"</f>
        <v>Proceedings of the 3rd ACM SIGSPATIAL International Workshop on the Use of GIS in Public Health, HealthGIS 2014 - In Conjuncture with the 22nd ACM SIGSPATIAL International Conference on Advances in Geographic Information Systems, ACM GIS 2014</v>
      </c>
      <c r="B16382" s="8" t="str">
        <f>"9781450331364"</f>
        <v>9781450331364</v>
      </c>
      <c r="C16382" s="8" t="s">
        <v>1235</v>
      </c>
    </row>
    <row r="16383" spans="1:3" x14ac:dyDescent="0.25">
      <c r="A16383" s="8" t="str">
        <f>"Proceedings of the 3rd ACM SOSP Workshop on Networking, Systems, and Applications on Mobile Handhelds, MobiHeld'11"</f>
        <v>Proceedings of the 3rd ACM SOSP Workshop on Networking, Systems, and Applications on Mobile Handhelds, MobiHeld'11</v>
      </c>
      <c r="B16383" s="8" t="str">
        <f>"9781450309806"</f>
        <v>9781450309806</v>
      </c>
      <c r="C16383" s="8" t="s">
        <v>21</v>
      </c>
    </row>
    <row r="16384" spans="1:3" x14ac:dyDescent="0.25">
      <c r="A16384" s="8" t="str">
        <f>"Proceedings of the 3rd ACM Symposium on Cloud Computing, SoCC 2012"</f>
        <v>Proceedings of the 3rd ACM Symposium on Cloud Computing, SoCC 2012</v>
      </c>
      <c r="B16384" s="8" t="str">
        <f>"9781450317610"</f>
        <v>9781450317610</v>
      </c>
      <c r="C16384" s="8" t="s">
        <v>21</v>
      </c>
    </row>
    <row r="16385" spans="1:3" x14ac:dyDescent="0.25">
      <c r="A16385" s="8" t="str">
        <f>"Proceedings of the 3rd ACM Symposium on Computing for Development, DEV 2013"</f>
        <v>Proceedings of the 3rd ACM Symposium on Computing for Development, DEV 2013</v>
      </c>
      <c r="B16385" s="8" t="str">
        <f>"9781450318563"</f>
        <v>9781450318563</v>
      </c>
      <c r="C16385" s="8" t="s">
        <v>21</v>
      </c>
    </row>
    <row r="16386" spans="1:3" x14ac:dyDescent="0.25">
      <c r="A16386" s="8" t="str">
        <f>"Proceedings of the 3rd ACM Workshop on Continuous Archival and Retrieval of Personal Experiences, CARPE'06"</f>
        <v>Proceedings of the 3rd ACM Workshop on Continuous Archival and Retrieval of Personal Experiences, CARPE'06</v>
      </c>
      <c r="B16386" s="8" t="str">
        <f>"9781595934987"</f>
        <v>9781595934987</v>
      </c>
      <c r="C16386" s="8" t="s">
        <v>21</v>
      </c>
    </row>
    <row r="16387" spans="1:3" x14ac:dyDescent="0.25">
      <c r="A16387" s="8" t="str">
        <f>"Proceedings of the 3rd ACM Workshop on System-level Virtualization for High Performance Computing, HPCVirt'09"</f>
        <v>Proceedings of the 3rd ACM Workshop on System-level Virtualization for High Performance Computing, HPCVirt'09</v>
      </c>
      <c r="B16387" s="8" t="str">
        <f>"9781605584652"</f>
        <v>9781605584652</v>
      </c>
      <c r="C16387" s="8" t="s">
        <v>21</v>
      </c>
    </row>
    <row r="16388" spans="1:3" x14ac:dyDescent="0.25">
      <c r="A16388" s="8" t="str">
        <f>"Proceedings of the 3rd Annual ACM Web Science Conference, WebSci 2013"</f>
        <v>Proceedings of the 3rd Annual ACM Web Science Conference, WebSci 2013</v>
      </c>
      <c r="B16388" s="8" t="str">
        <f>"9781450318891"</f>
        <v>9781450318891</v>
      </c>
      <c r="C16388" s="8" t="s">
        <v>21</v>
      </c>
    </row>
    <row r="16389" spans="1:3" x14ac:dyDescent="0.25">
      <c r="A16389" s="8" t="str">
        <f>"Proceedings of the 3rd Annual ACM Web Science Conference, WebSci'12"</f>
        <v>Proceedings of the 3rd Annual ACM Web Science Conference, WebSci'12</v>
      </c>
      <c r="B16389" s="8" t="str">
        <f>"9781450312288"</f>
        <v>9781450312288</v>
      </c>
      <c r="C16389" s="8" t="s">
        <v>21</v>
      </c>
    </row>
    <row r="16390" spans="1:3" x14ac:dyDescent="0.25">
      <c r="A16390" s="8" t="str">
        <f>"Proceedings of the 3rd Annual Communication Networks and Services Research Conference"</f>
        <v>Proceedings of the 3rd Annual Communication Networks and Services Research Conference</v>
      </c>
      <c r="B16390" s="8" t="str">
        <f>"-"</f>
        <v>-</v>
      </c>
      <c r="C16390" s="8" t="s">
        <v>9</v>
      </c>
    </row>
    <row r="16391" spans="1:3" x14ac:dyDescent="0.25">
      <c r="A16391" s="8" t="str">
        <f>"Proceedings of the 3rd Annual Symposium on Combinatorial Search, SoCS 2010"</f>
        <v>Proceedings of the 3rd Annual Symposium on Combinatorial Search, SoCS 2010</v>
      </c>
      <c r="B16391" s="8" t="str">
        <f>"9781577354819"</f>
        <v>9781577354819</v>
      </c>
      <c r="C16391" s="8" t="s">
        <v>1257</v>
      </c>
    </row>
    <row r="16392" spans="1:3" x14ac:dyDescent="0.25">
      <c r="A16392" s="8" t="str">
        <f>"Proceedings of the 3rd Artificial Intelligence and Interactive Digital Entertainment Conference, AIIDE 2007"</f>
        <v>Proceedings of the 3rd Artificial Intelligence and Interactive Digital Entertainment Conference, AIIDE 2007</v>
      </c>
      <c r="B16392" s="8" t="str">
        <f>"9781577353256"</f>
        <v>9781577353256</v>
      </c>
      <c r="C16392" s="8" t="s">
        <v>1257</v>
      </c>
    </row>
    <row r="16393" spans="1:3" x14ac:dyDescent="0.25">
      <c r="A16393" s="8" t="str">
        <f>"Proceedings of the 3rd Asia Symposium on Quality Electronic Design, ASQED 2011"</f>
        <v>Proceedings of the 3rd Asia Symposium on Quality Electronic Design, ASQED 2011</v>
      </c>
      <c r="B16393" s="8" t="str">
        <f>"9781457701443"</f>
        <v>9781457701443</v>
      </c>
      <c r="C16393" s="8" t="s">
        <v>9</v>
      </c>
    </row>
    <row r="16394" spans="1:3" x14ac:dyDescent="0.25">
      <c r="A16394" s="8" t="str">
        <f>"Proceedings of the 3rd ASME Integrated Nanosystems Conference - Design, Synthesis, and Applications"</f>
        <v>Proceedings of the 3rd ASME Integrated Nanosystems Conference - Design, Synthesis, and Applications</v>
      </c>
      <c r="B16394" s="8" t="str">
        <f>"9780791841778"</f>
        <v>9780791841778</v>
      </c>
      <c r="C16394" s="8" t="s">
        <v>1308</v>
      </c>
    </row>
    <row r="16395" spans="1:3" x14ac:dyDescent="0.25">
      <c r="A16395" s="8" t="str">
        <f>"Proceedings of the 3rd ChinaGrid Annual Conference, ChinaGrid 2008"</f>
        <v>Proceedings of the 3rd ChinaGrid Annual Conference, ChinaGrid 2008</v>
      </c>
      <c r="B16395" s="8" t="str">
        <f>"9780769533063"</f>
        <v>9780769533063</v>
      </c>
      <c r="C16395" s="8" t="s">
        <v>9</v>
      </c>
    </row>
    <row r="16396" spans="1:3" x14ac:dyDescent="0.25">
      <c r="A16396" s="8" t="str">
        <f>"Proceedings of the 3rd Communities and Technologies Conference, C and T 2007"</f>
        <v>Proceedings of the 3rd Communities and Technologies Conference, C and T 2007</v>
      </c>
      <c r="B16396" s="8" t="str">
        <f>"9781846289040"</f>
        <v>9781846289040</v>
      </c>
      <c r="C16396" s="8" t="s">
        <v>62</v>
      </c>
    </row>
    <row r="16397" spans="1:3" x14ac:dyDescent="0.25">
      <c r="A16397" s="8" t="str">
        <f>"Proceedings of the 3rd Conference on Computing Frontiers 2006, CF '06"</f>
        <v>Proceedings of the 3rd Conference on Computing Frontiers 2006, CF '06</v>
      </c>
      <c r="B16397" s="8" t="str">
        <f>"9781595933027"</f>
        <v>9781595933027</v>
      </c>
      <c r="C16397" s="8" t="s">
        <v>21</v>
      </c>
    </row>
    <row r="16398" spans="1:3" x14ac:dyDescent="0.25">
      <c r="A16398" s="8" t="str">
        <f>"Proceedings of the 3rd Conference on Watershed Management to Meet Water Quality Standards and Emerging TMDL"</f>
        <v>Proceedings of the 3rd Conference on Watershed Management to Meet Water Quality Standards and Emerging TMDL</v>
      </c>
      <c r="B16398" s="8" t="str">
        <f>"9781892769466"</f>
        <v>9781892769466</v>
      </c>
      <c r="C16398" s="8" t="s">
        <v>140</v>
      </c>
    </row>
    <row r="16399" spans="1:3" x14ac:dyDescent="0.25">
      <c r="A16399" s="8" t="str">
        <f>"Proceedings of the 3rd European Additives and Colors Conference"</f>
        <v>Proceedings of the 3rd European Additives and Colors Conference</v>
      </c>
      <c r="B16399" s="8" t="str">
        <f>"-"</f>
        <v>-</v>
      </c>
      <c r="C16399" s="8" t="s">
        <v>132</v>
      </c>
    </row>
    <row r="16400" spans="1:3" x14ac:dyDescent="0.25">
      <c r="A16400" s="8" t="str">
        <f>"Proceedings of the 3rd European Conference on Information Management and Evaluation, ECIME 2009"</f>
        <v>Proceedings of the 3rd European Conference on Information Management and Evaluation, ECIME 2009</v>
      </c>
      <c r="B16400" s="8" t="str">
        <f>"9781906638436"</f>
        <v>9781906638436</v>
      </c>
      <c r="C16400" s="8" t="s">
        <v>973</v>
      </c>
    </row>
    <row r="16401" spans="1:3" x14ac:dyDescent="0.25">
      <c r="A16401" s="8" t="str">
        <f>"Proceedings of the 3rd European Radar Conference, EuRAD 2006"</f>
        <v>Proceedings of the 3rd European Radar Conference, EuRAD 2006</v>
      </c>
      <c r="B16401" s="8" t="str">
        <f>"9782960055177"</f>
        <v>9782960055177</v>
      </c>
      <c r="C16401" s="8" t="s">
        <v>9</v>
      </c>
    </row>
    <row r="16402" spans="1:3" x14ac:dyDescent="0.25">
      <c r="A16402" s="8" t="str">
        <f>"Proceedings of the 3rd European Workshop - Structural Health Monitoring 2006"</f>
        <v>Proceedings of the 3rd European Workshop - Structural Health Monitoring 2006</v>
      </c>
      <c r="B16402" s="8" t="str">
        <f>"9781932078633"</f>
        <v>9781932078633</v>
      </c>
      <c r="C16402" s="8" t="s">
        <v>757</v>
      </c>
    </row>
    <row r="16403" spans="1:3" x14ac:dyDescent="0.25">
      <c r="A16403" s="8" t="str">
        <f>"Proceedings of the 3rd European Workshop on Probabilistic Graphical Models, PGM 2006"</f>
        <v>Proceedings of the 3rd European Workshop on Probabilistic Graphical Models, PGM 2006</v>
      </c>
      <c r="B16403" s="8" t="str">
        <f>"9788086742144"</f>
        <v>9788086742144</v>
      </c>
      <c r="C16403" s="8" t="s">
        <v>1305</v>
      </c>
    </row>
    <row r="16404" spans="1:3" x14ac:dyDescent="0.25">
      <c r="A16404" s="8" t="str">
        <f>"Proceedings of the 3rd European Workshop on System Security, EUROSEC'10"</f>
        <v>Proceedings of the 3rd European Workshop on System Security, EUROSEC'10</v>
      </c>
      <c r="B16404" s="8" t="str">
        <f>"9781450300599"</f>
        <v>9781450300599</v>
      </c>
      <c r="C16404" s="8" t="s">
        <v>21</v>
      </c>
    </row>
    <row r="16405" spans="1:3" x14ac:dyDescent="0.25">
      <c r="A16405" s="8" t="str">
        <f>"Proceedings of the 3rd High-Energy Physics International Conference, HEP-MAD 2007"</f>
        <v>Proceedings of the 3rd High-Energy Physics International Conference, HEP-MAD 2007</v>
      </c>
      <c r="B16405" s="8" t="str">
        <f>"-"</f>
        <v>-</v>
      </c>
      <c r="C16405" s="8" t="s">
        <v>1471</v>
      </c>
    </row>
    <row r="16406" spans="1:3" x14ac:dyDescent="0.25">
      <c r="A16406" s="8" t="str">
        <f>"Proceedings of the 3rd IASTED African Conference on Modelling and Simulation, AfricaMS 2010"</f>
        <v>Proceedings of the 3rd IASTED African Conference on Modelling and Simulation, AfricaMS 2010</v>
      </c>
      <c r="B16406" s="8" t="str">
        <f>"9780889868762"</f>
        <v>9780889868762</v>
      </c>
      <c r="C16406" s="8" t="s">
        <v>305</v>
      </c>
    </row>
    <row r="16407" spans="1:3" x14ac:dyDescent="0.25">
      <c r="A16407" s="8" t="str">
        <f>"Proceedings of the 3rd IASTED African Conference on Water Resource Management, AfricaWRM 2010"</f>
        <v>Proceedings of the 3rd IASTED African Conference on Water Resource Management, AfricaWRM 2010</v>
      </c>
      <c r="B16407" s="8" t="str">
        <f>"9780889868779"</f>
        <v>9780889868779</v>
      </c>
      <c r="C16407" s="8" t="s">
        <v>305</v>
      </c>
    </row>
    <row r="16408" spans="1:3" x14ac:dyDescent="0.25">
      <c r="A16408" s="8" t="str">
        <f>"Proceedings of the 3rd IASTED Asian Conference on Modelling, Identification, and Control, AsiaMIC 2013"</f>
        <v>Proceedings of the 3rd IASTED Asian Conference on Modelling, Identification, and Control, AsiaMIC 2013</v>
      </c>
      <c r="B16408" s="8" t="str">
        <f>"9780889869462"</f>
        <v>9780889869462</v>
      </c>
      <c r="C16408" s="8" t="s">
        <v>305</v>
      </c>
    </row>
    <row r="16409" spans="1:3" x14ac:dyDescent="0.25">
      <c r="A16409" s="8" t="str">
        <f>"Proceedings of the 3rd IASTED Asian Conference on Power and Energy Systems, AsiaPES 2007"</f>
        <v>Proceedings of the 3rd IASTED Asian Conference on Power and Energy Systems, AsiaPES 2007</v>
      </c>
      <c r="B16409" s="8" t="str">
        <f>"9780889866577"</f>
        <v>9780889866577</v>
      </c>
      <c r="C16409" s="8" t="s">
        <v>305</v>
      </c>
    </row>
    <row r="16410" spans="1:3" x14ac:dyDescent="0.25">
      <c r="A16410" s="8" t="str">
        <f>"Proceedings of the 3rd IASTED International Conference on Advances in Computer Science and Technology, ACST 2007"</f>
        <v>Proceedings of the 3rd IASTED International Conference on Advances in Computer Science and Technology, ACST 2007</v>
      </c>
      <c r="B16410" s="8" t="str">
        <f>"9780889866560"</f>
        <v>9780889866560</v>
      </c>
      <c r="C16410" s="8" t="s">
        <v>305</v>
      </c>
    </row>
    <row r="16411" spans="1:3" x14ac:dyDescent="0.25">
      <c r="A16411" s="8" t="str">
        <f>"Proceedings of the 3rd IASTED International Conference on Biomedical Engineering 2005"</f>
        <v>Proceedings of the 3rd IASTED International Conference on Biomedical Engineering 2005</v>
      </c>
      <c r="B16411" s="8" t="str">
        <f>"9780889864788"</f>
        <v>9780889864788</v>
      </c>
      <c r="C16411" s="8" t="s">
        <v>305</v>
      </c>
    </row>
    <row r="16412" spans="1:3" x14ac:dyDescent="0.25">
      <c r="A16412" s="8" t="str">
        <f>"Proceedings of the 3rd IASTED International Conference on Computational Intelligence, CI 2007"</f>
        <v>Proceedings of the 3rd IASTED International Conference on Computational Intelligence, CI 2007</v>
      </c>
      <c r="B16412" s="8" t="str">
        <f>"9780889866713"</f>
        <v>9780889866713</v>
      </c>
      <c r="C16412" s="8" t="s">
        <v>305</v>
      </c>
    </row>
    <row r="16413" spans="1:3" x14ac:dyDescent="0.25">
      <c r="A16413" s="8" t="str">
        <f>"Proceedings of the 3rd IASTED International Conference on Human-Computer Interaction, HCI 2008"</f>
        <v>Proceedings of the 3rd IASTED International Conference on Human-Computer Interaction, HCI 2008</v>
      </c>
      <c r="B16413" s="8" t="str">
        <f>"9780889867253"</f>
        <v>9780889867253</v>
      </c>
      <c r="C16413" s="8" t="s">
        <v>305</v>
      </c>
    </row>
    <row r="16414" spans="1:3" x14ac:dyDescent="0.25">
      <c r="A16414" s="8" t="str">
        <f>"Proceedings of the 3rd IASTED International Conference on Telehealth"</f>
        <v>Proceedings of the 3rd IASTED International Conference on Telehealth</v>
      </c>
      <c r="B16414" s="8" t="str">
        <f>"9780889866676"</f>
        <v>9780889866676</v>
      </c>
      <c r="C16414" s="8" t="s">
        <v>305</v>
      </c>
    </row>
    <row r="16415" spans="1:3" x14ac:dyDescent="0.25">
      <c r="A16415" s="8" t="str">
        <f>"Proceedings of the 3rd IEEE Asia-Pacific Services Computing Conference, APSCC 2008"</f>
        <v>Proceedings of the 3rd IEEE Asia-Pacific Services Computing Conference, APSCC 2008</v>
      </c>
      <c r="B16415" s="8" t="str">
        <f>"9780769534732"</f>
        <v>9780769534732</v>
      </c>
      <c r="C16415" s="8" t="s">
        <v>9</v>
      </c>
    </row>
    <row r="16416" spans="1:3" x14ac:dyDescent="0.25">
      <c r="A16416" s="8" t="str">
        <f>"Proceedings of the 3rd IEEE Conference on Standardization and Innovation in Information Technology, SIIT 2003"</f>
        <v>Proceedings of the 3rd IEEE Conference on Standardization and Innovation in Information Technology, SIIT 2003</v>
      </c>
      <c r="B16416" s="8" t="str">
        <f>"9780780381728"</f>
        <v>9780780381728</v>
      </c>
      <c r="C16416" s="8" t="s">
        <v>105</v>
      </c>
    </row>
    <row r="16417" spans="1:3" x14ac:dyDescent="0.25">
      <c r="A16417" s="8" t="str">
        <f>"Proceedings of the 3rd IEEE Global Humanitarian Technology Conference, GHTC 2013"</f>
        <v>Proceedings of the 3rd IEEE Global Humanitarian Technology Conference, GHTC 2013</v>
      </c>
      <c r="B16417" s="8" t="str">
        <f>"9781479924028"</f>
        <v>9781479924028</v>
      </c>
      <c r="C16417" s="8" t="s">
        <v>9</v>
      </c>
    </row>
    <row r="16418" spans="1:3" x14ac:dyDescent="0.25">
      <c r="A16418" s="8" t="str">
        <f>"Proceedings of the 3rd IEEE International Conference on Automation Science and Engineering, IEEE CASE 2007"</f>
        <v>Proceedings of the 3rd IEEE International Conference on Automation Science and Engineering, IEEE CASE 2007</v>
      </c>
      <c r="B16418" s="8" t="str">
        <f>"9781424411542"</f>
        <v>9781424411542</v>
      </c>
      <c r="C16418" s="8" t="s">
        <v>105</v>
      </c>
    </row>
    <row r="16419" spans="1:3" x14ac:dyDescent="0.25">
      <c r="A16419" s="8" t="str">
        <f>"Proceedings of the 3rd IEEE International Symposium on Signal Processing and Information Technology, ISSPIT 2003"</f>
        <v>Proceedings of the 3rd IEEE International Symposium on Signal Processing and Information Technology, ISSPIT 2003</v>
      </c>
      <c r="B16419" s="8" t="str">
        <f>"9780780382923"</f>
        <v>9780780382923</v>
      </c>
      <c r="C16419" s="8" t="s">
        <v>105</v>
      </c>
    </row>
    <row r="16420" spans="1:3" x14ac:dyDescent="0.25">
      <c r="A16420" s="8" t="str">
        <f>"Proceedings of the 3rd IEEE-EMBS International Summer School and Symposium on Medical Devices and Biosensors, ISSS-MDBS 2006"</f>
        <v>Proceedings of the 3rd IEEE-EMBS International Summer School and Symposium on Medical Devices and Biosensors, ISSS-MDBS 2006</v>
      </c>
      <c r="B16420" s="8" t="str">
        <f>"9780780397873"</f>
        <v>9780780397873</v>
      </c>
      <c r="C16420" s="8" t="s">
        <v>9</v>
      </c>
    </row>
    <row r="16421" spans="1:3" x14ac:dyDescent="0.25">
      <c r="A16421" s="8" t="str">
        <f>"Proceedings of the 3rd IMechE Automobile Division Southern Centre Conference on: Total Vehicle Technology; Finding the Radical, Implementing the Practical"</f>
        <v>Proceedings of the 3rd IMechE Automobile Division Southern Centre Conference on: Total Vehicle Technology; Finding the Radical, Implementing the Practical</v>
      </c>
      <c r="B16421" s="8" t="str">
        <f>"9781860584602"</f>
        <v>9781860584602</v>
      </c>
      <c r="C16421" s="8" t="s">
        <v>1645</v>
      </c>
    </row>
    <row r="16422" spans="1:3" x14ac:dyDescent="0.25">
      <c r="A16422" s="8" t="str">
        <f>"Proceedings of the 3rd Indian International Conference on Artificial Intelligence, IICAI 2007"</f>
        <v>Proceedings of the 3rd Indian International Conference on Artificial Intelligence, IICAI 2007</v>
      </c>
      <c r="B16422" s="8" t="str">
        <f>"9780972741224"</f>
        <v>9780972741224</v>
      </c>
      <c r="C16422" s="8" t="s">
        <v>2197</v>
      </c>
    </row>
    <row r="16423" spans="1:3" x14ac:dyDescent="0.25">
      <c r="A16423" s="8" t="str">
        <f>"Proceedings of the 3rd Interdisciplinary Engineering Design Education Conference, IEDEC 2013"</f>
        <v>Proceedings of the 3rd Interdisciplinary Engineering Design Education Conference, IEDEC 2013</v>
      </c>
      <c r="B16423" s="8" t="str">
        <f>"9781467351126"</f>
        <v>9781467351126</v>
      </c>
      <c r="C16423" s="8" t="s">
        <v>9</v>
      </c>
    </row>
    <row r="16424" spans="1:3" x14ac:dyDescent="0.25">
      <c r="A16424" s="8" t="str">
        <f>"Proceedings of the 3rd International ACM SIGPLAN Conference on Principles and Practice of Declarative Programming"</f>
        <v>Proceedings of the 3rd International ACM SIGPLAN Conference on Principles and Practice of Declarative Programming</v>
      </c>
      <c r="B16424" s="8" t="str">
        <f>"9781581133882"</f>
        <v>9781581133882</v>
      </c>
      <c r="C16424" s="8" t="s">
        <v>21</v>
      </c>
    </row>
    <row r="16425" spans="1:3" x14ac:dyDescent="0.25">
      <c r="A16425" s="8" t="str">
        <f>"Proceedings of the 3rd International ACM Workshop on Reliability, Availability, and Security, WRAS 2010"</f>
        <v>Proceedings of the 3rd International ACM Workshop on Reliability, Availability, and Security, WRAS 2010</v>
      </c>
      <c r="B16425" s="8" t="str">
        <f>"9781450306423"</f>
        <v>9781450306423</v>
      </c>
      <c r="C16425" s="8" t="s">
        <v>21</v>
      </c>
    </row>
    <row r="16426" spans="1:3" x14ac:dyDescent="0.25">
      <c r="A16426" s="8" t="str">
        <f>"Proceedings of the 3rd International Brazing and Soldering Conference"</f>
        <v>Proceedings of the 3rd International Brazing and Soldering Conference</v>
      </c>
      <c r="B16426" s="8" t="str">
        <f>"-"</f>
        <v>-</v>
      </c>
      <c r="C16426" s="8" t="s">
        <v>65</v>
      </c>
    </row>
    <row r="16427" spans="1:3" x14ac:dyDescent="0.25">
      <c r="A16427" s="8" t="str">
        <f>"Proceedings of the 3rd International Building Physics Conference - Research in Building Physics and Building Engineering"</f>
        <v>Proceedings of the 3rd International Building Physics Conference - Research in Building Physics and Building Engineering</v>
      </c>
      <c r="B16427" s="8" t="str">
        <f>"9780415416757"</f>
        <v>9780415416757</v>
      </c>
      <c r="C16427" s="8" t="s">
        <v>1520</v>
      </c>
    </row>
    <row r="16428" spans="1:3" x14ac:dyDescent="0.25">
      <c r="A16428" s="8" t="str">
        <f>"Proceedings of the 3rd International Conference on Advanced Materials and Systems, ICAMS 2010"</f>
        <v>Proceedings of the 3rd International Conference on Advanced Materials and Systems, ICAMS 2010</v>
      </c>
      <c r="B16428" s="8" t="str">
        <f>"-"</f>
        <v>-</v>
      </c>
      <c r="C16428" s="8" t="s">
        <v>2208</v>
      </c>
    </row>
    <row r="16429" spans="1:3" x14ac:dyDescent="0.25">
      <c r="A16429" s="8" t="str">
        <f>"Proceedings of the 3rd International Conference on Advanced Research in Virtual and Rapid Prototyping: Virtual and Rapid Manufacturing Advanced Research Virtual and Rapid Prototyping"</f>
        <v>Proceedings of the 3rd International Conference on Advanced Research in Virtual and Rapid Prototyping: Virtual and Rapid Manufacturing Advanced Research Virtual and Rapid Prototyping</v>
      </c>
      <c r="B16429" s="8" t="str">
        <f>"9780415416023"</f>
        <v>9780415416023</v>
      </c>
      <c r="C16429" s="8" t="s">
        <v>1520</v>
      </c>
    </row>
    <row r="16430" spans="1:3" x14ac:dyDescent="0.25">
      <c r="A16430" s="8" t="str">
        <f>"Proceedings of the 3rd International Conference on Applied Mathematics, Simulation, Modelling, ASM'09, Proceedings of the 3rd International Conference on Circuits, Systems and Signals, CSS'09"</f>
        <v>Proceedings of the 3rd International Conference on Applied Mathematics, Simulation, Modelling, ASM'09, Proceedings of the 3rd International Conference on Circuits, Systems and Signals, CSS'09</v>
      </c>
      <c r="B16430" s="8" t="str">
        <f>"9789604741472"</f>
        <v>9789604741472</v>
      </c>
      <c r="C16430" s="8" t="s">
        <v>553</v>
      </c>
    </row>
    <row r="16431" spans="1:3" x14ac:dyDescent="0.25">
      <c r="A16431" s="8" t="str">
        <f>"Proceedings of the 3rd International Conference on Applied Robotics for the Power Industry, CARPI 2014"</f>
        <v>Proceedings of the 3rd International Conference on Applied Robotics for the Power Industry, CARPI 2014</v>
      </c>
      <c r="B16431" s="8" t="str">
        <f>"9781479964222"</f>
        <v>9781479964222</v>
      </c>
      <c r="C16431" s="8" t="s">
        <v>105</v>
      </c>
    </row>
    <row r="16432" spans="1:3" x14ac:dyDescent="0.25">
      <c r="A16432" s="8" t="str">
        <f>"Proceedings of the 3rd International Conference on Automotive User Interfaces and Interactive Vehicular Applications, AutomotiveUI 2011"</f>
        <v>Proceedings of the 3rd International Conference on Automotive User Interfaces and Interactive Vehicular Applications, AutomotiveUI 2011</v>
      </c>
      <c r="B16432" s="8" t="str">
        <f>"9781450312318"</f>
        <v>9781450312318</v>
      </c>
      <c r="C16432" s="8" t="s">
        <v>21</v>
      </c>
    </row>
    <row r="16433" spans="1:3" x14ac:dyDescent="0.25">
      <c r="A16433" s="8" t="str">
        <f>"Proceedings of the 3rd International Conference on Bridge Maintenance, Safety and Management - Bridge Maintenance, Safety, Management, Life-Cycle Performance and Cost"</f>
        <v>Proceedings of the 3rd International Conference on Bridge Maintenance, Safety and Management - Bridge Maintenance, Safety, Management, Life-Cycle Performance and Cost</v>
      </c>
      <c r="B16433" s="8" t="str">
        <f>"9780415403153"</f>
        <v>9780415403153</v>
      </c>
      <c r="C16433" s="8" t="s">
        <v>1520</v>
      </c>
    </row>
    <row r="16434" spans="1:3" x14ac:dyDescent="0.25">
      <c r="A16434" s="8" t="str">
        <f>"Proceedings of the 3rd International Conference on Cognitive Radio Oriented Wireless Networks and Communications, CrownCom 2008"</f>
        <v>Proceedings of the 3rd International Conference on Cognitive Radio Oriented Wireless Networks and Communications, CrownCom 2008</v>
      </c>
      <c r="B16434" s="8" t="str">
        <f>"9781424423026"</f>
        <v>9781424423026</v>
      </c>
      <c r="C16434" s="8" t="s">
        <v>9</v>
      </c>
    </row>
    <row r="16435" spans="1:3" x14ac:dyDescent="0.25">
      <c r="A16435" s="8" t="str">
        <f>"Proceedings of the 3rd International Conference on Collaborative Computing: Networking, Applications and Worksharing, CollaborateCom 2007"</f>
        <v>Proceedings of the 3rd International Conference on Collaborative Computing: Networking, Applications and Worksharing, CollaborateCom 2007</v>
      </c>
      <c r="B16435" s="8" t="str">
        <f>"9781424413171"</f>
        <v>9781424413171</v>
      </c>
      <c r="C16435" s="8" t="s">
        <v>9</v>
      </c>
    </row>
    <row r="16436" spans="1:3" x14ac:dyDescent="0.25">
      <c r="A16436" s="8" t="str">
        <f>"Proceedings of the 3rd International Conference on Communications and Information Technology, CIT'09"</f>
        <v>Proceedings of the 3rd International Conference on Communications and Information Technology, CIT'09</v>
      </c>
      <c r="B16436" s="8" t="str">
        <f>"9789604741465"</f>
        <v>9789604741465</v>
      </c>
      <c r="C16436" s="8" t="s">
        <v>553</v>
      </c>
    </row>
    <row r="16437" spans="1:3" x14ac:dyDescent="0.25">
      <c r="A16437" s="8" t="str">
        <f>"Proceedings of the 3rd International Conference on Computer and Knowledge Engineering, ICCKE 2013"</f>
        <v>Proceedings of the 3rd International Conference on Computer and Knowledge Engineering, ICCKE 2013</v>
      </c>
      <c r="B16437" s="8" t="str">
        <f>"9781479920921"</f>
        <v>9781479920921</v>
      </c>
      <c r="C16437" s="8" t="s">
        <v>9</v>
      </c>
    </row>
    <row r="16438" spans="1:3" x14ac:dyDescent="0.25">
      <c r="A16438" s="8" t="str">
        <f>"Proceedings of the 3rd International Conference on Design Science Research in Information Systems and Technology, DESRIST 2008"</f>
        <v>Proceedings of the 3rd International Conference on Design Science Research in Information Systems and Technology, DESRIST 2008</v>
      </c>
      <c r="B16438" s="8" t="str">
        <f>"-"</f>
        <v>-</v>
      </c>
      <c r="C16438" s="8" t="s">
        <v>1777</v>
      </c>
    </row>
    <row r="16439" spans="1:3" x14ac:dyDescent="0.25">
      <c r="A16439" s="8" t="str">
        <f>"Proceedings of the 3rd International Conference on Digital Society, ICDS 2009"</f>
        <v>Proceedings of the 3rd International Conference on Digital Society, ICDS 2009</v>
      </c>
      <c r="B16439" s="8" t="str">
        <f>"9780769535265"</f>
        <v>9780769535265</v>
      </c>
      <c r="C16439" s="8" t="s">
        <v>9</v>
      </c>
    </row>
    <row r="16440" spans="1:3" x14ac:dyDescent="0.25">
      <c r="A16440" s="8" t="str">
        <f>"Proceedings of the 3rd International Conference on Energy and Development - Environment - Biomedicine, EDEB'09"</f>
        <v>Proceedings of the 3rd International Conference on Energy and Development - Environment - Biomedicine, EDEB'09</v>
      </c>
      <c r="B16440" s="8" t="str">
        <f>"9789604741489"</f>
        <v>9789604741489</v>
      </c>
      <c r="C16440" s="8" t="s">
        <v>553</v>
      </c>
    </row>
    <row r="16441" spans="1:3" x14ac:dyDescent="0.25">
      <c r="A16441" s="8" t="str">
        <f>"Proceedings of the 3rd International Conference on Environmental Technology and Knowledge Transfer"</f>
        <v>Proceedings of the 3rd International Conference on Environmental Technology and Knowledge Transfer</v>
      </c>
      <c r="B16441" s="8" t="str">
        <f>"9783860090664"</f>
        <v>9783860090664</v>
      </c>
      <c r="C16441" s="8" t="s">
        <v>1266</v>
      </c>
    </row>
    <row r="16442" spans="1:3" x14ac:dyDescent="0.25">
      <c r="A16442" s="8" t="str">
        <f>"Proceedings of the 3rd International Conference on Fuel Cell Science, Engineering, and Technology, 2005"</f>
        <v>Proceedings of the 3rd International Conference on Fuel Cell Science, Engineering, and Technology, 2005</v>
      </c>
      <c r="B16442" s="8" t="str">
        <f>"9780791837641"</f>
        <v>9780791837641</v>
      </c>
      <c r="C16442" s="8" t="s">
        <v>1308</v>
      </c>
    </row>
    <row r="16443" spans="1:3" x14ac:dyDescent="0.25">
      <c r="A16443" s="8" t="s">
        <v>2209</v>
      </c>
      <c r="B16443" s="8" t="str">
        <f>"9781450310550"</f>
        <v>9781450310550</v>
      </c>
      <c r="C16443" s="8" t="s">
        <v>21</v>
      </c>
    </row>
    <row r="16444" spans="1:3" x14ac:dyDescent="0.25">
      <c r="A16444" s="8" t="str">
        <f>"Proceedings of the 3rd International Conference on Information Fusion, FUSION 2000"</f>
        <v>Proceedings of the 3rd International Conference on Information Fusion, FUSION 2000</v>
      </c>
      <c r="B16444" s="8" t="str">
        <f>"9782725700007"</f>
        <v>9782725700007</v>
      </c>
      <c r="C16444" s="8" t="s">
        <v>9</v>
      </c>
    </row>
    <row r="16445" spans="1:3" x14ac:dyDescent="0.25">
      <c r="A16445" s="8" t="str">
        <f>"Proceedings of the 3rd International Conference on Internet Technologies and Applications, ITA 09"</f>
        <v>Proceedings of the 3rd International Conference on Internet Technologies and Applications, ITA 09</v>
      </c>
      <c r="B16445" s="8" t="str">
        <f>"9780946881659"</f>
        <v>9780946881659</v>
      </c>
      <c r="C16445" s="8" t="s">
        <v>2210</v>
      </c>
    </row>
    <row r="16446" spans="1:3" x14ac:dyDescent="0.25">
      <c r="A16446" s="8" t="str">
        <f>"Proceedings of the 3rd International Conference on Knowledge Capture, K-CAP'05"</f>
        <v>Proceedings of the 3rd International Conference on Knowledge Capture, K-CAP'05</v>
      </c>
      <c r="B16446" s="8" t="str">
        <f>"9781595931634"</f>
        <v>9781595931634</v>
      </c>
      <c r="C16446" s="8" t="s">
        <v>21</v>
      </c>
    </row>
    <row r="16447" spans="1:3" x14ac:dyDescent="0.25">
      <c r="A16447" s="8" t="str">
        <f>"Proceedings of the 3rd International Conference on Lisp Users and Vendors, LUV 1993"</f>
        <v>Proceedings of the 3rd International Conference on Lisp Users and Vendors, LUV 1993</v>
      </c>
      <c r="B16447" s="8" t="str">
        <f>"-"</f>
        <v>-</v>
      </c>
      <c r="C16447" s="8" t="s">
        <v>21</v>
      </c>
    </row>
    <row r="16448" spans="1:3" x14ac:dyDescent="0.25">
      <c r="A16448" s="8" t="str">
        <f>"Proceedings of the 3rd International Conference on Management Science and Engineering Management"</f>
        <v>Proceedings of the 3rd International Conference on Management Science and Engineering Management</v>
      </c>
      <c r="B16448" s="8" t="str">
        <f>"9781846260032"</f>
        <v>9781846260032</v>
      </c>
      <c r="C16448" s="8" t="s">
        <v>2199</v>
      </c>
    </row>
    <row r="16449" spans="1:3" x14ac:dyDescent="0.25">
      <c r="A16449" s="8" t="str">
        <f>"Proceedings of the 3rd International Conference on Microchannels and Minichannels, 2005"</f>
        <v>Proceedings of the 3rd International Conference on Microchannels and Minichannels, 2005</v>
      </c>
      <c r="B16449" s="8" t="str">
        <f>"9780791841853"</f>
        <v>9780791841853</v>
      </c>
      <c r="C16449" s="8" t="s">
        <v>1308</v>
      </c>
    </row>
    <row r="16450" spans="1:3" x14ac:dyDescent="0.25">
      <c r="A16450" s="8" t="str">
        <f>"Proceedings of the 3rd International Conference on Mobile Systems, Applications, and Services, MobiSys 2005"</f>
        <v>Proceedings of the 3rd International Conference on Mobile Systems, Applications, and Services, MobiSys 2005</v>
      </c>
      <c r="B16450" s="8" t="str">
        <f>"9781931971317"</f>
        <v>9781931971317</v>
      </c>
      <c r="C16450" s="8" t="s">
        <v>21</v>
      </c>
    </row>
    <row r="16451" spans="1:3" x14ac:dyDescent="0.25">
      <c r="A16451" s="8" t="str">
        <f>"Proceedings of the 3rd International Conference on Mobile Technology, Applications and Systems, Mobility '06"</f>
        <v>Proceedings of the 3rd International Conference on Mobile Technology, Applications and Systems, Mobility '06</v>
      </c>
      <c r="B16451" s="8" t="str">
        <f>"9781595935199"</f>
        <v>9781595935199</v>
      </c>
      <c r="C16451" s="8" t="s">
        <v>21</v>
      </c>
    </row>
    <row r="16452" spans="1:3" x14ac:dyDescent="0.25">
      <c r="A16452" s="8" t="str">
        <f>"Proceedings of the 3rd International Conference on Quantum, Nano and Micro Technologies, ICQNM 2009"</f>
        <v>Proceedings of the 3rd International Conference on Quantum, Nano and Micro Technologies, ICQNM 2009</v>
      </c>
      <c r="B16452" s="8" t="str">
        <f>"9780769535241"</f>
        <v>9780769535241</v>
      </c>
      <c r="C16452" s="8" t="s">
        <v>9</v>
      </c>
    </row>
    <row r="16453" spans="1:3" x14ac:dyDescent="0.25">
      <c r="A16453" s="8" t="str">
        <f>"Proceedings of the 3rd International Conference on Recent Advances in Space Technologies, RAST 2007"</f>
        <v>Proceedings of the 3rd International Conference on Recent Advances in Space Technologies, RAST 2007</v>
      </c>
      <c r="B16453" s="8" t="str">
        <f>"9781424410576"</f>
        <v>9781424410576</v>
      </c>
      <c r="C16453" s="8" t="s">
        <v>9</v>
      </c>
    </row>
    <row r="16454" spans="1:3" x14ac:dyDescent="0.25">
      <c r="A16454" s="8" t="str">
        <f>"Proceedings of the 3rd International Conference on Reliability of Electrical Products and Electrical Contacts, ICREPEC 2009"</f>
        <v>Proceedings of the 3rd International Conference on Reliability of Electrical Products and Electrical Contacts, ICREPEC 2009</v>
      </c>
      <c r="B16454" s="8" t="str">
        <f>"9789889968489"</f>
        <v>9789889968489</v>
      </c>
      <c r="C16454" s="8" t="s">
        <v>991</v>
      </c>
    </row>
    <row r="16455" spans="1:3" x14ac:dyDescent="0.25">
      <c r="A16455" s="8" t="str">
        <f>"Proceedings of the 3rd International Conference on Security and Privacy in Communication Networks, SecureComm"</f>
        <v>Proceedings of the 3rd International Conference on Security and Privacy in Communication Networks, SecureComm</v>
      </c>
      <c r="B16455" s="8" t="str">
        <f>"9781424409754"</f>
        <v>9781424409754</v>
      </c>
      <c r="C16455" s="8" t="s">
        <v>9</v>
      </c>
    </row>
    <row r="16456" spans="1:3" x14ac:dyDescent="0.25">
      <c r="A16456" s="8" t="str">
        <f>"Proceedings of the 3rd International Conference on Sensing Technology, ICST 2008"</f>
        <v>Proceedings of the 3rd International Conference on Sensing Technology, ICST 2008</v>
      </c>
      <c r="B16456" s="8" t="str">
        <f>"9781424421770"</f>
        <v>9781424421770</v>
      </c>
      <c r="C16456" s="8" t="s">
        <v>9</v>
      </c>
    </row>
    <row r="16457" spans="1:3" x14ac:dyDescent="0.25">
      <c r="A16457" s="8" t="str">
        <f>"Proceedings of the 3rd International Conference on Steel and Composite Structures, ICSCS07 - Steel and Composite Structures"</f>
        <v>Proceedings of the 3rd International Conference on Steel and Composite Structures, ICSCS07 - Steel and Composite Structures</v>
      </c>
      <c r="B16457" s="8" t="str">
        <f>"9780415451413"</f>
        <v>9780415451413</v>
      </c>
      <c r="C16457" s="8" t="s">
        <v>1520</v>
      </c>
    </row>
    <row r="16458" spans="1:3" x14ac:dyDescent="0.25">
      <c r="A16458" s="8" t="str">
        <f>"Proceedings of the 3rd International Conference on Tangible and Embedded Interaction, TEI'09"</f>
        <v>Proceedings of the 3rd International Conference on Tangible and Embedded Interaction, TEI'09</v>
      </c>
      <c r="B16458" s="8" t="str">
        <f>"9781605584935"</f>
        <v>9781605584935</v>
      </c>
      <c r="C16458" s="8" t="s">
        <v>21</v>
      </c>
    </row>
    <row r="16459" spans="1:3" x14ac:dyDescent="0.25">
      <c r="A16459" s="8" t="str">
        <f>"Proceedings of the 3rd International Conference on Testbeds and Research Infrastructures for the Development of Networks and Communities, TridentCom 2007"</f>
        <v>Proceedings of the 3rd International Conference on Testbeds and Research Infrastructures for the Development of Networks and Communities, TridentCom 2007</v>
      </c>
      <c r="B16459" s="8" t="str">
        <f>"9781424407392"</f>
        <v>9781424407392</v>
      </c>
      <c r="C16459" s="8" t="s">
        <v>9</v>
      </c>
    </row>
    <row r="16460" spans="1:3" x14ac:dyDescent="0.25">
      <c r="A16460" s="8" t="str">
        <f>"Proceedings of the 3rd International Conference on Ubiquitous Information Management and Communication, ICUIMC'09"</f>
        <v>Proceedings of the 3rd International Conference on Ubiquitous Information Management and Communication, ICUIMC'09</v>
      </c>
      <c r="B16460" s="8" t="str">
        <f>"9781605584058"</f>
        <v>9781605584058</v>
      </c>
      <c r="C16460" s="8" t="s">
        <v>21</v>
      </c>
    </row>
    <row r="16461" spans="1:3" x14ac:dyDescent="0.25">
      <c r="A16461" s="8" t="str">
        <f>"Proceedings of the 3rd International Forum on Risk Analysis, Dam Safety Dam Security and Critical Infrastructure Management, 3IWRDD-FORUM"</f>
        <v>Proceedings of the 3rd International Forum on Risk Analysis, Dam Safety Dam Security and Critical Infrastructure Management, 3IWRDD-FORUM</v>
      </c>
      <c r="B16461" s="8" t="str">
        <f>"9780415620789"</f>
        <v>9780415620789</v>
      </c>
      <c r="C16461" s="8" t="s">
        <v>96</v>
      </c>
    </row>
    <row r="16462" spans="1:3" x14ac:dyDescent="0.25">
      <c r="A16462" s="8" t="str">
        <f>"Proceedings of the 3rd International IEEE EMBS Conference on Neural Engineering"</f>
        <v>Proceedings of the 3rd International IEEE EMBS Conference on Neural Engineering</v>
      </c>
      <c r="B16462" s="8" t="str">
        <f>"9781424407927"</f>
        <v>9781424407927</v>
      </c>
      <c r="C16462" s="8" t="s">
        <v>9</v>
      </c>
    </row>
    <row r="16463" spans="1:3" x14ac:dyDescent="0.25">
      <c r="A16463" s="8" t="str">
        <f>"Proceedings of the 3rd International Powder Metallurgy Conference"</f>
        <v>Proceedings of the 3rd International Powder Metallurgy Conference</v>
      </c>
      <c r="B16463" s="8" t="str">
        <f>"9789759246303"</f>
        <v>9789759246303</v>
      </c>
      <c r="C16463" s="8" t="s">
        <v>2211</v>
      </c>
    </row>
    <row r="16464" spans="1:3" x14ac:dyDescent="0.25">
      <c r="A16464" s="8" t="str">
        <f>"Proceedings of the 3rd International Symposium on AI and Games - A Symposium at the AISB 2010 Convention"</f>
        <v>Proceedings of the 3rd International Symposium on AI and Games - A Symposium at the AISB 2010 Convention</v>
      </c>
      <c r="B16464" s="8" t="str">
        <f>"9781902956909"</f>
        <v>9781902956909</v>
      </c>
      <c r="C16464" s="8" t="s">
        <v>1630</v>
      </c>
    </row>
    <row r="16465" spans="1:3" x14ac:dyDescent="0.25">
      <c r="A16465" s="8" t="str">
        <f>"Proceedings of the 3rd International Symposium on Autonomous Minirobots for Research and Edutainment, AMiRE 2005"</f>
        <v>Proceedings of the 3rd International Symposium on Autonomous Minirobots for Research and Edutainment, AMiRE 2005</v>
      </c>
      <c r="B16465" s="8" t="str">
        <f>"9783540284963"</f>
        <v>9783540284963</v>
      </c>
      <c r="C16465" s="8" t="s">
        <v>1639</v>
      </c>
    </row>
    <row r="16466" spans="1:3" x14ac:dyDescent="0.25">
      <c r="A16466" s="8" t="str">
        <f>"Proceedings of the 3rd International Symposium on Cooperative Database Systems for Advanced Applications, CODAS 2001"</f>
        <v>Proceedings of the 3rd International Symposium on Cooperative Database Systems for Advanced Applications, CODAS 2001</v>
      </c>
      <c r="B16466" s="8" t="str">
        <f>"9780769511283"</f>
        <v>9780769511283</v>
      </c>
      <c r="C16466" s="8" t="s">
        <v>105</v>
      </c>
    </row>
    <row r="16467" spans="1:3" x14ac:dyDescent="0.25">
      <c r="A16467" s="8" t="str">
        <f>"Proceedings of the 3rd International Symposium on Fluid Power Transmission and Control (ISFP'99)"</f>
        <v>Proceedings of the 3rd International Symposium on Fluid Power Transmission and Control (ISFP'99)</v>
      </c>
      <c r="B16467" s="8" t="str">
        <f>"9787800034503"</f>
        <v>9787800034503</v>
      </c>
      <c r="C16467" s="8" t="s">
        <v>991</v>
      </c>
    </row>
    <row r="16468" spans="1:3" x14ac:dyDescent="0.25">
      <c r="A16468" s="8" t="str">
        <f>"Proceedings of the 3rd International Symposium on Human Aspects of Information Security and Assurance, HAISA 2009"</f>
        <v>Proceedings of the 3rd International Symposium on Human Aspects of Information Security and Assurance, HAISA 2009</v>
      </c>
      <c r="B16468" s="8" t="str">
        <f>"9781841022314"</f>
        <v>9781841022314</v>
      </c>
      <c r="C16468" s="8" t="s">
        <v>2201</v>
      </c>
    </row>
    <row r="16469" spans="1:3" x14ac:dyDescent="0.25">
      <c r="A16469" s="8" t="str">
        <f>"Proceedings of the 3rd International Symposium on Swarm Intelligence Algorithms and Applications Symposium - A Symposium at the AISB 2010 Convention"</f>
        <v>Proceedings of the 3rd International Symposium on Swarm Intelligence Algorithms and Applications Symposium - A Symposium at the AISB 2010 Convention</v>
      </c>
      <c r="B16469" s="8" t="str">
        <f>"9781902956961"</f>
        <v>9781902956961</v>
      </c>
      <c r="C16469" s="8" t="s">
        <v>1656</v>
      </c>
    </row>
    <row r="16470" spans="1:3" x14ac:dyDescent="0.25">
      <c r="A16470" s="8" t="str">
        <f>"Proceedings of the 3rd International Web Science Conference, WebSci 2011"</f>
        <v>Proceedings of the 3rd International Web Science Conference, WebSci 2011</v>
      </c>
      <c r="B16470" s="8" t="str">
        <f>"9781450308557"</f>
        <v>9781450308557</v>
      </c>
      <c r="C16470" s="8" t="s">
        <v>21</v>
      </c>
    </row>
    <row r="16471" spans="1:3" x14ac:dyDescent="0.25">
      <c r="A16471" s="8" t="str">
        <f>"Proceedings of the 3rd International Workshop - Intelligent Technologies in Logistics and Mechatronics Systems, ITELMS 2008"</f>
        <v>Proceedings of the 3rd International Workshop - Intelligent Technologies in Logistics and Mechatronics Systems, ITELMS 2008</v>
      </c>
      <c r="B16471" s="8" t="str">
        <f>"9789955255314"</f>
        <v>9789955255314</v>
      </c>
      <c r="C16471" s="8" t="s">
        <v>1140</v>
      </c>
    </row>
    <row r="16472" spans="1:3" x14ac:dyDescent="0.25">
      <c r="A16472" s="8" t="str">
        <f>"Proceedings of the 3rd International Workshop Advances in Model Based Testing, AMOST 2007"</f>
        <v>Proceedings of the 3rd International Workshop Advances in Model Based Testing, AMOST 2007</v>
      </c>
      <c r="B16472" s="8" t="str">
        <f>"9781595938503"</f>
        <v>9781595938503</v>
      </c>
      <c r="C16472" s="8" t="s">
        <v>21</v>
      </c>
    </row>
    <row r="16473" spans="1:3" x14ac:dyDescent="0.25">
      <c r="A16473" s="8" t="str">
        <f>"Proceedings of the 3rd International Workshop on Adaptive and Dependable Mobile Ubiquitous Systems, ADAMUS 09, Co-located with the ACM International Conference on Pervasive Services, ICPS 2009"</f>
        <v>Proceedings of the 3rd International Workshop on Adaptive and Dependable Mobile Ubiquitous Systems, ADAMUS 09, Co-located with the ACM International Conference on Pervasive Services, ICPS 2009</v>
      </c>
      <c r="B16473" s="8" t="str">
        <f>"9781605586465"</f>
        <v>9781605586465</v>
      </c>
      <c r="C16473" s="8" t="s">
        <v>21</v>
      </c>
    </row>
    <row r="16474" spans="1:3" x14ac:dyDescent="0.25">
      <c r="A16474" s="8" t="str">
        <f>"Proceedings of the 3rd International Workshop on Advanced Ground Penetrating Radar, IWAGPR 2005"</f>
        <v>Proceedings of the 3rd International Workshop on Advanced Ground Penetrating Radar, IWAGPR 2005</v>
      </c>
      <c r="B16474" s="8" t="str">
        <f>"-"</f>
        <v>-</v>
      </c>
      <c r="C16474" s="8" t="s">
        <v>9</v>
      </c>
    </row>
    <row r="16475" spans="1:3" x14ac:dyDescent="0.25">
      <c r="A16475" s="8" t="str">
        <f>"Proceedings of the 3rd International Workshop on Artificial Neural Networks and Intelligent Information Processing - ANNIIP 2007; In Conjunction with ICINCO 2007"</f>
        <v>Proceedings of the 3rd International Workshop on Artificial Neural Networks and Intelligent Information Processing - ANNIIP 2007; In Conjunction with ICINCO 2007</v>
      </c>
      <c r="B16475" s="8" t="str">
        <f>"9789728865863"</f>
        <v>9789728865863</v>
      </c>
      <c r="C16475" s="8" t="s">
        <v>1553</v>
      </c>
    </row>
    <row r="16476" spans="1:3" x14ac:dyDescent="0.25">
      <c r="A16476" s="8" t="str">
        <f>"Proceedings of the 3rd International Workshop on Camera-Based Document Analysis and Recognition, CBDAR 2009"</f>
        <v>Proceedings of the 3rd International Workshop on Camera-Based Document Analysis and Recognition, CBDAR 2009</v>
      </c>
      <c r="B16476" s="8" t="str">
        <f>"-"</f>
        <v>-</v>
      </c>
      <c r="C16476" s="8" t="s">
        <v>2172</v>
      </c>
    </row>
    <row r="16477" spans="1:3" x14ac:dyDescent="0.25">
      <c r="A16477" s="8" t="str">
        <f>"Proceedings of the 3rd International Workshop on Cloud Data and Platforms, CloudDP 2013 - Co-located with ACM 13th EuroSys"</f>
        <v>Proceedings of the 3rd International Workshop on Cloud Data and Platforms, CloudDP 2013 - Co-located with ACM 13th EuroSys</v>
      </c>
      <c r="B16477" s="8" t="str">
        <f>"9781450320757"</f>
        <v>9781450320757</v>
      </c>
      <c r="C16477" s="8" t="s">
        <v>21</v>
      </c>
    </row>
    <row r="16478" spans="1:3" x14ac:dyDescent="0.25">
      <c r="A16478" s="8" t="str">
        <f>"Proceedings of the 3rd International Workshop on Computer Supported Activity Coordination, CSAC 2006 - In Conjunction with ICEIS 2006"</f>
        <v>Proceedings of the 3rd International Workshop on Computer Supported Activity Coordination, CSAC 2006 - In Conjunction with ICEIS 2006</v>
      </c>
      <c r="B16478" s="8" t="str">
        <f>"9789728865535"</f>
        <v>9789728865535</v>
      </c>
      <c r="C16478" s="8" t="s">
        <v>1680</v>
      </c>
    </row>
    <row r="16479" spans="1:3" x14ac:dyDescent="0.25">
      <c r="A16479" s="8" t="str">
        <f>"Proceedings of the 3rd International Workshop on Context-Oriented Programming, COP'11 - Co-located with the 25th European Conference on Object-Oriented Programming, ECOOP 2011"</f>
        <v>Proceedings of the 3rd International Workshop on Context-Oriented Programming, COP'11 - Co-located with the 25th European Conference on Object-Oriented Programming, ECOOP 2011</v>
      </c>
      <c r="B16479" s="8" t="str">
        <f>"9781450308915"</f>
        <v>9781450308915</v>
      </c>
      <c r="C16479" s="8" t="s">
        <v>21</v>
      </c>
    </row>
    <row r="16480" spans="1:3" x14ac:dyDescent="0.25">
      <c r="A16480" s="8" t="str">
        <f>"Proceedings of the 3rd International Workshop on Data Management on New Hardware, DaMoN '07"</f>
        <v>Proceedings of the 3rd International Workshop on Data Management on New Hardware, DaMoN '07</v>
      </c>
      <c r="B16480" s="8" t="str">
        <f>"9781595937728"</f>
        <v>9781595937728</v>
      </c>
      <c r="C16480" s="8" t="s">
        <v>21</v>
      </c>
    </row>
    <row r="16481" spans="1:3" x14ac:dyDescent="0.25">
      <c r="A16481" s="8" t="str">
        <f>"Proceedings of the 3rd International Workshop on Data Mining and Audience Intelligence for Advertising, ADKDD 2009 in Conjunction with SIGKDD'09"</f>
        <v>Proceedings of the 3rd International Workshop on Data Mining and Audience Intelligence for Advertising, ADKDD 2009 in Conjunction with SIGKDD'09</v>
      </c>
      <c r="B16481" s="8" t="str">
        <f>"9781605586717"</f>
        <v>9781605586717</v>
      </c>
      <c r="C16481" s="8" t="s">
        <v>21</v>
      </c>
    </row>
    <row r="16482" spans="1:3" x14ac:dyDescent="0.25">
      <c r="A16482" s="8" t="str">
        <f>"Proceedings of the 3rd International Workshop on Equation-Based Object-Oriented Modeling Languages and Tools, EOOLT 2010 - In Conjunction with MODELS 2010"</f>
        <v>Proceedings of the 3rd International Workshop on Equation-Based Object-Oriented Modeling Languages and Tools, EOOLT 2010 - In Conjunction with MODELS 2010</v>
      </c>
      <c r="B16482" s="8" t="str">
        <f>"-"</f>
        <v>-</v>
      </c>
      <c r="C16482" s="8" t="s">
        <v>1819</v>
      </c>
    </row>
    <row r="16483" spans="1:3" x14ac:dyDescent="0.25">
      <c r="A16483" s="8" t="str">
        <f>"Proceedings of the 3rd International Workshop on Knowledge Discovery from Sensor Data, SensorKDD'09 in Conjunction with the 15th ACM SIGKDD Conference on Knowledge Discovery and Data Mining, KDD-09"</f>
        <v>Proceedings of the 3rd International Workshop on Knowledge Discovery from Sensor Data, SensorKDD'09 in Conjunction with the 15th ACM SIGKDD Conference on Knowledge Discovery and Data Mining, KDD-09</v>
      </c>
      <c r="B16483" s="8" t="str">
        <f>"9781605586687"</f>
        <v>9781605586687</v>
      </c>
      <c r="C16483" s="8" t="s">
        <v>21</v>
      </c>
    </row>
    <row r="16484" spans="1:3" x14ac:dyDescent="0.25">
      <c r="A16484" s="8" t="str">
        <f>"Proceedings of the 3rd International Workshop on Location and the Web, LocWeb 2010"</f>
        <v>Proceedings of the 3rd International Workshop on Location and the Web, LocWeb 2010</v>
      </c>
      <c r="B16484" s="8" t="str">
        <f>"9781450304122"</f>
        <v>9781450304122</v>
      </c>
      <c r="C16484" s="8" t="s">
        <v>21</v>
      </c>
    </row>
    <row r="16485" spans="1:3" x14ac:dyDescent="0.25">
      <c r="A16485" s="8" t="str">
        <f>"Proceedings of the 3rd International Workshop on Middleware for Pervasive Mobile and Embedded Computing, M-MPAC 2011 - Co-located with ACM/IFIP/USENIX International Middleware Conference"</f>
        <v>Proceedings of the 3rd International Workshop on Middleware for Pervasive Mobile and Embedded Computing, M-MPAC 2011 - Co-located with ACM/IFIP/USENIX International Middleware Conference</v>
      </c>
      <c r="B16485" s="8" t="str">
        <f>"9781450310659"</f>
        <v>9781450310659</v>
      </c>
      <c r="C16485" s="8" t="s">
        <v>21</v>
      </c>
    </row>
    <row r="16486" spans="1:3" x14ac:dyDescent="0.25">
      <c r="A16486" s="8" t="str">
        <f>"Proceedings of the 3rd International Workshop on Model-Driven Architecture and Modeling-Driven Software Development, MDA and MDSD 2011, in Conjunction with ENASE 2011"</f>
        <v>Proceedings of the 3rd International Workshop on Model-Driven Architecture and Modeling-Driven Software Development, MDA and MDSD 2011, in Conjunction with ENASE 2011</v>
      </c>
      <c r="B16486" s="8" t="str">
        <f>"9789898425591"</f>
        <v>9789898425591</v>
      </c>
      <c r="C16486" s="8" t="s">
        <v>1197</v>
      </c>
    </row>
    <row r="16487" spans="1:3" x14ac:dyDescent="0.25">
      <c r="A16487" s="8" t="str">
        <f>"Proceedings of the 3rd International Workshop on Model-Driven Enterprise Information Systems - MDEIS 2007; In Conjunction with ICEIS 2007"</f>
        <v>Proceedings of the 3rd International Workshop on Model-Driven Enterprise Information Systems - MDEIS 2007; In Conjunction with ICEIS 2007</v>
      </c>
      <c r="B16487" s="8" t="str">
        <f>"9789898111005"</f>
        <v>9789898111005</v>
      </c>
      <c r="C16487" s="8" t="s">
        <v>1553</v>
      </c>
    </row>
    <row r="16488" spans="1:3" x14ac:dyDescent="0.25">
      <c r="A16488" s="8" t="str">
        <f>"Proceedings of the 3rd International Workshop on Modelling, Simulation, Verification and Validation of Enterprise Information Systems, MSVVEIS 2005, in Conjunction with ICEIS 2005"</f>
        <v>Proceedings of the 3rd International Workshop on Modelling, Simulation, Verification and Validation of Enterprise Information Systems, MSVVEIS 2005, in Conjunction with ICEIS 2005</v>
      </c>
      <c r="B16488" s="8" t="str">
        <f>"9789728865221"</f>
        <v>9789728865221</v>
      </c>
      <c r="C16488" s="8" t="s">
        <v>1680</v>
      </c>
    </row>
    <row r="16489" spans="1:3" x14ac:dyDescent="0.25">
      <c r="A16489" s="8" t="str">
        <f>"Proceedings of the 3rd International Workshop on Multi-Agent Robotic Systems - MARS 2007; In Conjunction with ICINCO 2007"</f>
        <v>Proceedings of the 3rd International Workshop on Multi-Agent Robotic Systems - MARS 2007; In Conjunction with ICINCO 2007</v>
      </c>
      <c r="B16489" s="8" t="str">
        <f>"-"</f>
        <v>-</v>
      </c>
      <c r="C16489" s="8" t="s">
        <v>1553</v>
      </c>
    </row>
    <row r="16490" spans="1:3" x14ac:dyDescent="0.25">
      <c r="A16490" s="8" t="str">
        <f>"Proceedings of the 3rd International Workshop on Natural Language Understanding and Cognitive Science, NLUCS 2006, in Conjunction with ICEIS 2006"</f>
        <v>Proceedings of the 3rd International Workshop on Natural Language Understanding and Cognitive Science, NLUCS 2006, in Conjunction with ICEIS 2006</v>
      </c>
      <c r="B16490" s="8" t="str">
        <f>"9789728865504"</f>
        <v>9789728865504</v>
      </c>
      <c r="C16490" s="8" t="s">
        <v>1680</v>
      </c>
    </row>
    <row r="16491" spans="1:3" x14ac:dyDescent="0.25">
      <c r="A16491" s="8" t="str">
        <f>"Proceedings of the 3rd International Workshop on Parallel Tools for High Performance Computing 2009"</f>
        <v>Proceedings of the 3rd International Workshop on Parallel Tools for High Performance Computing 2009</v>
      </c>
      <c r="B16491" s="8" t="str">
        <f>"9783642112607"</f>
        <v>9783642112607</v>
      </c>
      <c r="C16491" s="8" t="s">
        <v>42</v>
      </c>
    </row>
    <row r="16492" spans="1:3" x14ac:dyDescent="0.25">
      <c r="A16492" s="8" t="str">
        <f>"Proceedings of the 3rd International Workshop on Runtime and Operating Systems for Supercomputers, ROSS 2013 - In Conjunction with ICS 2013"</f>
        <v>Proceedings of the 3rd International Workshop on Runtime and Operating Systems for Supercomputers, ROSS 2013 - In Conjunction with ICS 2013</v>
      </c>
      <c r="B16492" s="8" t="str">
        <f>"9781450321464"</f>
        <v>9781450321464</v>
      </c>
      <c r="C16492" s="8" t="s">
        <v>21</v>
      </c>
    </row>
    <row r="16493" spans="1:3" x14ac:dyDescent="0.25">
      <c r="A16493" s="8" t="str">
        <f>"Proceedings of the 3rd International Workshop on Security in Information Systems, WOSIS 2005, in Conjunction with ICEIS 2005"</f>
        <v>Proceedings of the 3rd International Workshop on Security in Information Systems, WOSIS 2005, in Conjunction with ICEIS 2005</v>
      </c>
      <c r="B16493" s="8" t="str">
        <f>"9789728865252"</f>
        <v>9789728865252</v>
      </c>
      <c r="C16493" s="8" t="s">
        <v>1680</v>
      </c>
    </row>
    <row r="16494" spans="1:3" x14ac:dyDescent="0.25">
      <c r="A16494" s="8" t="str">
        <f>"Proceedings of the 3rd International Workshop on Sensing Applications on Mobile Phones, PhoneSense 2012 - In Conjunction with ACM SenSys 2012"</f>
        <v>Proceedings of the 3rd International Workshop on Sensing Applications on Mobile Phones, PhoneSense 2012 - In Conjunction with ACM SenSys 2012</v>
      </c>
      <c r="B16494" s="8" t="str">
        <f>"9781450317788"</f>
        <v>9781450317788</v>
      </c>
      <c r="C16494" s="8" t="s">
        <v>21</v>
      </c>
    </row>
    <row r="16495" spans="1:3" x14ac:dyDescent="0.25">
      <c r="A16495" s="8" t="str">
        <f>"Proceedings of the 3rd International Workshop on Ubiquitous Computing, IWUC 2006 - In Conjunction with ICEIS 2006"</f>
        <v>Proceedings of the 3rd International Workshop on Ubiquitous Computing, IWUC 2006 - In Conjunction with ICEIS 2006</v>
      </c>
      <c r="B16495" s="8" t="str">
        <f>"9789728865511"</f>
        <v>9789728865511</v>
      </c>
      <c r="C16495" s="8" t="s">
        <v>1680</v>
      </c>
    </row>
    <row r="16496" spans="1:3" x14ac:dyDescent="0.25">
      <c r="A16496" s="8" t="str">
        <f>"Proceedings of the 3rd International Workshop on Underwater Networks, WUWNet'08, Co-located with the ACM MobiCom 2008 Conference"</f>
        <v>Proceedings of the 3rd International Workshop on Underwater Networks, WUWNet'08, Co-located with the ACM MobiCom 2008 Conference</v>
      </c>
      <c r="B16496" s="8" t="str">
        <f>"9781605581859"</f>
        <v>9781605581859</v>
      </c>
      <c r="C16496" s="8" t="s">
        <v>21</v>
      </c>
    </row>
    <row r="16497" spans="1:3" x14ac:dyDescent="0.25">
      <c r="A16497" s="8" t="str">
        <f>"Proceedings of the 3rd International Workshop on Virtualization Technologies in Distributed Computing, VTDC'09"</f>
        <v>Proceedings of the 3rd International Workshop on Virtualization Technologies in Distributed Computing, VTDC'09</v>
      </c>
      <c r="B16497" s="8" t="str">
        <f>"9781605585802"</f>
        <v>9781605585802</v>
      </c>
      <c r="C16497" s="8" t="s">
        <v>21</v>
      </c>
    </row>
    <row r="16498" spans="1:3" x14ac:dyDescent="0.25">
      <c r="A16498" s="8" t="str">
        <f>"Proceedings of the 3rd International Workshop on Visualization for Computer Security, VizSEC'06. Co-located with the 13th ACM Conference on Computer and Communications Security, CCS'06"</f>
        <v>Proceedings of the 3rd International Workshop on Visualization for Computer Security, VizSEC'06. Co-located with the 13th ACM Conference on Computer and Communications Security, CCS'06</v>
      </c>
      <c r="B16498" s="8" t="str">
        <f>"9781595935496"</f>
        <v>9781595935496</v>
      </c>
      <c r="C16498" s="8" t="s">
        <v>21</v>
      </c>
    </row>
    <row r="16499" spans="1:3" x14ac:dyDescent="0.25">
      <c r="A16499" s="8" t="str">
        <f>"Proceedings of the 3rd Narrative and Hypertext Workshop Held at the ACM Conference on Hypertext and Social Media, NHT 2013"</f>
        <v>Proceedings of the 3rd Narrative and Hypertext Workshop Held at the ACM Conference on Hypertext and Social Media, NHT 2013</v>
      </c>
      <c r="B16499" s="8" t="str">
        <f>"9781450320054"</f>
        <v>9781450320054</v>
      </c>
      <c r="C16499" s="8" t="s">
        <v>21</v>
      </c>
    </row>
    <row r="16500" spans="1:3" x14ac:dyDescent="0.25">
      <c r="A16500" s="8" t="str">
        <f>"Proceedings of the 3rd Workshop on Dependable Distributed Data Management, WDDM'09"</f>
        <v>Proceedings of the 3rd Workshop on Dependable Distributed Data Management, WDDM'09</v>
      </c>
      <c r="B16500" s="8" t="str">
        <f>"9781605584621"</f>
        <v>9781605584621</v>
      </c>
      <c r="C16500" s="8" t="s">
        <v>21</v>
      </c>
    </row>
    <row r="16501" spans="1:3" x14ac:dyDescent="0.25">
      <c r="A16501" s="8" t="str">
        <f>"Proceedings of the 3rd Workshop on High Performance Computational Finance, WHPCF 2010"</f>
        <v>Proceedings of the 3rd Workshop on High Performance Computational Finance, WHPCF 2010</v>
      </c>
      <c r="B16501" s="8" t="str">
        <f>"9781424490615"</f>
        <v>9781424490615</v>
      </c>
      <c r="C16501" s="8" t="s">
        <v>9</v>
      </c>
    </row>
    <row r="16502" spans="1:3" x14ac:dyDescent="0.25">
      <c r="A16502" s="8" t="str">
        <f>"Proceedings of the 3rd Workshop on Large Scale Data Mining: Theory and Applications, LDMTA 2011 - Held in Conjunction with ACM SIGKDD 2011"</f>
        <v>Proceedings of the 3rd Workshop on Large Scale Data Mining: Theory and Applications, LDMTA 2011 - Held in Conjunction with ACM SIGKDD 2011</v>
      </c>
      <c r="B16502" s="8" t="str">
        <f>"9781450308441"</f>
        <v>9781450308441</v>
      </c>
      <c r="C16502" s="8" t="s">
        <v>21</v>
      </c>
    </row>
    <row r="16503" spans="1:3" x14ac:dyDescent="0.25">
      <c r="A16503" s="8" t="str">
        <f>"Proceedings of the 3rd Workshop on Linking Aspect Technology and Evolution, LATE'07 held at the Sixth International Conference on Aspect-Oriented Software Development, AOSD 2007"</f>
        <v>Proceedings of the 3rd Workshop on Linking Aspect Technology and Evolution, LATE'07 held at the Sixth International Conference on Aspect-Oriented Software Development, AOSD 2007</v>
      </c>
      <c r="B16503" s="8" t="str">
        <f>"-"</f>
        <v>-</v>
      </c>
      <c r="C16503" s="8" t="s">
        <v>21</v>
      </c>
    </row>
    <row r="16504" spans="1:3" x14ac:dyDescent="0.25">
      <c r="A16504" s="8" t="str">
        <f>"Proceedings of the 3rd Workshop on Process-Based Approaches for Model-Driven Engineering, PMDE 2013"</f>
        <v>Proceedings of the 3rd Workshop on Process-Based Approaches for Model-Driven Engineering, PMDE 2013</v>
      </c>
      <c r="B16504" s="8" t="str">
        <f>"9781450320474"</f>
        <v>9781450320474</v>
      </c>
      <c r="C16504" s="8" t="s">
        <v>21</v>
      </c>
    </row>
    <row r="16505" spans="1:3" x14ac:dyDescent="0.25">
      <c r="A16505" s="8" t="str">
        <f>"Proceedings of the 3rd Workshop on Science with the New Generation of High Energy Gamma-Ray Experiments, SciNeGHE 2005"</f>
        <v>Proceedings of the 3rd Workshop on Science with the New Generation of High Energy Gamma-Ray Experiments, SciNeGHE 2005</v>
      </c>
      <c r="B16505" s="8" t="str">
        <f>"9789812568137"</f>
        <v>9789812568137</v>
      </c>
      <c r="C16505" s="8" t="s">
        <v>157</v>
      </c>
    </row>
    <row r="16506" spans="1:3" x14ac:dyDescent="0.25">
      <c r="A16506" s="8" t="str">
        <f>"Proceedings of the 3rd Workshop on Social Network Mining and Analysis, SNA-KDD '09"</f>
        <v>Proceedings of the 3rd Workshop on Social Network Mining and Analysis, SNA-KDD '09</v>
      </c>
      <c r="B16506" s="8" t="str">
        <f>"9781605586762"</f>
        <v>9781605586762</v>
      </c>
      <c r="C16506" s="8" t="s">
        <v>21</v>
      </c>
    </row>
    <row r="16507" spans="1:3" x14ac:dyDescent="0.25">
      <c r="A16507" s="8" t="str">
        <f>"Proceedings of the 3rd Workshop on Social Network Systems, SNS'10"</f>
        <v>Proceedings of the 3rd Workshop on Social Network Systems, SNS'10</v>
      </c>
      <c r="B16507" s="8" t="str">
        <f>"9781450300803"</f>
        <v>9781450300803</v>
      </c>
      <c r="C16507" s="8" t="s">
        <v>21</v>
      </c>
    </row>
    <row r="16508" spans="1:3" x14ac:dyDescent="0.25">
      <c r="A16508" s="8" t="str">
        <f>"Proceedings of the 3rd Workshop on Virtual Machines and Intermediate Languages, VMIL 2009, held at the 24th ACM SIGPLAN Conference on Object-Oriented Programming, Systems, Languages, and Applications"</f>
        <v>Proceedings of the 3rd Workshop on Virtual Machines and Intermediate Languages, VMIL 2009, held at the 24th ACM SIGPLAN Conference on Object-Oriented Programming, Systems, Languages, and Applications</v>
      </c>
      <c r="B16508" s="8" t="str">
        <f>"9781605588742"</f>
        <v>9781605588742</v>
      </c>
      <c r="C16508" s="8" t="s">
        <v>21</v>
      </c>
    </row>
    <row r="16509" spans="1:3" x14ac:dyDescent="0.25">
      <c r="A16509" s="8" t="str">
        <f>"Proceedings of the 3rd World Conference on 3D Fabrics and Their Applications"</f>
        <v>Proceedings of the 3rd World Conference on 3D Fabrics and Their Applications</v>
      </c>
      <c r="B16509" s="8" t="str">
        <f>"9781846260490"</f>
        <v>9781846260490</v>
      </c>
      <c r="C16509" s="8" t="s">
        <v>2199</v>
      </c>
    </row>
    <row r="16510" spans="1:3" x14ac:dyDescent="0.25">
      <c r="A16510" s="8" t="str">
        <f>"Proceedings of the 3rd World Conference on Photovoltaic Energy Conversion"</f>
        <v>Proceedings of the 3rd World Conference on Photovoltaic Energy Conversion</v>
      </c>
      <c r="B16510" s="8" t="str">
        <f>"9784990181604"</f>
        <v>9784990181604</v>
      </c>
      <c r="C16510" s="8" t="s">
        <v>2212</v>
      </c>
    </row>
    <row r="16511" spans="1:3" x14ac:dyDescent="0.25">
      <c r="A16511" s="8" t="str">
        <f>"Proceedings of the 3rd WSEAS International Conference on Energy Planning, Energy Saving, Environmental Education, EPESE '09, Renewable Energy Sources, RES '09, Waste Management, WWAI '09"</f>
        <v>Proceedings of the 3rd WSEAS International Conference on Energy Planning, Energy Saving, Environmental Education, EPESE '09, Renewable Energy Sources, RES '09, Waste Management, WWAI '09</v>
      </c>
      <c r="B16511" s="8" t="str">
        <f>"9789604740932"</f>
        <v>9789604740932</v>
      </c>
      <c r="C16511" s="8" t="s">
        <v>553</v>
      </c>
    </row>
    <row r="16512" spans="1:3" x14ac:dyDescent="0.25">
      <c r="A16512" s="8" t="str">
        <f>"Proceedings of the 3rd WSEAS International Conference on Finite Differences - Finite Elements - Finite Volumes - Boundary Elements, F-and-B '10"</f>
        <v>Proceedings of the 3rd WSEAS International Conference on Finite Differences - Finite Elements - Finite Volumes - Boundary Elements, F-and-B '10</v>
      </c>
      <c r="B16512" s="8" t="str">
        <f>"9789604741809"</f>
        <v>9789604741809</v>
      </c>
      <c r="C16512" s="8" t="s">
        <v>553</v>
      </c>
    </row>
    <row r="16513" spans="1:3" x14ac:dyDescent="0.25">
      <c r="A16513" s="8" t="str">
        <f>"Proceedings of the 40th SEFI Annual Conference 2012 - Engineering Education 2020: Meet the Future"</f>
        <v>Proceedings of the 40th SEFI Annual Conference 2012 - Engineering Education 2020: Meet the Future</v>
      </c>
      <c r="B16513" s="8" t="str">
        <f>"9782873520052"</f>
        <v>9782873520052</v>
      </c>
      <c r="C16513" s="8" t="s">
        <v>1518</v>
      </c>
    </row>
    <row r="16514" spans="1:3" x14ac:dyDescent="0.25">
      <c r="A16514" s="8" t="str">
        <f>"Proceedings of the 41st U.S. Rock Mechanics Symposium - ARMA's Golden Rocks 2006 - 50 Years of Rock Mechanics"</f>
        <v>Proceedings of the 41st U.S. Rock Mechanics Symposium - ARMA's Golden Rocks 2006 - 50 Years of Rock Mechanics</v>
      </c>
      <c r="B16514" s="8" t="str">
        <f>"-"</f>
        <v>-</v>
      </c>
      <c r="C16514" s="8" t="s">
        <v>1403</v>
      </c>
    </row>
    <row r="16515" spans="1:3" x14ac:dyDescent="0.25">
      <c r="A16515" s="8" t="str">
        <f>"Proceedings of the 42nd Annual Hawaii International Conference on System Sciences, HICSS"</f>
        <v>Proceedings of the 42nd Annual Hawaii International Conference on System Sciences, HICSS</v>
      </c>
      <c r="B16515" s="8" t="str">
        <f>"9780769534503"</f>
        <v>9780769534503</v>
      </c>
      <c r="C16515" s="8" t="s">
        <v>9</v>
      </c>
    </row>
    <row r="16516" spans="1:3" x14ac:dyDescent="0.25">
      <c r="A16516" s="8" t="str">
        <f>"Proceedings of the 43rd Rencontres de Moriond - 2008 Electroweak Interactions and Unified Theories, EW 2008"</f>
        <v>Proceedings of the 43rd Rencontres de Moriond - 2008 Electroweak Interactions and Unified Theories, EW 2008</v>
      </c>
      <c r="B16516" s="8" t="str">
        <f>"-"</f>
        <v>-</v>
      </c>
      <c r="C16516" s="8" t="s">
        <v>2213</v>
      </c>
    </row>
    <row r="16517" spans="1:3" x14ac:dyDescent="0.25">
      <c r="A16517" s="8" t="str">
        <f>"Proceedings of the 44th IEEE Conference on Decision and Control, and the European Control Conference, CDC-ECC '05"</f>
        <v>Proceedings of the 44th IEEE Conference on Decision and Control, and the European Control Conference, CDC-ECC '05</v>
      </c>
      <c r="B16517" s="8" t="str">
        <f>"-"</f>
        <v>-</v>
      </c>
      <c r="C16517" s="8" t="s">
        <v>9</v>
      </c>
    </row>
    <row r="16518" spans="1:3" x14ac:dyDescent="0.25">
      <c r="A16518" s="8" t="str">
        <f>"Proceedings of the 44th Rencontres de Moriond - 2009 Electroweak Interactions and Unified Theories, EW 2009"</f>
        <v>Proceedings of the 44th Rencontres de Moriond - 2009 Electroweak Interactions and Unified Theories, EW 2009</v>
      </c>
      <c r="B16518" s="8" t="str">
        <f>"-"</f>
        <v>-</v>
      </c>
      <c r="C16518" s="8" t="s">
        <v>2213</v>
      </c>
    </row>
    <row r="16519" spans="1:3" x14ac:dyDescent="0.25">
      <c r="A16519" s="8" t="str">
        <f>"Proceedings of the 44th Symposium on Engineering Geology and Geotechnical Engineering"</f>
        <v>Proceedings of the 44th Symposium on Engineering Geology and Geotechnical Engineering</v>
      </c>
      <c r="B16519" s="8" t="str">
        <f>"-"</f>
        <v>-</v>
      </c>
      <c r="C16519" s="8" t="s">
        <v>2214</v>
      </c>
    </row>
    <row r="16520" spans="1:3" x14ac:dyDescent="0.25">
      <c r="A16520" s="8" t="str">
        <f>"Proceedings of the 46th Annual Southeast Regional Conference on XX, ACM-SE 46"</f>
        <v>Proceedings of the 46th Annual Southeast Regional Conference on XX, ACM-SE 46</v>
      </c>
      <c r="B16520" s="8" t="str">
        <f>"9781605581057"</f>
        <v>9781605581057</v>
      </c>
      <c r="C16520" s="8" t="s">
        <v>21</v>
      </c>
    </row>
    <row r="16521" spans="1:3" x14ac:dyDescent="0.25">
      <c r="A16521" s="8" t="str">
        <f>"Proceedings of the 46th Colloquium on the Law of Outer Space"</f>
        <v>Proceedings of the 46th Colloquium on the Law of Outer Space</v>
      </c>
      <c r="B16521" s="8" t="str">
        <f>"9781563476730"</f>
        <v>9781563476730</v>
      </c>
      <c r="C16521" s="8" t="s">
        <v>104</v>
      </c>
    </row>
    <row r="16522" spans="1:3" x14ac:dyDescent="0.25">
      <c r="A16522" s="8" t="str">
        <f>"Proceedings of the 47th Annual Southeast Regional Conference, ACM-SE 47"</f>
        <v>Proceedings of the 47th Annual Southeast Regional Conference, ACM-SE 47</v>
      </c>
      <c r="B16522" s="8" t="str">
        <f>"9781605584218"</f>
        <v>9781605584218</v>
      </c>
      <c r="C16522" s="8" t="s">
        <v>21</v>
      </c>
    </row>
    <row r="16523" spans="1:3" x14ac:dyDescent="0.25">
      <c r="A16523" s="8" t="str">
        <f>"Proceedings of the 47th Colloquium on the Law of Outer Space"</f>
        <v>Proceedings of the 47th Colloquium on the Law of Outer Space</v>
      </c>
      <c r="B16523" s="8" t="str">
        <f>"-"</f>
        <v>-</v>
      </c>
      <c r="C16523" s="8" t="s">
        <v>104</v>
      </c>
    </row>
    <row r="16524" spans="1:3" x14ac:dyDescent="0.25">
      <c r="A16524" s="8" t="str">
        <f>"Proceedings of the 48th Colloquium on the Law of Outer Space"</f>
        <v>Proceedings of the 48th Colloquium on the Law of Outer Space</v>
      </c>
      <c r="B16524" s="8" t="str">
        <f>"-"</f>
        <v>-</v>
      </c>
      <c r="C16524" s="8" t="s">
        <v>104</v>
      </c>
    </row>
    <row r="16525" spans="1:3" x14ac:dyDescent="0.25">
      <c r="A16525" s="8" t="str">
        <f>"Proceedings of the 4th ACM European Conference on Computer Systems, EuroSys'09"</f>
        <v>Proceedings of the 4th ACM European Conference on Computer Systems, EuroSys'09</v>
      </c>
      <c r="B16525" s="8" t="str">
        <f>"9781605584829"</f>
        <v>9781605584829</v>
      </c>
      <c r="C16525" s="8" t="s">
        <v>21</v>
      </c>
    </row>
    <row r="16526" spans="1:3" x14ac:dyDescent="0.25">
      <c r="A16526" s="8" t="str">
        <f>"Proceedings of the 4th ACM International Conference on Distributed Event-Based Systems, DEBS 2010"</f>
        <v>Proceedings of the 4th ACM International Conference on Distributed Event-Based Systems, DEBS 2010</v>
      </c>
      <c r="B16526" s="8" t="str">
        <f>"9781605589275"</f>
        <v>9781605589275</v>
      </c>
      <c r="C16526" s="8" t="s">
        <v>21</v>
      </c>
    </row>
    <row r="16527" spans="1:3" x14ac:dyDescent="0.25">
      <c r="A16527" s="8" t="str">
        <f>"Proceedings of the 4th ACM International Conference on Web Search and Data Mining, WSDM 2011"</f>
        <v>Proceedings of the 4th ACM International Conference on Web Search and Data Mining, WSDM 2011</v>
      </c>
      <c r="B16527" s="8" t="str">
        <f>"9781450304931"</f>
        <v>9781450304931</v>
      </c>
      <c r="C16527" s="8" t="s">
        <v>21</v>
      </c>
    </row>
    <row r="16528" spans="1:3" x14ac:dyDescent="0.25">
      <c r="A16528" s="8" t="str">
        <f>"Proceedings of the 4th ACM International Workshop on Modeling, Analysis and Simulation of Wireless and Mobile Systems"</f>
        <v>Proceedings of the 4th ACM International Workshop on Modeling, Analysis and Simulation of Wireless and Mobile Systems</v>
      </c>
      <c r="B16528" s="8" t="str">
        <f>"9781581133783"</f>
        <v>9781581133783</v>
      </c>
      <c r="C16528" s="8" t="s">
        <v>21</v>
      </c>
    </row>
    <row r="16529" spans="1:3" x14ac:dyDescent="0.25">
      <c r="A16529" s="8" t="str">
        <f>"Proceedings of the 4th ACM International Workshop on UnderWater Networks, WUWNet '09"</f>
        <v>Proceedings of the 4th ACM International Workshop on UnderWater Networks, WUWNet '09</v>
      </c>
      <c r="B16529" s="8" t="str">
        <f>"9781605588216"</f>
        <v>9781605588216</v>
      </c>
      <c r="C16529" s="8" t="s">
        <v>21</v>
      </c>
    </row>
    <row r="16530" spans="1:3" x14ac:dyDescent="0.25">
      <c r="A16530" s="8" t="str">
        <f>"Proceedings of the 4th ACM Multimedia Systems Conference, MMSys 2013"</f>
        <v>Proceedings of the 4th ACM Multimedia Systems Conference, MMSys 2013</v>
      </c>
      <c r="B16530" s="8" t="str">
        <f>"9781450318945"</f>
        <v>9781450318945</v>
      </c>
      <c r="C16530" s="8" t="s">
        <v>21</v>
      </c>
    </row>
    <row r="16531" spans="1:3" x14ac:dyDescent="0.25">
      <c r="A16531" s="8" t="str">
        <f>"Proceedings of the 4th ACM SIGPLAN Workshop on Commercial Users of Functional Programming, CUFP'07"</f>
        <v>Proceedings of the 4th ACM SIGPLAN Workshop on Commercial Users of Functional Programming, CUFP'07</v>
      </c>
      <c r="B16531" s="8" t="str">
        <f>"-"</f>
        <v>-</v>
      </c>
      <c r="C16531" s="8" t="s">
        <v>21</v>
      </c>
    </row>
    <row r="16532" spans="1:3" x14ac:dyDescent="0.25">
      <c r="A16532" s="8" t="str">
        <f>"Proceedings of the 4th ACM SIGPLAN Workshop on Declarative Aspects of Multicore Programming, DAMP'09"</f>
        <v>Proceedings of the 4th ACM SIGPLAN Workshop on Declarative Aspects of Multicore Programming, DAMP'09</v>
      </c>
      <c r="B16532" s="8" t="str">
        <f>"9781605584171"</f>
        <v>9781605584171</v>
      </c>
      <c r="C16532" s="8" t="s">
        <v>21</v>
      </c>
    </row>
    <row r="16533" spans="1:3" x14ac:dyDescent="0.25">
      <c r="A16533" s="8" t="str">
        <f>"Proceedings of the 4th ACM SIGSPATIAL International Workshop on GeoStreaming, IWGS 2013"</f>
        <v>Proceedings of the 4th ACM SIGSPATIAL International Workshop on GeoStreaming, IWGS 2013</v>
      </c>
      <c r="B16533" s="8" t="str">
        <f>"9781450325325"</f>
        <v>9781450325325</v>
      </c>
      <c r="C16533" s="8" t="s">
        <v>21</v>
      </c>
    </row>
    <row r="16534" spans="1:3" x14ac:dyDescent="0.25">
      <c r="A16534" s="8" t="str">
        <f>"Proceedings of the 4th ACM SIGSPATIAL International Workshop on Indoor Spatial Awareness, ISA 2012"</f>
        <v>Proceedings of the 4th ACM SIGSPATIAL International Workshop on Indoor Spatial Awareness, ISA 2012</v>
      </c>
      <c r="B16534" s="8" t="str">
        <f>"9781450316972"</f>
        <v>9781450316972</v>
      </c>
      <c r="C16534" s="8" t="s">
        <v>21</v>
      </c>
    </row>
    <row r="16535" spans="1:3" x14ac:dyDescent="0.25">
      <c r="A16535" s="8" t="str">
        <f>"Proceedings of the 4th ACM Workshop on Design, Modeling and Evaluation of Cyber Physical Systems, CyPhy 2014"</f>
        <v>Proceedings of the 4th ACM Workshop on Design, Modeling and Evaluation of Cyber Physical Systems, CyPhy 2014</v>
      </c>
      <c r="B16535" s="8" t="str">
        <f>"9781450328715"</f>
        <v>9781450328715</v>
      </c>
      <c r="C16535" s="8" t="s">
        <v>1235</v>
      </c>
    </row>
    <row r="16536" spans="1:3" x14ac:dyDescent="0.25">
      <c r="A16536" s="8" t="str">
        <f>"Proceedings of the 4th ACM Workshop on Networked Systems for Developing Regions, NSDR '10"</f>
        <v>Proceedings of the 4th ACM Workshop on Networked Systems for Developing Regions, NSDR '10</v>
      </c>
      <c r="B16536" s="8" t="str">
        <f>"9781450301930"</f>
        <v>9781450301930</v>
      </c>
      <c r="C16536" s="8" t="s">
        <v>21</v>
      </c>
    </row>
    <row r="16537" spans="1:3" x14ac:dyDescent="0.25">
      <c r="A16537" s="8" t="str">
        <f>"Proceedings of the 4th ACM Workshop on Recurring Malcode, WORM'06. Co-located with the 13th ACM Conference on Computer and Communications Security, CCS'06"</f>
        <v>Proceedings of the 4th ACM Workshop on Recurring Malcode, WORM'06. Co-located with the 13th ACM Conference on Computer and Communications Security, CCS'06</v>
      </c>
      <c r="B16537" s="8" t="str">
        <f>"9781595934475"</f>
        <v>9781595934475</v>
      </c>
      <c r="C16537" s="8" t="s">
        <v>21</v>
      </c>
    </row>
    <row r="16538" spans="1:3" x14ac:dyDescent="0.25">
      <c r="A16538" s="8" t="str">
        <f>"Proceedings of the 4th ACM/IEEE International Conference on Human-Robot Interaction, HRI'09"</f>
        <v>Proceedings of the 4th ACM/IEEE International Conference on Human-Robot Interaction, HRI'09</v>
      </c>
      <c r="B16538" s="8" t="str">
        <f>"9781605584041"</f>
        <v>9781605584041</v>
      </c>
      <c r="C16538" s="8" t="s">
        <v>21</v>
      </c>
    </row>
    <row r="16539" spans="1:3" x14ac:dyDescent="0.25">
      <c r="A16539" s="8" t="str">
        <f>"Proceedings of the 4th ACM/IEEE Symposium on Architectures for Networking and Communications Systems, ANCS '08"</f>
        <v>Proceedings of the 4th ACM/IEEE Symposium on Architectures for Networking and Communications Systems, ANCS '08</v>
      </c>
      <c r="B16539" s="8" t="str">
        <f>"9781605583464"</f>
        <v>9781605583464</v>
      </c>
      <c r="C16539" s="8" t="s">
        <v>21</v>
      </c>
    </row>
    <row r="16540" spans="1:3" x14ac:dyDescent="0.25">
      <c r="A16540" s="8" t="str">
        <f>"Proceedings of the 4th ACM/SIGOPS Workshop on Large-Scale Distributed Systems and Middleware, LADIS 2010"</f>
        <v>Proceedings of the 4th ACM/SIGOPS Workshop on Large-Scale Distributed Systems and Middleware, LADIS 2010</v>
      </c>
      <c r="B16540" s="8" t="str">
        <f>"9781450304061"</f>
        <v>9781450304061</v>
      </c>
      <c r="C16540" s="8" t="s">
        <v>21</v>
      </c>
    </row>
    <row r="16541" spans="1:3" x14ac:dyDescent="0.25">
      <c r="A16541" s="8" t="str">
        <f>"Proceedings of the 4th Annual International Conference on Computer Games, Multimedia and Allied Technology, CGAT 2011 and 2nd Annual International Conference on Cloud Computing and Virtualization, CCV"</f>
        <v>Proceedings of the 4th Annual International Conference on Computer Games, Multimedia and Allied Technology, CGAT 2011 and 2nd Annual International Conference on Cloud Computing and Virtualization, CCV</v>
      </c>
      <c r="B16541" s="8" t="str">
        <f>"9789810886448"</f>
        <v>9789810886448</v>
      </c>
      <c r="C16541" s="8" t="s">
        <v>1717</v>
      </c>
    </row>
    <row r="16542" spans="1:3" x14ac:dyDescent="0.25">
      <c r="A16542" s="8" t="str">
        <f>"Proceedings of the 4th Annual International Conference on Mobile and Ubiquitous Systems: Computing, Networking and Services, MobiQuitous 2007"</f>
        <v>Proceedings of the 4th Annual International Conference on Mobile and Ubiquitous Systems: Computing, Networking and Services, MobiQuitous 2007</v>
      </c>
      <c r="B16542" s="8" t="str">
        <f>"9781424410255"</f>
        <v>9781424410255</v>
      </c>
      <c r="C16542" s="8" t="s">
        <v>9</v>
      </c>
    </row>
    <row r="16543" spans="1:3" x14ac:dyDescent="0.25">
      <c r="A16543" s="8" t="str">
        <f>"Proceedings of the 4th Annual Petascale Data Storage Workshop, PDSW '09, Held in conjunction with Supercomputing '09"</f>
        <v>Proceedings of the 4th Annual Petascale Data Storage Workshop, PDSW '09, Held in conjunction with Supercomputing '09</v>
      </c>
      <c r="B16543" s="8" t="str">
        <f>"9781605588834"</f>
        <v>9781605588834</v>
      </c>
      <c r="C16543" s="8" t="s">
        <v>21</v>
      </c>
    </row>
    <row r="16544" spans="1:3" x14ac:dyDescent="0.25">
      <c r="A16544" s="8" t="str">
        <f>"Proceedings of the 4th Annual Symposium on Cloud Computing, SoCC 2013"</f>
        <v>Proceedings of the 4th Annual Symposium on Cloud Computing, SoCC 2013</v>
      </c>
      <c r="B16544" s="8" t="str">
        <f>"9781450324281"</f>
        <v>9781450324281</v>
      </c>
      <c r="C16544" s="8" t="s">
        <v>21</v>
      </c>
    </row>
    <row r="16545" spans="1:3" x14ac:dyDescent="0.25">
      <c r="A16545" s="8" t="str">
        <f>"Proceedings of the 4th Annual Symposium on Combinatorial Search, SoCS 2011"</f>
        <v>Proceedings of the 4th Annual Symposium on Combinatorial Search, SoCS 2011</v>
      </c>
      <c r="B16545" s="8" t="str">
        <f>"9781577355373"</f>
        <v>9781577355373</v>
      </c>
      <c r="C16545" s="8" t="s">
        <v>1257</v>
      </c>
    </row>
    <row r="16546" spans="1:3" x14ac:dyDescent="0.25">
      <c r="A16546" s="8" t="str">
        <f>"Proceedings of the 4th Annual Symposium on Computing for Development, ACM DEV 2013"</f>
        <v>Proceedings of the 4th Annual Symposium on Computing for Development, ACM DEV 2013</v>
      </c>
      <c r="B16546" s="8" t="str">
        <f>"9781450325585"</f>
        <v>9781450325585</v>
      </c>
      <c r="C16546" s="8" t="s">
        <v>21</v>
      </c>
    </row>
    <row r="16547" spans="1:3" x14ac:dyDescent="0.25">
      <c r="A16547" s="8" t="str">
        <f>"Proceedings of the 4th Artificial Intelligence and Interactive Digital Entertainment Conference, AIIDE 2008"</f>
        <v>Proceedings of the 4th Artificial Intelligence and Interactive Digital Entertainment Conference, AIIDE 2008</v>
      </c>
      <c r="B16547" s="8" t="str">
        <f>"9781577353911"</f>
        <v>9781577353911</v>
      </c>
      <c r="C16547" s="8" t="s">
        <v>1257</v>
      </c>
    </row>
    <row r="16548" spans="1:3" x14ac:dyDescent="0.25">
      <c r="A16548" s="8" t="str">
        <f>"Proceedings of the 4th Asia Symposium on Quality Electronic Design, ASQED 2012"</f>
        <v>Proceedings of the 4th Asia Symposium on Quality Electronic Design, ASQED 2012</v>
      </c>
      <c r="B16548" s="8" t="str">
        <f>"9781467326889"</f>
        <v>9781467326889</v>
      </c>
      <c r="C16548" s="8" t="s">
        <v>9</v>
      </c>
    </row>
    <row r="16549" spans="1:3" x14ac:dyDescent="0.25">
      <c r="A16549" s="8" t="str">
        <f>"Proceedings of the 4th Asian Internet Engineering Conference, AINTEC 2008"</f>
        <v>Proceedings of the 4th Asian Internet Engineering Conference, AINTEC 2008</v>
      </c>
      <c r="B16549" s="8" t="str">
        <f>"9781605581279"</f>
        <v>9781605581279</v>
      </c>
      <c r="C16549" s="8" t="s">
        <v>21</v>
      </c>
    </row>
    <row r="16550" spans="1:3" x14ac:dyDescent="0.25">
      <c r="A16550" s="8" t="str">
        <f>"Proceedings of the 4th Asia-Pacific Conference on Control and Measurement"</f>
        <v>Proceedings of the 4th Asia-Pacific Conference on Control and Measurement</v>
      </c>
      <c r="B16550" s="8" t="str">
        <f>"9787801346957"</f>
        <v>9787801346957</v>
      </c>
      <c r="C16550" s="8" t="s">
        <v>2215</v>
      </c>
    </row>
    <row r="16551" spans="1:3" x14ac:dyDescent="0.25">
      <c r="A16551" s="8" t="str">
        <f>"Proceedings of the 4th Asia-Pacific Conference on FRP in Structures, APFIS 2013"</f>
        <v>Proceedings of the 4th Asia-Pacific Conference on FRP in Structures, APFIS 2013</v>
      </c>
      <c r="B16551" s="8" t="str">
        <f>"9780987593016"</f>
        <v>9780987593016</v>
      </c>
      <c r="C16551" s="8" t="s">
        <v>2216</v>
      </c>
    </row>
    <row r="16552" spans="1:3" x14ac:dyDescent="0.25">
      <c r="A16552" s="8" t="str">
        <f>"Proceedings of the 4th Asia-Pacific Workshop on Systems, APSys 2013"</f>
        <v>Proceedings of the 4th Asia-Pacific Workshop on Systems, APSys 2013</v>
      </c>
      <c r="B16552" s="8" t="str">
        <f>"9781450323161"</f>
        <v>9781450323161</v>
      </c>
      <c r="C16552" s="8" t="s">
        <v>21</v>
      </c>
    </row>
    <row r="16553" spans="1:3" x14ac:dyDescent="0.25">
      <c r="A16553" s="8" t="str">
        <f>"Proceedings of the 4th European Computing Conference, ECC '10"</f>
        <v>Proceedings of the 4th European Computing Conference, ECC '10</v>
      </c>
      <c r="B16553" s="8" t="str">
        <f>"9789604741786"</f>
        <v>9789604741786</v>
      </c>
      <c r="C16553" s="8" t="s">
        <v>553</v>
      </c>
    </row>
    <row r="16554" spans="1:3" x14ac:dyDescent="0.25">
      <c r="A16554" s="8" t="str">
        <f>"Proceedings of the 4th European Workshop - Structural Health Monitoring 2008"</f>
        <v>Proceedings of the 4th European Workshop - Structural Health Monitoring 2008</v>
      </c>
      <c r="B16554" s="8" t="str">
        <f>"9781932078947"</f>
        <v>9781932078947</v>
      </c>
      <c r="C16554" s="8" t="s">
        <v>1313</v>
      </c>
    </row>
    <row r="16555" spans="1:3" x14ac:dyDescent="0.25">
      <c r="A16555" s="8" t="str">
        <f>"Proceedings of the 4th European Workshop on Probabilistic Graphical Models, PGM 2008"</f>
        <v>Proceedings of the 4th European Workshop on Probabilistic Graphical Models, PGM 2008</v>
      </c>
      <c r="B16555" s="8" t="str">
        <f>"-"</f>
        <v>-</v>
      </c>
      <c r="C16555" s="8" t="s">
        <v>2217</v>
      </c>
    </row>
    <row r="16556" spans="1:3" x14ac:dyDescent="0.25">
      <c r="A16556" s="8" t="str">
        <f>"Proceedings of the 4th European Workshop on Structural Health Monitoring"</f>
        <v>Proceedings of the 4th European Workshop on Structural Health Monitoring</v>
      </c>
      <c r="B16556" s="8" t="str">
        <f>"9781932078947"</f>
        <v>9781932078947</v>
      </c>
      <c r="C16556" s="8" t="s">
        <v>757</v>
      </c>
    </row>
    <row r="16557" spans="1:3" x14ac:dyDescent="0.25">
      <c r="A16557" s="8" t="str">
        <f>"Proceedings of the 4th Frontiers in Biomedical Devices Conference and Exposition 2009"</f>
        <v>Proceedings of the 4th Frontiers in Biomedical Devices Conference and Exposition 2009</v>
      </c>
      <c r="B16557" s="8" t="str">
        <f>"9780791843482"</f>
        <v>9780791843482</v>
      </c>
      <c r="C16557" s="8" t="s">
        <v>73</v>
      </c>
    </row>
    <row r="16558" spans="1:3" x14ac:dyDescent="0.25">
      <c r="A16558" s="8" t="str">
        <f>"Proceedings of the 4th High-Energy Physics International Conference, HEP-MAD 2009"</f>
        <v>Proceedings of the 4th High-Energy Physics International Conference, HEP-MAD 2009</v>
      </c>
      <c r="B16558" s="8" t="str">
        <f>"-"</f>
        <v>-</v>
      </c>
      <c r="C16558" s="8" t="s">
        <v>1471</v>
      </c>
    </row>
    <row r="16559" spans="1:3" x14ac:dyDescent="0.25">
      <c r="A16559" s="8" t="str">
        <f>"Proceedings of the 4th IASTED Asian Conference on Communication Systems and Networks, AsiaCSN 2007"</f>
        <v>Proceedings of the 4th IASTED Asian Conference on Communication Systems and Networks, AsiaCSN 2007</v>
      </c>
      <c r="B16559" s="8" t="str">
        <f>"9780889866584"</f>
        <v>9780889866584</v>
      </c>
      <c r="C16559" s="8" t="s">
        <v>305</v>
      </c>
    </row>
    <row r="16560" spans="1:3" x14ac:dyDescent="0.25">
      <c r="A16560" s="8" t="str">
        <f>"Proceedings of the 4th IASTED Asian Conference on Power and Energy Systems, AsiaPES 2008"</f>
        <v>Proceedings of the 4th IASTED Asian Conference on Power and Energy Systems, AsiaPES 2008</v>
      </c>
      <c r="B16560" s="8" t="str">
        <f>"9780889867321"</f>
        <v>9780889867321</v>
      </c>
      <c r="C16560" s="8" t="s">
        <v>305</v>
      </c>
    </row>
    <row r="16561" spans="1:3" x14ac:dyDescent="0.25">
      <c r="A16561" s="8" t="str">
        <f>"Proceedings of the 4th IASTED Asian Conference on Power and Energy Systems, AsiaPES 2010"</f>
        <v>Proceedings of the 4th IASTED Asian Conference on Power and Energy Systems, AsiaPES 2010</v>
      </c>
      <c r="B16561" s="8" t="str">
        <f>"9780889868557"</f>
        <v>9780889868557</v>
      </c>
      <c r="C16561" s="8" t="s">
        <v>305</v>
      </c>
    </row>
    <row r="16562" spans="1:3" x14ac:dyDescent="0.25">
      <c r="A16562" s="8" t="str">
        <f>"Proceedings of the 4th IASTED International Conference on Advances in Computer Science and Technology, ACST 2008"</f>
        <v>Proceedings of the 4th IASTED International Conference on Advances in Computer Science and Technology, ACST 2008</v>
      </c>
      <c r="B16562" s="8" t="str">
        <f>"9780889867307"</f>
        <v>9780889867307</v>
      </c>
      <c r="C16562" s="8" t="s">
        <v>305</v>
      </c>
    </row>
    <row r="16563" spans="1:3" x14ac:dyDescent="0.25">
      <c r="A16563" s="8" t="str">
        <f>"Proceedings of the 4th IASTED International Conference on Communication, Network, and Information Security"</f>
        <v>Proceedings of the 4th IASTED International Conference on Communication, Network, and Information Security</v>
      </c>
      <c r="B16563" s="8" t="str">
        <f>"9780889866973"</f>
        <v>9780889866973</v>
      </c>
      <c r="C16563" s="8" t="s">
        <v>305</v>
      </c>
    </row>
    <row r="16564" spans="1:3" x14ac:dyDescent="0.25">
      <c r="A16564" s="8" t="str">
        <f>"Proceedings of the 4th IASTED International Conference on Human-Computer Interaction, HCI 2009"</f>
        <v>Proceedings of the 4th IASTED International Conference on Human-Computer Interaction, HCI 2009</v>
      </c>
      <c r="B16564" s="8" t="str">
        <f>"-"</f>
        <v>-</v>
      </c>
      <c r="C16564" s="8" t="s">
        <v>305</v>
      </c>
    </row>
    <row r="16565" spans="1:3" x14ac:dyDescent="0.25">
      <c r="A16565" s="8" t="str">
        <f>"Proceedings of the 4th IASTED International Conference on Signal Processing, Pattern Recognition, and Applications, SPPRA 2007"</f>
        <v>Proceedings of the 4th IASTED International Conference on Signal Processing, Pattern Recognition, and Applications, SPPRA 2007</v>
      </c>
      <c r="B16565" s="8" t="str">
        <f>"9780889866461"</f>
        <v>9780889866461</v>
      </c>
      <c r="C16565" s="8" t="s">
        <v>305</v>
      </c>
    </row>
    <row r="16566" spans="1:3" x14ac:dyDescent="0.25">
      <c r="A16566" s="8" t="str">
        <f>"Proceedings of the 4th IASTED International Conference on Telehealth and Assistive Technologies, Telehealth/AT 2008"</f>
        <v>Proceedings of the 4th IASTED International Conference on Telehealth and Assistive Technologies, Telehealth/AT 2008</v>
      </c>
      <c r="B16566" s="8" t="str">
        <f>"9780889867406"</f>
        <v>9780889867406</v>
      </c>
      <c r="C16566" s="8" t="s">
        <v>305</v>
      </c>
    </row>
    <row r="16567" spans="1:3" x14ac:dyDescent="0.25">
      <c r="A16567" s="8" t="str">
        <f>"Proceedings of the 4th IEEE Global Humanitarian Technology Conference, GHTC 2014"</f>
        <v>Proceedings of the 4th IEEE Global Humanitarian Technology Conference, GHTC 2014</v>
      </c>
      <c r="B16567" s="8" t="str">
        <f>"9781479971930"</f>
        <v>9781479971930</v>
      </c>
      <c r="C16567" s="8" t="s">
        <v>105</v>
      </c>
    </row>
    <row r="16568" spans="1:3" x14ac:dyDescent="0.25">
      <c r="A16568" s="8" t="str">
        <f>"Proceedings of the 4th IEEE International Conference on Management of Innovation and Technology, ICMIT"</f>
        <v>Proceedings of the 4th IEEE International Conference on Management of Innovation and Technology, ICMIT</v>
      </c>
      <c r="B16568" s="8" t="str">
        <f>"9781424423309"</f>
        <v>9781424423309</v>
      </c>
      <c r="C16568" s="8" t="s">
        <v>9</v>
      </c>
    </row>
    <row r="16569" spans="1:3" x14ac:dyDescent="0.25">
      <c r="A16569" s="8" t="str">
        <f>"Proceedings of the 4th IEEE International Conference on Research, Innovation and Vision for the Future, RIVF'06"</f>
        <v>Proceedings of the 4th IEEE International Conference on Research, Innovation and Vision for the Future, RIVF'06</v>
      </c>
      <c r="B16569" s="8" t="str">
        <f>"9781424403165"</f>
        <v>9781424403165</v>
      </c>
      <c r="C16569" s="8" t="s">
        <v>9</v>
      </c>
    </row>
    <row r="16570" spans="1:3" x14ac:dyDescent="0.25">
      <c r="A16570" s="8" t="str">
        <f>"Proceedings of the 4th IEEE International Symposium on Service-Oriented System Engineering, SOSE 2008"</f>
        <v>Proceedings of the 4th IEEE International Symposium on Service-Oriented System Engineering, SOSE 2008</v>
      </c>
      <c r="B16570" s="8" t="str">
        <f>"9780769534992"</f>
        <v>9780769534992</v>
      </c>
      <c r="C16570" s="8" t="s">
        <v>9</v>
      </c>
    </row>
    <row r="16571" spans="1:3" x14ac:dyDescent="0.25">
      <c r="A16571" s="8" t="str">
        <f>"Proceedings of the 4th IEEE International Workshop on Advances in Sensors and Interfaces, IWASI 2011"</f>
        <v>Proceedings of the 4th IEEE International Workshop on Advances in Sensors and Interfaces, IWASI 2011</v>
      </c>
      <c r="B16571" s="8" t="str">
        <f>"9781457706226"</f>
        <v>9781457706226</v>
      </c>
      <c r="C16571" s="8" t="s">
        <v>9</v>
      </c>
    </row>
    <row r="16572" spans="1:3" x14ac:dyDescent="0.25">
      <c r="A16572" s="8" t="str">
        <f>"Proceedings of the 4th IEEE-EMBS International Summer School and Symposium on Medical Devices and Biosensors, ISSS-MDBS 2007"</f>
        <v>Proceedings of the 4th IEEE-EMBS International Summer School and Symposium on Medical Devices and Biosensors, ISSS-MDBS 2007</v>
      </c>
      <c r="B16572" s="8" t="str">
        <f>"9781424413461"</f>
        <v>9781424413461</v>
      </c>
      <c r="C16572" s="8" t="s">
        <v>9</v>
      </c>
    </row>
    <row r="16573" spans="1:3" x14ac:dyDescent="0.25">
      <c r="A16573" s="8" t="str">
        <f>"Proceedings of the 4th India Software Engineering Conference 2011, ISEC'11"</f>
        <v>Proceedings of the 4th India Software Engineering Conference 2011, ISEC'11</v>
      </c>
      <c r="B16573" s="8" t="str">
        <f>"9781450305594"</f>
        <v>9781450305594</v>
      </c>
      <c r="C16573" s="8" t="s">
        <v>21</v>
      </c>
    </row>
    <row r="16574" spans="1:3" x14ac:dyDescent="0.25">
      <c r="A16574" s="8" t="str">
        <f>"Proceedings of the 4th Indian International Conference on Artificial Intelligence, IICAI 2009"</f>
        <v>Proceedings of the 4th Indian International Conference on Artificial Intelligence, IICAI 2009</v>
      </c>
      <c r="B16574" s="8" t="str">
        <f>"9780972741279"</f>
        <v>9780972741279</v>
      </c>
      <c r="C16574" s="8" t="s">
        <v>2197</v>
      </c>
    </row>
    <row r="16575" spans="1:3" x14ac:dyDescent="0.25">
      <c r="A16575" s="8" t="str">
        <f>"Proceedings of the 4th Interdisciplinary Engineering Design Education Conference, IEDEC 2014"</f>
        <v>Proceedings of the 4th Interdisciplinary Engineering Design Education Conference, IEDEC 2014</v>
      </c>
      <c r="B16575" s="8" t="str">
        <f>"9781479943807"</f>
        <v>9781479943807</v>
      </c>
      <c r="C16575" s="8" t="s">
        <v>9</v>
      </c>
    </row>
    <row r="16576" spans="1:3" x14ac:dyDescent="0.25">
      <c r="A16576" s="8" t="str">
        <f>"Proceedings of the 4th International Conference and Exposition on Robotics for Challenging Situations and Environments - Robotics 2000"</f>
        <v>Proceedings of the 4th International Conference and Exposition on Robotics for Challenging Situations and Environments - Robotics 2000</v>
      </c>
      <c r="B16576" s="8" t="str">
        <f>"9780784404768"</f>
        <v>9780784404768</v>
      </c>
      <c r="C16576" s="8" t="s">
        <v>111</v>
      </c>
    </row>
    <row r="16577" spans="1:3" x14ac:dyDescent="0.25">
      <c r="A16577" s="8" t="str">
        <f>"Proceedings of the 4th International Conference on Advanced Materials and Systems, ICAMS 2012"</f>
        <v>Proceedings of the 4th International Conference on Advanced Materials and Systems, ICAMS 2012</v>
      </c>
      <c r="B16577" s="8" t="str">
        <f>"-"</f>
        <v>-</v>
      </c>
      <c r="C16577" s="8" t="s">
        <v>2218</v>
      </c>
    </row>
    <row r="16578" spans="1:3" x14ac:dyDescent="0.25">
      <c r="A16578" s="8" t="str">
        <f>"Proceedings of the 4th International Conference on Advances in Materials Technology for Fossil Power Plants"</f>
        <v>Proceedings of the 4th International Conference on Advances in Materials Technology for Fossil Power Plants</v>
      </c>
      <c r="B16578" s="8" t="str">
        <f>"-"</f>
        <v>-</v>
      </c>
      <c r="C16578" s="8" t="s">
        <v>65</v>
      </c>
    </row>
    <row r="16579" spans="1:3" x14ac:dyDescent="0.25">
      <c r="A16579" s="8" t="str">
        <f>"Proceedings of the 4th International Conference on Broadband Communications, Networks, Systems, BroadNets"</f>
        <v>Proceedings of the 4th International Conference on Broadband Communications, Networks, Systems, BroadNets</v>
      </c>
      <c r="B16579" s="8" t="str">
        <f>"9781424414338"</f>
        <v>9781424414338</v>
      </c>
      <c r="C16579" s="8" t="s">
        <v>9</v>
      </c>
    </row>
    <row r="16580" spans="1:3" x14ac:dyDescent="0.25">
      <c r="A16580" s="8" t="str">
        <f>"Proceedings of the 4th International Conference on Business Informatics Research, BIR 2005"</f>
        <v>Proceedings of the 4th International Conference on Business Informatics Research, BIR 2005</v>
      </c>
      <c r="B16580" s="8" t="str">
        <f>"9789163175213"</f>
        <v>9789163175213</v>
      </c>
      <c r="C16580" s="8" t="s">
        <v>2219</v>
      </c>
    </row>
    <row r="16581" spans="1:3" x14ac:dyDescent="0.25">
      <c r="A16581" s="8" t="str">
        <f>"Proceedings of the 4th International Conference on Collaborative Virtual Environments"</f>
        <v>Proceedings of the 4th International Conference on Collaborative Virtual Environments</v>
      </c>
      <c r="B16581" s="8" t="str">
        <f>"9781581134896"</f>
        <v>9781581134896</v>
      </c>
      <c r="C16581" s="8" t="s">
        <v>21</v>
      </c>
    </row>
    <row r="16582" spans="1:3" x14ac:dyDescent="0.25">
      <c r="A16582" s="8" t="str">
        <f>"Proceedings of the 4th International Conference on Computational Methods for Coupled Problems in Science and Engineering, COUPLED PROBLEMS 2011"</f>
        <v>Proceedings of the 4th International Conference on Computational Methods for Coupled Problems in Science and Engineering, COUPLED PROBLEMS 2011</v>
      </c>
      <c r="B16582" s="8" t="str">
        <f>"9788489925786"</f>
        <v>9788489925786</v>
      </c>
      <c r="C16582" s="8" t="s">
        <v>1796</v>
      </c>
    </row>
    <row r="16583" spans="1:3" x14ac:dyDescent="0.25">
      <c r="A16583" s="8" t="str">
        <f>"Proceedings of the 4th International Conference on Computer and Knowledge Engineering, ICCKE 2014"</f>
        <v>Proceedings of the 4th International Conference on Computer and Knowledge Engineering, ICCKE 2014</v>
      </c>
      <c r="B16583" s="8" t="str">
        <f>"9781479954865"</f>
        <v>9781479954865</v>
      </c>
      <c r="C16583" s="8" t="s">
        <v>105</v>
      </c>
    </row>
    <row r="16584" spans="1:3" x14ac:dyDescent="0.25">
      <c r="A16584" s="8" t="str">
        <f>"Proceedings of the 4th International Conference on Current and Future Trends in Bridge Design, Construction and Maintenance"</f>
        <v>Proceedings of the 4th International Conference on Current and Future Trends in Bridge Design, Construction and Maintenance</v>
      </c>
      <c r="B16584" s="8" t="str">
        <f>"-"</f>
        <v>-</v>
      </c>
      <c r="C16584" s="8" t="s">
        <v>74</v>
      </c>
    </row>
    <row r="16585" spans="1:3" x14ac:dyDescent="0.25">
      <c r="A16585" s="8" t="str">
        <f>"Proceedings of the 4th International Conference on Dam Engineering - New Developments in Dam Engineering"</f>
        <v>Proceedings of the 4th International Conference on Dam Engineering - New Developments in Dam Engineering</v>
      </c>
      <c r="B16585" s="8" t="str">
        <f>"9780415362405"</f>
        <v>9780415362405</v>
      </c>
      <c r="C16585" s="8" t="s">
        <v>60</v>
      </c>
    </row>
    <row r="16586" spans="1:3" x14ac:dyDescent="0.25">
      <c r="A16586" s="8" t="str">
        <f>"Proceedings of the 4th International Conference on Design Science Research in Information Systems and Technology, DESRIST '09"</f>
        <v>Proceedings of the 4th International Conference on Design Science Research in Information Systems and Technology, DESRIST '09</v>
      </c>
      <c r="B16586" s="8" t="str">
        <f>"9781605584089"</f>
        <v>9781605584089</v>
      </c>
      <c r="C16586" s="8" t="s">
        <v>21</v>
      </c>
    </row>
    <row r="16587" spans="1:3" x14ac:dyDescent="0.25">
      <c r="A16587" s="8" t="str">
        <f>"Proceedings of the 4th International Conference on Flavor Physics and CP Violation, FPCP 2006"</f>
        <v>Proceedings of the 4th International Conference on Flavor Physics and CP Violation, FPCP 2006</v>
      </c>
      <c r="B16587" s="8" t="str">
        <f>"-"</f>
        <v>-</v>
      </c>
      <c r="C16587" s="8" t="s">
        <v>1480</v>
      </c>
    </row>
    <row r="16588" spans="1:3" x14ac:dyDescent="0.25">
      <c r="A16588" s="8" t="str">
        <f>"Proceedings of the 4th International Conference on Future Internet Technologies, CFI '09"</f>
        <v>Proceedings of the 4th International Conference on Future Internet Technologies, CFI '09</v>
      </c>
      <c r="B16588" s="8" t="str">
        <f>"9781605586861"</f>
        <v>9781605586861</v>
      </c>
      <c r="C16588" s="8" t="s">
        <v>21</v>
      </c>
    </row>
    <row r="16589" spans="1:3" x14ac:dyDescent="0.25">
      <c r="A16589" s="8" t="str">
        <f>"Proceedings of the 4th International Conference on Image and Graphics, ICIG 2007"</f>
        <v>Proceedings of the 4th International Conference on Image and Graphics, ICIG 2007</v>
      </c>
      <c r="B16589" s="8" t="str">
        <f>"9780769529295"</f>
        <v>9780769529295</v>
      </c>
      <c r="C16589" s="8" t="s">
        <v>9</v>
      </c>
    </row>
    <row r="16590" spans="1:3" x14ac:dyDescent="0.25">
      <c r="A16590" s="8" t="str">
        <f>"Proceedings of the 4th International Conference on Internet Technologies and Applications, ITA 11"</f>
        <v>Proceedings of the 4th International Conference on Internet Technologies and Applications, ITA 11</v>
      </c>
      <c r="B16590" s="8" t="str">
        <f>"9780946881680"</f>
        <v>9780946881680</v>
      </c>
      <c r="C16590" s="8" t="s">
        <v>2210</v>
      </c>
    </row>
    <row r="16591" spans="1:3" x14ac:dyDescent="0.25">
      <c r="A16591" s="8" t="str">
        <f>"Proceedings of the 4th International Conference on Mobile and Ubiquitous Multimedia, MUM '05"</f>
        <v>Proceedings of the 4th International Conference on Mobile and Ubiquitous Multimedia, MUM '05</v>
      </c>
      <c r="B16591" s="8" t="str">
        <f>"9780473106584"</f>
        <v>9780473106584</v>
      </c>
      <c r="C16591" s="8" t="s">
        <v>21</v>
      </c>
    </row>
    <row r="16592" spans="1:3" x14ac:dyDescent="0.25">
      <c r="A16592" s="8" t="str">
        <f>"Proceedings of the 4th International Conference on Nanochannels, Microchannels and Minichannels, ICNMM2006"</f>
        <v>Proceedings of the 4th International Conference on Nanochannels, Microchannels and Minichannels, ICNMM2006</v>
      </c>
      <c r="B16592" s="8" t="str">
        <f>"9780791847602"</f>
        <v>9780791847602</v>
      </c>
      <c r="C16592" s="8" t="s">
        <v>1308</v>
      </c>
    </row>
    <row r="16593" spans="1:3" x14ac:dyDescent="0.25">
      <c r="A16593" s="8" t="str">
        <f>"Proceedings of the 4th International Conference on Numerical Simulation of Optoelectronic Devices, NUSOD '04"</f>
        <v>Proceedings of the 4th International Conference on Numerical Simulation of Optoelectronic Devices, NUSOD '04</v>
      </c>
      <c r="B16593" s="8" t="str">
        <f>"9780780385306"</f>
        <v>9780780385306</v>
      </c>
      <c r="C16593" s="8" t="s">
        <v>105</v>
      </c>
    </row>
    <row r="16594" spans="1:3" x14ac:dyDescent="0.25">
      <c r="A16594" s="8" t="str">
        <f>"Proceedings of the 4th International Conference on Security and Privacy in Communication Networks, SecureComm'08"</f>
        <v>Proceedings of the 4th International Conference on Security and Privacy in Communication Networks, SecureComm'08</v>
      </c>
      <c r="B16594" s="8" t="str">
        <f>"9781605582412"</f>
        <v>9781605582412</v>
      </c>
      <c r="C16594" s="8" t="s">
        <v>21</v>
      </c>
    </row>
    <row r="16595" spans="1:3" x14ac:dyDescent="0.25">
      <c r="A16595" s="8" t="str">
        <f>"Proceedings of the 4th International Conference on Semantics, Knowledge, and Grid, SKG 2008"</f>
        <v>Proceedings of the 4th International Conference on Semantics, Knowledge, and Grid, SKG 2008</v>
      </c>
      <c r="B16595" s="8" t="str">
        <f>"9780769534015"</f>
        <v>9780769534015</v>
      </c>
      <c r="C16595" s="8" t="s">
        <v>9</v>
      </c>
    </row>
    <row r="16596" spans="1:3" x14ac:dyDescent="0.25">
      <c r="A16596" s="8" t="str">
        <f>"Proceedings of the 4th International Conference on Soft Soil Engineering - Soft Soil Engineering"</f>
        <v>Proceedings of the 4th International Conference on Soft Soil Engineering - Soft Soil Engineering</v>
      </c>
      <c r="B16596" s="8" t="str">
        <f>"9780415422802"</f>
        <v>9780415422802</v>
      </c>
      <c r="C16596" s="8" t="s">
        <v>1520</v>
      </c>
    </row>
    <row r="16597" spans="1:3" x14ac:dyDescent="0.25">
      <c r="A16597" s="8" t="str">
        <f>"Proceedings of the 4th International Conference on Standardization and Innovation in Information Technology, 2005"</f>
        <v>Proceedings of the 4th International Conference on Standardization and Innovation in Information Technology, 2005</v>
      </c>
      <c r="B16597" s="8" t="str">
        <f>"-"</f>
        <v>-</v>
      </c>
      <c r="C16597" s="8" t="s">
        <v>9</v>
      </c>
    </row>
    <row r="16598" spans="1:3" x14ac:dyDescent="0.25">
      <c r="A16598" s="8" t="str">
        <f>"Proceedings of the 4th International Conference on Systems, ICONS 2009"</f>
        <v>Proceedings of the 4th International Conference on Systems, ICONS 2009</v>
      </c>
      <c r="B16598" s="8" t="str">
        <f>"9780769535517"</f>
        <v>9780769535517</v>
      </c>
      <c r="C16598" s="8" t="s">
        <v>9</v>
      </c>
    </row>
    <row r="16599" spans="1:3" x14ac:dyDescent="0.25">
      <c r="A16599" s="8" t="str">
        <f>"Proceedings of the 4th International Conference on Ubiquitous Information Management and Communication, ICUIMC'10"</f>
        <v>Proceedings of the 4th International Conference on Ubiquitous Information Management and Communication, ICUIMC'10</v>
      </c>
      <c r="B16599" s="8" t="str">
        <f>"9781605588933"</f>
        <v>9781605588933</v>
      </c>
      <c r="C16599" s="8" t="s">
        <v>21</v>
      </c>
    </row>
    <row r="16600" spans="1:3" x14ac:dyDescent="0.25">
      <c r="A16600" s="8" t="str">
        <f>"Proceedings of the 4th International Conference on Ubiquitous Information Technologies and Applications, ICUT 2009"</f>
        <v>Proceedings of the 4th International Conference on Ubiquitous Information Technologies and Applications, ICUT 2009</v>
      </c>
      <c r="B16600" s="8" t="str">
        <f>"9781424451302"</f>
        <v>9781424451302</v>
      </c>
      <c r="C16600" s="8" t="s">
        <v>9</v>
      </c>
    </row>
    <row r="16601" spans="1:3" x14ac:dyDescent="0.25">
      <c r="A16601" s="8" t="str">
        <f>"Proceedings of the 4th International Conference on Wireless Communication and Sensor Networks, WCSN 2008"</f>
        <v>Proceedings of the 4th International Conference on Wireless Communication and Sensor Networks, WCSN 2008</v>
      </c>
      <c r="B16601" s="8" t="str">
        <f>"9781424433261"</f>
        <v>9781424433261</v>
      </c>
      <c r="C16601" s="8" t="s">
        <v>9</v>
      </c>
    </row>
    <row r="16602" spans="1:3" x14ac:dyDescent="0.25">
      <c r="A16602" s="8" t="str">
        <f>"Proceedings of the 4th International Congress FLOUR-BREAD'07 - 6th Croatian Congress of Cereal Technologists"</f>
        <v>Proceedings of the 4th International Congress FLOUR-BREAD'07 - 6th Croatian Congress of Cereal Technologists</v>
      </c>
      <c r="B16602" s="8" t="str">
        <f>"9789537005153"</f>
        <v>9789537005153</v>
      </c>
      <c r="C16602" s="8" t="s">
        <v>2220</v>
      </c>
    </row>
    <row r="16603" spans="1:3" x14ac:dyDescent="0.25">
      <c r="A16603" s="8" t="str">
        <f>"Proceedings of the 4th International Congress FLOUR-BREAD'07 - 6th Croatian Congress of Cereal Technologists"</f>
        <v>Proceedings of the 4th International Congress FLOUR-BREAD'07 - 6th Croatian Congress of Cereal Technologists</v>
      </c>
      <c r="B16603" s="8" t="str">
        <f>"9789537005153"</f>
        <v>9789537005153</v>
      </c>
    </row>
    <row r="16604" spans="1:3" x14ac:dyDescent="0.25">
      <c r="A16604" s="8" t="str">
        <f>"Proceedings of the 4th International Disaster and Risk Conference: Integrative Risk Management in a Changing World - Pathways to a Resilient Society, IDRC Davos 2012"</f>
        <v>Proceedings of the 4th International Disaster and Risk Conference: Integrative Risk Management in a Changing World - Pathways to a Resilient Society, IDRC Davos 2012</v>
      </c>
      <c r="B16604" s="8" t="str">
        <f>"-"</f>
        <v>-</v>
      </c>
      <c r="C16604" s="8" t="s">
        <v>2221</v>
      </c>
    </row>
    <row r="16605" spans="1:3" x14ac:dyDescent="0.25">
      <c r="A16605" s="8" t="str">
        <f>"Proceedings of the 4th International ICST Conference on Communication System Software and Middleware, COMSWARE '09"</f>
        <v>Proceedings of the 4th International ICST Conference on Communication System Software and Middleware, COMSWARE '09</v>
      </c>
      <c r="B16605" s="8" t="str">
        <f>"9781605583532"</f>
        <v>9781605583532</v>
      </c>
      <c r="C16605" s="8" t="s">
        <v>21</v>
      </c>
    </row>
    <row r="16606" spans="1:3" x14ac:dyDescent="0.25">
      <c r="A16606" s="8" t="str">
        <f>"Proceedings of the 4th International Joint Workshop on Computational Creativity"</f>
        <v>Proceedings of the 4th International Joint Workshop on Computational Creativity</v>
      </c>
      <c r="B16606" s="8" t="str">
        <f>"-"</f>
        <v>-</v>
      </c>
      <c r="C16606" s="8" t="s">
        <v>957</v>
      </c>
    </row>
    <row r="16607" spans="1:3" x14ac:dyDescent="0.25">
      <c r="A16607" s="8" t="str">
        <f>"Proceedings of the 4th International Structural Engineering and Construction Conference, ISEC-4 - Innovations in Structural Engineering and Construction"</f>
        <v>Proceedings of the 4th International Structural Engineering and Construction Conference, ISEC-4 - Innovations in Structural Engineering and Construction</v>
      </c>
      <c r="B16607" s="8" t="str">
        <f>"9780415457552"</f>
        <v>9780415457552</v>
      </c>
      <c r="C16607" s="8" t="s">
        <v>1520</v>
      </c>
    </row>
    <row r="16608" spans="1:3" x14ac:dyDescent="0.25">
      <c r="A16608" s="8" t="str">
        <f>"Proceedings of the 4th International Symposium on ACM Symposium on Information, Computer and Communications Security, ASIACCS'09"</f>
        <v>Proceedings of the 4th International Symposium on ACM Symposium on Information, Computer and Communications Security, ASIACCS'09</v>
      </c>
      <c r="B16608" s="8" t="str">
        <f>"9781605583945"</f>
        <v>9781605583945</v>
      </c>
      <c r="C16608" s="8" t="s">
        <v>21</v>
      </c>
    </row>
    <row r="16609" spans="1:3" x14ac:dyDescent="0.25">
      <c r="A16609" s="8" t="str">
        <f>"Proceedings of the 4th International Symposium on Electronic Materials and Packaging, EMAP 2002"</f>
        <v>Proceedings of the 4th International Symposium on Electronic Materials and Packaging, EMAP 2002</v>
      </c>
      <c r="B16609" s="8" t="str">
        <f>"9780780376823"</f>
        <v>9780780376823</v>
      </c>
      <c r="C16609" s="8" t="s">
        <v>105</v>
      </c>
    </row>
    <row r="16610" spans="1:3" x14ac:dyDescent="0.25">
      <c r="A16610" s="8" t="str">
        <f>"Proceedings of the 4th International Workshop on Architectures, Concepts and Technologies for Service Oriented Computing, ACT4SOC 2010, in Conjunction withICSOFT 2010"</f>
        <v>Proceedings of the 4th International Workshop on Architectures, Concepts and Technologies for Service Oriented Computing, ACT4SOC 2010, in Conjunction withICSOFT 2010</v>
      </c>
      <c r="B16610" s="8" t="str">
        <f>"9789898425201"</f>
        <v>9789898425201</v>
      </c>
      <c r="C16610" s="8" t="s">
        <v>1197</v>
      </c>
    </row>
    <row r="16611" spans="1:3" x14ac:dyDescent="0.25">
      <c r="A16611" s="8" t="str">
        <f>"Proceedings of the 4th International Workshop on Cloud Data and Platforms, CloudDP 2014"</f>
        <v>Proceedings of the 4th International Workshop on Cloud Data and Platforms, CloudDP 2014</v>
      </c>
      <c r="B16611" s="8" t="str">
        <f>"9781450327145"</f>
        <v>9781450327145</v>
      </c>
      <c r="C16611" s="8" t="s">
        <v>21</v>
      </c>
    </row>
    <row r="16612" spans="1:3" x14ac:dyDescent="0.25">
      <c r="A16612" s="8" t="str">
        <f>"Proceedings of the 4th International Workshop on Computer Supported Activity Coordination - CSAC 2007; In Conjunction with ICEIS 2007"</f>
        <v>Proceedings of the 4th International Workshop on Computer Supported Activity Coordination - CSAC 2007; In Conjunction with ICEIS 2007</v>
      </c>
      <c r="B16612" s="8" t="str">
        <f>"9789728865986"</f>
        <v>9789728865986</v>
      </c>
      <c r="C16612" s="8" t="s">
        <v>1553</v>
      </c>
    </row>
    <row r="16613" spans="1:3" x14ac:dyDescent="0.25">
      <c r="A16613" s="8" t="str">
        <f>"Proceedings of the 4th International Workshop on Data Management on New Hardware, DaMoN'08 - In conjuction with ACM SIGMOD/PODS Conference"</f>
        <v>Proceedings of the 4th International Workshop on Data Management on New Hardware, DaMoN'08 - In conjuction with ACM SIGMOD/PODS Conference</v>
      </c>
      <c r="B16613" s="8" t="str">
        <f>"9781605581842"</f>
        <v>9781605581842</v>
      </c>
      <c r="C16613" s="8" t="s">
        <v>21</v>
      </c>
    </row>
    <row r="16614" spans="1:3" x14ac:dyDescent="0.25">
      <c r="A16614" s="8" t="str">
        <f>"Proceedings of the 4th International Workshop on Discrete Algorithms and Methods for Mobile Computing and Communications"</f>
        <v>Proceedings of the 4th International Workshop on Discrete Algorithms and Methods for Mobile Computing and Communications</v>
      </c>
      <c r="B16614" s="8" t="str">
        <f>"9781581133011"</f>
        <v>9781581133011</v>
      </c>
      <c r="C16614" s="8" t="s">
        <v>21</v>
      </c>
    </row>
    <row r="16615" spans="1:3" x14ac:dyDescent="0.25">
      <c r="A16615" s="8" t="str">
        <f>"Proceedings of the 4th International Workshop on Enterprise Modelling and Information Systems Architectures, EMISA 2011"</f>
        <v>Proceedings of the 4th International Workshop on Enterprise Modelling and Information Systems Architectures, EMISA 2011</v>
      </c>
      <c r="B16615" s="8" t="str">
        <f>"9783885792840"</f>
        <v>9783885792840</v>
      </c>
      <c r="C16615" s="8" t="s">
        <v>833</v>
      </c>
    </row>
    <row r="16616" spans="1:3" x14ac:dyDescent="0.25">
      <c r="A16616" s="8" t="str">
        <f>"Proceedings of the 4th International Workshop on Equation-Based Object-Oriented Modeling Languages and Tools, EOOLT 2011"</f>
        <v>Proceedings of the 4th International Workshop on Equation-Based Object-Oriented Modeling Languages and Tools, EOOLT 2011</v>
      </c>
      <c r="B16616" s="8" t="str">
        <f>"-"</f>
        <v>-</v>
      </c>
      <c r="C16616" s="8" t="s">
        <v>1819</v>
      </c>
    </row>
    <row r="16617" spans="1:3" x14ac:dyDescent="0.25">
      <c r="A16617" s="8" t="str">
        <f>"Proceedings of the 4th International Workshop on Image Mining. Theory and Applications, IMTA 2013, In Conjunction with VISIGRAPP 2013"</f>
        <v>Proceedings of the 4th International Workshop on Image Mining. Theory and Applications, IMTA 2013, In Conjunction with VISIGRAPP 2013</v>
      </c>
      <c r="B16617" s="8" t="str">
        <f>"9789898565501"</f>
        <v>9789898565501</v>
      </c>
      <c r="C16617" s="8" t="s">
        <v>1680</v>
      </c>
    </row>
    <row r="16618" spans="1:3" x14ac:dyDescent="0.25">
      <c r="A16618" s="8" t="str">
        <f>"Proceedings of the 4th International Workshop on Modeling Social Media: Mining, Modeling and Recommending 'Things' in Social Media, MSM 2013"</f>
        <v>Proceedings of the 4th International Workshop on Modeling Social Media: Mining, Modeling and Recommending 'Things' in Social Media, MSM 2013</v>
      </c>
      <c r="B16618" s="8" t="str">
        <f>"9781450320078"</f>
        <v>9781450320078</v>
      </c>
      <c r="C16618" s="8" t="s">
        <v>21</v>
      </c>
    </row>
    <row r="16619" spans="1:3" x14ac:dyDescent="0.25">
      <c r="A16619" s="8" t="str">
        <f>"Proceedings of the 4th International Workshop on Modelling, Simulation, Verification and Validation of Enterprise Information Systems, MSVVEIS 2006 - In Conjunction with ICEIS 2006"</f>
        <v>Proceedings of the 4th International Workshop on Modelling, Simulation, Verification and Validation of Enterprise Information Systems, MSVVEIS 2006 - In Conjunction with ICEIS 2006</v>
      </c>
      <c r="B16619" s="8" t="str">
        <f>"9789728865498"</f>
        <v>9789728865498</v>
      </c>
      <c r="C16619" s="8" t="s">
        <v>1680</v>
      </c>
    </row>
    <row r="16620" spans="1:3" x14ac:dyDescent="0.25">
      <c r="A16620" s="8" t="str">
        <f>"Proceedings of the 4th International Workshop on Natural Language Processing and Cognitive Science - NLPCS 2007; In Conjunction with ICEIS 2007"</f>
        <v>Proceedings of the 4th International Workshop on Natural Language Processing and Cognitive Science - NLPCS 2007; In Conjunction with ICEIS 2007</v>
      </c>
      <c r="B16620" s="8" t="str">
        <f>"9789728865979"</f>
        <v>9789728865979</v>
      </c>
      <c r="C16620" s="8" t="s">
        <v>1553</v>
      </c>
    </row>
    <row r="16621" spans="1:3" x14ac:dyDescent="0.25">
      <c r="A16621" s="8" t="str">
        <f>"Proceedings of the 4th International Workshop on Online Dispute Resolution, ODR 2007 - In Conjunction with the 11th International Conference on Artificial Intelligence and Law, ICAIL 2007"</f>
        <v>Proceedings of the 4th International Workshop on Online Dispute Resolution, ODR 2007 - In Conjunction with the 11th International Conference on Artificial Intelligence and Law, ICAIL 2007</v>
      </c>
      <c r="B16621" s="8" t="str">
        <f>"9789090220154"</f>
        <v>9789090220154</v>
      </c>
      <c r="C16621" s="8" t="s">
        <v>2222</v>
      </c>
    </row>
    <row r="16622" spans="1:3" x14ac:dyDescent="0.25">
      <c r="A16622" s="8" t="str">
        <f>"Proceedings of the 4th International Workshop on RFID Technology - Concepts, Applications, Challenges, IWRT 2010, in Conjunction with ICEIS 2010"</f>
        <v>Proceedings of the 4th International Workshop on RFID Technology - Concepts, Applications, Challenges, IWRT 2010, in Conjunction with ICEIS 2010</v>
      </c>
      <c r="B16622" s="8" t="str">
        <f>"9789898425119"</f>
        <v>9789898425119</v>
      </c>
      <c r="C16622" s="8" t="s">
        <v>1197</v>
      </c>
    </row>
    <row r="16623" spans="1:3" x14ac:dyDescent="0.25">
      <c r="A16623" s="8" t="str">
        <f>"Proceedings of the 4th International Workshop on Scenarios and State Machines: Models, Algorithms and Tools, SCESM '05"</f>
        <v>Proceedings of the 4th International Workshop on Scenarios and State Machines: Models, Algorithms and Tools, SCESM '05</v>
      </c>
      <c r="B16623" s="8" t="str">
        <f>"9781581139631"</f>
        <v>9781581139631</v>
      </c>
      <c r="C16623" s="8" t="s">
        <v>21</v>
      </c>
    </row>
    <row r="16624" spans="1:3" x14ac:dyDescent="0.25">
      <c r="A16624" s="8" t="str">
        <f>"Proceedings of the 4th International Workshop on Security in Information Systems, WOSIS 2006, in Conjunction with ICEIS 2006"</f>
        <v>Proceedings of the 4th International Workshop on Security in Information Systems, WOSIS 2006, in Conjunction with ICEIS 2006</v>
      </c>
      <c r="B16624" s="8" t="str">
        <f>"9789728865528"</f>
        <v>9789728865528</v>
      </c>
      <c r="C16624" s="8" t="s">
        <v>1680</v>
      </c>
    </row>
    <row r="16625" spans="1:3" x14ac:dyDescent="0.25">
      <c r="A16625" s="8" t="str">
        <f>"Proceedings of the 4th International Workshop on Semantic Web Information Management, SWIM'12"</f>
        <v>Proceedings of the 4th International Workshop on Semantic Web Information Management, SWIM'12</v>
      </c>
      <c r="B16625" s="8" t="str">
        <f>"9781450314466"</f>
        <v>9781450314466</v>
      </c>
      <c r="C16625" s="8" t="s">
        <v>21</v>
      </c>
    </row>
    <row r="16626" spans="1:3" x14ac:dyDescent="0.25">
      <c r="A16626" s="8" t="str">
        <f>"Proceedings of the 4th International Workshop on Services Integration in Pervasive Environments, SIPE 09, Co-located with the ACM International Conference on Pervasive Services, ICPS 2009"</f>
        <v>Proceedings of the 4th International Workshop on Services Integration in Pervasive Environments, SIPE 09, Co-located with the ACM International Conference on Pervasive Services, ICPS 2009</v>
      </c>
      <c r="B16626" s="8" t="str">
        <f>"9781605586489"</f>
        <v>9781605586489</v>
      </c>
      <c r="C16626" s="8" t="s">
        <v>21</v>
      </c>
    </row>
    <row r="16627" spans="1:3" x14ac:dyDescent="0.25">
      <c r="A16627" s="8" t="str">
        <f>"Proceedings of the 4th International Workshop on Signal Design and Its Applications in Communications, IWSDA'09"</f>
        <v>Proceedings of the 4th International Workshop on Signal Design and Its Applications in Communications, IWSDA'09</v>
      </c>
      <c r="B16627" s="8" t="str">
        <f>"9781424443802"</f>
        <v>9781424443802</v>
      </c>
      <c r="C16627" s="8" t="s">
        <v>9</v>
      </c>
    </row>
    <row r="16628" spans="1:3" x14ac:dyDescent="0.25">
      <c r="A16628" s="8" t="str">
        <f>"Proceedings of the 4th International Workshop on Software Knowledge, SKY 2013 - In Conjunction with IC3K 2013"</f>
        <v>Proceedings of the 4th International Workshop on Software Knowledge, SKY 2013 - In Conjunction with IC3K 2013</v>
      </c>
      <c r="B16628" s="8" t="str">
        <f>"9789898565761"</f>
        <v>9789898565761</v>
      </c>
      <c r="C16628" s="8" t="s">
        <v>1197</v>
      </c>
    </row>
    <row r="16629" spans="1:3" x14ac:dyDescent="0.25">
      <c r="A16629" s="8" t="str">
        <f>"Proceedings of the 4th International Workshop on Testing on Database Systems, DBTest 2011, in Conjunction with the 2011 ACM SIGMOD/PODS Conference"</f>
        <v>Proceedings of the 4th International Workshop on Testing on Database Systems, DBTest 2011, in Conjunction with the 2011 ACM SIGMOD/PODS Conference</v>
      </c>
      <c r="B16629" s="8" t="str">
        <f>"9781450306553"</f>
        <v>9781450306553</v>
      </c>
      <c r="C16629" s="8" t="s">
        <v>21</v>
      </c>
    </row>
    <row r="16630" spans="1:3" x14ac:dyDescent="0.25">
      <c r="A16630" s="8" t="str">
        <f>"Proceedings of the 4th International Workshop on Wireless Information Systems, WIS 2005, in Conjunction with ICEIS 2005"</f>
        <v>Proceedings of the 4th International Workshop on Wireless Information Systems, WIS 2005, in Conjunction with ICEIS 2005</v>
      </c>
      <c r="B16630" s="8" t="str">
        <f>"9789728865214"</f>
        <v>9789728865214</v>
      </c>
      <c r="C16630" s="8" t="s">
        <v>1680</v>
      </c>
    </row>
    <row r="16631" spans="1:3" x14ac:dyDescent="0.25">
      <c r="A16631" s="8" t="str">
        <f>"Proceedings of the 4th Linking Aspect Technology and Evolution Workshop, LATE'08 - held at the 7th International Conference on Aspect-Oriented Software Development"</f>
        <v>Proceedings of the 4th Linking Aspect Technology and Evolution Workshop, LATE'08 - held at the 7th International Conference on Aspect-Oriented Software Development</v>
      </c>
      <c r="B16631" s="8" t="str">
        <f>"9781605581477"</f>
        <v>9781605581477</v>
      </c>
      <c r="C16631" s="8" t="s">
        <v>21</v>
      </c>
    </row>
    <row r="16632" spans="1:3" x14ac:dyDescent="0.25">
      <c r="A16632" s="8" t="str">
        <f>"Proceedings of the 4th Many-Core Applications Research Community Symposium, MARC 2012"</f>
        <v>Proceedings of the 4th Many-Core Applications Research Community Symposium, MARC 2012</v>
      </c>
      <c r="B16632" s="8" t="str">
        <f>"9783869561691"</f>
        <v>9783869561691</v>
      </c>
      <c r="C16632" s="8" t="s">
        <v>1104</v>
      </c>
    </row>
    <row r="16633" spans="1:3" x14ac:dyDescent="0.25">
      <c r="A16633" s="8" t="str">
        <f>"Proceedings of the 4th Meeting on CPT and Lorentz Symmetry, CPT 2007"</f>
        <v>Proceedings of the 4th Meeting on CPT and Lorentz Symmetry, CPT 2007</v>
      </c>
      <c r="B16633" s="8" t="str">
        <f>"9789812779502"</f>
        <v>9789812779502</v>
      </c>
      <c r="C16633" s="8" t="s">
        <v>157</v>
      </c>
    </row>
    <row r="16634" spans="1:3" x14ac:dyDescent="0.25">
      <c r="A16634" s="8" t="str">
        <f>"Proceedings of the 4th Patras Workshop on Axions, WIMPs and WISPs, PATRAS 2008"</f>
        <v>Proceedings of the 4th Patras Workshop on Axions, WIMPs and WISPs, PATRAS 2008</v>
      </c>
      <c r="B16634" s="8" t="str">
        <f>"9783935702263"</f>
        <v>9783935702263</v>
      </c>
      <c r="C16634" s="8" t="s">
        <v>1863</v>
      </c>
    </row>
    <row r="16635" spans="1:3" x14ac:dyDescent="0.25">
      <c r="A16635" s="8" t="str">
        <f>"Proceedings of the 4th Summer School in Modern Mathematical Physics, MPHYS 2006"</f>
        <v>Proceedings of the 4th Summer School in Modern Mathematical Physics, MPHYS 2006</v>
      </c>
      <c r="B16635" s="8" t="str">
        <f>"-"</f>
        <v>-</v>
      </c>
      <c r="C16635" s="8" t="s">
        <v>2223</v>
      </c>
    </row>
    <row r="16636" spans="1:3" x14ac:dyDescent="0.25">
      <c r="A16636" s="8" t="str">
        <f>"Proceedings of the 4th Workshop on Domain-Specific Aspect Languages, DSAL '09, Co-located with the 8th International Conference on Aspect-Oriented Software Development, AOSD.09"</f>
        <v>Proceedings of the 4th Workshop on Domain-Specific Aspect Languages, DSAL '09, Co-located with the 8th International Conference on Aspect-Oriented Software Development, AOSD.09</v>
      </c>
      <c r="B16636" s="8" t="str">
        <f>"9781605584553"</f>
        <v>9781605584553</v>
      </c>
      <c r="C16636" s="8" t="s">
        <v>21</v>
      </c>
    </row>
    <row r="16637" spans="1:3" x14ac:dyDescent="0.25">
      <c r="A16637" s="8" t="str">
        <f>"Proceedings of the 4th Workshop on Embedded Networked Sensors, EmNets 2007"</f>
        <v>Proceedings of the 4th Workshop on Embedded Networked Sensors, EmNets 2007</v>
      </c>
      <c r="B16637" s="8" t="str">
        <f>"9781595936943"</f>
        <v>9781595936943</v>
      </c>
      <c r="C16637" s="8" t="s">
        <v>21</v>
      </c>
    </row>
    <row r="16638" spans="1:3" x14ac:dyDescent="0.25">
      <c r="A16638" s="8" t="str">
        <f>"Proceedings of the 4th Workshop on European Workshop on System Security, EUROSEC'11"</f>
        <v>Proceedings of the 4th Workshop on European Workshop on System Security, EUROSEC'11</v>
      </c>
      <c r="B16638" s="8" t="str">
        <f>"9781450306133"</f>
        <v>9781450306133</v>
      </c>
      <c r="C16638" s="8" t="s">
        <v>21</v>
      </c>
    </row>
    <row r="16639" spans="1:3" x14ac:dyDescent="0.25">
      <c r="A16639" s="8" t="str">
        <f>"Proceedings of the 4th Workshop on Eye Gaze in Intelligent Human Machine Interaction, Gaze-In 2012"</f>
        <v>Proceedings of the 4th Workshop on Eye Gaze in Intelligent Human Machine Interaction, Gaze-In 2012</v>
      </c>
      <c r="B16639" s="8" t="str">
        <f>"9781450315166"</f>
        <v>9781450315166</v>
      </c>
      <c r="C16639" s="8" t="s">
        <v>21</v>
      </c>
    </row>
    <row r="16640" spans="1:3" x14ac:dyDescent="0.25">
      <c r="A16640" s="8" t="str">
        <f>"Proceedings of the 4th Workshop on Information Credibility, WICOW '10"</f>
        <v>Proceedings of the 4th Workshop on Information Credibility, WICOW '10</v>
      </c>
      <c r="B16640" s="8" t="str">
        <f>"9781605589404"</f>
        <v>9781605589404</v>
      </c>
      <c r="C16640" s="8" t="s">
        <v>21</v>
      </c>
    </row>
    <row r="16641" spans="1:3" x14ac:dyDescent="0.25">
      <c r="A16641" s="8" t="str">
        <f>"Proceedings of the 4th Workshop on Middleware for Service Oriented Computing, MW4SOC 2009 held at the ACM/IFIP/USENIX International Middleware Conference"</f>
        <v>Proceedings of the 4th Workshop on Middleware for Service Oriented Computing, MW4SOC 2009 held at the ACM/IFIP/USENIX International Middleware Conference</v>
      </c>
      <c r="B16641" s="8" t="str">
        <f>"9781605588483"</f>
        <v>9781605588483</v>
      </c>
      <c r="C16641" s="8" t="s">
        <v>21</v>
      </c>
    </row>
    <row r="16642" spans="1:3" x14ac:dyDescent="0.25">
      <c r="A16642" s="8" t="str">
        <f>"Proceedings of the 4th Workshop on Power-Aware Computing and Systems, HotPower'11"</f>
        <v>Proceedings of the 4th Workshop on Power-Aware Computing and Systems, HotPower'11</v>
      </c>
      <c r="B16642" s="8" t="str">
        <f>"9781450309813"</f>
        <v>9781450309813</v>
      </c>
      <c r="C16642" s="8" t="s">
        <v>21</v>
      </c>
    </row>
    <row r="16643" spans="1:3" x14ac:dyDescent="0.25">
      <c r="A16643" s="8" t="str">
        <f>"Proceedings of the 4th Workshop on Programming Languages and Operating Systems, PLOS 2007"</f>
        <v>Proceedings of the 4th Workshop on Programming Languages and Operating Systems, PLOS 2007</v>
      </c>
      <c r="B16643" s="8" t="str">
        <f>"9781595939227"</f>
        <v>9781595939227</v>
      </c>
      <c r="C16643" s="8" t="s">
        <v>21</v>
      </c>
    </row>
    <row r="16644" spans="1:3" x14ac:dyDescent="0.25">
      <c r="A16644" s="8" t="str">
        <f>"Proceedings of the 4th Workshop on Scala, SCALA 2013"</f>
        <v>Proceedings of the 4th Workshop on Scala, SCALA 2013</v>
      </c>
      <c r="B16644" s="8" t="str">
        <f>"9781450320641"</f>
        <v>9781450320641</v>
      </c>
      <c r="C16644" s="8" t="s">
        <v>21</v>
      </c>
    </row>
    <row r="16645" spans="1:3" x14ac:dyDescent="0.25">
      <c r="A16645" s="8" t="str">
        <f>"Proceedings of the 4th Workshop on Science with the New Generation of High Energy Gamma-Ray Experiments - The Variable Gamma-Ray Sources: Their Identificatons and Counterparts, SciNeGHE 2006"</f>
        <v>Proceedings of the 4th Workshop on Science with the New Generation of High Energy Gamma-Ray Experiments - The Variable Gamma-Ray Sources: Their Identificatons and Counterparts, SciNeGHE 2006</v>
      </c>
      <c r="B16645" s="8" t="str">
        <f>"9789812709646"</f>
        <v>9789812709646</v>
      </c>
      <c r="C16645" s="8" t="s">
        <v>157</v>
      </c>
    </row>
    <row r="16646" spans="1:3" x14ac:dyDescent="0.25">
      <c r="A16646" s="8" t="str">
        <f>"Proceedings of the 4th Workshop on Social Network Systems, SNS'11"</f>
        <v>Proceedings of the 4th Workshop on Social Network Systems, SNS'11</v>
      </c>
      <c r="B16646" s="8" t="str">
        <f>"9781450307284"</f>
        <v>9781450307284</v>
      </c>
      <c r="C16646" s="8" t="s">
        <v>21</v>
      </c>
    </row>
    <row r="16647" spans="1:3" x14ac:dyDescent="0.25">
      <c r="A16647" s="8" t="str">
        <f>"Proceedings of the 4th Workshop on the Implementation, Compilation, Optimization of Object-Oriented Languages and Programming Systems, ICOOOLPS 2009"</f>
        <v>Proceedings of the 4th Workshop on the Implementation, Compilation, Optimization of Object-Oriented Languages and Programming Systems, ICOOOLPS 2009</v>
      </c>
      <c r="B16647" s="8" t="str">
        <f>"9781605585413"</f>
        <v>9781605585413</v>
      </c>
      <c r="C16647" s="8" t="s">
        <v>21</v>
      </c>
    </row>
    <row r="16648" spans="1:3" x14ac:dyDescent="0.25">
      <c r="A16648" s="8" t="str">
        <f>"Proceedings of the 4th Workshop on Workflows in Support of Large-Scale Science, WORKS '09, in Conjunction with SC 2009"</f>
        <v>Proceedings of the 4th Workshop on Workflows in Support of Large-Scale Science, WORKS '09, in Conjunction with SC 2009</v>
      </c>
      <c r="B16648" s="8" t="str">
        <f>"9781605587172"</f>
        <v>9781605587172</v>
      </c>
      <c r="C16648" s="8" t="s">
        <v>21</v>
      </c>
    </row>
    <row r="16649" spans="1:3" x14ac:dyDescent="0.25">
      <c r="A16649" s="8" t="str">
        <f>"Proceedings of the 4th WSEAS International Conference on Computational Intelligence, CI '10"</f>
        <v>Proceedings of the 4th WSEAS International Conference on Computational Intelligence, CI '10</v>
      </c>
      <c r="B16649" s="8" t="str">
        <f>"9789604741786"</f>
        <v>9789604741786</v>
      </c>
      <c r="C16649" s="8" t="s">
        <v>553</v>
      </c>
    </row>
    <row r="16650" spans="1:3" x14ac:dyDescent="0.25">
      <c r="A16650" s="8" t="str">
        <f>"Proceedings of the 4th WSEAS International Conference on Finite Differences - Finite Elements - Finite Volumes - Boundary Elements, F-and-B '11"</f>
        <v>Proceedings of the 4th WSEAS International Conference on Finite Differences - Finite Elements - Finite Volumes - Boundary Elements, F-and-B '11</v>
      </c>
      <c r="B16650" s="8" t="str">
        <f>"9789604742981"</f>
        <v>9789604742981</v>
      </c>
      <c r="C16650" s="8" t="s">
        <v>553</v>
      </c>
    </row>
    <row r="16651" spans="1:3" x14ac:dyDescent="0.25">
      <c r="A16651" s="8" t="str">
        <f>"Proceedings of the 4th Wuhan International Conference on E-Business the Internet Era and the Global Enterprise"</f>
        <v>Proceedings of the 4th Wuhan International Conference on E-Business the Internet Era and the Global Enterprise</v>
      </c>
      <c r="B16651" s="8" t="str">
        <f>"9780960496273"</f>
        <v>9780960496273</v>
      </c>
      <c r="C16651" s="8" t="s">
        <v>1987</v>
      </c>
    </row>
    <row r="16652" spans="1:3" x14ac:dyDescent="0.25">
      <c r="A16652" s="8" t="str">
        <f>"Proceedings of the 4th Wuhan International Conference on E-Business the Internet Era and the Global Enterprise"</f>
        <v>Proceedings of the 4th Wuhan International Conference on E-Business the Internet Era and the Global Enterprise</v>
      </c>
      <c r="B16652" s="8" t="str">
        <f>"9780960496273"</f>
        <v>9780960496273</v>
      </c>
    </row>
    <row r="16653" spans="1:3" x14ac:dyDescent="0.25">
      <c r="A16653" s="8" t="str">
        <f>"Proceedings of the 4th Wuhan International Conference on E-Business the Internet Era and the Global Enterprise"</f>
        <v>Proceedings of the 4th Wuhan International Conference on E-Business the Internet Era and the Global Enterprise</v>
      </c>
      <c r="B16653" s="8" t="str">
        <f>"9780960496273"</f>
        <v>9780960496273</v>
      </c>
    </row>
    <row r="16654" spans="1:3" x14ac:dyDescent="0.25">
      <c r="A16654" s="8" t="str">
        <f>"Proceedings of the 50th IEEE Holm Conference on Electrical Contacts and the 22nd International Conference on Electrical Contacts"</f>
        <v>Proceedings of the 50th IEEE Holm Conference on Electrical Contacts and the 22nd International Conference on Electrical Contacts</v>
      </c>
      <c r="B16654" s="8" t="str">
        <f>"9780780384606"</f>
        <v>9780780384606</v>
      </c>
      <c r="C16654" s="8" t="s">
        <v>105</v>
      </c>
    </row>
    <row r="16655" spans="1:3" x14ac:dyDescent="0.25">
      <c r="A16655" s="8" t="str">
        <f>"Proceedings of the 59th IEEE Holm Conference on Electrical Contacts, HOLM 2013"</f>
        <v>Proceedings of the 59th IEEE Holm Conference on Electrical Contacts, HOLM 2013</v>
      </c>
      <c r="B16655" s="8" t="str">
        <f>"9781467352819"</f>
        <v>9781467352819</v>
      </c>
      <c r="C16655" s="8" t="s">
        <v>9</v>
      </c>
    </row>
    <row r="16656" spans="1:3" x14ac:dyDescent="0.25">
      <c r="A16656" s="8" t="str">
        <f>"Proceedings of the 5th ACM International Conference on Embedded Software, EMSOFT 2005"</f>
        <v>Proceedings of the 5th ACM International Conference on Embedded Software, EMSOFT 2005</v>
      </c>
      <c r="B16656" s="8" t="str">
        <f>"9781595930910"</f>
        <v>9781595930910</v>
      </c>
      <c r="C16656" s="8" t="s">
        <v>21</v>
      </c>
    </row>
    <row r="16657" spans="1:3" x14ac:dyDescent="0.25">
      <c r="A16657" s="8" t="str">
        <f>"Proceedings of the 5th ACM International Workshop on UnderWater Networks, WUWNet '10"</f>
        <v>Proceedings of the 5th ACM International Workshop on UnderWater Networks, WUWNet '10</v>
      </c>
      <c r="B16657" s="8" t="str">
        <f>"9781450304023"</f>
        <v>9781450304023</v>
      </c>
      <c r="C16657" s="8" t="s">
        <v>21</v>
      </c>
    </row>
    <row r="16658" spans="1:3" x14ac:dyDescent="0.25">
      <c r="A16658" s="8" t="str">
        <f>"Proceedings of the 5th ACM Multimedia Systems Conference, MMSys 2014"</f>
        <v>Proceedings of the 5th ACM Multimedia Systems Conference, MMSys 2014</v>
      </c>
      <c r="B16658" s="8" t="str">
        <f>"9781450327053"</f>
        <v>9781450327053</v>
      </c>
      <c r="C16658" s="8" t="s">
        <v>21</v>
      </c>
    </row>
    <row r="16659" spans="1:3" x14ac:dyDescent="0.25">
      <c r="A16659" s="8" t="str">
        <f>"Proceedings of the 5th ACM SIGSPATIAL International Workshop on Indoor Spatial Awareness, ISA 2013"</f>
        <v>Proceedings of the 5th ACM SIGSPATIAL International Workshop on Indoor Spatial Awareness, ISA 2013</v>
      </c>
      <c r="B16659" s="8" t="str">
        <f>"9781450325264"</f>
        <v>9781450325264</v>
      </c>
      <c r="C16659" s="8" t="s">
        <v>21</v>
      </c>
    </row>
    <row r="16660" spans="1:3" x14ac:dyDescent="0.25">
      <c r="A16660" s="8" t="str">
        <f>"Proceedings of the 5th ACM SIGSPATIAL International Workshop on Location-Based Social Networks, LBSN 2012 - Held in Conjunction with ACM SIGSPATIAL GIS 2012"</f>
        <v>Proceedings of the 5th ACM SIGSPATIAL International Workshop on Location-Based Social Networks, LBSN 2012 - Held in Conjunction with ACM SIGSPATIAL GIS 2012</v>
      </c>
      <c r="B16660" s="8" t="str">
        <f>"9781450316989"</f>
        <v>9781450316989</v>
      </c>
      <c r="C16660" s="8" t="s">
        <v>21</v>
      </c>
    </row>
    <row r="16661" spans="1:3" x14ac:dyDescent="0.25">
      <c r="A16661" s="8" t="str">
        <f>"Proceedings of the 5th ACM Symposium on Cloud Computing, SOCC 2014"</f>
        <v>Proceedings of the 5th ACM Symposium on Cloud Computing, SOCC 2014</v>
      </c>
      <c r="B16661" s="8" t="str">
        <f>"9781450332521"</f>
        <v>9781450332521</v>
      </c>
      <c r="C16661" s="8" t="s">
        <v>1235</v>
      </c>
    </row>
    <row r="16662" spans="1:3" x14ac:dyDescent="0.25">
      <c r="A16662" s="8" t="str">
        <f>"Proceedings of the 5th ACM Symposium on Computer Human Interaction for Management of Information Technology, CHIMIT'11"</f>
        <v>Proceedings of the 5th ACM Symposium on Computer Human Interaction for Management of Information Technology, CHIMIT'11</v>
      </c>
      <c r="B16662" s="8" t="str">
        <f>"9781450307567"</f>
        <v>9781450307567</v>
      </c>
      <c r="C16662" s="8" t="s">
        <v>21</v>
      </c>
    </row>
    <row r="16663" spans="1:3" x14ac:dyDescent="0.25">
      <c r="A16663" s="8" t="str">
        <f>"Proceedings of the 5th Annual Conference for Young Scientists of China Association for Science and Technology"</f>
        <v>Proceedings of the 5th Annual Conference for Young Scientists of China Association for Science and Technology</v>
      </c>
      <c r="B16663" s="8" t="str">
        <f>"9787030144751"</f>
        <v>9787030144751</v>
      </c>
      <c r="C16663" s="8" t="s">
        <v>37</v>
      </c>
    </row>
    <row r="16664" spans="1:3" x14ac:dyDescent="0.25">
      <c r="A16664" s="8" t="str">
        <f>"Proceedings of the 5th Annual Conference for Young Scientists of China Association for Science and Technology"</f>
        <v>Proceedings of the 5th Annual Conference for Young Scientists of China Association for Science and Technology</v>
      </c>
      <c r="B16664" s="8" t="str">
        <f>"9787030144751"</f>
        <v>9787030144751</v>
      </c>
    </row>
    <row r="16665" spans="1:3" x14ac:dyDescent="0.25">
      <c r="A16665" s="8" t="str">
        <f>"Proceedings of the 5th Annual Conference on Information Security Curriculum Development, InfoSecCD '08"</f>
        <v>Proceedings of the 5th Annual Conference on Information Security Curriculum Development, InfoSecCD '08</v>
      </c>
      <c r="B16665" s="8" t="str">
        <f>"9781605583334"</f>
        <v>9781605583334</v>
      </c>
      <c r="C16665" s="8" t="s">
        <v>21</v>
      </c>
    </row>
    <row r="16666" spans="1:3" x14ac:dyDescent="0.25">
      <c r="A16666" s="8" t="str">
        <f>"Proceedings of the 5th Annual Symposium on Combinatorial Search, SoCS 2012"</f>
        <v>Proceedings of the 5th Annual Symposium on Combinatorial Search, SoCS 2012</v>
      </c>
      <c r="B16666" s="8" t="str">
        <f>"9781577355847"</f>
        <v>9781577355847</v>
      </c>
      <c r="C16666" s="8" t="s">
        <v>1257</v>
      </c>
    </row>
    <row r="16667" spans="1:3" x14ac:dyDescent="0.25">
      <c r="A16667" s="8" t="str">
        <f>"Proceedings of the 5th Artificial Intelligence and Interactive Digital Entertainment Conference, AIIDE 2009"</f>
        <v>Proceedings of the 5th Artificial Intelligence and Interactive Digital Entertainment Conference, AIIDE 2009</v>
      </c>
      <c r="B16667" s="8" t="str">
        <f>"9781577354314"</f>
        <v>9781577354314</v>
      </c>
      <c r="C16667" s="8" t="s">
        <v>1257</v>
      </c>
    </row>
    <row r="16668" spans="1:3" x14ac:dyDescent="0.25">
      <c r="A16668" s="8" t="str">
        <f>"Proceedings of the 5th Asia Symposium on Quality Electronic Design, ASQED 2013"</f>
        <v>Proceedings of the 5th Asia Symposium on Quality Electronic Design, ASQED 2013</v>
      </c>
      <c r="B16668" s="8" t="str">
        <f>"9781479913145"</f>
        <v>9781479913145</v>
      </c>
      <c r="C16668" s="8" t="s">
        <v>9</v>
      </c>
    </row>
    <row r="16669" spans="1:3" x14ac:dyDescent="0.25">
      <c r="A16669" s="8" t="str">
        <f>"Proceedings of the 5th Audio Mostly - A Conference on Interaction With Sound, AM '10"</f>
        <v>Proceedings of the 5th Audio Mostly - A Conference on Interaction With Sound, AM '10</v>
      </c>
      <c r="B16669" s="8" t="str">
        <f>"9781450300469"</f>
        <v>9781450300469</v>
      </c>
      <c r="C16669" s="8" t="s">
        <v>21</v>
      </c>
    </row>
    <row r="16670" spans="1:3" x14ac:dyDescent="0.25">
      <c r="A16670" s="8" t="str">
        <f>"Proceedings of The 5th Australasian Conference on Interactive Entertainment, IE 2008"</f>
        <v>Proceedings of The 5th Australasian Conference on Interactive Entertainment, IE 2008</v>
      </c>
      <c r="B16670" s="8" t="str">
        <f>"9781605584249"</f>
        <v>9781605584249</v>
      </c>
      <c r="C16670" s="8" t="s">
        <v>21</v>
      </c>
    </row>
    <row r="16671" spans="1:3" x14ac:dyDescent="0.25">
      <c r="A16671" s="8" t="str">
        <f>"Proceedings of the 5th Australian Digital Forensics Conference"</f>
        <v>Proceedings of the 5th Australian Digital Forensics Conference</v>
      </c>
      <c r="B16671" s="8" t="str">
        <f>"9780729806466"</f>
        <v>9780729806466</v>
      </c>
      <c r="C16671" s="8" t="s">
        <v>2106</v>
      </c>
    </row>
    <row r="16672" spans="1:3" x14ac:dyDescent="0.25">
      <c r="A16672" s="8" t="str">
        <f>"Proceedings of the 5th Australian Information Security Management Conference"</f>
        <v>Proceedings of the 5th Australian Information Security Management Conference</v>
      </c>
      <c r="B16672" s="8" t="str">
        <f>"9780729806473"</f>
        <v>9780729806473</v>
      </c>
      <c r="C16672" s="8" t="s">
        <v>2106</v>
      </c>
    </row>
    <row r="16673" spans="1:3" x14ac:dyDescent="0.25">
      <c r="A16673" s="8" t="str">
        <f>"Proceedings of the 5th Bulgarian-Serbian Conference on Astronomy and Space Science: Astronomy and Space Science, BSCASS 2006"</f>
        <v>Proceedings of the 5th Bulgarian-Serbian Conference on Astronomy and Space Science: Astronomy and Space Science, BSCASS 2006</v>
      </c>
      <c r="B16673" s="8" t="str">
        <f>"9788680019338"</f>
        <v>9788680019338</v>
      </c>
      <c r="C16673" s="8" t="s">
        <v>2224</v>
      </c>
    </row>
    <row r="16674" spans="1:3" x14ac:dyDescent="0.25">
      <c r="A16674" s="8" t="str">
        <f>"Proceedings of the 5th Canadian Conference on Computer and Robot Vision, CRV 2008"</f>
        <v>Proceedings of the 5th Canadian Conference on Computer and Robot Vision, CRV 2008</v>
      </c>
      <c r="B16674" s="8" t="str">
        <f>"9780769531533"</f>
        <v>9780769531533</v>
      </c>
      <c r="C16674" s="8" t="s">
        <v>9</v>
      </c>
    </row>
    <row r="16675" spans="1:3" x14ac:dyDescent="0.25">
      <c r="A16675" s="8" t="str">
        <f>"Proceedings of the 5th Dynamic Languages Symposium, DLS '09, Co-located with the 24th Annual ACM Conference on Object-Oriented Programming, Systems, Languages and Applications, OOPSLA 2009"</f>
        <v>Proceedings of the 5th Dynamic Languages Symposium, DLS '09, Co-located with the 24th Annual ACM Conference on Object-Oriented Programming, Systems, Languages and Applications, OOPSLA 2009</v>
      </c>
      <c r="B16675" s="8" t="str">
        <f>"9781605587691"</f>
        <v>9781605587691</v>
      </c>
      <c r="C16675" s="8" t="s">
        <v>21</v>
      </c>
    </row>
    <row r="16676" spans="1:3" x14ac:dyDescent="0.25">
      <c r="A16676" s="8" t="str">
        <f>"Proceedings of the 5th European Conference on Additives and Colors"</f>
        <v>Proceedings of the 5th European Conference on Additives and Colors</v>
      </c>
      <c r="B16676" s="8" t="str">
        <f>"-"</f>
        <v>-</v>
      </c>
      <c r="C16676" s="8" t="s">
        <v>132</v>
      </c>
    </row>
    <row r="16677" spans="1:3" x14ac:dyDescent="0.25">
      <c r="A16677" s="8" t="str">
        <f>"Proceedings of the 5th European Conference on Antennas and Propagation, EUCAP 2011"</f>
        <v>Proceedings of the 5th European Conference on Antennas and Propagation, EUCAP 2011</v>
      </c>
      <c r="B16677" s="8" t="str">
        <f>"9788882020743"</f>
        <v>9788882020743</v>
      </c>
      <c r="C16677" s="8" t="s">
        <v>9</v>
      </c>
    </row>
    <row r="16678" spans="1:3" x14ac:dyDescent="0.25">
      <c r="A16678" s="8" t="str">
        <f>"Proceedings of the 5th European Conference on Constitutive Models for Rubber, ECCMR 2007"</f>
        <v>Proceedings of the 5th European Conference on Constitutive Models for Rubber, ECCMR 2007</v>
      </c>
      <c r="B16678" s="8" t="str">
        <f>"9780415454421"</f>
        <v>9780415454421</v>
      </c>
      <c r="C16678" s="8" t="s">
        <v>1520</v>
      </c>
    </row>
    <row r="16679" spans="1:3" x14ac:dyDescent="0.25">
      <c r="A16679" s="8" t="str">
        <f>"Proceedings of the 5th European Conference on Constitutive Models for Rubber, ECCMR 2007"</f>
        <v>Proceedings of the 5th European Conference on Constitutive Models for Rubber, ECCMR 2007</v>
      </c>
      <c r="B16679" s="8" t="str">
        <f>"9780415454421"</f>
        <v>9780415454421</v>
      </c>
      <c r="C16679" s="8" t="s">
        <v>1520</v>
      </c>
    </row>
    <row r="16680" spans="1:3" x14ac:dyDescent="0.25">
      <c r="A16680" s="8" t="str">
        <f>"Proceedings of the 5th European Workshop - Structural Health Monitoring 2010"</f>
        <v>Proceedings of the 5th European Workshop - Structural Health Monitoring 2010</v>
      </c>
      <c r="B16680" s="8" t="str">
        <f>"9781605950242"</f>
        <v>9781605950242</v>
      </c>
      <c r="C16680" s="8" t="s">
        <v>757</v>
      </c>
    </row>
    <row r="16681" spans="1:3" x14ac:dyDescent="0.25">
      <c r="A16681" s="8" t="str">
        <f>"Proceedings of the 5th European Workshop on Probabilistic Graphical Models, PGM 2010"</f>
        <v>Proceedings of the 5th European Workshop on Probabilistic Graphical Models, PGM 2010</v>
      </c>
      <c r="B16681" s="8" t="str">
        <f>"9789526033143"</f>
        <v>9789526033143</v>
      </c>
      <c r="C16681" s="8" t="s">
        <v>2225</v>
      </c>
    </row>
    <row r="16682" spans="1:3" x14ac:dyDescent="0.25">
      <c r="A16682" s="8" t="str">
        <f>"Proceedings of the 5th Grid Computing Environments Workshop at Supercomputing 2009, GCE09"</f>
        <v>Proceedings of the 5th Grid Computing Environments Workshop at Supercomputing 2009, GCE09</v>
      </c>
      <c r="B16682" s="8" t="str">
        <f>"-"</f>
        <v>-</v>
      </c>
      <c r="C16682" s="8" t="s">
        <v>21</v>
      </c>
    </row>
    <row r="16683" spans="1:3" x14ac:dyDescent="0.25">
      <c r="A16683" s="8" t="str">
        <f>"Proceedings of the 5th High-Energy Physics International Conference, HEP-MAD 2011"</f>
        <v>Proceedings of the 5th High-Energy Physics International Conference, HEP-MAD 2011</v>
      </c>
      <c r="B16683" s="8" t="str">
        <f>"-"</f>
        <v>-</v>
      </c>
      <c r="C16683" s="8" t="s">
        <v>1471</v>
      </c>
    </row>
    <row r="16684" spans="1:3" x14ac:dyDescent="0.25">
      <c r="A16684" s="8" t="str">
        <f>"Proceedings of the 5th IASTED Asian Conference on Communication Systems and Networks, AsiaCSN 2008"</f>
        <v>Proceedings of the 5th IASTED Asian Conference on Communication Systems and Networks, AsiaCSN 2008</v>
      </c>
      <c r="B16684" s="8" t="str">
        <f>"9780889867345"</f>
        <v>9780889867345</v>
      </c>
      <c r="C16684" s="8" t="s">
        <v>305</v>
      </c>
    </row>
    <row r="16685" spans="1:3" x14ac:dyDescent="0.25">
      <c r="A16685" s="8" t="str">
        <f>"Proceedings of the 5th IASTED European Conference on Internet and Multimedia Systems and Applications, EuroIMSA 2009"</f>
        <v>Proceedings of the 5th IASTED European Conference on Internet and Multimedia Systems and Applications, EuroIMSA 2009</v>
      </c>
      <c r="B16685" s="8" t="str">
        <f>"9780889868021"</f>
        <v>9780889868021</v>
      </c>
      <c r="C16685" s="8" t="s">
        <v>305</v>
      </c>
    </row>
    <row r="16686" spans="1:3" x14ac:dyDescent="0.25">
      <c r="A16686" s="8" t="str">
        <f>"Proceedings of the 5th IASTED International Conference on Antennas, Radar, and Wave Propagation, ARP 2008"</f>
        <v>Proceedings of the 5th IASTED International Conference on Antennas, Radar, and Wave Propagation, ARP 2008</v>
      </c>
      <c r="B16686" s="8" t="str">
        <f>"9780889867369"</f>
        <v>9780889867369</v>
      </c>
      <c r="C16686" s="8" t="s">
        <v>305</v>
      </c>
    </row>
    <row r="16687" spans="1:3" x14ac:dyDescent="0.25">
      <c r="A16687" s="8" t="str">
        <f>"Proceedings of the 5th IASTED International Conference on Biomedical Engineering, BioMED 2007"</f>
        <v>Proceedings of the 5th IASTED International Conference on Biomedical Engineering, BioMED 2007</v>
      </c>
      <c r="B16687" s="8" t="str">
        <f>"-"</f>
        <v>-</v>
      </c>
      <c r="C16687" s="8" t="s">
        <v>305</v>
      </c>
    </row>
    <row r="16688" spans="1:3" x14ac:dyDescent="0.25">
      <c r="A16688" s="8" t="str">
        <f>"Proceedings of the 5th IASTED International Conference on Communication Systems and Networks, CSN 2006"</f>
        <v>Proceedings of the 5th IASTED International Conference on Communication Systems and Networks, CSN 2006</v>
      </c>
      <c r="B16688" s="8" t="str">
        <f>"9780889866065"</f>
        <v>9780889866065</v>
      </c>
      <c r="C16688" s="8" t="s">
        <v>305</v>
      </c>
    </row>
    <row r="16689" spans="1:3" x14ac:dyDescent="0.25">
      <c r="A16689" s="8" t="str">
        <f>"Proceedings of the 5th IASTED International Conference on Computational Intelligence, CI 2010"</f>
        <v>Proceedings of the 5th IASTED International Conference on Computational Intelligence, CI 2010</v>
      </c>
      <c r="B16689" s="8" t="str">
        <f>"9780889868694"</f>
        <v>9780889868694</v>
      </c>
      <c r="C16689" s="8" t="s">
        <v>305</v>
      </c>
    </row>
    <row r="16690" spans="1:3" x14ac:dyDescent="0.25">
      <c r="A16690" s="8" t="str">
        <f>"Proceedings of the 5th IASTED International Conference on Human-Computer Interaction, HCI 2010"</f>
        <v>Proceedings of the 5th IASTED International Conference on Human-Computer Interaction, HCI 2010</v>
      </c>
      <c r="B16690" s="8" t="str">
        <f>"9780889868694"</f>
        <v>9780889868694</v>
      </c>
      <c r="C16690" s="8" t="s">
        <v>305</v>
      </c>
    </row>
    <row r="16691" spans="1:3" x14ac:dyDescent="0.25">
      <c r="A16691" s="8" t="str">
        <f>"Proceedings of the 5th IASTED International Conference on Law and Technology, LawTech 2007"</f>
        <v>Proceedings of the 5th IASTED International Conference on Law and Technology, LawTech 2007</v>
      </c>
      <c r="B16691" s="8" t="str">
        <f>"9780889866775"</f>
        <v>9780889866775</v>
      </c>
      <c r="C16691" s="8" t="s">
        <v>305</v>
      </c>
    </row>
    <row r="16692" spans="1:3" x14ac:dyDescent="0.25">
      <c r="A16692" s="8" t="str">
        <f>"Proceedings of the 5th IASTED International Conference on Signal Processing, Pattern Recognition, and Applications, SPPRA 2008"</f>
        <v>Proceedings of the 5th IASTED International Conference on Signal Processing, Pattern Recognition, and Applications, SPPRA 2008</v>
      </c>
      <c r="B16692" s="8" t="str">
        <f>"9780889867178"</f>
        <v>9780889867178</v>
      </c>
      <c r="C16692" s="8" t="s">
        <v>305</v>
      </c>
    </row>
    <row r="16693" spans="1:3" x14ac:dyDescent="0.25">
      <c r="A16693" s="8" t="str">
        <f>"Proceedings of the 5th IASTED International Conference on Visualization, Imaging, and Image Processing, VIIP 2005"</f>
        <v>Proceedings of the 5th IASTED International Conference on Visualization, Imaging, and Image Processing, VIIP 2005</v>
      </c>
      <c r="B16693" s="8" t="str">
        <f>"9780889865280"</f>
        <v>9780889865280</v>
      </c>
      <c r="C16693" s="8" t="s">
        <v>305</v>
      </c>
    </row>
    <row r="16694" spans="1:3" x14ac:dyDescent="0.25">
      <c r="A16694" s="8" t="str">
        <f>"Proceedings of the 5th Iberian Conference on Information Systems and Technologies, CISTI 2010"</f>
        <v>Proceedings of the 5th Iberian Conference on Information Systems and Technologies, CISTI 2010</v>
      </c>
      <c r="B16694" s="8" t="str">
        <f>"9789899624733"</f>
        <v>9789899624733</v>
      </c>
      <c r="C16694" s="8" t="s">
        <v>9</v>
      </c>
    </row>
    <row r="16695" spans="1:3" x14ac:dyDescent="0.25">
      <c r="A16695" s="8" t="str">
        <f>"Proceedings of the 5th ICEIS Doctoral Consortium, DCEIS 2007 - In Conjunction with ICEIS 2007"</f>
        <v>Proceedings of the 5th ICEIS Doctoral Consortium, DCEIS 2007 - In Conjunction with ICEIS 2007</v>
      </c>
      <c r="B16695" s="8" t="str">
        <f>"9789898111043"</f>
        <v>9789898111043</v>
      </c>
      <c r="C16695" s="8" t="s">
        <v>1553</v>
      </c>
    </row>
    <row r="16696" spans="1:3" x14ac:dyDescent="0.25">
      <c r="A16696" s="8" t="str">
        <f>"Proceedings of the 5th ICEIS Doctoral Consortium, DCEIS 2007 - In Conjunction with ICEIS 2007"</f>
        <v>Proceedings of the 5th ICEIS Doctoral Consortium, DCEIS 2007 - In Conjunction with ICEIS 2007</v>
      </c>
      <c r="B16696" s="8" t="str">
        <f>"9789898111043"</f>
        <v>9789898111043</v>
      </c>
    </row>
    <row r="16697" spans="1:3" x14ac:dyDescent="0.25">
      <c r="A16697" s="8" t="str">
        <f>"Proceedings of the 5th IEEE European Conference on Web Services, ECOWS 07"</f>
        <v>Proceedings of the 5th IEEE European Conference on Web Services, ECOWS 07</v>
      </c>
      <c r="B16697" s="8" t="str">
        <f>"9780769530444"</f>
        <v>9780769530444</v>
      </c>
      <c r="C16697" s="8" t="s">
        <v>9</v>
      </c>
    </row>
    <row r="16698" spans="1:3" x14ac:dyDescent="0.25">
      <c r="A16698" s="8" t="str">
        <f>"Proceedings of the 5th IEEE International Conference on Cognitive Informatics, ICCI 2006"</f>
        <v>Proceedings of the 5th IEEE International Conference on Cognitive Informatics, ICCI 2006</v>
      </c>
      <c r="B16698" s="8" t="str">
        <f>"-"</f>
        <v>-</v>
      </c>
      <c r="C16698" s="8" t="s">
        <v>9</v>
      </c>
    </row>
    <row r="16699" spans="1:3" x14ac:dyDescent="0.25">
      <c r="A16699" s="8" t="str">
        <f>"Proceedings of the 5th IEEE International Conference on Malicious and Unwanted Software, Malware 2010"</f>
        <v>Proceedings of the 5th IEEE International Conference on Malicious and Unwanted Software, Malware 2010</v>
      </c>
      <c r="B16699" s="8" t="str">
        <f>"9781424493555"</f>
        <v>9781424493555</v>
      </c>
      <c r="C16699" s="8" t="s">
        <v>9</v>
      </c>
    </row>
    <row r="16700" spans="1:3" x14ac:dyDescent="0.25">
      <c r="A16700" s="8" t="str">
        <f>"Proceedings of The 5th IEEE International Symposium on Embedded Computing, SEC 2008"</f>
        <v>Proceedings of The 5th IEEE International Symposium on Embedded Computing, SEC 2008</v>
      </c>
      <c r="B16700" s="8" t="str">
        <f>"9780769533483"</f>
        <v>9780769533483</v>
      </c>
      <c r="C16700" s="8" t="s">
        <v>9</v>
      </c>
    </row>
    <row r="16701" spans="1:3" x14ac:dyDescent="0.25">
      <c r="A16701" s="8" t="str">
        <f>"Proceedings of the 5th IEEE International Workshop on Intelligent Data Acquisition and Advanced Computing Systems: Technology and Applications, IDAACS'2009"</f>
        <v>Proceedings of the 5th IEEE International Workshop on Intelligent Data Acquisition and Advanced Computing Systems: Technology and Applications, IDAACS'2009</v>
      </c>
      <c r="B16701" s="8" t="str">
        <f>"9781424448821"</f>
        <v>9781424448821</v>
      </c>
      <c r="C16701" s="8" t="s">
        <v>9</v>
      </c>
    </row>
    <row r="16702" spans="1:3" x14ac:dyDescent="0.25">
      <c r="A16702" s="8" t="str">
        <f>"Proceedings of the 5th IEEE Workshop on Challenges of Large Applications in Distributed Environments, CLADE'07"</f>
        <v>Proceedings of the 5th IEEE Workshop on Challenges of Large Applications in Distributed Environments, CLADE'07</v>
      </c>
      <c r="B16702" s="8" t="str">
        <f>"9781595937148"</f>
        <v>9781595937148</v>
      </c>
      <c r="C16702" s="8" t="s">
        <v>21</v>
      </c>
    </row>
    <row r="16703" spans="1:3" x14ac:dyDescent="0.25">
      <c r="A16703" s="8" t="str">
        <f>"Proceedings of the 5th IEEE Workshop on Engineering of Autonomic and Autonomous Systems, EASe 2008"</f>
        <v>Proceedings of the 5th IEEE Workshop on Engineering of Autonomic and Autonomous Systems, EASe 2008</v>
      </c>
      <c r="B16703" s="8" t="str">
        <f>"9780769531403"</f>
        <v>9780769531403</v>
      </c>
      <c r="C16703" s="8" t="s">
        <v>9</v>
      </c>
    </row>
    <row r="16704" spans="1:3" x14ac:dyDescent="0.25">
      <c r="A16704" s="8" t="str">
        <f>"Proceedings of the 5th IEEE-Russia Conference - 2005 Microwave Electronics: Measurements, Identification, Applications, MEMIA '05"</f>
        <v>Proceedings of the 5th IEEE-Russia Conference - 2005 Microwave Electronics: Measurements, Identification, Applications, MEMIA '05</v>
      </c>
      <c r="B16704" s="8" t="str">
        <f>"-"</f>
        <v>-</v>
      </c>
      <c r="C16704" s="8" t="s">
        <v>9</v>
      </c>
    </row>
    <row r="16705" spans="1:3" x14ac:dyDescent="0.25">
      <c r="A16705" s="8" t="str">
        <f>"Proceedings of the 5th India Software Engineering Conference, ISEC'12"</f>
        <v>Proceedings of the 5th India Software Engineering Conference, ISEC'12</v>
      </c>
      <c r="B16705" s="8" t="str">
        <f>"9781450311427"</f>
        <v>9781450311427</v>
      </c>
      <c r="C16705" s="8" t="s">
        <v>21</v>
      </c>
    </row>
    <row r="16706" spans="1:3" x14ac:dyDescent="0.25">
      <c r="A16706" s="8" t="str">
        <f>"Proceedings of the 5th Indian International Conference on Artificial Intelligence, IICAI 2011"</f>
        <v>Proceedings of the 5th Indian International Conference on Artificial Intelligence, IICAI 2011</v>
      </c>
      <c r="B16706" s="8" t="str">
        <f>"9780972741286"</f>
        <v>9780972741286</v>
      </c>
      <c r="C16706" s="8" t="s">
        <v>2197</v>
      </c>
    </row>
    <row r="16707" spans="1:3" x14ac:dyDescent="0.25">
      <c r="A16707" s="8" t="str">
        <f>"Proceedings of the 5th International Advanced Automotive Battery and Ultracapacitor Conference, AABC"</f>
        <v>Proceedings of the 5th International Advanced Automotive Battery and Ultracapacitor Conference, AABC</v>
      </c>
      <c r="B16707" s="8" t="str">
        <f>"-"</f>
        <v>-</v>
      </c>
      <c r="C16707" s="8" t="s">
        <v>1242</v>
      </c>
    </row>
    <row r="16708" spans="1:3" x14ac:dyDescent="0.25">
      <c r="A16708" s="8" t="str">
        <f>"Proceedings of the 5th International Asia Conference on Industrial Engineering and Management Innovation, IEMI 2014"</f>
        <v>Proceedings of the 5th International Asia Conference on Industrial Engineering and Management Innovation, IEMI 2014</v>
      </c>
      <c r="B16708" s="8" t="str">
        <f>"9789462390997"</f>
        <v>9789462390997</v>
      </c>
      <c r="C16708" s="8" t="s">
        <v>1380</v>
      </c>
    </row>
    <row r="16709" spans="1:3" x14ac:dyDescent="0.25">
      <c r="A16709" s="8" t="str">
        <f>"Proceedings of the 5th International Conference on Aspect-oriented Software Development 2006, AOSD'06"</f>
        <v>Proceedings of the 5th International Conference on Aspect-oriented Software Development 2006, AOSD'06</v>
      </c>
      <c r="B16709" s="8" t="str">
        <f>"-"</f>
        <v>-</v>
      </c>
      <c r="C16709" s="8" t="s">
        <v>21</v>
      </c>
    </row>
    <row r="16710" spans="1:3" x14ac:dyDescent="0.25">
      <c r="A16710" s="8" t="str">
        <f>"Proceedings of the 5th International Conference on Automotive User Interfaces and Interactive Vehicular Applications, AutomotiveUI 2013"</f>
        <v>Proceedings of the 5th International Conference on Automotive User Interfaces and Interactive Vehicular Applications, AutomotiveUI 2013</v>
      </c>
      <c r="B16710" s="8" t="str">
        <f>"9781450324786"</f>
        <v>9781450324786</v>
      </c>
      <c r="C16710" s="8" t="s">
        <v>21</v>
      </c>
    </row>
    <row r="16711" spans="1:3" x14ac:dyDescent="0.25">
      <c r="A16711" s="8" t="str">
        <f>"Proceedings of the 5th International Conference on Autonomic and Autonomous Systems, ICAS 2009"</f>
        <v>Proceedings of the 5th International Conference on Autonomic and Autonomous Systems, ICAS 2009</v>
      </c>
      <c r="B16711" s="8" t="str">
        <f>"9780769535845"</f>
        <v>9780769535845</v>
      </c>
      <c r="C16711" s="8" t="s">
        <v>9</v>
      </c>
    </row>
    <row r="16712" spans="1:3" x14ac:dyDescent="0.25">
      <c r="A16712" s="8" t="str">
        <f>"Proceedings of the 5th International Conference on Behaviour of Steel Structures in Seismic Areas - Stessa 2006"</f>
        <v>Proceedings of the 5th International Conference on Behaviour of Steel Structures in Seismic Areas - Stessa 2006</v>
      </c>
      <c r="B16712" s="8" t="str">
        <f>"9780415408240"</f>
        <v>9780415408240</v>
      </c>
      <c r="C16712" s="8" t="s">
        <v>1520</v>
      </c>
    </row>
    <row r="16713" spans="1:3" x14ac:dyDescent="0.25">
      <c r="A16713" s="8" t="str">
        <f>"Proceedings of the 5th International Conference on Bridge Management"</f>
        <v>Proceedings of the 5th International Conference on Bridge Management</v>
      </c>
      <c r="B16713" s="8" t="str">
        <f>"9780727733542"</f>
        <v>9780727733542</v>
      </c>
      <c r="C16713" s="8" t="s">
        <v>74</v>
      </c>
    </row>
    <row r="16714" spans="1:3" x14ac:dyDescent="0.25">
      <c r="A16714" s="8" t="str">
        <f>"Proceedings of the 5th International Conference on Communications, Computers and Applications, MIC-CCA 2012"</f>
        <v>Proceedings of the 5th International Conference on Communications, Computers and Applications, MIC-CCA 2012</v>
      </c>
      <c r="B16714" s="8" t="str">
        <f>"9781938302077"</f>
        <v>9781938302077</v>
      </c>
      <c r="C16714" s="8" t="s">
        <v>9</v>
      </c>
    </row>
    <row r="16715" spans="1:3" x14ac:dyDescent="0.25">
      <c r="A16715" s="8" t="str">
        <f>"Proceedings of the 5th International Conference on Composite Construction in Steel and Concrete V"</f>
        <v>Proceedings of the 5th International Conference on Composite Construction in Steel and Concrete V</v>
      </c>
      <c r="B16715" s="8" t="str">
        <f>"9780784408261"</f>
        <v>9780784408261</v>
      </c>
      <c r="C16715" s="8" t="s">
        <v>111</v>
      </c>
    </row>
    <row r="16716" spans="1:3" x14ac:dyDescent="0.25">
      <c r="A16716" s="8" t="str">
        <f>"Proceedings of the 5th International Conference on Confluence 2014: The Next Generation Information Technology Summit"</f>
        <v>Proceedings of the 5th International Conference on Confluence 2014: The Next Generation Information Technology Summit</v>
      </c>
      <c r="B16716" s="8" t="str">
        <f>"9781479942367"</f>
        <v>9781479942367</v>
      </c>
      <c r="C16716" s="8" t="s">
        <v>105</v>
      </c>
    </row>
    <row r="16717" spans="1:3" x14ac:dyDescent="0.25">
      <c r="A16717" s="8" t="str">
        <f>"Proceedings of the 5th International Conference on Control and Automation, ICCA'05"</f>
        <v>Proceedings of the 5th International Conference on Control and Automation, ICCA'05</v>
      </c>
      <c r="B16717" s="8" t="str">
        <f>"9780780391383"</f>
        <v>9780780391383</v>
      </c>
      <c r="C16717" s="8" t="s">
        <v>105</v>
      </c>
    </row>
    <row r="16718" spans="1:3" x14ac:dyDescent="0.25">
      <c r="A16718" s="8" t="str">
        <f>"Proceedings of The 5th International Conference on Embedded and Ubiquitous Computing, EUC 2008"</f>
        <v>Proceedings of The 5th International Conference on Embedded and Ubiquitous Computing, EUC 2008</v>
      </c>
      <c r="B16718" s="8" t="str">
        <f>"9780769534923"</f>
        <v>9780769534923</v>
      </c>
      <c r="C16718" s="8" t="s">
        <v>9</v>
      </c>
    </row>
    <row r="16719" spans="1:3" x14ac:dyDescent="0.25">
      <c r="A16719" s="8" t="str">
        <f>"Proceedings of the 5th International Conference on Engineering Computational Technology"</f>
        <v>Proceedings of the 5th International Conference on Engineering Computational Technology</v>
      </c>
      <c r="B16719" s="8" t="str">
        <f>"9781905088096"</f>
        <v>9781905088096</v>
      </c>
      <c r="C16719" s="8" t="s">
        <v>283</v>
      </c>
    </row>
    <row r="16720" spans="1:3" x14ac:dyDescent="0.25">
      <c r="A16720" s="8" t="str">
        <f>"Proceedings of the 5th International Conference on Flavor Physics and CP Violation, FPCP 2007"</f>
        <v>Proceedings of the 5th International Conference on Flavor Physics and CP Violation, FPCP 2007</v>
      </c>
      <c r="B16720" s="8" t="str">
        <f>"-"</f>
        <v>-</v>
      </c>
      <c r="C16720" s="8" t="s">
        <v>1480</v>
      </c>
    </row>
    <row r="16721" spans="1:3" x14ac:dyDescent="0.25">
      <c r="A16721" s="8" t="str">
        <f>"Proceedings of the 5th International Conference on Frontiers of Design and Manufacturing (ICFDM'2002)"</f>
        <v>Proceedings of the 5th International Conference on Frontiers of Design and Manufacturing (ICFDM'2002)</v>
      </c>
      <c r="B16721" s="8" t="str">
        <f>"9780958069212"</f>
        <v>9780958069212</v>
      </c>
      <c r="C16721" s="8" t="s">
        <v>2226</v>
      </c>
    </row>
    <row r="16722" spans="1:3" x14ac:dyDescent="0.25">
      <c r="A16722" s="8" t="str">
        <f>"Proceedings of the 5th International Conference on Fuel Cell Science, Engineering and Technology, 2007"</f>
        <v>Proceedings of the 5th International Conference on Fuel Cell Science, Engineering and Technology, 2007</v>
      </c>
      <c r="B16722" s="8" t="str">
        <f>"9780791847961"</f>
        <v>9780791847961</v>
      </c>
      <c r="C16722" s="8" t="s">
        <v>73</v>
      </c>
    </row>
    <row r="16723" spans="1:3" x14ac:dyDescent="0.25">
      <c r="A16723" s="8" t="str">
        <f>"Proceedings of the 5th International Conference on Future Internet Technologies, CFI10"</f>
        <v>Proceedings of the 5th International Conference on Future Internet Technologies, CFI10</v>
      </c>
      <c r="B16723" s="8" t="str">
        <f>"9781450302302"</f>
        <v>9781450302302</v>
      </c>
      <c r="C16723" s="8" t="s">
        <v>21</v>
      </c>
    </row>
    <row r="16724" spans="1:3" x14ac:dyDescent="0.25">
      <c r="A16724" s="8" t="str">
        <f>"Proceedings of the 5th International Conference on Generative Programming and Component Engineering, GPCE'06"</f>
        <v>Proceedings of the 5th International Conference on Generative Programming and Component Engineering, GPCE'06</v>
      </c>
      <c r="B16724" s="8" t="str">
        <f>"9781595932372"</f>
        <v>9781595932372</v>
      </c>
      <c r="C16724" s="8" t="s">
        <v>21</v>
      </c>
    </row>
    <row r="16725" spans="1:3" x14ac:dyDescent="0.25">
      <c r="A16725" s="8" t="str">
        <f>"Proceedings of the 5th International Conference on Image and Graphics, ICIG 2009"</f>
        <v>Proceedings of the 5th International Conference on Image and Graphics, ICIG 2009</v>
      </c>
      <c r="B16725" s="8" t="str">
        <f>"9780769538839"</f>
        <v>9780769538839</v>
      </c>
      <c r="C16725" s="8" t="s">
        <v>9</v>
      </c>
    </row>
    <row r="16726" spans="1:3" x14ac:dyDescent="0.25">
      <c r="A16726" s="8" t="str">
        <f>"Proceedings of the 5th International Conference on Information Fusion, FUSION 2002"</f>
        <v>Proceedings of the 5th International Conference on Information Fusion, FUSION 2002</v>
      </c>
      <c r="B16726" s="8" t="str">
        <f>"9780972184410"</f>
        <v>9780972184410</v>
      </c>
      <c r="C16726" s="8" t="s">
        <v>9</v>
      </c>
    </row>
    <row r="16727" spans="1:3" x14ac:dyDescent="0.25">
      <c r="A16727" s="8" t="str">
        <f>"Proceedings of the 5th International Conference on Internet Technologies and Applications, ITA 2013"</f>
        <v>Proceedings of the 5th International Conference on Internet Technologies and Applications, ITA 2013</v>
      </c>
      <c r="B16727" s="8" t="str">
        <f>"9780946881819"</f>
        <v>9780946881819</v>
      </c>
      <c r="C16727" s="8" t="s">
        <v>2210</v>
      </c>
    </row>
    <row r="16728" spans="1:3" x14ac:dyDescent="0.25">
      <c r="A16728" s="8" t="str">
        <f>"Proceedings of the 5th International Conference on Leading Edge Manufacturing in 21st Century, LEM 2009"</f>
        <v>Proceedings of the 5th International Conference on Leading Edge Manufacturing in 21st Century, LEM 2009</v>
      </c>
      <c r="B16728" s="8" t="str">
        <f>"-"</f>
        <v>-</v>
      </c>
      <c r="C16728" s="8" t="s">
        <v>653</v>
      </c>
    </row>
    <row r="16729" spans="1:3" x14ac:dyDescent="0.25">
      <c r="A16729" s="8" t="str">
        <f>"Proceedings of the 5th International Conference on Management of Emergent Digital EcoSystems, MEDES 2013"</f>
        <v>Proceedings of the 5th International Conference on Management of Emergent Digital EcoSystems, MEDES 2013</v>
      </c>
      <c r="B16729" s="8" t="str">
        <f>"9781450320047"</f>
        <v>9781450320047</v>
      </c>
      <c r="C16729" s="8" t="s">
        <v>21</v>
      </c>
    </row>
    <row r="16730" spans="1:3" x14ac:dyDescent="0.25">
      <c r="A16730" s="8" t="str">
        <f>"Proceedings of the 5th International Conference on Nanochannels, Microchannels and Minichannels, ICNMM2007"</f>
        <v>Proceedings of the 5th International Conference on Nanochannels, Microchannels and Minichannels, ICNMM2007</v>
      </c>
      <c r="B16730" s="8" t="str">
        <f>"9780791842720"</f>
        <v>9780791842720</v>
      </c>
      <c r="C16730" s="8" t="s">
        <v>73</v>
      </c>
    </row>
    <row r="16731" spans="1:3" x14ac:dyDescent="0.25">
      <c r="A16731" s="8" t="str">
        <f>"Proceedings of the 5th International Conference on Networking and Services, ICNS 2009"</f>
        <v>Proceedings of the 5th International Conference on Networking and Services, ICNS 2009</v>
      </c>
      <c r="B16731" s="8" t="str">
        <f>"9780769535869"</f>
        <v>9780769535869</v>
      </c>
      <c r="C16731" s="8" t="s">
        <v>9</v>
      </c>
    </row>
    <row r="16732" spans="1:3" x14ac:dyDescent="0.25">
      <c r="A16732" s="8" t="str">
        <f>"Proceedings of the 5th International Conference on Pervasive Services, ICPS 2008"</f>
        <v>Proceedings of the 5th International Conference on Pervasive Services, ICPS 2008</v>
      </c>
      <c r="B16732" s="8" t="str">
        <f>"9781605581354"</f>
        <v>9781605581354</v>
      </c>
      <c r="C16732" s="8" t="s">
        <v>21</v>
      </c>
    </row>
    <row r="16733" spans="1:3" x14ac:dyDescent="0.25">
      <c r="A16733" s="8" t="str">
        <f>"Proceedings of the 5th International Conference on Quality, Reliability, and Maintenance, QRM 2004"</f>
        <v>Proceedings of the 5th International Conference on Quality, Reliability, and Maintenance, QRM 2004</v>
      </c>
      <c r="B16733" s="8" t="str">
        <f>"9781860584404"</f>
        <v>9781860584404</v>
      </c>
      <c r="C16733" s="8" t="s">
        <v>1645</v>
      </c>
    </row>
    <row r="16734" spans="1:3" x14ac:dyDescent="0.25">
      <c r="A16734" s="8" t="str">
        <f>"Proceedings of the 5th International Conference on Reliability of Electrical Products and Electrical Contacts, ICREPEC 2014"</f>
        <v>Proceedings of the 5th International Conference on Reliability of Electrical Products and Electrical Contacts, ICREPEC 2014</v>
      </c>
      <c r="B16734" s="8" t="str">
        <f>"9789881532329"</f>
        <v>9789881532329</v>
      </c>
      <c r="C16734" s="8" t="s">
        <v>991</v>
      </c>
    </row>
    <row r="16735" spans="1:3" x14ac:dyDescent="0.25">
      <c r="A16735" s="8" t="str">
        <f>"Proceedings of the 5th International Conference on Security of Information and Networks, SIN'12"</f>
        <v>Proceedings of the 5th International Conference on Security of Information and Networks, SIN'12</v>
      </c>
      <c r="B16735" s="8" t="str">
        <f>"9781450316682"</f>
        <v>9781450316682</v>
      </c>
      <c r="C16735" s="8" t="s">
        <v>21</v>
      </c>
    </row>
    <row r="16736" spans="1:3" x14ac:dyDescent="0.25">
      <c r="A16736" s="8" t="str">
        <f>"Proceedings of the 5th International Conference on Tangible Embedded and Embodied Interaction, TEI'11"</f>
        <v>Proceedings of the 5th International Conference on Tangible Embedded and Embodied Interaction, TEI'11</v>
      </c>
      <c r="B16736" s="8" t="str">
        <f>"9781450306287"</f>
        <v>9781450306287</v>
      </c>
      <c r="C16736" s="8" t="s">
        <v>21</v>
      </c>
    </row>
    <row r="16737" spans="1:3" x14ac:dyDescent="0.25">
      <c r="A16737" s="8" t="str">
        <f>"Proceedings of the 5th International Conference on Thermal and Mechanical Simulation and Experiments in Microelectronics and Microsystems, EuroSimE 2004"</f>
        <v>Proceedings of the 5th International Conference on Thermal and Mechanical Simulation and Experiments in Microelectronics and Microsystems, EuroSimE 2004</v>
      </c>
      <c r="B16737" s="8" t="str">
        <f>"9780780384200"</f>
        <v>9780780384200</v>
      </c>
      <c r="C16737" s="8" t="s">
        <v>105</v>
      </c>
    </row>
    <row r="16738" spans="1:3" x14ac:dyDescent="0.25">
      <c r="A16738" s="8" t="str">
        <f>"Proceedings of the 5th International Conference on Ubiquitous Information Management and Communication, ICUIMC 2011"</f>
        <v>Proceedings of the 5th International Conference on Ubiquitous Information Management and Communication, ICUIMC 2011</v>
      </c>
      <c r="B16738" s="8" t="str">
        <f>"9781450305716"</f>
        <v>9781450305716</v>
      </c>
      <c r="C16738" s="8" t="s">
        <v>21</v>
      </c>
    </row>
    <row r="16739" spans="1:3" x14ac:dyDescent="0.25">
      <c r="A16739" s="8" t="str">
        <f>"Proceedings of the 5th International Disaster and Risk Conference: Integrative Risk Management - The Role of Science, Technology and Practice, IDRC Davos 2014"</f>
        <v>Proceedings of the 5th International Disaster and Risk Conference: Integrative Risk Management - The Role of Science, Technology and Practice, IDRC Davos 2014</v>
      </c>
      <c r="B16739" s="8" t="str">
        <f>"-"</f>
        <v>-</v>
      </c>
      <c r="C16739" s="8" t="s">
        <v>2221</v>
      </c>
    </row>
    <row r="16740" spans="1:3" x14ac:dyDescent="0.25">
      <c r="A16740" s="8" t="str">
        <f>"Proceedings of the 5th International ICST Conference on Body Area Networks, BodyNets 2010"</f>
        <v>Proceedings of the 5th International ICST Conference on Body Area Networks, BodyNets 2010</v>
      </c>
      <c r="B16740" s="8" t="str">
        <f>"9781936968305"</f>
        <v>9781936968305</v>
      </c>
      <c r="C16740" s="8" t="s">
        <v>21</v>
      </c>
    </row>
    <row r="16741" spans="1:3" x14ac:dyDescent="0.25">
      <c r="A16741" s="8" t="str">
        <f>"Proceedings of the 5th International Latin American Networking Conference, LANC 2009"</f>
        <v>Proceedings of the 5th International Latin American Networking Conference, LANC 2009</v>
      </c>
      <c r="B16741" s="8" t="str">
        <f>"9781605587752"</f>
        <v>9781605587752</v>
      </c>
      <c r="C16741" s="8" t="s">
        <v>21</v>
      </c>
    </row>
    <row r="16742" spans="1:3" x14ac:dyDescent="0.25">
      <c r="A16742" s="8" t="str">
        <f>"Proceedings of the 5th International Symposium on Human Aspects of Information Security and Assurance, HAISA 2011"</f>
        <v>Proceedings of the 5th International Symposium on Human Aspects of Information Security and Assurance, HAISA 2011</v>
      </c>
      <c r="B16742" s="8" t="str">
        <f>"9781841022840"</f>
        <v>9781841022840</v>
      </c>
      <c r="C16742" s="8" t="s">
        <v>2201</v>
      </c>
    </row>
    <row r="16743" spans="1:3" x14ac:dyDescent="0.25">
      <c r="A16743" s="8" t="str">
        <f>"Proceedings of the 5th International Symposium on Information, Computer and Communications Security, ASIACCS 2010"</f>
        <v>Proceedings of the 5th International Symposium on Information, Computer and Communications Security, ASIACCS 2010</v>
      </c>
      <c r="B16743" s="8" t="str">
        <f>"9781605589367"</f>
        <v>9781605589367</v>
      </c>
      <c r="C16743" s="8" t="s">
        <v>21</v>
      </c>
    </row>
    <row r="16744" spans="1:3" x14ac:dyDescent="0.25">
      <c r="A16744" s="8" t="str">
        <f>"Proceedings of the 5th International Symposium on Modeling and Optimization in Mobile, Ad Hoc, and Wireless Networks, WiOpt 2007"</f>
        <v>Proceedings of the 5th International Symposium on Modeling and Optimization in Mobile, Ad Hoc, and Wireless Networks, WiOpt 2007</v>
      </c>
      <c r="B16744" s="8" t="str">
        <f>"9781424409617"</f>
        <v>9781424409617</v>
      </c>
      <c r="C16744" s="8" t="s">
        <v>9</v>
      </c>
    </row>
    <row r="16745" spans="1:3" x14ac:dyDescent="0.25">
      <c r="A16745" s="8" t="str">
        <f>"Proceedings of the 5th International Symposium on Wikis and Open Collaboration, WiKiSym 2009"</f>
        <v>Proceedings of the 5th International Symposium on Wikis and Open Collaboration, WiKiSym 2009</v>
      </c>
      <c r="B16745" s="8" t="str">
        <f>"9781605587301"</f>
        <v>9781605587301</v>
      </c>
      <c r="C16745" s="8" t="s">
        <v>21</v>
      </c>
    </row>
    <row r="16746" spans="1:3" x14ac:dyDescent="0.25">
      <c r="A16746" s="8" t="str">
        <f>"Proceedings of the 5th International Workshop on Chaos-Fractals Theories and Applications, IWCFTA 2012"</f>
        <v>Proceedings of the 5th International Workshop on Chaos-Fractals Theories and Applications, IWCFTA 2012</v>
      </c>
      <c r="B16746" s="8" t="str">
        <f>"9780769548357"</f>
        <v>9780769548357</v>
      </c>
      <c r="C16746" s="8" t="s">
        <v>9</v>
      </c>
    </row>
    <row r="16747" spans="1:3" x14ac:dyDescent="0.25">
      <c r="A16747" s="8" t="str">
        <f>"Proceedings of the 5th International Workshop on Cloud Data and Platforms, CloudDP 2015 - Co-located with European Conference on Computer Systems, EuroSys 2015"</f>
        <v>Proceedings of the 5th International Workshop on Cloud Data and Platforms, CloudDP 2015 - Co-located with European Conference on Computer Systems, EuroSys 2015</v>
      </c>
      <c r="B16747" s="8" t="str">
        <f>"9781450334785"</f>
        <v>9781450334785</v>
      </c>
      <c r="C16747" s="8" t="s">
        <v>1235</v>
      </c>
    </row>
    <row r="16748" spans="1:3" x14ac:dyDescent="0.25">
      <c r="A16748" s="8" t="str">
        <f>"Proceedings of the 5th International Workshop on Computational Kinematics"</f>
        <v>Proceedings of the 5th International Workshop on Computational Kinematics</v>
      </c>
      <c r="B16748" s="8" t="str">
        <f>"9783642019463"</f>
        <v>9783642019463</v>
      </c>
      <c r="C16748" s="8" t="s">
        <v>162</v>
      </c>
    </row>
    <row r="16749" spans="1:3" x14ac:dyDescent="0.25">
      <c r="A16749" s="8" t="str">
        <f>"Proceedings of the 5th International Workshop on Context-Oriented Programming, COP 2013"</f>
        <v>Proceedings of the 5th International Workshop on Context-Oriented Programming, COP 2013</v>
      </c>
      <c r="B16749" s="8" t="str">
        <f>"9781450320405"</f>
        <v>9781450320405</v>
      </c>
      <c r="C16749" s="8" t="s">
        <v>21</v>
      </c>
    </row>
    <row r="16750" spans="1:3" x14ac:dyDescent="0.25">
      <c r="A16750" s="8" t="str">
        <f>"Proceedings of the 5th International Workshop on Data Management on New Hardware, DaMoN 2009 in Conjunction with ACM SIGMOD/PODS Conference"</f>
        <v>Proceedings of the 5th International Workshop on Data Management on New Hardware, DaMoN 2009 in Conjunction with ACM SIGMOD/PODS Conference</v>
      </c>
      <c r="B16750" s="8" t="str">
        <f>"9781605587011"</f>
        <v>9781605587011</v>
      </c>
      <c r="C16750" s="8" t="s">
        <v>21</v>
      </c>
    </row>
    <row r="16751" spans="1:3" x14ac:dyDescent="0.25">
      <c r="A16751" s="8" t="str">
        <f>"Proceedings of the 5th International Workshop on Discrete Algorithms and Methods for Mobile Computing and Communications"</f>
        <v>Proceedings of the 5th International Workshop on Discrete Algorithms and Methods for Mobile Computing and Communications</v>
      </c>
      <c r="B16751" s="8" t="str">
        <f>"9781581134216"</f>
        <v>9781581134216</v>
      </c>
      <c r="C16751" s="8" t="s">
        <v>21</v>
      </c>
    </row>
    <row r="16752" spans="1:3" x14ac:dyDescent="0.25">
      <c r="A16752" s="8" t="str">
        <f>"Proceedings of the 5th International Workshop on Enhanced Web Service Technologies, WEWST 2010"</f>
        <v>Proceedings of the 5th International Workshop on Enhanced Web Service Technologies, WEWST 2010</v>
      </c>
      <c r="B16752" s="8" t="str">
        <f>"9781450302388"</f>
        <v>9781450302388</v>
      </c>
      <c r="C16752" s="8" t="s">
        <v>21</v>
      </c>
    </row>
    <row r="16753" spans="1:3" x14ac:dyDescent="0.25">
      <c r="A16753" s="8" t="str">
        <f>"Proceedings of the 5th International Workshop on Feedback Control Implementation and Design in Computing Systems and Networks, FeBiD '10"</f>
        <v>Proceedings of the 5th International Workshop on Feedback Control Implementation and Design in Computing Systems and Networks, FeBiD '10</v>
      </c>
      <c r="B16753" s="8" t="str">
        <f>"9781450300773"</f>
        <v>9781450300773</v>
      </c>
      <c r="C16753" s="8" t="s">
        <v>21</v>
      </c>
    </row>
    <row r="16754" spans="1:3" x14ac:dyDescent="0.25">
      <c r="A16754" s="8" t="str">
        <f>"Proceedings of the 5th International Workshop on Intelligent Solutions in Embedded Systems, WISES 07"</f>
        <v>Proceedings of the 5th International Workshop on Intelligent Solutions in Embedded Systems, WISES 07</v>
      </c>
      <c r="B16754" s="8" t="str">
        <f>"9788489315471"</f>
        <v>9788489315471</v>
      </c>
      <c r="C16754" s="8" t="s">
        <v>9</v>
      </c>
    </row>
    <row r="16755" spans="1:3" x14ac:dyDescent="0.25">
      <c r="A16755" s="8" t="str">
        <f>"Proceedings of the 5th International Workshop on Java Technologies for Real-Time and Embedded Systems, JTRES 2007"</f>
        <v>Proceedings of the 5th International Workshop on Java Technologies for Real-Time and Embedded Systems, JTRES 2007</v>
      </c>
      <c r="B16755" s="8" t="str">
        <f>"-"</f>
        <v>-</v>
      </c>
      <c r="C16755" s="8" t="s">
        <v>21</v>
      </c>
    </row>
    <row r="16756" spans="1:3" x14ac:dyDescent="0.25">
      <c r="A16756" s="8" t="str">
        <f>"Proceedings of the 5th International Workshop on Middleware for Pervasive and Ad-hoc Computing, MPAC 2007 held at the ACM/IFIP/USENIX 8th International Middleware Conference"</f>
        <v>Proceedings of the 5th International Workshop on Middleware for Pervasive and Ad-hoc Computing, MPAC 2007 held at the ACM/IFIP/USENIX 8th International Middleware Conference</v>
      </c>
      <c r="B16756" s="8" t="str">
        <f>"9781595939302"</f>
        <v>9781595939302</v>
      </c>
      <c r="C16756" s="8" t="s">
        <v>21</v>
      </c>
    </row>
    <row r="16757" spans="1:3" x14ac:dyDescent="0.25">
      <c r="A16757" s="8" t="str">
        <f>"Proceedings of the 5th International Workshop on Model-Based Methodologies for Pervasive and Embedded Software, MOMPES 2008"</f>
        <v>Proceedings of the 5th International Workshop on Model-Based Methodologies for Pervasive and Embedded Software, MOMPES 2008</v>
      </c>
      <c r="B16757" s="8" t="str">
        <f>"9780769531045"</f>
        <v>9780769531045</v>
      </c>
      <c r="C16757" s="8" t="s">
        <v>9</v>
      </c>
    </row>
    <row r="16758" spans="1:3" x14ac:dyDescent="0.25">
      <c r="A16758" s="8" t="str">
        <f>"Proceedings of the 5th International Workshop on Modelling, Simulation, Verification and Validation of Enterprise Information Systems - MSVVEIS 2007; In Conjunction with ICEIS 2007"</f>
        <v>Proceedings of the 5th International Workshop on Modelling, Simulation, Verification and Validation of Enterprise Information Systems - MSVVEIS 2007; In Conjunction with ICEIS 2007</v>
      </c>
      <c r="B16758" s="8" t="str">
        <f>"9789728865955"</f>
        <v>9789728865955</v>
      </c>
      <c r="C16758" s="8" t="s">
        <v>1553</v>
      </c>
    </row>
    <row r="16759" spans="1:3" x14ac:dyDescent="0.25">
      <c r="A16759" s="8" t="str">
        <f>"Proceedings of the 5th International Workshop on Parallel Tools for High Performance Computing 2011"</f>
        <v>Proceedings of the 5th International Workshop on Parallel Tools for High Performance Computing 2011</v>
      </c>
      <c r="B16759" s="8" t="str">
        <f>"9783642314759"</f>
        <v>9783642314759</v>
      </c>
      <c r="C16759" s="8" t="s">
        <v>42</v>
      </c>
    </row>
    <row r="16760" spans="1:3" x14ac:dyDescent="0.25">
      <c r="A16760" s="8" t="str">
        <f>"Proceedings of the 5th International Workshop on Pattern Recognition in Information Systems, PRIS 2005, in Conjunction with ICEIS 2005"</f>
        <v>Proceedings of the 5th International Workshop on Pattern Recognition in Information Systems, PRIS 2005, in Conjunction with ICEIS 2005</v>
      </c>
      <c r="B16760" s="8" t="str">
        <f>"9789728865283"</f>
        <v>9789728865283</v>
      </c>
      <c r="C16760" s="8" t="s">
        <v>1680</v>
      </c>
    </row>
    <row r="16761" spans="1:3" x14ac:dyDescent="0.25">
      <c r="A16761" s="8" t="str">
        <f>"Proceedings of the 5th International Workshop on Reconfigurable Communication-Centric Systems on Chip 2010, ReCoSoC 2010"</f>
        <v>Proceedings of the 5th International Workshop on Reconfigurable Communication-Centric Systems on Chip 2010, ReCoSoC 2010</v>
      </c>
      <c r="B16761" s="8" t="str">
        <f>"9783866445154"</f>
        <v>9783866445154</v>
      </c>
      <c r="C16761" s="8" t="s">
        <v>1510</v>
      </c>
    </row>
    <row r="16762" spans="1:3" x14ac:dyDescent="0.25">
      <c r="A16762" s="8" t="str">
        <f>"Proceedings of the 5th International Workshop on Security in Information Systems - WOSIS 2007; In Conjunction with ICEIS 2007"</f>
        <v>Proceedings of the 5th International Workshop on Security in Information Systems - WOSIS 2007; In Conjunction with ICEIS 2007</v>
      </c>
      <c r="B16762" s="8" t="str">
        <f>"9789728865962"</f>
        <v>9789728865962</v>
      </c>
      <c r="C16762" s="8" t="s">
        <v>1553</v>
      </c>
    </row>
    <row r="16763" spans="1:3" x14ac:dyDescent="0.25">
      <c r="A16763" s="8" t="str">
        <f>"Proceedings of the 5th International Workshop on Signal Design and Its Applications in Communications, IWSDA'11"</f>
        <v>Proceedings of the 5th International Workshop on Signal Design and Its Applications in Communications, IWSDA'11</v>
      </c>
      <c r="B16763" s="8" t="str">
        <f>"9781612840468"</f>
        <v>9781612840468</v>
      </c>
      <c r="C16763" s="8" t="s">
        <v>9</v>
      </c>
    </row>
    <row r="16764" spans="1:3" x14ac:dyDescent="0.25">
      <c r="A16764" s="8" t="str">
        <f>"Proceedings of the 5th International Workshop on Testing Database Systems, DBTest'12"</f>
        <v>Proceedings of the 5th International Workshop on Testing Database Systems, DBTest'12</v>
      </c>
      <c r="B16764" s="8" t="str">
        <f>"9781450314299"</f>
        <v>9781450314299</v>
      </c>
      <c r="C16764" s="8" t="s">
        <v>21</v>
      </c>
    </row>
    <row r="16765" spans="1:3" x14ac:dyDescent="0.25">
      <c r="A16765" s="8" t="str">
        <f>"Proceedings of the 5th International Workshop on Wireless Information Systems, WIS 2006, in Conjunction with ICEIS 2006"</f>
        <v>Proceedings of the 5th International Workshop on Wireless Information Systems, WIS 2006, in Conjunction with ICEIS 2006</v>
      </c>
      <c r="B16765" s="8" t="str">
        <f>"9789728865481"</f>
        <v>9789728865481</v>
      </c>
      <c r="C16765" s="8" t="s">
        <v>1680</v>
      </c>
    </row>
    <row r="16766" spans="1:3" x14ac:dyDescent="0.25">
      <c r="A16766" s="8" t="str">
        <f>"Proceedings of the 5th Meeting on CPT and Lorentz Symmetry, CPT 2010"</f>
        <v>Proceedings of the 5th Meeting on CPT and Lorentz Symmetry, CPT 2010</v>
      </c>
      <c r="B16766" s="8" t="str">
        <f>"9789814327671"</f>
        <v>9789814327671</v>
      </c>
      <c r="C16766" s="8" t="s">
        <v>157</v>
      </c>
    </row>
    <row r="16767" spans="1:3" x14ac:dyDescent="0.25">
      <c r="A16767" s="8" t="str">
        <f>"Proceedings of the 5th Middleware Doctoral Symposium, MDS'08, Co-located with Middleware 2008"</f>
        <v>Proceedings of the 5th Middleware Doctoral Symposium, MDS'08, Co-located with Middleware 2008</v>
      </c>
      <c r="B16767" s="8" t="str">
        <f>"9781605583617"</f>
        <v>9781605583617</v>
      </c>
      <c r="C16767" s="8" t="s">
        <v>21</v>
      </c>
    </row>
    <row r="16768" spans="1:3" x14ac:dyDescent="0.25">
      <c r="A16768" s="8" t="str">
        <f>"Proceedings of the 5th Patras Workshop on Axions, WIMPs and WISPs, PATRAS 2009"</f>
        <v>Proceedings of the 5th Patras Workshop on Axions, WIMPs and WISPs, PATRAS 2009</v>
      </c>
      <c r="B16768" s="8" t="str">
        <f>"9783935702379"</f>
        <v>9783935702379</v>
      </c>
      <c r="C16768" s="8" t="s">
        <v>1863</v>
      </c>
    </row>
    <row r="16769" spans="1:3" x14ac:dyDescent="0.25">
      <c r="A16769" s="8" t="str">
        <f>"Proceedings of the 5th Seminar on Neural Network Applications in Electrical Engineering, NEUREL 2000"</f>
        <v>Proceedings of the 5th Seminar on Neural Network Applications in Electrical Engineering, NEUREL 2000</v>
      </c>
      <c r="B16769" s="8" t="str">
        <f>"9780780355125"</f>
        <v>9780780355125</v>
      </c>
      <c r="C16769" s="8" t="s">
        <v>105</v>
      </c>
    </row>
    <row r="16770" spans="1:3" x14ac:dyDescent="0.25">
      <c r="A16770" s="8" t="str">
        <f>"Proceedings of the 5th Workshop on Embedded Systems Security, WESS '10"</f>
        <v>Proceedings of the 5th Workshop on Embedded Systems Security, WESS '10</v>
      </c>
      <c r="B16770" s="8" t="str">
        <f>"9781450300780"</f>
        <v>9781450300780</v>
      </c>
      <c r="C16770" s="8" t="s">
        <v>21</v>
      </c>
    </row>
    <row r="16771" spans="1:3" x14ac:dyDescent="0.25">
      <c r="A16771" s="8" t="str">
        <f>"Proceedings of the 5th Workshop on Mapping of Applications to MPSoCs and 15th International Workshop on Software and Compilers for Embedded Systems, Map2MPSoC/SCOPES 2012"</f>
        <v>Proceedings of the 5th Workshop on Mapping of Applications to MPSoCs and 15th International Workshop on Software and Compilers for Embedded Systems, Map2MPSoC/SCOPES 2012</v>
      </c>
      <c r="B16771" s="8" t="str">
        <f>"9781450313360"</f>
        <v>9781450313360</v>
      </c>
      <c r="C16771" s="8" t="s">
        <v>21</v>
      </c>
    </row>
    <row r="16772" spans="1:3" x14ac:dyDescent="0.25">
      <c r="A16772" s="8" t="str">
        <f>"Proceedings of the 5th Workshop on Middleware for Service Oriented Computing, MW4SOC 2010, Held at the ACM/IFIP/USENIX International Middleware Conference"</f>
        <v>Proceedings of the 5th Workshop on Middleware for Service Oriented Computing, MW4SOC 2010, Held at the ACM/IFIP/USENIX International Middleware Conference</v>
      </c>
      <c r="B16772" s="8" t="str">
        <f>"9781450304528"</f>
        <v>9781450304528</v>
      </c>
      <c r="C16772" s="8" t="s">
        <v>21</v>
      </c>
    </row>
    <row r="16773" spans="1:3" x14ac:dyDescent="0.25">
      <c r="A16773" s="8" t="str">
        <f>"Proceedings of the 5th Workshop on Programming Languages and Operating Systems, PLOS 2009, in Conjunction with the 22nd ACM Symposium on Operating Systems Principles, SOSP 2009"</f>
        <v>Proceedings of the 5th Workshop on Programming Languages and Operating Systems, PLOS 2009, in Conjunction with the 22nd ACM Symposium on Operating Systems Principles, SOSP 2009</v>
      </c>
      <c r="B16773" s="8" t="str">
        <f>"9781605588445"</f>
        <v>9781605588445</v>
      </c>
      <c r="C16773" s="8" t="s">
        <v>21</v>
      </c>
    </row>
    <row r="16774" spans="1:3" x14ac:dyDescent="0.25">
      <c r="A16774" s="8" t="str">
        <f>"Proceedings of the 5th Workshop on Semantic Web Information Management, SWIM 2013"</f>
        <v>Proceedings of the 5th Workshop on Semantic Web Information Management, SWIM 2013</v>
      </c>
      <c r="B16774" s="8" t="str">
        <f>"9781450321945"</f>
        <v>9781450321945</v>
      </c>
      <c r="C16774" s="8" t="s">
        <v>21</v>
      </c>
    </row>
    <row r="16775" spans="1:3" x14ac:dyDescent="0.25">
      <c r="A16775" s="8" t="str">
        <f>"Proceedings of the 5th Workshop on Social Network Systems, SNS'12"</f>
        <v>Proceedings of the 5th Workshop on Social Network Systems, SNS'12</v>
      </c>
      <c r="B16775" s="8" t="str">
        <f>"9781450311649"</f>
        <v>9781450311649</v>
      </c>
      <c r="C16775" s="8" t="s">
        <v>21</v>
      </c>
    </row>
    <row r="16776" spans="1:3" x14ac:dyDescent="0.25">
      <c r="A16776" s="8" t="str">
        <f>"Proceedings of the 5th Workshop on Software Engineering Properties of Languages and Aspect Technologies, SPLAT 2007, Held at the 6th International Conference on Aspect-Oriented Software Development"</f>
        <v>Proceedings of the 5th Workshop on Software Engineering Properties of Languages and Aspect Technologies, SPLAT 2007, Held at the 6th International Conference on Aspect-Oriented Software Development</v>
      </c>
      <c r="B16776" s="8" t="str">
        <f>"-"</f>
        <v>-</v>
      </c>
      <c r="C16776" s="8" t="s">
        <v>21</v>
      </c>
    </row>
    <row r="16777" spans="1:3" x14ac:dyDescent="0.25">
      <c r="A16777" s="8" t="str">
        <f>"Proceedings of the 5th WSEAS International Conference on Remote Sensing, REMOTE '09"</f>
        <v>Proceedings of the 5th WSEAS International Conference on Remote Sensing, REMOTE '09</v>
      </c>
      <c r="B16777" s="8" t="str">
        <f>"9789604741298"</f>
        <v>9789604741298</v>
      </c>
      <c r="C16777" s="8" t="s">
        <v>553</v>
      </c>
    </row>
    <row r="16778" spans="1:3" x14ac:dyDescent="0.25">
      <c r="A16778" s="8" t="str">
        <f>"Proceedings of the 6th AAAI Conference on Artificial Intelligence and Interactive Digital Entertainment, AIIDE 2010"</f>
        <v>Proceedings of the 6th AAAI Conference on Artificial Intelligence and Interactive Digital Entertainment, AIIDE 2010</v>
      </c>
      <c r="B16778" s="8" t="str">
        <f>"9781577354789"</f>
        <v>9781577354789</v>
      </c>
      <c r="C16778" s="8" t="s">
        <v>1257</v>
      </c>
    </row>
    <row r="16779" spans="1:3" x14ac:dyDescent="0.25">
      <c r="A16779" s="8" t="str">
        <f>"Proceedings of the 6th AAAPG International Conference - Petroleum Geochemistry and Exploration in the Afro-Asian Region"</f>
        <v>Proceedings of the 6th AAAPG International Conference - Petroleum Geochemistry and Exploration in the Afro-Asian Region</v>
      </c>
      <c r="B16779" s="8" t="str">
        <f>"9780415440837"</f>
        <v>9780415440837</v>
      </c>
      <c r="C16779" s="8" t="s">
        <v>1520</v>
      </c>
    </row>
    <row r="16780" spans="1:3" x14ac:dyDescent="0.25">
      <c r="A16780" s="8" t="str">
        <f>"Proceedings of the 6th ACM Conference on Computing Frontiers, CF 2009"</f>
        <v>Proceedings of the 6th ACM Conference on Computing Frontiers, CF 2009</v>
      </c>
      <c r="B16780" s="8" t="str">
        <f>"9781605584133"</f>
        <v>9781605584133</v>
      </c>
      <c r="C16780" s="8" t="s">
        <v>21</v>
      </c>
    </row>
    <row r="16781" spans="1:3" x14ac:dyDescent="0.25">
      <c r="A16781" s="8" t="str">
        <f>"Proceedings of the 6th ACM International Conference on Distributed Event-Based Systems, DEBS'12"</f>
        <v>Proceedings of the 6th ACM International Conference on Distributed Event-Based Systems, DEBS'12</v>
      </c>
      <c r="B16781" s="8" t="str">
        <f>"9781450313155"</f>
        <v>9781450313155</v>
      </c>
      <c r="C16781" s="8" t="s">
        <v>21</v>
      </c>
    </row>
    <row r="16782" spans="1:3" x14ac:dyDescent="0.25">
      <c r="A16782" s="8" t="str">
        <f>"Proceedings of the 6th ACM International Conference on Image and Video Retrieval, CIVR 2007"</f>
        <v>Proceedings of the 6th ACM International Conference on Image and Video Retrieval, CIVR 2007</v>
      </c>
      <c r="B16782" s="8" t="str">
        <f>"9781595937339"</f>
        <v>9781595937339</v>
      </c>
      <c r="C16782" s="8" t="s">
        <v>21</v>
      </c>
    </row>
    <row r="16783" spans="1:3" x14ac:dyDescent="0.25">
      <c r="A16783" s="8" t="str">
        <f>"Proceedings of the 6th ACM International Workshop on Massively Multiuser Virtual Environments, MMVE 2014"</f>
        <v>Proceedings of the 6th ACM International Workshop on Massively Multiuser Virtual Environments, MMVE 2014</v>
      </c>
      <c r="B16783" s="8" t="str">
        <f>"9781450327084"</f>
        <v>9781450327084</v>
      </c>
      <c r="C16783" s="8" t="s">
        <v>21</v>
      </c>
    </row>
    <row r="16784" spans="1:3" x14ac:dyDescent="0.25">
      <c r="A16784" s="8" t="str">
        <f>"Proceedings of the 6th ACM International Workshop on Underwater Networks, WUWNet'11"</f>
        <v>Proceedings of the 6th ACM International Workshop on Underwater Networks, WUWNet'11</v>
      </c>
      <c r="B16784" s="8" t="str">
        <f>"9781450311519"</f>
        <v>9781450311519</v>
      </c>
      <c r="C16784" s="8" t="s">
        <v>21</v>
      </c>
    </row>
    <row r="16785" spans="1:3" x14ac:dyDescent="0.25">
      <c r="A16785" s="8" t="str">
        <f>"Proceedings of the 6th ACM Mobile Video Workshop, MoVid 2014"</f>
        <v>Proceedings of the 6th ACM Mobile Video Workshop, MoVid 2014</v>
      </c>
      <c r="B16785" s="8" t="str">
        <f>"9781450327077"</f>
        <v>9781450327077</v>
      </c>
      <c r="C16785" s="8" t="s">
        <v>21</v>
      </c>
    </row>
    <row r="16786" spans="1:3" x14ac:dyDescent="0.25">
      <c r="A16786" s="8" t="str">
        <f>"Proceedings of the 6th ACM Multimedia Systems Conference, MMSys 2015"</f>
        <v>Proceedings of the 6th ACM Multimedia Systems Conference, MMSys 2015</v>
      </c>
      <c r="B16786" s="8" t="str">
        <f>"9781450333511"</f>
        <v>9781450333511</v>
      </c>
      <c r="C16786" s="8" t="s">
        <v>1235</v>
      </c>
    </row>
    <row r="16787" spans="1:3" x14ac:dyDescent="0.25">
      <c r="A16787" s="8" t="str">
        <f>"Proceedings of the 6th ACM SIGCOMM Workshop on Network and System Support for Games, NetGames '07"</f>
        <v>Proceedings of the 6th ACM SIGCOMM Workshop on Network and System Support for Games, NetGames '07</v>
      </c>
      <c r="B16787" s="8" t="str">
        <f>"9780980446005"</f>
        <v>9780980446005</v>
      </c>
      <c r="C16787" s="8" t="s">
        <v>21</v>
      </c>
    </row>
    <row r="16788" spans="1:3" x14ac:dyDescent="0.25">
      <c r="A16788" s="8" t="str">
        <f>"Proceedings of the 6th ACM SIGSPATIAL International Workshop on Location-Based Social Networks, LBSN 2013 - Held in Conjunction with the 21st ACM SIGSPATIAL GIS 2013"</f>
        <v>Proceedings of the 6th ACM SIGSPATIAL International Workshop on Location-Based Social Networks, LBSN 2013 - Held in Conjunction with the 21st ACM SIGSPATIAL GIS 2013</v>
      </c>
      <c r="B16788" s="8" t="str">
        <f>"9781450325332"</f>
        <v>9781450325332</v>
      </c>
      <c r="C16788" s="8" t="s">
        <v>21</v>
      </c>
    </row>
    <row r="16789" spans="1:3" x14ac:dyDescent="0.25">
      <c r="A16789" s="8" t="str">
        <f>"Proceedings of the 6th Andean Region International Conference, Andescon 2012"</f>
        <v>Proceedings of the 6th Andean Region International Conference, Andescon 2012</v>
      </c>
      <c r="B16789" s="8" t="str">
        <f>"9780769548821"</f>
        <v>9780769548821</v>
      </c>
      <c r="C16789" s="8" t="s">
        <v>9</v>
      </c>
    </row>
    <row r="16790" spans="1:3" x14ac:dyDescent="0.25">
      <c r="A16790" s="8" t="str">
        <f>"Proceedings of the 6th Annual Communication Networks and Services Research Conference, CNSR 2008"</f>
        <v>Proceedings of the 6th Annual Communication Networks and Services Research Conference, CNSR 2008</v>
      </c>
      <c r="B16790" s="8" t="str">
        <f>"9780769531359"</f>
        <v>9780769531359</v>
      </c>
      <c r="C16790" s="8" t="s">
        <v>9</v>
      </c>
    </row>
    <row r="16791" spans="1:3" x14ac:dyDescent="0.25">
      <c r="A16791" s="8" t="str">
        <f>"Proceedings of the 6th Annual Symposium on Combinatorial Search, SoCS 2013"</f>
        <v>Proceedings of the 6th Annual Symposium on Combinatorial Search, SoCS 2013</v>
      </c>
      <c r="B16791" s="8" t="str">
        <f>"-"</f>
        <v>-</v>
      </c>
      <c r="C16791" s="8" t="s">
        <v>956</v>
      </c>
    </row>
    <row r="16792" spans="1:3" x14ac:dyDescent="0.25">
      <c r="A16792" s="8" t="str">
        <f>"Proceedings of the 6th Annual Workshop on Domain-Specific Aspect Languages, DSAL 2011"</f>
        <v>Proceedings of the 6th Annual Workshop on Domain-Specific Aspect Languages, DSAL 2011</v>
      </c>
      <c r="B16792" s="8" t="str">
        <f>"9781450306485"</f>
        <v>9781450306485</v>
      </c>
      <c r="C16792" s="8" t="s">
        <v>21</v>
      </c>
    </row>
    <row r="16793" spans="1:3" x14ac:dyDescent="0.25">
      <c r="A16793" s="8" t="str">
        <f>"Proceedings of the 6th Australasian Conference on Interactive Entertainment, IE 2009"</f>
        <v>Proceedings of the 6th Australasian Conference on Interactive Entertainment, IE 2009</v>
      </c>
      <c r="B16793" s="8" t="str">
        <f>"9781450300100"</f>
        <v>9781450300100</v>
      </c>
      <c r="C16793" s="8" t="s">
        <v>21</v>
      </c>
    </row>
    <row r="16794" spans="1:3" x14ac:dyDescent="0.25">
      <c r="A16794" s="8" t="str">
        <f>"Proceedings of the 6th Australian Digital Forensics Conference"</f>
        <v>Proceedings of the 6th Australian Digital Forensics Conference</v>
      </c>
      <c r="B16794" s="8" t="str">
        <f>"9780729806664"</f>
        <v>9780729806664</v>
      </c>
      <c r="C16794" s="8" t="s">
        <v>2227</v>
      </c>
    </row>
    <row r="16795" spans="1:3" x14ac:dyDescent="0.25">
      <c r="A16795" s="8" t="str">
        <f>"Proceedings of the 6th Conference on Information Technology Education, SIGITE 2005"</f>
        <v>Proceedings of the 6th Conference on Information Technology Education, SIGITE 2005</v>
      </c>
      <c r="B16795" s="8" t="str">
        <f>"9781595932525"</f>
        <v>9781595932525</v>
      </c>
      <c r="C16795" s="8" t="s">
        <v>21</v>
      </c>
    </row>
    <row r="16796" spans="1:3" x14ac:dyDescent="0.25">
      <c r="A16796" s="8" t="str">
        <f>"Proceedings of the 6th Conference on the Mechanical Behavior of Salt 'SALTMECH6' - The Mechanical Behavior of Salt - Understanding of THMC Processes in Salt"</f>
        <v>Proceedings of the 6th Conference on the Mechanical Behavior of Salt 'SALTMECH6' - The Mechanical Behavior of Salt - Understanding of THMC Processes in Salt</v>
      </c>
      <c r="B16796" s="8" t="str">
        <f>"9780415443982"</f>
        <v>9780415443982</v>
      </c>
      <c r="C16796" s="8" t="s">
        <v>1520</v>
      </c>
    </row>
    <row r="16797" spans="1:3" x14ac:dyDescent="0.25">
      <c r="A16797" s="8" t="str">
        <f>"Proceedings of the 6th Doctoral Consortium on Enterprise Information Systems, DCEIS 2008 - In Conjunction with ICEIS 2008"</f>
        <v>Proceedings of the 6th Doctoral Consortium on Enterprise Information Systems, DCEIS 2008 - In Conjunction with ICEIS 2008</v>
      </c>
      <c r="B16797" s="8" t="str">
        <f>"9789898111418"</f>
        <v>9789898111418</v>
      </c>
      <c r="C16797" s="8" t="s">
        <v>1553</v>
      </c>
    </row>
    <row r="16798" spans="1:3" x14ac:dyDescent="0.25">
      <c r="A16798" s="8" t="str">
        <f>"Proceedings of the 6th Euro American Conference on Telematics and Information Systems, EATIS 2012"</f>
        <v>Proceedings of the 6th Euro American Conference on Telematics and Information Systems, EATIS 2012</v>
      </c>
      <c r="B16798" s="8" t="str">
        <f>"9781450310123"</f>
        <v>9781450310123</v>
      </c>
      <c r="C16798" s="8" t="s">
        <v>9</v>
      </c>
    </row>
    <row r="16799" spans="1:3" x14ac:dyDescent="0.25">
      <c r="A16799" s="8" t="str">
        <f>"Proceedings of the 6th European Conference on Additives and Colors"</f>
        <v>Proceedings of the 6th European Conference on Additives and Colors</v>
      </c>
      <c r="B16799" s="8" t="str">
        <f>"-"</f>
        <v>-</v>
      </c>
      <c r="C16799" s="8" t="s">
        <v>132</v>
      </c>
    </row>
    <row r="16800" spans="1:3" x14ac:dyDescent="0.25">
      <c r="A16800" s="8" t="str">
        <f>"Proceedings of the 6th European Conference on Numerical Methods in Geotechnical Engineering - Numerical Methods in Geotechnical Engineering"</f>
        <v>Proceedings of the 6th European Conference on Numerical Methods in Geotechnical Engineering - Numerical Methods in Geotechnical Engineering</v>
      </c>
      <c r="B16800" s="8" t="str">
        <f>"9780415408226"</f>
        <v>9780415408226</v>
      </c>
      <c r="C16800" s="8" t="s">
        <v>1520</v>
      </c>
    </row>
    <row r="16801" spans="1:3" x14ac:dyDescent="0.25">
      <c r="A16801" s="8" t="str">
        <f>"Proceedings of the 6th European Conference on Product and Process Modelling - eWork and eBusiness in Architecture, Engineering and Construction, ECPPM 2006"</f>
        <v>Proceedings of the 6th European Conference on Product and Process Modelling - eWork and eBusiness in Architecture, Engineering and Construction, ECPPM 2006</v>
      </c>
      <c r="B16801" s="8" t="str">
        <f>"9780415416221"</f>
        <v>9780415416221</v>
      </c>
      <c r="C16801" s="8" t="s">
        <v>1520</v>
      </c>
    </row>
    <row r="16802" spans="1:3" x14ac:dyDescent="0.25">
      <c r="A16802" s="8" t="str">
        <f>"Proceedings of the 6th European Conference on Product and Process Modelling - eWork and eBusiness in Architecture, Engineering and Construction, ECPPM 2006"</f>
        <v>Proceedings of the 6th European Conference on Product and Process Modelling - eWork and eBusiness in Architecture, Engineering and Construction, ECPPM 2006</v>
      </c>
      <c r="B16802" s="8" t="str">
        <f>"9780415416221"</f>
        <v>9780415416221</v>
      </c>
    </row>
    <row r="16803" spans="1:3" x14ac:dyDescent="0.25">
      <c r="A16803" s="8" t="str">
        <f>"Proceedings of the 6th European Lisp Workshop: European Conference on Object-Oriented Programming, ELW'09"</f>
        <v>Proceedings of the 6th European Lisp Workshop: European Conference on Object-Oriented Programming, ELW'09</v>
      </c>
      <c r="B16803" s="8" t="str">
        <f>"9781605585390"</f>
        <v>9781605585390</v>
      </c>
      <c r="C16803" s="8" t="s">
        <v>21</v>
      </c>
    </row>
    <row r="16804" spans="1:3" x14ac:dyDescent="0.25">
      <c r="A16804" s="8" t="str">
        <f>"Proceedings of the 6th European Workshop - Structural Health Monitoring 2012, EWSHM 2012"</f>
        <v>Proceedings of the 6th European Workshop - Structural Health Monitoring 2012, EWSHM 2012</v>
      </c>
      <c r="B16804" s="8" t="str">
        <f>"9783940283412"</f>
        <v>9783940283412</v>
      </c>
      <c r="C16804" s="8" t="s">
        <v>2228</v>
      </c>
    </row>
    <row r="16805" spans="1:3" x14ac:dyDescent="0.25">
      <c r="A16805" s="8" t="str">
        <f>"Proceedings of the 6th European Workshop on Probabilistic Graphical Models, PGM 2012"</f>
        <v>Proceedings of the 6th European Workshop on Probabilistic Graphical Models, PGM 2012</v>
      </c>
      <c r="B16805" s="8" t="str">
        <f>"9788415536574"</f>
        <v>9788415536574</v>
      </c>
      <c r="C16805" s="8" t="s">
        <v>2229</v>
      </c>
    </row>
    <row r="16806" spans="1:3" x14ac:dyDescent="0.25">
      <c r="A16806" s="8" t="str">
        <f>"Proceedings of the 6th IASTED Asian Conference on Power and Energy Systems, AsiaPES 2013"</f>
        <v>Proceedings of the 6th IASTED Asian Conference on Power and Energy Systems, AsiaPES 2013</v>
      </c>
      <c r="B16806" s="8" t="str">
        <f>"9780889869455"</f>
        <v>9780889869455</v>
      </c>
      <c r="C16806" s="8" t="s">
        <v>305</v>
      </c>
    </row>
    <row r="16807" spans="1:3" x14ac:dyDescent="0.25">
      <c r="A16807" s="8" t="str">
        <f>"Proceedings of the 6th IASTED International Conference on Advances in Computer Science and Engineering, ACSE 2010"</f>
        <v>Proceedings of the 6th IASTED International Conference on Advances in Computer Science and Engineering, ACSE 2010</v>
      </c>
      <c r="B16807" s="8" t="str">
        <f>"9780889868311"</f>
        <v>9780889868311</v>
      </c>
      <c r="C16807" s="8" t="s">
        <v>305</v>
      </c>
    </row>
    <row r="16808" spans="1:3" x14ac:dyDescent="0.25">
      <c r="A16808" s="8" t="str">
        <f>"Proceedings of the 6th IASTED International Conference on Antennas, Radar, and Wave Propagation, ARP 2009"</f>
        <v>Proceedings of the 6th IASTED International Conference on Antennas, Radar, and Wave Propagation, ARP 2009</v>
      </c>
      <c r="B16808" s="8" t="str">
        <f>"9780889867956"</f>
        <v>9780889867956</v>
      </c>
      <c r="C16808" s="8" t="s">
        <v>305</v>
      </c>
    </row>
    <row r="16809" spans="1:3" x14ac:dyDescent="0.25">
      <c r="A16809" s="8" t="str">
        <f>"Proceedings of the 6th IASTED International Conference on Biomechanics, BioMech 2011"</f>
        <v>Proceedings of the 6th IASTED International Conference on Biomechanics, BioMech 2011</v>
      </c>
      <c r="B16809" s="8" t="str">
        <f>"9780889869035"</f>
        <v>9780889869035</v>
      </c>
      <c r="C16809" s="8" t="s">
        <v>305</v>
      </c>
    </row>
    <row r="16810" spans="1:3" x14ac:dyDescent="0.25">
      <c r="A16810" s="8" t="str">
        <f>"Proceedings of the 6th IASTED International Conference on Biomedical Engineering, BioMED 2008"</f>
        <v>Proceedings of the 6th IASTED International Conference on Biomedical Engineering, BioMED 2008</v>
      </c>
      <c r="B16810" s="8" t="str">
        <f>"9780889867215"</f>
        <v>9780889867215</v>
      </c>
      <c r="C16810" s="8" t="s">
        <v>305</v>
      </c>
    </row>
    <row r="16811" spans="1:3" x14ac:dyDescent="0.25">
      <c r="A16811" s="8" t="str">
        <f>"Proceedings of the 6th IASTED International Conference on Communication Systems and Networks, CSN 2007"</f>
        <v>Proceedings of the 6th IASTED International Conference on Communication Systems and Networks, CSN 2007</v>
      </c>
      <c r="B16811" s="8" t="str">
        <f>"9780889866959"</f>
        <v>9780889866959</v>
      </c>
      <c r="C16811" s="8" t="s">
        <v>305</v>
      </c>
    </row>
    <row r="16812" spans="1:3" x14ac:dyDescent="0.25">
      <c r="A16812" s="8" t="str">
        <f>"Proceedings of the 6th IASTED International Conference on Computational Intelligence and Bioinformatics, CIB 2011"</f>
        <v>Proceedings of the 6th IASTED International Conference on Computational Intelligence and Bioinformatics, CIB 2011</v>
      </c>
      <c r="B16812" s="8" t="str">
        <f>"9780889869042"</f>
        <v>9780889869042</v>
      </c>
      <c r="C16812" s="8" t="s">
        <v>305</v>
      </c>
    </row>
    <row r="16813" spans="1:3" x14ac:dyDescent="0.25">
      <c r="A16813" s="8" t="str">
        <f>"Proceedings of the 6th IASTED International Conference on Human-Computer Interaction, HCI 2011"</f>
        <v>Proceedings of the 6th IASTED International Conference on Human-Computer Interaction, HCI 2011</v>
      </c>
      <c r="B16813" s="8" t="str">
        <f>"9780889868717"</f>
        <v>9780889868717</v>
      </c>
      <c r="C16813" s="8" t="s">
        <v>305</v>
      </c>
    </row>
    <row r="16814" spans="1:3" x14ac:dyDescent="0.25">
      <c r="A16814" s="8" t="str">
        <f>"Proceedings of the 6th IASTED International Conference on Signal Processing, Pattern Recognition and Applications, SPPRA 2009"</f>
        <v>Proceedings of the 6th IASTED International Conference on Signal Processing, Pattern Recognition and Applications, SPPRA 2009</v>
      </c>
      <c r="B16814" s="8" t="str">
        <f>"9780889867888"</f>
        <v>9780889867888</v>
      </c>
      <c r="C16814" s="8" t="s">
        <v>305</v>
      </c>
    </row>
    <row r="16815" spans="1:3" x14ac:dyDescent="0.25">
      <c r="A16815" s="8" t="str">
        <f>"Proceedings of the 6th IASTED International Conference on Visualization, Imaging, and Image Processing, VIIP 2006"</f>
        <v>Proceedings of the 6th IASTED International Conference on Visualization, Imaging, and Image Processing, VIIP 2006</v>
      </c>
      <c r="B16815" s="8" t="str">
        <f>"9780889865983"</f>
        <v>9780889865983</v>
      </c>
      <c r="C16815" s="8" t="s">
        <v>305</v>
      </c>
    </row>
    <row r="16816" spans="1:3" x14ac:dyDescent="0.25">
      <c r="A16816" s="8" t="str">
        <f>"Proceedings of the 6th IASTED International Conference on Web-Based Education, WBE 2007"</f>
        <v>Proceedings of the 6th IASTED International Conference on Web-Based Education, WBE 2007</v>
      </c>
      <c r="B16816" s="8" t="str">
        <f>"9780889866508"</f>
        <v>9780889866508</v>
      </c>
      <c r="C16816" s="8" t="s">
        <v>305</v>
      </c>
    </row>
    <row r="16817" spans="1:3" x14ac:dyDescent="0.25">
      <c r="A16817" s="8" t="str">
        <f>"Proceedings of the 6th Iberian Conference on Information Systems and Technologies, CISTI 2011"</f>
        <v>Proceedings of the 6th Iberian Conference on Information Systems and Technologies, CISTI 2011</v>
      </c>
      <c r="B16817" s="8" t="str">
        <f>"9789899624757"</f>
        <v>9789899624757</v>
      </c>
      <c r="C16817" s="8" t="s">
        <v>9</v>
      </c>
    </row>
    <row r="16818" spans="1:3" x14ac:dyDescent="0.25">
      <c r="A16818" s="8" t="str">
        <f>"Proceedings of the 6th IEEE European Conference on Web Services, ECOWS'08"</f>
        <v>Proceedings of the 6th IEEE European Conference on Web Services, ECOWS'08</v>
      </c>
      <c r="B16818" s="8" t="str">
        <f>"9780769533995"</f>
        <v>9780769533995</v>
      </c>
      <c r="C16818" s="8" t="s">
        <v>9</v>
      </c>
    </row>
    <row r="16819" spans="1:3" x14ac:dyDescent="0.25">
      <c r="A16819" s="8" t="str">
        <f>"Proceedings of the 6th IEEE International Conference on Cognitive Informatics, ICCI 2007"</f>
        <v>Proceedings of the 6th IEEE International Conference on Cognitive Informatics, ICCI 2007</v>
      </c>
      <c r="B16819" s="8" t="str">
        <f>"9781424413270"</f>
        <v>9781424413270</v>
      </c>
      <c r="C16819" s="8" t="s">
        <v>9</v>
      </c>
    </row>
    <row r="16820" spans="1:3" x14ac:dyDescent="0.25">
      <c r="A16820" s="8" t="str">
        <f>"Proceedings of the 6th IEEE International Conference on Intelligent Data Acquisition and Advanced Computing Systems: Technology and Applications, IDAACS'2011"</f>
        <v>Proceedings of the 6th IEEE International Conference on Intelligent Data Acquisition and Advanced Computing Systems: Technology and Applications, IDAACS'2011</v>
      </c>
      <c r="B16820" s="8" t="str">
        <f>"9781457714238"</f>
        <v>9781457714238</v>
      </c>
      <c r="C16820" s="8" t="s">
        <v>9</v>
      </c>
    </row>
    <row r="16821" spans="1:3" x14ac:dyDescent="0.25">
      <c r="A16821" s="8" t="str">
        <f>"Proceedings of the 6th International Conference European Society for Precision Engineering and Nanotechnology, EUSPEN 2006"</f>
        <v>Proceedings of the 6th International Conference European Society for Precision Engineering and Nanotechnology, EUSPEN 2006</v>
      </c>
      <c r="B16821" s="8" t="str">
        <f>"-"</f>
        <v>-</v>
      </c>
      <c r="C16821" s="8" t="s">
        <v>1748</v>
      </c>
    </row>
    <row r="16822" spans="1:3" x14ac:dyDescent="0.25">
      <c r="A16822" s="8" t="str">
        <f>"Proceedings of the 6th International Conference Industry Session on Autonomic Computing and Communications Industry Session, ICAC-INDST'09"</f>
        <v>Proceedings of the 6th International Conference Industry Session on Autonomic Computing and Communications Industry Session, ICAC-INDST'09</v>
      </c>
      <c r="B16822" s="8" t="str">
        <f>"9781605586120"</f>
        <v>9781605586120</v>
      </c>
      <c r="C16822" s="8" t="s">
        <v>21</v>
      </c>
    </row>
    <row r="16823" spans="1:3" x14ac:dyDescent="0.25">
      <c r="A16823" s="8" t="str">
        <f>"Proceedings of the 6th International Conference Industry Session on Grids Meets Autonomic Computing, GMAC'09"</f>
        <v>Proceedings of the 6th International Conference Industry Session on Grids Meets Autonomic Computing, GMAC'09</v>
      </c>
      <c r="B16823" s="8" t="str">
        <f>"9781605585789"</f>
        <v>9781605585789</v>
      </c>
      <c r="C16823" s="8" t="s">
        <v>21</v>
      </c>
    </row>
    <row r="16824" spans="1:3" x14ac:dyDescent="0.25">
      <c r="A16824" s="8" t="str">
        <f>"Proceedings of the 6th International Conference on 3D Web Technology, Web3D '01"</f>
        <v>Proceedings of the 6th International Conference on 3D Web Technology, Web3D '01</v>
      </c>
      <c r="B16824" s="8" t="str">
        <f>"9781581133394"</f>
        <v>9781581133394</v>
      </c>
      <c r="C16824" s="8" t="s">
        <v>21</v>
      </c>
    </row>
    <row r="16825" spans="1:3" x14ac:dyDescent="0.25">
      <c r="A16825" s="8" t="str">
        <f>"Proceedings of the 6th International Conference on Autonomic Computing, ICAC'09"</f>
        <v>Proceedings of the 6th International Conference on Autonomic Computing, ICAC'09</v>
      </c>
      <c r="B16825" s="8" t="str">
        <f>"9781605585642"</f>
        <v>9781605585642</v>
      </c>
      <c r="C16825" s="8" t="s">
        <v>21</v>
      </c>
    </row>
    <row r="16826" spans="1:3" x14ac:dyDescent="0.25">
      <c r="A16826" s="8" t="str">
        <f>"Proceedings of the 6th International Conference on Collaborative Computing: Networking, Applications and Worksharing, CollaborateCom 2010"</f>
        <v>Proceedings of the 6th International Conference on Collaborative Computing: Networking, Applications and Worksharing, CollaborateCom 2010</v>
      </c>
      <c r="B16826" s="8" t="str">
        <f>"9780984589326"</f>
        <v>9780984589326</v>
      </c>
      <c r="C16826" s="8" t="s">
        <v>9</v>
      </c>
    </row>
    <row r="16827" spans="1:3" x14ac:dyDescent="0.25">
      <c r="A16827" s="8" t="str">
        <f>"Proceedings of the 6th International Conference on Designing Pleasurable Products and Interfaces, DPPI 2013"</f>
        <v>Proceedings of the 6th International Conference on Designing Pleasurable Products and Interfaces, DPPI 2013</v>
      </c>
      <c r="B16827" s="8" t="str">
        <f>"9781450321921"</f>
        <v>9781450321921</v>
      </c>
      <c r="C16827" s="8" t="s">
        <v>21</v>
      </c>
    </row>
    <row r="16828" spans="1:3" x14ac:dyDescent="0.25">
      <c r="A16828" s="8" t="str">
        <f>"Proceedings of the 6th International Conference on Emerging Networking Experiments and Technologies, Co-NEXT'10"</f>
        <v>Proceedings of the 6th International Conference on Emerging Networking Experiments and Technologies, Co-NEXT'10</v>
      </c>
      <c r="B16828" s="8" t="str">
        <f>"9781450304481"</f>
        <v>9781450304481</v>
      </c>
      <c r="C16828" s="8" t="s">
        <v>21</v>
      </c>
    </row>
    <row r="16829" spans="1:3" x14ac:dyDescent="0.25">
      <c r="A16829" s="8" t="str">
        <f>"Proceedings of the 6th International Conference on Engineering Computational Technology"</f>
        <v>Proceedings of the 6th International Conference on Engineering Computational Technology</v>
      </c>
      <c r="B16829" s="8" t="str">
        <f>"9781905088249"</f>
        <v>9781905088249</v>
      </c>
      <c r="C16829" s="8" t="s">
        <v>283</v>
      </c>
    </row>
    <row r="16830" spans="1:3" x14ac:dyDescent="0.25">
      <c r="A16830" s="8" t="str">
        <f>"Proceedings of the 6th International Conference on Fracture Mechanics of Concrete and Concrete Structures"</f>
        <v>Proceedings of the 6th International Conference on Fracture Mechanics of Concrete and Concrete Structures</v>
      </c>
      <c r="B16830" s="8" t="str">
        <f>"9780415446167"</f>
        <v>9780415446167</v>
      </c>
      <c r="C16830" s="8" t="s">
        <v>1520</v>
      </c>
    </row>
    <row r="16831" spans="1:3" x14ac:dyDescent="0.25">
      <c r="A16831" s="8" t="str">
        <f>"Proceedings of the 6th International Conference on Fracture Mechanics of Concrete and Concrete Structures"</f>
        <v>Proceedings of the 6th International Conference on Fracture Mechanics of Concrete and Concrete Structures</v>
      </c>
      <c r="B16831" s="8" t="str">
        <f>"9780415446174"</f>
        <v>9780415446174</v>
      </c>
      <c r="C16831" s="8" t="s">
        <v>1520</v>
      </c>
    </row>
    <row r="16832" spans="1:3" x14ac:dyDescent="0.25">
      <c r="A16832" s="8" t="str">
        <f>"Proceedings of the 6th International Conference on Fracture Mechanics of Concrete and Concrete Structures"</f>
        <v>Proceedings of the 6th International Conference on Fracture Mechanics of Concrete and Concrete Structures</v>
      </c>
      <c r="B16832" s="8" t="str">
        <f>"9780415446167"</f>
        <v>9780415446167</v>
      </c>
      <c r="C16832" s="8" t="s">
        <v>1520</v>
      </c>
    </row>
    <row r="16833" spans="1:3" x14ac:dyDescent="0.25">
      <c r="A16833" s="8" t="str">
        <f>"Proceedings of the 6th International Conference on Fracture Mechanics of Concrete and Concrete Structures"</f>
        <v>Proceedings of the 6th International Conference on Fracture Mechanics of Concrete and Concrete Structures</v>
      </c>
      <c r="B16833" s="8" t="str">
        <f>"9780415446174"</f>
        <v>9780415446174</v>
      </c>
    </row>
    <row r="16834" spans="1:3" x14ac:dyDescent="0.25">
      <c r="A16834" s="8" t="str">
        <f>"Proceedings of the 6th International Conference on Fracture Mechanics of Concrete and Concrete Structures - Fracture Mechanics of Concrete and Concrete Structures"</f>
        <v>Proceedings of the 6th International Conference on Fracture Mechanics of Concrete and Concrete Structures - Fracture Mechanics of Concrete and Concrete Structures</v>
      </c>
      <c r="B16834" s="8" t="str">
        <f>"9780415440653"</f>
        <v>9780415440653</v>
      </c>
      <c r="C16834" s="8" t="s">
        <v>1520</v>
      </c>
    </row>
    <row r="16835" spans="1:3" x14ac:dyDescent="0.25">
      <c r="A16835" s="8" t="str">
        <f>"Proceedings of the 6th International Conference on Frontiers of Information Technology, FIT '09"</f>
        <v>Proceedings of the 6th International Conference on Frontiers of Information Technology, FIT '09</v>
      </c>
      <c r="B16835" s="8" t="str">
        <f>"9781605586427"</f>
        <v>9781605586427</v>
      </c>
      <c r="C16835" s="8" t="s">
        <v>21</v>
      </c>
    </row>
    <row r="16836" spans="1:3" x14ac:dyDescent="0.25">
      <c r="A16836" s="8" t="str">
        <f>"Proceedings of the 6th International Conference on FRP Composites in Civil Engineering, CICE 2012"</f>
        <v>Proceedings of the 6th International Conference on FRP Composites in Civil Engineering, CICE 2012</v>
      </c>
      <c r="B16836" s="8" t="str">
        <f>"-"</f>
        <v>-</v>
      </c>
      <c r="C16836" s="8" t="s">
        <v>2216</v>
      </c>
    </row>
    <row r="16837" spans="1:3" x14ac:dyDescent="0.25">
      <c r="A16837" s="8" t="str">
        <f>"Proceedings of the 6th International Conference on Fuel Cell Science, Engineering, and Technology"</f>
        <v>Proceedings of the 6th International Conference on Fuel Cell Science, Engineering, and Technology</v>
      </c>
      <c r="B16837" s="8" t="str">
        <f>"9780791843185"</f>
        <v>9780791843185</v>
      </c>
      <c r="C16837" s="8" t="s">
        <v>73</v>
      </c>
    </row>
    <row r="16838" spans="1:3" x14ac:dyDescent="0.25">
      <c r="A16838" s="8" t="str">
        <f>"Proceedings of the 6th International Conference on Future Internet Technologies, CFI11"</f>
        <v>Proceedings of the 6th International Conference on Future Internet Technologies, CFI11</v>
      </c>
      <c r="B16838" s="8" t="str">
        <f>"9781450308212"</f>
        <v>9781450308212</v>
      </c>
      <c r="C16838" s="8" t="s">
        <v>21</v>
      </c>
    </row>
    <row r="16839" spans="1:3" x14ac:dyDescent="0.25">
      <c r="A16839" s="8" t="str">
        <f>"Proceedings of the 6th International Conference on Grid and Cooperative Computing, GCC 2007"</f>
        <v>Proceedings of the 6th International Conference on Grid and Cooperative Computing, GCC 2007</v>
      </c>
      <c r="B16839" s="8" t="str">
        <f>"9780769528717"</f>
        <v>9780769528717</v>
      </c>
      <c r="C16839" s="8" t="s">
        <v>9</v>
      </c>
    </row>
    <row r="16840" spans="1:3" x14ac:dyDescent="0.25">
      <c r="A16840" s="8" t="str">
        <f>"Proceedings of the 6th International Conference on Information Fusion, FUSION 2003"</f>
        <v>Proceedings of the 6th International Conference on Information Fusion, FUSION 2003</v>
      </c>
      <c r="B16840" s="8" t="str">
        <f>"9780972184441"</f>
        <v>9780972184441</v>
      </c>
      <c r="C16840" s="8" t="s">
        <v>9</v>
      </c>
    </row>
    <row r="16841" spans="1:3" x14ac:dyDescent="0.25">
      <c r="A16841" s="8" t="str">
        <f>"Proceedings of the 6th international Conference on Interaction Design And Children, IDC 2007"</f>
        <v>Proceedings of the 6th international Conference on Interaction Design And Children, IDC 2007</v>
      </c>
      <c r="B16841" s="8" t="str">
        <f>"9781595937476"</f>
        <v>9781595937476</v>
      </c>
      <c r="C16841" s="8" t="s">
        <v>21</v>
      </c>
    </row>
    <row r="16842" spans="1:3" x14ac:dyDescent="0.25">
      <c r="A16842" s="8" t="str">
        <f>"Proceedings of the 6th International Conference on Leading Edge Manufacturing in 21st Century, LEM 2011"</f>
        <v>Proceedings of the 6th International Conference on Leading Edge Manufacturing in 21st Century, LEM 2011</v>
      </c>
      <c r="B16842" s="8" t="str">
        <f>"-"</f>
        <v>-</v>
      </c>
      <c r="C16842" s="8" t="s">
        <v>653</v>
      </c>
    </row>
    <row r="16843" spans="1:3" x14ac:dyDescent="0.25">
      <c r="A16843" s="8" t="str">
        <f>"Proceedings of the 6th International Conference on Mobile Technology, Application and Systems, Mobility '09"</f>
        <v>Proceedings of the 6th International Conference on Mobile Technology, Application and Systems, Mobility '09</v>
      </c>
      <c r="B16843" s="8" t="str">
        <f>"9781605585369"</f>
        <v>9781605585369</v>
      </c>
      <c r="C16843" s="8" t="s">
        <v>21</v>
      </c>
    </row>
    <row r="16844" spans="1:3" x14ac:dyDescent="0.25">
      <c r="A16844" s="8" t="str">
        <f>"Proceedings of the 6th International Conference on Nanochannels, Microchannels, and Minichannels, ICNMM2008"</f>
        <v>Proceedings of the 6th International Conference on Nanochannels, Microchannels, and Minichannels, ICNMM2008</v>
      </c>
      <c r="B16844" s="8" t="str">
        <f>"9780791848340"</f>
        <v>9780791848340</v>
      </c>
      <c r="C16844" s="8" t="s">
        <v>73</v>
      </c>
    </row>
    <row r="16845" spans="1:3" x14ac:dyDescent="0.25">
      <c r="A16845" s="8" t="str">
        <f>"Proceedings of the 6th International Conference on Natural Language Processing and Knowledge Engineering, NLP-KE 2010"</f>
        <v>Proceedings of the 6th International Conference on Natural Language Processing and Knowledge Engineering, NLP-KE 2010</v>
      </c>
      <c r="B16845" s="8" t="str">
        <f>"9781424468966"</f>
        <v>9781424468966</v>
      </c>
      <c r="C16845" s="8" t="s">
        <v>9</v>
      </c>
    </row>
    <row r="16846" spans="1:3" x14ac:dyDescent="0.25">
      <c r="A16846" s="8" t="str">
        <f>"Proceedings of the 6th International Conference on Perspectives in Business Information Research, BIR 2007"</f>
        <v>Proceedings of the 6th International Conference on Perspectives in Business Information Research, BIR 2007</v>
      </c>
      <c r="B16846" s="8" t="str">
        <f>"9789514471216"</f>
        <v>9789514471216</v>
      </c>
      <c r="C16846" s="8" t="s">
        <v>2230</v>
      </c>
    </row>
    <row r="16847" spans="1:3" x14ac:dyDescent="0.25">
      <c r="A16847" s="8" t="str">
        <f>"Proceedings of the 6th International Conference on Physical Modelling in Geotechnics - Physical Modelling in Geotechnics - 6th ICPMG '06"</f>
        <v>Proceedings of the 6th International Conference on Physical Modelling in Geotechnics - Physical Modelling in Geotechnics - 6th ICPMG '06</v>
      </c>
      <c r="B16847" s="8" t="str">
        <f>"9780415415866"</f>
        <v>9780415415866</v>
      </c>
      <c r="C16847" s="8" t="s">
        <v>1520</v>
      </c>
    </row>
    <row r="16848" spans="1:3" x14ac:dyDescent="0.25">
      <c r="A16848" s="8" t="str">
        <f>"Proceedings of the 6th International Conference on Signal Image Technology and Internet Based Systems, SITIS 2010"</f>
        <v>Proceedings of the 6th International Conference on Signal Image Technology and Internet Based Systems, SITIS 2010</v>
      </c>
      <c r="B16848" s="8" t="str">
        <f>"9780769543192"</f>
        <v>9780769543192</v>
      </c>
      <c r="C16848" s="8" t="s">
        <v>9</v>
      </c>
    </row>
    <row r="16849" spans="1:3" x14ac:dyDescent="0.25">
      <c r="A16849" s="8" t="str">
        <f>"Proceedings of the 6th International Conference on Speech Technology and Human-Computer Dialogue, SpeD 2011"</f>
        <v>Proceedings of the 6th International Conference on Speech Technology and Human-Computer Dialogue, SpeD 2011</v>
      </c>
      <c r="B16849" s="8" t="str">
        <f>"9781457704413"</f>
        <v>9781457704413</v>
      </c>
      <c r="C16849" s="8" t="s">
        <v>9</v>
      </c>
    </row>
    <row r="16850" spans="1:3" x14ac:dyDescent="0.25">
      <c r="A16850" s="8" t="str">
        <f>"Proceedings of the 6th International Conference on Tangible, Embedded and Embodied Interaction, TEI 2012"</f>
        <v>Proceedings of the 6th International Conference on Tangible, Embedded and Embodied Interaction, TEI 2012</v>
      </c>
      <c r="B16850" s="8" t="str">
        <f>"9781450311748"</f>
        <v>9781450311748</v>
      </c>
      <c r="C16850" s="8" t="s">
        <v>21</v>
      </c>
    </row>
    <row r="16851" spans="1:3" x14ac:dyDescent="0.25">
      <c r="A16851" s="8" t="str">
        <f>"Proceedings of the 6th International Conference on the Foundations of Digital Games, FDG 2011"</f>
        <v>Proceedings of the 6th International Conference on the Foundations of Digital Games, FDG 2011</v>
      </c>
      <c r="B16851" s="8" t="str">
        <f>"9781450308045"</f>
        <v>9781450308045</v>
      </c>
      <c r="C16851" s="8" t="s">
        <v>21</v>
      </c>
    </row>
    <row r="16852" spans="1:3" x14ac:dyDescent="0.25">
      <c r="A16852" s="8" t="str">
        <f>"Proceedings of the 6th International Conference on Thermal, Mechanical and Multi-Physics Simulation and Experiments in Micro-Electronics and Micro-Systems - EuroSimE 2005"</f>
        <v>Proceedings of the 6th International Conference on Thermal, Mechanical and Multi-Physics Simulation and Experiments in Micro-Electronics and Micro-Systems - EuroSimE 2005</v>
      </c>
      <c r="B16852" s="8" t="str">
        <f>"-"</f>
        <v>-</v>
      </c>
      <c r="C16852" s="8" t="s">
        <v>9</v>
      </c>
    </row>
    <row r="16853" spans="1:3" x14ac:dyDescent="0.25">
      <c r="A16853" s="8" t="str">
        <f>"Proceedings of the 6th International Conference on Traffic and Transportation Studies Congress 2008: Traffic and Transportation Studies Congress 2008, ICTTS 2008"</f>
        <v>Proceedings of the 6th International Conference on Traffic and Transportation Studies Congress 2008: Traffic and Transportation Studies Congress 2008, ICTTS 2008</v>
      </c>
      <c r="B16853" s="8" t="str">
        <f>"9780784409954"</f>
        <v>9780784409954</v>
      </c>
      <c r="C16853" s="8" t="s">
        <v>111</v>
      </c>
    </row>
    <row r="16854" spans="1:3" x14ac:dyDescent="0.25">
      <c r="A16854" s="8" t="str">
        <f>"Proceedings of the 6th International Conference on Tungsten, Refractory and Hardmetals"</f>
        <v>Proceedings of the 6th International Conference on Tungsten, Refractory and Hardmetals</v>
      </c>
      <c r="B16854" s="8" t="str">
        <f>"9780976205746"</f>
        <v>9780976205746</v>
      </c>
      <c r="C16854" s="8" t="s">
        <v>88</v>
      </c>
    </row>
    <row r="16855" spans="1:3" x14ac:dyDescent="0.25">
      <c r="A16855" s="8" t="str">
        <f>"Proceedings of the 6th International Conference on Ubiquitous Information Management and Communication, ICUIMC'12"</f>
        <v>Proceedings of the 6th International Conference on Ubiquitous Information Management and Communication, ICUIMC'12</v>
      </c>
      <c r="B16855" s="8" t="str">
        <f>"9781450311724"</f>
        <v>9781450311724</v>
      </c>
      <c r="C16855" s="8" t="s">
        <v>21</v>
      </c>
    </row>
    <row r="16856" spans="1:3" x14ac:dyDescent="0.25">
      <c r="A16856" s="8" t="str">
        <f>"Proceedings of the 6th International Forum on Strategic Technology, IFOST 2011"</f>
        <v>Proceedings of the 6th International Forum on Strategic Technology, IFOST 2011</v>
      </c>
      <c r="B16856" s="8" t="str">
        <f>"9781457703966"</f>
        <v>9781457703966</v>
      </c>
      <c r="C16856" s="8" t="s">
        <v>9</v>
      </c>
    </row>
    <row r="16857" spans="1:3" x14ac:dyDescent="0.25">
      <c r="A16857" s="8" t="str">
        <f>"Proceedings of the 6th International Heidelberg Conference on Dark Matter in Astroparticle and Particle Physics, Dark 2007"</f>
        <v>Proceedings of the 6th International Heidelberg Conference on Dark Matter in Astroparticle and Particle Physics, Dark 2007</v>
      </c>
      <c r="B16857" s="8" t="str">
        <f>"9789812814340"</f>
        <v>9789812814340</v>
      </c>
      <c r="C16857" s="8" t="s">
        <v>157</v>
      </c>
    </row>
    <row r="16858" spans="1:3" x14ac:dyDescent="0.25">
      <c r="A16858" s="8" t="str">
        <f>"Proceedings of the 6th International ICST Conference on Body Area Networks, BodyNets 2011"</f>
        <v>Proceedings of the 6th International ICST Conference on Body Area Networks, BodyNets 2011</v>
      </c>
      <c r="B16858" s="8" t="str">
        <f>"9781936968299"</f>
        <v>9781936968299</v>
      </c>
      <c r="C16858" s="8" t="s">
        <v>1504</v>
      </c>
    </row>
    <row r="16859" spans="1:3" x14ac:dyDescent="0.25">
      <c r="A16859" s="8" t="str">
        <f>"Proceedings of the 6th International Network Conference, INC 2006"</f>
        <v>Proceedings of the 6th International Network Conference, INC 2006</v>
      </c>
      <c r="B16859" s="8" t="str">
        <f>"9781841021577"</f>
        <v>9781841021577</v>
      </c>
      <c r="C16859" s="8" t="s">
        <v>2201</v>
      </c>
    </row>
    <row r="16860" spans="1:3" x14ac:dyDescent="0.25">
      <c r="A16860" s="8" t="str">
        <f>"Proceedings of the 6th International Scientific and Practical Conference of Students, Post-Graduates and Young Scientists: Modern Techniques and Technology, MTT 2000"</f>
        <v>Proceedings of the 6th International Scientific and Practical Conference of Students, Post-Graduates and Young Scientists: Modern Techniques and Technology, MTT 2000</v>
      </c>
      <c r="B16860" s="8" t="str">
        <f>"9780780357891"</f>
        <v>9780780357891</v>
      </c>
      <c r="C16860" s="8" t="s">
        <v>105</v>
      </c>
    </row>
    <row r="16861" spans="1:3" x14ac:dyDescent="0.25">
      <c r="A16861" s="8" t="str">
        <f>"Proceedings of the 6th International SpaceWire Conference, SpaceWire 2014"</f>
        <v>Proceedings of the 6th International SpaceWire Conference, SpaceWire 2014</v>
      </c>
      <c r="B16861" s="8" t="str">
        <f>"9780955719653"</f>
        <v>9780955719653</v>
      </c>
      <c r="C16861" s="8" t="s">
        <v>105</v>
      </c>
    </row>
    <row r="16862" spans="1:3" x14ac:dyDescent="0.25">
      <c r="A16862" s="8" t="str">
        <f>"Proceedings of the 6th International Symposium Communication Systems, Networks and Digital Signal Processing, CSNDSP 08"</f>
        <v>Proceedings of the 6th International Symposium Communication Systems, Networks and Digital Signal Processing, CSNDSP 08</v>
      </c>
      <c r="B16862" s="8" t="str">
        <f>"9781424418756"</f>
        <v>9781424418756</v>
      </c>
      <c r="C16862" s="8" t="s">
        <v>9</v>
      </c>
    </row>
    <row r="16863" spans="1:3" x14ac:dyDescent="0.25">
      <c r="A16863" s="8" t="str">
        <f>"Proceedings of the 6th International Symposium on Automated and Analysis-Driven Debugging, AADEBUG 2005"</f>
        <v>Proceedings of the 6th International Symposium on Automated and Analysis-Driven Debugging, AADEBUG 2005</v>
      </c>
      <c r="B16863" s="8" t="str">
        <f>"9781595930507"</f>
        <v>9781595930507</v>
      </c>
      <c r="C16863" s="8" t="s">
        <v>21</v>
      </c>
    </row>
    <row r="16864" spans="1:3" x14ac:dyDescent="0.25">
      <c r="A16864" s="8" t="str">
        <f>"Proceedings of the 6th International Symposium on Health Informatics and Bioinformatics, HIBIT 2011"</f>
        <v>Proceedings of the 6th International Symposium on Health Informatics and Bioinformatics, HIBIT 2011</v>
      </c>
      <c r="B16864" s="8" t="str">
        <f>"9781450775342"</f>
        <v>9781450775342</v>
      </c>
      <c r="C16864" s="8" t="s">
        <v>9</v>
      </c>
    </row>
    <row r="16865" spans="1:3" x14ac:dyDescent="0.25">
      <c r="A16865" s="8" t="str">
        <f>"Proceedings of the 6th International Symposium on Human Aspects of Information Security and Assurance, HAISA 2012"</f>
        <v>Proceedings of the 6th International Symposium on Human Aspects of Information Security and Assurance, HAISA 2012</v>
      </c>
      <c r="B16865" s="8" t="str">
        <f>"9781841023175"</f>
        <v>9781841023175</v>
      </c>
      <c r="C16865" s="8" t="s">
        <v>2201</v>
      </c>
    </row>
    <row r="16866" spans="1:3" x14ac:dyDescent="0.25">
      <c r="A16866" s="8" t="str">
        <f>"Proceedings of the 6th International Symposium on Information, Computer and Communications Security, ASIACCS 2011"</f>
        <v>Proceedings of the 6th International Symposium on Information, Computer and Communications Security, ASIACCS 2011</v>
      </c>
      <c r="B16866" s="8" t="str">
        <f>"9781450305648"</f>
        <v>9781450305648</v>
      </c>
      <c r="C16866" s="8" t="s">
        <v>21</v>
      </c>
    </row>
    <row r="16867" spans="1:3" x14ac:dyDescent="0.25">
      <c r="A16867" s="8" t="str">
        <f>"Proceedings of the 6th International Symposium on Modeling and Optimization in Mobile, Ad Hoc, and Wireless Networks, WiOpt 2008"</f>
        <v>Proceedings of the 6th International Symposium on Modeling and Optimization in Mobile, Ad Hoc, and Wireless Networks, WiOpt 2008</v>
      </c>
      <c r="B16867" s="8" t="str">
        <f>"9789639799189"</f>
        <v>9789639799189</v>
      </c>
      <c r="C16867" s="8" t="s">
        <v>9</v>
      </c>
    </row>
    <row r="16868" spans="1:3" x14ac:dyDescent="0.25">
      <c r="A16868" s="8" t="str">
        <f>"Proceedings of the 6th International Workshop on Artificial Neural Networks and Intelligent Information Processing - Workshop, ANNIIP 2010, in Conjunction with ICINCO 2010"</f>
        <v>Proceedings of the 6th International Workshop on Artificial Neural Networks and Intelligent Information Processing - Workshop, ANNIIP 2010, in Conjunction with ICINCO 2010</v>
      </c>
      <c r="B16868" s="8" t="str">
        <f>"9789898425034"</f>
        <v>9789898425034</v>
      </c>
      <c r="C16868" s="8" t="s">
        <v>1197</v>
      </c>
    </row>
    <row r="16869" spans="1:3" x14ac:dyDescent="0.25">
      <c r="A16869" s="8" t="str">
        <f>"Proceedings of the 6th International Workshop on Foundations of Mobile Computing, DIALM-POMC '10"</f>
        <v>Proceedings of the 6th International Workshop on Foundations of Mobile Computing, DIALM-POMC '10</v>
      </c>
      <c r="B16869" s="8" t="str">
        <f>"9781450304139"</f>
        <v>9781450304139</v>
      </c>
      <c r="C16869" s="8" t="s">
        <v>21</v>
      </c>
    </row>
    <row r="16870" spans="1:3" x14ac:dyDescent="0.25">
      <c r="A16870" s="8" t="str">
        <f>"Proceedings of the 6th International Workshop on Java Technologies for Real-Time and Embedded Systems, JTRES 2008"</f>
        <v>Proceedings of the 6th International Workshop on Java Technologies for Real-Time and Embedded Systems, JTRES 2008</v>
      </c>
      <c r="B16870" s="8" t="str">
        <f>"9781605583372"</f>
        <v>9781605583372</v>
      </c>
      <c r="C16870" s="8" t="s">
        <v>21</v>
      </c>
    </row>
    <row r="16871" spans="1:3" x14ac:dyDescent="0.25">
      <c r="A16871" s="8" t="str">
        <f>"Proceedings of the 6th International Workshop on Managing Ubiquitous Communications and Services, MUCS'09"</f>
        <v>Proceedings of the 6th International Workshop on Managing Ubiquitous Communications and Services, MUCS'09</v>
      </c>
      <c r="B16871" s="8" t="str">
        <f>"9781605585796"</f>
        <v>9781605585796</v>
      </c>
      <c r="C16871" s="8" t="s">
        <v>21</v>
      </c>
    </row>
    <row r="16872" spans="1:3" x14ac:dyDescent="0.25">
      <c r="A16872" s="8" t="str">
        <f>"Proceedings of the 6th International Workshop on Middleware for Grid Computing, MGC'08, held at the ACM/IFIP/USENIX 9th International Middleware Conference"</f>
        <v>Proceedings of the 6th International Workshop on Middleware for Grid Computing, MGC'08, held at the ACM/IFIP/USENIX 9th International Middleware Conference</v>
      </c>
      <c r="B16872" s="8" t="str">
        <f>"9781605583655"</f>
        <v>9781605583655</v>
      </c>
      <c r="C16872" s="8" t="s">
        <v>21</v>
      </c>
    </row>
    <row r="16873" spans="1:3" x14ac:dyDescent="0.25">
      <c r="A16873" s="8" t="str">
        <f>"Proceedings of the 6th International Workshop on Middleware for Pervasive and Ad-Hoc Computing, MPAC 2008 - Held at the ACM/IFIP/USENIX 9th International Middleware Conference, Middleware 2008"</f>
        <v>Proceedings of the 6th International Workshop on Middleware for Pervasive and Ad-Hoc Computing, MPAC 2008 - Held at the ACM/IFIP/USENIX 9th International Middleware Conference, Middleware 2008</v>
      </c>
      <c r="B16873" s="8" t="str">
        <f>"9781605583648"</f>
        <v>9781605583648</v>
      </c>
      <c r="C16873" s="8" t="s">
        <v>21</v>
      </c>
    </row>
    <row r="16874" spans="1:3" x14ac:dyDescent="0.25">
      <c r="A16874" s="8" t="str">
        <f>"Proceedings of the 6th International Workshop on Models and Evolution, ME 2012"</f>
        <v>Proceedings of the 6th International Workshop on Models and Evolution, ME 2012</v>
      </c>
      <c r="B16874" s="8" t="str">
        <f>"9781450317986"</f>
        <v>9781450317986</v>
      </c>
      <c r="C16874" s="8" t="s">
        <v>21</v>
      </c>
    </row>
    <row r="16875" spans="1:3" x14ac:dyDescent="0.25">
      <c r="A16875" s="8" t="str">
        <f>"Proceedings of the 6th International Workshop on Multimedia Data Mining, MDM '05: Mining Integrated Media and Complex Data"</f>
        <v>Proceedings of the 6th International Workshop on Multimedia Data Mining, MDM '05: Mining Integrated Media and Complex Data</v>
      </c>
      <c r="B16875" s="8" t="str">
        <f>"9781595932167"</f>
        <v>9781595932167</v>
      </c>
      <c r="C16875" s="8" t="s">
        <v>21</v>
      </c>
    </row>
    <row r="16876" spans="1:3" x14ac:dyDescent="0.25">
      <c r="A16876" s="8" t="str">
        <f>"Proceedings of the 6th International Workshop on Multi-Paradigm Modeling, MPM 2012"</f>
        <v>Proceedings of the 6th International Workshop on Multi-Paradigm Modeling, MPM 2012</v>
      </c>
      <c r="B16876" s="8" t="str">
        <f>"9781450318051"</f>
        <v>9781450318051</v>
      </c>
      <c r="C16876" s="8" t="s">
        <v>21</v>
      </c>
    </row>
    <row r="16877" spans="1:3" x14ac:dyDescent="0.25">
      <c r="A16877" s="8" t="str">
        <f>"Proceedings of the 6th International Workshop on Pattern Recognition in Information Systems, PRIS 2006, in Conjunction with ICEIS 2006"</f>
        <v>Proceedings of the 6th International Workshop on Pattern Recognition in Information Systems, PRIS 2006, in Conjunction with ICEIS 2006</v>
      </c>
      <c r="B16877" s="8" t="str">
        <f>"9789728865559"</f>
        <v>9789728865559</v>
      </c>
      <c r="C16877" s="8" t="s">
        <v>1680</v>
      </c>
    </row>
    <row r="16878" spans="1:3" x14ac:dyDescent="0.25">
      <c r="A16878" s="8" t="str">
        <f>"Proceedings of the 6th International Workshop on Programming Models and Applications for Multicores and Manycores, PMAM 2015"</f>
        <v>Proceedings of the 6th International Workshop on Programming Models and Applications for Multicores and Manycores, PMAM 2015</v>
      </c>
      <c r="B16878" s="8" t="str">
        <f>"9781450334044"</f>
        <v>9781450334044</v>
      </c>
      <c r="C16878" s="8" t="s">
        <v>1235</v>
      </c>
    </row>
    <row r="16879" spans="1:3" x14ac:dyDescent="0.25">
      <c r="A16879" s="8" t="str">
        <f>"Proceedings of the 6th International Workshop on Software and Performance, WOPS'07"</f>
        <v>Proceedings of the 6th International Workshop on Software and Performance, WOPS'07</v>
      </c>
      <c r="B16879" s="8" t="str">
        <f>"9781595932976"</f>
        <v>9781595932976</v>
      </c>
      <c r="C16879" s="8" t="s">
        <v>21</v>
      </c>
    </row>
    <row r="16880" spans="1:3" x14ac:dyDescent="0.25">
      <c r="A16880" s="8" t="str">
        <f>"Proceedings of the 6th International Workshop on the CKM Unitarity Triangle, CKM 2010"</f>
        <v>Proceedings of the 6th International Workshop on the CKM Unitarity Triangle, CKM 2010</v>
      </c>
      <c r="B16880" s="8" t="str">
        <f>"-"</f>
        <v>-</v>
      </c>
      <c r="C16880" s="8" t="s">
        <v>2231</v>
      </c>
    </row>
    <row r="16881" spans="1:3" x14ac:dyDescent="0.25">
      <c r="A16881" s="8" t="str">
        <f>"Proceedings of the 6th International Workshop on the Identification of Dark Matter, IDM 2006"</f>
        <v>Proceedings of the 6th International Workshop on the Identification of Dark Matter, IDM 2006</v>
      </c>
      <c r="B16881" s="8" t="str">
        <f>"9789812708526"</f>
        <v>9789812708526</v>
      </c>
      <c r="C16881" s="8" t="s">
        <v>157</v>
      </c>
    </row>
    <row r="16882" spans="1:3" x14ac:dyDescent="0.25">
      <c r="A16882" s="8" t="s">
        <v>2232</v>
      </c>
      <c r="B16882" s="8" t="str">
        <f>"9781424452538"</f>
        <v>9781424452538</v>
      </c>
      <c r="C16882" s="8" t="s">
        <v>9</v>
      </c>
    </row>
    <row r="16883" spans="1:3" x14ac:dyDescent="0.25">
      <c r="A16883" s="8" t="str">
        <f>"Proceedings of the 6th Middleware Doctoral Symposium, MDS '09 Co-located with ACM/IFIP/USENIX 10th International Middleware Conference"</f>
        <v>Proceedings of the 6th Middleware Doctoral Symposium, MDS '09 Co-located with ACM/IFIP/USENIX 10th International Middleware Conference</v>
      </c>
      <c r="B16883" s="8" t="str">
        <f>"9781605588520"</f>
        <v>9781605588520</v>
      </c>
      <c r="C16883" s="8" t="s">
        <v>21</v>
      </c>
    </row>
    <row r="16884" spans="1:3" x14ac:dyDescent="0.25">
      <c r="A16884" s="8" t="str">
        <f>"Proceedings of the 6th MiNEMA Workshop, Co-located with EuroSys 2008"</f>
        <v>Proceedings of the 6th MiNEMA Workshop, Co-located with EuroSys 2008</v>
      </c>
      <c r="B16884" s="8" t="str">
        <f>"9781605581224"</f>
        <v>9781605581224</v>
      </c>
      <c r="C16884" s="8" t="s">
        <v>21</v>
      </c>
    </row>
    <row r="16885" spans="1:3" x14ac:dyDescent="0.25">
      <c r="A16885" s="8" t="str">
        <f>"Proceedings of the 6th Patras Workshop on Axions, WIMPs and WISPs, PATRAS 2010"</f>
        <v>Proceedings of the 6th Patras Workshop on Axions, WIMPs and WISPs, PATRAS 2010</v>
      </c>
      <c r="B16885" s="8" t="str">
        <f>"9783935702485"</f>
        <v>9783935702485</v>
      </c>
      <c r="C16885" s="8" t="s">
        <v>1863</v>
      </c>
    </row>
    <row r="16886" spans="1:3" x14ac:dyDescent="0.25">
      <c r="A16886" s="8" t="str">
        <f>"Proceedings of the 6th SIGdial Workshop on Discourse and Dialogue"</f>
        <v>Proceedings of the 6th SIGdial Workshop on Discourse and Dialogue</v>
      </c>
      <c r="B16886" s="8" t="str">
        <f>"-"</f>
        <v>-</v>
      </c>
      <c r="C16886" s="8" t="s">
        <v>554</v>
      </c>
    </row>
    <row r="16887" spans="1:3" x14ac:dyDescent="0.25">
      <c r="A16887" s="8" t="str">
        <f>"Proceedings of the 6th Symposium on Dynamic Languages, DLS '10"</f>
        <v>Proceedings of the 6th Symposium on Dynamic Languages, DLS '10</v>
      </c>
      <c r="B16887" s="8" t="str">
        <f>"9781450304054"</f>
        <v>9781450304054</v>
      </c>
      <c r="C16887" s="8" t="s">
        <v>21</v>
      </c>
    </row>
    <row r="16888" spans="1:3" x14ac:dyDescent="0.25">
      <c r="A16888" s="8" t="str">
        <f>"Proceedings of the 6th USA/Europe Air Traffic Management Research and Development Seminar, ATM 2005"</f>
        <v>Proceedings of the 6th USA/Europe Air Traffic Management Research and Development Seminar, ATM 2005</v>
      </c>
      <c r="B16888" s="8" t="str">
        <f>"9781510801707"</f>
        <v>9781510801707</v>
      </c>
      <c r="C16888" s="8" t="s">
        <v>1532</v>
      </c>
    </row>
    <row r="16889" spans="1:3" x14ac:dyDescent="0.25">
      <c r="A16889" s="8" t="str">
        <f>"Proceedings of the 6th Workshop on Dynamic Languages and Applications, DYLA'12 - Colocated with 26th European Conference on Object-Oriented Programming, ECOOP 2012"</f>
        <v>Proceedings of the 6th Workshop on Dynamic Languages and Applications, DYLA'12 - Colocated with 26th European Conference on Object-Oriented Programming, ECOOP 2012</v>
      </c>
      <c r="B16889" s="8" t="str">
        <f>"9781595930361"</f>
        <v>9781595930361</v>
      </c>
      <c r="C16889" s="8" t="s">
        <v>21</v>
      </c>
    </row>
    <row r="16890" spans="1:3" x14ac:dyDescent="0.25">
      <c r="A16890" s="8" t="str">
        <f>"Proceedings of the 6th Workshop on Geographic Information Retrieval, GIR'10"</f>
        <v>Proceedings of the 6th Workshop on Geographic Information Retrieval, GIR'10</v>
      </c>
      <c r="B16890" s="8" t="str">
        <f>"9781605588261"</f>
        <v>9781605588261</v>
      </c>
      <c r="C16890" s="8" t="s">
        <v>21</v>
      </c>
    </row>
    <row r="16891" spans="1:3" x14ac:dyDescent="0.25">
      <c r="A16891" s="8" t="str">
        <f>"Proceedings of the 6th Workshop on Hot Topics in Embedded Networked Sensors, HotEmNets 2010"</f>
        <v>Proceedings of the 6th Workshop on Hot Topics in Embedded Networked Sensors, HotEmNets 2010</v>
      </c>
      <c r="B16891" s="8" t="str">
        <f>"9781450302654"</f>
        <v>9781450302654</v>
      </c>
      <c r="C16891" s="8" t="s">
        <v>21</v>
      </c>
    </row>
    <row r="16892" spans="1:3" x14ac:dyDescent="0.25">
      <c r="A16892" s="8" t="str">
        <f>"Proceedings of the 6th Workshop on Intelligent Solutions in Embedded Systems, WISES'08"</f>
        <v>Proceedings of the 6th Workshop on Intelligent Solutions in Embedded Systems, WISES'08</v>
      </c>
      <c r="B16892" s="8" t="str">
        <f>"9783000249891"</f>
        <v>9783000249891</v>
      </c>
      <c r="C16892" s="8" t="s">
        <v>9</v>
      </c>
    </row>
    <row r="16893" spans="1:3" x14ac:dyDescent="0.25">
      <c r="A16893" s="8" t="str">
        <f>"Proceedings of the 6th Workshop on Middleware for Service Oriented Computing, MW4SOC 2011 - Co-located with the ACM/IFIP/USENIX 12th International Middleware Conference, Middleware 2011"</f>
        <v>Proceedings of the 6th Workshop on Middleware for Service Oriented Computing, MW4SOC 2011 - Co-located with the ACM/IFIP/USENIX 12th International Middleware Conference, Middleware 2011</v>
      </c>
      <c r="B16893" s="8" t="str">
        <f>"9781450310673"</f>
        <v>9781450310673</v>
      </c>
      <c r="C16893" s="8" t="s">
        <v>21</v>
      </c>
    </row>
    <row r="16894" spans="1:3" x14ac:dyDescent="0.25">
      <c r="A16894" s="8" t="str">
        <f>"Proceedings of the 6th Workshop on Programming Languages and Operating Systems, PLOS 2011 - In Conjunction with the 23rd ACM Symposium on Operating Systems Principles, SOSP 2011"</f>
        <v>Proceedings of the 6th Workshop on Programming Languages and Operating Systems, PLOS 2011 - In Conjunction with the 23rd ACM Symposium on Operating Systems Principles, SOSP 2011</v>
      </c>
      <c r="B16894" s="8" t="str">
        <f>"9781450309790"</f>
        <v>9781450309790</v>
      </c>
      <c r="C16894" s="8" t="s">
        <v>21</v>
      </c>
    </row>
    <row r="16895" spans="1:3" x14ac:dyDescent="0.25">
      <c r="A16895" s="8" t="str">
        <f>"Proceedings of the 7th AAAI Conference on Artificial Intelligence and Interactive Digital Entertainment, AIIDE 2011"</f>
        <v>Proceedings of the 7th AAAI Conference on Artificial Intelligence and Interactive Digital Entertainment, AIIDE 2011</v>
      </c>
      <c r="B16895" s="8" t="str">
        <f>"9781577355397"</f>
        <v>9781577355397</v>
      </c>
      <c r="C16895" s="8" t="s">
        <v>1257</v>
      </c>
    </row>
    <row r="16896" spans="1:3" x14ac:dyDescent="0.25">
      <c r="A16896" s="8" t="str">
        <f>"Proceedings of the 7th ACM Conference on Embedded Networked Sensor Systems, SenSys 2009"</f>
        <v>Proceedings of the 7th ACM Conference on Embedded Networked Sensor Systems, SenSys 2009</v>
      </c>
      <c r="B16896" s="8" t="str">
        <f>"9781605587486"</f>
        <v>9781605587486</v>
      </c>
      <c r="C16896" s="8" t="s">
        <v>21</v>
      </c>
    </row>
    <row r="16897" spans="1:3" x14ac:dyDescent="0.25">
      <c r="A16897" s="8" t="str">
        <f>"Proceedings of the 7th ACM International Conference on Underwater Networks and Systems, WUWNet 2012"</f>
        <v>Proceedings of the 7th ACM International Conference on Underwater Networks and Systems, WUWNet 2012</v>
      </c>
      <c r="B16897" s="8" t="str">
        <f>"9781450317733"</f>
        <v>9781450317733</v>
      </c>
      <c r="C16897" s="8" t="s">
        <v>21</v>
      </c>
    </row>
    <row r="16898" spans="1:3" x14ac:dyDescent="0.25">
      <c r="A16898" s="8" t="str">
        <f>"Proceedings of the 7th ACM International Systems and Storage Conference, SYSTOR 2014"</f>
        <v>Proceedings of the 7th ACM International Systems and Storage Conference, SYSTOR 2014</v>
      </c>
      <c r="B16898" s="8" t="str">
        <f>"9781450329200"</f>
        <v>9781450329200</v>
      </c>
      <c r="C16898" s="8" t="s">
        <v>1235</v>
      </c>
    </row>
    <row r="16899" spans="1:3" x14ac:dyDescent="0.25">
      <c r="A16899" s="8" t="str">
        <f>"Proceedings of the 7th ACM International Workshop on Massively Multiuser Virtual Environments, MMVE 2015"</f>
        <v>Proceedings of the 7th ACM International Workshop on Massively Multiuser Virtual Environments, MMVE 2015</v>
      </c>
      <c r="B16899" s="8" t="str">
        <f>"9781450333542"</f>
        <v>9781450333542</v>
      </c>
      <c r="C16899" s="8" t="s">
        <v>1235</v>
      </c>
    </row>
    <row r="16900" spans="1:3" x14ac:dyDescent="0.25">
      <c r="A16900" s="8" t="str">
        <f>"Proceedings of the 7th ACM SIGACT/SIGMOBILE International Workshop on Foundations of Mobile Computing, FOMC'11"</f>
        <v>Proceedings of the 7th ACM SIGACT/SIGMOBILE International Workshop on Foundations of Mobile Computing, FOMC'11</v>
      </c>
      <c r="B16900" s="8" t="str">
        <f>"9781450307796"</f>
        <v>9781450307796</v>
      </c>
      <c r="C16900" s="8" t="s">
        <v>21</v>
      </c>
    </row>
    <row r="16901" spans="1:3" x14ac:dyDescent="0.25">
      <c r="A16901" s="8" t="str">
        <f>"Proceedings of the 7th ACM SIGCOMM Workshop on Network and System Support for Games, NetGames'08"</f>
        <v>Proceedings of the 7th ACM SIGCOMM Workshop on Network and System Support for Games, NetGames'08</v>
      </c>
      <c r="B16901" s="8" t="str">
        <f>"9781605581323"</f>
        <v>9781605581323</v>
      </c>
      <c r="C16901" s="8" t="s">
        <v>21</v>
      </c>
    </row>
    <row r="16902" spans="1:3" x14ac:dyDescent="0.25">
      <c r="A16902" s="8" t="str">
        <f>"Proceedings of the 7th ACM SIGDA International Symposium on Field-Programmable Gate Arrays, FPGA'09"</f>
        <v>Proceedings of the 7th ACM SIGDA International Symposium on Field-Programmable Gate Arrays, FPGA'09</v>
      </c>
      <c r="B16902" s="8" t="str">
        <f>"9781605584102"</f>
        <v>9781605584102</v>
      </c>
      <c r="C16902" s="8" t="s">
        <v>21</v>
      </c>
    </row>
    <row r="16903" spans="1:3" x14ac:dyDescent="0.25">
      <c r="A16903" s="8" t="str">
        <f>"Proceedings of The 7th ACM SIGGRAPH International Conference on Virtual-Reality Continuum and Its Applications in Industry, VRCAI 2008"</f>
        <v>Proceedings of The 7th ACM SIGGRAPH International Conference on Virtual-Reality Continuum and Its Applications in Industry, VRCAI 2008</v>
      </c>
      <c r="B16903" s="8" t="str">
        <f>"9781605583358"</f>
        <v>9781605583358</v>
      </c>
      <c r="C16903" s="8" t="s">
        <v>21</v>
      </c>
    </row>
    <row r="16904" spans="1:3" x14ac:dyDescent="0.25">
      <c r="A16904" s="8" t="str">
        <f>"Proceedings of the 7th ACM SIG-Information Technology Education Conference, SIGITE 2006"</f>
        <v>Proceedings of the 7th ACM SIG-Information Technology Education Conference, SIGITE 2006</v>
      </c>
      <c r="B16904" s="8" t="str">
        <f>"-"</f>
        <v>-</v>
      </c>
      <c r="C16904" s="8" t="s">
        <v>21</v>
      </c>
    </row>
    <row r="16905" spans="1:3" x14ac:dyDescent="0.25">
      <c r="A16905" s="8" t="str">
        <f>"Proceedings of the 7th ACM Workshop on Mobile Video, MoVid 2015"</f>
        <v>Proceedings of the 7th ACM Workshop on Mobile Video, MoVid 2015</v>
      </c>
      <c r="B16905" s="8" t="str">
        <f>"9781450333535"</f>
        <v>9781450333535</v>
      </c>
      <c r="C16905" s="8" t="s">
        <v>1235</v>
      </c>
    </row>
    <row r="16906" spans="1:3" x14ac:dyDescent="0.25">
      <c r="A16906" s="8" t="str">
        <f>"Proceedings of the 7th Annual Communication Networks and Services Research Conference, CNSR 2009"</f>
        <v>Proceedings of the 7th Annual Communication Networks and Services Research Conference, CNSR 2009</v>
      </c>
      <c r="B16906" s="8" t="str">
        <f>"9780769536491"</f>
        <v>9780769536491</v>
      </c>
      <c r="C16906" s="8" t="s">
        <v>9</v>
      </c>
    </row>
    <row r="16907" spans="1:3" x14ac:dyDescent="0.25">
      <c r="A16907" s="8" t="str">
        <f>"Proceedings of the 7th Australian Digital Forensics Conference"</f>
        <v>Proceedings of the 7th Australian Digital Forensics Conference</v>
      </c>
      <c r="B16907" s="8" t="str">
        <f>"9780729806817"</f>
        <v>9780729806817</v>
      </c>
      <c r="C16907" s="8" t="s">
        <v>2227</v>
      </c>
    </row>
    <row r="16908" spans="1:3" x14ac:dyDescent="0.25">
      <c r="A16908" s="8" t="str">
        <f>"Proceedings of the 7th Australian Information Security Management Conference"</f>
        <v>Proceedings of the 7th Australian Information Security Management Conference</v>
      </c>
      <c r="B16908" s="8" t="str">
        <f>"9780729806800"</f>
        <v>9780729806800</v>
      </c>
      <c r="C16908" s="8" t="s">
        <v>2227</v>
      </c>
    </row>
    <row r="16909" spans="1:3" x14ac:dyDescent="0.25">
      <c r="A16909" s="8" t="str">
        <f>"Proceedings of the 7th Biennial Conference on Engineering Systems Design and Analysis, ESDA 2004"</f>
        <v>Proceedings of the 7th Biennial Conference on Engineering Systems Design and Analysis, ESDA 2004</v>
      </c>
      <c r="B16909" s="8" t="str">
        <f>"9780791841730"</f>
        <v>9780791841730</v>
      </c>
      <c r="C16909" s="8" t="s">
        <v>1308</v>
      </c>
    </row>
    <row r="16910" spans="1:3" x14ac:dyDescent="0.25">
      <c r="A16910" s="8" t="str">
        <f>"Proceedings of the 7th Cairo International Biomedical Engineering Conference, CIBEC 2014"</f>
        <v>Proceedings of the 7th Cairo International Biomedical Engineering Conference, CIBEC 2014</v>
      </c>
      <c r="B16910" s="8" t="str">
        <f>"9781479944125"</f>
        <v>9781479944125</v>
      </c>
      <c r="C16910" s="8" t="s">
        <v>105</v>
      </c>
    </row>
    <row r="16911" spans="1:3" x14ac:dyDescent="0.25">
      <c r="A16911" s="8" t="str">
        <f>"Proceedings of the 7th Conference of the European Society for Fuzzy Logic and Technology, EUSFLAT 2011 and French Days on Fuzzy Logic and Applications, LFA 2011"</f>
        <v>Proceedings of the 7th Conference of the European Society for Fuzzy Logic and Technology, EUSFLAT 2011 and French Days on Fuzzy Logic and Applications, LFA 2011</v>
      </c>
      <c r="B16911" s="8" t="str">
        <f>"9789078677000"</f>
        <v>9789078677000</v>
      </c>
      <c r="C16911" s="8" t="s">
        <v>1380</v>
      </c>
    </row>
    <row r="16912" spans="1:3" x14ac:dyDescent="0.25">
      <c r="A16912" s="8" t="str">
        <f>"Proceedings of the 7th Conference on Emerging Networking EXperiments and Technologies, CoNEXT'11"</f>
        <v>Proceedings of the 7th Conference on Emerging Networking EXperiments and Technologies, CoNEXT'11</v>
      </c>
      <c r="B16912" s="8" t="str">
        <f>"9781450310413"</f>
        <v>9781450310413</v>
      </c>
      <c r="C16912" s="8" t="s">
        <v>21</v>
      </c>
    </row>
    <row r="16913" spans="1:3" x14ac:dyDescent="0.25">
      <c r="A16913" s="8" t="str">
        <f>"Proceedings of the 7th European Conference on e-Learning, ECEL 2008"</f>
        <v>Proceedings of the 7th European Conference on e-Learning, ECEL 2008</v>
      </c>
      <c r="B16913" s="8" t="str">
        <f>"9781906638221"</f>
        <v>9781906638221</v>
      </c>
      <c r="C16913" s="8" t="s">
        <v>973</v>
      </c>
    </row>
    <row r="16914" spans="1:3" x14ac:dyDescent="0.25">
      <c r="A16914" s="8" t="str">
        <f>"Proceedings of the 7th European Conference on Turbomachinery: Fluid Dynamics and Thermodynamics, ETC 2007"</f>
        <v>Proceedings of the 7th European Conference on Turbomachinery: Fluid Dynamics and Thermodynamics, ETC 2007</v>
      </c>
      <c r="B16914" s="8" t="str">
        <f>"-"</f>
        <v>-</v>
      </c>
      <c r="C16914" s="8" t="s">
        <v>1226</v>
      </c>
    </row>
    <row r="16915" spans="1:3" x14ac:dyDescent="0.25">
      <c r="A16915" s="8" t="str">
        <f>"Proceedings of the 7th European Workshop on System Security, EuroSec 2014"</f>
        <v>Proceedings of the 7th European Workshop on System Security, EuroSec 2014</v>
      </c>
      <c r="B16915" s="8" t="str">
        <f>"9781450327152"</f>
        <v>9781450327152</v>
      </c>
      <c r="C16915" s="8" t="s">
        <v>21</v>
      </c>
    </row>
    <row r="16916" spans="1:3" x14ac:dyDescent="0.25">
      <c r="A16916" s="8" t="str">
        <f>"Proceedings of the 7th IADIS International Conference Information Systems 2014, IS 2014"</f>
        <v>Proceedings of the 7th IADIS International Conference Information Systems 2014, IS 2014</v>
      </c>
      <c r="B16916" s="8" t="str">
        <f>"9789898704047"</f>
        <v>9789898704047</v>
      </c>
      <c r="C16916" s="8" t="s">
        <v>1228</v>
      </c>
    </row>
    <row r="16917" spans="1:3" x14ac:dyDescent="0.25">
      <c r="A16917" s="8" t="str">
        <f>"Proceedings of the 7th IASME / WSEAS International Conference on Fluid Mechanics and Aerodynamics, FMA '09"</f>
        <v>Proceedings of the 7th IASME / WSEAS International Conference on Fluid Mechanics and Aerodynamics, FMA '09</v>
      </c>
      <c r="B16917" s="8" t="str">
        <f>"9789604741069"</f>
        <v>9789604741069</v>
      </c>
      <c r="C16917" s="8" t="s">
        <v>553</v>
      </c>
    </row>
    <row r="16918" spans="1:3" x14ac:dyDescent="0.25">
      <c r="A16918" s="8" t="str">
        <f>"Proceedings of the 7th IASME / WSEAS International Conference on Heat Transfer, Thermal Engineering and Environment, HTE '09"</f>
        <v>Proceedings of the 7th IASME / WSEAS International Conference on Heat Transfer, Thermal Engineering and Environment, HTE '09</v>
      </c>
      <c r="B16918" s="8" t="str">
        <f>"9789604741052"</f>
        <v>9789604741052</v>
      </c>
      <c r="C16918" s="8" t="s">
        <v>553</v>
      </c>
    </row>
    <row r="16919" spans="1:3" x14ac:dyDescent="0.25">
      <c r="A16919" s="8" t="str">
        <f>"Proceedings of the 7th IASTED International Conference on Biomedical Engineering, BioMED 2010"</f>
        <v>Proceedings of the 7th IASTED International Conference on Biomedical Engineering, BioMED 2010</v>
      </c>
      <c r="B16919" s="8" t="str">
        <f>"-"</f>
        <v>-</v>
      </c>
      <c r="C16919" s="8" t="s">
        <v>305</v>
      </c>
    </row>
    <row r="16920" spans="1:3" x14ac:dyDescent="0.25">
      <c r="A16920" s="8" t="str">
        <f>"Proceedings of the 7th IASTED International Conference on Control and Applications, CA 2005"</f>
        <v>Proceedings of the 7th IASTED International Conference on Control and Applications, CA 2005</v>
      </c>
      <c r="B16920" s="8" t="str">
        <f>"9780889865020"</f>
        <v>9780889865020</v>
      </c>
      <c r="C16920" s="8" t="s">
        <v>305</v>
      </c>
    </row>
    <row r="16921" spans="1:3" x14ac:dyDescent="0.25">
      <c r="A16921" s="8" t="str">
        <f>"Proceedings of the 7th IASTED International Conference on Signal Processing, Pattern Recognition and Applications, SPPRA 2010"</f>
        <v>Proceedings of the 7th IASTED International Conference on Signal Processing, Pattern Recognition and Applications, SPPRA 2010</v>
      </c>
      <c r="B16921" s="8" t="str">
        <f>"9780889868236"</f>
        <v>9780889868236</v>
      </c>
      <c r="C16921" s="8" t="s">
        <v>305</v>
      </c>
    </row>
    <row r="16922" spans="1:3" x14ac:dyDescent="0.25">
      <c r="A16922" s="8" t="str">
        <f>"Proceedings of the 7th IASTED International Conference on Visualization, Imaging, and Image Processing, VIIP 2007"</f>
        <v>Proceedings of the 7th IASTED International Conference on Visualization, Imaging, and Image Processing, VIIP 2007</v>
      </c>
      <c r="B16922" s="8" t="str">
        <f>"9780889866911"</f>
        <v>9780889866911</v>
      </c>
      <c r="C16922" s="8" t="s">
        <v>305</v>
      </c>
    </row>
    <row r="16923" spans="1:3" x14ac:dyDescent="0.25">
      <c r="A16923" s="8" t="str">
        <f>"Proceedings of the 7th IASTED International Conference on Web-Based Education, WBE 2008"</f>
        <v>Proceedings of the 7th IASTED International Conference on Web-Based Education, WBE 2008</v>
      </c>
      <c r="B16923" s="8" t="str">
        <f>"9780889867239"</f>
        <v>9780889867239</v>
      </c>
      <c r="C16923" s="8" t="s">
        <v>305</v>
      </c>
    </row>
    <row r="16924" spans="1:3" x14ac:dyDescent="0.25">
      <c r="A16924" s="8" t="str">
        <f>"Proceedings of the 7th IASTED International Conferences on Wireless and Optical Communications, WOC 2007"</f>
        <v>Proceedings of the 7th IASTED International Conferences on Wireless and Optical Communications, WOC 2007</v>
      </c>
      <c r="B16924" s="8" t="str">
        <f>"9780889866591"</f>
        <v>9780889866591</v>
      </c>
      <c r="C16924" s="8" t="s">
        <v>305</v>
      </c>
    </row>
    <row r="16925" spans="1:3" x14ac:dyDescent="0.25">
      <c r="A16925" s="8" t="str">
        <f>"Proceedings of the 7th IEEE International Conference and Workshop on Engineering of Autonomic and Autonomous Systems, EASe 2010"</f>
        <v>Proceedings of the 7th IEEE International Conference and Workshop on Engineering of Autonomic and Autonomous Systems, EASe 2010</v>
      </c>
      <c r="B16925" s="8" t="str">
        <f>"9780769540047"</f>
        <v>9780769540047</v>
      </c>
      <c r="C16925" s="8" t="s">
        <v>9</v>
      </c>
    </row>
    <row r="16926" spans="1:3" x14ac:dyDescent="0.25">
      <c r="A16926" s="8" t="str">
        <f>"Proceedings of the 7th IEEE International Conference on Bioinformatics and Bioengineering, BIBE"</f>
        <v>Proceedings of the 7th IEEE International Conference on Bioinformatics and Bioengineering, BIBE</v>
      </c>
      <c r="B16926" s="8" t="str">
        <f>"9781424415090"</f>
        <v>9781424415090</v>
      </c>
      <c r="C16926" s="8" t="s">
        <v>9</v>
      </c>
    </row>
    <row r="16927" spans="1:3" x14ac:dyDescent="0.25">
      <c r="A16927" s="8" t="str">
        <f>"Proceedings of the 7th IEEE International Conference on Cognitive Informatics, ICCI 2008"</f>
        <v>Proceedings of the 7th IEEE International Conference on Cognitive Informatics, ICCI 2008</v>
      </c>
      <c r="B16927" s="8" t="str">
        <f>"9781424425389"</f>
        <v>9781424425389</v>
      </c>
      <c r="C16927" s="8" t="s">
        <v>9</v>
      </c>
    </row>
    <row r="16928" spans="1:3" x14ac:dyDescent="0.25">
      <c r="A16928" s="8" t="str">
        <f>"Proceedings of the 7th IEEE International Symposium on Networking Computing and Applications, NCA 2008"</f>
        <v>Proceedings of the 7th IEEE International Symposium on Networking Computing and Applications, NCA 2008</v>
      </c>
      <c r="B16928" s="8" t="str">
        <f>"9780769531922"</f>
        <v>9780769531922</v>
      </c>
      <c r="C16928" s="8" t="s">
        <v>9</v>
      </c>
    </row>
    <row r="16929" spans="1:3" x14ac:dyDescent="0.25">
      <c r="A16929" s="8" t="str">
        <f>"Proceedings of the 7th International Caribbean Conference on Devices, Circuits and Systems, ICCDCS"</f>
        <v>Proceedings of the 7th International Caribbean Conference on Devices, Circuits and Systems, ICCDCS</v>
      </c>
      <c r="B16929" s="8" t="str">
        <f>"9781424419579"</f>
        <v>9781424419579</v>
      </c>
      <c r="C16929" s="8" t="s">
        <v>9</v>
      </c>
    </row>
    <row r="16930" spans="1:3" x14ac:dyDescent="0.25">
      <c r="A16930" s="8" t="str">
        <f>"Proceedings of the 7th International Conference European Society for Precision Engineering and Nanotechnology, EUSPEN 2007"</f>
        <v>Proceedings of the 7th International Conference European Society for Precision Engineering and Nanotechnology, EUSPEN 2007</v>
      </c>
      <c r="B16930" s="8" t="str">
        <f>"-"</f>
        <v>-</v>
      </c>
      <c r="C16930" s="8" t="s">
        <v>1748</v>
      </c>
    </row>
    <row r="16931" spans="1:3" x14ac:dyDescent="0.25">
      <c r="A16931" s="8" t="str">
        <f>"Proceedings of the 7th International Conference of Chinese Transportation Professionals Congress 2007: Plan, Build, and Manage Transportation Infrastructures in China"</f>
        <v>Proceedings of the 7th International Conference of Chinese Transportation Professionals Congress 2007: Plan, Build, and Manage Transportation Infrastructures in China</v>
      </c>
      <c r="B16931" s="8" t="str">
        <f>"9780784409527"</f>
        <v>9780784409527</v>
      </c>
      <c r="C16931" s="8" t="s">
        <v>111</v>
      </c>
    </row>
    <row r="16932" spans="1:3" x14ac:dyDescent="0.25">
      <c r="A16932" s="8" t="str">
        <f>"Proceedings of the 7th International Conference on 3D Web Technology, Web3D '02"</f>
        <v>Proceedings of the 7th International Conference on 3D Web Technology, Web3D '02</v>
      </c>
      <c r="B16932" s="8" t="str">
        <f>"9781581134681"</f>
        <v>9781581134681</v>
      </c>
      <c r="C16932" s="8" t="s">
        <v>21</v>
      </c>
    </row>
    <row r="16933" spans="1:3" x14ac:dyDescent="0.25">
      <c r="A16933" s="8" t="str">
        <f>"Proceedings of the 7th International Conference on Advances in Pattern Recognition, ICAPR 2009"</f>
        <v>Proceedings of the 7th International Conference on Advances in Pattern Recognition, ICAPR 2009</v>
      </c>
      <c r="B16933" s="8" t="str">
        <f>"9780769535203"</f>
        <v>9780769535203</v>
      </c>
      <c r="C16933" s="8" t="s">
        <v>9</v>
      </c>
    </row>
    <row r="16934" spans="1:3" x14ac:dyDescent="0.25">
      <c r="A16934" s="8" t="str">
        <f>"Proceedings of the 7th International Conference on Bioinformatics and Computational Biology, BICOB 2015"</f>
        <v>Proceedings of the 7th International Conference on Bioinformatics and Computational Biology, BICOB 2015</v>
      </c>
      <c r="B16934" s="8" t="str">
        <f>"9781880843994"</f>
        <v>9781880843994</v>
      </c>
      <c r="C16934" s="8" t="s">
        <v>1433</v>
      </c>
    </row>
    <row r="16935" spans="1:3" x14ac:dyDescent="0.25">
      <c r="A16935" s="8" t="str">
        <f>"Proceedings of the 7th International Conference on Control, Automation, Robotics and Vision, ICARCV 2002"</f>
        <v>Proceedings of the 7th International Conference on Control, Automation, Robotics and Vision, ICARCV 2002</v>
      </c>
      <c r="B16935" s="8" t="str">
        <f>"9789810474805"</f>
        <v>9789810474805</v>
      </c>
      <c r="C16935" s="8" t="s">
        <v>1216</v>
      </c>
    </row>
    <row r="16936" spans="1:3" x14ac:dyDescent="0.25">
      <c r="A16936" s="8" t="str">
        <f>"Proceedings of the 7th International Conference on Control, Automation, Robotics and Vision, ICARCV 2002"</f>
        <v>Proceedings of the 7th International Conference on Control, Automation, Robotics and Vision, ICARCV 2002</v>
      </c>
      <c r="B16936" s="8" t="str">
        <f>"9789810483647"</f>
        <v>9789810483647</v>
      </c>
      <c r="C16936" s="8" t="s">
        <v>1216</v>
      </c>
    </row>
    <row r="16937" spans="1:3" x14ac:dyDescent="0.25">
      <c r="A16937" s="8" t="str">
        <f>"Proceedings of the 7th International Conference on Design and Emotion"</f>
        <v>Proceedings of the 7th International Conference on Design and Emotion</v>
      </c>
      <c r="B16937" s="8" t="str">
        <f>"9780615406664"</f>
        <v>9780615406664</v>
      </c>
      <c r="C16937" s="8" t="s">
        <v>1592</v>
      </c>
    </row>
    <row r="16938" spans="1:3" x14ac:dyDescent="0.25">
      <c r="A16938" s="8" t="str">
        <f>"Proceedings of the 7th International Conference on Engineering Computational Technology"</f>
        <v>Proceedings of the 7th International Conference on Engineering Computational Technology</v>
      </c>
      <c r="B16938" s="8" t="str">
        <f>"9781905088393"</f>
        <v>9781905088393</v>
      </c>
      <c r="C16938" s="8" t="s">
        <v>283</v>
      </c>
    </row>
    <row r="16939" spans="1:3" x14ac:dyDescent="0.25">
      <c r="A16939" s="8" t="str">
        <f>"Proceedings of the 7th International Conference on Facility Operations: Safeguards Interface"</f>
        <v>Proceedings of the 7th International Conference on Facility Operations: Safeguards Interface</v>
      </c>
      <c r="B16939" s="8" t="str">
        <f>"9780894486852"</f>
        <v>9780894486852</v>
      </c>
      <c r="C16939" s="8" t="s">
        <v>453</v>
      </c>
    </row>
    <row r="16940" spans="1:3" x14ac:dyDescent="0.25">
      <c r="A16940" s="8" t="str">
        <f>"Proceedings of the 7th International Conference on FRP Composites in Civil Engineering, CICE 2014"</f>
        <v>Proceedings of the 7th International Conference on FRP Composites in Civil Engineering, CICE 2014</v>
      </c>
      <c r="B16940" s="8" t="str">
        <f>"9781771363082"</f>
        <v>9781771363082</v>
      </c>
      <c r="C16940" s="8" t="s">
        <v>2216</v>
      </c>
    </row>
    <row r="16941" spans="1:3" x14ac:dyDescent="0.25">
      <c r="A16941" s="8" t="str">
        <f>"Proceedings of the 7th International Conference on Fuel Cell Science, Engineering, and Technology 2009"</f>
        <v>Proceedings of the 7th International Conference on Fuel Cell Science, Engineering, and Technology 2009</v>
      </c>
      <c r="B16941" s="8" t="str">
        <f>"9780791848814"</f>
        <v>9780791848814</v>
      </c>
      <c r="C16941" s="8" t="s">
        <v>73</v>
      </c>
    </row>
    <row r="16942" spans="1:3" x14ac:dyDescent="0.25">
      <c r="A16942" s="8" t="str">
        <f>"Proceedings of the 7th International Conference on Future Internet Technologies, CFI'12"</f>
        <v>Proceedings of the 7th International Conference on Future Internet Technologies, CFI'12</v>
      </c>
      <c r="B16942" s="8" t="str">
        <f>"9781450316903"</f>
        <v>9781450316903</v>
      </c>
      <c r="C16942" s="8" t="s">
        <v>21</v>
      </c>
    </row>
    <row r="16943" spans="1:3" x14ac:dyDescent="0.25">
      <c r="A16943" s="8" t="str">
        <f>"Proceedings of The 7th International Conference on Intelligent Systems Design and Applications, ISDA 2007"</f>
        <v>Proceedings of The 7th International Conference on Intelligent Systems Design and Applications, ISDA 2007</v>
      </c>
      <c r="B16943" s="8" t="str">
        <f>"9780769529769"</f>
        <v>9780769529769</v>
      </c>
      <c r="C16943" s="8" t="s">
        <v>9</v>
      </c>
    </row>
    <row r="16944" spans="1:3" x14ac:dyDescent="0.25">
      <c r="A16944" s="8" t="str">
        <f>"Proceedings of the 7th International Conference on Interaction Design and Children, IDC 2008"</f>
        <v>Proceedings of the 7th International Conference on Interaction Design and Children, IDC 2008</v>
      </c>
      <c r="B16944" s="8" t="str">
        <f>"9781595939944"</f>
        <v>9781595939944</v>
      </c>
      <c r="C16944" s="8" t="s">
        <v>21</v>
      </c>
    </row>
    <row r="16945" spans="1:3" x14ac:dyDescent="0.25">
      <c r="A16945" s="8" t="s">
        <v>2233</v>
      </c>
      <c r="B16945" s="8" t="str">
        <f>"9781450321020"</f>
        <v>9781450321020</v>
      </c>
      <c r="C16945" s="8" t="s">
        <v>21</v>
      </c>
    </row>
    <row r="16946" spans="1:3" x14ac:dyDescent="0.25">
      <c r="A16946" s="8" t="str">
        <f>"Proceedings of the 7th International Conference on Machine Learning and Cybernetics, ICMLC"</f>
        <v>Proceedings of the 7th International Conference on Machine Learning and Cybernetics, ICMLC</v>
      </c>
      <c r="B16946" s="8" t="str">
        <f>"9781424420964"</f>
        <v>9781424420964</v>
      </c>
      <c r="C16946" s="8" t="s">
        <v>9</v>
      </c>
    </row>
    <row r="16947" spans="1:3" x14ac:dyDescent="0.25">
      <c r="A16947" s="8" t="str">
        <f>"Proceedings of the 7th International Conference on Modeling and Diagnostics for Advanced Engine Systems, COMODIA 2008"</f>
        <v>Proceedings of the 7th International Conference on Modeling and Diagnostics for Advanced Engine Systems, COMODIA 2008</v>
      </c>
      <c r="B16947" s="8" t="str">
        <f>"-"</f>
        <v>-</v>
      </c>
      <c r="C16947" s="8" t="s">
        <v>653</v>
      </c>
    </row>
    <row r="16948" spans="1:3" x14ac:dyDescent="0.25">
      <c r="A16948" s="8" t="str">
        <f>"Proceedings of the 7th International Conference on Nanochannels, Microchannels, and Minichannels 2009, ICNMM2009"</f>
        <v>Proceedings of the 7th International Conference on Nanochannels, Microchannels, and Minichannels 2009, ICNMM2009</v>
      </c>
      <c r="B16948" s="8" t="str">
        <f>"9780791843499"</f>
        <v>9780791843499</v>
      </c>
      <c r="C16948" s="8" t="s">
        <v>73</v>
      </c>
    </row>
    <row r="16949" spans="1:3" x14ac:dyDescent="0.25">
      <c r="A16949" s="8" t="str">
        <f>"Proceedings of the 7th International Conference on New Interfaces for Musical Expression, NIME '07"</f>
        <v>Proceedings of the 7th International Conference on New Interfaces for Musical Expression, NIME '07</v>
      </c>
      <c r="B16949" s="8" t="str">
        <f>"-"</f>
        <v>-</v>
      </c>
      <c r="C16949" s="8" t="s">
        <v>21</v>
      </c>
    </row>
    <row r="16950" spans="1:3" x14ac:dyDescent="0.25">
      <c r="A16950" s="8" t="str">
        <f>"Proceedings of the 7th International Conference on Principles and Practice of Programming in Java, PPPJ 2009"</f>
        <v>Proceedings of the 7th International Conference on Principles and Practice of Programming in Java, PPPJ 2009</v>
      </c>
      <c r="B16950" s="8" t="str">
        <f>"9781605585987"</f>
        <v>9781605585987</v>
      </c>
      <c r="C16950" s="8" t="s">
        <v>21</v>
      </c>
    </row>
    <row r="16951" spans="1:3" x14ac:dyDescent="0.25">
      <c r="A16951" s="8" t="str">
        <f>"Proceedings of the 7th International Conference on Shock and Impact Loads on Structures"</f>
        <v>Proceedings of the 7th International Conference on Shock and Impact Loads on Structures</v>
      </c>
      <c r="B16951" s="8" t="str">
        <f>"9789810575908"</f>
        <v>9789810575908</v>
      </c>
    </row>
    <row r="16952" spans="1:3" x14ac:dyDescent="0.25">
      <c r="A16952" s="8" t="str">
        <f>"Proceedings of the 7th International Conference on Shock and Impact Loads on Structures"</f>
        <v>Proceedings of the 7th International Conference on Shock and Impact Loads on Structures</v>
      </c>
      <c r="B16952" s="8" t="str">
        <f>"9789810575908"</f>
        <v>9789810575908</v>
      </c>
    </row>
    <row r="16953" spans="1:3" x14ac:dyDescent="0.25">
      <c r="A16953" s="8" t="str">
        <f>"Proceedings of the 7th International Conference on Telecommunications, ConTEL 2003"</f>
        <v>Proceedings of the 7th International Conference on Telecommunications, ConTEL 2003</v>
      </c>
      <c r="B16953" s="8" t="str">
        <f>"-"</f>
        <v>-</v>
      </c>
      <c r="C16953" s="8" t="s">
        <v>105</v>
      </c>
    </row>
    <row r="16954" spans="1:3" x14ac:dyDescent="0.25">
      <c r="A16954" s="8" t="str">
        <f>"Proceedings of the 7th International Conference on the Mediterranean Coastal Environment, MEDCOAST 2005"</f>
        <v>Proceedings of the 7th International Conference on the Mediterranean Coastal Environment, MEDCOAST 2005</v>
      </c>
      <c r="B16954" s="8" t="str">
        <f>"-"</f>
        <v>-</v>
      </c>
      <c r="C16954" s="8" t="s">
        <v>2133</v>
      </c>
    </row>
    <row r="16955" spans="1:3" x14ac:dyDescent="0.25">
      <c r="A16955" s="8" t="str">
        <f>"Proceedings of the 7th International Conference on Tungsten, Refractory and Hardmaterials"</f>
        <v>Proceedings of the 7th International Conference on Tungsten, Refractory and Hardmaterials</v>
      </c>
      <c r="B16955" s="8" t="str">
        <f>"9780979348884"</f>
        <v>9780979348884</v>
      </c>
      <c r="C16955" s="8" t="s">
        <v>88</v>
      </c>
    </row>
    <row r="16956" spans="1:3" x14ac:dyDescent="0.25">
      <c r="A16956" s="8" t="str">
        <f>"Proceedings of the 7th International Conference on Ubiquitous Information Management and Communication, ICUIMC 2013"</f>
        <v>Proceedings of the 7th International Conference on Ubiquitous Information Management and Communication, ICUIMC 2013</v>
      </c>
      <c r="B16956" s="8" t="str">
        <f>"9781450319584"</f>
        <v>9781450319584</v>
      </c>
      <c r="C16956" s="8" t="s">
        <v>21</v>
      </c>
    </row>
    <row r="16957" spans="1:3" x14ac:dyDescent="0.25">
      <c r="A16957" s="8" t="str">
        <f>"Proceedings of the 7th International Conference on Weblogs and Social Media, ICWSM 2013"</f>
        <v>Proceedings of the 7th International Conference on Weblogs and Social Media, ICWSM 2013</v>
      </c>
      <c r="B16957" s="8" t="str">
        <f>"9781577356103"</f>
        <v>9781577356103</v>
      </c>
      <c r="C16957" s="8" t="s">
        <v>956</v>
      </c>
    </row>
    <row r="16958" spans="1:3" x14ac:dyDescent="0.25">
      <c r="A16958" s="8" t="str">
        <f>"Proceedings of the 7th International Network Conference, INC 2008"</f>
        <v>Proceedings of the 7th International Network Conference, INC 2008</v>
      </c>
      <c r="B16958" s="8" t="str">
        <f>"9781841021881"</f>
        <v>9781841021881</v>
      </c>
      <c r="C16958" s="8" t="s">
        <v>2201</v>
      </c>
    </row>
    <row r="16959" spans="1:3" x14ac:dyDescent="0.25">
      <c r="A16959" s="8" t="str">
        <f>"Proceedings of the 7th International Symposium on Parallel and Distributed Computing, ISPDC 2008"</f>
        <v>Proceedings of the 7th International Symposium on Parallel and Distributed Computing, ISPDC 2008</v>
      </c>
      <c r="B16959" s="8" t="str">
        <f>"9780769534725"</f>
        <v>9780769534725</v>
      </c>
      <c r="C16959" s="8" t="s">
        <v>9</v>
      </c>
    </row>
    <row r="16960" spans="1:3" x14ac:dyDescent="0.25">
      <c r="A16960" s="8" t="str">
        <f>"Proceedings of the 7th International Workshop on Data Mining for Online Advertising, ADKDD 2013 - Held in Conjunction with SIGKDD 2013"</f>
        <v>Proceedings of the 7th International Workshop on Data Mining for Online Advertising, ADKDD 2013 - Held in Conjunction with SIGKDD 2013</v>
      </c>
      <c r="B16960" s="8" t="str">
        <f>"9781450323239"</f>
        <v>9781450323239</v>
      </c>
      <c r="C16960" s="8" t="s">
        <v>21</v>
      </c>
    </row>
    <row r="16961" spans="1:3" x14ac:dyDescent="0.25">
      <c r="A16961" s="8" t="str">
        <f>"Proceedings of the 7th International Workshop on Enterprise Networking and Computing in Healthcare Industry, HEALTHCOM 2005"</f>
        <v>Proceedings of the 7th International Workshop on Enterprise Networking and Computing in Healthcare Industry, HEALTHCOM 2005</v>
      </c>
      <c r="B16961" s="8" t="str">
        <f>"9780780389403"</f>
        <v>9780780389403</v>
      </c>
      <c r="C16961" s="8" t="s">
        <v>105</v>
      </c>
    </row>
    <row r="16962" spans="1:3" x14ac:dyDescent="0.25">
      <c r="A16962" s="8" t="str">
        <f>"Proceedings of the 7th International Workshop on Middleware for Grids, Clouds and e-Science, MGC'09 held at the ACM/IFIP/USENIX 10th International Middleware Conference"</f>
        <v>Proceedings of the 7th International Workshop on Middleware for Grids, Clouds and e-Science, MGC'09 held at the ACM/IFIP/USENIX 10th International Middleware Conference</v>
      </c>
      <c r="B16962" s="8" t="str">
        <f>"9781605588476"</f>
        <v>9781605588476</v>
      </c>
      <c r="C16962" s="8" t="s">
        <v>21</v>
      </c>
    </row>
    <row r="16963" spans="1:3" x14ac:dyDescent="0.25">
      <c r="A16963" s="8" t="str">
        <f>"Proceedings of the 7th International Workshop on Modelling, Simulation, Verification and Validation of Enterprise Information Systems, MSVVEIS 2009, in Conjunction with ICEIS 2009"</f>
        <v>Proceedings of the 7th International Workshop on Modelling, Simulation, Verification and Validation of Enterprise Information Systems, MSVVEIS 2009, in Conjunction with ICEIS 2009</v>
      </c>
      <c r="B16963" s="8" t="str">
        <f>"9789898111906"</f>
        <v>9789898111906</v>
      </c>
      <c r="C16963" s="8" t="s">
        <v>1680</v>
      </c>
    </row>
    <row r="16964" spans="1:3" x14ac:dyDescent="0.25">
      <c r="A16964" s="8" t="str">
        <f>"Proceedings of the 7th International Workshop on Natural Language Processing and Cognitive Science, NLPCS 2010, in Conjunction with ICEIS 2010"</f>
        <v>Proceedings of the 7th International Workshop on Natural Language Processing and Cognitive Science, NLPCS 2010, in Conjunction with ICEIS 2010</v>
      </c>
      <c r="B16964" s="8" t="str">
        <f>"9789898425133"</f>
        <v>9789898425133</v>
      </c>
      <c r="C16964" s="8" t="s">
        <v>1197</v>
      </c>
    </row>
    <row r="16965" spans="1:3" x14ac:dyDescent="0.25">
      <c r="A16965" s="8" t="str">
        <f>"Proceedings of the 7th International Workshop on Pattern Recognition in Information Systems PRIS 2007; In Conjunction with ICEIS 2007"</f>
        <v>Proceedings of the 7th International Workshop on Pattern Recognition in Information Systems PRIS 2007; In Conjunction with ICEIS 2007</v>
      </c>
      <c r="B16965" s="8" t="str">
        <f>"9789728865931"</f>
        <v>9789728865931</v>
      </c>
      <c r="C16965" s="8" t="s">
        <v>1553</v>
      </c>
    </row>
    <row r="16966" spans="1:3" x14ac:dyDescent="0.25">
      <c r="A16966" s="8" t="str">
        <f>"Proceedings of the 7th Latin American Networking Conference, LANC 2012"</f>
        <v>Proceedings of the 7th Latin American Networking Conference, LANC 2012</v>
      </c>
      <c r="B16966" s="8" t="str">
        <f>"9781450317504"</f>
        <v>9781450317504</v>
      </c>
      <c r="C16966" s="8" t="s">
        <v>21</v>
      </c>
    </row>
    <row r="16967" spans="1:3" x14ac:dyDescent="0.25">
      <c r="A16967" s="8" t="str">
        <f>"Proceedings of the 7th Middleware Doctoral Symposium, MDS'10"</f>
        <v>Proceedings of the 7th Middleware Doctoral Symposium, MDS'10</v>
      </c>
      <c r="B16967" s="8" t="str">
        <f>"9781450304573"</f>
        <v>9781450304573</v>
      </c>
      <c r="C16967" s="8" t="s">
        <v>21</v>
      </c>
    </row>
    <row r="16968" spans="1:3" x14ac:dyDescent="0.25">
      <c r="A16968" s="8" t="str">
        <f>"Proceedings of the 7th Multimedia and Security Workshop 2005, MM and Sec'05"</f>
        <v>Proceedings of the 7th Multimedia and Security Workshop 2005, MM and Sec'05</v>
      </c>
      <c r="B16968" s="8" t="str">
        <f>"-"</f>
        <v>-</v>
      </c>
      <c r="C16968" s="8" t="s">
        <v>21</v>
      </c>
    </row>
    <row r="16969" spans="1:3" x14ac:dyDescent="0.25">
      <c r="A16969" s="8" t="str">
        <f>"Proceedings of the 7th Nordic Signal Processing Symposium, NORSIG 2006"</f>
        <v>Proceedings of the 7th Nordic Signal Processing Symposium, NORSIG 2006</v>
      </c>
      <c r="B16969" s="8" t="str">
        <f>"9781424404124"</f>
        <v>9781424404124</v>
      </c>
      <c r="C16969" s="8" t="s">
        <v>9</v>
      </c>
    </row>
    <row r="16970" spans="1:3" x14ac:dyDescent="0.25">
      <c r="A16970" s="8" t="str">
        <f>"Proceedings of the 7th Patras Workshop on Axions, WIMPs and WISPs, PATRAS 2011"</f>
        <v>Proceedings of the 7th Patras Workshop on Axions, WIMPs and WISPs, PATRAS 2011</v>
      </c>
      <c r="B16970" s="8" t="str">
        <f>"9783935702591"</f>
        <v>9783935702591</v>
      </c>
      <c r="C16970" s="8" t="s">
        <v>1863</v>
      </c>
    </row>
    <row r="16971" spans="1:3" x14ac:dyDescent="0.25">
      <c r="A16971" s="8" t="str">
        <f>"Proceedings of the 7th SIAM International Conference on Data Mining"</f>
        <v>Proceedings of the 7th SIAM International Conference on Data Mining</v>
      </c>
      <c r="B16971" s="8" t="str">
        <f>"9780898716306"</f>
        <v>9780898716306</v>
      </c>
      <c r="C16971" s="8" t="s">
        <v>249</v>
      </c>
    </row>
    <row r="16972" spans="1:3" x14ac:dyDescent="0.25">
      <c r="A16972" s="8" t="str">
        <f>"Proceedings of the 7th Symposium on Frequency Standards and Metrology, ISFSM 2008"</f>
        <v>Proceedings of the 7th Symposium on Frequency Standards and Metrology, ISFSM 2008</v>
      </c>
      <c r="B16972" s="8" t="str">
        <f>"9789812838216"</f>
        <v>9789812838216</v>
      </c>
      <c r="C16972" s="8" t="s">
        <v>157</v>
      </c>
    </row>
    <row r="16973" spans="1:3" x14ac:dyDescent="0.25">
      <c r="A16973" s="8" t="str">
        <f>"Proceedings of the 7th Symposium on High Speed Marine Vehicles, 2005 Conference, HSMV 2005"</f>
        <v>Proceedings of the 7th Symposium on High Speed Marine Vehicles, 2005 Conference, HSMV 2005</v>
      </c>
      <c r="B16973" s="8" t="str">
        <f>"-"</f>
        <v>-</v>
      </c>
      <c r="C16973" s="8" t="s">
        <v>1137</v>
      </c>
    </row>
    <row r="16974" spans="1:3" x14ac:dyDescent="0.25">
      <c r="A16974" s="8" t="str">
        <f>"Proceedings of the 7th USA/Europe Air Traffic Management Research and Development Seminar, ATM 2007"</f>
        <v>Proceedings of the 7th USA/Europe Air Traffic Management Research and Development Seminar, ATM 2007</v>
      </c>
      <c r="B16974" s="8" t="str">
        <f>"-"</f>
        <v>-</v>
      </c>
      <c r="C16974" s="8" t="s">
        <v>1532</v>
      </c>
    </row>
    <row r="16975" spans="1:3" x14ac:dyDescent="0.25">
      <c r="A16975" s="8" t="str">
        <f>"Proceedings of the 7th Workshop on Aspects, Components, and Patterns for Infrastructure Software ACP4IS - Held at the 7th International Conference on Aspect-Oriented Software Development, ACP4IS'08"</f>
        <v>Proceedings of the 7th Workshop on Aspects, Components, and Patterns for Infrastructure Software ACP4IS - Held at the 7th International Conference on Aspect-Oriented Software Development, ACP4IS'08</v>
      </c>
      <c r="B16975" s="8" t="str">
        <f>"-"</f>
        <v>-</v>
      </c>
      <c r="C16975" s="8" t="s">
        <v>21</v>
      </c>
    </row>
    <row r="16976" spans="1:3" x14ac:dyDescent="0.25">
      <c r="A16976" s="8" t="str">
        <f>"Proceedings of the 7th Workshop on Dynamic Languages and Applications, DYLA 2013"</f>
        <v>Proceedings of the 7th Workshop on Dynamic Languages and Applications, DYLA 2013</v>
      </c>
      <c r="B16976" s="8" t="str">
        <f>"9781450320412"</f>
        <v>9781450320412</v>
      </c>
      <c r="C16976" s="8" t="s">
        <v>21</v>
      </c>
    </row>
    <row r="16977" spans="1:3" x14ac:dyDescent="0.25">
      <c r="A16977" s="8" t="str">
        <f>"Proceedings of the 7th Workshop on Geographic Information Retrieval, GIR 2013"</f>
        <v>Proceedings of the 7th Workshop on Geographic Information Retrieval, GIR 2013</v>
      </c>
      <c r="B16977" s="8" t="str">
        <f>"9781450322416"</f>
        <v>9781450322416</v>
      </c>
      <c r="C16977" s="8" t="s">
        <v>21</v>
      </c>
    </row>
    <row r="16978" spans="1:3" x14ac:dyDescent="0.25">
      <c r="A16978" s="8" t="str">
        <f>"Proceedings of the 7th Workshop on Intelligent Solutions in Embedded Systems, WISES 2009"</f>
        <v>Proceedings of the 7th Workshop on Intelligent Solutions in Embedded Systems, WISES 2009</v>
      </c>
      <c r="B16978" s="8" t="str">
        <f>"9788887548020"</f>
        <v>9788887548020</v>
      </c>
      <c r="C16978" s="8" t="s">
        <v>9</v>
      </c>
    </row>
    <row r="16979" spans="1:3" x14ac:dyDescent="0.25">
      <c r="A16979" s="8" t="str">
        <f>"Proceedings of the 7th Workshop on Middleware for Next Generation Internet Computing, MW4NG 2012 - Co-located with the 13th ACM/IFIP/USENIX International Middleware Conference, Middleware 2012"</f>
        <v>Proceedings of the 7th Workshop on Middleware for Next Generation Internet Computing, MW4NG 2012 - Co-located with the 13th ACM/IFIP/USENIX International Middleware Conference, Middleware 2012</v>
      </c>
      <c r="B16979" s="8" t="str">
        <f>"9781450316071"</f>
        <v>9781450316071</v>
      </c>
      <c r="C16979" s="8" t="s">
        <v>21</v>
      </c>
    </row>
    <row r="16980" spans="1:3" x14ac:dyDescent="0.25">
      <c r="A16980" s="8" t="str">
        <f>"Proceedings of the 7th Workshop on Models@run.time, MRT 2012 - Being Part of the ACM/IEEE 15th International Conference on Model Driven Engineering Languages and Systems, MODELS 2012"</f>
        <v>Proceedings of the 7th Workshop on Models@run.time, MRT 2012 - Being Part of the ACM/IEEE 15th International Conference on Model Driven Engineering Languages and Systems, MODELS 2012</v>
      </c>
      <c r="B16980" s="8" t="str">
        <f>"9781450317993"</f>
        <v>9781450317993</v>
      </c>
      <c r="C16980" s="8" t="s">
        <v>21</v>
      </c>
    </row>
    <row r="16981" spans="1:3" x14ac:dyDescent="0.25">
      <c r="A16981" s="8" t="str">
        <f>"Proceedings of the 7th Workshop on Parallel and Distributed Systems: Testing, Analysis, and Debugging, PADTAD '09"</f>
        <v>Proceedings of the 7th Workshop on Parallel and Distributed Systems: Testing, Analysis, and Debugging, PADTAD '09</v>
      </c>
      <c r="B16981" s="8" t="str">
        <f>"9781605586557"</f>
        <v>9781605586557</v>
      </c>
      <c r="C16981" s="8" t="s">
        <v>21</v>
      </c>
    </row>
    <row r="16982" spans="1:3" x14ac:dyDescent="0.25">
      <c r="A16982" s="8" t="str">
        <f>"Proceedings of the 7th Workshop on Programming Languages and Operating Systems, PLOS 2013 - In Conjunction with the 24th ACM Symposium on Operating Systems Principles, SOSP 2013"</f>
        <v>Proceedings of the 7th Workshop on Programming Languages and Operating Systems, PLOS 2013 - In Conjunction with the 24th ACM Symposium on Operating Systems Principles, SOSP 2013</v>
      </c>
      <c r="B16982" s="8" t="str">
        <f>"9781450324601"</f>
        <v>9781450324601</v>
      </c>
      <c r="C16982" s="8" t="s">
        <v>21</v>
      </c>
    </row>
    <row r="16983" spans="1:3" x14ac:dyDescent="0.25">
      <c r="A16983" s="8" t="str">
        <f>"Proceedings of the 7th Workshop on Reflective and Adaptive Middleware, ARM 2008 - Held at the ACM/IFIP/USENIX International Middleware Conference, Middleware 2008"</f>
        <v>Proceedings of the 7th Workshop on Reflective and Adaptive Middleware, ARM 2008 - Held at the ACM/IFIP/USENIX International Middleware Conference, Middleware 2008</v>
      </c>
      <c r="B16983" s="8" t="str">
        <f>"9781605583679"</f>
        <v>9781605583679</v>
      </c>
      <c r="C16983" s="8" t="s">
        <v>21</v>
      </c>
    </row>
    <row r="16984" spans="1:3" x14ac:dyDescent="0.25">
      <c r="A16984" s="8" t="str">
        <f>"Proceedings of the 7th Workshop on Social Network Mining and Analysis, SNA-KDD 2013"</f>
        <v>Proceedings of the 7th Workshop on Social Network Mining and Analysis, SNA-KDD 2013</v>
      </c>
      <c r="B16984" s="8" t="str">
        <f>"9781450323307"</f>
        <v>9781450323307</v>
      </c>
      <c r="C16984" s="8" t="s">
        <v>21</v>
      </c>
    </row>
    <row r="16985" spans="1:3" x14ac:dyDescent="0.25">
      <c r="A16985" s="8" t="str">
        <f>"Proceedings of the 8th 2008 ISOPE Pacific/Asia Offshore Mechanics Symposium"</f>
        <v>Proceedings of the 8th 2008 ISOPE Pacific/Asia Offshore Mechanics Symposium</v>
      </c>
      <c r="B16985" s="8" t="str">
        <f>"-"</f>
        <v>-</v>
      </c>
      <c r="C16985" s="8" t="s">
        <v>594</v>
      </c>
    </row>
    <row r="16986" spans="1:3" x14ac:dyDescent="0.25">
      <c r="A16986" s="8" t="str">
        <f>"Proceedings of the 8th AAAI Conference on Artificial Intelligence and Interactive Digital Entertainment, AIIDE 2012"</f>
        <v>Proceedings of the 8th AAAI Conference on Artificial Intelligence and Interactive Digital Entertainment, AIIDE 2012</v>
      </c>
      <c r="B16986" s="8" t="str">
        <f>"9781577355823"</f>
        <v>9781577355823</v>
      </c>
      <c r="C16986" s="8" t="s">
        <v>1257</v>
      </c>
    </row>
    <row r="16987" spans="1:3" x14ac:dyDescent="0.25">
      <c r="A16987" s="8" t="str">
        <f>"Proceedings of the 8th ACM European Conference on Computer Systems, EuroSys 2013"</f>
        <v>Proceedings of the 8th ACM European Conference on Computer Systems, EuroSys 2013</v>
      </c>
      <c r="B16987" s="8" t="str">
        <f>"9781450319942"</f>
        <v>9781450319942</v>
      </c>
      <c r="C16987" s="8" t="s">
        <v>21</v>
      </c>
    </row>
    <row r="16988" spans="1:3" x14ac:dyDescent="0.25">
      <c r="A16988" s="8" t="str">
        <f>"Proceedings of the 8th ACM International Conference on Aspect-Oriented Software Development, AOSD'09"</f>
        <v>Proceedings of the 8th ACM International Conference on Aspect-Oriented Software Development, AOSD'09</v>
      </c>
      <c r="B16988" s="8" t="str">
        <f>"9781605584423"</f>
        <v>9781605584423</v>
      </c>
      <c r="C16988" s="8" t="s">
        <v>21</v>
      </c>
    </row>
    <row r="16989" spans="1:3" x14ac:dyDescent="0.25">
      <c r="A16989" s="8" t="str">
        <f>"Proceedings of the 8th ACM International Conference on Autonomic Computing, ICAC 2011 and Co-located Workshops"</f>
        <v>Proceedings of the 8th ACM International Conference on Autonomic Computing, ICAC 2011 and Co-located Workshops</v>
      </c>
      <c r="B16989" s="8" t="str">
        <f>"9781450306072"</f>
        <v>9781450306072</v>
      </c>
      <c r="C16989" s="8" t="s">
        <v>21</v>
      </c>
    </row>
    <row r="16990" spans="1:3" x14ac:dyDescent="0.25">
      <c r="A16990" s="8" t="str">
        <f>"Proceedings of the 8th ACM International Conference on Computing Frontiers, CF'11"</f>
        <v>Proceedings of the 8th ACM International Conference on Computing Frontiers, CF'11</v>
      </c>
      <c r="B16990" s="8" t="str">
        <f>"9781450306980"</f>
        <v>9781450306980</v>
      </c>
      <c r="C16990" s="8" t="s">
        <v>21</v>
      </c>
    </row>
    <row r="16991" spans="1:3" x14ac:dyDescent="0.25">
      <c r="A16991" s="8" t="str">
        <f>"Proceedings of the 8th ACM International Conference on Embedded Software, EMSOFT'08"</f>
        <v>Proceedings of the 8th ACM International Conference on Embedded Software, EMSOFT'08</v>
      </c>
      <c r="B16991" s="8" t="str">
        <f>"9781605584683"</f>
        <v>9781605584683</v>
      </c>
      <c r="C16991" s="8" t="s">
        <v>21</v>
      </c>
    </row>
    <row r="16992" spans="1:3" x14ac:dyDescent="0.25">
      <c r="A16992" s="8" t="str">
        <f>"Proceedings of the 8th ACM International Conference on Underwater Networks and Systems, WUWNet 2013"</f>
        <v>Proceedings of the 8th ACM International Conference on Underwater Networks and Systems, WUWNet 2013</v>
      </c>
      <c r="B16992" s="8" t="str">
        <f>"9781450325844"</f>
        <v>9781450325844</v>
      </c>
      <c r="C16992" s="8" t="s">
        <v>21</v>
      </c>
    </row>
    <row r="16993" spans="1:3" x14ac:dyDescent="0.25">
      <c r="A16993" s="8" t="str">
        <f>"Proceedings of the 8th ACM SIGACT/SIGMOBILE International Workshop on Foundations of Mobile Computing, FOMC'12"</f>
        <v>Proceedings of the 8th ACM SIGACT/SIGMOBILE International Workshop on Foundations of Mobile Computing, FOMC'12</v>
      </c>
      <c r="B16993" s="8" t="str">
        <f>"9781450315371"</f>
        <v>9781450315371</v>
      </c>
      <c r="C16993" s="8" t="s">
        <v>21</v>
      </c>
    </row>
    <row r="16994" spans="1:3" x14ac:dyDescent="0.25">
      <c r="A16994" s="8" t="str">
        <f>"Proceedings of the 8th ACM SIGMOD Workshop on Research Issues in Data Mining and Knowledge Discovery, DMKD '03"</f>
        <v>Proceedings of the 8th ACM SIGMOD Workshop on Research Issues in Data Mining and Knowledge Discovery, DMKD '03</v>
      </c>
      <c r="B16994" s="8" t="str">
        <f>"-"</f>
        <v>-</v>
      </c>
      <c r="C16994" s="8" t="s">
        <v>21</v>
      </c>
    </row>
    <row r="16995" spans="1:3" x14ac:dyDescent="0.25">
      <c r="A16995" s="8" t="str">
        <f>"Proceedings of the 8th ACM/IEEE International Conference on Distributed Smart Cameras, ICDSC 2014"</f>
        <v>Proceedings of the 8th ACM/IEEE International Conference on Distributed Smart Cameras, ICDSC 2014</v>
      </c>
      <c r="B16995" s="8" t="str">
        <f>"9781450329255"</f>
        <v>9781450329255</v>
      </c>
      <c r="C16995" s="8" t="s">
        <v>1235</v>
      </c>
    </row>
    <row r="16996" spans="1:3" x14ac:dyDescent="0.25">
      <c r="A16996" s="8" t="str">
        <f>"Proceedings of the 8th ACM/IFIP/USENIX International Conference on Middleware 2007, Middleware'07"</f>
        <v>Proceedings of the 8th ACM/IFIP/USENIX International Conference on Middleware 2007, Middleware'07</v>
      </c>
      <c r="B16996" s="8" t="str">
        <f>"9781595939357"</f>
        <v>9781595939357</v>
      </c>
      <c r="C16996" s="8" t="s">
        <v>21</v>
      </c>
    </row>
    <row r="16997" spans="1:3" x14ac:dyDescent="0.25">
      <c r="A16997" s="8" t="str">
        <f>"Proceedings of the 8th Australian Digital Forensics Conference"</f>
        <v>Proceedings of the 8th Australian Digital Forensics Conference</v>
      </c>
      <c r="B16997" s="8" t="str">
        <f>"9780729806855"</f>
        <v>9780729806855</v>
      </c>
      <c r="C16997" s="8" t="s">
        <v>2227</v>
      </c>
    </row>
    <row r="16998" spans="1:3" x14ac:dyDescent="0.25">
      <c r="A16998" s="8" t="str">
        <f>"Proceedings of the 8th Australian Information Security Management Conference"</f>
        <v>Proceedings of the 8th Australian Information Security Management Conference</v>
      </c>
      <c r="B16998" s="8" t="str">
        <f>"9780729806886"</f>
        <v>9780729806886</v>
      </c>
      <c r="C16998" s="8" t="s">
        <v>2227</v>
      </c>
    </row>
    <row r="16999" spans="1:3" x14ac:dyDescent="0.25">
      <c r="A16999" s="8" t="str">
        <f>"Proceedings of the 8th Educators' Symposium, EduSymp 2012"</f>
        <v>Proceedings of the 8th Educators' Symposium, EduSymp 2012</v>
      </c>
      <c r="B16999" s="8" t="str">
        <f>"9781450318129"</f>
        <v>9781450318129</v>
      </c>
      <c r="C16999" s="8" t="s">
        <v>21</v>
      </c>
    </row>
    <row r="17000" spans="1:3" x14ac:dyDescent="0.25">
      <c r="A17000" s="8" t="str">
        <f>"Proceedings of the 8th European Conference on Information Management and Evaluation, ECIME 2014"</f>
        <v>Proceedings of the 8th European Conference on Information Management and Evaluation, ECIME 2014</v>
      </c>
      <c r="B17000" s="8" t="str">
        <f>"9781910309414"</f>
        <v>9781910309414</v>
      </c>
      <c r="C17000" s="8" t="s">
        <v>2234</v>
      </c>
    </row>
    <row r="17001" spans="1:3" x14ac:dyDescent="0.25">
      <c r="A17001" s="8" t="str">
        <f>"Proceedings of the 8th IADIS International Conference Information Systems 2015, IS 2015"</f>
        <v>Proceedings of the 8th IADIS International Conference Information Systems 2015, IS 2015</v>
      </c>
      <c r="B17001" s="8" t="str">
        <f>"9789898533333"</f>
        <v>9789898533333</v>
      </c>
      <c r="C17001" s="8" t="s">
        <v>1228</v>
      </c>
    </row>
    <row r="17002" spans="1:3" x14ac:dyDescent="0.25">
      <c r="A17002" s="8" t="str">
        <f>"Proceedings of the 8th IASTED International Conference on Advances in Computer Science, ACS 2013"</f>
        <v>Proceedings of the 8th IASTED International Conference on Advances in Computer Science, ACS 2013</v>
      </c>
      <c r="B17002" s="8" t="str">
        <f>"9780889869462"</f>
        <v>9780889869462</v>
      </c>
      <c r="C17002" s="8" t="s">
        <v>305</v>
      </c>
    </row>
    <row r="17003" spans="1:3" x14ac:dyDescent="0.25">
      <c r="A17003" s="8" t="str">
        <f>"Proceedings of the 8th IASTED International Conference on Biomedical Engineering, Biomed 2011"</f>
        <v>Proceedings of the 8th IASTED International Conference on Biomedical Engineering, Biomed 2011</v>
      </c>
      <c r="B17003" s="8" t="str">
        <f>"9780889868663"</f>
        <v>9780889868663</v>
      </c>
      <c r="C17003" s="8" t="s">
        <v>305</v>
      </c>
    </row>
    <row r="17004" spans="1:3" x14ac:dyDescent="0.25">
      <c r="A17004" s="8" t="str">
        <f>"Proceedings of the 8th IASTED International Conference on Signal and Image Processing, SIP 2006"</f>
        <v>Proceedings of the 8th IASTED International Conference on Signal and Image Processing, SIP 2006</v>
      </c>
      <c r="B17004" s="8" t="str">
        <f>"9780889865839"</f>
        <v>9780889865839</v>
      </c>
      <c r="C17004" s="8" t="s">
        <v>305</v>
      </c>
    </row>
    <row r="17005" spans="1:3" x14ac:dyDescent="0.25">
      <c r="A17005" s="8" t="str">
        <f>"Proceedings of the 8th IASTED International Conference on Signal Processing, Pattern Recognition, and Applications, SPPRA 2011"</f>
        <v>Proceedings of the 8th IASTED International Conference on Signal Processing, Pattern Recognition, and Applications, SPPRA 2011</v>
      </c>
      <c r="B17005" s="8" t="str">
        <f>"9780889868656"</f>
        <v>9780889868656</v>
      </c>
      <c r="C17005" s="8" t="s">
        <v>305</v>
      </c>
    </row>
    <row r="17006" spans="1:3" x14ac:dyDescent="0.25">
      <c r="A17006" s="8" t="str">
        <f>"Proceedings of the 8th IASTED International Conference on Visualization, Imaging, and Image Processing, VIIP 2008"</f>
        <v>Proceedings of the 8th IASTED International Conference on Visualization, Imaging, and Image Processing, VIIP 2008</v>
      </c>
      <c r="B17006" s="8" t="str">
        <f>"9780889867598"</f>
        <v>9780889867598</v>
      </c>
      <c r="C17006" s="8" t="s">
        <v>305</v>
      </c>
    </row>
    <row r="17007" spans="1:3" x14ac:dyDescent="0.25">
      <c r="A17007" s="8" t="str">
        <f>"Proceedings of the 8th IASTED International Conference on Web-based Education, WBE 2009"</f>
        <v>Proceedings of the 8th IASTED International Conference on Web-based Education, WBE 2009</v>
      </c>
      <c r="B17007" s="8" t="str">
        <f>"9780889867895"</f>
        <v>9780889867895</v>
      </c>
      <c r="C17007" s="8" t="s">
        <v>305</v>
      </c>
    </row>
    <row r="17008" spans="1:3" x14ac:dyDescent="0.25">
      <c r="A17008" s="8" t="str">
        <f>"Proceedings of the 8th IASTED International Conference on Web-Based Education, WBE 2010"</f>
        <v>Proceedings of the 8th IASTED International Conference on Web-Based Education, WBE 2010</v>
      </c>
      <c r="B17008" s="8" t="str">
        <f>"9780889868328"</f>
        <v>9780889868328</v>
      </c>
      <c r="C17008" s="8" t="s">
        <v>305</v>
      </c>
    </row>
    <row r="17009" spans="1:3" x14ac:dyDescent="0.25">
      <c r="A17009" s="8" t="str">
        <f>"Proceedings of the 8th IASTED International Conference on Wireless and Optical Communications, WOC 2008"</f>
        <v>Proceedings of the 8th IASTED International Conference on Wireless and Optical Communications, WOC 2008</v>
      </c>
      <c r="B17009" s="8" t="str">
        <f>"9780889867444"</f>
        <v>9780889867444</v>
      </c>
      <c r="C17009" s="8" t="s">
        <v>305</v>
      </c>
    </row>
    <row r="17010" spans="1:3" x14ac:dyDescent="0.25">
      <c r="A17010" s="8" t="str">
        <f>"Proceedings of the 8th IEEE International NEWCAS Conference, NEWCAS2010"</f>
        <v>Proceedings of the 8th IEEE International NEWCAS Conference, NEWCAS2010</v>
      </c>
      <c r="B17010" s="8" t="str">
        <f>"9781424468058"</f>
        <v>9781424468058</v>
      </c>
      <c r="C17010" s="8" t="s">
        <v>9</v>
      </c>
    </row>
    <row r="17011" spans="1:3" x14ac:dyDescent="0.25">
      <c r="A17011" s="8" t="str">
        <f>"Proceedings of the 8th IEEE International On-Line Testing Workshop, IOLTW 2002"</f>
        <v>Proceedings of the 8th IEEE International On-Line Testing Workshop, IOLTW 2002</v>
      </c>
      <c r="B17011" s="8" t="str">
        <f>"9780769516417"</f>
        <v>9780769516417</v>
      </c>
      <c r="C17011" s="8" t="s">
        <v>105</v>
      </c>
    </row>
    <row r="17012" spans="1:3" x14ac:dyDescent="0.25">
      <c r="A17012" s="8" t="str">
        <f>"Proceedings of the 8th IEEE International Symposium on Industrial Embedded Systems, SIES 2013"</f>
        <v>Proceedings of the 8th IEEE International Symposium on Industrial Embedded Systems, SIES 2013</v>
      </c>
      <c r="B17012" s="8" t="str">
        <f>"9781479906581"</f>
        <v>9781479906581</v>
      </c>
      <c r="C17012" s="8" t="s">
        <v>9</v>
      </c>
    </row>
    <row r="17013" spans="1:3" x14ac:dyDescent="0.25">
      <c r="A17013" s="8" t="str">
        <f>"Proceedings of the 8th IEEE International Symposium on Signal Processing and Information Technology, ISSPIT 2008"</f>
        <v>Proceedings of the 8th IEEE International Symposium on Signal Processing and Information Technology, ISSPIT 2008</v>
      </c>
      <c r="B17013" s="8" t="str">
        <f>"9781424435555"</f>
        <v>9781424435555</v>
      </c>
      <c r="C17013" s="8" t="s">
        <v>9</v>
      </c>
    </row>
    <row r="17014" spans="1:3" x14ac:dyDescent="0.25">
      <c r="A17014" s="8" t="str">
        <f>"Proceedings of the 8th International Advanced Automotive Battery and Ultracapacitor Conference, AABC 2008"</f>
        <v>Proceedings of the 8th International Advanced Automotive Battery and Ultracapacitor Conference, AABC 2008</v>
      </c>
      <c r="B17014" s="8" t="str">
        <f>"-"</f>
        <v>-</v>
      </c>
      <c r="C17014" s="8" t="s">
        <v>1242</v>
      </c>
    </row>
    <row r="17015" spans="1:3" x14ac:dyDescent="0.25">
      <c r="A17015" s="8" t="str">
        <f>"Proceedings of the 8th International Advanced Automotive Battery and Ultracapacitor Conference, July 2008 Addendum"</f>
        <v>Proceedings of the 8th International Advanced Automotive Battery and Ultracapacitor Conference, July 2008 Addendum</v>
      </c>
      <c r="B17015" s="8" t="str">
        <f>"-"</f>
        <v>-</v>
      </c>
      <c r="C17015" s="8" t="s">
        <v>1242</v>
      </c>
    </row>
    <row r="17016" spans="1:3" x14ac:dyDescent="0.25">
      <c r="A17016" s="8" t="str">
        <f>"Proceedings of the 8th International Conference of Chinese Logistics and Transportation Professionals - Logistics: The Emerging Frontiers of Transportation and Development in China"</f>
        <v>Proceedings of the 8th International Conference of Chinese Logistics and Transportation Professionals - Logistics: The Emerging Frontiers of Transportation and Development in China</v>
      </c>
      <c r="B17016" s="8" t="str">
        <f>"9780784409961"</f>
        <v>9780784409961</v>
      </c>
      <c r="C17016" s="8" t="s">
        <v>111</v>
      </c>
    </row>
    <row r="17017" spans="1:3" x14ac:dyDescent="0.25">
      <c r="A17017" s="8" t="str">
        <f>"Proceedings of the 8th International Conference on Body Area Networks, BodyNets 2013"</f>
        <v>Proceedings of the 8th International Conference on Body Area Networks, BodyNets 2013</v>
      </c>
      <c r="B17017" s="8" t="str">
        <f>"9781936968893"</f>
        <v>9781936968893</v>
      </c>
      <c r="C17017" s="8" t="s">
        <v>1504</v>
      </c>
    </row>
    <row r="17018" spans="1:3" x14ac:dyDescent="0.25">
      <c r="A17018" s="8" t="str">
        <f>"Proceedings of the 8th International Conference on Climbing and Walking Robots and the Support Technologies for Mobile Machines, CLAWAR 2005"</f>
        <v>Proceedings of the 8th International Conference on Climbing and Walking Robots and the Support Technologies for Mobile Machines, CLAWAR 2005</v>
      </c>
      <c r="B17018" s="8" t="str">
        <f>"9783540264132"</f>
        <v>9783540264132</v>
      </c>
      <c r="C17018" s="8" t="s">
        <v>162</v>
      </c>
    </row>
    <row r="17019" spans="1:3" x14ac:dyDescent="0.25">
      <c r="A17019" s="8" t="str">
        <f>"Proceedings of the 8th International Conference on Computer Science and Education, ICCSE 2013"</f>
        <v>Proceedings of the 8th International Conference on Computer Science and Education, ICCSE 2013</v>
      </c>
      <c r="B17019" s="8" t="str">
        <f>"9781467344623"</f>
        <v>9781467344623</v>
      </c>
      <c r="C17019" s="8" t="s">
        <v>9</v>
      </c>
    </row>
    <row r="17020" spans="1:3" x14ac:dyDescent="0.25">
      <c r="A17020" s="8" t="str">
        <f>"Proceedings of the 8th International Conference on Computing in Civil and Building Engineering"</f>
        <v>Proceedings of the 8th International Conference on Computing in Civil and Building Engineering</v>
      </c>
      <c r="B17020" s="8" t="str">
        <f>"9780784405130"</f>
        <v>9780784405130</v>
      </c>
      <c r="C17020" s="8" t="s">
        <v>111</v>
      </c>
    </row>
    <row r="17021" spans="1:3" x14ac:dyDescent="0.25">
      <c r="A17021" s="8" t="str">
        <f>"Proceedings of the 8th International Conference on Fracture Mechanics of Concrete and Concrete Structures, FraMCoS 2013"</f>
        <v>Proceedings of the 8th International Conference on Fracture Mechanics of Concrete and Concrete Structures, FraMCoS 2013</v>
      </c>
      <c r="B17021" s="8" t="str">
        <f>"9788494100413"</f>
        <v>9788494100413</v>
      </c>
      <c r="C17021" s="8" t="s">
        <v>1238</v>
      </c>
    </row>
    <row r="17022" spans="1:3" x14ac:dyDescent="0.25">
      <c r="A17022" s="8" t="str">
        <f>"Proceedings of the 8th International Conference on Frontiers of Information Technology, FIT'10"</f>
        <v>Proceedings of the 8th International Conference on Frontiers of Information Technology, FIT'10</v>
      </c>
      <c r="B17022" s="8" t="str">
        <f>"9781450303422"</f>
        <v>9781450303422</v>
      </c>
      <c r="C17022" s="8" t="s">
        <v>21</v>
      </c>
    </row>
    <row r="17023" spans="1:3" x14ac:dyDescent="0.25">
      <c r="A17023" s="8" t="str">
        <f>"Proceedings of the 8th International Conference on Mechanochemistry and Mechanical Alloying, INCOME 2014"</f>
        <v>Proceedings of the 8th International Conference on Mechanochemistry and Mechanical Alloying, INCOME 2014</v>
      </c>
      <c r="B17023" s="8" t="str">
        <f>"-"</f>
        <v>-</v>
      </c>
      <c r="C17023" s="8" t="s">
        <v>48</v>
      </c>
    </row>
    <row r="17024" spans="1:3" x14ac:dyDescent="0.25">
      <c r="A17024" s="8" t="str">
        <f>"Proceedings of the 8th International Conference on Modeling and Diagnostics for Advanced Engine Systems, COMODIA 2012"</f>
        <v>Proceedings of the 8th International Conference on Modeling and Diagnostics for Advanced Engine Systems, COMODIA 2012</v>
      </c>
      <c r="B17024" s="8" t="str">
        <f>"-"</f>
        <v>-</v>
      </c>
      <c r="C17024" s="8" t="s">
        <v>653</v>
      </c>
    </row>
    <row r="17025" spans="1:3" x14ac:dyDescent="0.25">
      <c r="A17025" s="8" t="str">
        <f>"Proceedings of the 8th International Conference on Music Information Retrieval, ISMIR 2007"</f>
        <v>Proceedings of the 8th International Conference on Music Information Retrieval, ISMIR 2007</v>
      </c>
      <c r="B17025" s="8" t="str">
        <f>"9783854032182"</f>
        <v>9783854032182</v>
      </c>
      <c r="C17025" s="8" t="s">
        <v>2235</v>
      </c>
    </row>
    <row r="17026" spans="1:3" x14ac:dyDescent="0.25">
      <c r="A17026" s="8" t="str">
        <f>"Proceedings of the 8th International Conference on Networks, ICN 2009"</f>
        <v>Proceedings of the 8th International Conference on Networks, ICN 2009</v>
      </c>
      <c r="B17026" s="8" t="str">
        <f>"9780769535524"</f>
        <v>9780769535524</v>
      </c>
      <c r="C17026" s="8" t="s">
        <v>9</v>
      </c>
    </row>
    <row r="17027" spans="1:3" x14ac:dyDescent="0.25">
      <c r="A17027" s="8" t="str">
        <f>"Proceedings of the 8th International Conference on Probabilistic Safety Assessment and Management, PSAM 2006"</f>
        <v>Proceedings of the 8th International Conference on Probabilistic Safety Assessment and Management, PSAM 2006</v>
      </c>
      <c r="B17027" s="8" t="str">
        <f>"9780791802441"</f>
        <v>9780791802441</v>
      </c>
      <c r="C17027" s="8" t="s">
        <v>73</v>
      </c>
    </row>
    <row r="17028" spans="1:3" x14ac:dyDescent="0.25">
      <c r="A17028" s="8" t="str">
        <f>"Proceedings of the 8th International Conference on Semi-Solid Processing of Alloys and Composites, S2P 2004"</f>
        <v>Proceedings of the 8th International Conference on Semi-Solid Processing of Alloys and Composites, S2P 2004</v>
      </c>
      <c r="B17028" s="8" t="str">
        <f>"-"</f>
        <v>-</v>
      </c>
      <c r="C17028" s="8" t="s">
        <v>2236</v>
      </c>
    </row>
    <row r="17029" spans="1:3" x14ac:dyDescent="0.25">
      <c r="A17029" s="8" t="str">
        <f>"Proceedings of the 8th International Conference on Shock and Impact Loads on Structures"</f>
        <v>Proceedings of the 8th International Conference on Shock and Impact Loads on Structures</v>
      </c>
      <c r="B17029" s="8" t="str">
        <f>"-"</f>
        <v>-</v>
      </c>
      <c r="C17029" s="8" t="s">
        <v>2237</v>
      </c>
    </row>
    <row r="17030" spans="1:3" x14ac:dyDescent="0.25">
      <c r="A17030" s="8" t="str">
        <f>"Proceedings of the 8th International Conference on Standardization and Innovation in Information Technology, SIIT 2013"</f>
        <v>Proceedings of the 8th International Conference on Standardization and Innovation in Information Technology, SIIT 2013</v>
      </c>
      <c r="B17030" s="8" t="str">
        <f>"9781479937356"</f>
        <v>9781479937356</v>
      </c>
      <c r="C17030" s="8" t="s">
        <v>9</v>
      </c>
    </row>
    <row r="17031" spans="1:3" x14ac:dyDescent="0.25">
      <c r="A17031" s="8" t="str">
        <f>"Proceedings of the 8th International Conference on Telecommunications, ConTEL 2005"</f>
        <v>Proceedings of the 8th International Conference on Telecommunications, ConTEL 2005</v>
      </c>
      <c r="B17031" s="8" t="str">
        <f>"9789531840828"</f>
        <v>9789531840828</v>
      </c>
      <c r="C17031" s="8" t="s">
        <v>311</v>
      </c>
    </row>
    <row r="17032" spans="1:3" x14ac:dyDescent="0.25">
      <c r="A17032" s="8" t="str">
        <f>"Proceedings of the 8th International Conference on the Mediterranean Coastal Environment, MEDCOAST 2007"</f>
        <v>Proceedings of the 8th International Conference on the Mediterranean Coastal Environment, MEDCOAST 2007</v>
      </c>
      <c r="B17032" s="8" t="str">
        <f>"-"</f>
        <v>-</v>
      </c>
      <c r="C17032" s="8" t="s">
        <v>2133</v>
      </c>
    </row>
    <row r="17033" spans="1:3" x14ac:dyDescent="0.25">
      <c r="A17033" s="8" t="str">
        <f>"Proceedings of the 8th International Conference on the Principles and Practice of Programming in Java, PPPJ 2010"</f>
        <v>Proceedings of the 8th International Conference on the Principles and Practice of Programming in Java, PPPJ 2010</v>
      </c>
      <c r="B17033" s="8" t="str">
        <f>"9781450302692"</f>
        <v>9781450302692</v>
      </c>
      <c r="C17033" s="8" t="s">
        <v>21</v>
      </c>
    </row>
    <row r="17034" spans="1:3" x14ac:dyDescent="0.25">
      <c r="A17034" s="8" t="str">
        <f>"Proceedings of the 8th International Conference on Tungsten, Refractory and Hardmaterials"</f>
        <v>Proceedings of the 8th International Conference on Tungsten, Refractory and Hardmaterials</v>
      </c>
      <c r="B17034" s="8" t="str">
        <f>"9780981949673"</f>
        <v>9780981949673</v>
      </c>
      <c r="C17034" s="8" t="s">
        <v>88</v>
      </c>
    </row>
    <row r="17035" spans="1:3" x14ac:dyDescent="0.25">
      <c r="A17035" s="8" t="str">
        <f>"Proceedings of the 8th International Conference on Ubiquitous Information Management and Communication, ICUIMC 2014"</f>
        <v>Proceedings of the 8th International Conference on Ubiquitous Information Management and Communication, ICUIMC 2014</v>
      </c>
      <c r="B17035" s="8" t="str">
        <f>"9781450326445"</f>
        <v>9781450326445</v>
      </c>
      <c r="C17035" s="8" t="s">
        <v>21</v>
      </c>
    </row>
    <row r="17036" spans="1:3" x14ac:dyDescent="0.25">
      <c r="A17036" s="8" t="str">
        <f>"Proceedings of the 8th International Conference on Weblogs and Social Media, ICWSM 2014"</f>
        <v>Proceedings of the 8th International Conference on Weblogs and Social Media, ICWSM 2014</v>
      </c>
      <c r="B17036" s="8" t="str">
        <f>"9781577356578"</f>
        <v>9781577356578</v>
      </c>
      <c r="C17036" s="8" t="s">
        <v>2194</v>
      </c>
    </row>
    <row r="17037" spans="1:3" x14ac:dyDescent="0.25">
      <c r="A17037" s="8" t="str">
        <f>"Proceedings of the 8th International Drainage Symposium - Drainage VIII"</f>
        <v>Proceedings of the 8th International Drainage Symposium - Drainage VIII</v>
      </c>
      <c r="B17037" s="8" t="str">
        <f>"9781892769367"</f>
        <v>9781892769367</v>
      </c>
      <c r="C17037" s="8" t="s">
        <v>140</v>
      </c>
    </row>
    <row r="17038" spans="1:3" x14ac:dyDescent="0.25">
      <c r="A17038" s="8" t="str">
        <f>"Proceedings of the 8th International Scientific and Practical Conference of Students, Post-Graduates and Young Scientists: Modern Technique and Technologies, MTT 2002"</f>
        <v>Proceedings of the 8th International Scientific and Practical Conference of Students, Post-Graduates and Young Scientists: Modern Technique and Technologies, MTT 2002</v>
      </c>
      <c r="B17038" s="8" t="str">
        <f>"9780780373730"</f>
        <v>9780780373730</v>
      </c>
      <c r="C17038" s="8" t="s">
        <v>105</v>
      </c>
    </row>
    <row r="17039" spans="1:3" x14ac:dyDescent="0.25">
      <c r="A17039" s="8" t="str">
        <f>"Proceedings of the 8th International Symposium Nanostructures: Physics and Technology"</f>
        <v>Proceedings of the 8th International Symposium Nanostructures: Physics and Technology</v>
      </c>
      <c r="B17039" s="8" t="str">
        <f>"9785936340024"</f>
        <v>9785936340024</v>
      </c>
      <c r="C17039" s="8" t="s">
        <v>2238</v>
      </c>
    </row>
    <row r="17040" spans="1:3" x14ac:dyDescent="0.25">
      <c r="A17040" s="8" t="str">
        <f>"Proceedings of the 8th International Symposium on Symbolic and Numeric Algorithms for Scientific Computing, SYNASC 2006"</f>
        <v>Proceedings of the 8th International Symposium on Symbolic and Numeric Algorithms for Scientific Computing, SYNASC 2006</v>
      </c>
      <c r="B17040" s="8" t="str">
        <f>"9780769527406"</f>
        <v>9780769527406</v>
      </c>
      <c r="C17040" s="8" t="s">
        <v>9</v>
      </c>
    </row>
    <row r="17041" spans="1:3" x14ac:dyDescent="0.25">
      <c r="A17041" s="8" t="str">
        <f>"Proceedings of the 8th International Symposium on Tools and Methods of Competitive Engineering, TMCE 2010"</f>
        <v>Proceedings of the 8th International Symposium on Tools and Methods of Competitive Engineering, TMCE 2010</v>
      </c>
      <c r="B17041" s="8" t="str">
        <f>"9789051550603"</f>
        <v>9789051550603</v>
      </c>
      <c r="C17041" s="8" t="s">
        <v>2239</v>
      </c>
    </row>
    <row r="17042" spans="1:3" x14ac:dyDescent="0.25">
      <c r="A17042" s="8" t="str">
        <f>"Proceedings of the 8th International Workshop on Electromagnetic Compatibility of Integrated Circuits 2011, EMC COMPO 2011"</f>
        <v>Proceedings of the 8th International Workshop on Electromagnetic Compatibility of Integrated Circuits 2011, EMC COMPO 2011</v>
      </c>
      <c r="B17042" s="8" t="str">
        <f>"9789531841580"</f>
        <v>9789531841580</v>
      </c>
      <c r="C17042" s="8" t="s">
        <v>9</v>
      </c>
    </row>
    <row r="17043" spans="1:3" x14ac:dyDescent="0.25">
      <c r="A17043" s="8" t="str">
        <f>"Proceedings of the 8th International Workshop on Modelling, Simulation, Verification and Validation of Enterprise Information Systems, MSVVEIS 2010, in Conjunction with ICEIS 2010"</f>
        <v>Proceedings of the 8th International Workshop on Modelling, Simulation, Verification and Validation of Enterprise Information Systems, MSVVEIS 2010, in Conjunction with ICEIS 2010</v>
      </c>
      <c r="B17043" s="8" t="str">
        <f>"9789898425126"</f>
        <v>9789898425126</v>
      </c>
      <c r="C17043" s="8" t="s">
        <v>1197</v>
      </c>
    </row>
    <row r="17044" spans="1:3" x14ac:dyDescent="0.25">
      <c r="A17044" s="8" t="str">
        <f>"Proceedings of the 8th International Workshop on Security in Information Systems, WOSIS 2011, in Conjunction with ICEIS 2011"</f>
        <v>Proceedings of the 8th International Workshop on Security in Information Systems, WOSIS 2011, in Conjunction with ICEIS 2011</v>
      </c>
      <c r="B17044" s="8" t="str">
        <f>"9789898425614"</f>
        <v>9789898425614</v>
      </c>
      <c r="C17044" s="8" t="s">
        <v>1197</v>
      </c>
    </row>
    <row r="17045" spans="1:3" x14ac:dyDescent="0.25">
      <c r="A17045" s="8" t="str">
        <f>"Proceedings of the 8th Latin American Networking Conference, LANC 2014"</f>
        <v>Proceedings of the 8th Latin American Networking Conference, LANC 2014</v>
      </c>
      <c r="B17045" s="8" t="str">
        <f>"9781450332804"</f>
        <v>9781450332804</v>
      </c>
      <c r="C17045" s="8" t="s">
        <v>1235</v>
      </c>
    </row>
    <row r="17046" spans="1:3" x14ac:dyDescent="0.25">
      <c r="A17046" s="8" t="str">
        <f>"Proceedings of the 8th Middleware Doctoral Symposium, MDS'11 of the 12th ACM/IFIP/USENIX International Middleware Conference"</f>
        <v>Proceedings of the 8th Middleware Doctoral Symposium, MDS'11 of the 12th ACM/IFIP/USENIX International Middleware Conference</v>
      </c>
      <c r="B17046" s="8" t="str">
        <f>"9781450310727"</f>
        <v>9781450310727</v>
      </c>
      <c r="C17046" s="8" t="s">
        <v>21</v>
      </c>
    </row>
    <row r="17047" spans="1:3" x14ac:dyDescent="0.25">
      <c r="A17047" s="8" t="str">
        <f>"Proceedings of the 8th Parallel Data Storage Workshop, PDSW 2013 - Held in Conjunction with SC 2013: The International Conference for High Performance Computing, Networking, Storage and Analysis"</f>
        <v>Proceedings of the 8th Parallel Data Storage Workshop, PDSW 2013 - Held in Conjunction with SC 2013: The International Conference for High Performance Computing, Networking, Storage and Analysis</v>
      </c>
      <c r="B17047" s="8" t="str">
        <f>"9781450325059"</f>
        <v>9781450325059</v>
      </c>
      <c r="C17047" s="8" t="s">
        <v>21</v>
      </c>
    </row>
    <row r="17048" spans="1:3" x14ac:dyDescent="0.25">
      <c r="A17048" s="8" t="str">
        <f>"Proceedings of the 8th SIGdial Workshop on Discourse and Dialogue"</f>
        <v>Proceedings of the 8th SIGdial Workshop on Discourse and Dialogue</v>
      </c>
      <c r="B17048" s="8" t="str">
        <f>"9789074029322"</f>
        <v>9789074029322</v>
      </c>
      <c r="C17048" s="8" t="s">
        <v>554</v>
      </c>
    </row>
    <row r="17049" spans="1:3" x14ac:dyDescent="0.25">
      <c r="A17049" s="8" t="str">
        <f>"Proceedings of the 8th Spanish Conference on Electron Devices, CDE'2011"</f>
        <v>Proceedings of the 8th Spanish Conference on Electron Devices, CDE'2011</v>
      </c>
      <c r="B17049" s="8" t="str">
        <f>"9781424478637"</f>
        <v>9781424478637</v>
      </c>
      <c r="C17049" s="8" t="s">
        <v>9</v>
      </c>
    </row>
    <row r="17050" spans="1:3" x14ac:dyDescent="0.25">
      <c r="A17050" s="8" t="str">
        <f>"Proceedings of the 8th USA/Europe Air Traffic Management Research and Development Seminar, ATM 2009"</f>
        <v>Proceedings of the 8th USA/Europe Air Traffic Management Research and Development Seminar, ATM 2009</v>
      </c>
      <c r="B17050" s="8" t="str">
        <f>"9781510801714"</f>
        <v>9781510801714</v>
      </c>
      <c r="C17050" s="8" t="s">
        <v>1532</v>
      </c>
    </row>
    <row r="17051" spans="1:3" x14ac:dyDescent="0.25">
      <c r="A17051" s="8" t="str">
        <f>"Proceedings of the 8th Workshop on Algorithm Engineering and Experiments and the 3rd Workshop on Analytic Algorithms and Combinatorics"</f>
        <v>Proceedings of the 8th Workshop on Algorithm Engineering and Experiments and the 3rd Workshop on Analytic Algorithms and Combinatorics</v>
      </c>
      <c r="B17051" s="8" t="str">
        <f>"-"</f>
        <v>-</v>
      </c>
      <c r="C17051" s="8" t="s">
        <v>249</v>
      </c>
    </row>
    <row r="17052" spans="1:3" x14ac:dyDescent="0.25">
      <c r="A17052" s="8" t="str">
        <f>"Proceedings of the 8th Workshop on Aspects, Components, and Patterns for Infrastructure Software, ACP4IS '09, Co-located with the 8th Int. Conf. Aspect-Oriented Software Development, AOSD.09"</f>
        <v>Proceedings of the 8th Workshop on Aspects, Components, and Patterns for Infrastructure Software, ACP4IS '09, Co-located with the 8th Int. Conf. Aspect-Oriented Software Development, AOSD.09</v>
      </c>
      <c r="B17052" s="8" t="str">
        <f>"9781605584508"</f>
        <v>9781605584508</v>
      </c>
      <c r="C17052" s="8" t="s">
        <v>21</v>
      </c>
    </row>
    <row r="17053" spans="1:3" x14ac:dyDescent="0.25">
      <c r="A17053" s="8" t="str">
        <f>"Proceedings of the 8th Workshop on Geographic Information Retrieval, GIR 2014"</f>
        <v>Proceedings of the 8th Workshop on Geographic Information Retrieval, GIR 2014</v>
      </c>
      <c r="B17053" s="8" t="str">
        <f>"9781450331357"</f>
        <v>9781450331357</v>
      </c>
      <c r="C17053" s="8" t="s">
        <v>1235</v>
      </c>
    </row>
    <row r="17054" spans="1:3" x14ac:dyDescent="0.25">
      <c r="A17054" s="8" t="str">
        <f>"Proceedings of the 8th Workshop on Implementation, Compilation, Optimization of Object-Oriented Languages, Programs and Systems, ICOOOLPS 2013"</f>
        <v>Proceedings of the 8th Workshop on Implementation, Compilation, Optimization of Object-Oriented Languages, Programs and Systems, ICOOOLPS 2013</v>
      </c>
      <c r="B17054" s="8" t="str">
        <f>"9781450320450"</f>
        <v>9781450320450</v>
      </c>
      <c r="C17054" s="8" t="s">
        <v>21</v>
      </c>
    </row>
    <row r="17055" spans="1:3" x14ac:dyDescent="0.25">
      <c r="A17055" s="8" t="str">
        <f>"Proceedings of the 8th Workshop on Middleware for Next Generation Internet Computing, MW4NG 2013 - Co-located with the 14th ACM/IFIP/USENIX International Middleware Conference, Middleware 2013"</f>
        <v>Proceedings of the 8th Workshop on Middleware for Next Generation Internet Computing, MW4NG 2013 - Co-located with the 14th ACM/IFIP/USENIX International Middleware Conference, Middleware 2013</v>
      </c>
      <c r="B17055" s="8" t="str">
        <f>"9781450325516"</f>
        <v>9781450325516</v>
      </c>
      <c r="C17055" s="8" t="s">
        <v>21</v>
      </c>
    </row>
    <row r="17056" spans="1:3" x14ac:dyDescent="0.25">
      <c r="A17056" s="8" t="str">
        <f>"Proceedings of the 8th Workshop on Mining and Learning with Graphs, MLG'10"</f>
        <v>Proceedings of the 8th Workshop on Mining and Learning with Graphs, MLG'10</v>
      </c>
      <c r="B17056" s="8" t="str">
        <f>"9781450302142"</f>
        <v>9781450302142</v>
      </c>
      <c r="C17056" s="8" t="s">
        <v>21</v>
      </c>
    </row>
    <row r="17057" spans="1:3" x14ac:dyDescent="0.25">
      <c r="A17057" s="8" t="str">
        <f>"Proceedings of the 8th Workshop on Parallel/High-Performance Object-Oriented Scientific Computing, POOSC '09"</f>
        <v>Proceedings of the 8th Workshop on Parallel/High-Performance Object-Oriented Scientific Computing, POOSC '09</v>
      </c>
      <c r="B17057" s="8" t="str">
        <f>"9781605585475"</f>
        <v>9781605585475</v>
      </c>
      <c r="C17057" s="8" t="s">
        <v>21</v>
      </c>
    </row>
    <row r="17058" spans="1:3" x14ac:dyDescent="0.25">
      <c r="A17058" s="8" t="str">
        <f>"Proceedings of the 8th Workshop on Positioning Navigation and Communication 2011, WPNC 2011"</f>
        <v>Proceedings of the 8th Workshop on Positioning Navigation and Communication 2011, WPNC 2011</v>
      </c>
      <c r="B17058" s="8" t="str">
        <f>"9781457704505"</f>
        <v>9781457704505</v>
      </c>
      <c r="C17058" s="8" t="s">
        <v>9</v>
      </c>
    </row>
    <row r="17059" spans="1:3" x14ac:dyDescent="0.25">
      <c r="A17059" s="8" t="str">
        <f>"Proceedings of the 8th Workshop on Social Network Mining and Analysis, SNAKDD 2014"</f>
        <v>Proceedings of the 8th Workshop on Social Network Mining and Analysis, SNAKDD 2014</v>
      </c>
      <c r="B17059" s="8" t="str">
        <f>"9781450331920"</f>
        <v>9781450331920</v>
      </c>
      <c r="C17059" s="8" t="s">
        <v>1235</v>
      </c>
    </row>
    <row r="17060" spans="1:3" x14ac:dyDescent="0.25">
      <c r="A17060" s="8" t="str">
        <f>"Proceedings of the 8th WSEAS International Conference on Applied Electromagnetics, Wireless and Optical Communications, ELECTRO '10"</f>
        <v>Proceedings of the 8th WSEAS International Conference on Applied Electromagnetics, Wireless and Optical Communications, ELECTRO '10</v>
      </c>
      <c r="B17060" s="8" t="str">
        <f>"9789604741670"</f>
        <v>9789604741670</v>
      </c>
      <c r="C17060" s="8" t="s">
        <v>553</v>
      </c>
    </row>
    <row r="17061" spans="1:3" x14ac:dyDescent="0.25">
      <c r="A17061" s="8" t="str">
        <f>"Proceedings of the 8th WSEAS International Conference on Data Networks, Communications, Computers, DNCOCO '09"</f>
        <v>Proceedings of the 8th WSEAS International Conference on Data Networks, Communications, Computers, DNCOCO '09</v>
      </c>
      <c r="B17061" s="8" t="str">
        <f>"9789604741342"</f>
        <v>9789604741342</v>
      </c>
      <c r="C17061" s="8" t="s">
        <v>553</v>
      </c>
    </row>
    <row r="17062" spans="1:3" x14ac:dyDescent="0.25">
      <c r="A17062" s="8" t="str">
        <f>"Proceedings of the 8th WSEAS International Conference on Education and Educational Technology, EDU '09"</f>
        <v>Proceedings of the 8th WSEAS International Conference on Education and Educational Technology, EDU '09</v>
      </c>
      <c r="B17062" s="8" t="str">
        <f>"9789604741281"</f>
        <v>9789604741281</v>
      </c>
      <c r="C17062" s="8" t="s">
        <v>553</v>
      </c>
    </row>
    <row r="17063" spans="1:3" x14ac:dyDescent="0.25">
      <c r="A17063" s="8" t="str">
        <f>"Proceedings of the 8th WSEAS International Conference on System Science and Simulation in Engineering, ICOSSSE '09"</f>
        <v>Proceedings of the 8th WSEAS International Conference on System Science and Simulation in Engineering, ICOSSSE '09</v>
      </c>
      <c r="B17063" s="8" t="str">
        <f>"9789604741311"</f>
        <v>9789604741311</v>
      </c>
      <c r="C17063" s="8" t="s">
        <v>553</v>
      </c>
    </row>
    <row r="17064" spans="1:3" x14ac:dyDescent="0.25">
      <c r="A17064" s="8" t="str">
        <f>"Proceedings of the 9th (2010) ISOPE Pacific/Asia Offshore Mechanics Symposium, PACOMS-2010"</f>
        <v>Proceedings of the 9th (2010) ISOPE Pacific/Asia Offshore Mechanics Symposium, PACOMS-2010</v>
      </c>
      <c r="B17064" s="8" t="str">
        <f>"9781880653791"</f>
        <v>9781880653791</v>
      </c>
      <c r="C17064" s="8" t="s">
        <v>594</v>
      </c>
    </row>
    <row r="17065" spans="1:3" x14ac:dyDescent="0.25">
      <c r="A17065" s="8" t="str">
        <f>"Proceedings of the 9th AAAI Conference on Artificial Intelligence and Interactive Digital Entertainment, AIIDE 2013"</f>
        <v>Proceedings of the 9th AAAI Conference on Artificial Intelligence and Interactive Digital Entertainment, AIIDE 2013</v>
      </c>
      <c r="B17065" s="8" t="str">
        <f>"-"</f>
        <v>-</v>
      </c>
      <c r="C17065" s="8" t="s">
        <v>956</v>
      </c>
    </row>
    <row r="17066" spans="1:3" x14ac:dyDescent="0.25">
      <c r="A17066" s="8" t="str">
        <f>"Proceedings of the 9th ACM International Conference on Underwater Networks and Systems, WUWNET 2014"</f>
        <v>Proceedings of the 9th ACM International Conference on Underwater Networks and Systems, WUWNET 2014</v>
      </c>
      <c r="B17066" s="8" t="str">
        <f>"9781450332774"</f>
        <v>9781450332774</v>
      </c>
      <c r="C17066" s="8" t="s">
        <v>1235</v>
      </c>
    </row>
    <row r="17067" spans="1:3" x14ac:dyDescent="0.25">
      <c r="A17067" s="8" t="str">
        <f>"Proceedings of the 9th ACM Workshop on Hot Topics in Networks, Hotnets-9"</f>
        <v>Proceedings of the 9th ACM Workshop on Hot Topics in Networks, Hotnets-9</v>
      </c>
      <c r="B17067" s="8" t="str">
        <f>"9781450304092"</f>
        <v>9781450304092</v>
      </c>
      <c r="C17067" s="8" t="s">
        <v>21</v>
      </c>
    </row>
    <row r="17068" spans="1:3" x14ac:dyDescent="0.25">
      <c r="A17068" s="8" t="str">
        <f>"Proceedings of the 9th ACM/IEEE International Conference on Information Processing in Sensor Networks, IPSN '10"</f>
        <v>Proceedings of the 9th ACM/IEEE International Conference on Information Processing in Sensor Networks, IPSN '10</v>
      </c>
      <c r="B17068" s="8" t="str">
        <f>"9781605589886"</f>
        <v>9781605589886</v>
      </c>
      <c r="C17068" s="8" t="s">
        <v>21</v>
      </c>
    </row>
    <row r="17069" spans="1:3" x14ac:dyDescent="0.25">
      <c r="A17069" s="8" t="str">
        <f>"Proceedings of the 9th Annual SIGCSE Conference on Innovation and Technology in Computer Science Education"</f>
        <v>Proceedings of the 9th Annual SIGCSE Conference on Innovation and Technology in Computer Science Education</v>
      </c>
      <c r="B17069" s="8" t="str">
        <f>"9781581138368"</f>
        <v>9781581138368</v>
      </c>
      <c r="C17069" s="8" t="s">
        <v>21</v>
      </c>
    </row>
    <row r="17070" spans="1:3" x14ac:dyDescent="0.25">
      <c r="A17070" s="8" t="str">
        <f>"Proceedings of the 9th Asia-Pacific International Conference on Gravitation and Astrophysics, ICGA 2009"</f>
        <v>Proceedings of the 9th Asia-Pacific International Conference on Gravitation and Astrophysics, ICGA 2009</v>
      </c>
      <c r="B17070" s="8" t="str">
        <f>"9789814307666"</f>
        <v>9789814307666</v>
      </c>
      <c r="C17070" s="8" t="s">
        <v>157</v>
      </c>
    </row>
    <row r="17071" spans="1:3" x14ac:dyDescent="0.25">
      <c r="A17071" s="8" t="str">
        <f>"Proceedings of the 9th Australian Digital Forensics Conference"</f>
        <v>Proceedings of the 9th Australian Digital Forensics Conference</v>
      </c>
      <c r="B17071" s="8" t="str">
        <f>"9780729806954"</f>
        <v>9780729806954</v>
      </c>
      <c r="C17071" s="8" t="s">
        <v>2227</v>
      </c>
    </row>
    <row r="17072" spans="1:3" x14ac:dyDescent="0.25">
      <c r="A17072" s="8" t="str">
        <f>"Proceedings of the 9th Australian Information Security Management Conference"</f>
        <v>Proceedings of the 9th Australian Information Security Management Conference</v>
      </c>
      <c r="B17072" s="8" t="str">
        <f>"9780729806985"</f>
        <v>9780729806985</v>
      </c>
      <c r="C17072" s="8" t="s">
        <v>2227</v>
      </c>
    </row>
    <row r="17073" spans="1:3" x14ac:dyDescent="0.25">
      <c r="A17073" s="8" t="str">
        <f>"Proceedings of the 9th Conference on Man-Machine-Environment System Engineering"</f>
        <v>Proceedings of the 9th Conference on Man-Machine-Environment System Engineering</v>
      </c>
      <c r="B17073" s="8" t="str">
        <f>"9781935068006"</f>
        <v>9781935068006</v>
      </c>
      <c r="C17073" s="8" t="s">
        <v>1300</v>
      </c>
    </row>
    <row r="17074" spans="1:3" x14ac:dyDescent="0.25">
      <c r="A17074" s="8" t="str">
        <f>"Proceedings of the 9th Conference on the Industrial and Commercial Use of Energy, ICUE 2012"</f>
        <v>Proceedings of the 9th Conference on the Industrial and Commercial Use of Energy, ICUE 2012</v>
      </c>
      <c r="B17074" s="8" t="str">
        <f>"9780981431185"</f>
        <v>9780981431185</v>
      </c>
      <c r="C17074" s="8" t="s">
        <v>9</v>
      </c>
    </row>
    <row r="17075" spans="1:3" x14ac:dyDescent="0.25">
      <c r="A17075" s="8" t="str">
        <f>"Proceedings of the 9th EUROMICRO Conference on Digital System Design: Architectures, Methods and Tools, DSD 2006"</f>
        <v>Proceedings of the 9th EUROMICRO Conference on Digital System Design: Architectures, Methods and Tools, DSD 2006</v>
      </c>
      <c r="B17075" s="8" t="str">
        <f>"9780769526096"</f>
        <v>9780769526096</v>
      </c>
      <c r="C17075" s="8" t="s">
        <v>9</v>
      </c>
    </row>
    <row r="17076" spans="1:3" x14ac:dyDescent="0.25">
      <c r="A17076" s="8" t="str">
        <f>"Proceedings of the 9th European Conference on Computer Systems, EuroSys 2014"</f>
        <v>Proceedings of the 9th European Conference on Computer Systems, EuroSys 2014</v>
      </c>
      <c r="B17076" s="8" t="str">
        <f>"9781450327046"</f>
        <v>9781450327046</v>
      </c>
      <c r="C17076" s="8" t="s">
        <v>21</v>
      </c>
    </row>
    <row r="17077" spans="1:3" x14ac:dyDescent="0.25">
      <c r="A17077" s="8" t="str">
        <f>"Proceedings of the 9th European Conference on Wireless Technology, ECWT 2006"</f>
        <v>Proceedings of the 9th European Conference on Wireless Technology, ECWT 2006</v>
      </c>
      <c r="B17077" s="8" t="str">
        <f>"9782960055153"</f>
        <v>9782960055153</v>
      </c>
      <c r="C17077" s="8" t="s">
        <v>9</v>
      </c>
    </row>
    <row r="17078" spans="1:3" x14ac:dyDescent="0.25">
      <c r="A17078" s="8" t="str">
        <f>"Proceedings of the 9th IAPR Conference on Machine Vision Applications, MVA 2005"</f>
        <v>Proceedings of the 9th IAPR Conference on Machine Vision Applications, MVA 2005</v>
      </c>
      <c r="B17078" s="8" t="str">
        <f>"9784901122047"</f>
        <v>9784901122047</v>
      </c>
      <c r="C17078" s="8" t="s">
        <v>2118</v>
      </c>
    </row>
    <row r="17079" spans="1:3" x14ac:dyDescent="0.25">
      <c r="A17079" s="8" t="str">
        <f>"Proceedings of the 9th IASTED European Conference on Power and Energy Systems, EuroPES 2009"</f>
        <v>Proceedings of the 9th IASTED European Conference on Power and Energy Systems, EuroPES 2009</v>
      </c>
      <c r="B17079" s="8" t="str">
        <f>"9780889868076"</f>
        <v>9780889868076</v>
      </c>
      <c r="C17079" s="8" t="s">
        <v>305</v>
      </c>
    </row>
    <row r="17080" spans="1:3" x14ac:dyDescent="0.25">
      <c r="A17080" s="8" t="str">
        <f>"Proceedings of the 9th IASTED International Conference on Artificial Intelligence and Soft Computing, ASC 2005"</f>
        <v>Proceedings of the 9th IASTED International Conference on Artificial Intelligence and Soft Computing, ASC 2005</v>
      </c>
      <c r="B17080" s="8" t="str">
        <f>"9780889865365"</f>
        <v>9780889865365</v>
      </c>
      <c r="C17080" s="8" t="s">
        <v>305</v>
      </c>
    </row>
    <row r="17081" spans="1:3" x14ac:dyDescent="0.25">
      <c r="A17081" s="8" t="str">
        <f>"Proceedings of the 9th IASTED International Conference on Biomedical Engineering, BioMed 2012"</f>
        <v>Proceedings of the 9th IASTED International Conference on Biomedical Engineering, BioMed 2012</v>
      </c>
      <c r="B17081" s="8" t="str">
        <f>"9780889869097"</f>
        <v>9780889869097</v>
      </c>
      <c r="C17081" s="8" t="s">
        <v>305</v>
      </c>
    </row>
    <row r="17082" spans="1:3" x14ac:dyDescent="0.25">
      <c r="A17082" s="8" t="str">
        <f>"Proceedings of the 9th IASTED International Conference on Computer Graphics and Imaging, CGIM 2007"</f>
        <v>Proceedings of the 9th IASTED International Conference on Computer Graphics and Imaging, CGIM 2007</v>
      </c>
      <c r="B17082" s="8" t="str">
        <f>"9780889866447"</f>
        <v>9780889866447</v>
      </c>
      <c r="C17082" s="8" t="s">
        <v>305</v>
      </c>
    </row>
    <row r="17083" spans="1:3" x14ac:dyDescent="0.25">
      <c r="A17083" s="8" t="str">
        <f>"Proceedings of the 9th IASTED International Conference on Control and Applications, CA 2007"</f>
        <v>Proceedings of the 9th IASTED International Conference on Control and Applications, CA 2007</v>
      </c>
      <c r="B17083" s="8" t="str">
        <f>"9780889866652"</f>
        <v>9780889866652</v>
      </c>
      <c r="C17083" s="8" t="s">
        <v>305</v>
      </c>
    </row>
    <row r="17084" spans="1:3" x14ac:dyDescent="0.25">
      <c r="A17084" s="8" t="str">
        <f>"Proceedings of the 9th IASTED International Conference on Parallel and Distributed Computing and Networks, PDCN 2010"</f>
        <v>Proceedings of the 9th IASTED International Conference on Parallel and Distributed Computing and Networks, PDCN 2010</v>
      </c>
      <c r="B17084" s="8" t="str">
        <f>"9780889868205"</f>
        <v>9780889868205</v>
      </c>
      <c r="C17084" s="8" t="s">
        <v>305</v>
      </c>
    </row>
    <row r="17085" spans="1:3" x14ac:dyDescent="0.25">
      <c r="A17085" s="8" t="str">
        <f>"Proceedings of the 9th IASTED International Conference on Signal and Image Processing, SIP 2007"</f>
        <v>Proceedings of the 9th IASTED International Conference on Signal and Image Processing, SIP 2007</v>
      </c>
      <c r="B17085" s="8" t="str">
        <f>"9780889866751"</f>
        <v>9780889866751</v>
      </c>
      <c r="C17085" s="8" t="s">
        <v>305</v>
      </c>
    </row>
    <row r="17086" spans="1:3" x14ac:dyDescent="0.25">
      <c r="A17086" s="8" t="str">
        <f>"Proceedings of the 9th IASTED International Conference on Software Engineering and Applications, SEA 2008"</f>
        <v>Proceedings of the 9th IASTED International Conference on Software Engineering and Applications, SEA 2008</v>
      </c>
      <c r="B17086" s="8" t="str">
        <f>"9780889867765"</f>
        <v>9780889867765</v>
      </c>
      <c r="C17086" s="8" t="s">
        <v>305</v>
      </c>
    </row>
    <row r="17087" spans="1:3" x14ac:dyDescent="0.25">
      <c r="A17087" s="8" t="str">
        <f>"Proceedings of the 9th IASTED International Conference on Visualization, Imaging, and Image Processing, VIIP 2009"</f>
        <v>Proceedings of the 9th IASTED International Conference on Visualization, Imaging, and Image Processing, VIIP 2009</v>
      </c>
      <c r="B17087" s="8" t="str">
        <f>"9780889868007"</f>
        <v>9780889868007</v>
      </c>
      <c r="C17087" s="8" t="s">
        <v>305</v>
      </c>
    </row>
    <row r="17088" spans="1:3" x14ac:dyDescent="0.25">
      <c r="A17088" s="8" t="str">
        <f>"Proceedings of the 9th IASTED International Conference on Wireless and Optical Communications, WOC 2009"</f>
        <v>Proceedings of the 9th IASTED International Conference on Wireless and Optical Communications, WOC 2009</v>
      </c>
      <c r="B17088" s="8" t="str">
        <f>"9780889867932"</f>
        <v>9780889867932</v>
      </c>
      <c r="C17088" s="8" t="s">
        <v>305</v>
      </c>
    </row>
    <row r="17089" spans="1:3" x14ac:dyDescent="0.25">
      <c r="A17089" s="8" t="str">
        <f>"Proceedings of the 9th IEEE International Conference on Cognitive Informatics, ICCI 2010"</f>
        <v>Proceedings of the 9th IEEE International Conference on Cognitive Informatics, ICCI 2010</v>
      </c>
      <c r="B17089" s="8" t="str">
        <f>"9781424480401"</f>
        <v>9781424480401</v>
      </c>
      <c r="C17089" s="8" t="s">
        <v>9</v>
      </c>
    </row>
    <row r="17090" spans="1:3" x14ac:dyDescent="0.25">
      <c r="A17090" s="8" t="str">
        <f>"Proceedings of the 9th IEEE International Conference on Collaborative Computing: Networking, Applications and Worksharing, COLLABORATECOM 2013"</f>
        <v>Proceedings of the 9th IEEE International Conference on Collaborative Computing: Networking, Applications and Worksharing, COLLABORATECOM 2013</v>
      </c>
      <c r="B17090" s="8" t="str">
        <f>"9781936968923"</f>
        <v>9781936968923</v>
      </c>
      <c r="C17090" s="8" t="s">
        <v>9</v>
      </c>
    </row>
    <row r="17091" spans="1:3" x14ac:dyDescent="0.25">
      <c r="A17091" s="8" t="str">
        <f>"Proceedings of the 9th IEEE International Conference on Malicious and Unwanted Software, MALCON 2014"</f>
        <v>Proceedings of the 9th IEEE International Conference on Malicious and Unwanted Software, MALCON 2014</v>
      </c>
      <c r="B17091" s="8" t="str">
        <f>"9781479973293"</f>
        <v>9781479973293</v>
      </c>
      <c r="C17091" s="8" t="s">
        <v>105</v>
      </c>
    </row>
    <row r="17092" spans="1:3" x14ac:dyDescent="0.25">
      <c r="A17092" s="8" t="str">
        <f>"Proceedings of the 9th IEEE International Symposium on Industrial Embedded Systems, SIES 2014"</f>
        <v>Proceedings of the 9th IEEE International Symposium on Industrial Embedded Systems, SIES 2014</v>
      </c>
      <c r="B17092" s="8" t="str">
        <f>"9781479940233"</f>
        <v>9781479940233</v>
      </c>
      <c r="C17092" s="8" t="s">
        <v>9</v>
      </c>
    </row>
    <row r="17093" spans="1:3" x14ac:dyDescent="0.25">
      <c r="A17093" s="8" t="str">
        <f>"Proceedings of the 9th Int. Workshop on Parallel and Distributed Methods in Verification, PDMC 2010 - Joint with the 2nd Int. Workshop on High Performance Computational Systems Biology, HiBi 2010"</f>
        <v>Proceedings of the 9th Int. Workshop on Parallel and Distributed Methods in Verification, PDMC 2010 - Joint with the 2nd Int. Workshop on High Performance Computational Systems Biology, HiBi 2010</v>
      </c>
      <c r="B17093" s="8" t="str">
        <f>"9780769542652"</f>
        <v>9780769542652</v>
      </c>
      <c r="C17093" s="8" t="s">
        <v>9</v>
      </c>
    </row>
    <row r="17094" spans="1:3" x14ac:dyDescent="0.25">
      <c r="A17094" s="8" t="str">
        <f>"Proceedings of the 9th International Advanced Automotive Battery and EC Capacitor Conference, AABC 2009"</f>
        <v>Proceedings of the 9th International Advanced Automotive Battery and EC Capacitor Conference, AABC 2009</v>
      </c>
      <c r="B17094" s="8" t="str">
        <f>"-"</f>
        <v>-</v>
      </c>
      <c r="C17094" s="8" t="s">
        <v>1242</v>
      </c>
    </row>
    <row r="17095" spans="1:3" x14ac:dyDescent="0.25">
      <c r="A17095" s="8" t="str">
        <f>"Proceedings of the 9th International Conference for Young Computer Scientists, ICYCS 2008"</f>
        <v>Proceedings of the 9th International Conference for Young Computer Scientists, ICYCS 2008</v>
      </c>
      <c r="B17095" s="8" t="str">
        <f>"9780769533988"</f>
        <v>9780769533988</v>
      </c>
      <c r="C17095" s="8" t="s">
        <v>9</v>
      </c>
    </row>
    <row r="17096" spans="1:3" x14ac:dyDescent="0.25">
      <c r="A17096" s="8" t="str">
        <f>"Proceedings of the 9th International Conference of Chinese Transportation Professionals, ICCTP 2009: Critical Issues in Transportation System Planning, Development, and Management"</f>
        <v>Proceedings of the 9th International Conference of Chinese Transportation Professionals, ICCTP 2009: Critical Issues in Transportation System Planning, Development, and Management</v>
      </c>
      <c r="B17096" s="8" t="str">
        <f>"9780784410646"</f>
        <v>9780784410646</v>
      </c>
      <c r="C17096" s="8" t="s">
        <v>111</v>
      </c>
    </row>
    <row r="17097" spans="1:3" x14ac:dyDescent="0.25">
      <c r="A17097" s="8" t="str">
        <f>"Proceedings of the 9th International Conference of the European Society for Precision Engineering and Nanotechnology, EUSPEN 2009"</f>
        <v>Proceedings of the 9th International Conference of the European Society for Precision Engineering and Nanotechnology, EUSPEN 2009</v>
      </c>
      <c r="B17097" s="8" t="str">
        <f>"-"</f>
        <v>-</v>
      </c>
      <c r="C17097" s="8" t="s">
        <v>1748</v>
      </c>
    </row>
    <row r="17098" spans="1:3" x14ac:dyDescent="0.25">
      <c r="A17098" s="8" t="str">
        <f>"Proceedings of the 9th International Conference on Computational Methods in Systems Biology, CMSB'11"</f>
        <v>Proceedings of the 9th International Conference on Computational Methods in Systems Biology, CMSB'11</v>
      </c>
      <c r="B17098" s="8" t="str">
        <f>"9781450308175"</f>
        <v>9781450308175</v>
      </c>
      <c r="C17098" s="8" t="s">
        <v>21</v>
      </c>
    </row>
    <row r="17099" spans="1:3" x14ac:dyDescent="0.25">
      <c r="A17099" s="8" t="str">
        <f>"Proceedings of the 9th International Conference on Computer Science and Education, ICCCSE 2014"</f>
        <v>Proceedings of the 9th International Conference on Computer Science and Education, ICCCSE 2014</v>
      </c>
      <c r="B17099" s="8" t="str">
        <f>"9781479929511"</f>
        <v>9781479929511</v>
      </c>
      <c r="C17099" s="8" t="s">
        <v>105</v>
      </c>
    </row>
    <row r="17100" spans="1:3" x14ac:dyDescent="0.25">
      <c r="A17100" s="8" t="str">
        <f>"Proceedings of the 9th International Conference on Computer Supported Cooperative Work in Design"</f>
        <v>Proceedings of the 9th International Conference on Computer Supported Cooperative Work in Design</v>
      </c>
      <c r="B17100" s="8" t="str">
        <f>"9781846000027"</f>
        <v>9781846000027</v>
      </c>
      <c r="C17100" s="8" t="s">
        <v>9</v>
      </c>
    </row>
    <row r="17101" spans="1:3" x14ac:dyDescent="0.25">
      <c r="A17101" s="8" t="str">
        <f>"Proceedings of the 9th International Conference on Computer Systems and Technologies and Workshop for PhD Students in Computing, CompSysTech'08"</f>
        <v>Proceedings of the 9th International Conference on Computer Systems and Technologies and Workshop for PhD Students in Computing, CompSysTech'08</v>
      </c>
      <c r="B17101" s="8" t="str">
        <f>"9789549641523"</f>
        <v>9789549641523</v>
      </c>
      <c r="C17101" s="8" t="s">
        <v>21</v>
      </c>
    </row>
    <row r="17102" spans="1:3" x14ac:dyDescent="0.25">
      <c r="A17102" s="8" t="str">
        <f>"Proceedings of the 9th International Conference on Digital Audio Effects, DAFx 2006"</f>
        <v>Proceedings of the 9th International Conference on Digital Audio Effects, DAFx 2006</v>
      </c>
      <c r="B17102" s="8" t="str">
        <f>"-"</f>
        <v>-</v>
      </c>
      <c r="C17102" s="8" t="s">
        <v>2240</v>
      </c>
    </row>
    <row r="17103" spans="1:3" x14ac:dyDescent="0.25">
      <c r="A17103" s="8" t="str">
        <f>"Proceedings of the 9th International Conference on Flavor Physics and CP Violation, FPCP 2011"</f>
        <v>Proceedings of the 9th International Conference on Flavor Physics and CP Violation, FPCP 2011</v>
      </c>
      <c r="B17103" s="8" t="str">
        <f>"-"</f>
        <v>-</v>
      </c>
      <c r="C17103" s="8" t="s">
        <v>2241</v>
      </c>
    </row>
    <row r="17104" spans="1:3" x14ac:dyDescent="0.25">
      <c r="A17104" s="8" t="str">
        <f>"Proceedings of the 9th International Conference on Information Technology, ITNG 2012"</f>
        <v>Proceedings of the 9th International Conference on Information Technology, ITNG 2012</v>
      </c>
      <c r="B17104" s="8" t="str">
        <f>"9780769546544"</f>
        <v>9780769546544</v>
      </c>
      <c r="C17104" s="8" t="s">
        <v>9</v>
      </c>
    </row>
    <row r="17105" spans="1:3" x14ac:dyDescent="0.25">
      <c r="A17105" s="8" t="str">
        <f>"Proceedings of the 9th International Conference on Intelligent Technologies, InTech'08"</f>
        <v>Proceedings of the 9th International Conference on Intelligent Technologies, InTech'08</v>
      </c>
      <c r="B17105" s="8" t="str">
        <f>"9789746152969"</f>
        <v>9789746152969</v>
      </c>
      <c r="C17105" s="8" t="s">
        <v>1918</v>
      </c>
    </row>
    <row r="17106" spans="1:3" x14ac:dyDescent="0.25">
      <c r="A17106" s="8" t="str">
        <f>"Proceedings of the 9th International Conference on Mobile and Wireless Communications Networks, MWCN'07"</f>
        <v>Proceedings of the 9th International Conference on Mobile and Wireless Communications Networks, MWCN'07</v>
      </c>
      <c r="B17106" s="8" t="str">
        <f>"9781424417193"</f>
        <v>9781424417193</v>
      </c>
      <c r="C17106" s="8" t="s">
        <v>9</v>
      </c>
    </row>
    <row r="17107" spans="1:3" x14ac:dyDescent="0.25">
      <c r="A17107" s="8" t="str">
        <f>"Proceedings of the 9th International Conference on Multimodal Interfaces, ICMI'07"</f>
        <v>Proceedings of the 9th International Conference on Multimodal Interfaces, ICMI'07</v>
      </c>
      <c r="B17107" s="8" t="str">
        <f>"9781595938176"</f>
        <v>9781595938176</v>
      </c>
      <c r="C17107" s="8" t="s">
        <v>21</v>
      </c>
    </row>
    <row r="17108" spans="1:3" x14ac:dyDescent="0.25">
      <c r="A17108" s="8" t="str">
        <f>"Proceedings of the 9th International Conference on Path Integrals: New Trends and Perspectives, PI 2007"</f>
        <v>Proceedings of the 9th International Conference on Path Integrals: New Trends and Perspectives, PI 2007</v>
      </c>
      <c r="B17108" s="8" t="str">
        <f>"9789812837264"</f>
        <v>9789812837264</v>
      </c>
      <c r="C17108" s="8" t="s">
        <v>157</v>
      </c>
    </row>
    <row r="17109" spans="1:3" x14ac:dyDescent="0.25">
      <c r="A17109" s="8" t="str">
        <f>"Proceedings of the 9th International Conference on Shock and Impact Loads on Structures"</f>
        <v>Proceedings of the 9th International Conference on Shock and Impact Loads on Structures</v>
      </c>
      <c r="B17109" s="8" t="str">
        <f>"9789810895297"</f>
        <v>9789810895297</v>
      </c>
      <c r="C17109" s="8" t="s">
        <v>2237</v>
      </c>
    </row>
    <row r="17110" spans="1:3" x14ac:dyDescent="0.25">
      <c r="A17110" s="8" t="str">
        <f>"Proceedings of the 9th International Conference on System of Systems Engineering: The Socio-Technical Perspective, SoSE 2014"</f>
        <v>Proceedings of the 9th International Conference on System of Systems Engineering: The Socio-Technical Perspective, SoSE 2014</v>
      </c>
      <c r="B17110" s="8" t="str">
        <f>"9781479952274"</f>
        <v>9781479952274</v>
      </c>
      <c r="C17110" s="8" t="s">
        <v>105</v>
      </c>
    </row>
    <row r="17111" spans="1:3" x14ac:dyDescent="0.25">
      <c r="A17111" s="8" t="str">
        <f>"Proceedings of the 9th International Conference on Telecommunications, ConTEL 2007"</f>
        <v>Proceedings of the 9th International Conference on Telecommunications, ConTEL 2007</v>
      </c>
      <c r="B17111" s="8" t="str">
        <f>"9789531841108"</f>
        <v>9789531841108</v>
      </c>
      <c r="C17111" s="8" t="s">
        <v>9</v>
      </c>
    </row>
    <row r="17112" spans="1:3" x14ac:dyDescent="0.25">
      <c r="A17112" s="8" t="str">
        <f>"Proceedings of the 9th International Conference on Textile Composites - TEXCOMP9: Recent Advances in Textile Composites"</f>
        <v>Proceedings of the 9th International Conference on Textile Composites - TEXCOMP9: Recent Advances in Textile Composites</v>
      </c>
      <c r="B17112" s="8" t="str">
        <f>"9781932078817"</f>
        <v>9781932078817</v>
      </c>
      <c r="C17112" s="8" t="s">
        <v>757</v>
      </c>
    </row>
    <row r="17113" spans="1:3" x14ac:dyDescent="0.25">
      <c r="A17113" s="8" t="str">
        <f>"Proceedings of the 9th International Conference on the Mediterranean Coastal Environment, MEDCOAST 2009"</f>
        <v>Proceedings of the 9th International Conference on the Mediterranean Coastal Environment, MEDCOAST 2009</v>
      </c>
      <c r="B17113" s="8" t="str">
        <f>"-"</f>
        <v>-</v>
      </c>
      <c r="C17113" s="8" t="s">
        <v>2133</v>
      </c>
    </row>
    <row r="17114" spans="1:3" x14ac:dyDescent="0.25">
      <c r="A17114" s="8" t="str">
        <f>"Proceedings of the 9th International Conference on the Principles and Practice of Programming in Java, PPPJ 2011"</f>
        <v>Proceedings of the 9th International Conference on the Principles and Practice of Programming in Java, PPPJ 2011</v>
      </c>
      <c r="B17114" s="8" t="str">
        <f>"9781450309356"</f>
        <v>9781450309356</v>
      </c>
      <c r="C17114" s="8" t="s">
        <v>21</v>
      </c>
    </row>
    <row r="17115" spans="1:3" x14ac:dyDescent="0.25">
      <c r="A17115" s="8" t="str">
        <f>"Proceedings of the 9th International DSM Conference"</f>
        <v>Proceedings of the 9th International DSM Conference</v>
      </c>
      <c r="B17115" s="8" t="str">
        <f>"9783832266417"</f>
        <v>9783832266417</v>
      </c>
      <c r="C17115" s="8" t="s">
        <v>1231</v>
      </c>
    </row>
    <row r="17116" spans="1:3" x14ac:dyDescent="0.25">
      <c r="A17116" s="8" t="str">
        <f>"Proceedings of the 9th International Scientific and Practical Conference of Students, Post-graduates and Young Scientists - Modern Techniques and Technologies, MTT' 2003"</f>
        <v>Proceedings of the 9th International Scientific and Practical Conference of Students, Post-graduates and Young Scientists - Modern Techniques and Technologies, MTT' 2003</v>
      </c>
      <c r="B17116" s="8" t="str">
        <f>"9780780376694"</f>
        <v>9780780376694</v>
      </c>
      <c r="C17116" s="8" t="s">
        <v>9</v>
      </c>
    </row>
    <row r="17117" spans="1:3" x14ac:dyDescent="0.25">
      <c r="A17117" s="8" t="str">
        <f>"Proceedings of the 9th International Scientific Conference Electric Power Engineering 2008, EPE 2008"</f>
        <v>Proceedings of the 9th International Scientific Conference Electric Power Engineering 2008, EPE 2008</v>
      </c>
      <c r="B17117" s="8" t="str">
        <f>"9788021436503"</f>
        <v>9788021436503</v>
      </c>
      <c r="C17117" s="8" t="s">
        <v>1290</v>
      </c>
    </row>
    <row r="17118" spans="1:3" x14ac:dyDescent="0.25">
      <c r="A17118" s="8" t="str">
        <f>"Proceedings of the 9th International Symposium on Chinese Spoken Language Processing, ISCSLP 2014"</f>
        <v>Proceedings of the 9th International Symposium on Chinese Spoken Language Processing, ISCSLP 2014</v>
      </c>
      <c r="B17118" s="8" t="str">
        <f>"9781479942206"</f>
        <v>9781479942206</v>
      </c>
      <c r="C17118" s="8" t="s">
        <v>105</v>
      </c>
    </row>
    <row r="17119" spans="1:3" x14ac:dyDescent="0.25">
      <c r="A17119" s="8" t="str">
        <f>"Proceedings of the 9th International Symposium on Measurement and Quality Control, ISMQC 2007"</f>
        <v>Proceedings of the 9th International Symposium on Measurement and Quality Control, ISMQC 2007</v>
      </c>
      <c r="B17119" s="8" t="str">
        <f>"9788190423526"</f>
        <v>9788190423526</v>
      </c>
      <c r="C17119" s="8" t="s">
        <v>2242</v>
      </c>
    </row>
    <row r="17120" spans="1:3" x14ac:dyDescent="0.25">
      <c r="A17120" s="8" t="str">
        <f>"Proceedings of the 9th International Symposium on Open Collaboration, WikiSym + OpenSym 2013"</f>
        <v>Proceedings of the 9th International Symposium on Open Collaboration, WikiSym + OpenSym 2013</v>
      </c>
      <c r="B17120" s="8" t="str">
        <f>"9781450318525"</f>
        <v>9781450318525</v>
      </c>
      <c r="C17120" s="8" t="s">
        <v>21</v>
      </c>
    </row>
    <row r="17121" spans="1:3" x14ac:dyDescent="0.25">
      <c r="A17121" s="8" t="str">
        <f>"Proceedings of the 9th International Symposium on Operational Research in Slovenia, SOR 2007"</f>
        <v>Proceedings of the 9th International Symposium on Operational Research in Slovenia, SOR 2007</v>
      </c>
      <c r="B17121" s="8" t="str">
        <f>"9789616165259"</f>
        <v>9789616165259</v>
      </c>
      <c r="C17121" s="8" t="s">
        <v>2145</v>
      </c>
    </row>
    <row r="17122" spans="1:3" x14ac:dyDescent="0.25">
      <c r="A17122" s="8" t="str">
        <f>"Proceedings of the 9th International Symposium on Quality Electronic Design, ISQED 2008"</f>
        <v>Proceedings of the 9th International Symposium on Quality Electronic Design, ISQED 2008</v>
      </c>
      <c r="B17122" s="8" t="str">
        <f>"9780769531175"</f>
        <v>9780769531175</v>
      </c>
      <c r="C17122" s="8" t="s">
        <v>9</v>
      </c>
    </row>
    <row r="17123" spans="1:3" x14ac:dyDescent="0.25">
      <c r="A17123" s="8" t="str">
        <f>"Proceedings of the 9th International Workshop on Adaptive and Reflective Middleware, ARM 2010"</f>
        <v>Proceedings of the 9th International Workshop on Adaptive and Reflective Middleware, ARM 2010</v>
      </c>
      <c r="B17123" s="8" t="str">
        <f>"9781450304559"</f>
        <v>9781450304559</v>
      </c>
      <c r="C17123" s="8" t="s">
        <v>21</v>
      </c>
    </row>
    <row r="17124" spans="1:3" x14ac:dyDescent="0.25">
      <c r="A17124" s="8" t="str">
        <f>"Proceedings of the 9th International Workshop on Middleware for Grids, Clouds and e-Science, MGC 2011, Co-located with ACM/IFIP/USENIX 12th International Middleware Conference"</f>
        <v>Proceedings of the 9th International Workshop on Middleware for Grids, Clouds and e-Science, MGC 2011, Co-located with ACM/IFIP/USENIX 12th International Middleware Conference</v>
      </c>
      <c r="B17124" s="8" t="str">
        <f>"9781450310680"</f>
        <v>9781450310680</v>
      </c>
      <c r="C17124" s="8" t="s">
        <v>21</v>
      </c>
    </row>
    <row r="17125" spans="1:3" x14ac:dyDescent="0.25">
      <c r="A17125" s="8" t="str">
        <f>"Proceedings of the 9th International Workshop on Natural Language Processing and Cognitive Science, NLPCS 2012, in Conjunction with ICEIS 2012"</f>
        <v>Proceedings of the 9th International Workshop on Natural Language Processing and Cognitive Science, NLPCS 2012, in Conjunction with ICEIS 2012</v>
      </c>
      <c r="B17125" s="8" t="str">
        <f>"9789898565167"</f>
        <v>9789898565167</v>
      </c>
      <c r="C17125" s="8" t="s">
        <v>1197</v>
      </c>
    </row>
    <row r="17126" spans="1:3" x14ac:dyDescent="0.25">
      <c r="A17126" s="8" t="str">
        <f>"Proceedings of the 9th International Workshop on Security in Information Systems, WOSIS 2012, in Conjunction with ICEIS 2012"</f>
        <v>Proceedings of the 9th International Workshop on Security in Information Systems, WOSIS 2012, in Conjunction with ICEIS 2012</v>
      </c>
      <c r="B17126" s="8" t="str">
        <f>"9789898565150"</f>
        <v>9789898565150</v>
      </c>
      <c r="C17126" s="8" t="s">
        <v>1197</v>
      </c>
    </row>
    <row r="17127" spans="1:3" x14ac:dyDescent="0.25">
      <c r="A17127" s="8" t="str">
        <f>"Proceedings of the 9th Joint Conference on Information Sciences, JCIS 2006"</f>
        <v>Proceedings of the 9th Joint Conference on Information Sciences, JCIS 2006</v>
      </c>
      <c r="B17127" s="8" t="str">
        <f>"-"</f>
        <v>-</v>
      </c>
      <c r="C17127" s="8" t="s">
        <v>1380</v>
      </c>
    </row>
    <row r="17128" spans="1:3" x14ac:dyDescent="0.25">
      <c r="A17128" s="8" t="str">
        <f>"Proceedings of the 9th Joint Conference on Knowledge-Based Software Engineering, JCKBSE 2010"</f>
        <v>Proceedings of the 9th Joint Conference on Knowledge-Based Software Engineering, JCKBSE 2010</v>
      </c>
      <c r="B17128" s="8" t="str">
        <f>"9789955258445"</f>
        <v>9789955258445</v>
      </c>
      <c r="C17128" s="8" t="s">
        <v>1140</v>
      </c>
    </row>
    <row r="17129" spans="1:3" x14ac:dyDescent="0.25">
      <c r="A17129" s="8" t="str">
        <f>"Proceedings of the 9th Middleware Doctoral Symposium of the 13th ACM/IFIP/USENIX International Middleware Conference, MIDDLEWARE 2012"</f>
        <v>Proceedings of the 9th Middleware Doctoral Symposium of the 13th ACM/IFIP/USENIX International Middleware Conference, MIDDLEWARE 2012</v>
      </c>
      <c r="B17129" s="8" t="str">
        <f>"9781450316118"</f>
        <v>9781450316118</v>
      </c>
      <c r="C17129" s="8" t="s">
        <v>21</v>
      </c>
    </row>
    <row r="17130" spans="1:3" x14ac:dyDescent="0.25">
      <c r="A17130" s="8" t="str">
        <f>"Proceedings of the 9th United Engineering Foundation Conference on Risk-Based Decisionmaking in Water Resources - Risk-Based Decisionmaking in Water Resources IX"</f>
        <v>Proceedings of the 9th United Engineering Foundation Conference on Risk-Based Decisionmaking in Water Resources - Risk-Based Decisionmaking in Water Resources IX</v>
      </c>
      <c r="B17130" s="8" t="str">
        <f>"9780784405772"</f>
        <v>9780784405772</v>
      </c>
      <c r="C17130" s="8" t="s">
        <v>111</v>
      </c>
    </row>
    <row r="17131" spans="1:3" x14ac:dyDescent="0.25">
      <c r="A17131" s="8" t="str">
        <f>"Proceedings of the 9th USA/Europe Air Traffic Management Research and Development Seminar, ATM 2011"</f>
        <v>Proceedings of the 9th USA/Europe Air Traffic Management Research and Development Seminar, ATM 2011</v>
      </c>
      <c r="B17131" s="8" t="str">
        <f>"9781510801721"</f>
        <v>9781510801721</v>
      </c>
      <c r="C17131" s="8" t="s">
        <v>1532</v>
      </c>
    </row>
    <row r="17132" spans="1:3" x14ac:dyDescent="0.25">
      <c r="A17132" s="8" t="str">
        <f>"Proceedings of the 9th Workshop on Algorithm Engineering and Experiments and the 4th Workshop on Analytic Algorithms and Combinatorics"</f>
        <v>Proceedings of the 9th Workshop on Algorithm Engineering and Experiments and the 4th Workshop on Analytic Algorithms and Combinatorics</v>
      </c>
      <c r="B17132" s="8" t="str">
        <f>"9780898716283"</f>
        <v>9780898716283</v>
      </c>
      <c r="C17132" s="8" t="s">
        <v>249</v>
      </c>
    </row>
    <row r="17133" spans="1:3" x14ac:dyDescent="0.25">
      <c r="A17133" s="8" t="str">
        <f>"Proceedings of the 9th Workshop on Embedded Systems Security, WESS 2014"</f>
        <v>Proceedings of the 9th Workshop on Embedded Systems Security, WESS 2014</v>
      </c>
      <c r="B17133" s="8" t="str">
        <f>"9781450329323"</f>
        <v>9781450329323</v>
      </c>
      <c r="C17133" s="8" t="s">
        <v>1235</v>
      </c>
    </row>
    <row r="17134" spans="1:3" x14ac:dyDescent="0.25">
      <c r="A17134" s="8" t="str">
        <f>"Proceedings of the 9th Workshop on Hot Topics in Dependable Systems, HotDep 2013"</f>
        <v>Proceedings of the 9th Workshop on Hot Topics in Dependable Systems, HotDep 2013</v>
      </c>
      <c r="B17134" s="8" t="str">
        <f>"9781450324571"</f>
        <v>9781450324571</v>
      </c>
      <c r="C17134" s="8" t="s">
        <v>21</v>
      </c>
    </row>
    <row r="17135" spans="1:3" x14ac:dyDescent="0.25">
      <c r="A17135" s="8" t="str">
        <f>"Proceedings of the 9th WSEAS International Conference on Applications of Computer Engineering, ACE '10"</f>
        <v>Proceedings of the 9th WSEAS International Conference on Applications of Computer Engineering, ACE '10</v>
      </c>
      <c r="B17135" s="8" t="str">
        <f>"9789604741663"</f>
        <v>9789604741663</v>
      </c>
      <c r="C17135" s="8" t="s">
        <v>553</v>
      </c>
    </row>
    <row r="17136" spans="1:3" x14ac:dyDescent="0.25">
      <c r="A17136" s="8" t="str">
        <f>"Proceedings of the 9th WSEAS International Conference on Applications of Electrical Engineering, AEE '10"</f>
        <v>Proceedings of the 9th WSEAS International Conference on Applications of Electrical Engineering, AEE '10</v>
      </c>
      <c r="B17136" s="8" t="str">
        <f>"9789604741717"</f>
        <v>9789604741717</v>
      </c>
      <c r="C17136" s="8" t="s">
        <v>553</v>
      </c>
    </row>
    <row r="17137" spans="1:3" x14ac:dyDescent="0.25">
      <c r="A17137" s="8" t="str">
        <f>"Proceedings of the 9th WSEAS International Conference on Applied Computer and Applied Computational Science, ACACOS '10"</f>
        <v>Proceedings of the 9th WSEAS International Conference on Applied Computer and Applied Computational Science, ACACOS '10</v>
      </c>
      <c r="B17137" s="8" t="str">
        <f>"9789604741731"</f>
        <v>9789604741731</v>
      </c>
      <c r="C17137" s="8" t="s">
        <v>553</v>
      </c>
    </row>
    <row r="17138" spans="1:3" x14ac:dyDescent="0.25">
      <c r="A17138" s="8" t="str">
        <f>"Proceedings of the 9th WSEAS International Conference on Applied Computer Science, ACS '09"</f>
        <v>Proceedings of the 9th WSEAS International Conference on Applied Computer Science, ACS '09</v>
      </c>
      <c r="B17138" s="8" t="str">
        <f>"9789604741274"</f>
        <v>9789604741274</v>
      </c>
      <c r="C17138" s="8" t="s">
        <v>553</v>
      </c>
    </row>
    <row r="17139" spans="1:3" x14ac:dyDescent="0.25">
      <c r="A17139" s="8" t="str">
        <f>"Proceedings of the 9th WSEAS International Conference on Automatic Control, Modeling and Simulation, ACMOS '07"</f>
        <v>Proceedings of the 9th WSEAS International Conference on Automatic Control, Modeling and Simulation, ACMOS '07</v>
      </c>
      <c r="B17139" s="8" t="str">
        <f>"9789608457720"</f>
        <v>9789608457720</v>
      </c>
      <c r="C17139" s="8" t="s">
        <v>553</v>
      </c>
    </row>
    <row r="17140" spans="1:3" x14ac:dyDescent="0.25">
      <c r="A17140" s="8" t="str">
        <f>"Proceedings of the 9th WSEAS International Conference on Instrumentation, Measurement, Circuits and Systems, IMCAS '10"</f>
        <v>Proceedings of the 9th WSEAS International Conference on Instrumentation, Measurement, Circuits and Systems, IMCAS '10</v>
      </c>
      <c r="B17140" s="8" t="str">
        <f>"9789604741748"</f>
        <v>9789604741748</v>
      </c>
      <c r="C17140" s="8" t="s">
        <v>553</v>
      </c>
    </row>
    <row r="17141" spans="1:3" x14ac:dyDescent="0.25">
      <c r="A17141" s="8" t="str">
        <f>"Proceedings of the 9th WSEAS International Conference on Power Systems, PS '09"</f>
        <v>Proceedings of the 9th WSEAS International Conference on Power Systems, PS '09</v>
      </c>
      <c r="B17141" s="8" t="str">
        <f>"9789604741120"</f>
        <v>9789604741120</v>
      </c>
      <c r="C17141" s="8" t="s">
        <v>553</v>
      </c>
    </row>
    <row r="17142" spans="1:3" x14ac:dyDescent="0.25">
      <c r="A17142" s="8" t="str">
        <f>"Proceedings of the 9th WSEAS International Conference on Signal Processing, Computational Geometry and Artificial Vision, ISCGAV '09"</f>
        <v>Proceedings of the 9th WSEAS International Conference on Signal Processing, Computational Geometry and Artificial Vision, ISCGAV '09</v>
      </c>
      <c r="B17142" s="8" t="str">
        <f>"9789604741083"</f>
        <v>9789604741083</v>
      </c>
      <c r="C17142" s="8" t="s">
        <v>553</v>
      </c>
    </row>
    <row r="17143" spans="1:3" x14ac:dyDescent="0.25">
      <c r="A17143" s="8" t="str">
        <f>"Proceedings of the 9th WSEAS International Conference on Signal, Speech and Image Processing, SSIP '09, Proc. 9th WSEAS Int. Conf. Multimedia, Internet and Video Technologies, MIV '09"</f>
        <v>Proceedings of the 9th WSEAS International Conference on Signal, Speech and Image Processing, SSIP '09, Proc. 9th WSEAS Int. Conf. Multimedia, Internet and Video Technologies, MIV '09</v>
      </c>
      <c r="B17143" s="8" t="str">
        <f>"9789604741144"</f>
        <v>9789604741144</v>
      </c>
      <c r="C17143" s="8" t="s">
        <v>553</v>
      </c>
    </row>
    <row r="17144" spans="1:3" x14ac:dyDescent="0.25">
      <c r="A17144" s="8" t="str">
        <f>"Proceedings of the 9th WSEAS International Conference on Systems Theory and Scientific Computation, ISTASC '09"</f>
        <v>Proceedings of the 9th WSEAS International Conference on Systems Theory and Scientific Computation, ISTASC '09</v>
      </c>
      <c r="B17144" s="8" t="str">
        <f>"9789604741090"</f>
        <v>9789604741090</v>
      </c>
      <c r="C17144" s="8" t="s">
        <v>553</v>
      </c>
    </row>
    <row r="17145" spans="1:3" x14ac:dyDescent="0.25">
      <c r="A17145" s="8" t="str">
        <f>"Proceedings of the 9th WSEAS/IASME International Conference on Electric Power Systems, High Voltages, Electric Machines, POWER '09"</f>
        <v>Proceedings of the 9th WSEAS/IASME International Conference on Electric Power Systems, High Voltages, Electric Machines, POWER '09</v>
      </c>
      <c r="B17145" s="8" t="str">
        <f>"9789604741304"</f>
        <v>9789604741304</v>
      </c>
      <c r="C17145" s="8" t="s">
        <v>553</v>
      </c>
    </row>
    <row r="17146" spans="1:3" x14ac:dyDescent="0.25">
      <c r="A17146" s="8" t="str">
        <f>"Proceedings of the A and WMA Indoor Environmental Quality: Problems, Research and Solutions Conference 2006"</f>
        <v>Proceedings of the A and WMA Indoor Environmental Quality: Problems, Research and Solutions Conference 2006</v>
      </c>
      <c r="B17146" s="8" t="str">
        <f>"-"</f>
        <v>-</v>
      </c>
      <c r="C17146" s="8" t="s">
        <v>10</v>
      </c>
    </row>
    <row r="17147" spans="1:3" x14ac:dyDescent="0.25">
      <c r="A17147" s="8" t="str">
        <f>"Proceedings of the Academic Track of the 2008 Flexible Electronics and Displays - Conference and Exhibition, FLEX"</f>
        <v>Proceedings of the Academic Track of the 2008 Flexible Electronics and Displays - Conference and Exhibition, FLEX</v>
      </c>
      <c r="B17147" s="8" t="str">
        <f>"9781424420544"</f>
        <v>9781424420544</v>
      </c>
      <c r="C17147" s="8" t="s">
        <v>9</v>
      </c>
    </row>
    <row r="17148" spans="1:3" x14ac:dyDescent="0.25">
      <c r="A17148" s="8" t="str">
        <f>"Proceedings of the AccessNets 2007 - Second International Conference on Access Networks and Workshops"</f>
        <v>Proceedings of the AccessNets 2007 - Second International Conference on Access Networks and Workshops</v>
      </c>
      <c r="B17148" s="8" t="str">
        <f>"9781424411504"</f>
        <v>9781424411504</v>
      </c>
      <c r="C17148" s="8" t="s">
        <v>9</v>
      </c>
    </row>
    <row r="17149" spans="1:3" x14ac:dyDescent="0.25">
      <c r="A17149" s="8" t="str">
        <f>"Proceedings of the ACM CoNEXT Student Workshop, CoNEXT 2010"</f>
        <v>Proceedings of the ACM CoNEXT Student Workshop, CoNEXT 2010</v>
      </c>
      <c r="B17149" s="8" t="str">
        <f>"9781450304689"</f>
        <v>9781450304689</v>
      </c>
      <c r="C17149" s="8" t="s">
        <v>21</v>
      </c>
    </row>
    <row r="17150" spans="1:3" x14ac:dyDescent="0.25">
      <c r="A17150" s="8" t="str">
        <f>"Proceedings of the ACM CoNEXT Student Workshop, CoNEXT 2011"</f>
        <v>Proceedings of the ACM CoNEXT Student Workshop, CoNEXT 2011</v>
      </c>
      <c r="B17150" s="8" t="str">
        <f>"9781595930361"</f>
        <v>9781595930361</v>
      </c>
      <c r="C17150" s="8" t="s">
        <v>21</v>
      </c>
    </row>
    <row r="17151" spans="1:3" x14ac:dyDescent="0.25">
      <c r="A17151" s="8" t="str">
        <f>"Proceedings of the ACM Great Lakes Symposium on VLSI"</f>
        <v>Proceedings of the ACM Great Lakes Symposium on VLSI</v>
      </c>
      <c r="B17151" s="8" t="str">
        <f>"9781581138535"</f>
        <v>9781581138535</v>
      </c>
      <c r="C17151" s="8" t="s">
        <v>21</v>
      </c>
    </row>
    <row r="17152" spans="1:3" x14ac:dyDescent="0.25">
      <c r="A17152" s="8" t="str">
        <f>"Proceedings of the ACM IEEE International Conference on Digital Libraries, JCDL 2004"</f>
        <v>Proceedings of the ACM IEEE International Conference on Digital Libraries, JCDL 2004</v>
      </c>
      <c r="B17152" s="8" t="str">
        <f>"9781581138320"</f>
        <v>9781581138320</v>
      </c>
      <c r="C17152" s="8" t="s">
        <v>21</v>
      </c>
    </row>
    <row r="17153" spans="1:3" x14ac:dyDescent="0.25">
      <c r="A17153" s="8" t="str">
        <f>"Proceedings of the ACM International Conference Companion on Object Oriented Programming Systems Languages and Applications Companion, SPLASH '10"</f>
        <v>Proceedings of the ACM International Conference Companion on Object Oriented Programming Systems Languages and Applications Companion, SPLASH '10</v>
      </c>
      <c r="B17153" s="8" t="str">
        <f>"9781450302401"</f>
        <v>9781450302401</v>
      </c>
      <c r="C17153" s="8" t="s">
        <v>21</v>
      </c>
    </row>
    <row r="17154" spans="1:3" x14ac:dyDescent="0.25">
      <c r="A17154" s="8" t="str">
        <f>"Proceedings of the ACM International Conference on Computing Frontiers, CF 2013"</f>
        <v>Proceedings of the ACM International Conference on Computing Frontiers, CF 2013</v>
      </c>
      <c r="B17154" s="8" t="str">
        <f>"9781450320535"</f>
        <v>9781450320535</v>
      </c>
      <c r="C17154" s="8" t="s">
        <v>21</v>
      </c>
    </row>
    <row r="17155" spans="1:3" x14ac:dyDescent="0.25">
      <c r="A17155" s="8" t="str">
        <f>"Proceedings of the ACM International Conference on Interactive Tabletops and Surfaces, ITS'11"</f>
        <v>Proceedings of the ACM International Conference on Interactive Tabletops and Surfaces, ITS'11</v>
      </c>
      <c r="B17155" s="8" t="str">
        <f>"9781450308717"</f>
        <v>9781450308717</v>
      </c>
      <c r="C17155" s="8" t="s">
        <v>21</v>
      </c>
    </row>
    <row r="17156" spans="1:3" x14ac:dyDescent="0.25">
      <c r="A17156" s="8" t="str">
        <f>"Proceedings of the ACM International Workshop on Mobile Commerce"</f>
        <v>Proceedings of the ACM International Workshop on Mobile Commerce</v>
      </c>
      <c r="B17156" s="8" t="str">
        <f>"9781581136005"</f>
        <v>9781581136005</v>
      </c>
      <c r="C17156" s="8" t="s">
        <v>21</v>
      </c>
    </row>
    <row r="17157" spans="1:3" x14ac:dyDescent="0.25">
      <c r="A17157" s="8" t="str">
        <f>"Proceedings of the ACM International Workshop on Modeling, Analysis and Simulation of Wireless and Mobile Systems, MSWiM 2003"</f>
        <v>Proceedings of the ACM International Workshop on Modeling, Analysis and Simulation of Wireless and Mobile Systems, MSWiM 2003</v>
      </c>
      <c r="B17157" s="8" t="str">
        <f>"9781581137668"</f>
        <v>9781581137668</v>
      </c>
      <c r="C17157" s="8" t="s">
        <v>21</v>
      </c>
    </row>
    <row r="17158" spans="1:3" x14ac:dyDescent="0.25">
      <c r="A17158" s="8" t="str">
        <f>"Proceedings of the ACM International Workshop on Principles of Mobile Commerce"</f>
        <v>Proceedings of the ACM International Workshop on Principles of Mobile Commerce</v>
      </c>
      <c r="B17158" s="8" t="str">
        <f>"9781581135114"</f>
        <v>9781581135114</v>
      </c>
      <c r="C17158" s="8" t="s">
        <v>21</v>
      </c>
    </row>
    <row r="17159" spans="1:3" x14ac:dyDescent="0.25">
      <c r="A17159" s="8" t="str">
        <f>"Proceedings of the ACM International Workshop on Wireless Sensor Networks and Applications"</f>
        <v>Proceedings of the ACM International Workshop on Wireless Sensor Networks and Applications</v>
      </c>
      <c r="B17159" s="8" t="str">
        <f>"9781581135893"</f>
        <v>9781581135893</v>
      </c>
      <c r="C17159" s="8" t="s">
        <v>21</v>
      </c>
    </row>
    <row r="17160" spans="1:3" x14ac:dyDescent="0.25">
      <c r="A17160" s="8" t="str">
        <f>"Proceedings of the ACM SIGACT-SIGMOD-SIGART Symposium on Principles of Database Systems"</f>
        <v>Proceedings of the ACM SIGACT-SIGMOD-SIGART Symposium on Principles of Database Systems</v>
      </c>
      <c r="B17160" s="8" t="str">
        <f>"-"</f>
        <v>-</v>
      </c>
      <c r="C17160" s="8" t="s">
        <v>21</v>
      </c>
    </row>
    <row r="17161" spans="1:3" x14ac:dyDescent="0.25">
      <c r="A17161" s="8" t="str">
        <f>"Proceedings of the ACM SIGCOMM 2004 Workshops"</f>
        <v>Proceedings of the ACM SIGCOMM 2004 Workshops</v>
      </c>
      <c r="B17161" s="8" t="str">
        <f>"9781581139426"</f>
        <v>9781581139426</v>
      </c>
      <c r="C17161" s="8" t="s">
        <v>21</v>
      </c>
    </row>
    <row r="17162" spans="1:3" x14ac:dyDescent="0.25">
      <c r="A17162" s="8" t="str">
        <f>"Proceedings of the ACM SIGCOMM 2005 Workshop on Delay-Tolerant Networking, WDTN 2005"</f>
        <v>Proceedings of the ACM SIGCOMM 2005 Workshop on Delay-Tolerant Networking, WDTN 2005</v>
      </c>
      <c r="B17162" s="8" t="str">
        <f>"9781595930262"</f>
        <v>9781595930262</v>
      </c>
      <c r="C17162" s="8" t="s">
        <v>21</v>
      </c>
    </row>
    <row r="17163" spans="1:3" x14ac:dyDescent="0.25">
      <c r="A17163" s="8" t="str">
        <f>"Proceedings of the ACM SIGCOMM 2005 Workshop on Experimental Approaches to Wireless Network Design and Analysis, E-WIND 2005"</f>
        <v>Proceedings of the ACM SIGCOMM 2005 Workshop on Experimental Approaches to Wireless Network Design and Analysis, E-WIND 2005</v>
      </c>
      <c r="B17163" s="8" t="str">
        <f>"9781595930262"</f>
        <v>9781595930262</v>
      </c>
      <c r="C17163" s="8" t="s">
        <v>21</v>
      </c>
    </row>
    <row r="17164" spans="1:3" x14ac:dyDescent="0.25">
      <c r="A17164" s="8" t="str">
        <f>"Proceedings of the ACM SIGCOMM 2008 Conference on Computer Communications -1st Workshop on Online Social Networks, WOSP'08"</f>
        <v>Proceedings of the ACM SIGCOMM 2008 Conference on Computer Communications -1st Workshop on Online Social Networks, WOSP'08</v>
      </c>
      <c r="B17164" s="8" t="str">
        <f>"9781605581828"</f>
        <v>9781605581828</v>
      </c>
      <c r="C17164" s="8" t="s">
        <v>21</v>
      </c>
    </row>
    <row r="17165" spans="1:3" x14ac:dyDescent="0.25">
      <c r="A17165" s="8" t="str">
        <f>"Proceedings of the ACM SIGCOMM 2008 Conference on Computer Communications -2nd ACM SIGCOMM Workshop on Networked Systems for Developing Regions, NSDR'08"</f>
        <v>Proceedings of the ACM SIGCOMM 2008 Conference on Computer Communications -2nd ACM SIGCOMM Workshop on Networked Systems for Developing Regions, NSDR'08</v>
      </c>
      <c r="B17165" s="8" t="str">
        <f>"9781605581804"</f>
        <v>9781605581804</v>
      </c>
      <c r="C17165" s="8" t="s">
        <v>21</v>
      </c>
    </row>
    <row r="17166" spans="1:3" x14ac:dyDescent="0.25">
      <c r="A17166" s="8" t="str">
        <f>"Proceedings of the ACM SIGCOMM 2009 Conference on Data Communication, SIGCOMM 2009"</f>
        <v>Proceedings of the ACM SIGCOMM 2009 Conference on Data Communication, SIGCOMM 2009</v>
      </c>
      <c r="B17166" s="8" t="str">
        <f>"-"</f>
        <v>-</v>
      </c>
      <c r="C17166" s="8" t="s">
        <v>21</v>
      </c>
    </row>
    <row r="17167" spans="1:3" x14ac:dyDescent="0.25">
      <c r="A17167" s="8" t="str">
        <f>"Proceedings of the ACM SIGCOMM 2011 Conference, SIGCOMM'11"</f>
        <v>Proceedings of the ACM SIGCOMM 2011 Conference, SIGCOMM'11</v>
      </c>
      <c r="B17167" s="8" t="str">
        <f>"9781450307970"</f>
        <v>9781450307970</v>
      </c>
      <c r="C17167" s="8" t="s">
        <v>21</v>
      </c>
    </row>
    <row r="17168" spans="1:3" x14ac:dyDescent="0.25">
      <c r="A17168" s="8" t="str">
        <f>"Proceedings of the ACM SIGCOMM Workshop on Future Directions in Network Architecture, FDNA '03"</f>
        <v>Proceedings of the ACM SIGCOMM Workshop on Future Directions in Network Architecture, FDNA '03</v>
      </c>
      <c r="B17168" s="8" t="str">
        <f>"-"</f>
        <v>-</v>
      </c>
      <c r="C17168" s="8" t="s">
        <v>21</v>
      </c>
    </row>
    <row r="17169" spans="1:3" x14ac:dyDescent="0.25">
      <c r="A17169" s="8" t="str">
        <f>"Proceedings of the ACM SIGCOMM Workshop on Information-Centric Networking, ICN'11"</f>
        <v>Proceedings of the ACM SIGCOMM Workshop on Information-Centric Networking, ICN'11</v>
      </c>
      <c r="B17169" s="8" t="str">
        <f>"9781450308014"</f>
        <v>9781450308014</v>
      </c>
      <c r="C17169" s="8" t="s">
        <v>21</v>
      </c>
    </row>
    <row r="17170" spans="1:3" x14ac:dyDescent="0.25">
      <c r="A17170" s="8" t="str">
        <f>"Proceedings of the ACM SIGCOMM Workshop on Models, Methods and Tools for Reproducible Network Research, MoMeTools '03"</f>
        <v>Proceedings of the ACM SIGCOMM Workshop on Models, Methods and Tools for Reproducible Network Research, MoMeTools '03</v>
      </c>
      <c r="B17170" s="8" t="str">
        <f>"-"</f>
        <v>-</v>
      </c>
      <c r="C17170" s="8" t="s">
        <v>21</v>
      </c>
    </row>
    <row r="17171" spans="1:3" x14ac:dyDescent="0.25">
      <c r="A17171" s="8" t="str">
        <f>"Proceedings of the ACM SIGCOMM Workshop on Network and System Support for Games, NetGames'04"</f>
        <v>Proceedings of the ACM SIGCOMM Workshop on Network and System Support for Games, NetGames'04</v>
      </c>
      <c r="B17171" s="8" t="str">
        <f>"9781581139426"</f>
        <v>9781581139426</v>
      </c>
      <c r="C17171" s="8" t="s">
        <v>21</v>
      </c>
    </row>
    <row r="17172" spans="1:3" x14ac:dyDescent="0.25">
      <c r="A17172" s="8" t="str">
        <f>"Proceedings of the ACM SIGCOMM Workshops"</f>
        <v>Proceedings of the ACM SIGCOMM Workshops</v>
      </c>
      <c r="B17172" s="8" t="str">
        <f>"9781581137484"</f>
        <v>9781581137484</v>
      </c>
      <c r="C17172" s="8" t="s">
        <v>21</v>
      </c>
    </row>
    <row r="17173" spans="1:3" x14ac:dyDescent="0.25">
      <c r="A17173" s="8" t="str">
        <f>"Proceedings of the ACM SIGKDD 2013 Workshop on Interactive Data Exploration and Analytics, IDEA 2013"</f>
        <v>Proceedings of the ACM SIGKDD 2013 Workshop on Interactive Data Exploration and Analytics, IDEA 2013</v>
      </c>
      <c r="B17173" s="8" t="str">
        <f>"9781450323291"</f>
        <v>9781450323291</v>
      </c>
      <c r="C17173" s="8" t="s">
        <v>21</v>
      </c>
    </row>
    <row r="17174" spans="1:3" x14ac:dyDescent="0.25">
      <c r="A17174" s="8" t="str">
        <f>"Proceedings of the ACM SIGKDD Workshop on CyberSecurity and Intelligence Informatics, CSI-KDD in Conjunction with SIGKDD'09"</f>
        <v>Proceedings of the ACM SIGKDD Workshop on CyberSecurity and Intelligence Informatics, CSI-KDD in Conjunction with SIGKDD'09</v>
      </c>
      <c r="B17174" s="8" t="str">
        <f>"9781605586694"</f>
        <v>9781605586694</v>
      </c>
      <c r="C17174" s="8" t="s">
        <v>21</v>
      </c>
    </row>
    <row r="17175" spans="1:3" x14ac:dyDescent="0.25">
      <c r="A17175" s="8" t="str">
        <f>"Proceedings of the ACM SIGKDD Workshop on Human Computation, HCOMP '09"</f>
        <v>Proceedings of the ACM SIGKDD Workshop on Human Computation, HCOMP '09</v>
      </c>
      <c r="B17175" s="8" t="str">
        <f>"9781605586724"</f>
        <v>9781605586724</v>
      </c>
      <c r="C17175" s="8" t="s">
        <v>21</v>
      </c>
    </row>
    <row r="17176" spans="1:3" x14ac:dyDescent="0.25">
      <c r="A17176" s="8" t="str">
        <f>"Proceedings of the ACM SIGKDD Workshop on Intelligence and Security Informatics 2010, ISI-KDD 2010"</f>
        <v>Proceedings of the ACM SIGKDD Workshop on Intelligence and Security Informatics 2010, ISI-KDD 2010</v>
      </c>
      <c r="B17176" s="8" t="str">
        <f>"9781450302234"</f>
        <v>9781450302234</v>
      </c>
      <c r="C17176" s="8" t="s">
        <v>21</v>
      </c>
    </row>
    <row r="17177" spans="1:3" x14ac:dyDescent="0.25">
      <c r="A17177" s="8" t="str">
        <f>"Proceedings of the ACM SIGKDD Workshop on Outlier Detection and Description, ODD 2013"</f>
        <v>Proceedings of the ACM SIGKDD Workshop on Outlier Detection and Description, ODD 2013</v>
      </c>
      <c r="B17177" s="8" t="str">
        <f>"9781450323352"</f>
        <v>9781450323352</v>
      </c>
      <c r="C17177" s="8" t="s">
        <v>21</v>
      </c>
    </row>
    <row r="17178" spans="1:3" x14ac:dyDescent="0.25">
      <c r="A17178" s="8" t="str">
        <f>"Proceedings of the ACM SIGKDD Workshop on Visual Analytics and Knowledge Discovery, VAKD '09"</f>
        <v>Proceedings of the ACM SIGKDD Workshop on Visual Analytics and Knowledge Discovery, VAKD '09</v>
      </c>
      <c r="B17178" s="8" t="str">
        <f>"9781605586700"</f>
        <v>9781605586700</v>
      </c>
      <c r="C17178" s="8" t="s">
        <v>21</v>
      </c>
    </row>
    <row r="17179" spans="1:3" x14ac:dyDescent="0.25">
      <c r="A17179" s="8" t="str">
        <f>"Proceedings of the ACM SIGMIS CPR Conference"</f>
        <v>Proceedings of the ACM SIGMIS CPR Conference</v>
      </c>
      <c r="B17179" s="8" t="str">
        <f>"9781581136661"</f>
        <v>9781581136661</v>
      </c>
      <c r="C17179" s="8" t="s">
        <v>21</v>
      </c>
    </row>
    <row r="17180" spans="1:3" x14ac:dyDescent="0.25">
      <c r="A17180" s="8" t="str">
        <f>"Proceedings of the ACM SIGMM 2004 Workshop on Effective Telepresence - ETP 2004"</f>
        <v>Proceedings of the ACM SIGMM 2004 Workshop on Effective Telepresence - ETP 2004</v>
      </c>
      <c r="B17180" s="8" t="str">
        <f>"9781581139334"</f>
        <v>9781581139334</v>
      </c>
      <c r="C17180" s="8" t="s">
        <v>21</v>
      </c>
    </row>
    <row r="17181" spans="1:3" x14ac:dyDescent="0.25">
      <c r="A17181" s="8" t="str">
        <f>"Proceedings of the ACM SIGMOD Workshop on Databases and Social Networks, DBSocial 2013"</f>
        <v>Proceedings of the ACM SIGMOD Workshop on Databases and Social Networks, DBSocial 2013</v>
      </c>
      <c r="B17181" s="8" t="str">
        <f>"9781450321914"</f>
        <v>9781450321914</v>
      </c>
      <c r="C17181" s="8" t="s">
        <v>21</v>
      </c>
    </row>
    <row r="17182" spans="1:3" x14ac:dyDescent="0.25">
      <c r="A17182" s="8" t="str">
        <f>"Proceedings of the ACM SIGPLAN 2004 Erlang Workshop"</f>
        <v>Proceedings of the ACM SIGPLAN 2004 Erlang Workshop</v>
      </c>
      <c r="B17182" s="8" t="str">
        <f>"9781581139181"</f>
        <v>9781581139181</v>
      </c>
      <c r="C17182" s="8" t="s">
        <v>21</v>
      </c>
    </row>
    <row r="17183" spans="1:3" x14ac:dyDescent="0.25">
      <c r="A17183" s="8" t="str">
        <f>"Proceedings of the ACM SIGPLAN 2004 Haskell Workshop, Haskell'04"</f>
        <v>Proceedings of the ACM SIGPLAN 2004 Haskell Workshop, Haskell'04</v>
      </c>
      <c r="B17183" s="8" t="str">
        <f>"9781581138504"</f>
        <v>9781581138504</v>
      </c>
      <c r="C17183" s="8" t="s">
        <v>21</v>
      </c>
    </row>
    <row r="17184" spans="1:3" x14ac:dyDescent="0.25">
      <c r="A17184" s="8" t="str">
        <f>"Proceedings of the ACM SIGPLAN 2006 Workshop on ML"</f>
        <v>Proceedings of the ACM SIGPLAN 2006 Workshop on ML</v>
      </c>
      <c r="B17184" s="8" t="str">
        <f>"-"</f>
        <v>-</v>
      </c>
      <c r="C17184" s="8" t="s">
        <v>21</v>
      </c>
    </row>
    <row r="17185" spans="1:3" x14ac:dyDescent="0.25">
      <c r="A17185" s="8" t="str">
        <f>"Proceedings of the ACM SIGPLAN 2012 X10 Workshop, X10 2012"</f>
        <v>Proceedings of the ACM SIGPLAN 2012 X10 Workshop, X10 2012</v>
      </c>
      <c r="B17185" s="8" t="str">
        <f>"9781450314916"</f>
        <v>9781450314916</v>
      </c>
      <c r="C17185" s="8" t="s">
        <v>21</v>
      </c>
    </row>
    <row r="17186" spans="1:3" x14ac:dyDescent="0.25">
      <c r="A17186" s="8" t="str">
        <f>"Proceedings of the ACM SIGPLAN 5th Workshop on Programming Languages and Analysis for Security, PLAS 2010"</f>
        <v>Proceedings of the ACM SIGPLAN 5th Workshop on Programming Languages and Analysis for Security, PLAS 2010</v>
      </c>
      <c r="B17186" s="8" t="str">
        <f>"9781605588278"</f>
        <v>9781605588278</v>
      </c>
      <c r="C17186" s="8" t="s">
        <v>21</v>
      </c>
    </row>
    <row r="17187" spans="1:3" x14ac:dyDescent="0.25">
      <c r="A17187" s="8" t="str">
        <f>"Proceedings of the ACM SIGPLAN 6th Workshop on Programming Languages and Analysis for Security, PLAS 2011"</f>
        <v>Proceedings of the ACM SIGPLAN 6th Workshop on Programming Languages and Analysis for Security, PLAS 2011</v>
      </c>
      <c r="B17187" s="8" t="str">
        <f>"9781450308304"</f>
        <v>9781450308304</v>
      </c>
      <c r="C17187" s="8" t="s">
        <v>21</v>
      </c>
    </row>
    <row r="17188" spans="1:3" x14ac:dyDescent="0.25">
      <c r="A17188" s="8" t="str">
        <f>"Proceedings of the ACM SIGPLAN Conference on Principles and Practice of Declarative Programming"</f>
        <v>Proceedings of the ACM SIGPLAN Conference on Principles and Practice of Declarative Programming</v>
      </c>
      <c r="B17188" s="8" t="str">
        <f>"9781581137057"</f>
        <v>9781581137057</v>
      </c>
      <c r="C17188" s="8" t="s">
        <v>21</v>
      </c>
    </row>
    <row r="17189" spans="1:3" x14ac:dyDescent="0.25">
      <c r="A17189" s="8" t="str">
        <f>"Proceedings of the ACM SIGPLAN Conference on Principles and Practice of Declarative Programming (PPDP'02)"</f>
        <v>Proceedings of the ACM SIGPLAN Conference on Principles and Practice of Declarative Programming (PPDP'02)</v>
      </c>
      <c r="B17189" s="8" t="str">
        <f>"9781581135282"</f>
        <v>9781581135282</v>
      </c>
      <c r="C17189" s="8" t="s">
        <v>21</v>
      </c>
    </row>
    <row r="17190" spans="1:3" x14ac:dyDescent="0.25">
      <c r="A17190" s="8" t="str">
        <f>"Proceedings of the ACM SIGPLAN International Workshop on State of the Art in Java Program Analysis, SOAP 2012"</f>
        <v>Proceedings of the ACM SIGPLAN International Workshop on State of the Art in Java Program Analysis, SOAP 2012</v>
      </c>
      <c r="B17190" s="8" t="str">
        <f>"9781450314909"</f>
        <v>9781450314909</v>
      </c>
      <c r="C17190" s="8" t="s">
        <v>21</v>
      </c>
    </row>
    <row r="17191" spans="1:3" x14ac:dyDescent="0.25">
      <c r="A17191" s="8" t="str">
        <f>"Proceedings of the ACM SIGPLAN Workshop on Memory System Performance, MSP 2004"</f>
        <v>Proceedings of the ACM SIGPLAN Workshop on Memory System Performance, MSP 2004</v>
      </c>
      <c r="B17191" s="8" t="str">
        <f>"9781581139419"</f>
        <v>9781581139419</v>
      </c>
      <c r="C17191" s="8" t="s">
        <v>21</v>
      </c>
    </row>
    <row r="17192" spans="1:3" x14ac:dyDescent="0.25">
      <c r="A17192" s="8" t="str">
        <f>"Proceedings of the ACM SIGSOFT 2000 International Symposium on Software Testing and Analysis"</f>
        <v>Proceedings of the ACM SIGSOFT 2000 International Symposium on Software Testing and Analysis</v>
      </c>
      <c r="B17192" s="8" t="str">
        <f>"9781581132663"</f>
        <v>9781581132663</v>
      </c>
      <c r="C17192" s="8" t="s">
        <v>21</v>
      </c>
    </row>
    <row r="17193" spans="1:3" x14ac:dyDescent="0.25">
      <c r="A17193" s="8" t="str">
        <f>"Proceedings of the ACM SIGSOFT 2002 International Symposium on Software Testing and Analysis"</f>
        <v>Proceedings of the ACM SIGSOFT 2002 International Symposium on Software Testing and Analysis</v>
      </c>
      <c r="B17193" s="8" t="str">
        <f>"9781581135626"</f>
        <v>9781581135626</v>
      </c>
      <c r="C17193" s="8" t="s">
        <v>21</v>
      </c>
    </row>
    <row r="17194" spans="1:3" x14ac:dyDescent="0.25">
      <c r="A17194" s="8" t="str">
        <f>"Proceedings of the ACM SIGSOFT 20th International Symposium on the Foundations of Software Engineering, FSE 2012"</f>
        <v>Proceedings of the ACM SIGSOFT 20th International Symposium on the Foundations of Software Engineering, FSE 2012</v>
      </c>
      <c r="B17194" s="8" t="str">
        <f>"9781450316149"</f>
        <v>9781450316149</v>
      </c>
      <c r="C17194" s="8" t="s">
        <v>21</v>
      </c>
    </row>
    <row r="17195" spans="1:3" x14ac:dyDescent="0.25">
      <c r="A17195" s="8" t="str">
        <f>"Proceedings of the ACM SIGSPATIAL 2nd International Workshop on High Performance and Distributed Geographic Information Systems, ACM SIGSPATIAL HPDGIS 2011"</f>
        <v>Proceedings of the ACM SIGSPATIAL 2nd International Workshop on High Performance and Distributed Geographic Information Systems, ACM SIGSPATIAL HPDGIS 2011</v>
      </c>
      <c r="B17195" s="8" t="str">
        <f>"9781450310406"</f>
        <v>9781450310406</v>
      </c>
      <c r="C17195" s="8" t="s">
        <v>21</v>
      </c>
    </row>
    <row r="17196" spans="1:3" x14ac:dyDescent="0.25">
      <c r="A17196" s="8" t="str">
        <f>"Proceedings of the ACM SIGSPATIAL International Workshop on GeoStreaming, IWGS 2010"</f>
        <v>Proceedings of the ACM SIGSPATIAL International Workshop on GeoStreaming, IWGS 2010</v>
      </c>
      <c r="B17196" s="8" t="str">
        <f>"9781450304313"</f>
        <v>9781450304313</v>
      </c>
      <c r="C17196" s="8" t="s">
        <v>21</v>
      </c>
    </row>
    <row r="17197" spans="1:3" x14ac:dyDescent="0.25">
      <c r="A17197" s="8" t="str">
        <f>"Proceedings of the ACM SIGSPATIAL International Workshop on GeoStreaming, IWGS 2012"</f>
        <v>Proceedings of the ACM SIGSPATIAL International Workshop on GeoStreaming, IWGS 2012</v>
      </c>
      <c r="B17197" s="8" t="str">
        <f>"9781450316958"</f>
        <v>9781450316958</v>
      </c>
      <c r="C17197" s="8" t="s">
        <v>21</v>
      </c>
    </row>
    <row r="17198" spans="1:3" x14ac:dyDescent="0.25">
      <c r="A17198" s="8" t="str">
        <f>"Proceedings of the ACM SIGSPATIAL International Workshop on High Performance and Distributed Geographic Information Systems, ACM SIGSPATIAL HPDGIS 2010"</f>
        <v>Proceedings of the ACM SIGSPATIAL International Workshop on High Performance and Distributed Geographic Information Systems, ACM SIGSPATIAL HPDGIS 2010</v>
      </c>
      <c r="B17198" s="8" t="str">
        <f>"9781450304320"</f>
        <v>9781450304320</v>
      </c>
      <c r="C17198" s="8" t="s">
        <v>21</v>
      </c>
    </row>
    <row r="17199" spans="1:3" x14ac:dyDescent="0.25">
      <c r="A17199" s="8" t="str">
        <f>"Proceedings of the ACM Symposium on Document Engineering"</f>
        <v>Proceedings of the ACM Symposium on Document Engineering</v>
      </c>
      <c r="B17199" s="8" t="str">
        <f>"9781581134322"</f>
        <v>9781581134322</v>
      </c>
      <c r="C17199" s="8" t="s">
        <v>21</v>
      </c>
    </row>
    <row r="17200" spans="1:3" x14ac:dyDescent="0.25">
      <c r="A17200" s="8" t="str">
        <f>"Proceedings of the ACM Workshop On Digital Rights Management, DRM'06. Co-located with the 13th ACM Conference on Computer and Communications Security, CCS'06"</f>
        <v>Proceedings of the ACM Workshop On Digital Rights Management, DRM'06. Co-located with the 13th ACM Conference on Computer and Communications Security, CCS'06</v>
      </c>
      <c r="B17200" s="8" t="str">
        <f>"9781595935557"</f>
        <v>9781595935557</v>
      </c>
      <c r="C17200" s="8" t="s">
        <v>21</v>
      </c>
    </row>
    <row r="17201" spans="1:3" x14ac:dyDescent="0.25">
      <c r="A17201" s="8" t="str">
        <f>"Proceedings of the ACM Workshop on Formal Methods in Security Engineering"</f>
        <v>Proceedings of the ACM Workshop on Formal Methods in Security Engineering</v>
      </c>
      <c r="B17201" s="8" t="str">
        <f>"9781581137811"</f>
        <v>9781581137811</v>
      </c>
      <c r="C17201" s="8" t="s">
        <v>21</v>
      </c>
    </row>
    <row r="17202" spans="1:3" x14ac:dyDescent="0.25">
      <c r="A17202" s="8" t="str">
        <f>"Proceedings of the ACM Workshop on Privacy in the Electronic Society"</f>
        <v>Proceedings of the ACM Workshop on Privacy in the Electronic Society</v>
      </c>
      <c r="B17202" s="8" t="str">
        <f>"9781581137767"</f>
        <v>9781581137767</v>
      </c>
      <c r="C17202" s="8" t="s">
        <v>21</v>
      </c>
    </row>
    <row r="17203" spans="1:3" x14ac:dyDescent="0.25">
      <c r="A17203" s="8" t="str">
        <f>"Proceedings of the ACM Workshop on Survivable and Self-Regenerative Systems"</f>
        <v>Proceedings of the ACM Workshop on Survivable and Self-Regenerative Systems</v>
      </c>
      <c r="B17203" s="8" t="str">
        <f>"9781581137842"</f>
        <v>9781581137842</v>
      </c>
      <c r="C17203" s="8" t="s">
        <v>21</v>
      </c>
    </row>
    <row r="17204" spans="1:3" x14ac:dyDescent="0.25">
      <c r="A17204" s="8" t="str">
        <f>"Proceedings of the ACM Workshop on XML Security"</f>
        <v>Proceedings of the ACM Workshop on XML Security</v>
      </c>
      <c r="B17204" s="8" t="str">
        <f>"9781581136326"</f>
        <v>9781581136326</v>
      </c>
      <c r="C17204" s="8" t="s">
        <v>21</v>
      </c>
    </row>
    <row r="17205" spans="1:3" x14ac:dyDescent="0.25">
      <c r="A17205" s="8" t="str">
        <f>"Proceedings of the ACM Workshop on XML Security 2003 (In Association with 10th ACM Conference on Computer and Communications Security)"</f>
        <v>Proceedings of the ACM Workshop on XML Security 2003 (In Association with 10th ACM Conference on Computer and Communications Security)</v>
      </c>
      <c r="B17205" s="8" t="str">
        <f>"9781581137774"</f>
        <v>9781581137774</v>
      </c>
      <c r="C17205" s="8" t="s">
        <v>21</v>
      </c>
    </row>
    <row r="17206" spans="1:3" x14ac:dyDescent="0.25">
      <c r="A17206" s="8" t="str">
        <f>"Proceedings of the ACM/IEEE 2005 Supercomputing Conference, SC'05"</f>
        <v>Proceedings of the ACM/IEEE 2005 Supercomputing Conference, SC'05</v>
      </c>
      <c r="B17206" s="8" t="str">
        <f>"-"</f>
        <v>-</v>
      </c>
      <c r="C17206" s="8" t="s">
        <v>9</v>
      </c>
    </row>
    <row r="17207" spans="1:3" x14ac:dyDescent="0.25">
      <c r="A17207" s="8" t="str">
        <f>"Proceedings of the ACM/IEEE 4th International Conference on Cyber-Physical Systems, ICCPS 2013"</f>
        <v>Proceedings of the ACM/IEEE 4th International Conference on Cyber-Physical Systems, ICCPS 2013</v>
      </c>
      <c r="B17207" s="8" t="str">
        <f>"9781450319966"</f>
        <v>9781450319966</v>
      </c>
      <c r="C17207" s="8" t="s">
        <v>21</v>
      </c>
    </row>
    <row r="17208" spans="1:3" x14ac:dyDescent="0.25">
      <c r="A17208" s="8" t="str">
        <f>"Proceedings of the ACM/IEEE SC 2004 Conference: Bridging Communities"</f>
        <v>Proceedings of the ACM/IEEE SC 2004 Conference: Bridging Communities</v>
      </c>
      <c r="B17208" s="8" t="str">
        <f>"9780769521534"</f>
        <v>9780769521534</v>
      </c>
      <c r="C17208" s="8" t="s">
        <v>105</v>
      </c>
    </row>
    <row r="17209" spans="1:3" x14ac:dyDescent="0.25">
      <c r="A17209" s="8" t="str">
        <f>"Proceedings of the Adaptive and Learning Agents Workshop 2012, ALA 2012 - Held in Conjunction with the 11th International Conference on Autonomous Agents and Multiagent Systems, AAMAS 2012"</f>
        <v>Proceedings of the Adaptive and Learning Agents Workshop 2012, ALA 2012 - Held in Conjunction with the 11th International Conference on Autonomous Agents and Multiagent Systems, AAMAS 2012</v>
      </c>
      <c r="B17209" s="8" t="str">
        <f>"-"</f>
        <v>-</v>
      </c>
      <c r="C17209" s="8" t="s">
        <v>2243</v>
      </c>
    </row>
    <row r="17210" spans="1:3" x14ac:dyDescent="0.25">
      <c r="A17210" s="8" t="str">
        <f>"Proceedings of the Adaptive and Learning Agents Workshop, ALA 2010 - In Conjunction with the 9th International Conference on Autonomous Agents and Multiagent Systems, AAMAS 2010"</f>
        <v>Proceedings of the Adaptive and Learning Agents Workshop, ALA 2010 - In Conjunction with the 9th International Conference on Autonomous Agents and Multiagent Systems, AAMAS 2010</v>
      </c>
      <c r="B17210" s="8" t="str">
        <f>"-"</f>
        <v>-</v>
      </c>
      <c r="C17210" s="8" t="s">
        <v>989</v>
      </c>
    </row>
    <row r="17211" spans="1:3" x14ac:dyDescent="0.25">
      <c r="A17211" s="8" t="str">
        <f>"Proceedings of the Advanced International Conference on Telecommunications and International Conference on Internet and Web Applications and Services, AICT/ICIW'06"</f>
        <v>Proceedings of the Advanced International Conference on Telecommunications and International Conference on Internet and Web Applications and Services, AICT/ICIW'06</v>
      </c>
      <c r="B17211" s="8" t="str">
        <f>"-"</f>
        <v>-</v>
      </c>
      <c r="C17211" s="8" t="s">
        <v>9</v>
      </c>
    </row>
    <row r="17212" spans="1:3" x14ac:dyDescent="0.25">
      <c r="A17212" s="8" t="str">
        <f>"Proceedings of the AEI 2008 Conference - AEI 2008: Building Integration Solutions"</f>
        <v>Proceedings of the AEI 2008 Conference - AEI 2008: Building Integration Solutions</v>
      </c>
      <c r="B17212" s="8" t="str">
        <f>"9780784410028"</f>
        <v>9780784410028</v>
      </c>
      <c r="C17212" s="8" t="s">
        <v>111</v>
      </c>
    </row>
    <row r="17213" spans="1:3" x14ac:dyDescent="0.25">
      <c r="A17213" s="8" t="str">
        <f>"Proceedings of the Agile Development Conference, ADC 2003"</f>
        <v>Proceedings of the Agile Development Conference, ADC 2003</v>
      </c>
      <c r="B17213" s="8" t="str">
        <f>"9780769520131"</f>
        <v>9780769520131</v>
      </c>
      <c r="C17213" s="8" t="s">
        <v>105</v>
      </c>
    </row>
    <row r="17214" spans="1:3" x14ac:dyDescent="0.25">
      <c r="A17214" s="8" t="str">
        <f>"Proceedings of the Agile Development Conference, ADC 2004"</f>
        <v>Proceedings of the Agile Development Conference, ADC 2004</v>
      </c>
      <c r="B17214" s="8" t="str">
        <f>"9780769522487"</f>
        <v>9780769522487</v>
      </c>
      <c r="C17214" s="8" t="s">
        <v>9</v>
      </c>
    </row>
    <row r="17215" spans="1:3" x14ac:dyDescent="0.25">
      <c r="A17215" s="8" t="str">
        <f>"Proceedings of the AIS SIG-ED IAIM 2012 Conference"</f>
        <v>Proceedings of the AIS SIG-ED IAIM 2012 Conference</v>
      </c>
      <c r="B17215" s="8" t="str">
        <f>"-"</f>
        <v>-</v>
      </c>
      <c r="C17215" s="8" t="s">
        <v>289</v>
      </c>
    </row>
    <row r="17216" spans="1:3" x14ac:dyDescent="0.25">
      <c r="A17216" s="8" t="str">
        <f>"Proceedings of the AIS SIG-ED IAIM 2013 Conference"</f>
        <v>Proceedings of the AIS SIG-ED IAIM 2013 Conference</v>
      </c>
      <c r="B17216" s="8" t="str">
        <f>"-"</f>
        <v>-</v>
      </c>
      <c r="C17216" s="8" t="s">
        <v>289</v>
      </c>
    </row>
    <row r="17217" spans="1:3" x14ac:dyDescent="0.25">
      <c r="A17217" s="8" t="str">
        <f>"Proceedings of the American Nuclear Society - International Congress on Advances in Nuclear Power Plants 2005, ICAPP'05"</f>
        <v>Proceedings of the American Nuclear Society - International Congress on Advances in Nuclear Power Plants 2005, ICAPP'05</v>
      </c>
      <c r="B17217" s="8" t="str">
        <f>"-"</f>
        <v>-</v>
      </c>
      <c r="C17217" s="8" t="s">
        <v>453</v>
      </c>
    </row>
    <row r="17218" spans="1:3" x14ac:dyDescent="0.25">
      <c r="A17218" s="8" t="str">
        <f>"Proceedings of the American Society for Composites - 29th Technical Conference,  ASC 2014; 16th US-Japan Conference on Composite Materials; ASTM-D30 Meeting"</f>
        <v>Proceedings of the American Society for Composites - 29th Technical Conference,  ASC 2014; 16th US-Japan Conference on Composite Materials; ASTM-D30 Meeting</v>
      </c>
      <c r="B17218" s="8" t="str">
        <f>"9781605951249"</f>
        <v>9781605951249</v>
      </c>
      <c r="C17218" s="8" t="s">
        <v>1313</v>
      </c>
    </row>
    <row r="17219" spans="1:3" x14ac:dyDescent="0.25">
      <c r="A17219" s="8" t="str">
        <f>"Proceedings of the American Society of Mechanical Engineers Fluids Engineering Division Summer Conference"</f>
        <v>Proceedings of the American Society of Mechanical Engineers Fluids Engineering Division Summer Conference</v>
      </c>
      <c r="B17219" s="8" t="str">
        <f>"9780791841983"</f>
        <v>9780791841983</v>
      </c>
      <c r="C17219" s="8" t="s">
        <v>1308</v>
      </c>
    </row>
    <row r="17220" spans="1:3" x14ac:dyDescent="0.25">
      <c r="A17220" s="8" t="str">
        <f>"Proceedings of the Annual Conference of China Association for Science and Technology"</f>
        <v>Proceedings of the Annual Conference of China Association for Science and Technology</v>
      </c>
      <c r="B17220" s="8" t="str">
        <f>"9787030144751"</f>
        <v>9787030144751</v>
      </c>
      <c r="C17220" s="8" t="s">
        <v>37</v>
      </c>
    </row>
    <row r="17221" spans="1:3" x14ac:dyDescent="0.25">
      <c r="A17221" s="8" t="str">
        <f>"Proceedings of the Annual Conference of China Association for Science and Technology"</f>
        <v>Proceedings of the Annual Conference of China Association for Science and Technology</v>
      </c>
      <c r="B17221" s="8" t="str">
        <f>"9787030144751"</f>
        <v>9787030144751</v>
      </c>
    </row>
    <row r="17222" spans="1:3" x14ac:dyDescent="0.25">
      <c r="A17222" s="8" t="str">
        <f>"Proceedings of the Annual Conference of the Prognostics and Health Management Society 2011, PHM 2011"</f>
        <v>Proceedings of the Annual Conference of the Prognostics and Health Management Society 2011, PHM 2011</v>
      </c>
      <c r="B17222" s="8" t="str">
        <f>"9781936263035"</f>
        <v>9781936263035</v>
      </c>
      <c r="C17222" s="8" t="s">
        <v>967</v>
      </c>
    </row>
    <row r="17223" spans="1:3" x14ac:dyDescent="0.25">
      <c r="A17223" s="8" t="str">
        <f>"Proceedings of the Annual European Aviation Safety Seminar"</f>
        <v>Proceedings of the Annual European Aviation Safety Seminar</v>
      </c>
      <c r="B17223" s="8" t="str">
        <f>"-"</f>
        <v>-</v>
      </c>
      <c r="C17223" s="8" t="s">
        <v>548</v>
      </c>
    </row>
    <row r="17224" spans="1:3" x14ac:dyDescent="0.25">
      <c r="A17224" s="8" t="str">
        <f>"Proceedings of the Annual ISA Analysis Division Symposium"</f>
        <v>Proceedings of the Annual ISA Analysis Division Symposium</v>
      </c>
      <c r="B17224" s="8" t="str">
        <f>"9781617828836"</f>
        <v>9781617828836</v>
      </c>
      <c r="C17224" s="8" t="s">
        <v>188</v>
      </c>
    </row>
    <row r="17225" spans="1:3" x14ac:dyDescent="0.25">
      <c r="A17225" s="8" t="str">
        <f>"Proceedings of the Annual ISA Analysis Division Symposium"</f>
        <v>Proceedings of the Annual ISA Analysis Division Symposium</v>
      </c>
      <c r="B17225" s="8" t="str">
        <f>"9781617828836"</f>
        <v>9781617828836</v>
      </c>
      <c r="C17225" s="8" t="s">
        <v>1525</v>
      </c>
    </row>
    <row r="17226" spans="1:3" x14ac:dyDescent="0.25">
      <c r="A17226" s="8" t="str">
        <f>"Proceedings of the Annual SIGCSE Conference on Innovation and Technology in Computer Science Education (ITiSCE)"</f>
        <v>Proceedings of the Annual SIGCSE Conference on Innovation and Technology in Computer Science Education (ITiSCE)</v>
      </c>
      <c r="B17226" s="8" t="str">
        <f>"9781581134995"</f>
        <v>9781581134995</v>
      </c>
      <c r="C17226" s="8" t="s">
        <v>21</v>
      </c>
    </row>
    <row r="17227" spans="1:3" x14ac:dyDescent="0.25">
      <c r="A17227" s="8" t="str">
        <f>"Proceedings of the Annual SIGCSE Conference on Innovation and Technology in Computer Science Education (ITiSCE)"</f>
        <v>Proceedings of the Annual SIGCSE Conference on Innovation and Technology in Computer Science Education (ITiSCE)</v>
      </c>
      <c r="B17227" s="8" t="str">
        <f>"9781581136722"</f>
        <v>9781581136722</v>
      </c>
      <c r="C17227" s="8" t="s">
        <v>21</v>
      </c>
    </row>
    <row r="17228" spans="1:3" x14ac:dyDescent="0.25">
      <c r="A17228" s="8" t="str">
        <f>"Proceedings of the Annual Symposium - Energy for Sustainable Development: World Nuclear Association"</f>
        <v>Proceedings of the Annual Symposium - Energy for Sustainable Development: World Nuclear Association</v>
      </c>
      <c r="B17228" s="8" t="str">
        <f>"-"</f>
        <v>-</v>
      </c>
      <c r="C17228" s="8" t="s">
        <v>1487</v>
      </c>
    </row>
    <row r="17229" spans="1:3" x14ac:dyDescent="0.25">
      <c r="A17229" s="8" t="str">
        <f>"Proceedings of the APL Berlin 2000 Conference"</f>
        <v>Proceedings of the APL Berlin 2000 Conference</v>
      </c>
      <c r="B17229" s="8" t="str">
        <f>"9781581131826"</f>
        <v>9781581131826</v>
      </c>
      <c r="C17229" s="8" t="s">
        <v>21</v>
      </c>
    </row>
    <row r="17230" spans="1:3" x14ac:dyDescent="0.25">
      <c r="A17230" s="8" t="str">
        <f>"Proceedings of the APL98 Conference"</f>
        <v>Proceedings of the APL98 Conference</v>
      </c>
      <c r="B17230" s="8" t="str">
        <f>"9781581131819"</f>
        <v>9781581131819</v>
      </c>
      <c r="C17230" s="8" t="s">
        <v>21</v>
      </c>
    </row>
    <row r="17231" spans="1:3" x14ac:dyDescent="0.25">
      <c r="A17231" s="8" t="str">
        <f>"Proceedings of the Argentine School of Micro-Nanoelectronics, Technology and Applications 2008, EAMTA"</f>
        <v>Proceedings of the Argentine School of Micro-Nanoelectronics, Technology and Applications 2008, EAMTA</v>
      </c>
      <c r="B17231" s="8" t="str">
        <f>"9789876550031"</f>
        <v>9789876550031</v>
      </c>
      <c r="C17231" s="8" t="s">
        <v>9</v>
      </c>
    </row>
    <row r="17232" spans="1:3" x14ac:dyDescent="0.25">
      <c r="A17232" s="8" t="str">
        <f>"Proceedings of the Argentine School of Micro-Nanoelectronics, Technology and Applications 2009, EAMTA 2009"</f>
        <v>Proceedings of the Argentine School of Micro-Nanoelectronics, Technology and Applications 2009, EAMTA 2009</v>
      </c>
      <c r="B17232" s="8" t="str">
        <f>"9781424448357"</f>
        <v>9781424448357</v>
      </c>
      <c r="C17232" s="8" t="s">
        <v>9</v>
      </c>
    </row>
    <row r="17233" spans="1:3" x14ac:dyDescent="0.25">
      <c r="A17233" s="8" t="str">
        <f>"Proceedings of the Argentine-Uruguay School of Micro-Nanoelectronics, Technology and Applications 2010, EAMTA 2010"</f>
        <v>Proceedings of the Argentine-Uruguay School of Micro-Nanoelectronics, Technology and Applications 2010, EAMTA 2010</v>
      </c>
      <c r="B17233" s="8" t="str">
        <f>"9789871620142"</f>
        <v>9789871620142</v>
      </c>
      <c r="C17233" s="8" t="s">
        <v>9</v>
      </c>
    </row>
    <row r="17234" spans="1:3" x14ac:dyDescent="0.25">
      <c r="A17234" s="8" t="str">
        <f>"Proceedings of the ASCE Geo-Institute Specialty Conference on Performance Confirmation of Constructed Geotechnical Facilities - Performance Confirmation of Constructed Geotechnical Facilities, GSP 94"</f>
        <v>Proceedings of the ASCE Geo-Institute Specialty Conference on Performance Confirmation of Constructed Geotechnical Facilities - Performance Confirmation of Constructed Geotechnical Facilities, GSP 94</v>
      </c>
      <c r="B17234" s="8" t="str">
        <f>"9780784404867"</f>
        <v>9780784404867</v>
      </c>
      <c r="C17234" s="8" t="s">
        <v>111</v>
      </c>
    </row>
    <row r="17235" spans="1:3" x14ac:dyDescent="0.25">
      <c r="A17235" s="8" t="str">
        <f>"Proceedings of the ASCE International Conference on Pipeline Engineering and Construction: New Pipeline Technologies, Security, and Safety"</f>
        <v>Proceedings of the ASCE International Conference on Pipeline Engineering and Construction: New Pipeline Technologies, Security, and Safety</v>
      </c>
      <c r="B17235" s="8" t="str">
        <f>"9780784406908"</f>
        <v>9780784406908</v>
      </c>
      <c r="C17235" s="8" t="s">
        <v>1643</v>
      </c>
    </row>
    <row r="17236" spans="1:3" x14ac:dyDescent="0.25">
      <c r="A17236" s="8" t="str">
        <f>"Proceedings of the ASCE International Conference on Pipeline Engineering and Construction: New Pipeline Technologies, Security, and Safety"</f>
        <v>Proceedings of the ASCE International Conference on Pipeline Engineering and Construction: New Pipeline Technologies, Security, and Safety</v>
      </c>
      <c r="B17236" s="8" t="str">
        <f>"9780784406908"</f>
        <v>9780784406908</v>
      </c>
      <c r="C17236" s="8" t="s">
        <v>1643</v>
      </c>
    </row>
    <row r="17237" spans="1:3" x14ac:dyDescent="0.25">
      <c r="A17237" s="8" t="str">
        <f>"Proceedings of the ASCE Pipeline Division Specialty Congress - Pipeline Engineering and Construction"</f>
        <v>Proceedings of the ASCE Pipeline Division Specialty Congress - Pipeline Engineering and Construction</v>
      </c>
      <c r="B17237" s="8" t="str">
        <f>"9780784407455"</f>
        <v>9780784407455</v>
      </c>
      <c r="C17237" s="8" t="s">
        <v>111</v>
      </c>
    </row>
    <row r="17238" spans="1:3" x14ac:dyDescent="0.25">
      <c r="A17238" s="8" t="str">
        <f>"Proceedings of the Asia-Pacific Workshop on Systems, APSYS'12"</f>
        <v>Proceedings of the Asia-Pacific Workshop on Systems, APSYS'12</v>
      </c>
      <c r="B17238" s="8" t="str">
        <f>"9781450316699"</f>
        <v>9781450316699</v>
      </c>
      <c r="C17238" s="8" t="s">
        <v>21</v>
      </c>
    </row>
    <row r="17239" spans="1:3" x14ac:dyDescent="0.25">
      <c r="A17239" s="8" t="str">
        <f>"Proceedings of the ASME 1st Global Congress on NanoEngineering for Medicine and Biology 2010, NEMB2010"</f>
        <v>Proceedings of the ASME 1st Global Congress on NanoEngineering for Medicine and Biology 2010, NEMB2010</v>
      </c>
      <c r="B17239" s="8" t="str">
        <f>"9780791843925"</f>
        <v>9780791843925</v>
      </c>
      <c r="C17239" s="8" t="s">
        <v>1350</v>
      </c>
    </row>
    <row r="17240" spans="1:3" x14ac:dyDescent="0.25">
      <c r="A17240" s="8" t="str">
        <f>"Proceedings of the ASME 2nd Multifunctional Nanocomposites and Nanomaterials Conference, MN2008"</f>
        <v>Proceedings of the ASME 2nd Multifunctional Nanocomposites and Nanomaterials Conference, MN2008</v>
      </c>
      <c r="B17240" s="8" t="str">
        <f>"9780791842911"</f>
        <v>9780791842911</v>
      </c>
      <c r="C17240" s="8" t="s">
        <v>73</v>
      </c>
    </row>
    <row r="17241" spans="1:3" x14ac:dyDescent="0.25">
      <c r="A17241" s="8" t="str">
        <f>"Proceedings of the ASME 3rd International Conference on Energy Sustainability 2009, ES2009"</f>
        <v>Proceedings of the ASME 3rd International Conference on Energy Sustainability 2009, ES2009</v>
      </c>
      <c r="B17241" s="8" t="str">
        <f>"-"</f>
        <v>-</v>
      </c>
      <c r="C17241" s="8" t="s">
        <v>73</v>
      </c>
    </row>
    <row r="17242" spans="1:3" x14ac:dyDescent="0.25">
      <c r="A17242" s="8" t="str">
        <f>"Proceedings of the ASME Conference on Smart Materials, Adaptive Structures and Intelligent Systems 2009, SMASIS2009"</f>
        <v>Proceedings of the ASME Conference on Smart Materials, Adaptive Structures and Intelligent Systems 2009, SMASIS2009</v>
      </c>
      <c r="B17242" s="8" t="str">
        <f>"-"</f>
        <v>-</v>
      </c>
      <c r="C17242" s="8" t="s">
        <v>73</v>
      </c>
    </row>
    <row r="17243" spans="1:3" x14ac:dyDescent="0.25">
      <c r="A17243" s="8" t="str">
        <f>"Proceedings of the ASME Conference on Smart Materials, Adaptive Structures and Intelligent Systems, SMASIS2008"</f>
        <v>Proceedings of the ASME Conference on Smart Materials, Adaptive Structures and Intelligent Systems, SMASIS2008</v>
      </c>
      <c r="B17243" s="8" t="str">
        <f>"9780791843314"</f>
        <v>9780791843314</v>
      </c>
      <c r="C17243" s="8" t="s">
        <v>73</v>
      </c>
    </row>
    <row r="17244" spans="1:3" x14ac:dyDescent="0.25">
      <c r="A17244" s="8" t="str">
        <f>"Proceedings of the ASME Dynamic Systems and Control Conference 2009, DSCC2009"</f>
        <v>Proceedings of the ASME Dynamic Systems and Control Conference 2009, DSCC2009</v>
      </c>
      <c r="B17244" s="8" t="str">
        <f>"9780791848920"</f>
        <v>9780791848920</v>
      </c>
      <c r="C17244" s="8" t="s">
        <v>73</v>
      </c>
    </row>
    <row r="17245" spans="1:3" x14ac:dyDescent="0.25">
      <c r="A17245" s="8" t="str">
        <f>"Proceedings of the ASME Fluids Engineering Division Summer Conference 2009, FEDSM2009"</f>
        <v>Proceedings of the ASME Fluids Engineering Division Summer Conference 2009, FEDSM2009</v>
      </c>
      <c r="B17245" s="8" t="str">
        <f>"-"</f>
        <v>-</v>
      </c>
      <c r="C17245" s="8" t="s">
        <v>73</v>
      </c>
    </row>
    <row r="17246" spans="1:3" x14ac:dyDescent="0.25">
      <c r="A17246" s="8" t="str">
        <f>"Proceedings of the ASME Fluids Engineering Division Summer Meeting"</f>
        <v>Proceedings of the ASME Fluids Engineering Division Summer Meeting</v>
      </c>
      <c r="B17246" s="8" t="str">
        <f>"9780791835326"</f>
        <v>9780791835326</v>
      </c>
      <c r="C17246" s="8" t="s">
        <v>1308</v>
      </c>
    </row>
    <row r="17247" spans="1:3" x14ac:dyDescent="0.25">
      <c r="A17247" s="8" t="str">
        <f>"Proceedings of the ASME Internal Combustion Engine Division Fall Technical Conference 2009"</f>
        <v>Proceedings of the ASME Internal Combustion Engine Division Fall Technical Conference 2009</v>
      </c>
      <c r="B17247" s="8" t="str">
        <f>"9780791843635"</f>
        <v>9780791843635</v>
      </c>
      <c r="C17247" s="8" t="s">
        <v>73</v>
      </c>
    </row>
    <row r="17248" spans="1:3" x14ac:dyDescent="0.25">
      <c r="A17248" s="8" t="str">
        <f t="shared" ref="A17248:A17254" si="33">"Proceedings of the ASME International Design Engineering Technical Conferences and Computers and Information in Engineering Conference - DETC2005"</f>
        <v>Proceedings of the ASME International Design Engineering Technical Conferences and Computers and Information in Engineering Conference - DETC2005</v>
      </c>
      <c r="B17248" s="8" t="str">
        <f>"9780791847381"</f>
        <v>9780791847381</v>
      </c>
      <c r="C17248" s="8" t="s">
        <v>1308</v>
      </c>
    </row>
    <row r="17249" spans="1:3" x14ac:dyDescent="0.25">
      <c r="A17249" s="8" t="str">
        <f t="shared" si="33"/>
        <v>Proceedings of the ASME International Design Engineering Technical Conferences and Computers and Information in Engineering Conference - DETC2005</v>
      </c>
      <c r="B17249" s="8" t="str">
        <f>"9780791847398"</f>
        <v>9780791847398</v>
      </c>
      <c r="C17249" s="8" t="s">
        <v>1308</v>
      </c>
    </row>
    <row r="17250" spans="1:3" x14ac:dyDescent="0.25">
      <c r="A17250" s="8" t="str">
        <f t="shared" si="33"/>
        <v>Proceedings of the ASME International Design Engineering Technical Conferences and Computers and Information in Engineering Conference - DETC2005</v>
      </c>
      <c r="B17250" s="8" t="str">
        <f>"9780791847404"</f>
        <v>9780791847404</v>
      </c>
      <c r="C17250" s="8" t="s">
        <v>1308</v>
      </c>
    </row>
    <row r="17251" spans="1:3" x14ac:dyDescent="0.25">
      <c r="A17251" s="8" t="str">
        <f t="shared" si="33"/>
        <v>Proceedings of the ASME International Design Engineering Technical Conferences and Computers and Information in Engineering Conference - DETC2005</v>
      </c>
      <c r="B17251" s="8" t="str">
        <f>"9780791847411"</f>
        <v>9780791847411</v>
      </c>
      <c r="C17251" s="8" t="s">
        <v>1308</v>
      </c>
    </row>
    <row r="17252" spans="1:3" x14ac:dyDescent="0.25">
      <c r="A17252" s="8" t="str">
        <f t="shared" si="33"/>
        <v>Proceedings of the ASME International Design Engineering Technical Conferences and Computers and Information in Engineering Conference - DETC2005</v>
      </c>
      <c r="B17252" s="8" t="str">
        <f>"9780791847428"</f>
        <v>9780791847428</v>
      </c>
      <c r="C17252" s="8" t="s">
        <v>1308</v>
      </c>
    </row>
    <row r="17253" spans="1:3" x14ac:dyDescent="0.25">
      <c r="A17253" s="8" t="str">
        <f t="shared" si="33"/>
        <v>Proceedings of the ASME International Design Engineering Technical Conferences and Computers and Information in Engineering Conference - DETC2005</v>
      </c>
      <c r="B17253" s="8" t="str">
        <f>"9780791847435"</f>
        <v>9780791847435</v>
      </c>
      <c r="C17253" s="8" t="s">
        <v>1308</v>
      </c>
    </row>
    <row r="17254" spans="1:3" x14ac:dyDescent="0.25">
      <c r="A17254" s="8" t="str">
        <f t="shared" si="33"/>
        <v>Proceedings of the ASME International Design Engineering Technical Conferences and Computers and Information in Engineering Conference - DETC2005</v>
      </c>
      <c r="B17254" s="8" t="str">
        <f>"9780791847442"</f>
        <v>9780791847442</v>
      </c>
      <c r="C17254" s="8" t="s">
        <v>1308</v>
      </c>
    </row>
    <row r="17255" spans="1:3" x14ac:dyDescent="0.25">
      <c r="A17255" s="8" t="str">
        <f>"Proceedings of the ASME International Design Engineering Technical Conferences and Computers and Information in Engineering Conference 2009, DETC2009"</f>
        <v>Proceedings of the ASME International Design Engineering Technical Conferences and Computers and Information in Engineering Conference 2009, DETC2009</v>
      </c>
      <c r="B17255" s="8" t="str">
        <f>"-"</f>
        <v>-</v>
      </c>
      <c r="C17255" s="8" t="s">
        <v>73</v>
      </c>
    </row>
    <row r="17256" spans="1:3" x14ac:dyDescent="0.25">
      <c r="A17256" s="8" t="str">
        <f>"Proceedings of the ASME International Manufacturing Science and Engineering Conference 2007, MSEC2007"</f>
        <v>Proceedings of the ASME International Manufacturing Science and Engineering Conference 2007, MSEC2007</v>
      </c>
      <c r="B17256" s="8" t="str">
        <f>"9780791842904"</f>
        <v>9780791842904</v>
      </c>
      <c r="C17256" s="8" t="s">
        <v>73</v>
      </c>
    </row>
    <row r="17257" spans="1:3" x14ac:dyDescent="0.25">
      <c r="A17257" s="8" t="str">
        <f>"Proceedings of the ASME International Manufacturing Science and Engineering Conference 2009, MSEC2009"</f>
        <v>Proceedings of the ASME International Manufacturing Science and Engineering Conference 2009, MSEC2009</v>
      </c>
      <c r="B17257" s="8" t="str">
        <f>"-"</f>
        <v>-</v>
      </c>
      <c r="C17257" s="8" t="s">
        <v>73</v>
      </c>
    </row>
    <row r="17258" spans="1:3" x14ac:dyDescent="0.25">
      <c r="A17258" s="8" t="str">
        <f>"Proceedings of the ASME International Manufacturing Science and Engineering Conference, MSEC2008"</f>
        <v>Proceedings of the ASME International Manufacturing Science and Engineering Conference, MSEC2008</v>
      </c>
      <c r="B17258" s="8" t="str">
        <f>"9780791848517"</f>
        <v>9780791848517</v>
      </c>
      <c r="C17258" s="8" t="s">
        <v>1930</v>
      </c>
    </row>
    <row r="17259" spans="1:3" x14ac:dyDescent="0.25">
      <c r="A17259" s="8" t="str">
        <f>"Proceedings of the ASME InterPack Conference 2009, IPACK2009"</f>
        <v>Proceedings of the ASME InterPack Conference 2009, IPACK2009</v>
      </c>
      <c r="B17259" s="8" t="str">
        <f>"-"</f>
        <v>-</v>
      </c>
      <c r="C17259" s="8" t="s">
        <v>73</v>
      </c>
    </row>
    <row r="17260" spans="1:3" x14ac:dyDescent="0.25">
      <c r="A17260" s="8" t="str">
        <f>"Proceedings of the ASME Joint Rail Conference 2010, JRC2010"</f>
        <v>Proceedings of the ASME Joint Rail Conference 2010, JRC2010</v>
      </c>
      <c r="B17260" s="8" t="str">
        <f>"-"</f>
        <v>-</v>
      </c>
      <c r="C17260" s="8" t="s">
        <v>73</v>
      </c>
    </row>
    <row r="17261" spans="1:3" x14ac:dyDescent="0.25">
      <c r="A17261" s="8" t="str">
        <f>"Proceedings of the ASME Micro/Nanoscale Heat and Mass Transfer International Conference 2009, MNHMT2009"</f>
        <v>Proceedings of the ASME Micro/Nanoscale Heat and Mass Transfer International Conference 2009, MNHMT2009</v>
      </c>
      <c r="B17261" s="8" t="str">
        <f>"9780791843895"</f>
        <v>9780791843895</v>
      </c>
      <c r="C17261" s="8" t="s">
        <v>73</v>
      </c>
    </row>
    <row r="17262" spans="1:3" x14ac:dyDescent="0.25">
      <c r="A17262" s="8" t="str">
        <f>"Proceedings of the ASME Power Conference 2007"</f>
        <v>Proceedings of the ASME Power Conference 2007</v>
      </c>
      <c r="B17262" s="8" t="str">
        <f>"9780791842737"</f>
        <v>9780791842737</v>
      </c>
      <c r="C17262" s="8" t="s">
        <v>73</v>
      </c>
    </row>
    <row r="17263" spans="1:3" x14ac:dyDescent="0.25">
      <c r="A17263" s="8" t="str">
        <f>"Proceedings of the ASME Power Conference, 2005"</f>
        <v>Proceedings of the ASME Power Conference, 2005</v>
      </c>
      <c r="B17263" s="8" t="str">
        <f>"9780791841822"</f>
        <v>9780791841822</v>
      </c>
      <c r="C17263" s="8" t="s">
        <v>1308</v>
      </c>
    </row>
    <row r="17264" spans="1:3" x14ac:dyDescent="0.25">
      <c r="A17264" s="8" t="str">
        <f>"Proceedings of the ASME Process Industries Division, PID"</f>
        <v>Proceedings of the ASME Process Industries Division, PID</v>
      </c>
      <c r="B17264" s="8" t="str">
        <f>"9780791842270"</f>
        <v>9780791842270</v>
      </c>
      <c r="C17264" s="8" t="s">
        <v>1308</v>
      </c>
    </row>
    <row r="17265" spans="1:3" x14ac:dyDescent="0.25">
      <c r="A17265" s="8" t="str">
        <f>"Proceedings of the ASME Summer Bioengineering Conference 2007, SBC 2007"</f>
        <v>Proceedings of the ASME Summer Bioengineering Conference 2007, SBC 2007</v>
      </c>
      <c r="B17265" s="8" t="str">
        <f>"9780791847985"</f>
        <v>9780791847985</v>
      </c>
      <c r="C17265" s="8" t="s">
        <v>73</v>
      </c>
    </row>
    <row r="17266" spans="1:3" x14ac:dyDescent="0.25">
      <c r="A17266" s="8" t="str">
        <f>"Proceedings of the ASME Summer Bioengineering Conference 2009, SBC2009"</f>
        <v>Proceedings of the ASME Summer Bioengineering Conference 2009, SBC2009</v>
      </c>
      <c r="B17266" s="8" t="str">
        <f>"9780791848913"</f>
        <v>9780791848913</v>
      </c>
      <c r="C17266" s="8" t="s">
        <v>73</v>
      </c>
    </row>
    <row r="17267" spans="1:3" x14ac:dyDescent="0.25">
      <c r="A17267" s="8" t="str">
        <f>"Proceedings of the ASME Summer Bioengineering Conference, SBC2008"</f>
        <v>Proceedings of the ASME Summer Bioengineering Conference, SBC2008</v>
      </c>
      <c r="B17267" s="8" t="str">
        <f>"9780791843215"</f>
        <v>9780791843215</v>
      </c>
      <c r="C17267" s="8" t="s">
        <v>73</v>
      </c>
    </row>
    <row r="17268" spans="1:3" x14ac:dyDescent="0.25">
      <c r="A17268" s="8" t="str">
        <f>"Proceedings of the ASME Summer Heat Transfer Conference"</f>
        <v>Proceedings of the ASME Summer Heat Transfer Conference</v>
      </c>
      <c r="B17268" s="8" t="str">
        <f>"9780791836934"</f>
        <v>9780791836934</v>
      </c>
      <c r="C17268" s="8" t="s">
        <v>1308</v>
      </c>
    </row>
    <row r="17269" spans="1:3" x14ac:dyDescent="0.25">
      <c r="A17269" s="8" t="str">
        <f>"Proceedings of the ASME Summer Heat Transfer Conference"</f>
        <v>Proceedings of the ASME Summer Heat Transfer Conference</v>
      </c>
      <c r="B17269" s="8" t="str">
        <f>"9780791836941"</f>
        <v>9780791836941</v>
      </c>
      <c r="C17269" s="8" t="s">
        <v>1308</v>
      </c>
    </row>
    <row r="17270" spans="1:3" x14ac:dyDescent="0.25">
      <c r="A17270" s="8" t="str">
        <f>"Proceedings of the ASME Summer Heat Transfer Conference"</f>
        <v>Proceedings of the ASME Summer Heat Transfer Conference</v>
      </c>
      <c r="B17270" s="8" t="str">
        <f>"9780791836958"</f>
        <v>9780791836958</v>
      </c>
      <c r="C17270" s="8" t="s">
        <v>1308</v>
      </c>
    </row>
    <row r="17271" spans="1:3" x14ac:dyDescent="0.25">
      <c r="A17271" s="8" t="str">
        <f>"Proceedings of the ASME Summer Heat Transfer Conference"</f>
        <v>Proceedings of the ASME Summer Heat Transfer Conference</v>
      </c>
      <c r="B17271" s="8" t="str">
        <f>"9780791847312"</f>
        <v>9780791847312</v>
      </c>
      <c r="C17271" s="8" t="s">
        <v>73</v>
      </c>
    </row>
    <row r="17272" spans="1:3" x14ac:dyDescent="0.25">
      <c r="A17272" s="8" t="str">
        <f>"Proceedings of the ASME Summer Heat Transfer Conference 2009, HT2009"</f>
        <v>Proceedings of the ASME Summer Heat Transfer Conference 2009, HT2009</v>
      </c>
      <c r="B17272" s="8" t="str">
        <f>"-"</f>
        <v>-</v>
      </c>
      <c r="C17272" s="8" t="s">
        <v>73</v>
      </c>
    </row>
    <row r="17273" spans="1:3" x14ac:dyDescent="0.25">
      <c r="A17273" s="8" t="str">
        <f>"Proceedings of the ASME Turbo Expo 2004"</f>
        <v>Proceedings of the ASME Turbo Expo 2004</v>
      </c>
      <c r="B17273" s="8" t="str">
        <f>"-"</f>
        <v>-</v>
      </c>
      <c r="C17273" s="8" t="s">
        <v>1308</v>
      </c>
    </row>
    <row r="17274" spans="1:3" x14ac:dyDescent="0.25">
      <c r="A17274" s="8" t="str">
        <f>"Proceedings of the ASME/AFM World Conference on Innovative Virtual Reality 2009, WINVR2009"</f>
        <v>Proceedings of the ASME/AFM World Conference on Innovative Virtual Reality 2009, WINVR2009</v>
      </c>
      <c r="B17274" s="8" t="str">
        <f>"9780791843376"</f>
        <v>9780791843376</v>
      </c>
      <c r="C17274" s="8" t="s">
        <v>73</v>
      </c>
    </row>
    <row r="17275" spans="1:3" x14ac:dyDescent="0.25">
      <c r="A17275" s="8" t="str">
        <f>"Proceedings of the ASME/IEEE Joint Rail Conference 2009, JRC2009"</f>
        <v>Proceedings of the ASME/IEEE Joint Rail Conference 2009, JRC2009</v>
      </c>
      <c r="B17275" s="8" t="str">
        <f>"9780791843383"</f>
        <v>9780791843383</v>
      </c>
      <c r="C17275" s="8" t="s">
        <v>73</v>
      </c>
    </row>
    <row r="17276" spans="1:3" x14ac:dyDescent="0.25">
      <c r="A17276" s="8" t="str">
        <f>"Proceedings of the ASME/IEEE Joint Rail Conference and the ASME Internal Combustion Engine Division, Spring Technical Conference 2007"</f>
        <v>Proceedings of the ASME/IEEE Joint Rail Conference and the ASME Internal Combustion Engine Division, Spring Technical Conference 2007</v>
      </c>
      <c r="B17276" s="8" t="str">
        <f>"9780791847879"</f>
        <v>9780791847879</v>
      </c>
      <c r="C17276" s="8" t="s">
        <v>73</v>
      </c>
    </row>
    <row r="17277" spans="1:3" x14ac:dyDescent="0.25">
      <c r="A17277" s="8" t="str">
        <f>"Proceedings of the ASME/IEEE/ASCE Joint Rail Conference, JRC 2008"</f>
        <v>Proceedings of the ASME/IEEE/ASCE Joint Rail Conference, JRC 2008</v>
      </c>
      <c r="B17277" s="8" t="str">
        <f>"9780791848128"</f>
        <v>9780791848128</v>
      </c>
      <c r="C17277" s="8" t="s">
        <v>1350</v>
      </c>
    </row>
    <row r="17278" spans="1:3" x14ac:dyDescent="0.25">
      <c r="A17278" s="8" t="str">
        <f>"Proceedings of the ASME/JSME Joint Fluids Engineering Conference"</f>
        <v>Proceedings of the ASME/JSME Joint Fluids Engineering Conference</v>
      </c>
      <c r="B17278" s="8" t="str">
        <f>"9780791836965"</f>
        <v>9780791836965</v>
      </c>
      <c r="C17278" s="8" t="s">
        <v>1308</v>
      </c>
    </row>
    <row r="17279" spans="1:3" x14ac:dyDescent="0.25">
      <c r="A17279" s="8" t="str">
        <f>"Proceedings of the ASME/Pacific Rim Technical Conference and Exhibition on Integration and Packaging of MEMS, NEMS, and Electronic Systems: Advances in Electronic Packaging 2005"</f>
        <v>Proceedings of the ASME/Pacific Rim Technical Conference and Exhibition on Integration and Packaging of MEMS, NEMS, and Electronic Systems: Advances in Electronic Packaging 2005</v>
      </c>
      <c r="B17279" s="8" t="str">
        <f>"9780791842003"</f>
        <v>9780791842003</v>
      </c>
      <c r="C17279" s="8" t="s">
        <v>1308</v>
      </c>
    </row>
    <row r="17280" spans="1:3" x14ac:dyDescent="0.25">
      <c r="A17280" s="8" t="str">
        <f>"Proceedings of the ASME/STLE International Joint Tribology Conference 2009, IJTC2009"</f>
        <v>Proceedings of the ASME/STLE International Joint Tribology Conference 2009, IJTC2009</v>
      </c>
      <c r="B17280" s="8" t="str">
        <f>"9780791848951"</f>
        <v>9780791848951</v>
      </c>
      <c r="C17280" s="8" t="s">
        <v>73</v>
      </c>
    </row>
    <row r="17281" spans="1:3" x14ac:dyDescent="0.25">
      <c r="A17281" s="8" t="str">
        <f>"Proceedings of the ASME/STLE International Joint Tribology Conference, IJTC 2004"</f>
        <v>Proceedings of the ASME/STLE International Joint Tribology Conference, IJTC 2004</v>
      </c>
      <c r="B17281" s="8" t="str">
        <f>"9780791841815"</f>
        <v>9780791841815</v>
      </c>
      <c r="C17281" s="8" t="s">
        <v>1308</v>
      </c>
    </row>
    <row r="17282" spans="1:3" x14ac:dyDescent="0.25">
      <c r="A17282" s="8" t="str">
        <f>"Proceedings of the Atlantic Symposium on Computational Biology and Genome Information Systems and Technolgoy, CBGIST 2001"</f>
        <v>Proceedings of the Atlantic Symposium on Computational Biology and Genome Information Systems and Technolgoy, CBGIST 2001</v>
      </c>
      <c r="B17282" s="8" t="str">
        <f>"9780970789006"</f>
        <v>9780970789006</v>
      </c>
      <c r="C17282" s="8" t="s">
        <v>2244</v>
      </c>
    </row>
    <row r="17283" spans="1:3" x14ac:dyDescent="0.25">
      <c r="A17283" s="8" t="str">
        <f>"Proceedings of the Audio Mostly Conference - A Conference on Interaction with Sound"</f>
        <v>Proceedings of the Audio Mostly Conference - A Conference on Interaction with Sound</v>
      </c>
      <c r="B17283" s="8" t="str">
        <f>"-"</f>
        <v>-</v>
      </c>
      <c r="C17283" s="8" t="s">
        <v>1692</v>
      </c>
    </row>
    <row r="17284" spans="1:3" x14ac:dyDescent="0.25">
      <c r="A17284" s="8" t="str">
        <f>"Proceedings of the Bio-Inspired Models of Network, Information, and Computing Systems, Bionetics 2007"</f>
        <v>Proceedings of the Bio-Inspired Models of Network, Information, and Computing Systems, Bionetics 2007</v>
      </c>
      <c r="B17284" s="8" t="str">
        <f>"9789639799059"</f>
        <v>9789639799059</v>
      </c>
      <c r="C17284" s="8" t="s">
        <v>9</v>
      </c>
    </row>
    <row r="17285" spans="1:3" x14ac:dyDescent="0.25">
      <c r="A17285" s="8" t="str">
        <f>"Proceedings of the CAS-CERN Accelerator School: Advanced Accelerator Physics"</f>
        <v>Proceedings of the CAS-CERN Accelerator School: Advanced Accelerator Physics</v>
      </c>
      <c r="B17285" s="8" t="str">
        <f>"9789290834113"</f>
        <v>9789290834113</v>
      </c>
      <c r="C17285" s="8" t="s">
        <v>1341</v>
      </c>
    </row>
    <row r="17286" spans="1:3" x14ac:dyDescent="0.25">
      <c r="A17286" s="8" t="str">
        <f>"Proceedings of the CGO 2006 - The 4th International Symposium on Code Generation and Optimization"</f>
        <v>Proceedings of the CGO 2006 - The 4th International Symposium on Code Generation and Optimization</v>
      </c>
      <c r="B17286" s="8" t="str">
        <f>"9780769524993"</f>
        <v>9780769524993</v>
      </c>
      <c r="C17286" s="8" t="s">
        <v>9</v>
      </c>
    </row>
    <row r="17287" spans="1:3" x14ac:dyDescent="0.25">
      <c r="A17287" s="8" t="str">
        <f>"Proceedings of the Chamonix 2010 Workshop on LHC Performance"</f>
        <v>Proceedings of the Chamonix 2010 Workshop on LHC Performance</v>
      </c>
      <c r="B17287" s="8" t="str">
        <f>"-"</f>
        <v>-</v>
      </c>
      <c r="C17287" s="8" t="s">
        <v>259</v>
      </c>
    </row>
    <row r="17288" spans="1:3" x14ac:dyDescent="0.25">
      <c r="A17288" s="8" t="str">
        <f>"Proceedings of the CMA 2012 Workshop"</f>
        <v>Proceedings of the CMA 2012 Workshop</v>
      </c>
      <c r="B17288" s="8" t="str">
        <f>"9781450318433"</f>
        <v>9781450318433</v>
      </c>
      <c r="C17288" s="8" t="s">
        <v>21</v>
      </c>
    </row>
    <row r="17289" spans="1:3" x14ac:dyDescent="0.25">
      <c r="A17289" s="8" t="str">
        <f>"Proceedings of the Combined International Conference of Computing and Control for the Water Industry, CCWI2007 and Sustainable Urban Water Management, SUWM2007"</f>
        <v>Proceedings of the Combined International Conference of Computing and Control for the Water Industry, CCWI2007 and Sustainable Urban Water Management, SUWM2007</v>
      </c>
      <c r="B17289" s="8" t="str">
        <f>"9780415454155"</f>
        <v>9780415454155</v>
      </c>
      <c r="C17289" s="8" t="s">
        <v>1520</v>
      </c>
    </row>
    <row r="17290" spans="1:3" x14ac:dyDescent="0.25">
      <c r="A17290" s="8" t="str">
        <f>"Proceedings of the Combined International Conference of Computing and Control for the Water Industry, CCWI2007 and Sustainable Urban Water Management, SUWM2007"</f>
        <v>Proceedings of the Combined International Conference of Computing and Control for the Water Industry, CCWI2007 and Sustainable Urban Water Management, SUWM2007</v>
      </c>
      <c r="B17290" s="8" t="str">
        <f>"9780415454155"</f>
        <v>9780415454155</v>
      </c>
      <c r="C17290" s="8" t="s">
        <v>1520</v>
      </c>
    </row>
    <row r="17291" spans="1:3" x14ac:dyDescent="0.25">
      <c r="A17291" s="8" t="str">
        <f>"Proceedings of the Conference in Honour of Murray Gell-Mann's 80th Birthday: Quantum Mechanics, Elementary Particles, Quantum Cosmology and Complexity"</f>
        <v>Proceedings of the Conference in Honour of Murray Gell-Mann's 80th Birthday: Quantum Mechanics, Elementary Particles, Quantum Cosmology and Complexity</v>
      </c>
      <c r="B17291" s="8" t="str">
        <f>"9789814335607"</f>
        <v>9789814335607</v>
      </c>
      <c r="C17291" s="8" t="s">
        <v>157</v>
      </c>
    </row>
    <row r="17292" spans="1:3" x14ac:dyDescent="0.25">
      <c r="A17292" s="8" t="str">
        <f>"Proceedings of the Conference on Component-Oriented Enterprise Applications, COEA 2005"</f>
        <v>Proceedings of the Conference on Component-Oriented Enterprise Applications, COEA 2005</v>
      </c>
      <c r="B17292" s="8" t="str">
        <f>"9783885793991"</f>
        <v>9783885793991</v>
      </c>
      <c r="C17292" s="8" t="s">
        <v>833</v>
      </c>
    </row>
    <row r="17293" spans="1:3" x14ac:dyDescent="0.25">
      <c r="A17293" s="8" t="str">
        <f>"Proceedings of the Conference on Computational Modeling of Materials, Minerals and Metals Processing"</f>
        <v>Proceedings of the Conference on Computational Modeling of Materials, Minerals and Metals Processing</v>
      </c>
      <c r="B17293" s="8" t="str">
        <f>"9780873395137"</f>
        <v>9780873395137</v>
      </c>
      <c r="C17293" s="8" t="s">
        <v>648</v>
      </c>
    </row>
    <row r="17294" spans="1:3" x14ac:dyDescent="0.25">
      <c r="A17294" s="8" t="str">
        <f>"Proceedings of the Conference on Computer Graphics, Imaging and Vision: New Trends 2005"</f>
        <v>Proceedings of the Conference on Computer Graphics, Imaging and Vision: New Trends 2005</v>
      </c>
      <c r="B17294" s="8" t="str">
        <f>"-"</f>
        <v>-</v>
      </c>
      <c r="C17294" s="8" t="s">
        <v>9</v>
      </c>
    </row>
    <row r="17295" spans="1:3" x14ac:dyDescent="0.25">
      <c r="A17295" s="8" t="str">
        <f>"Proceedings of the Conference on Continuous Advances in QCD 2006"</f>
        <v>Proceedings of the Conference on Continuous Advances in QCD 2006</v>
      </c>
      <c r="B17295" s="8" t="str">
        <f>"9789812705525"</f>
        <v>9789812705525</v>
      </c>
      <c r="C17295" s="8" t="s">
        <v>157</v>
      </c>
    </row>
    <row r="17296" spans="1:3" x14ac:dyDescent="0.25">
      <c r="A17296" s="8" t="str">
        <f>"Proceedings of the Conference on High Performance Computing Networking, Storage and Analysis, SC '09"</f>
        <v>Proceedings of the Conference on High Performance Computing Networking, Storage and Analysis, SC '09</v>
      </c>
      <c r="B17296" s="8" t="str">
        <f>"9781605587448"</f>
        <v>9781605587448</v>
      </c>
      <c r="C17296" s="8" t="s">
        <v>21</v>
      </c>
    </row>
    <row r="17297" spans="1:3" x14ac:dyDescent="0.25">
      <c r="A17297" s="8" t="str">
        <f>"Proceedings of the Conference on Principles, Systems and Applications of IP Telecommunications, IPTComm 2014"</f>
        <v>Proceedings of the Conference on Principles, Systems and Applications of IP Telecommunications, IPTComm 2014</v>
      </c>
      <c r="B17297" s="8" t="str">
        <f>"9781450321242"</f>
        <v>9781450321242</v>
      </c>
      <c r="C17297" s="8" t="s">
        <v>1235</v>
      </c>
    </row>
    <row r="17298" spans="1:3" x14ac:dyDescent="0.25">
      <c r="A17298" s="8" t="str">
        <f>"Proceedings of the Conference on Recent Advances in Flame Retardancy of Polymeric Materials - Applications, Research and Industrial Development, Markets"</f>
        <v>Proceedings of the Conference on Recent Advances in Flame Retardancy of Polymeric Materials - Applications, Research and Industrial Development, Markets</v>
      </c>
      <c r="B17298" s="8" t="str">
        <f>"-"</f>
        <v>-</v>
      </c>
      <c r="C17298" s="8" t="s">
        <v>2245</v>
      </c>
    </row>
    <row r="17299" spans="1:3" x14ac:dyDescent="0.25">
      <c r="A17299" s="8" t="str">
        <f>"Proceedings of the Conference on River Basin Management - Progress Towards Implementation of the European Water Framework Directive"</f>
        <v>Proceedings of the Conference on River Basin Management - Progress Towards Implementation of the European Water Framework Directive</v>
      </c>
      <c r="B17299" s="8" t="str">
        <f>"9780415392006"</f>
        <v>9780415392006</v>
      </c>
      <c r="C17299" s="8" t="s">
        <v>1520</v>
      </c>
    </row>
    <row r="17300" spans="1:3" x14ac:dyDescent="0.25">
      <c r="A17300" s="8" t="str">
        <f>"Proceedings of the Conference on Traffic and Transportation Studies, ICTTS"</f>
        <v>Proceedings of the Conference on Traffic and Transportation Studies, ICTTS</v>
      </c>
      <c r="B17300" s="8" t="str">
        <f>"9787030137807"</f>
        <v>9787030137807</v>
      </c>
      <c r="C17300" s="8" t="s">
        <v>37</v>
      </c>
    </row>
    <row r="17301" spans="1:3" x14ac:dyDescent="0.25">
      <c r="A17301" s="8" t="str">
        <f>"Proceedings of the Conference on TRI-ADA 1990"</f>
        <v>Proceedings of the Conference on TRI-ADA 1990</v>
      </c>
      <c r="B17301" s="8" t="str">
        <f>"9780897914093"</f>
        <v>9780897914093</v>
      </c>
      <c r="C17301" s="8" t="s">
        <v>21</v>
      </c>
    </row>
    <row r="17302" spans="1:3" x14ac:dyDescent="0.25">
      <c r="A17302" s="8" t="str">
        <f>"Proceedings of the Conference on Universal Usability"</f>
        <v>Proceedings of the Conference on Universal Usability</v>
      </c>
      <c r="B17302" s="8" t="str">
        <f>"9781581133141"</f>
        <v>9781581133141</v>
      </c>
      <c r="C17302" s="8" t="s">
        <v>21</v>
      </c>
    </row>
    <row r="17303" spans="1:3" x14ac:dyDescent="0.25">
      <c r="A17303" s="8" t="str">
        <f>"Proceedings of the Conference: Composite Construction in Steel and Concrete IV"</f>
        <v>Proceedings of the Conference: Composite Construction in Steel and Concrete IV</v>
      </c>
      <c r="B17303" s="8" t="str">
        <f>"9780784406168"</f>
        <v>9780784406168</v>
      </c>
      <c r="C17303" s="8" t="s">
        <v>111</v>
      </c>
    </row>
    <row r="17304" spans="1:3" x14ac:dyDescent="0.25">
      <c r="A17304" s="8" t="str">
        <f>"Proceedings of the Conference: Electrical Transmission in a New Age"</f>
        <v>Proceedings of the Conference: Electrical Transmission in a New Age</v>
      </c>
      <c r="B17304" s="8" t="str">
        <f>"9780784406427"</f>
        <v>9780784406427</v>
      </c>
      <c r="C17304" s="8" t="s">
        <v>111</v>
      </c>
    </row>
    <row r="17305" spans="1:3" x14ac:dyDescent="0.25">
      <c r="A17305" s="8" t="str">
        <f>"Proceedings of the Demo and Poster Track of ACM/IFIP/USENIX International Middleware Conference, MiddlewareDPT 2013"</f>
        <v>Proceedings of the Demo and Poster Track of ACM/IFIP/USENIX International Middleware Conference, MiddlewareDPT 2013</v>
      </c>
      <c r="B17305" s="8" t="str">
        <f>"9781450325493"</f>
        <v>9781450325493</v>
      </c>
      <c r="C17305" s="8" t="s">
        <v>21</v>
      </c>
    </row>
    <row r="17306" spans="1:3" x14ac:dyDescent="0.25">
      <c r="A17306" s="8" t="str">
        <f>"Proceedings of the Designing Interactive Systems Conference, DIS '12"</f>
        <v>Proceedings of the Designing Interactive Systems Conference, DIS '12</v>
      </c>
      <c r="B17306" s="8" t="str">
        <f>"9781450312103"</f>
        <v>9781450312103</v>
      </c>
      <c r="C17306" s="8" t="s">
        <v>21</v>
      </c>
    </row>
    <row r="17307" spans="1:3" x14ac:dyDescent="0.25">
      <c r="A17307" s="8" t="str">
        <f>"Proceedings of the DESIRE'11 Conference on Creativity and Innovation in Design"</f>
        <v>Proceedings of the DESIRE'11 Conference on Creativity and Innovation in Design</v>
      </c>
      <c r="B17307" s="8" t="str">
        <f>"9781450307543"</f>
        <v>9781450307543</v>
      </c>
      <c r="C17307" s="8" t="s">
        <v>21</v>
      </c>
    </row>
    <row r="17308" spans="1:3" x14ac:dyDescent="0.25">
      <c r="A17308" s="8" t="str">
        <f>"Proceedings of the Digital Imaging Computing: Techniques and Applications, DICTA 2005"</f>
        <v>Proceedings of the Digital Imaging Computing: Techniques and Applications, DICTA 2005</v>
      </c>
      <c r="B17308" s="8" t="str">
        <f>"-"</f>
        <v>-</v>
      </c>
      <c r="C17308" s="8" t="s">
        <v>9</v>
      </c>
    </row>
    <row r="17309" spans="1:3" x14ac:dyDescent="0.25">
      <c r="A17309" s="8" t="str">
        <f>"Proceedings of the DigitalHeritage 2013 - Federating the 19th Int'l VSMM, 10th Eurographics GCH, and 2nd UNESCO Memory of the World Conferences, Plus Special Sessions fromCAA, Arqueologica 2.0 et al."</f>
        <v>Proceedings of the DigitalHeritage 2013 - Federating the 19th Int'l VSMM, 10th Eurographics GCH, and 2nd UNESCO Memory of the World Conferences, Plus Special Sessions fromCAA, Arqueologica 2.0 et al.</v>
      </c>
      <c r="B17309" s="8" t="str">
        <f>"9781479931699"</f>
        <v>9781479931699</v>
      </c>
      <c r="C17309" s="8" t="s">
        <v>9</v>
      </c>
    </row>
    <row r="17310" spans="1:3" x14ac:dyDescent="0.25">
      <c r="A17310" s="8" t="str">
        <f>"Proceedings of the DIN 2005 - First International ACM Workshop on Dynamic Interconnection of Networks"</f>
        <v>Proceedings of the DIN 2005 - First International ACM Workshop on Dynamic Interconnection of Networks</v>
      </c>
      <c r="B17310" s="8" t="str">
        <f>"-"</f>
        <v>-</v>
      </c>
      <c r="C17310" s="8" t="s">
        <v>21</v>
      </c>
    </row>
    <row r="17311" spans="1:3" x14ac:dyDescent="0.25">
      <c r="A17311" s="8" t="str">
        <f>"Proceedings of the Discrete Algorithms and Methods for Mobile Computing and Communications"</f>
        <v>Proceedings of the Discrete Algorithms and Methods for Mobile Computing and Communications</v>
      </c>
      <c r="B17311" s="8" t="str">
        <f>"9781581135879"</f>
        <v>9781581135879</v>
      </c>
      <c r="C17311" s="8" t="s">
        <v>21</v>
      </c>
    </row>
    <row r="17312" spans="1:3" x14ac:dyDescent="0.25">
      <c r="A17312" s="8" t="str">
        <f>"Proceedings of the DTIS'09 - 2009 4th IEEE International Conference on Design and Technology of Integrated Systems in Nanoscale Era"</f>
        <v>Proceedings of the DTIS'09 - 2009 4th IEEE International Conference on Design and Technology of Integrated Systems in Nanoscale Era</v>
      </c>
      <c r="B17312" s="8" t="str">
        <f>"9781424443215"</f>
        <v>9781424443215</v>
      </c>
      <c r="C17312" s="8" t="s">
        <v>9</v>
      </c>
    </row>
    <row r="17313" spans="1:3" x14ac:dyDescent="0.25">
      <c r="A17313" s="8" t="str">
        <f>"Proceedings of the ECCOMAS Thematic Conference on Multibody Dynamics 2013"</f>
        <v>Proceedings of the ECCOMAS Thematic Conference on Multibody Dynamics 2013</v>
      </c>
      <c r="B17313" s="8" t="str">
        <f>"9789537738228"</f>
        <v>9789537738228</v>
      </c>
      <c r="C17313" s="8" t="s">
        <v>311</v>
      </c>
    </row>
    <row r="17314" spans="1:3" x14ac:dyDescent="0.25">
      <c r="A17314" s="8" t="str">
        <f>"Proceedings of the e-Energy 2010 - 1st Int'l Conf. on Energy-Efficient Computing and Networking"</f>
        <v>Proceedings of the e-Energy 2010 - 1st Int'l Conf. on Energy-Efficient Computing and Networking</v>
      </c>
      <c r="B17314" s="8" t="str">
        <f>"9781450300421"</f>
        <v>9781450300421</v>
      </c>
      <c r="C17314" s="8" t="s">
        <v>21</v>
      </c>
    </row>
    <row r="17315" spans="1:3" x14ac:dyDescent="0.25">
      <c r="A17315" s="8" t="str">
        <f>"Proceedings of the Eight IASTED International Conference on Control and Applications"</f>
        <v>Proceedings of the Eight IASTED International Conference on Control and Applications</v>
      </c>
      <c r="B17315" s="8" t="str">
        <f>"-"</f>
        <v>-</v>
      </c>
      <c r="C17315" s="8" t="s">
        <v>1869</v>
      </c>
    </row>
    <row r="17316" spans="1:3" x14ac:dyDescent="0.25">
      <c r="A17316" s="8" t="str">
        <f>"Proceedings of the Eight International Conference on Civil and Structural Engineering Computing"</f>
        <v>Proceedings of the Eight International Conference on Civil and Structural Engineering Computing</v>
      </c>
      <c r="B17316" s="8" t="str">
        <f>"9780948749766"</f>
        <v>9780948749766</v>
      </c>
      <c r="C17316" s="8" t="s">
        <v>550</v>
      </c>
    </row>
    <row r="17317" spans="1:3" x14ac:dyDescent="0.25">
      <c r="A17317" s="8" t="str">
        <f>"Proceedings of the Eighteenth International Florida Artificial Intelligence Research Society Conference, FLAIRS 2005 - Recent Advances in Artificial Intelligence"</f>
        <v>Proceedings of the Eighteenth International Florida Artificial Intelligence Research Society Conference, FLAIRS 2005 - Recent Advances in Artificial Intelligence</v>
      </c>
      <c r="B17317" s="8" t="str">
        <f>"9781577352341"</f>
        <v>9781577352341</v>
      </c>
      <c r="C17317" s="8" t="s">
        <v>11</v>
      </c>
    </row>
    <row r="17318" spans="1:3" x14ac:dyDescent="0.25">
      <c r="A17318" s="8" t="str">
        <f>"Proceedings of the Eighteenth International Symposium on Space Terahertz Technology 2007, ISSTT 2007"</f>
        <v>Proceedings of the Eighteenth International Symposium on Space Terahertz Technology 2007, ISSTT 2007</v>
      </c>
      <c r="B17318" s="8" t="str">
        <f>"-"</f>
        <v>-</v>
      </c>
      <c r="C17318" s="8" t="s">
        <v>1303</v>
      </c>
    </row>
    <row r="17319" spans="1:3" x14ac:dyDescent="0.25">
      <c r="A17319" s="8" t="str">
        <f>"Proceedings of the Eighth IASTED International Conference on Artificial Intelligence and Soft Computing"</f>
        <v>Proceedings of the Eighth IASTED International Conference on Artificial Intelligence and Soft Computing</v>
      </c>
      <c r="B17319" s="8" t="str">
        <f>"9780889864580"</f>
        <v>9780889864580</v>
      </c>
      <c r="C17319" s="8" t="s">
        <v>305</v>
      </c>
    </row>
    <row r="17320" spans="1:3" x14ac:dyDescent="0.25">
      <c r="A17320" s="8" t="str">
        <f>"Proceedings of the Eighth IASTED International Conference on Computer Graphics and Imaging, CGIM 2005"</f>
        <v>Proceedings of the Eighth IASTED International Conference on Computer Graphics and Imaging, CGIM 2005</v>
      </c>
      <c r="B17320" s="8" t="str">
        <f>"9780889865143"</f>
        <v>9780889865143</v>
      </c>
      <c r="C17320" s="8" t="s">
        <v>305</v>
      </c>
    </row>
    <row r="17321" spans="1:3" x14ac:dyDescent="0.25">
      <c r="A17321" s="8" t="str">
        <f>"Proceedings of the Eighth IASTED International Conference on Intelligent Systems and Control, ISC 2005"</f>
        <v>Proceedings of the Eighth IASTED International Conference on Intelligent Systems and Control, ISC 2005</v>
      </c>
      <c r="B17321" s="8" t="str">
        <f>"9780889865198"</f>
        <v>9780889865198</v>
      </c>
      <c r="C17321" s="8" t="s">
        <v>305</v>
      </c>
    </row>
    <row r="17322" spans="1:3" x14ac:dyDescent="0.25">
      <c r="A17322" s="8" t="str">
        <f>"Proceedings of the Eighth IASTED International Conference on Internet and Multimedia Systems and Applications"</f>
        <v>Proceedings of the Eighth IASTED International Conference on Internet and Multimedia Systems and Applications</v>
      </c>
      <c r="B17322" s="8" t="str">
        <f>"9780889864283"</f>
        <v>9780889864283</v>
      </c>
      <c r="C17322" s="8" t="s">
        <v>305</v>
      </c>
    </row>
    <row r="17323" spans="1:3" x14ac:dyDescent="0.25">
      <c r="A17323" s="8" t="str">
        <f>"Proceedings of the Eighth IEEE International Symposium on Web Site Evolution, WSE 2006"</f>
        <v>Proceedings of the Eighth IEEE International Symposium on Web Site Evolution, WSE 2006</v>
      </c>
      <c r="B17323" s="8" t="str">
        <f>"9780769526966"</f>
        <v>9780769526966</v>
      </c>
      <c r="C17323" s="8" t="s">
        <v>9</v>
      </c>
    </row>
    <row r="17324" spans="1:3" x14ac:dyDescent="0.25">
      <c r="A17324" s="8" t="str">
        <f>"Proceedings of the Eigtht IASTED International Conference on Software Engineering and Applications"</f>
        <v>Proceedings of the Eigtht IASTED International Conference on Software Engineering and Applications</v>
      </c>
      <c r="B17324" s="8" t="str">
        <f>"9780889864276"</f>
        <v>9780889864276</v>
      </c>
      <c r="C17324" s="8" t="s">
        <v>305</v>
      </c>
    </row>
    <row r="17325" spans="1:3" x14ac:dyDescent="0.25">
      <c r="A17325" s="8" t="str">
        <f>"Proceedings of the Eleventh Australasian Document Computing Symposium, ACDS 2006"</f>
        <v>Proceedings of the Eleventh Australasian Document Computing Symposium, ACDS 2006</v>
      </c>
      <c r="B17325" s="8" t="str">
        <f>"-"</f>
        <v>-</v>
      </c>
      <c r="C17325" s="8" t="s">
        <v>2246</v>
      </c>
    </row>
    <row r="17326" spans="1:3" x14ac:dyDescent="0.25">
      <c r="A17326" s="8" t="str">
        <f>"Proceedings of the Energy Sustainability Conference 2007"</f>
        <v>Proceedings of the Energy Sustainability Conference 2007</v>
      </c>
      <c r="B17326" s="8" t="str">
        <f>"9780791847978"</f>
        <v>9780791847978</v>
      </c>
      <c r="C17326" s="8" t="s">
        <v>73</v>
      </c>
    </row>
    <row r="17327" spans="1:3" x14ac:dyDescent="0.25">
      <c r="A17327" s="8" t="str">
        <f>"Proceedings of the Engineering Technology Conference on Energy"</f>
        <v>Proceedings of the Engineering Technology Conference on Energy</v>
      </c>
      <c r="B17327" s="8" t="str">
        <f>"9780791835210"</f>
        <v>9780791835210</v>
      </c>
      <c r="C17327" s="8" t="s">
        <v>1308</v>
      </c>
    </row>
    <row r="17328" spans="1:3" x14ac:dyDescent="0.25">
      <c r="A17328" s="8" t="str">
        <f>"Proceedings of the Environmental and Water Resources History"</f>
        <v>Proceedings of the Environmental and Water Resources History</v>
      </c>
      <c r="B17328" s="8" t="str">
        <f>"9780784406502"</f>
        <v>9780784406502</v>
      </c>
      <c r="C17328" s="8" t="s">
        <v>111</v>
      </c>
    </row>
    <row r="17329" spans="1:3" x14ac:dyDescent="0.25">
      <c r="A17329" s="8" t="str">
        <f>"Proceedings of the EPA-DOE-EPRI-A and WMA Power Plant Air Pollutant Control Mega Symposium 2006"</f>
        <v>Proceedings of the EPA-DOE-EPRI-A and WMA Power Plant Air Pollutant Control Mega Symposium 2006</v>
      </c>
      <c r="B17329" s="8" t="str">
        <f>"-"</f>
        <v>-</v>
      </c>
      <c r="C17329" s="8" t="s">
        <v>10</v>
      </c>
    </row>
    <row r="17330" spans="1:3" x14ac:dyDescent="0.25">
      <c r="A17330" s="8" t="str">
        <f>"Proceedings of the EUROMICRO Systems on Digital System Design, DSD 2004"</f>
        <v>Proceedings of the EUROMICRO Systems on Digital System Design, DSD 2004</v>
      </c>
      <c r="B17330" s="8" t="str">
        <f>"9780769522036"</f>
        <v>9780769522036</v>
      </c>
      <c r="C17330" s="8" t="s">
        <v>9</v>
      </c>
    </row>
    <row r="17331" spans="1:3" x14ac:dyDescent="0.25">
      <c r="A17331" s="8" t="str">
        <f>"Proceedings of the European and Mediterranean Conference on Information Systems, EMCIS 2006"</f>
        <v>Proceedings of the European and Mediterranean Conference on Information Systems, EMCIS 2006</v>
      </c>
      <c r="B17331" s="8" t="str">
        <f>"9781902316468"</f>
        <v>9781902316468</v>
      </c>
      <c r="C17331" s="8" t="s">
        <v>2247</v>
      </c>
    </row>
    <row r="17332" spans="1:3" x14ac:dyDescent="0.25">
      <c r="A17332" s="8" t="str">
        <f>"Proceedings of the European and Mediterranean Conference on Information Systems, EMCIS 2007"</f>
        <v>Proceedings of the European and Mediterranean Conference on Information Systems, EMCIS 2007</v>
      </c>
      <c r="B17332" s="8" t="str">
        <f>"9788483631843"</f>
        <v>9788483631843</v>
      </c>
      <c r="C17332" s="8" t="s">
        <v>2247</v>
      </c>
    </row>
    <row r="17333" spans="1:3" x14ac:dyDescent="0.25">
      <c r="A17333" s="8" t="str">
        <f>"Proceedings of the European and Mediterranean Conference on Information Systems, EMCIS 2008"</f>
        <v>Proceedings of the European and Mediterranean Conference on Information Systems, EMCIS 2008</v>
      </c>
      <c r="B17333" s="8" t="str">
        <f>"9781902316581"</f>
        <v>9781902316581</v>
      </c>
      <c r="C17333" s="8" t="s">
        <v>2247</v>
      </c>
    </row>
    <row r="17334" spans="1:3" x14ac:dyDescent="0.25">
      <c r="A17334" s="8" t="str">
        <f>"Proceedings of the European and Mediterranean Conference on Information Systems, EMCIS 2009"</f>
        <v>Proceedings of the European and Mediterranean Conference on Information Systems, EMCIS 2009</v>
      </c>
      <c r="B17334" s="8" t="str">
        <f>"9781902316697"</f>
        <v>9781902316697</v>
      </c>
      <c r="C17334" s="8" t="s">
        <v>2247</v>
      </c>
    </row>
    <row r="17335" spans="1:3" x14ac:dyDescent="0.25">
      <c r="A17335" s="8" t="str">
        <f>"Proceedings of the European Computing Conference, ECC '11"</f>
        <v>Proceedings of the European Computing Conference, ECC '11</v>
      </c>
      <c r="B17335" s="8" t="str">
        <f>"9789604742974"</f>
        <v>9789604742974</v>
      </c>
      <c r="C17335" s="8" t="s">
        <v>553</v>
      </c>
    </row>
    <row r="17336" spans="1:3" x14ac:dyDescent="0.25">
      <c r="A17336" s="8" t="s">
        <v>2248</v>
      </c>
      <c r="B17336" s="8" t="str">
        <f>"9789898704108"</f>
        <v>9789898704108</v>
      </c>
      <c r="C17336" s="8" t="s">
        <v>1228</v>
      </c>
    </row>
    <row r="17337" spans="1:3" x14ac:dyDescent="0.25">
      <c r="A17337" s="8" t="str">
        <f>"Proceedings of the European Information Security Multi-Conference, EISMC 2013"</f>
        <v>Proceedings of the European Information Security Multi-Conference, EISMC 2013</v>
      </c>
      <c r="B17337" s="8" t="str">
        <f>"9781841023458"</f>
        <v>9781841023458</v>
      </c>
      <c r="C17337" s="8" t="s">
        <v>2249</v>
      </c>
    </row>
    <row r="17338" spans="1:3" x14ac:dyDescent="0.25">
      <c r="A17338" s="8" t="str">
        <f>"Proceedings of the European Safety and Reliability Conference 2006, ESREL 2006 - Safety and Reliability for Managing Risk"</f>
        <v>Proceedings of the European Safety and Reliability Conference 2006, ESREL 2006 - Safety and Reliability for Managing Risk</v>
      </c>
      <c r="B17338" s="8" t="str">
        <f>"9780415416207"</f>
        <v>9780415416207</v>
      </c>
      <c r="C17338" s="8" t="s">
        <v>1520</v>
      </c>
    </row>
    <row r="17339" spans="1:3" x14ac:dyDescent="0.25">
      <c r="A17339" s="8" t="str">
        <f>"Proceedings of the European Safety and Reliability Conference 2007, ESREL 2007 - Risk, Reliability and Societal Safety"</f>
        <v>Proceedings of the European Safety and Reliability Conference 2007, ESREL 2007 - Risk, Reliability and Societal Safety</v>
      </c>
      <c r="B17339" s="8" t="str">
        <f>"9780415447867"</f>
        <v>9780415447867</v>
      </c>
      <c r="C17339" s="8" t="s">
        <v>1520</v>
      </c>
    </row>
    <row r="17340" spans="1:3" x14ac:dyDescent="0.25">
      <c r="A17340" s="8" t="str">
        <f>"Proceedings of the European, Mediterranean and Middle Eastern Conference on Information Systems - Informing Responsible Management: Sustainability in Emerging Economies, EMCIS 2011"</f>
        <v>Proceedings of the European, Mediterranean and Middle Eastern Conference on Information Systems - Informing Responsible Management: Sustainability in Emerging Economies, EMCIS 2011</v>
      </c>
      <c r="B17340" s="8" t="str">
        <f>"9781902316857"</f>
        <v>9781902316857</v>
      </c>
      <c r="C17340" s="8" t="s">
        <v>2247</v>
      </c>
    </row>
    <row r="17341" spans="1:3" x14ac:dyDescent="0.25">
      <c r="A17341" s="8" t="str">
        <f>"Proceedings of the European, Mediterranean and Middle Eastern Conference on Information Systems: Global Information Systems Challenges in Management, EMCIS 2010"</f>
        <v>Proceedings of the European, Mediterranean and Middle Eastern Conference on Information Systems: Global Information Systems Challenges in Management, EMCIS 2010</v>
      </c>
      <c r="B17341" s="8" t="str">
        <f>"9781902316802"</f>
        <v>9781902316802</v>
      </c>
      <c r="C17341" s="8" t="s">
        <v>2247</v>
      </c>
    </row>
    <row r="17342" spans="1:3" x14ac:dyDescent="0.25">
      <c r="A17342" s="8" t="str">
        <f>"Proceedings of the Extreme Markup Languages 2005 Conference"</f>
        <v>Proceedings of the Extreme Markup Languages 2005 Conference</v>
      </c>
      <c r="B17342" s="8" t="str">
        <f>"-"</f>
        <v>-</v>
      </c>
      <c r="C17342" s="8" t="s">
        <v>2117</v>
      </c>
    </row>
    <row r="17343" spans="1:3" x14ac:dyDescent="0.25">
      <c r="A17343" s="8" t="str">
        <f>"Proceedings of the Eye Tracking Research and Applications Symposium 2000"</f>
        <v>Proceedings of the Eye Tracking Research and Applications Symposium 2000</v>
      </c>
      <c r="B17343" s="8" t="str">
        <f>"9781581132809"</f>
        <v>9781581132809</v>
      </c>
      <c r="C17343" s="8" t="s">
        <v>21</v>
      </c>
    </row>
    <row r="17344" spans="1:3" x14ac:dyDescent="0.25">
      <c r="A17344" s="8" t="str">
        <f>"Proceedings of the fifth ACM International Workshop on Wireless Mobile Multimedia"</f>
        <v>Proceedings of the fifth ACM International Workshop on Wireless Mobile Multimedia</v>
      </c>
      <c r="B17344" s="8" t="str">
        <f>"9781581134742"</f>
        <v>9781581134742</v>
      </c>
      <c r="C17344" s="8" t="s">
        <v>21</v>
      </c>
    </row>
    <row r="17345" spans="1:3" x14ac:dyDescent="0.25">
      <c r="A17345" s="8" t="str">
        <f>"Proceedings of the Fifth IASTED International Conference on Biomechanics, BioMech 2007"</f>
        <v>Proceedings of the Fifth IASTED International Conference on Biomechanics, BioMech 2007</v>
      </c>
      <c r="B17345" s="8" t="str">
        <f>"9780889866843"</f>
        <v>9780889866843</v>
      </c>
      <c r="C17345" s="8" t="s">
        <v>305</v>
      </c>
    </row>
    <row r="17346" spans="1:3" x14ac:dyDescent="0.25">
      <c r="A17346" s="8" t="str">
        <f>"Proceedings of the Fifth IASTED International Conference on Circuits, Signals, and Systems, CSS 2007"</f>
        <v>Proceedings of the Fifth IASTED International Conference on Circuits, Signals, and Systems, CSS 2007</v>
      </c>
      <c r="B17346" s="8" t="str">
        <f>"9780889866706"</f>
        <v>9780889866706</v>
      </c>
      <c r="C17346" s="8" t="s">
        <v>305</v>
      </c>
    </row>
    <row r="17347" spans="1:3" x14ac:dyDescent="0.25">
      <c r="A17347" s="8" t="str">
        <f>"Proceedings of the Fifth IASTED International Conference on Communications, Internet, and Information Technology, CIIT 2006"</f>
        <v>Proceedings of the Fifth IASTED International Conference on Communications, Internet, and Information Technology, CIIT 2006</v>
      </c>
      <c r="B17347" s="8" t="str">
        <f>"9780889866157"</f>
        <v>9780889866157</v>
      </c>
      <c r="C17347" s="8" t="s">
        <v>305</v>
      </c>
    </row>
    <row r="17348" spans="1:3" x14ac:dyDescent="0.25">
      <c r="A17348" s="8" t="str">
        <f>"Proceedings of the Fifth IASTED International Conference on Web-based Education"</f>
        <v>Proceedings of the Fifth IASTED International Conference on Web-based Education</v>
      </c>
      <c r="B17348" s="8" t="str">
        <f>"-"</f>
        <v>-</v>
      </c>
      <c r="C17348" s="8" t="s">
        <v>1869</v>
      </c>
    </row>
    <row r="17349" spans="1:3" x14ac:dyDescent="0.25">
      <c r="A17349" s="8" t="str">
        <f>"Proceedings of the Fifth IEEE International Symposium on Signal Processing and Information Technology"</f>
        <v>Proceedings of the Fifth IEEE International Symposium on Signal Processing and Information Technology</v>
      </c>
      <c r="B17349" s="8" t="str">
        <f>"-"</f>
        <v>-</v>
      </c>
      <c r="C17349" s="8" t="s">
        <v>9</v>
      </c>
    </row>
    <row r="17350" spans="1:3" x14ac:dyDescent="0.25">
      <c r="A17350" s="8" t="str">
        <f>"Proceedings of the Fifth International Conference on Information Processing in Sensor Networks, IPSN '06"</f>
        <v>Proceedings of the Fifth International Conference on Information Processing in Sensor Networks, IPSN '06</v>
      </c>
      <c r="B17350" s="8" t="str">
        <f>"-"</f>
        <v>-</v>
      </c>
      <c r="C17350" s="8" t="s">
        <v>21</v>
      </c>
    </row>
    <row r="17351" spans="1:3" x14ac:dyDescent="0.25">
      <c r="A17351" s="8" t="str">
        <f>"Proceedings of the Fifth International Conference on Information Technology Based Higher Education and Training, ITHET 2004"</f>
        <v>Proceedings of the Fifth International Conference on Information Technology Based Higher Education and Training, ITHET 2004</v>
      </c>
      <c r="B17351" s="8" t="str">
        <f>"9780780385962"</f>
        <v>9780780385962</v>
      </c>
      <c r="C17351" s="8" t="s">
        <v>105</v>
      </c>
    </row>
    <row r="17352" spans="1:3" x14ac:dyDescent="0.25">
      <c r="A17352" s="8" t="str">
        <f>"Proceedings of the Fifth International Workshop on Robot Motion and Control, RoMoCo'05"</f>
        <v>Proceedings of the Fifth International Workshop on Robot Motion and Control, RoMoCo'05</v>
      </c>
      <c r="B17352" s="8" t="str">
        <f>"-"</f>
        <v>-</v>
      </c>
      <c r="C17352" s="8" t="s">
        <v>9</v>
      </c>
    </row>
    <row r="17353" spans="1:3" x14ac:dyDescent="0.25">
      <c r="A17353" s="8" t="str">
        <f>"Proceedings of the Fifth International Workshop on Software and Performance, WOSP'05"</f>
        <v>Proceedings of the Fifth International Workshop on Software and Performance, WOSP'05</v>
      </c>
      <c r="B17353" s="8" t="str">
        <f>"-"</f>
        <v>-</v>
      </c>
      <c r="C17353" s="8" t="s">
        <v>21</v>
      </c>
    </row>
    <row r="17354" spans="1:3" x14ac:dyDescent="0.25">
      <c r="A17354" s="8" t="str">
        <f>"Proceedings of the Fifth Mexican International Conference in Computer Science, ENC 2004"</f>
        <v>Proceedings of the Fifth Mexican International Conference in Computer Science, ENC 2004</v>
      </c>
      <c r="B17354" s="8" t="str">
        <f>"9780769521602"</f>
        <v>9780769521602</v>
      </c>
      <c r="C17354" s="8" t="s">
        <v>9</v>
      </c>
    </row>
    <row r="17355" spans="1:3" x14ac:dyDescent="0.25">
      <c r="A17355" s="8" t="str">
        <f>"Proceedings of the first ACM International Workshop on Wireless Mobile Applications and Services on WLAN Hotspots"</f>
        <v>Proceedings of the first ACM International Workshop on Wireless Mobile Applications and Services on WLAN Hotspots</v>
      </c>
      <c r="B17355" s="8" t="str">
        <f>"9781581137682"</f>
        <v>9781581137682</v>
      </c>
      <c r="C17355" s="8" t="s">
        <v>21</v>
      </c>
    </row>
    <row r="17356" spans="1:3" x14ac:dyDescent="0.25">
      <c r="A17356" s="8" t="str">
        <f>"Proceedings of the first ACM SIGSOFT Workshop on Self-Healing Systems (WOSS'02)"</f>
        <v>Proceedings of the first ACM SIGSOFT Workshop on Self-Healing Systems (WOSS'02)</v>
      </c>
      <c r="B17356" s="8" t="str">
        <f>"9781581136098"</f>
        <v>9781581136098</v>
      </c>
      <c r="C17356" s="8" t="s">
        <v>21</v>
      </c>
    </row>
    <row r="17357" spans="1:3" x14ac:dyDescent="0.25">
      <c r="A17357" s="8" t="str">
        <f>"Proceedings of the First ACM Workshop on Scalable Trusted Computing, STC'06. A workshop held in conjuction with the 13th ACM Conference on Computer and Communications Security, CCS'06"</f>
        <v>Proceedings of the First ACM Workshop on Scalable Trusted Computing, STC'06. A workshop held in conjuction with the 13th ACM Conference on Computer and Communications Security, CCS'06</v>
      </c>
      <c r="B17357" s="8" t="str">
        <f>"9781595935489"</f>
        <v>9781595935489</v>
      </c>
      <c r="C17357" s="8" t="s">
        <v>21</v>
      </c>
    </row>
    <row r="17358" spans="1:3" x14ac:dyDescent="0.25">
      <c r="A17358" s="8" t="str">
        <f>"Proceedings of the First ACM/USENIX International Conference on Virtual Execution Environments, VEE 05"</f>
        <v>Proceedings of the First ACM/USENIX International Conference on Virtual Execution Environments, VEE 05</v>
      </c>
      <c r="B17358" s="8" t="str">
        <f>"9781595930477"</f>
        <v>9781595930477</v>
      </c>
      <c r="C17358" s="8" t="s">
        <v>21</v>
      </c>
    </row>
    <row r="17359" spans="1:3" x14ac:dyDescent="0.25">
      <c r="A17359" s="8" t="str">
        <f>"Proceedings of the First Conference on Sustainable Range Management - 2004"</f>
        <v>Proceedings of the First Conference on Sustainable Range Management - 2004</v>
      </c>
      <c r="B17359" s="8" t="str">
        <f>"9781574771442"</f>
        <v>9781574771442</v>
      </c>
      <c r="C17359" s="8" t="s">
        <v>2250</v>
      </c>
    </row>
    <row r="17360" spans="1:3" x14ac:dyDescent="0.25">
      <c r="A17360" s="8" t="str">
        <f>"Proceedings of the First IEEE International Workshop on Horizontal Interactive Human-Computer Systems, TABLETOP'06"</f>
        <v>Proceedings of the First IEEE International Workshop on Horizontal Interactive Human-Computer Systems, TABLETOP'06</v>
      </c>
      <c r="B17360" s="8" t="str">
        <f>"-"</f>
        <v>-</v>
      </c>
      <c r="C17360" s="8" t="s">
        <v>9</v>
      </c>
    </row>
    <row r="17361" spans="1:3" x14ac:dyDescent="0.25">
      <c r="A17361" s="8" t="str">
        <f>"Proceedings of the First IEEE/RAS-EMBS International Conference on Biomedical Robotics and Biomechatronics, 2006, BioRob 2006"</f>
        <v>Proceedings of the First IEEE/RAS-EMBS International Conference on Biomedical Robotics and Biomechatronics, 2006, BioRob 2006</v>
      </c>
      <c r="B17361" s="8" t="str">
        <f>"-"</f>
        <v>-</v>
      </c>
      <c r="C17361" s="8" t="s">
        <v>9</v>
      </c>
    </row>
    <row r="17362" spans="1:3" x14ac:dyDescent="0.25">
      <c r="A17362" s="8" t="str">
        <f>"Proceedings of the First International Conference on Information Technology and Applications (ICITA 2002)"</f>
        <v>Proceedings of the First International Conference on Information Technology and Applications (ICITA 2002)</v>
      </c>
      <c r="B17362" s="8" t="str">
        <f>"9781864671148"</f>
        <v>9781864671148</v>
      </c>
      <c r="C17362" s="8" t="s">
        <v>1849</v>
      </c>
    </row>
    <row r="17363" spans="1:3" x14ac:dyDescent="0.25">
      <c r="A17363" s="8" t="str">
        <f>"Proceedings of the First International Conference on Knowledge Capture"</f>
        <v>Proceedings of the First International Conference on Knowledge Capture</v>
      </c>
      <c r="B17363" s="8" t="str">
        <f>"9781581133806"</f>
        <v>9781581133806</v>
      </c>
      <c r="C17363" s="8" t="s">
        <v>21</v>
      </c>
    </row>
    <row r="17364" spans="1:3" x14ac:dyDescent="0.25">
      <c r="A17364" s="8" t="str">
        <f>"Proceedings of the First International Workshop on Hot Topics in Peer-to-Peer Systems, HOT-P2P '04"</f>
        <v>Proceedings of the First International Workshop on Hot Topics in Peer-to-Peer Systems, HOT-P2P '04</v>
      </c>
      <c r="B17364" s="8" t="str">
        <f>"9780769522692"</f>
        <v>9780769522692</v>
      </c>
      <c r="C17364" s="8" t="s">
        <v>105</v>
      </c>
    </row>
    <row r="17365" spans="1:3" x14ac:dyDescent="0.25">
      <c r="A17365" s="8" t="str">
        <f>"Proceedings of the First International Workshop on Software Product Management, IWSPM'06"</f>
        <v>Proceedings of the First International Workshop on Software Product Management, IWSPM'06</v>
      </c>
      <c r="B17365" s="8" t="str">
        <f>"9780769527147"</f>
        <v>9780769527147</v>
      </c>
      <c r="C17365" s="8" t="s">
        <v>9</v>
      </c>
    </row>
    <row r="17366" spans="1:3" x14ac:dyDescent="0.25">
      <c r="A17366" s="8" t="str">
        <f>"Proceedings of the First Workshop on Information Credibility on the Web (WICOW) in Conjunction with the 21st Annual Conference of the Japanese Society for Artificial Intelligence, 2007"</f>
        <v>Proceedings of the First Workshop on Information Credibility on the Web (WICOW) in Conjunction with the 21st Annual Conference of the Japanese Society for Artificial Intelligence, 2007</v>
      </c>
      <c r="B17366" s="8" t="str">
        <f>"9784915905285"</f>
        <v>9784915905285</v>
      </c>
      <c r="C17366" s="8" t="s">
        <v>1136</v>
      </c>
    </row>
    <row r="17367" spans="1:3" x14ac:dyDescent="0.25">
      <c r="A17367" s="8" t="str">
        <f>"Proceedings of the Fourth ACM Workshop on Formal Methods in Security Engineering, FMSE'06. A workshop held in conjuction with the 13th ACM Conference on Computer and Communications Security, CCS'06"</f>
        <v>Proceedings of the Fourth ACM Workshop on Formal Methods in Security Engineering, FMSE'06. A workshop held in conjuction with the 13th ACM Conference on Computer and Communications Security, CCS'06</v>
      </c>
      <c r="B17367" s="8" t="str">
        <f>"9781595935502"</f>
        <v>9781595935502</v>
      </c>
      <c r="C17367" s="8" t="s">
        <v>21</v>
      </c>
    </row>
    <row r="17368" spans="1:3" x14ac:dyDescent="0.25">
      <c r="A17368" s="8" t="str">
        <f>"Proceedings of the Fourth ACM Workshop on Security of ad hoc and Sensor Networks, SASN 2006. A workshop held in conjuction with the 13th ACM Conference on Computer and Communications Security, CCS'06"</f>
        <v>Proceedings of the Fourth ACM Workshop on Security of ad hoc and Sensor Networks, SASN 2006. A workshop held in conjuction with the 13th ACM Conference on Computer and Communications Security, CCS'06</v>
      </c>
      <c r="B17368" s="8" t="str">
        <f>"9781595935540"</f>
        <v>9781595935540</v>
      </c>
      <c r="C17368" s="8" t="s">
        <v>21</v>
      </c>
    </row>
    <row r="17369" spans="1:3" x14ac:dyDescent="0.25">
      <c r="A17369" s="8" t="str">
        <f>"Proceedings of the Fourth Creativity and Cognition Conference"</f>
        <v>Proceedings of the Fourth Creativity and Cognition Conference</v>
      </c>
      <c r="B17369" s="8" t="str">
        <f>"9781581134650"</f>
        <v>9781581134650</v>
      </c>
      <c r="C17369" s="8" t="s">
        <v>21</v>
      </c>
    </row>
    <row r="17370" spans="1:3" x14ac:dyDescent="0.25">
      <c r="A17370" s="8" t="str">
        <f>"Proceedings of the Fourth IASTED International Conference on Biomechanics, BioMech 2006"</f>
        <v>Proceedings of the Fourth IASTED International Conference on Biomechanics, BioMech 2006</v>
      </c>
      <c r="B17370" s="8" t="str">
        <f>"9780889866041"</f>
        <v>9780889866041</v>
      </c>
      <c r="C17370" s="8" t="s">
        <v>305</v>
      </c>
    </row>
    <row r="17371" spans="1:3" x14ac:dyDescent="0.25">
      <c r="A17371" s="8" t="str">
        <f>"Proceedings of the Fourth IASTED International Conference on Biomedical Engineering"</f>
        <v>Proceedings of the Fourth IASTED International Conference on Biomedical Engineering</v>
      </c>
      <c r="B17371" s="8" t="str">
        <f>"-"</f>
        <v>-</v>
      </c>
      <c r="C17371" s="8" t="s">
        <v>1869</v>
      </c>
    </row>
    <row r="17372" spans="1:3" x14ac:dyDescent="0.25">
      <c r="A17372" s="8" t="str">
        <f>"Proceedings of the Fourth IASTED International Conference on Circuits, Signals, and Systems, CSS 2006"</f>
        <v>Proceedings of the Fourth IASTED International Conference on Circuits, Signals, and Systems, CSS 2006</v>
      </c>
      <c r="B17372" s="8" t="str">
        <f>"9780889866072"</f>
        <v>9780889866072</v>
      </c>
      <c r="C17372" s="8" t="s">
        <v>305</v>
      </c>
    </row>
    <row r="17373" spans="1:3" x14ac:dyDescent="0.25">
      <c r="A17373" s="8" t="str">
        <f>"Proceedings of the Fourth IASTED International Conference on Communications, Internet, and Information Technology, CIIT 2005"</f>
        <v>Proceedings of the Fourth IASTED International Conference on Communications, Internet, and Information Technology, CIIT 2005</v>
      </c>
      <c r="B17373" s="8" t="str">
        <f>"9780889865150"</f>
        <v>9780889865150</v>
      </c>
      <c r="C17373" s="8" t="s">
        <v>305</v>
      </c>
    </row>
    <row r="17374" spans="1:3" x14ac:dyDescent="0.25">
      <c r="A17374" s="8" t="str">
        <f>"Proceedings of the Fourth IASTED International Conference on Visualization, Imaging, and Image Processing"</f>
        <v>Proceedings of the Fourth IASTED International Conference on Visualization, Imaging, and Image Processing</v>
      </c>
      <c r="B17374" s="8" t="str">
        <f>"9780889864153"</f>
        <v>9780889864153</v>
      </c>
      <c r="C17374" s="8" t="s">
        <v>305</v>
      </c>
    </row>
    <row r="17375" spans="1:3" x14ac:dyDescent="0.25">
      <c r="A17375" s="8" t="str">
        <f>"Proceedings of the Fourth IASTED International Multi-Conference on Wireless and Optical Communications"</f>
        <v>Proceedings of the Fourth IASTED International Multi-Conference on Wireless and Optical Communications</v>
      </c>
      <c r="B17375" s="8" t="str">
        <f>"9780889864115"</f>
        <v>9780889864115</v>
      </c>
      <c r="C17375" s="8" t="s">
        <v>305</v>
      </c>
    </row>
    <row r="17376" spans="1:3" x14ac:dyDescent="0.25">
      <c r="A17376" s="8" t="str">
        <f>"Proceedings of the Fourth IEEE International Conference on Computer Vision Systems, ICVS'06"</f>
        <v>Proceedings of the Fourth IEEE International Conference on Computer Vision Systems, ICVS'06</v>
      </c>
      <c r="B17376" s="8" t="str">
        <f>"-"</f>
        <v>-</v>
      </c>
      <c r="C17376" s="8" t="s">
        <v>9</v>
      </c>
    </row>
    <row r="17377" spans="1:3" x14ac:dyDescent="0.25">
      <c r="A17377" s="8" t="str">
        <f>"Proceedings of the Fourth IEEE International Symposium on Signal Processing and Information Technology, ISSPIT 2004"</f>
        <v>Proceedings of the Fourth IEEE International Symposium on Signal Processing and Information Technology, ISSPIT 2004</v>
      </c>
      <c r="B17377" s="8" t="str">
        <f>"9780780386891"</f>
        <v>9780780386891</v>
      </c>
      <c r="C17377" s="8" t="s">
        <v>105</v>
      </c>
    </row>
    <row r="17378" spans="1:3" x14ac:dyDescent="0.25">
      <c r="A17378" s="8" t="str">
        <f>"Proceedings of the Fourth International Conference on Materials Engineering for Resources"</f>
        <v>Proceedings of the Fourth International Conference on Materials Engineering for Resources</v>
      </c>
      <c r="B17378" s="8" t="str">
        <f>"-"</f>
        <v>-</v>
      </c>
      <c r="C17378" s="8" t="s">
        <v>1182</v>
      </c>
    </row>
    <row r="17379" spans="1:3" x14ac:dyDescent="0.25">
      <c r="A17379" s="8" t="str">
        <f>"Proceedings of the Fourth International Conference on Materials Engineering for Resources"</f>
        <v>Proceedings of the Fourth International Conference on Materials Engineering for Resources</v>
      </c>
      <c r="B17379" s="8" t="str">
        <f>"-"</f>
        <v>-</v>
      </c>
      <c r="C17379" s="8" t="s">
        <v>1182</v>
      </c>
    </row>
    <row r="17380" spans="1:3" x14ac:dyDescent="0.25">
      <c r="A17380" s="8" t="str">
        <f>"Proceedings of the Fourth International Conference on Web Delivering of Music, WEDELMUSIC 2004"</f>
        <v>Proceedings of the Fourth International Conference on Web Delivering of Music, WEDELMUSIC 2004</v>
      </c>
      <c r="B17380" s="8" t="str">
        <f>"9780769521572"</f>
        <v>9780769521572</v>
      </c>
      <c r="C17380" s="8" t="s">
        <v>9</v>
      </c>
    </row>
    <row r="17381" spans="1:3" x14ac:dyDescent="0.25">
      <c r="A17381" s="8" t="str">
        <f>"Proceedings of the Fourth International Workshop on Robot Motion and Control, RoMoCo'04"</f>
        <v>Proceedings of the Fourth International Workshop on Robot Motion and Control, RoMoCo'04</v>
      </c>
      <c r="B17381" s="8" t="str">
        <f>"9788371432729"</f>
        <v>9788371432729</v>
      </c>
      <c r="C17381" s="8" t="s">
        <v>2251</v>
      </c>
    </row>
    <row r="17382" spans="1:3" x14ac:dyDescent="0.25">
      <c r="A17382" s="8" t="str">
        <f>"Proceedings of the Fourth International Workshop on Software and Performance, WOSP'04"</f>
        <v>Proceedings of the Fourth International Workshop on Software and Performance, WOSP'04</v>
      </c>
      <c r="B17382" s="8" t="str">
        <f>"9781581136739"</f>
        <v>9781581136739</v>
      </c>
      <c r="C17382" s="8" t="s">
        <v>21</v>
      </c>
    </row>
    <row r="17383" spans="1:3" x14ac:dyDescent="0.25">
      <c r="A17383" s="8" t="str">
        <f>"Proceedings of the Fourth Workshop on Intelligent Solutions in Embedded Systems, WISES 2006"</f>
        <v>Proceedings of the Fourth Workshop on Intelligent Solutions in Embedded Systems, WISES 2006</v>
      </c>
      <c r="B17383" s="8" t="str">
        <f>"9783902463067"</f>
        <v>9783902463067</v>
      </c>
      <c r="C17383" s="8" t="s">
        <v>9</v>
      </c>
    </row>
    <row r="17384" spans="1:3" x14ac:dyDescent="0.25">
      <c r="A17384" s="8" t="str">
        <f>"Proceedings of the Frontiers in the Convergence of Bioscience and Information Technologies, FBIT 2007"</f>
        <v>Proceedings of the Frontiers in the Convergence of Bioscience and Information Technologies, FBIT 2007</v>
      </c>
      <c r="B17384" s="8" t="str">
        <f>"9780769529998"</f>
        <v>9780769529998</v>
      </c>
      <c r="C17384" s="8" t="s">
        <v>9</v>
      </c>
    </row>
    <row r="17385" spans="1:3" x14ac:dyDescent="0.25">
      <c r="A17385" s="8" t="str">
        <f>"Proceedings of the FSE/SDP Workshop on the Future of Software Engineering Research, FoSER 2010"</f>
        <v>Proceedings of the FSE/SDP Workshop on the Future of Software Engineering Research, FoSER 2010</v>
      </c>
      <c r="B17385" s="8" t="str">
        <f>"9781450304276"</f>
        <v>9781450304276</v>
      </c>
      <c r="C17385" s="8" t="s">
        <v>21</v>
      </c>
    </row>
    <row r="17386" spans="1:3" x14ac:dyDescent="0.25">
      <c r="A17386" s="8" t="str">
        <f>"Proceedings of the Future HPC Systems: The Challenges of Power-Constrained Performance, FutureHPC '12 - Held in Conjunction with International Conference on Supercomputing, ICS'12"</f>
        <v>Proceedings of the Future HPC Systems: The Challenges of Power-Constrained Performance, FutureHPC '12 - Held in Conjunction with International Conference on Supercomputing, ICS'12</v>
      </c>
      <c r="B17386" s="8" t="str">
        <f>"9781450314534"</f>
        <v>9781450314534</v>
      </c>
      <c r="C17386" s="8" t="s">
        <v>21</v>
      </c>
    </row>
    <row r="17387" spans="1:3" x14ac:dyDescent="0.25">
      <c r="A17387" s="8" t="str">
        <f>"Proceedings of the GCC Developers' Summit"</f>
        <v>Proceedings of the GCC Developers' Summit</v>
      </c>
      <c r="B17387" s="8" t="str">
        <f t="shared" ref="B17387:B17392" si="34">"-"</f>
        <v>-</v>
      </c>
      <c r="C17387" s="8" t="s">
        <v>2252</v>
      </c>
    </row>
    <row r="17388" spans="1:3" x14ac:dyDescent="0.25">
      <c r="A17388" s="8" t="str">
        <f>"Proceedings of the GCC Developers' Summit 2005"</f>
        <v>Proceedings of the GCC Developers' Summit 2005</v>
      </c>
      <c r="B17388" s="8" t="str">
        <f t="shared" si="34"/>
        <v>-</v>
      </c>
      <c r="C17388" s="8" t="s">
        <v>2252</v>
      </c>
    </row>
    <row r="17389" spans="1:3" x14ac:dyDescent="0.25">
      <c r="A17389" s="8" t="str">
        <f>"Proceedings of the GCC Developers' Summit 2006"</f>
        <v>Proceedings of the GCC Developers' Summit 2006</v>
      </c>
      <c r="B17389" s="8" t="str">
        <f t="shared" si="34"/>
        <v>-</v>
      </c>
      <c r="C17389" s="8" t="s">
        <v>2252</v>
      </c>
    </row>
    <row r="17390" spans="1:3" x14ac:dyDescent="0.25">
      <c r="A17390" s="8" t="str">
        <f>"Proceedings of the GCC Developers' Summit 2008"</f>
        <v>Proceedings of the GCC Developers' Summit 2008</v>
      </c>
      <c r="B17390" s="8" t="str">
        <f t="shared" si="34"/>
        <v>-</v>
      </c>
      <c r="C17390" s="8" t="s">
        <v>2252</v>
      </c>
    </row>
    <row r="17391" spans="1:3" x14ac:dyDescent="0.25">
      <c r="A17391" s="8" t="str">
        <f>"Proceedings of the GCC Developers' Summit 2009"</f>
        <v>Proceedings of the GCC Developers' Summit 2009</v>
      </c>
      <c r="B17391" s="8" t="str">
        <f t="shared" si="34"/>
        <v>-</v>
      </c>
      <c r="C17391" s="8" t="s">
        <v>2252</v>
      </c>
    </row>
    <row r="17392" spans="1:3" x14ac:dyDescent="0.25">
      <c r="A17392" s="8" t="str">
        <f>"Proceedings of the GCC Developers' Summit 2010"</f>
        <v>Proceedings of the GCC Developers' Summit 2010</v>
      </c>
      <c r="B17392" s="8" t="str">
        <f t="shared" si="34"/>
        <v>-</v>
      </c>
      <c r="C17392" s="8" t="s">
        <v>2252</v>
      </c>
    </row>
    <row r="17393" spans="1:3" x14ac:dyDescent="0.25">
      <c r="A17393" s="8" t="str">
        <f>"Proceedings of the German Conference on Bioinformatics, GCB 2005"</f>
        <v>Proceedings of the German Conference on Bioinformatics, GCB 2005</v>
      </c>
      <c r="B17393" s="8" t="str">
        <f>"9783885794004"</f>
        <v>9783885794004</v>
      </c>
      <c r="C17393" s="8" t="s">
        <v>833</v>
      </c>
    </row>
    <row r="17394" spans="1:3" x14ac:dyDescent="0.25">
      <c r="A17394" s="8" t="str">
        <f>"Proceedings of the German Conference on Bioinformatics, GCB 2007"</f>
        <v>Proceedings of the German Conference on Bioinformatics, GCB 2007</v>
      </c>
      <c r="B17394" s="8" t="str">
        <f>"9783885792093"</f>
        <v>9783885792093</v>
      </c>
      <c r="C17394" s="8" t="s">
        <v>833</v>
      </c>
    </row>
    <row r="17395" spans="1:3" x14ac:dyDescent="0.25">
      <c r="A17395" s="8" t="str">
        <f>"Proceedings of the German Conference on Bioinformatics, GCB 2008"</f>
        <v>Proceedings of the German Conference on Bioinformatics, GCB 2008</v>
      </c>
      <c r="B17395" s="8" t="str">
        <f>"9783885792260"</f>
        <v>9783885792260</v>
      </c>
      <c r="C17395" s="8" t="s">
        <v>833</v>
      </c>
    </row>
    <row r="17396" spans="1:3" x14ac:dyDescent="0.25">
      <c r="A17396" s="8" t="str">
        <f>"Proceedings of the Global Digital Library Development in the New Millenium"</f>
        <v>Proceedings of the Global Digital Library Development in the New Millenium</v>
      </c>
      <c r="B17396" s="8" t="str">
        <f>"9787302044734"</f>
        <v>9787302044734</v>
      </c>
      <c r="C17396" s="8" t="s">
        <v>216</v>
      </c>
    </row>
    <row r="17397" spans="1:3" x14ac:dyDescent="0.25">
      <c r="A17397" s="8" t="str">
        <f>"Proceedings of the Hamburg Neutrinos from Supernova Explosions, HAvSE 2011"</f>
        <v>Proceedings of the Hamburg Neutrinos from Supernova Explosions, HAvSE 2011</v>
      </c>
      <c r="B17397" s="8" t="str">
        <f>"9783935702539"</f>
        <v>9783935702539</v>
      </c>
      <c r="C17397" s="8" t="s">
        <v>1863</v>
      </c>
    </row>
    <row r="17398" spans="1:3" x14ac:dyDescent="0.25">
      <c r="A17398" s="8" t="str">
        <f>"Proceedings of the History Symposium of the World Environmental and Water Resources Congress 2009: Great Rivers History"</f>
        <v>Proceedings of the History Symposium of the World Environmental and Water Resources Congress 2009: Great Rivers History</v>
      </c>
      <c r="B17398" s="8" t="str">
        <f>"9780784410325"</f>
        <v>9780784410325</v>
      </c>
      <c r="C17398" s="8" t="s">
        <v>111</v>
      </c>
    </row>
    <row r="17399" spans="1:3" x14ac:dyDescent="0.25">
      <c r="A17399" s="8" t="str">
        <f>"Proceedings of the HPG 2009: Conference on High-Performance Graphics 2009"</f>
        <v>Proceedings of the HPG 2009: Conference on High-Performance Graphics 2009</v>
      </c>
      <c r="B17399" s="8" t="str">
        <f>"9781605586038"</f>
        <v>9781605586038</v>
      </c>
      <c r="C17399" s="8" t="s">
        <v>21</v>
      </c>
    </row>
    <row r="17400" spans="1:3" x14ac:dyDescent="0.25">
      <c r="A17400" s="8" t="str">
        <f>"Proceedings of the IADC/SPE Asia Pacific Drilling Technology Conference 2006 - Meeting the Value Challenge: Performance, Deliverability and Cost"</f>
        <v>Proceedings of the IADC/SPE Asia Pacific Drilling Technology Conference 2006 - Meeting the Value Challenge: Performance, Deliverability and Cost</v>
      </c>
      <c r="B17400" s="8" t="str">
        <f>"-"</f>
        <v>-</v>
      </c>
      <c r="C17400" s="8" t="s">
        <v>671</v>
      </c>
    </row>
    <row r="17401" spans="1:3" x14ac:dyDescent="0.25">
      <c r="A17401" s="8" t="str">
        <f>"Proceedings of the IADC/SPE Asia Pacific Drilling Technology Conference and Exhibition"</f>
        <v>Proceedings of the IADC/SPE Asia Pacific Drilling Technology Conference and Exhibition</v>
      </c>
      <c r="B17401" s="8" t="str">
        <f>"-"</f>
        <v>-</v>
      </c>
      <c r="C17401" s="8" t="s">
        <v>671</v>
      </c>
    </row>
    <row r="17402" spans="1:3" x14ac:dyDescent="0.25">
      <c r="A17402" s="8" t="str">
        <f>"Proceedings of the IADIS European Conference on Data Mining 2009, ECDM'09 Part of the IADIS Multi Conference on Computer Science and Information Systems, MCCSIS 2009"</f>
        <v>Proceedings of the IADIS European Conference on Data Mining 2009, ECDM'09 Part of the IADIS Multi Conference on Computer Science and Information Systems, MCCSIS 2009</v>
      </c>
      <c r="B17402" s="8" t="str">
        <f>"9789728924881"</f>
        <v>9789728924881</v>
      </c>
      <c r="C17402" s="8" t="s">
        <v>1228</v>
      </c>
    </row>
    <row r="17403" spans="1:3" x14ac:dyDescent="0.25">
      <c r="A17403" s="8" t="str">
        <f>"Proceedings of the IADIS European Conference on Data Mining 2011, Part of the IADIS Multi Conference on Computer Science and Information Systems 2011, MCCSIS 2011"</f>
        <v>Proceedings of the IADIS European Conference on Data Mining 2011, Part of the IADIS Multi Conference on Computer Science and Information Systems 2011, MCCSIS 2011</v>
      </c>
      <c r="B17403" s="8" t="str">
        <f>"9789728939533"</f>
        <v>9789728939533</v>
      </c>
      <c r="C17403" s="8" t="s">
        <v>1228</v>
      </c>
    </row>
    <row r="17404" spans="1:3" x14ac:dyDescent="0.25">
      <c r="A17404" s="8" t="str">
        <f>"Proceedings of the IADIS Int. Conf. ICT, Society and Human Beings 2011, Proceedings of the IADIS International Conference e-Democracy, Equity and Social Justice 2011, Part of the IADIS, MCCSIS 2011"</f>
        <v>Proceedings of the IADIS Int. Conf. ICT, Society and Human Beings 2011, Proceedings of the IADIS International Conference e-Democracy, Equity and Social Justice 2011, Part of the IADIS, MCCSIS 2011</v>
      </c>
      <c r="B17404" s="8" t="str">
        <f>"9789728939366"</f>
        <v>9789728939366</v>
      </c>
      <c r="C17404" s="8" t="s">
        <v>1228</v>
      </c>
    </row>
    <row r="17405" spans="1:3" x14ac:dyDescent="0.25">
      <c r="A17405" s="8" t="str">
        <f>"Proceedings of the IADIS International ConfeProceedings of the IADIS International Conference e-Health 2009, Part of the IADIS Multi Conference on Computer Science and Information Systems, MCCSIS 2009"</f>
        <v>Proceedings of the IADIS International ConfeProceedings of the IADIS International Conference e-Health 2009, Part of the IADIS Multi Conference on Computer Science and Information Systems, MCCSIS 2009</v>
      </c>
      <c r="B17405" s="8" t="str">
        <f>"9789728924812"</f>
        <v>9789728924812</v>
      </c>
      <c r="C17405" s="8" t="s">
        <v>1228</v>
      </c>
    </row>
    <row r="17406" spans="1:3" x14ac:dyDescent="0.25">
      <c r="A17406" s="8" t="str">
        <f>"Proceedings of the IADIS International Conference Computer Graphics, Visualization, Computer Vision and Image Processing 2009, CGVCVIP 2009. Part of the IADIS MCCSIS 2009"</f>
        <v>Proceedings of the IADIS International Conference Computer Graphics, Visualization, Computer Vision and Image Processing 2009, CGVCVIP 2009. Part of the IADIS MCCSIS 2009</v>
      </c>
      <c r="B17406" s="8" t="str">
        <f>"9789728924843"</f>
        <v>9789728924843</v>
      </c>
      <c r="C17406" s="8" t="s">
        <v>1228</v>
      </c>
    </row>
    <row r="17407" spans="1:3" x14ac:dyDescent="0.25">
      <c r="A17407" s="8" t="str">
        <f>"Proceedings of the IADIS International Conference Computer Graphics, Visualization, Computer Vision and Image Processing 2013, CGVCVIP 2013"</f>
        <v>Proceedings of the IADIS International Conference Computer Graphics, Visualization, Computer Vision and Image Processing 2013, CGVCVIP 2013</v>
      </c>
      <c r="B17407" s="8" t="str">
        <f>"9789728939892"</f>
        <v>9789728939892</v>
      </c>
      <c r="C17407" s="8" t="s">
        <v>1228</v>
      </c>
    </row>
    <row r="17408" spans="1:3" x14ac:dyDescent="0.25">
      <c r="A17408" s="8" t="str">
        <f>"Proceedings of the IADIS International Conference e-Commerce 2009, Part of the IADIS Multi Conference on Computer Science and Information Systems, MCCSIS 2009"</f>
        <v>Proceedings of the IADIS International Conference e-Commerce 2009, Part of the IADIS Multi Conference on Computer Science and Information Systems, MCCSIS 2009</v>
      </c>
      <c r="B17408" s="8" t="str">
        <f>"9789728924898"</f>
        <v>9789728924898</v>
      </c>
      <c r="C17408" s="8" t="s">
        <v>1228</v>
      </c>
    </row>
    <row r="17409" spans="1:3" x14ac:dyDescent="0.25">
      <c r="A17409" s="8" t="str">
        <f>"Proceedings of the IADIS International Conference e-Commerce 2011, Part of the IADIS Multi Conference on Computer Science and Information Systems 2011, MCCSIS 2011"</f>
        <v>Proceedings of the IADIS International Conference e-Commerce 2011, Part of the IADIS Multi Conference on Computer Science and Information Systems 2011, MCCSIS 2011</v>
      </c>
      <c r="B17409" s="8" t="str">
        <f>"9789728939519"</f>
        <v>9789728939519</v>
      </c>
      <c r="C17409" s="8" t="s">
        <v>1228</v>
      </c>
    </row>
    <row r="17410" spans="1:3" x14ac:dyDescent="0.25">
      <c r="A17410" s="8" t="str">
        <f>"Proceedings of the IADIS International Conference e-Health 2010, EH, Part of the IADIS Multi Conference on Computer Science and Information Systems 2010, MCCSIS 2010"</f>
        <v>Proceedings of the IADIS International Conference e-Health 2010, EH, Part of the IADIS Multi Conference on Computer Science and Information Systems 2010, MCCSIS 2010</v>
      </c>
      <c r="B17410" s="8" t="str">
        <f>"9789728939168"</f>
        <v>9789728939168</v>
      </c>
      <c r="C17410" s="8" t="s">
        <v>1228</v>
      </c>
    </row>
    <row r="17411" spans="1:3" x14ac:dyDescent="0.25">
      <c r="A17411" s="8" t="str">
        <f>"Proceedings of the IADIS International Conference e-Health 2011, Part of the IADIS Multi Conference on Computer Science and Information Systems 2011, MCCSIS 2011"</f>
        <v>Proceedings of the IADIS International Conference e-Health 2011, Part of the IADIS Multi Conference on Computer Science and Information Systems 2011, MCCSIS 2011</v>
      </c>
      <c r="B17411" s="8" t="str">
        <f>"9789728939496"</f>
        <v>9789728939496</v>
      </c>
      <c r="C17411" s="8" t="s">
        <v>1228</v>
      </c>
    </row>
    <row r="17412" spans="1:3" x14ac:dyDescent="0.25">
      <c r="A17412" s="8" t="str">
        <f>"Proceedings of the IADIS International Conference e-Health 2012, EH 2012, Part of the IADIS Multi Conference on Computer Science and Information Systems 2012, MCCSIS 2012"</f>
        <v>Proceedings of the IADIS International Conference e-Health 2012, EH 2012, Part of the IADIS Multi Conference on Computer Science and Information Systems 2012, MCCSIS 2012</v>
      </c>
      <c r="B17412" s="8" t="str">
        <f>"9789728939700"</f>
        <v>9789728939700</v>
      </c>
      <c r="C17412" s="8" t="s">
        <v>1228</v>
      </c>
    </row>
    <row r="17413" spans="1:3" x14ac:dyDescent="0.25">
      <c r="A17413" s="8" t="str">
        <f>"Proceedings of the IADIS International Conference e-Health 2013, EH 2013, Part of the IADIS Multi Conference on Computer Science and Information Systems 2013, MCCSIS 2013"</f>
        <v>Proceedings of the IADIS International Conference e-Health 2013, EH 2013, Part of the IADIS Multi Conference on Computer Science and Information Systems 2013, MCCSIS 2013</v>
      </c>
      <c r="B17413" s="8" t="str">
        <f>"9789728939878"</f>
        <v>9789728939878</v>
      </c>
      <c r="C17413" s="8" t="s">
        <v>1228</v>
      </c>
    </row>
    <row r="17414" spans="1:3" x14ac:dyDescent="0.25">
      <c r="A17414" s="8" t="str">
        <f>"Proceedings of the IADIS International Conference e-Learning 2009, Part of the IADIS Multi Conference on Computer Science and Information Systems, MCCSIS 2009"</f>
        <v>Proceedings of the IADIS International Conference e-Learning 2009, Part of the IADIS Multi Conference on Computer Science and Information Systems, MCCSIS 2009</v>
      </c>
      <c r="B17414" s="8" t="str">
        <f>"9789728924836"</f>
        <v>9789728924836</v>
      </c>
      <c r="C17414" s="8" t="s">
        <v>1228</v>
      </c>
    </row>
    <row r="17415" spans="1:3" x14ac:dyDescent="0.25">
      <c r="A17415" s="8" t="str">
        <f>"Proceedings of the IADIS International Conference e-Learning 2010, Part of the IADIS Multi Conference on Computer Science and Information Systems 2010, MCCSIS 2010"</f>
        <v>Proceedings of the IADIS International Conference e-Learning 2010, Part of the IADIS Multi Conference on Computer Science and Information Systems 2010, MCCSIS 2010</v>
      </c>
      <c r="B17415" s="8" t="str">
        <f>"9789728939175"</f>
        <v>9789728939175</v>
      </c>
      <c r="C17415" s="8" t="s">
        <v>1228</v>
      </c>
    </row>
    <row r="17416" spans="1:3" x14ac:dyDescent="0.25">
      <c r="A17416" s="8" t="str">
        <f>"Proceedings of the IADIS International Conference e-Learning 2011, Part of the IADIS Multi Conference on Computer Science and Information Systems 2011, MCCSIS 2011"</f>
        <v>Proceedings of the IADIS International Conference e-Learning 2011, Part of the IADIS Multi Conference on Computer Science and Information Systems 2011, MCCSIS 2011</v>
      </c>
      <c r="B17416" s="8" t="str">
        <f>"9789728939380"</f>
        <v>9789728939380</v>
      </c>
      <c r="C17416" s="8" t="s">
        <v>1228</v>
      </c>
    </row>
    <row r="17417" spans="1:3" x14ac:dyDescent="0.25">
      <c r="A17417" s="8" t="str">
        <f>"Proceedings of the IADIS International Conference e-Learning 2012"</f>
        <v>Proceedings of the IADIS International Conference e-Learning 2012</v>
      </c>
      <c r="B17417" s="8" t="str">
        <f>"9789728939717"</f>
        <v>9789728939717</v>
      </c>
      <c r="C17417" s="8" t="s">
        <v>1228</v>
      </c>
    </row>
    <row r="17418" spans="1:3" x14ac:dyDescent="0.25">
      <c r="A17418" s="8" t="str">
        <f>"Proceedings of the IADIS International Conference Game and Entertainment Technologies 2011, Part of the IADIS Multi Conference on Computer Science and Information Systems 2011, MCCSIS 2011"</f>
        <v>Proceedings of the IADIS International Conference Game and Entertainment Technologies 2011, Part of the IADIS Multi Conference on Computer Science and Information Systems 2011, MCCSIS 2011</v>
      </c>
      <c r="B17418" s="8" t="str">
        <f>"9789728939502"</f>
        <v>9789728939502</v>
      </c>
      <c r="C17418" s="8" t="s">
        <v>1228</v>
      </c>
    </row>
    <row r="17419" spans="1:3" x14ac:dyDescent="0.25">
      <c r="A17419" s="8" t="str">
        <f>"Proceedings of the IADIS International Conference ICT, Society and Human Beings 2010, Part of the IADIS Multi Conference on Computer Science and Information Systems 2010, MCCSIS 2010"</f>
        <v>Proceedings of the IADIS International Conference ICT, Society and Human Beings 2010, Part of the IADIS Multi Conference on Computer Science and Information Systems 2010, MCCSIS 2010</v>
      </c>
      <c r="B17419" s="8" t="str">
        <f>"9789728939205"</f>
        <v>9789728939205</v>
      </c>
      <c r="C17419" s="8" t="s">
        <v>1228</v>
      </c>
    </row>
    <row r="17420" spans="1:3" x14ac:dyDescent="0.25">
      <c r="A17420" s="8" t="str">
        <f>"Proceedings of the IADIS International Conference ICT, Society and Human Beings 2012, Proceedings of the IADIS International Conference e-Commerce 2012"</f>
        <v>Proceedings of the IADIS International Conference ICT, Society and Human Beings 2012, Proceedings of the IADIS International Conference e-Commerce 2012</v>
      </c>
      <c r="B17420" s="8" t="str">
        <f>"9789728939762"</f>
        <v>9789728939762</v>
      </c>
      <c r="C17420" s="8" t="s">
        <v>1228</v>
      </c>
    </row>
    <row r="17421" spans="1:3" x14ac:dyDescent="0.25">
      <c r="A17421" s="8" t="str">
        <f>"Proceedings of the IADIS International Conference ICT, Society and Human Beings 2013, Proceedings of the IADIS International Conference e-Commerce 2013"</f>
        <v>Proceedings of the IADIS International Conference ICT, Society and Human Beings 2013, Proceedings of the IADIS International Conference e-Commerce 2013</v>
      </c>
      <c r="B17421" s="8" t="str">
        <f>"9789728939915"</f>
        <v>9789728939915</v>
      </c>
      <c r="C17421" s="8" t="s">
        <v>1228</v>
      </c>
    </row>
    <row r="17422" spans="1:3" x14ac:dyDescent="0.25">
      <c r="A17422" s="8" t="str">
        <f>"Proceedings of the IADIS International Conference Informatics 2009, Part of the IADIS Multi Conference on Computer Science and Information Systems, MCCSIS 2009"</f>
        <v>Proceedings of the IADIS International Conference Informatics 2009, Part of the IADIS Multi Conference on Computer Science and Information Systems, MCCSIS 2009</v>
      </c>
      <c r="B17422" s="8" t="str">
        <f>"9789728924867"</f>
        <v>9789728924867</v>
      </c>
      <c r="C17422" s="8" t="s">
        <v>1228</v>
      </c>
    </row>
    <row r="17423" spans="1:3" x14ac:dyDescent="0.25">
      <c r="A17423" s="8" t="str">
        <f>"Proceedings of the IADIS International Conference Information Systems 2009, IS 2009"</f>
        <v>Proceedings of the IADIS International Conference Information Systems 2009, IS 2009</v>
      </c>
      <c r="B17423" s="8" t="str">
        <f>"9789728924799"</f>
        <v>9789728924799</v>
      </c>
      <c r="C17423" s="8" t="s">
        <v>1228</v>
      </c>
    </row>
    <row r="17424" spans="1:3" x14ac:dyDescent="0.25">
      <c r="A17424" s="8" t="str">
        <f>"Proceedings of the IADIS International Conference Information Systems 2010"</f>
        <v>Proceedings of the IADIS International Conference Information Systems 2010</v>
      </c>
      <c r="B17424" s="8" t="str">
        <f>"9789728939090"</f>
        <v>9789728939090</v>
      </c>
      <c r="C17424" s="8" t="s">
        <v>1228</v>
      </c>
    </row>
    <row r="17425" spans="1:3" x14ac:dyDescent="0.25">
      <c r="A17425" s="8" t="str">
        <f>"Proceedings of the IADIS International Conference Information Systems 2011, IS 2011"</f>
        <v>Proceedings of the IADIS International Conference Information Systems 2011, IS 2011</v>
      </c>
      <c r="B17425" s="8" t="str">
        <f>"9789728939472"</f>
        <v>9789728939472</v>
      </c>
      <c r="C17425" s="8" t="s">
        <v>1228</v>
      </c>
    </row>
    <row r="17426" spans="1:3" x14ac:dyDescent="0.25">
      <c r="A17426" s="8" t="str">
        <f>"Proceedings of the IADIS International Conference Information Systems 2012, IS 2012"</f>
        <v>Proceedings of the IADIS International Conference Information Systems 2012, IS 2012</v>
      </c>
      <c r="B17426" s="8" t="str">
        <f>"9789728939687"</f>
        <v>9789728939687</v>
      </c>
      <c r="C17426" s="8" t="s">
        <v>1228</v>
      </c>
    </row>
    <row r="17427" spans="1:3" x14ac:dyDescent="0.25">
      <c r="A17427" s="8" t="str">
        <f>"Proceedings of the IADIS International Conference Information Systems 2013, IS 2013"</f>
        <v>Proceedings of the IADIS International Conference Information Systems 2013, IS 2013</v>
      </c>
      <c r="B17427" s="8" t="str">
        <f>"9789728939830"</f>
        <v>9789728939830</v>
      </c>
      <c r="C17427" s="8" t="s">
        <v>1228</v>
      </c>
    </row>
    <row r="17428" spans="1:3" x14ac:dyDescent="0.25">
      <c r="A17428" s="8" t="str">
        <f>"Proceedings of the IADIS International Conference Intelligent Systems and Agents 2011, Part of the IADIS Multi Conference on Computer Science and Information Systems 2011, MCCSIS 2011"</f>
        <v>Proceedings of the IADIS International Conference Intelligent Systems and Agents 2011, Part of the IADIS Multi Conference on Computer Science and Information Systems 2011, MCCSIS 2011</v>
      </c>
      <c r="B17428" s="8" t="str">
        <f>"9789728939410"</f>
        <v>9789728939410</v>
      </c>
      <c r="C17428" s="8" t="s">
        <v>1228</v>
      </c>
    </row>
    <row r="17429" spans="1:3" x14ac:dyDescent="0.25">
      <c r="A17429" s="8" t="str">
        <f>"Proceedings of the IADIS International Conference Intelligent Systems and Agents 2012, ISA 2012, IADIS European Conference on Data Mining 2012, ECDM 2012"</f>
        <v>Proceedings of the IADIS International Conference Intelligent Systems and Agents 2012, ISA 2012, IADIS European Conference on Data Mining 2012, ECDM 2012</v>
      </c>
      <c r="B17429" s="8" t="str">
        <f>"9789728939694"</f>
        <v>9789728939694</v>
      </c>
      <c r="C17429" s="8" t="s">
        <v>1228</v>
      </c>
    </row>
    <row r="17430" spans="1:3" x14ac:dyDescent="0.25">
      <c r="A17430" s="8" t="str">
        <f>"Proceedings of the IADIS International Conference Intelligent Systems and Agents 2013, ISA 2013, Proceedings of the IADIS European Conference on Data Mining 2013, ECDM 2013"</f>
        <v>Proceedings of the IADIS International Conference Intelligent Systems and Agents 2013, ISA 2013, Proceedings of the IADIS European Conference on Data Mining 2013, ECDM 2013</v>
      </c>
      <c r="B17430" s="8" t="str">
        <f>"9789728939939"</f>
        <v>9789728939939</v>
      </c>
      <c r="C17430" s="8" t="s">
        <v>1228</v>
      </c>
    </row>
    <row r="17431" spans="1:3" x14ac:dyDescent="0.25">
      <c r="A17431" s="8" t="str">
        <f>"Proceedings of the IADIS International Conference Interfaces and Human Computer Interaction 2011, Part of the IADIS Multi Conference on Computer Science and Information Systems 2011, MCCSIS 2011"</f>
        <v>Proceedings of the IADIS International Conference Interfaces and Human Computer Interaction 2011, Part of the IADIS Multi Conference on Computer Science and Information Systems 2011, MCCSIS 2011</v>
      </c>
      <c r="B17431" s="8" t="str">
        <f>"9789728939526"</f>
        <v>9789728939526</v>
      </c>
      <c r="C17431" s="8" t="s">
        <v>1228</v>
      </c>
    </row>
    <row r="17432" spans="1:3" x14ac:dyDescent="0.25">
      <c r="A17432" s="8" t="str">
        <f>"Proceedings of the IADIS International Conference Interfaces and Human Computer Interaction 2012, IHCI 2012, Proceedings of the IADIS International Conference Game and Entertainment Technologies 2012"</f>
        <v>Proceedings of the IADIS International Conference Interfaces and Human Computer Interaction 2012, IHCI 2012, Proceedings of the IADIS International Conference Game and Entertainment Technologies 2012</v>
      </c>
      <c r="B17432" s="8" t="str">
        <f>"9789728939755"</f>
        <v>9789728939755</v>
      </c>
      <c r="C17432" s="8" t="s">
        <v>1228</v>
      </c>
    </row>
    <row r="17433" spans="1:3" x14ac:dyDescent="0.25">
      <c r="A17433" s="8" t="str">
        <f>"Proceedings of the IADIS International Conference Mobile Learning 2009, ML 2009"</f>
        <v>Proceedings of the IADIS International Conference Mobile Learning 2009, ML 2009</v>
      </c>
      <c r="B17433" s="8" t="str">
        <f>"9789728924775"</f>
        <v>9789728924775</v>
      </c>
      <c r="C17433" s="8" t="s">
        <v>1228</v>
      </c>
    </row>
    <row r="17434" spans="1:3" x14ac:dyDescent="0.25">
      <c r="A17434" s="8" t="str">
        <f>"Proceedings of the IADIS International Conference Mobile Learning 2010"</f>
        <v>Proceedings of the IADIS International Conference Mobile Learning 2010</v>
      </c>
      <c r="B17434" s="8" t="str">
        <f>"9789728924997"</f>
        <v>9789728924997</v>
      </c>
      <c r="C17434" s="8" t="s">
        <v>1228</v>
      </c>
    </row>
    <row r="17435" spans="1:3" x14ac:dyDescent="0.25">
      <c r="A17435" s="8" t="str">
        <f>"Proceedings of the IADIS International Conference Mobile Learning 2011, ML 2011"</f>
        <v>Proceedings of the IADIS International Conference Mobile Learning 2011, ML 2011</v>
      </c>
      <c r="B17435" s="8" t="str">
        <f>"9789728939458"</f>
        <v>9789728939458</v>
      </c>
      <c r="C17435" s="8" t="s">
        <v>1228</v>
      </c>
    </row>
    <row r="17436" spans="1:3" x14ac:dyDescent="0.25">
      <c r="A17436" s="8" t="str">
        <f>"Proceedings of the IADIS International Conference Mobile Learning 2012, ML 2012"</f>
        <v>Proceedings of the IADIS International Conference Mobile Learning 2012, ML 2012</v>
      </c>
      <c r="B17436" s="8" t="str">
        <f>"9789728939663"</f>
        <v>9789728939663</v>
      </c>
      <c r="C17436" s="8" t="s">
        <v>1228</v>
      </c>
    </row>
    <row r="17437" spans="1:3" x14ac:dyDescent="0.25">
      <c r="A17437" s="8" t="str">
        <f>"Proceedings of the IADIS International Conference Mobile Learning 2013, ML 2013"</f>
        <v>Proceedings of the IADIS International Conference Mobile Learning 2013, ML 2013</v>
      </c>
      <c r="B17437" s="8" t="str">
        <f>"9789728939816"</f>
        <v>9789728939816</v>
      </c>
      <c r="C17437" s="8" t="s">
        <v>1228</v>
      </c>
    </row>
    <row r="17438" spans="1:3" x14ac:dyDescent="0.25">
      <c r="A17438" s="8" t="str">
        <f>"Proceedings of the IADIS International Conference on Cognition and Exploratory Learning in the Digital Age, CELDA 2010"</f>
        <v>Proceedings of the IADIS International Conference on Cognition and Exploratory Learning in the Digital Age, CELDA 2010</v>
      </c>
      <c r="B17438" s="8" t="str">
        <f>"9789728939281"</f>
        <v>9789728939281</v>
      </c>
      <c r="C17438" s="8" t="s">
        <v>1228</v>
      </c>
    </row>
    <row r="17439" spans="1:3" x14ac:dyDescent="0.25">
      <c r="A17439" s="8" t="str">
        <f>"Proceedings of the IADIS International Conference Web Based Communities and Social Media 2012, IADIS International Conference Collaborative Technologies 2012"</f>
        <v>Proceedings of the IADIS International Conference Web Based Communities and Social Media 2012, IADIS International Conference Collaborative Technologies 2012</v>
      </c>
      <c r="B17439" s="8" t="str">
        <f>"9789728939724"</f>
        <v>9789728939724</v>
      </c>
      <c r="C17439" s="8" t="s">
        <v>1228</v>
      </c>
    </row>
    <row r="17440" spans="1:3" x14ac:dyDescent="0.25">
      <c r="A17440" s="8" t="str">
        <f>"Proceedings of the IADIS International Conference Web Based Communities and Social Media 2013, Proceedings of the IADIS International Conference Collaborative Technologies 2013"</f>
        <v>Proceedings of the IADIS International Conference Web Based Communities and Social Media 2013, Proceedings of the IADIS International Conference Collaborative Technologies 2013</v>
      </c>
      <c r="B17440" s="8" t="str">
        <f>"9789728939922"</f>
        <v>9789728939922</v>
      </c>
      <c r="C17440" s="8" t="s">
        <v>1228</v>
      </c>
    </row>
    <row r="17441" spans="1:3" x14ac:dyDescent="0.25">
      <c r="A17441" s="8" t="str">
        <f>"Proceedings of the IADIS International Conference WWW/Internet 2009, ICWI 2009"</f>
        <v>Proceedings of the IADIS International Conference WWW/Internet 2009, ICWI 2009</v>
      </c>
      <c r="B17441" s="8" t="str">
        <f>"-"</f>
        <v>-</v>
      </c>
      <c r="C17441" s="8" t="s">
        <v>1228</v>
      </c>
    </row>
    <row r="17442" spans="1:3" x14ac:dyDescent="0.25">
      <c r="A17442" s="8" t="str">
        <f>"Proceedings of the IADIS International Conference WWW/Internet 2010"</f>
        <v>Proceedings of the IADIS International Conference WWW/Internet 2010</v>
      </c>
      <c r="B17442" s="8" t="str">
        <f>"9789728939250"</f>
        <v>9789728939250</v>
      </c>
      <c r="C17442" s="8" t="s">
        <v>1228</v>
      </c>
    </row>
    <row r="17443" spans="1:3" x14ac:dyDescent="0.25">
      <c r="A17443" s="8" t="str">
        <f>"Proceedings of the IADIS International Conference WWW/Internet 2012, ICWI 2012"</f>
        <v>Proceedings of the IADIS International Conference WWW/Internet 2012, ICWI 2012</v>
      </c>
      <c r="B17443" s="8" t="str">
        <f>"9789898533098"</f>
        <v>9789898533098</v>
      </c>
      <c r="C17443" s="8" t="s">
        <v>1228</v>
      </c>
    </row>
    <row r="17444" spans="1:3" x14ac:dyDescent="0.25">
      <c r="A17444" s="8" t="str">
        <f>"Proceedings of the IADIS International Conference, ISPCM 2012, Proceedings of the IADIS International Conference TPMC 2012, IADIS International Conference IAR 2012"</f>
        <v>Proceedings of the IADIS International Conference, ISPCM 2012, Proceedings of the IADIS International Conference TPMC 2012, IADIS International Conference IAR 2012</v>
      </c>
      <c r="B17444" s="8" t="str">
        <f>"9789728939731"</f>
        <v>9789728939731</v>
      </c>
      <c r="C17444" s="8" t="s">
        <v>1228</v>
      </c>
    </row>
    <row r="17445" spans="1:3" x14ac:dyDescent="0.25">
      <c r="A17445" s="8" t="str">
        <f>"Proceedings of the IADIS International Conferences - Informatics 2011, Wireless Applications and Computing 2011, Telecommunications, Networks and Systems 2011, Part of the IADIS, MCCSIS 2011"</f>
        <v>Proceedings of the IADIS International Conferences - Informatics 2011, Wireless Applications and Computing 2011, Telecommunications, Networks and Systems 2011, Part of the IADIS, MCCSIS 2011</v>
      </c>
      <c r="B17445" s="8" t="str">
        <f>"9789728939397"</f>
        <v>9789728939397</v>
      </c>
      <c r="C17445" s="8" t="s">
        <v>1228</v>
      </c>
    </row>
    <row r="17446" spans="1:3" x14ac:dyDescent="0.25">
      <c r="A17446" s="8" t="str">
        <f>"Proceedings of the IADIS International Conferences - Interfaces and Human Computer Interaction 2013, IHCI 2013 and Game and Entertainment Technologies 2013, GET 2013"</f>
        <v>Proceedings of the IADIS International Conferences - Interfaces and Human Computer Interaction 2013, IHCI 2013 and Game and Entertainment Technologies 2013, GET 2013</v>
      </c>
      <c r="B17446" s="8" t="str">
        <f>"9789728939908"</f>
        <v>9789728939908</v>
      </c>
      <c r="C17446" s="8" t="s">
        <v>1228</v>
      </c>
    </row>
    <row r="17447" spans="1:3" x14ac:dyDescent="0.25">
      <c r="A17447" s="8" t="str">
        <f>"Proceedings of the IADIS International Conferences - Web Based Communities and Social Media 2011, Social Media 2011, Internet Applications and Research 2011, Part of the IADIS, MCCSIS 2011"</f>
        <v>Proceedings of the IADIS International Conferences - Web Based Communities and Social Media 2011, Social Media 2011, Internet Applications and Research 2011, Part of the IADIS, MCCSIS 2011</v>
      </c>
      <c r="B17447" s="8" t="str">
        <f>"9789728939403"</f>
        <v>9789728939403</v>
      </c>
      <c r="C17447" s="8" t="s">
        <v>1228</v>
      </c>
    </row>
    <row r="17448" spans="1:3" x14ac:dyDescent="0.25">
      <c r="A17448" s="8" t="str">
        <f>"Proceedings of the IADIS International Workshop Information Systems Research Trends, Approaches and Methodologies, ISRTAM 2011, Part of the IADIS, MCCSIS 2011"</f>
        <v>Proceedings of the IADIS International Workshop Information Systems Research Trends, Approaches and Methodologies, ISRTAM 2011, Part of the IADIS, MCCSIS 2011</v>
      </c>
      <c r="B17448" s="8" t="str">
        <f>"9789728939540"</f>
        <v>9789728939540</v>
      </c>
      <c r="C17448" s="8" t="s">
        <v>1228</v>
      </c>
    </row>
    <row r="17449" spans="1:3" x14ac:dyDescent="0.25">
      <c r="A17449" s="8" t="str">
        <f>"Proceedings of the IASTED African Conference on Health Informatics, AfricaHI 2010"</f>
        <v>Proceedings of the IASTED African Conference on Health Informatics, AfricaHI 2010</v>
      </c>
      <c r="B17449" s="8" t="str">
        <f>"9780889868762"</f>
        <v>9780889868762</v>
      </c>
      <c r="C17449" s="8" t="s">
        <v>305</v>
      </c>
    </row>
    <row r="17450" spans="1:3" x14ac:dyDescent="0.25">
      <c r="A17450" s="8" t="str">
        <f>"Proceedings of the IASTED African Conference on Health Informatics, AfricaHI 2012"</f>
        <v>Proceedings of the IASTED African Conference on Health Informatics, AfricaHI 2012</v>
      </c>
      <c r="B17450" s="8" t="str">
        <f>"9780889869486"</f>
        <v>9780889869486</v>
      </c>
      <c r="C17450" s="8" t="s">
        <v>305</v>
      </c>
    </row>
    <row r="17451" spans="1:3" x14ac:dyDescent="0.25">
      <c r="A17451" s="8" t="str">
        <f>"Proceedings of the IASTED African Conference on Modelling and Simulation, AfricaMS 2012"</f>
        <v>Proceedings of the IASTED African Conference on Modelling and Simulation, AfricaMS 2012</v>
      </c>
      <c r="B17451" s="8" t="str">
        <f>"9780889869486"</f>
        <v>9780889869486</v>
      </c>
      <c r="C17451" s="8" t="s">
        <v>305</v>
      </c>
    </row>
    <row r="17452" spans="1:3" x14ac:dyDescent="0.25">
      <c r="A17452" s="8" t="str">
        <f>"Proceedings of the IASTED African Conference on Water Resource Management, AfricaWRM 2012"</f>
        <v>Proceedings of the IASTED African Conference on Water Resource Management, AfricaWRM 2012</v>
      </c>
      <c r="B17452" s="8" t="str">
        <f>"9780889869486"</f>
        <v>9780889869486</v>
      </c>
      <c r="C17452" s="8" t="s">
        <v>305</v>
      </c>
    </row>
    <row r="17453" spans="1:3" x14ac:dyDescent="0.25">
      <c r="A17453" s="8" t="str">
        <f>"Proceedings of the IASTED Asian Conference on Modelling and Simulation"</f>
        <v>Proceedings of the IASTED Asian Conference on Modelling and Simulation</v>
      </c>
      <c r="B17453" s="8" t="str">
        <f>"9780889867017"</f>
        <v>9780889867017</v>
      </c>
      <c r="C17453" s="8" t="s">
        <v>305</v>
      </c>
    </row>
    <row r="17454" spans="1:3" x14ac:dyDescent="0.25">
      <c r="A17454" s="8" t="str">
        <f>"Proceedings of the IASTED Asian Conference on Power and Energy Systems, AsiaPES 2012"</f>
        <v>Proceedings of the IASTED Asian Conference on Power and Energy Systems, AsiaPES 2012</v>
      </c>
      <c r="B17454" s="8" t="str">
        <f>"9780889869103"</f>
        <v>9780889869103</v>
      </c>
      <c r="C17454" s="8" t="s">
        <v>305</v>
      </c>
    </row>
    <row r="17455" spans="1:3" x14ac:dyDescent="0.25">
      <c r="A17455" s="8" t="str">
        <f>"Proceedings of the IASTED European Conference on Internet and Multimedia Systems and Applications, EuroIMSA 2007"</f>
        <v>Proceedings of the IASTED European Conference on Internet and Multimedia Systems and Applications, EuroIMSA 2007</v>
      </c>
      <c r="B17455" s="8" t="str">
        <f>"9780889866522"</f>
        <v>9780889866522</v>
      </c>
      <c r="C17455" s="8" t="s">
        <v>305</v>
      </c>
    </row>
    <row r="17456" spans="1:3" x14ac:dyDescent="0.25">
      <c r="A17456" s="8" t="str">
        <f>"Proceedings of the IASTED International Conference Computer Vision, CV 2011"</f>
        <v>Proceedings of the IASTED International Conference Computer Vision, CV 2011</v>
      </c>
      <c r="B17456" s="8" t="str">
        <f>"9780889868748"</f>
        <v>9780889868748</v>
      </c>
      <c r="C17456" s="8" t="s">
        <v>305</v>
      </c>
    </row>
    <row r="17457" spans="1:3" x14ac:dyDescent="0.25">
      <c r="A17457" s="8" t="str">
        <f>"Proceedings of the IASTED International Conference on Advances in Computer Science and Engineering, ACSE 2009"</f>
        <v>Proceedings of the IASTED International Conference on Advances in Computer Science and Engineering, ACSE 2009</v>
      </c>
      <c r="B17457" s="8" t="str">
        <f>"9780889867901"</f>
        <v>9780889867901</v>
      </c>
      <c r="C17457" s="8" t="s">
        <v>305</v>
      </c>
    </row>
    <row r="17458" spans="1:3" x14ac:dyDescent="0.25">
      <c r="A17458" s="8" t="str">
        <f>"Proceedings of the IASTED International Conference on Advances in Computer Science and Engineering, ACSE 2012"</f>
        <v>Proceedings of the IASTED International Conference on Advances in Computer Science and Engineering, ACSE 2012</v>
      </c>
      <c r="B17458" s="8" t="str">
        <f>"9780889869110"</f>
        <v>9780889869110</v>
      </c>
      <c r="C17458" s="8" t="s">
        <v>305</v>
      </c>
    </row>
    <row r="17459" spans="1:3" x14ac:dyDescent="0.25">
      <c r="A17459" s="8" t="str">
        <f>"Proceedings of the IASTED International Conference on Alliances, Mergers and Acquisitions"</f>
        <v>Proceedings of the IASTED International Conference on Alliances, Mergers and Acquisitions</v>
      </c>
      <c r="B17459" s="8" t="str">
        <f>"9780889863682"</f>
        <v>9780889863682</v>
      </c>
      <c r="C17459" s="8" t="s">
        <v>1869</v>
      </c>
    </row>
    <row r="17460" spans="1:3" x14ac:dyDescent="0.25">
      <c r="A17460" s="8" t="str">
        <f>"Proceedings of the IASTED International Conference on Antennas, Radar and Wave Propagation, ARP 2010"</f>
        <v>Proceedings of the IASTED International Conference on Antennas, Radar and Wave Propagation, ARP 2010</v>
      </c>
      <c r="B17460" s="8" t="str">
        <f>"9780889868625"</f>
        <v>9780889868625</v>
      </c>
      <c r="C17460" s="8" t="s">
        <v>305</v>
      </c>
    </row>
    <row r="17461" spans="1:3" x14ac:dyDescent="0.25">
      <c r="A17461" s="8" t="str">
        <f>"Proceedings of the IASTED International Conference on Antennas, Radar, and Wave Propagation"</f>
        <v>Proceedings of the IASTED International Conference on Antennas, Radar, and Wave Propagation</v>
      </c>
      <c r="B17461" s="8" t="str">
        <f>"9780889864160"</f>
        <v>9780889864160</v>
      </c>
      <c r="C17461" s="8" t="s">
        <v>305</v>
      </c>
    </row>
    <row r="17462" spans="1:3" x14ac:dyDescent="0.25">
      <c r="A17462" s="8" t="str">
        <f>"Proceedings of the IASTED International Conference on Applied Simulation and Modelling"</f>
        <v>Proceedings of the IASTED International Conference on Applied Simulation and Modelling</v>
      </c>
      <c r="B17462" s="8" t="str">
        <f>"9780889864016"</f>
        <v>9780889864016</v>
      </c>
      <c r="C17462" s="8" t="s">
        <v>305</v>
      </c>
    </row>
    <row r="17463" spans="1:3" x14ac:dyDescent="0.25">
      <c r="A17463" s="8" t="str">
        <f>"Proceedings of the IASTED International Conference on Applied Simulation and Modelling, ASM 2009"</f>
        <v>Proceedings of the IASTED International Conference on Applied Simulation and Modelling, ASM 2009</v>
      </c>
      <c r="B17463" s="8" t="str">
        <f>"9780889868083"</f>
        <v>9780889868083</v>
      </c>
      <c r="C17463" s="8" t="s">
        <v>305</v>
      </c>
    </row>
    <row r="17464" spans="1:3" x14ac:dyDescent="0.25">
      <c r="A17464" s="8" t="str">
        <f>"Proceedings of the IASTED International Conference on Applied Simulation and Modelling, ASM 2011"</f>
        <v>Proceedings of the IASTED International Conference on Applied Simulation and Modelling, ASM 2011</v>
      </c>
      <c r="B17464" s="8" t="str">
        <f>"9780889868939"</f>
        <v>9780889868939</v>
      </c>
      <c r="C17464" s="8" t="s">
        <v>305</v>
      </c>
    </row>
    <row r="17465" spans="1:3" x14ac:dyDescent="0.25">
      <c r="A17465" s="8" t="str">
        <f>"Proceedings of the IASTED International Conference on Applied Simulation and Modelling, ASM 2012"</f>
        <v>Proceedings of the IASTED International Conference on Applied Simulation and Modelling, ASM 2012</v>
      </c>
      <c r="B17465" s="8" t="str">
        <f>"9780889869257"</f>
        <v>9780889869257</v>
      </c>
      <c r="C17465" s="8" t="s">
        <v>305</v>
      </c>
    </row>
    <row r="17466" spans="1:3" x14ac:dyDescent="0.25">
      <c r="A17466" s="8" t="str">
        <f>"Proceedings of the IASTED International Conference on Artificial Intelligence and Applications, AIA 2006"</f>
        <v>Proceedings of the IASTED International Conference on Artificial Intelligence and Applications, AIA 2006</v>
      </c>
      <c r="B17466" s="8" t="str">
        <f>"-"</f>
        <v>-</v>
      </c>
      <c r="C17466" s="8" t="s">
        <v>305</v>
      </c>
    </row>
    <row r="17467" spans="1:3" x14ac:dyDescent="0.25">
      <c r="A17467" s="8" t="str">
        <f>"Proceedings of the IASTED International Conference on Artificial Intelligence and Applications, AIA 2007"</f>
        <v>Proceedings of the IASTED International Conference on Artificial Intelligence and Applications, AIA 2007</v>
      </c>
      <c r="B17467" s="8" t="str">
        <f>"9780889866317"</f>
        <v>9780889866317</v>
      </c>
      <c r="C17467" s="8" t="s">
        <v>305</v>
      </c>
    </row>
    <row r="17468" spans="1:3" x14ac:dyDescent="0.25">
      <c r="A17468" s="8" t="str">
        <f>"Proceedings of the IASTED International Conference on Artificial Intelligence and Applications, AIA 2008"</f>
        <v>Proceedings of the IASTED International Conference on Artificial Intelligence and Applications, AIA 2008</v>
      </c>
      <c r="B17468" s="8" t="str">
        <f>"9780889867093"</f>
        <v>9780889867093</v>
      </c>
      <c r="C17468" s="8" t="s">
        <v>305</v>
      </c>
    </row>
    <row r="17469" spans="1:3" x14ac:dyDescent="0.25">
      <c r="A17469" s="8" t="str">
        <f>"Proceedings of the IASTED International Conference on Artificial Intelligence and Applications, AIA 2009"</f>
        <v>Proceedings of the IASTED International Conference on Artificial Intelligence and Applications, AIA 2009</v>
      </c>
      <c r="B17469" s="8" t="str">
        <f>"9780889867802"</f>
        <v>9780889867802</v>
      </c>
      <c r="C17469" s="8" t="s">
        <v>305</v>
      </c>
    </row>
    <row r="17470" spans="1:3" x14ac:dyDescent="0.25">
      <c r="A17470" s="8" t="str">
        <f>"Proceedings of the IASTED International Conference on Artificial Intelligence and Applications, AIA 2014"</f>
        <v>Proceedings of the IASTED International Conference on Artificial Intelligence and Applications, AIA 2014</v>
      </c>
      <c r="B17470" s="8" t="str">
        <f>"-"</f>
        <v>-</v>
      </c>
      <c r="C17470" s="8" t="s">
        <v>305</v>
      </c>
    </row>
    <row r="17471" spans="1:3" x14ac:dyDescent="0.25">
      <c r="A17471" s="8" t="str">
        <f>"Proceedings of the IASTED International Conference on Artificial Intelligence and Soft Computing"</f>
        <v>Proceedings of the IASTED International Conference on Artificial Intelligence and Soft Computing</v>
      </c>
      <c r="B17471" s="8" t="str">
        <f>"9780889863675"</f>
        <v>9780889863675</v>
      </c>
      <c r="C17471" s="8" t="s">
        <v>1869</v>
      </c>
    </row>
    <row r="17472" spans="1:3" x14ac:dyDescent="0.25">
      <c r="A17472" s="8" t="str">
        <f>"Proceedings of the IASTED International Conference on Artificial Intelligence and Soft Computing, ASC 2009"</f>
        <v>Proceedings of the IASTED International Conference on Artificial Intelligence and Soft Computing, ASC 2009</v>
      </c>
      <c r="B17472" s="8" t="str">
        <f>"9780889868090"</f>
        <v>9780889868090</v>
      </c>
      <c r="C17472" s="8" t="s">
        <v>305</v>
      </c>
    </row>
    <row r="17473" spans="1:3" x14ac:dyDescent="0.25">
      <c r="A17473" s="8" t="str">
        <f>"Proceedings of the IASTED International Conference on Artificial Intelligence and Soft Computing, ASC 2011"</f>
        <v>Proceedings of the IASTED International Conference on Artificial Intelligence and Soft Computing, ASC 2011</v>
      </c>
      <c r="B17473" s="8" t="str">
        <f>"9780889868946"</f>
        <v>9780889868946</v>
      </c>
      <c r="C17473" s="8" t="s">
        <v>305</v>
      </c>
    </row>
    <row r="17474" spans="1:3" x14ac:dyDescent="0.25">
      <c r="A17474" s="8" t="str">
        <f>"Proceedings of the IASTED International Conference on Artificial Intelligence and Soft Computing, ASC 2012"</f>
        <v>Proceedings of the IASTED International Conference on Artificial Intelligence and Soft Computing, ASC 2012</v>
      </c>
      <c r="B17474" s="8" t="str">
        <f>"9780889869257"</f>
        <v>9780889869257</v>
      </c>
      <c r="C17474" s="8" t="s">
        <v>305</v>
      </c>
    </row>
    <row r="17475" spans="1:3" x14ac:dyDescent="0.25">
      <c r="A17475" s="8" t="str">
        <f>"Proceedings of the IASTED International Conference on Assistive Technologies, AT 2012"</f>
        <v>Proceedings of the IASTED International Conference on Assistive Technologies, AT 2012</v>
      </c>
      <c r="B17475" s="8" t="str">
        <f>"9780889869097"</f>
        <v>9780889869097</v>
      </c>
      <c r="C17475" s="8" t="s">
        <v>305</v>
      </c>
    </row>
    <row r="17476" spans="1:3" x14ac:dyDescent="0.25">
      <c r="A17476" s="8" t="str">
        <f>"Proceedings of the IASTED International Conference on Automation, Control, and Information Technology - Control, Diagnostics, and Automation, ACIT-CDA 2010"</f>
        <v>Proceedings of the IASTED International Conference on Automation, Control, and Information Technology - Control, Diagnostics, and Automation, ACIT-CDA 2010</v>
      </c>
      <c r="B17476" s="8" t="str">
        <f>"9780889868427"</f>
        <v>9780889868427</v>
      </c>
      <c r="C17476" s="8" t="s">
        <v>305</v>
      </c>
    </row>
    <row r="17477" spans="1:3" x14ac:dyDescent="0.25">
      <c r="A17477" s="8" t="str">
        <f>"Proceedings of the IASTED International Conference on Automation, Control, and Information Technology - Information and Communication Technology, ACIT-ICT 2010"</f>
        <v>Proceedings of the IASTED International Conference on Automation, Control, and Information Technology - Information and Communication Technology, ACIT-ICT 2010</v>
      </c>
      <c r="B17477" s="8" t="str">
        <f>"9780889868410"</f>
        <v>9780889868410</v>
      </c>
      <c r="C17477" s="8" t="s">
        <v>305</v>
      </c>
    </row>
    <row r="17478" spans="1:3" x14ac:dyDescent="0.25">
      <c r="A17478" s="8" t="str">
        <f>"Proceedings of the IASTED International Conference on Automation, Control, and Information Technology - Optical Information Technology, ACIT-OIT 2010"</f>
        <v>Proceedings of the IASTED International Conference on Automation, Control, and Information Technology - Optical Information Technology, ACIT-OIT 2010</v>
      </c>
      <c r="B17478" s="8" t="str">
        <f>"9780889868410"</f>
        <v>9780889868410</v>
      </c>
      <c r="C17478" s="8" t="s">
        <v>305</v>
      </c>
    </row>
    <row r="17479" spans="1:3" x14ac:dyDescent="0.25">
      <c r="A17479" s="8" t="str">
        <f>"Proceedings of the IASTED International Conference on Biomechanics"</f>
        <v>Proceedings of the IASTED International Conference on Biomechanics</v>
      </c>
      <c r="B17479" s="8" t="str">
        <f>"9780889863590"</f>
        <v>9780889863590</v>
      </c>
      <c r="C17479" s="8" t="s">
        <v>1869</v>
      </c>
    </row>
    <row r="17480" spans="1:3" x14ac:dyDescent="0.25">
      <c r="A17480" s="8" t="str">
        <f>"Proceedings of the IASTED International Conference on Biomedical Engineering"</f>
        <v>Proceedings of the IASTED International Conference on Biomedical Engineering</v>
      </c>
      <c r="B17480" s="8" t="str">
        <f>"9780889863538"</f>
        <v>9780889863538</v>
      </c>
      <c r="C17480" s="8" t="s">
        <v>1869</v>
      </c>
    </row>
    <row r="17481" spans="1:3" x14ac:dyDescent="0.25">
      <c r="A17481" s="8" t="str">
        <f>"Proceedings of the IASTED International Conference on Biomedical Engineering"</f>
        <v>Proceedings of the IASTED International Conference on Biomedical Engineering</v>
      </c>
      <c r="B17481" s="8" t="str">
        <f>"9780889863798"</f>
        <v>9780889863798</v>
      </c>
      <c r="C17481" s="8" t="s">
        <v>305</v>
      </c>
    </row>
    <row r="17482" spans="1:3" x14ac:dyDescent="0.25">
      <c r="A17482" s="8" t="str">
        <f>"Proceedings of the IASTED International Conference on Biomedical Engineering, BioMed 2013"</f>
        <v>Proceedings of the IASTED International Conference on Biomedical Engineering, BioMed 2013</v>
      </c>
      <c r="B17482" s="8" t="str">
        <f>"9780889869530"</f>
        <v>9780889869530</v>
      </c>
      <c r="C17482" s="8" t="s">
        <v>305</v>
      </c>
    </row>
    <row r="17483" spans="1:3" x14ac:dyDescent="0.25">
      <c r="A17483" s="8" t="str">
        <f>"Proceedings of the IASTED International Conference on Circuits and Systems, CS 2010"</f>
        <v>Proceedings of the IASTED International Conference on Circuits and Systems, CS 2010</v>
      </c>
      <c r="B17483" s="8" t="str">
        <f>"9780889868694"</f>
        <v>9780889868694</v>
      </c>
      <c r="C17483" s="8" t="s">
        <v>305</v>
      </c>
    </row>
    <row r="17484" spans="1:3" x14ac:dyDescent="0.25">
      <c r="A17484" s="8" t="str">
        <f>"Proceedings of the IASTED International Conference on Circuits, Signals, and Systems"</f>
        <v>Proceedings of the IASTED International Conference on Circuits, Signals, and Systems</v>
      </c>
      <c r="B17484" s="8" t="str">
        <f>"9780889863514"</f>
        <v>9780889863514</v>
      </c>
      <c r="C17484" s="8" t="s">
        <v>1869</v>
      </c>
    </row>
    <row r="17485" spans="1:3" x14ac:dyDescent="0.25">
      <c r="A17485" s="8" t="str">
        <f>"Proceedings of the IASTED International Conference on Circuits, Signals, and Systems"</f>
        <v>Proceedings of the IASTED International Conference on Circuits, Signals, and Systems</v>
      </c>
      <c r="B17485" s="8" t="str">
        <f>"9780889864559"</f>
        <v>9780889864559</v>
      </c>
      <c r="C17485" s="8" t="s">
        <v>305</v>
      </c>
    </row>
    <row r="17486" spans="1:3" x14ac:dyDescent="0.25">
      <c r="A17486" s="8" t="str">
        <f>"Proceedings of the IASTED International Conference on Communication and Information Security, CIS 2010"</f>
        <v>Proceedings of the IASTED International Conference on Communication and Information Security, CIS 2010</v>
      </c>
      <c r="B17486" s="8" t="str">
        <f>"9780889868786"</f>
        <v>9780889868786</v>
      </c>
      <c r="C17486" s="8" t="s">
        <v>305</v>
      </c>
    </row>
    <row r="17487" spans="1:3" x14ac:dyDescent="0.25">
      <c r="A17487" s="8" t="str">
        <f>"Proceedings of the IASTED International Conference on COMMUNICATION SYSTEMS AND APPLICATIONS Part of the Sixth IASTED International Multi-Conference on WIRELESS AND OPTICAL COMMUNICATIONS"</f>
        <v>Proceedings of the IASTED International Conference on COMMUNICATION SYSTEMS AND APPLICATIONS Part of the Sixth IASTED International Multi-Conference on WIRELESS AND OPTICAL COMMUNICATIONS</v>
      </c>
      <c r="B17487" s="8" t="str">
        <f>"-"</f>
        <v>-</v>
      </c>
      <c r="C17487" s="8" t="s">
        <v>1869</v>
      </c>
    </row>
    <row r="17488" spans="1:3" x14ac:dyDescent="0.25">
      <c r="A17488" s="8" t="str">
        <f>"Proceedings of the IASTED International Conference on Communication Systems and Applications, as part of the Fifth IASTED Int. Multi-Conference on Wireless and Optical Communications, CSA 2005"</f>
        <v>Proceedings of the IASTED International Conference on Communication Systems and Applications, as part of the Fifth IASTED Int. Multi-Conference on Wireless and Optical Communications, CSA 2005</v>
      </c>
      <c r="B17488" s="8" t="str">
        <f>"9780889864931"</f>
        <v>9780889864931</v>
      </c>
      <c r="C17488" s="8" t="s">
        <v>305</v>
      </c>
    </row>
    <row r="17489" spans="1:3" x14ac:dyDescent="0.25">
      <c r="A17489" s="8" t="str">
        <f>"Proceedings of the IASTED International Conference on Communication Systems and Networks"</f>
        <v>Proceedings of the IASTED International Conference on Communication Systems and Networks</v>
      </c>
      <c r="B17489" s="8" t="str">
        <f>"9780889864566"</f>
        <v>9780889864566</v>
      </c>
      <c r="C17489" s="8" t="s">
        <v>305</v>
      </c>
    </row>
    <row r="17490" spans="1:3" x14ac:dyDescent="0.25">
      <c r="A17490" s="8" t="str">
        <f>"Proceedings of the IASTED International Conference on Communication Systems, Networks, and Applications, CSNA 2007"</f>
        <v>Proceedings of the IASTED International Conference on Communication Systems, Networks, and Applications, CSNA 2007</v>
      </c>
      <c r="B17490" s="8" t="str">
        <f>"9780889867024"</f>
        <v>9780889867024</v>
      </c>
      <c r="C17490" s="8" t="s">
        <v>305</v>
      </c>
    </row>
    <row r="17491" spans="1:3" x14ac:dyDescent="0.25">
      <c r="A17491" s="8" t="str">
        <f>"Proceedings of the IASTED International Conference on Communication, Internet, and Information Technology, CIIT 2012"</f>
        <v>Proceedings of the IASTED International Conference on Communication, Internet, and Information Technology, CIIT 2012</v>
      </c>
      <c r="B17491" s="8" t="str">
        <f>"9780889869202"</f>
        <v>9780889869202</v>
      </c>
      <c r="C17491" s="8" t="s">
        <v>305</v>
      </c>
    </row>
    <row r="17492" spans="1:3" x14ac:dyDescent="0.25">
      <c r="A17492" s="8" t="str">
        <f>"Proceedings of the IASTED International Conference on Communication, Network, and Information Security"</f>
        <v>Proceedings of the IASTED International Conference on Communication, Network, and Information Security</v>
      </c>
      <c r="B17492" s="8" t="str">
        <f>"9780889864023"</f>
        <v>9780889864023</v>
      </c>
      <c r="C17492" s="8" t="s">
        <v>1869</v>
      </c>
    </row>
    <row r="17493" spans="1:3" x14ac:dyDescent="0.25">
      <c r="A17493" s="8" t="str">
        <f>"Proceedings of the IASTED International Conference on Computational Bioscience, CompBio 2010"</f>
        <v>Proceedings of the IASTED International Conference on Computational Bioscience, CompBio 2010</v>
      </c>
      <c r="B17493" s="8" t="str">
        <f>"9780889868625"</f>
        <v>9780889868625</v>
      </c>
      <c r="C17493" s="8" t="s">
        <v>305</v>
      </c>
    </row>
    <row r="17494" spans="1:3" x14ac:dyDescent="0.25">
      <c r="A17494" s="8" t="str">
        <f>"Proceedings of the IASTED International Conference on Computational Intelligence"</f>
        <v>Proceedings of the IASTED International Conference on Computational Intelligence</v>
      </c>
      <c r="B17494" s="8" t="str">
        <f>"-"</f>
        <v>-</v>
      </c>
      <c r="C17494" s="8" t="s">
        <v>305</v>
      </c>
    </row>
    <row r="17495" spans="1:3" x14ac:dyDescent="0.25">
      <c r="A17495" s="8" t="str">
        <f>"Proceedings of the IASTED International Conference on Computational Intelligence, CI 2009"</f>
        <v>Proceedings of the IASTED International Conference on Computational Intelligence, CI 2009</v>
      </c>
      <c r="B17495" s="8" t="str">
        <f>"9780889868069"</f>
        <v>9780889868069</v>
      </c>
      <c r="C17495" s="8" t="s">
        <v>305</v>
      </c>
    </row>
    <row r="17496" spans="1:3" x14ac:dyDescent="0.25">
      <c r="A17496" s="8" t="str">
        <f>"Proceedings of the IASTED International Conference on Computational Photography, CPhoto 2011"</f>
        <v>Proceedings of the IASTED International Conference on Computational Photography, CPhoto 2011</v>
      </c>
      <c r="B17496" s="8" t="str">
        <f>"9780889868748"</f>
        <v>9780889868748</v>
      </c>
      <c r="C17496" s="8" t="s">
        <v>305</v>
      </c>
    </row>
    <row r="17497" spans="1:3" x14ac:dyDescent="0.25">
      <c r="A17497" s="8" t="str">
        <f>"Proceedings of the IASTED International Conference on Computer Graphics and Imaging, CGIM 2012"</f>
        <v>Proceedings of the IASTED International Conference on Computer Graphics and Imaging, CGIM 2012</v>
      </c>
      <c r="B17497" s="8" t="str">
        <f>"9780889869219"</f>
        <v>9780889869219</v>
      </c>
      <c r="C17497" s="8" t="s">
        <v>305</v>
      </c>
    </row>
    <row r="17498" spans="1:3" x14ac:dyDescent="0.25">
      <c r="A17498" s="8" t="str">
        <f>"Proceedings of the IASTED International Conference on Computer Graphics and Imaging, CGIM 2013"</f>
        <v>Proceedings of the IASTED International Conference on Computer Graphics and Imaging, CGIM 2013</v>
      </c>
      <c r="B17498" s="8" t="str">
        <f>"-"</f>
        <v>-</v>
      </c>
      <c r="C17498" s="8" t="s">
        <v>305</v>
      </c>
    </row>
    <row r="17499" spans="1:3" x14ac:dyDescent="0.25">
      <c r="A17499" s="8" t="str">
        <f>"Proceedings of the IASTED International Conference on Computer Science and Technology"</f>
        <v>Proceedings of the IASTED International Conference on Computer Science and Technology</v>
      </c>
      <c r="B17499" s="8" t="str">
        <f>"9780889863491"</f>
        <v>9780889863491</v>
      </c>
      <c r="C17499" s="8" t="s">
        <v>1869</v>
      </c>
    </row>
    <row r="17500" spans="1:3" x14ac:dyDescent="0.25">
      <c r="A17500" s="8" t="str">
        <f>"Proceedings of the IASTED International Conference on Computers and Advanced Technology in Education"</f>
        <v>Proceedings of the IASTED International Conference on Computers and Advanced Technology in Education</v>
      </c>
      <c r="B17500" s="8" t="str">
        <f>"9780889863613"</f>
        <v>9780889863613</v>
      </c>
      <c r="C17500" s="8" t="s">
        <v>1869</v>
      </c>
    </row>
    <row r="17501" spans="1:3" x14ac:dyDescent="0.25">
      <c r="A17501" s="8" t="str">
        <f>"Proceedings of the IASTED International Conference on Computers and Advanced Technology in Education, CATE 2012"</f>
        <v>Proceedings of the IASTED International Conference on Computers and Advanced Technology in Education, CATE 2012</v>
      </c>
      <c r="B17501" s="8" t="str">
        <f>"9780889869233"</f>
        <v>9780889869233</v>
      </c>
      <c r="C17501" s="8" t="s">
        <v>305</v>
      </c>
    </row>
    <row r="17502" spans="1:3" x14ac:dyDescent="0.25">
      <c r="A17502" s="8" t="str">
        <f>"Proceedings of the IASTED International Conference on Control and Applications, CA 2012"</f>
        <v>Proceedings of the IASTED International Conference on Control and Applications, CA 2012</v>
      </c>
      <c r="B17502" s="8" t="str">
        <f>"9780889869226"</f>
        <v>9780889869226</v>
      </c>
      <c r="C17502" s="8" t="s">
        <v>305</v>
      </c>
    </row>
    <row r="17503" spans="1:3" x14ac:dyDescent="0.25">
      <c r="A17503" s="8" t="str">
        <f>"Proceedings of the IASTED International Conference on Databases and Applications, DBA 2006"</f>
        <v>Proceedings of the IASTED International Conference on Databases and Applications, DBA 2006</v>
      </c>
      <c r="B17503" s="8" t="str">
        <f>"9780889865624"</f>
        <v>9780889865624</v>
      </c>
      <c r="C17503" s="8" t="s">
        <v>305</v>
      </c>
    </row>
    <row r="17504" spans="1:3" x14ac:dyDescent="0.25">
      <c r="A17504" s="8" t="str">
        <f>"Proceedings of the IASTED International Conference on Education and Technology, ICET 2005"</f>
        <v>Proceedings of the IASTED International Conference on Education and Technology, ICET 2005</v>
      </c>
      <c r="B17504" s="8" t="str">
        <f>"-"</f>
        <v>-</v>
      </c>
      <c r="C17504" s="8" t="s">
        <v>305</v>
      </c>
    </row>
    <row r="17505" spans="1:3" x14ac:dyDescent="0.25">
      <c r="A17505" s="8" t="str">
        <f>"Proceedings of the IASTED International Conference on Energy and Power Systems"</f>
        <v>Proceedings of the IASTED International Conference on Energy and Power Systems</v>
      </c>
      <c r="B17505" s="8" t="str">
        <f>"-"</f>
        <v>-</v>
      </c>
      <c r="C17505" s="8" t="s">
        <v>1869</v>
      </c>
    </row>
    <row r="17506" spans="1:3" x14ac:dyDescent="0.25">
      <c r="A17506" s="8" t="str">
        <f>"Proceedings of the IASTED International Conference on Energy and Power Systems"</f>
        <v>Proceedings of the IASTED International Conference on Energy and Power Systems</v>
      </c>
      <c r="B17506" s="8" t="str">
        <f>"9780889866898"</f>
        <v>9780889866898</v>
      </c>
      <c r="C17506" s="8" t="s">
        <v>305</v>
      </c>
    </row>
    <row r="17507" spans="1:3" x14ac:dyDescent="0.25">
      <c r="A17507" s="8" t="str">
        <f>"Proceedings of the IASTED International Conference on Energy and Power Systems"</f>
        <v>Proceedings of the IASTED International Conference on Energy and Power Systems</v>
      </c>
      <c r="B17507" s="8" t="str">
        <f>"9780889866218"</f>
        <v>9780889866218</v>
      </c>
      <c r="C17507" s="8" t="s">
        <v>305</v>
      </c>
    </row>
    <row r="17508" spans="1:3" x14ac:dyDescent="0.25">
      <c r="A17508" s="8" t="str">
        <f>"Proceedings of the IASTED International Conference on Engineering and Applied Science, EAS 2012"</f>
        <v>Proceedings of the IASTED International Conference on Engineering and Applied Science, EAS 2012</v>
      </c>
      <c r="B17508" s="8" t="str">
        <f>"9780889869523"</f>
        <v>9780889869523</v>
      </c>
      <c r="C17508" s="8" t="s">
        <v>305</v>
      </c>
    </row>
    <row r="17509" spans="1:3" x14ac:dyDescent="0.25">
      <c r="A17509" s="8" t="str">
        <f>"Proceedings of the IASTED International Conference on Environment and Water Resource Management, AfricaEWRM 2014"</f>
        <v>Proceedings of the IASTED International Conference on Environment and Water Resource Management, AfricaEWRM 2014</v>
      </c>
      <c r="B17509" s="8" t="str">
        <f>"9780889869738"</f>
        <v>9780889869738</v>
      </c>
      <c r="C17509" s="8" t="s">
        <v>2253</v>
      </c>
    </row>
    <row r="17510" spans="1:3" x14ac:dyDescent="0.25">
      <c r="A17510" s="8" t="str">
        <f>"Proceedings of the IASTED International Conference on Environmental Management and Engineering, EME 2009"</f>
        <v>Proceedings of the IASTED International Conference on Environmental Management and Engineering, EME 2009</v>
      </c>
      <c r="B17510" s="8" t="str">
        <f>"9780889867970"</f>
        <v>9780889867970</v>
      </c>
      <c r="C17510" s="8" t="s">
        <v>305</v>
      </c>
    </row>
    <row r="17511" spans="1:3" x14ac:dyDescent="0.25">
      <c r="A17511" s="8" t="str">
        <f>"Proceedings of the IASTED International Conference on Environmental Management and Engineering, EME 2011"</f>
        <v>Proceedings of the IASTED International Conference on Environmental Management and Engineering, EME 2011</v>
      </c>
      <c r="B17511" s="8" t="str">
        <f>"9780889868861"</f>
        <v>9780889868861</v>
      </c>
      <c r="C17511" s="8" t="s">
        <v>305</v>
      </c>
    </row>
    <row r="17512" spans="1:3" x14ac:dyDescent="0.25">
      <c r="A17512" s="8" t="str">
        <f>"Proceedings of the IASTED International Conference on Financial Engineering and Applications"</f>
        <v>Proceedings of the IASTED International Conference on Financial Engineering and Applications</v>
      </c>
      <c r="B17512" s="8" t="str">
        <f>"9780889863705"</f>
        <v>9780889863705</v>
      </c>
      <c r="C17512" s="8" t="s">
        <v>1869</v>
      </c>
    </row>
    <row r="17513" spans="1:3" x14ac:dyDescent="0.25">
      <c r="A17513" s="8" t="str">
        <f>"Proceedings of the IASTED International Conference on Graphics and Virtual Reality, GRVR 2011"</f>
        <v>Proceedings of the IASTED International Conference on Graphics and Virtual Reality, GRVR 2011</v>
      </c>
      <c r="B17513" s="8" t="str">
        <f>"9780889868892"</f>
        <v>9780889868892</v>
      </c>
      <c r="C17513" s="8" t="s">
        <v>305</v>
      </c>
    </row>
    <row r="17514" spans="1:3" x14ac:dyDescent="0.25">
      <c r="A17514" s="8" t="str">
        <f>"Proceedings of the IASTED International Conference on Graphics and Visualization in Engineering, GVE 2007"</f>
        <v>Proceedings of the IASTED International Conference on Graphics and Visualization in Engineering, GVE 2007</v>
      </c>
      <c r="B17514" s="8" t="str">
        <f>"9780889866256"</f>
        <v>9780889866256</v>
      </c>
      <c r="C17514" s="8" t="s">
        <v>305</v>
      </c>
    </row>
    <row r="17515" spans="1:3" x14ac:dyDescent="0.25">
      <c r="A17515" s="8" t="str">
        <f>"Proceedings of the IASTED International Conference on Health Informatics, AfricaHI 2014"</f>
        <v>Proceedings of the IASTED International Conference on Health Informatics, AfricaHI 2014</v>
      </c>
      <c r="B17515" s="8" t="str">
        <f>"9780889869738"</f>
        <v>9780889869738</v>
      </c>
      <c r="C17515" s="8" t="s">
        <v>2253</v>
      </c>
    </row>
    <row r="17516" spans="1:3" x14ac:dyDescent="0.25">
      <c r="A17516" s="8" t="str">
        <f>"Proceedings of the IASTED International Conference on Human-Computer Interaction, HCI 2012"</f>
        <v>Proceedings of the IASTED International Conference on Human-Computer Interaction, HCI 2012</v>
      </c>
      <c r="B17516" s="8" t="str">
        <f>"9780889869202"</f>
        <v>9780889869202</v>
      </c>
      <c r="C17516" s="8" t="s">
        <v>305</v>
      </c>
    </row>
    <row r="17517" spans="1:3" x14ac:dyDescent="0.25">
      <c r="A17517" s="8" t="str">
        <f>"Proceedings of the IASTED International Conference on Identification, Control, and Applications, ICA 2009"</f>
        <v>Proceedings of the IASTED International Conference on Identification, Control, and Applications, ICA 2009</v>
      </c>
      <c r="B17517" s="8" t="str">
        <f>"9780889868052"</f>
        <v>9780889868052</v>
      </c>
      <c r="C17517" s="8" t="s">
        <v>305</v>
      </c>
    </row>
    <row r="17518" spans="1:3" x14ac:dyDescent="0.25">
      <c r="A17518" s="8" t="str">
        <f>"Proceedings of the IASTED International Conference on Information and Knowledge Sharing"</f>
        <v>Proceedings of the IASTED International Conference on Information and Knowledge Sharing</v>
      </c>
      <c r="B17518" s="8" t="str">
        <f>"9780889863965"</f>
        <v>9780889863965</v>
      </c>
      <c r="C17518" s="8" t="s">
        <v>1869</v>
      </c>
    </row>
    <row r="17519" spans="1:3" x14ac:dyDescent="0.25">
      <c r="A17519" s="8" t="str">
        <f>"Proceedings of the IASTED International Conference on Intelligent Systems and Control"</f>
        <v>Proceedings of the IASTED International Conference on Intelligent Systems and Control</v>
      </c>
      <c r="B17519" s="8" t="str">
        <f>"9780889863552"</f>
        <v>9780889863552</v>
      </c>
      <c r="C17519" s="8" t="s">
        <v>1869</v>
      </c>
    </row>
    <row r="17520" spans="1:3" x14ac:dyDescent="0.25">
      <c r="A17520" s="8" t="str">
        <f>"Proceedings of the IASTED International Conference on Internet and Multimedia Systems and Applications"</f>
        <v>Proceedings of the IASTED International Conference on Internet and Multimedia Systems and Applications</v>
      </c>
      <c r="B17520" s="8" t="str">
        <f>"9780889863804"</f>
        <v>9780889863804</v>
      </c>
      <c r="C17520" s="8" t="s">
        <v>1869</v>
      </c>
    </row>
    <row r="17521" spans="1:3" x14ac:dyDescent="0.25">
      <c r="A17521" s="8" t="str">
        <f>"Proceedings of the IASTED International Conference on Internet and Multimedia Systems and Applications"</f>
        <v>Proceedings of the IASTED International Conference on Internet and Multimedia Systems and Applications</v>
      </c>
      <c r="B17521" s="8" t="str">
        <f>"-"</f>
        <v>-</v>
      </c>
      <c r="C17521" s="8" t="s">
        <v>1869</v>
      </c>
    </row>
    <row r="17522" spans="1:3" x14ac:dyDescent="0.25">
      <c r="A17522" s="8" t="str">
        <f>"Proceedings of the IASTED International Conference on Internet and Multimedia Systems and Applications and Visual Communications"</f>
        <v>Proceedings of the IASTED International Conference on Internet and Multimedia Systems and Applications and Visual Communications</v>
      </c>
      <c r="B17522" s="8" t="str">
        <f>"9780889867277"</f>
        <v>9780889867277</v>
      </c>
      <c r="C17522" s="8" t="s">
        <v>305</v>
      </c>
    </row>
    <row r="17523" spans="1:3" x14ac:dyDescent="0.25">
      <c r="A17523" s="8" t="str">
        <f>"Proceedings of the IASTED International Conference on Internet and Multimedia Systems and Applications, EuroIMSA"</f>
        <v>Proceedings of the IASTED International Conference on Internet and Multimedia Systems and Applications, EuroIMSA</v>
      </c>
      <c r="B17523" s="8" t="str">
        <f>"9780889864863"</f>
        <v>9780889864863</v>
      </c>
      <c r="C17523" s="8" t="s">
        <v>305</v>
      </c>
    </row>
    <row r="17524" spans="1:3" x14ac:dyDescent="0.25">
      <c r="A17524" s="8" t="str">
        <f>"Proceedings of the IASTED International Conference on Internet and Multimedia Systems and Applications, IMSA"</f>
        <v>Proceedings of the IASTED International Conference on Internet and Multimedia Systems and Applications, IMSA</v>
      </c>
      <c r="B17524" s="8" t="str">
        <f>"9780889865105"</f>
        <v>9780889865105</v>
      </c>
      <c r="C17524" s="8" t="s">
        <v>305</v>
      </c>
    </row>
    <row r="17525" spans="1:3" x14ac:dyDescent="0.25">
      <c r="A17525" s="8" t="str">
        <f>"Proceedings of the IASTED International Conference on Modelling and Simulation"</f>
        <v>Proceedings of the IASTED International Conference on Modelling and Simulation</v>
      </c>
      <c r="B17525" s="8" t="str">
        <f>"9780889863378"</f>
        <v>9780889863378</v>
      </c>
      <c r="C17525" s="8" t="s">
        <v>1869</v>
      </c>
    </row>
    <row r="17526" spans="1:3" x14ac:dyDescent="0.25">
      <c r="A17526" s="8" t="str">
        <f>"Proceedings of the IASTED International Conference on Modelling and Simulation, AfricaMS 2014"</f>
        <v>Proceedings of the IASTED International Conference on Modelling and Simulation, AfricaMS 2014</v>
      </c>
      <c r="B17526" s="8" t="str">
        <f>"9780889869738"</f>
        <v>9780889869738</v>
      </c>
      <c r="C17526" s="8" t="s">
        <v>2253</v>
      </c>
    </row>
    <row r="17527" spans="1:3" x14ac:dyDescent="0.25">
      <c r="A17527" s="8" t="str">
        <f>"Proceedings of the IASTED International Conference on Modelling, Simulation and Optimization"</f>
        <v>Proceedings of the IASTED International Conference on Modelling, Simulation and Optimization</v>
      </c>
      <c r="B17527" s="8" t="str">
        <f>"9780889863729"</f>
        <v>9780889863729</v>
      </c>
      <c r="C17527" s="8" t="s">
        <v>1869</v>
      </c>
    </row>
    <row r="17528" spans="1:3" x14ac:dyDescent="0.25">
      <c r="A17528" s="8" t="str">
        <f>"Proceedings of the IASTED International Conference on Modelling, Simulation, and Identification, MSI 2009"</f>
        <v>Proceedings of the IASTED International Conference on Modelling, Simulation, and Identification, MSI 2009</v>
      </c>
      <c r="B17528" s="8" t="str">
        <f>"9780889868106"</f>
        <v>9780889868106</v>
      </c>
      <c r="C17528" s="8" t="s">
        <v>305</v>
      </c>
    </row>
    <row r="17529" spans="1:3" x14ac:dyDescent="0.25">
      <c r="A17529" s="8" t="str">
        <f>"Proceedings of the IASTED International Conference on Modelling, Simulation, and Identification, MSI 2011"</f>
        <v>Proceedings of the IASTED International Conference on Modelling, Simulation, and Identification, MSI 2011</v>
      </c>
      <c r="B17529" s="8" t="str">
        <f>"9780889869042"</f>
        <v>9780889869042</v>
      </c>
      <c r="C17529" s="8" t="s">
        <v>305</v>
      </c>
    </row>
    <row r="17530" spans="1:3" x14ac:dyDescent="0.25">
      <c r="A17530" s="8" t="str">
        <f>"Proceedings of the IASTED International Conference on Nanotechnology and Applications, NANA 2010"</f>
        <v>Proceedings of the IASTED International Conference on Nanotechnology and Applications, NANA 2010</v>
      </c>
      <c r="B17530" s="8" t="str">
        <f>"9780889868625"</f>
        <v>9780889868625</v>
      </c>
      <c r="C17530" s="8" t="s">
        <v>305</v>
      </c>
    </row>
    <row r="17531" spans="1:3" x14ac:dyDescent="0.25">
      <c r="A17531" s="8" t="str">
        <f>"Proceedings of the IASTED International Conference on Networks and Communication Systems 2006"</f>
        <v>Proceedings of the IASTED International Conference on Networks and Communication Systems 2006</v>
      </c>
      <c r="B17531" s="8" t="str">
        <f>"-"</f>
        <v>-</v>
      </c>
      <c r="C17531" s="8" t="s">
        <v>1869</v>
      </c>
    </row>
    <row r="17532" spans="1:3" x14ac:dyDescent="0.25">
      <c r="A17532" s="8" t="str">
        <f>"Proceedings of the IASTED International Conference on Neural Networks and Computational Intelligence"</f>
        <v>Proceedings of the IASTED International Conference on Neural Networks and Computational Intelligence</v>
      </c>
      <c r="B17532" s="8" t="str">
        <f>"9780889863477"</f>
        <v>9780889863477</v>
      </c>
      <c r="C17532" s="8" t="s">
        <v>1869</v>
      </c>
    </row>
    <row r="17533" spans="1:3" x14ac:dyDescent="0.25">
      <c r="A17533" s="8" t="str">
        <f>"Proceedings of the IASTED International Conference on Neural Networks and Computational Intelligence"</f>
        <v>Proceedings of the IASTED International Conference on Neural Networks and Computational Intelligence</v>
      </c>
      <c r="B17533" s="8" t="str">
        <f>"-"</f>
        <v>-</v>
      </c>
      <c r="C17533" s="8" t="s">
        <v>305</v>
      </c>
    </row>
    <row r="17534" spans="1:3" x14ac:dyDescent="0.25">
      <c r="A17534" s="8" t="str">
        <f>"Proceedings of the IASTED International Conference on Optical Communication Systems and Networks, as part of the Fifth IASTED Int. Multi- Conference on Wireless and Optical Communications, OCSN 2005"</f>
        <v>Proceedings of the IASTED International Conference on Optical Communication Systems and Networks, as part of the Fifth IASTED Int. Multi- Conference on Wireless and Optical Communications, OCSN 2005</v>
      </c>
      <c r="B17534" s="8" t="str">
        <f>"9780889864979"</f>
        <v>9780889864979</v>
      </c>
      <c r="C17534" s="8" t="s">
        <v>305</v>
      </c>
    </row>
    <row r="17535" spans="1:3" x14ac:dyDescent="0.25">
      <c r="A17535" s="8" t="str">
        <f>"Proceedings of the IASTED International Conference on OPTICAL COMMUNICATION SYSTEMS AND NETWORKS, Part of the Sixth IASTED International Multi-Conference on WIRELESS AND OPTICAL COMMUNICATIONS"</f>
        <v>Proceedings of the IASTED International Conference on OPTICAL COMMUNICATION SYSTEMS AND NETWORKS, Part of the Sixth IASTED International Multi-Conference on WIRELESS AND OPTICAL COMMUNICATIONS</v>
      </c>
      <c r="B17535" s="8" t="str">
        <f>"-"</f>
        <v>-</v>
      </c>
      <c r="C17535" s="8" t="s">
        <v>1869</v>
      </c>
    </row>
    <row r="17536" spans="1:3" x14ac:dyDescent="0.25">
      <c r="A17536" s="8" t="str">
        <f>"Proceedings of the IASTED International Conference on Parallel and Distributed Computing and Networks, as part of the 24th IASTED International Multi-Conference on APPLIED INFORMATICS"</f>
        <v>Proceedings of the IASTED International Conference on Parallel and Distributed Computing and Networks, as part of the 24th IASTED International Multi-Conference on APPLIED INFORMATICS</v>
      </c>
      <c r="B17536" s="8" t="str">
        <f>"-"</f>
        <v>-</v>
      </c>
      <c r="C17536" s="8" t="s">
        <v>1869</v>
      </c>
    </row>
    <row r="17537" spans="1:3" x14ac:dyDescent="0.25">
      <c r="A17537" s="8" t="str">
        <f>"Proceedings of the IASTED International Conference on Parallel and Distributed Computing and Networks, PDCN 2009"</f>
        <v>Proceedings of the IASTED International Conference on Parallel and Distributed Computing and Networks, PDCN 2009</v>
      </c>
      <c r="B17537" s="8" t="str">
        <f>"9780889867840"</f>
        <v>9780889867840</v>
      </c>
      <c r="C17537" s="8" t="s">
        <v>305</v>
      </c>
    </row>
    <row r="17538" spans="1:3" x14ac:dyDescent="0.25">
      <c r="A17538" s="8" t="str">
        <f>"Proceedings of the IASTED International Conference on Parallel and Distributed Computing and Networks, PDCN 2014"</f>
        <v>Proceedings of the IASTED International Conference on Parallel and Distributed Computing and Networks, PDCN 2014</v>
      </c>
      <c r="B17538" s="8" t="str">
        <f>"-"</f>
        <v>-</v>
      </c>
      <c r="C17538" s="8" t="s">
        <v>305</v>
      </c>
    </row>
    <row r="17539" spans="1:3" x14ac:dyDescent="0.25">
      <c r="A17539" s="8" t="str">
        <f>"Proceedings of the IASTED International Conference on Parallel and Distributed Computing and Systems"</f>
        <v>Proceedings of the IASTED International Conference on Parallel and Distributed Computing and Systems</v>
      </c>
      <c r="B17539" s="8" t="str">
        <f>"9780889863927"</f>
        <v>9780889863927</v>
      </c>
      <c r="C17539" s="8" t="s">
        <v>1869</v>
      </c>
    </row>
    <row r="17540" spans="1:3" x14ac:dyDescent="0.25">
      <c r="A17540" s="8" t="str">
        <f>"Proceedings of the IASTED International Conference on Portable Lifestyle Devices, PLD 2010"</f>
        <v>Proceedings of the IASTED International Conference on Portable Lifestyle Devices, PLD 2010</v>
      </c>
      <c r="B17540" s="8" t="str">
        <f>"9780889868786"</f>
        <v>9780889868786</v>
      </c>
      <c r="C17540" s="8" t="s">
        <v>305</v>
      </c>
    </row>
    <row r="17541" spans="1:3" x14ac:dyDescent="0.25">
      <c r="A17541" s="8" t="str">
        <f>"Proceedings of the IASTED International Conference on Power and Energy Systems and Applications, PESA 2011"</f>
        <v>Proceedings of the IASTED International Conference on Power and Energy Systems and Applications, PESA 2011</v>
      </c>
      <c r="B17541" s="8" t="str">
        <f>"9780889869059"</f>
        <v>9780889869059</v>
      </c>
      <c r="C17541" s="8" t="s">
        <v>305</v>
      </c>
    </row>
    <row r="17542" spans="1:3" x14ac:dyDescent="0.25">
      <c r="A17542" s="8" t="str">
        <f>"Proceedings of the IASTED International Conference on Power and Energy Systems and Applications, PESA 2012"</f>
        <v>Proceedings of the IASTED International Conference on Power and Energy Systems and Applications, PESA 2012</v>
      </c>
      <c r="B17542" s="8" t="str">
        <f>"-"</f>
        <v>-</v>
      </c>
      <c r="C17542" s="8" t="s">
        <v>305</v>
      </c>
    </row>
    <row r="17543" spans="1:3" x14ac:dyDescent="0.25">
      <c r="A17543" s="8" t="str">
        <f>"Proceedings of the IASTED International Conference on Power and Energy Systems, AfricaPES 2014"</f>
        <v>Proceedings of the IASTED International Conference on Power and Energy Systems, AfricaPES 2014</v>
      </c>
      <c r="B17543" s="8" t="str">
        <f>"9780889869738"</f>
        <v>9780889869738</v>
      </c>
      <c r="C17543" s="8" t="s">
        <v>2253</v>
      </c>
    </row>
    <row r="17544" spans="1:3" x14ac:dyDescent="0.25">
      <c r="A17544" s="8" t="str">
        <f>"Proceedings of the IASTED International Conference on Power and Energy Systems, EuroPES 2011"</f>
        <v>Proceedings of the IASTED International Conference on Power and Energy Systems, EuroPES 2011</v>
      </c>
      <c r="B17544" s="8" t="str">
        <f>"9780889868922"</f>
        <v>9780889868922</v>
      </c>
      <c r="C17544" s="8" t="s">
        <v>305</v>
      </c>
    </row>
    <row r="17545" spans="1:3" x14ac:dyDescent="0.25">
      <c r="A17545" s="8" t="str">
        <f>"Proceedings of the IASTED International Conference on Power and Energy Systems, EuroPES 2012"</f>
        <v>Proceedings of the IASTED International Conference on Power and Energy Systems, EuroPES 2012</v>
      </c>
      <c r="B17545" s="8" t="str">
        <f>"9780889869240"</f>
        <v>9780889869240</v>
      </c>
      <c r="C17545" s="8" t="s">
        <v>305</v>
      </c>
    </row>
    <row r="17546" spans="1:3" x14ac:dyDescent="0.25">
      <c r="A17546" s="8" t="str">
        <f>"Proceedings of the IASTED International Conference on Power, Energy, and Applications, PEA 2006: Science and Technology for Development in the 21st Century"</f>
        <v>Proceedings of the IASTED International Conference on Power, Energy, and Applications, PEA 2006: Science and Technology for Development in the 21st Century</v>
      </c>
      <c r="B17546" s="8" t="str">
        <f>"9780889866164"</f>
        <v>9780889866164</v>
      </c>
      <c r="C17546" s="8" t="s">
        <v>305</v>
      </c>
    </row>
    <row r="17547" spans="1:3" x14ac:dyDescent="0.25">
      <c r="A17547" s="8" t="str">
        <f>"Proceedings of the IASTED International Conference on Robotics and Applications"</f>
        <v>Proceedings of the IASTED International Conference on Robotics and Applications</v>
      </c>
      <c r="B17547" s="8" t="str">
        <f>"9780889863576"</f>
        <v>9780889863576</v>
      </c>
      <c r="C17547" s="8" t="s">
        <v>1869</v>
      </c>
    </row>
    <row r="17548" spans="1:3" x14ac:dyDescent="0.25">
      <c r="A17548" s="8" t="str">
        <f>"Proceedings of the IASTED International Conference on Robotics, Robo 2010"</f>
        <v>Proceedings of the IASTED International Conference on Robotics, Robo 2010</v>
      </c>
      <c r="B17548" s="8" t="str">
        <f>"9780889868595"</f>
        <v>9780889868595</v>
      </c>
      <c r="C17548" s="8" t="s">
        <v>2254</v>
      </c>
    </row>
    <row r="17549" spans="1:3" x14ac:dyDescent="0.25">
      <c r="A17549" s="8" t="str">
        <f>"Proceedings of the IASTED International Conference on Signal and Image Processing"</f>
        <v>Proceedings of the IASTED International Conference on Signal and Image Processing</v>
      </c>
      <c r="B17549" s="8" t="str">
        <f>"9780889863781"</f>
        <v>9780889863781</v>
      </c>
      <c r="C17549" s="8" t="s">
        <v>1869</v>
      </c>
    </row>
    <row r="17550" spans="1:3" x14ac:dyDescent="0.25">
      <c r="A17550" s="8" t="str">
        <f>"Proceedings of the IASTED International Conference on Signal and Image Processing and Applications, SIPA 2011"</f>
        <v>Proceedings of the IASTED International Conference on Signal and Image Processing and Applications, SIPA 2011</v>
      </c>
      <c r="B17550" s="8" t="str">
        <f>"9780889868946"</f>
        <v>9780889868946</v>
      </c>
      <c r="C17550" s="8" t="s">
        <v>305</v>
      </c>
    </row>
    <row r="17551" spans="1:3" x14ac:dyDescent="0.25">
      <c r="A17551" s="8" t="str">
        <f>"Proceedings of the IASTED International Conference on Signal and Image Processing, SIP 2009"</f>
        <v>Proceedings of the IASTED International Conference on Signal and Image Processing, SIP 2009</v>
      </c>
      <c r="B17551" s="8" t="str">
        <f>"9780889868038"</f>
        <v>9780889868038</v>
      </c>
      <c r="C17551" s="8" t="s">
        <v>305</v>
      </c>
    </row>
    <row r="17552" spans="1:3" x14ac:dyDescent="0.25">
      <c r="A17552" s="8" t="str">
        <f>"Proceedings of the IASTED International Conference on Signal and Image Processing, SIP 2011"</f>
        <v>Proceedings of the IASTED International Conference on Signal and Image Processing, SIP 2011</v>
      </c>
      <c r="B17552" s="8" t="str">
        <f>"9780889869080"</f>
        <v>9780889869080</v>
      </c>
      <c r="C17552" s="8" t="s">
        <v>305</v>
      </c>
    </row>
    <row r="17553" spans="1:3" x14ac:dyDescent="0.25">
      <c r="A17553" s="8" t="str">
        <f>"Proceedings of the IASTED International Conference on Signal and Image Processing, SIP 2012"</f>
        <v>Proceedings of the IASTED International Conference on Signal and Image Processing, SIP 2012</v>
      </c>
      <c r="B17553" s="8" t="str">
        <f>"9780889869493"</f>
        <v>9780889869493</v>
      </c>
      <c r="C17553" s="8" t="s">
        <v>305</v>
      </c>
    </row>
    <row r="17554" spans="1:3" x14ac:dyDescent="0.25">
      <c r="A17554" s="8" t="str">
        <f>"Proceedings of the IASTED International Conference on Signal and Image Processing, SIP 2013"</f>
        <v>Proceedings of the IASTED International Conference on Signal and Image Processing, SIP 2013</v>
      </c>
      <c r="B17554" s="8" t="str">
        <f>"9780889869561"</f>
        <v>9780889869561</v>
      </c>
      <c r="C17554" s="8" t="s">
        <v>305</v>
      </c>
    </row>
    <row r="17555" spans="1:3" x14ac:dyDescent="0.25">
      <c r="A17555" s="8" t="str">
        <f>"Proceedings of the IASTED International Conference on Signal Processing, Pattern Recognition and Applications, SPPRA 2012"</f>
        <v>Proceedings of the IASTED International Conference on Signal Processing, Pattern Recognition and Applications, SPPRA 2012</v>
      </c>
      <c r="B17555" s="8" t="str">
        <f>"9780889869219"</f>
        <v>9780889869219</v>
      </c>
      <c r="C17555" s="8" t="s">
        <v>305</v>
      </c>
    </row>
    <row r="17556" spans="1:3" x14ac:dyDescent="0.25">
      <c r="A17556" s="8" t="str">
        <f>"Proceedings of the IASTED International Conference on Signal Processing, Pattern Recognition and Applications, SPPRA 2013"</f>
        <v>Proceedings of the IASTED International Conference on Signal Processing, Pattern Recognition and Applications, SPPRA 2013</v>
      </c>
      <c r="B17556" s="8" t="str">
        <f>"-"</f>
        <v>-</v>
      </c>
      <c r="C17556" s="8" t="s">
        <v>305</v>
      </c>
    </row>
    <row r="17557" spans="1:3" x14ac:dyDescent="0.25">
      <c r="A17557" s="8" t="str">
        <f>"Proceedings of the IASTED International Conference on Signal Processing, Pattern Reconition, and Applications"</f>
        <v>Proceedings of the IASTED International Conference on Signal Processing, Pattern Reconition, and Applications</v>
      </c>
      <c r="B17557" s="8" t="str">
        <f>"9780889863781"</f>
        <v>9780889863781</v>
      </c>
      <c r="C17557" s="8" t="s">
        <v>1869</v>
      </c>
    </row>
    <row r="17558" spans="1:3" x14ac:dyDescent="0.25">
      <c r="A17558" s="8" t="str">
        <f>"Proceedings of the IASTED International Conference on Software Engineering and Applications"</f>
        <v>Proceedings of the IASTED International Conference on Software Engineering and Applications</v>
      </c>
      <c r="B17558" s="8" t="str">
        <f>"9780889863941"</f>
        <v>9780889863941</v>
      </c>
      <c r="C17558" s="8" t="s">
        <v>1869</v>
      </c>
    </row>
    <row r="17559" spans="1:3" x14ac:dyDescent="0.25">
      <c r="A17559" s="8" t="str">
        <f>"Proceedings of the IASTED International Conference on Software Engineering and Applications, SEA 2010"</f>
        <v>Proceedings of the IASTED International Conference on Software Engineering and Applications, SEA 2010</v>
      </c>
      <c r="B17559" s="8" t="str">
        <f>"9780889868786"</f>
        <v>9780889868786</v>
      </c>
      <c r="C17559" s="8" t="s">
        <v>305</v>
      </c>
    </row>
    <row r="17560" spans="1:3" x14ac:dyDescent="0.25">
      <c r="A17560" s="8" t="str">
        <f>"Proceedings of the IASTED International Conference on Software Engineering and Applications, SEA 2011"</f>
        <v>Proceedings of the IASTED International Conference on Software Engineering and Applications, SEA 2011</v>
      </c>
      <c r="B17560" s="8" t="str">
        <f>"9780889869066"</f>
        <v>9780889869066</v>
      </c>
      <c r="C17560" s="8" t="s">
        <v>305</v>
      </c>
    </row>
    <row r="17561" spans="1:3" x14ac:dyDescent="0.25">
      <c r="A17561" s="8" t="str">
        <f>"Proceedings of the IASTED International Conference on Software Engineering and Applications, SEA 2012"</f>
        <v>Proceedings of the IASTED International Conference on Software Engineering and Applications, SEA 2012</v>
      </c>
      <c r="B17561" s="8" t="str">
        <f>"-"</f>
        <v>-</v>
      </c>
      <c r="C17561" s="8" t="s">
        <v>305</v>
      </c>
    </row>
    <row r="17562" spans="1:3" x14ac:dyDescent="0.25">
      <c r="A17562" s="8" t="str">
        <f>"Proceedings of the IASTED International Conference on Software Engineering, as part of the 24th IASTED International Multi-Conference on APPLIED INFORMATICS"</f>
        <v>Proceedings of the IASTED International Conference on Software Engineering, as part of the 24th IASTED International Multi-Conference on APPLIED INFORMATICS</v>
      </c>
      <c r="B17562" s="8" t="str">
        <f>"-"</f>
        <v>-</v>
      </c>
      <c r="C17562" s="8" t="s">
        <v>1869</v>
      </c>
    </row>
    <row r="17563" spans="1:3" x14ac:dyDescent="0.25">
      <c r="A17563" s="8" t="str">
        <f>"Proceedings of the IASTED International Conference on Software Engineering, SE 2007"</f>
        <v>Proceedings of the IASTED International Conference on Software Engineering, SE 2007</v>
      </c>
      <c r="B17563" s="8" t="str">
        <f>"9780889866416"</f>
        <v>9780889866416</v>
      </c>
      <c r="C17563" s="8" t="s">
        <v>305</v>
      </c>
    </row>
    <row r="17564" spans="1:3" x14ac:dyDescent="0.25">
      <c r="A17564" s="8" t="str">
        <f>"Proceedings of the IASTED International Conference on Software Engineering, SE 2008"</f>
        <v>Proceedings of the IASTED International Conference on Software Engineering, SE 2008</v>
      </c>
      <c r="B17564" s="8" t="str">
        <f>"9780889867154"</f>
        <v>9780889867154</v>
      </c>
      <c r="C17564" s="8" t="s">
        <v>305</v>
      </c>
    </row>
    <row r="17565" spans="1:3" x14ac:dyDescent="0.25">
      <c r="A17565" s="8" t="str">
        <f>"Proceedings of the IASTED International Conference on Software Engineering, SE 2009"</f>
        <v>Proceedings of the IASTED International Conference on Software Engineering, SE 2009</v>
      </c>
      <c r="B17565" s="8" t="str">
        <f>"9780889867864"</f>
        <v>9780889867864</v>
      </c>
      <c r="C17565" s="8" t="s">
        <v>305</v>
      </c>
    </row>
    <row r="17566" spans="1:3" x14ac:dyDescent="0.25">
      <c r="A17566" s="8" t="str">
        <f>"Proceedings of the IASTED International Conference on Software Engineering, SE 2010"</f>
        <v>Proceedings of the IASTED International Conference on Software Engineering, SE 2010</v>
      </c>
      <c r="B17566" s="8" t="str">
        <f>"9780889868212"</f>
        <v>9780889868212</v>
      </c>
      <c r="C17566" s="8" t="s">
        <v>305</v>
      </c>
    </row>
    <row r="17567" spans="1:3" x14ac:dyDescent="0.25">
      <c r="A17567" s="8" t="str">
        <f>"Proceedings of the IASTED International Conference on Software Engineering, SE 2012"</f>
        <v>Proceedings of the IASTED International Conference on Software Engineering, SE 2012</v>
      </c>
      <c r="B17567" s="8" t="str">
        <f>"9780889869226"</f>
        <v>9780889869226</v>
      </c>
      <c r="C17567" s="8" t="s">
        <v>305</v>
      </c>
    </row>
    <row r="17568" spans="1:3" x14ac:dyDescent="0.25">
      <c r="A17568" s="8" t="str">
        <f>"Proceedings of the IASTED International Conference on Software Engineering, SE 2014"</f>
        <v>Proceedings of the IASTED International Conference on Software Engineering, SE 2014</v>
      </c>
      <c r="B17568" s="8" t="str">
        <f>"-"</f>
        <v>-</v>
      </c>
      <c r="C17568" s="8" t="s">
        <v>305</v>
      </c>
    </row>
    <row r="17569" spans="1:3" x14ac:dyDescent="0.25">
      <c r="A17569" s="8" t="str">
        <f>"Proceedings of the IASTED International Conference on Software Engineering: part of the 23rd IASTED International Multi-Conference on Applied Informatics, SE 2005"</f>
        <v>Proceedings of the IASTED International Conference on Software Engineering: part of the 23rd IASTED International Multi-Conference on Applied Informatics, SE 2005</v>
      </c>
      <c r="B17569" s="8" t="str">
        <f>"9780889864641"</f>
        <v>9780889864641</v>
      </c>
      <c r="C17569" s="8" t="s">
        <v>305</v>
      </c>
    </row>
    <row r="17570" spans="1:3" x14ac:dyDescent="0.25">
      <c r="A17570" s="8" t="str">
        <f>"Proceedings of the IASTED International Conference on Solar Energy, SOE 2009"</f>
        <v>Proceedings of the IASTED International Conference on Solar Energy, SOE 2009</v>
      </c>
      <c r="B17570" s="8" t="str">
        <f>"9780889867918"</f>
        <v>9780889867918</v>
      </c>
      <c r="C17570" s="8" t="s">
        <v>305</v>
      </c>
    </row>
    <row r="17571" spans="1:3" x14ac:dyDescent="0.25">
      <c r="A17571" s="8" t="str">
        <f>"Proceedings of the IASTED International Conference on Technology for Education and Learning, TEL 2011"</f>
        <v>Proceedings of the IASTED International Conference on Technology for Education and Learning, TEL 2011</v>
      </c>
      <c r="B17571" s="8" t="str">
        <f>"9780889868908"</f>
        <v>9780889868908</v>
      </c>
      <c r="C17571" s="8" t="s">
        <v>305</v>
      </c>
    </row>
    <row r="17572" spans="1:3" x14ac:dyDescent="0.25">
      <c r="A17572" s="8" t="str">
        <f>"Proceedings of the IASTED International Conference on Technology for Education, TE 2011"</f>
        <v>Proceedings of the IASTED International Conference on Technology for Education, TE 2011</v>
      </c>
      <c r="B17572" s="8" t="str">
        <f>"9780889868908"</f>
        <v>9780889868908</v>
      </c>
      <c r="C17572" s="8" t="s">
        <v>305</v>
      </c>
    </row>
    <row r="17573" spans="1:3" x14ac:dyDescent="0.25">
      <c r="A17573" s="8" t="str">
        <f>"Proceedings of the IASTED International Conference on Telehealth, Telehealth 2012"</f>
        <v>Proceedings of the IASTED International Conference on Telehealth, Telehealth 2012</v>
      </c>
      <c r="B17573" s="8" t="str">
        <f>"9780889869097"</f>
        <v>9780889869097</v>
      </c>
      <c r="C17573" s="8" t="s">
        <v>305</v>
      </c>
    </row>
    <row r="17574" spans="1:3" x14ac:dyDescent="0.25">
      <c r="A17574" s="8" t="str">
        <f>"Proceedings of the IASTED International Conference on Unconventional Oil Technology, TECH 2011"</f>
        <v>Proceedings of the IASTED International Conference on Unconventional Oil Technology, TECH 2011</v>
      </c>
      <c r="B17574" s="8" t="str">
        <f>"9780889868861"</f>
        <v>9780889868861</v>
      </c>
      <c r="C17574" s="8" t="s">
        <v>305</v>
      </c>
    </row>
    <row r="17575" spans="1:3" x14ac:dyDescent="0.25">
      <c r="A17575" s="8" t="str">
        <f>"Proceedings of the IASTED International Conference on Unconventional Oils and the Environment, ENV 2011"</f>
        <v>Proceedings of the IASTED International Conference on Unconventional Oils and the Environment, ENV 2011</v>
      </c>
      <c r="B17575" s="8" t="str">
        <f>"9780889868861"</f>
        <v>9780889868861</v>
      </c>
      <c r="C17575" s="8" t="s">
        <v>305</v>
      </c>
    </row>
    <row r="17576" spans="1:3" x14ac:dyDescent="0.25">
      <c r="A17576" s="8" t="str">
        <f>"Proceedings of the IASTED International Conference on Visualization, Imaging and Image Processing, VIIP 2012"</f>
        <v>Proceedings of the IASTED International Conference on Visualization, Imaging and Image Processing, VIIP 2012</v>
      </c>
      <c r="B17576" s="8" t="str">
        <f>"9780889869264"</f>
        <v>9780889869264</v>
      </c>
      <c r="C17576" s="8" t="s">
        <v>305</v>
      </c>
    </row>
    <row r="17577" spans="1:3" x14ac:dyDescent="0.25">
      <c r="A17577" s="8" t="str">
        <f>"Proceedings of the IASTED International Conference on Web Technologies, Applications, and Services, WTAS 2005"</f>
        <v>Proceedings of the IASTED International Conference on Web Technologies, Applications, and Services, WTAS 2005</v>
      </c>
      <c r="B17577" s="8" t="str">
        <f>"9780889864856"</f>
        <v>9780889864856</v>
      </c>
      <c r="C17577" s="8" t="s">
        <v>305</v>
      </c>
    </row>
    <row r="17578" spans="1:3" x14ac:dyDescent="0.25">
      <c r="A17578" s="8" t="str">
        <f>"Proceedings of the IASTED International Conference on Web-Based Education, WBE 2005"</f>
        <v>Proceedings of the IASTED International Conference on Web-Based Education, WBE 2005</v>
      </c>
      <c r="B17578" s="8" t="str">
        <f>"9780889864801"</f>
        <v>9780889864801</v>
      </c>
      <c r="C17578" s="8" t="s">
        <v>305</v>
      </c>
    </row>
    <row r="17579" spans="1:3" x14ac:dyDescent="0.25">
      <c r="A17579" s="8" t="str">
        <f>"Proceedings of the IASTED International Conference on Wireless and Optical Communications"</f>
        <v>Proceedings of the IASTED International Conference on Wireless and Optical Communications</v>
      </c>
      <c r="B17579" s="8" t="str">
        <f>"9780889863743"</f>
        <v>9780889863743</v>
      </c>
      <c r="C17579" s="8" t="s">
        <v>1869</v>
      </c>
    </row>
    <row r="17580" spans="1:3" x14ac:dyDescent="0.25">
      <c r="A17580" s="8" t="str">
        <f>"Proceedings of the IASTED International Conference on Wireless Communications, WC 2010"</f>
        <v>Proceedings of the IASTED International Conference on Wireless Communications, WC 2010</v>
      </c>
      <c r="B17580" s="8" t="str">
        <f>"9780889868526"</f>
        <v>9780889868526</v>
      </c>
      <c r="C17580" s="8" t="s">
        <v>305</v>
      </c>
    </row>
    <row r="17581" spans="1:3" x14ac:dyDescent="0.25">
      <c r="A17581" s="8" t="str">
        <f>"Proceedings of the IASTED International Conference on Wireless Communications, WC 2011"</f>
        <v>Proceedings of the IASTED International Conference on Wireless Communications, WC 2011</v>
      </c>
      <c r="B17581" s="8" t="str">
        <f>"9780889868731"</f>
        <v>9780889868731</v>
      </c>
      <c r="C17581" s="8" t="s">
        <v>305</v>
      </c>
    </row>
    <row r="17582" spans="1:3" x14ac:dyDescent="0.25">
      <c r="A17582" s="8" t="str">
        <f>"Proceedings of the IASTED International Conference on Wireless Communications, WC 2012"</f>
        <v>Proceedings of the IASTED International Conference on Wireless Communications, WC 2012</v>
      </c>
      <c r="B17582" s="8" t="str">
        <f>"9780889869264"</f>
        <v>9780889869264</v>
      </c>
      <c r="C17582" s="8" t="s">
        <v>305</v>
      </c>
    </row>
    <row r="17583" spans="1:3" x14ac:dyDescent="0.25">
      <c r="A17583" s="8" t="str">
        <f>"Proceedings of the IASTED International Conference on WIRELESS NETWORKS AND EMERGING TECHNOLOGIES, Part of the Sixth IASTED International Multi-Conference on WIRELESS AND OPTICAL COMMUNICATIONS"</f>
        <v>Proceedings of the IASTED International Conference on WIRELESS NETWORKS AND EMERGING TECHNOLOGIES, Part of the Sixth IASTED International Multi-Conference on WIRELESS AND OPTICAL COMMUNICATIONS</v>
      </c>
      <c r="B17583" s="8" t="str">
        <f>"-"</f>
        <v>-</v>
      </c>
      <c r="C17583" s="8" t="s">
        <v>1869</v>
      </c>
    </row>
    <row r="17584" spans="1:3" x14ac:dyDescent="0.25">
      <c r="A17584" s="8" t="str">
        <f>"Proceedings of the IASTED International Conference on WIRELESS SENSOR NETWORKS, Part of the Sixth IASTED International Multi-Conference on WIRELESS AND OPTICAL COMMUNICATIONS"</f>
        <v>Proceedings of the IASTED International Conference on WIRELESS SENSOR NETWORKS, Part of the Sixth IASTED International Multi-Conference on WIRELESS AND OPTICAL COMMUNICATIONS</v>
      </c>
      <c r="B17584" s="8" t="str">
        <f>"-"</f>
        <v>-</v>
      </c>
      <c r="C17584" s="8" t="s">
        <v>1869</v>
      </c>
    </row>
    <row r="17585" spans="1:3" x14ac:dyDescent="0.25">
      <c r="A17585" s="8" t="str">
        <f>"Proceedings of the IASTED International Conference, PowerCon 2003 - Special Theme: Blackout"</f>
        <v>Proceedings of the IASTED International Conference, PowerCon 2003 - Special Theme: Blackout</v>
      </c>
      <c r="B17585" s="8" t="str">
        <f>"9780889864009"</f>
        <v>9780889864009</v>
      </c>
      <c r="C17585" s="8" t="s">
        <v>1869</v>
      </c>
    </row>
    <row r="17586" spans="1:3" x14ac:dyDescent="0.25">
      <c r="A17586" s="8" t="str">
        <f>"Proceedings of the IASTED International Conference. Applied Informatics"</f>
        <v>Proceedings of the IASTED International Conference. Applied Informatics</v>
      </c>
      <c r="B17586" s="8" t="str">
        <f>"9780889863750"</f>
        <v>9780889863750</v>
      </c>
      <c r="C17586" s="8" t="s">
        <v>305</v>
      </c>
    </row>
    <row r="17587" spans="1:3" x14ac:dyDescent="0.25">
      <c r="A17587" s="8" t="str">
        <f>"Proceedings of the IASTED International Symposia on Imaging and Signal Processing in Health Care and Technology, ISPHT 2012"</f>
        <v>Proceedings of the IASTED International Symposia on Imaging and Signal Processing in Health Care and Technology, ISPHT 2012</v>
      </c>
      <c r="B17587" s="8" t="str">
        <f>"9780889869202"</f>
        <v>9780889869202</v>
      </c>
      <c r="C17587" s="8" t="s">
        <v>305</v>
      </c>
    </row>
    <row r="17588" spans="1:3" x14ac:dyDescent="0.25">
      <c r="A17588" s="8" t="str">
        <f>"Proceedings of the IASTED International Symposia on Imaging and Signal Processing in Healthcare and Technology, ISPHT 2011"</f>
        <v>Proceedings of the IASTED International Symposia on Imaging and Signal Processing in Healthcare and Technology, ISPHT 2011</v>
      </c>
      <c r="B17588" s="8" t="str">
        <f>"9780889868700"</f>
        <v>9780889868700</v>
      </c>
      <c r="C17588" s="8" t="s">
        <v>305</v>
      </c>
    </row>
    <row r="17589" spans="1:3" x14ac:dyDescent="0.25">
      <c r="A17589" s="8" t="str">
        <f>"Proceedings of the IASTED Multi-Conference- Power and Energy Systems"</f>
        <v>Proceedings of the IASTED Multi-Conference- Power and Energy Systems</v>
      </c>
      <c r="B17589" s="8" t="str">
        <f>"9780889863354"</f>
        <v>9780889863354</v>
      </c>
      <c r="C17589" s="8" t="s">
        <v>1869</v>
      </c>
    </row>
    <row r="17590" spans="1:3" x14ac:dyDescent="0.25">
      <c r="A17590" s="8" t="str">
        <f>"Proceedings of the ICEM2007 - 11th International Conference on Environmental Remediation and Radioactive Waste Management"</f>
        <v>Proceedings of the ICEM2007 - 11th International Conference on Environmental Remediation and Radioactive Waste Management</v>
      </c>
      <c r="B17590" s="8" t="str">
        <f>"9780791843390"</f>
        <v>9780791843390</v>
      </c>
      <c r="C17590" s="8" t="s">
        <v>73</v>
      </c>
    </row>
    <row r="17591" spans="1:3" x14ac:dyDescent="0.25">
      <c r="A17591" s="8" t="str">
        <f>"Proceedings of the IEEE 12th Signal Processing and Communications Applications Conference, SIU 2004"</f>
        <v>Proceedings of the IEEE 12th Signal Processing and Communications Applications Conference, SIU 2004</v>
      </c>
      <c r="B17591" s="8" t="str">
        <f>"9780780383180"</f>
        <v>9780780383180</v>
      </c>
      <c r="C17591" s="8" t="s">
        <v>105</v>
      </c>
    </row>
    <row r="17592" spans="1:3" x14ac:dyDescent="0.25">
      <c r="A17592" s="8" t="str">
        <f>"Proceedings of the IEEE 13th Signal Processing and Communications Applications Conference, SIU 2005"</f>
        <v>Proceedings of the IEEE 13th Signal Processing and Communications Applications Conference, SIU 2005</v>
      </c>
      <c r="B17592" s="8" t="str">
        <f>"-"</f>
        <v>-</v>
      </c>
      <c r="C17592" s="8" t="s">
        <v>9</v>
      </c>
    </row>
    <row r="17593" spans="1:3" x14ac:dyDescent="0.25">
      <c r="A17593" s="8" t="str">
        <f>"Proceedings of the IEEE 2000 International Interconnect Technology Conference, IITC 2000"</f>
        <v>Proceedings of the IEEE 2000 International Interconnect Technology Conference, IITC 2000</v>
      </c>
      <c r="B17593" s="8" t="str">
        <f>"9780780363274"</f>
        <v>9780780363274</v>
      </c>
      <c r="C17593" s="8" t="s">
        <v>105</v>
      </c>
    </row>
    <row r="17594" spans="1:3" x14ac:dyDescent="0.25">
      <c r="A17594" s="8" t="str">
        <f>"Proceedings of the IEEE 2002 International Interconnect Technology Conference, IITC 2002"</f>
        <v>Proceedings of the IEEE 2002 International Interconnect Technology Conference, IITC 2002</v>
      </c>
      <c r="B17594" s="8" t="str">
        <f>"9780780372160"</f>
        <v>9780780372160</v>
      </c>
      <c r="C17594" s="8" t="s">
        <v>105</v>
      </c>
    </row>
    <row r="17595" spans="1:3" x14ac:dyDescent="0.25">
      <c r="A17595" s="8" t="str">
        <f>"Proceedings of the IEEE 2003 International Interconnect Technology Conference, IITC 2003"</f>
        <v>Proceedings of the IEEE 2003 International Interconnect Technology Conference, IITC 2003</v>
      </c>
      <c r="B17595" s="8" t="str">
        <f>"9780780377974"</f>
        <v>9780780377974</v>
      </c>
      <c r="C17595" s="8" t="s">
        <v>105</v>
      </c>
    </row>
    <row r="17596" spans="1:3" x14ac:dyDescent="0.25">
      <c r="A17596" s="8" t="str">
        <f>"Proceedings of the IEEE 2004 International Interconnect Technology Conference"</f>
        <v>Proceedings of the IEEE 2004 International Interconnect Technology Conference</v>
      </c>
      <c r="B17596" s="8" t="str">
        <f>"9780780383081"</f>
        <v>9780780383081</v>
      </c>
      <c r="C17596" s="8" t="s">
        <v>105</v>
      </c>
    </row>
    <row r="17597" spans="1:3" x14ac:dyDescent="0.25">
      <c r="A17597" s="8" t="str">
        <f>"Proceedings of the IEEE 2005 International Interconnect Technology Conference, IITC"</f>
        <v>Proceedings of the IEEE 2005 International Interconnect Technology Conference, IITC</v>
      </c>
      <c r="B17597" s="8" t="str">
        <f>"9780780387522"</f>
        <v>9780780387522</v>
      </c>
      <c r="C17597" s="8" t="s">
        <v>9</v>
      </c>
    </row>
    <row r="17598" spans="1:3" x14ac:dyDescent="0.25">
      <c r="A17598" s="8" t="str">
        <f>"Proceedings of the IEEE 2007 Custom Integrated Circuits Conference, CICC 2007"</f>
        <v>Proceedings of the IEEE 2007 Custom Integrated Circuits Conference, CICC 2007</v>
      </c>
      <c r="B17598" s="8" t="str">
        <f>"9781424407866"</f>
        <v>9781424407866</v>
      </c>
      <c r="C17598" s="8" t="s">
        <v>105</v>
      </c>
    </row>
    <row r="17599" spans="1:3" x14ac:dyDescent="0.25">
      <c r="A17599" s="8" t="str">
        <f>"Proceedings of the IEEE 2007 International Interconnect Technology Conference - Digest of Technical Papers"</f>
        <v>Proceedings of the IEEE 2007 International Interconnect Technology Conference - Digest of Technical Papers</v>
      </c>
      <c r="B17599" s="8" t="str">
        <f>"9781424410705"</f>
        <v>9781424410705</v>
      </c>
      <c r="C17599" s="8" t="s">
        <v>9</v>
      </c>
    </row>
    <row r="17600" spans="1:3" x14ac:dyDescent="0.25">
      <c r="A17600" s="8" t="str">
        <f>"Proceedings of the IEEE 2010 National Aerospace and Electronics Conference, NAECON 2010"</f>
        <v>Proceedings of the IEEE 2010 National Aerospace and Electronics Conference, NAECON 2010</v>
      </c>
      <c r="B17600" s="8" t="str">
        <f>"9781424465767"</f>
        <v>9781424465767</v>
      </c>
      <c r="C17600" s="8" t="s">
        <v>9</v>
      </c>
    </row>
    <row r="17601" spans="1:3" x14ac:dyDescent="0.25">
      <c r="A17601" s="8" t="str">
        <f>"Proceedings of the IEEE 2014 Custom Integrated Circuits Conference, CICC 2014"</f>
        <v>Proceedings of the IEEE 2014 Custom Integrated Circuits Conference, CICC 2014</v>
      </c>
      <c r="B17601" s="8" t="str">
        <f>"9781479932863"</f>
        <v>9781479932863</v>
      </c>
      <c r="C17601" s="8" t="s">
        <v>105</v>
      </c>
    </row>
    <row r="17602" spans="1:3" x14ac:dyDescent="0.25">
      <c r="A17602" s="8" t="str">
        <f>"Proceedings of the IEEE 21st International Conference on Noise and Fluctuations, ICNF 2011"</f>
        <v>Proceedings of the IEEE 21st International Conference on Noise and Fluctuations, ICNF 2011</v>
      </c>
      <c r="B17602" s="8" t="str">
        <f>"9781457701924"</f>
        <v>9781457701924</v>
      </c>
      <c r="C17602" s="8" t="s">
        <v>9</v>
      </c>
    </row>
    <row r="17603" spans="1:3" x14ac:dyDescent="0.25">
      <c r="A17603" s="8" t="str">
        <f>"Proceedings of the IEEE 6th Circuits and Systems Symposium on Emerging Technologies: Frontiers of Mobile and Wireless Communication"</f>
        <v>Proceedings of the IEEE 6th Circuits and Systems Symposium on Emerging Technologies: Frontiers of Mobile and Wireless Communication</v>
      </c>
      <c r="B17603" s="8" t="str">
        <f>"9780780379381"</f>
        <v>9780780379381</v>
      </c>
      <c r="C17603" s="8" t="s">
        <v>105</v>
      </c>
    </row>
    <row r="17604" spans="1:3" x14ac:dyDescent="0.25">
      <c r="A17604" s="8" t="str">
        <f>"Proceedings of the IEEE INDICON 2004 - 1st India Annual Conference"</f>
        <v>Proceedings of the IEEE INDICON 2004 - 1st India Annual Conference</v>
      </c>
      <c r="B17604" s="8" t="str">
        <f>"9780780389090"</f>
        <v>9780780389090</v>
      </c>
      <c r="C17604" s="8" t="s">
        <v>9</v>
      </c>
    </row>
    <row r="17605" spans="1:3" x14ac:dyDescent="0.25">
      <c r="A17605" s="8" t="str">
        <f>"Proceedings of the IEEE International Conference on Automation and Logistics, ICAL 2007"</f>
        <v>Proceedings of the IEEE International Conference on Automation and Logistics, ICAL 2007</v>
      </c>
      <c r="B17605" s="8" t="str">
        <f>"9781424415311"</f>
        <v>9781424415311</v>
      </c>
      <c r="C17605" s="8" t="s">
        <v>9</v>
      </c>
    </row>
    <row r="17606" spans="1:3" x14ac:dyDescent="0.25">
      <c r="A17606" s="8" t="str">
        <f>"Proceedings of the IEEE International Conference on Automation and Logistics, ICAL 2008"</f>
        <v>Proceedings of the IEEE International Conference on Automation and Logistics, ICAL 2008</v>
      </c>
      <c r="B17606" s="8" t="str">
        <f>"9781424425020"</f>
        <v>9781424425020</v>
      </c>
      <c r="C17606" s="8" t="s">
        <v>9</v>
      </c>
    </row>
    <row r="17607" spans="1:3" x14ac:dyDescent="0.25">
      <c r="A17607" s="8" t="str">
        <f>"Proceedings of the IEEE International Conference on Cloud Engineering, IC2E 2013"</f>
        <v>Proceedings of the IEEE International Conference on Cloud Engineering, IC2E 2013</v>
      </c>
      <c r="B17607" s="8" t="str">
        <f>"9780769549453"</f>
        <v>9780769549453</v>
      </c>
      <c r="C17607" s="8" t="s">
        <v>9</v>
      </c>
    </row>
    <row r="17608" spans="1:3" x14ac:dyDescent="0.25">
      <c r="A17608" s="8" t="str">
        <f>"Proceedings of the IEEE International Conference on E-Commerce Technology for Dynamic E-Business, CEC-East 2004"</f>
        <v>Proceedings of the IEEE International Conference on E-Commerce Technology for Dynamic E-Business, CEC-East 2004</v>
      </c>
      <c r="B17608" s="8" t="str">
        <f>"9780769522067"</f>
        <v>9780769522067</v>
      </c>
      <c r="C17608" s="8" t="s">
        <v>9</v>
      </c>
    </row>
    <row r="17609" spans="1:3" x14ac:dyDescent="0.25">
      <c r="A17609" s="8" t="str">
        <f>"Proceedings of the IEEE International Conference on Mechatronics 2004, ICM'04"</f>
        <v>Proceedings of the IEEE International Conference on Mechatronics 2004, ICM'04</v>
      </c>
      <c r="B17609" s="8" t="str">
        <f>"9780780385993"</f>
        <v>9780780385993</v>
      </c>
      <c r="C17609" s="8" t="s">
        <v>105</v>
      </c>
    </row>
    <row r="17610" spans="1:3" x14ac:dyDescent="0.25">
      <c r="A17610" s="8" t="str">
        <f>"Proceedings of the IEEE International Conference on Web Services, ICWS 2008"</f>
        <v>Proceedings of the IEEE International Conference on Web Services, ICWS 2008</v>
      </c>
      <c r="B17610" s="8" t="str">
        <f>"9780769533100"</f>
        <v>9780769533100</v>
      </c>
      <c r="C17610" s="8" t="s">
        <v>9</v>
      </c>
    </row>
    <row r="17611" spans="1:3" x14ac:dyDescent="0.25">
      <c r="A17611" s="8" t="str">
        <f>"Proceedings of the IEEE ITSOC Information Theory Workshop 2005 on Coding and Complexity, ITW2005"</f>
        <v>Proceedings of the IEEE ITSOC Information Theory Workshop 2005 on Coding and Complexity, ITW2005</v>
      </c>
      <c r="B17611" s="8" t="str">
        <f>"-"</f>
        <v>-</v>
      </c>
      <c r="C17611" s="8" t="s">
        <v>9</v>
      </c>
    </row>
    <row r="17612" spans="1:3" x14ac:dyDescent="0.25">
      <c r="A17612" s="8" t="str">
        <f>"Proceedings of the IEEE Region 10 Humanitarian Technology Conference 2014, R10 HTC 2014"</f>
        <v>Proceedings of the IEEE Region 10 Humanitarian Technology Conference 2014, R10 HTC 2014</v>
      </c>
      <c r="B17612" s="8" t="str">
        <f>"9781479976065"</f>
        <v>9781479976065</v>
      </c>
      <c r="C17612" s="8" t="s">
        <v>105</v>
      </c>
    </row>
    <row r="17613" spans="1:3" x14ac:dyDescent="0.25">
      <c r="A17613" s="8" t="str">
        <f>"Proceedings of the IEEE Symposium on Computational Intelligence in Bioinformatics and Computational Biology, CIBCB 2013 - 2013 IEEE Symposium Series on Computational Intelligence, SSCI 2013"</f>
        <v>Proceedings of the IEEE Symposium on Computational Intelligence in Bioinformatics and Computational Biology, CIBCB 2013 - 2013 IEEE Symposium Series on Computational Intelligence, SSCI 2013</v>
      </c>
      <c r="B17613" s="8" t="str">
        <f>"9781467358750"</f>
        <v>9781467358750</v>
      </c>
      <c r="C17613" s="8" t="s">
        <v>9</v>
      </c>
    </row>
    <row r="17614" spans="1:3" x14ac:dyDescent="0.25">
      <c r="A17614" s="8" t="str">
        <f>"Proceedings of the IEEE/LEOS 3rd International Conference on Numerical Simulation of Semiconductor Optoelectronic Devices, NUSOD 2003"</f>
        <v>Proceedings of the IEEE/LEOS 3rd International Conference on Numerical Simulation of Semiconductor Optoelectronic Devices, NUSOD 2003</v>
      </c>
      <c r="B17614" s="8" t="str">
        <f>"-"</f>
        <v>-</v>
      </c>
      <c r="C17614" s="8" t="s">
        <v>105</v>
      </c>
    </row>
    <row r="17615" spans="1:3" x14ac:dyDescent="0.25">
      <c r="A17615" s="8" t="str">
        <f>"Proceedings of the IEEE/WIC/ACM International Conference on Intelligent Agent Technology, IAT 2007"</f>
        <v>Proceedings of the IEEE/WIC/ACM International Conference on Intelligent Agent Technology, IAT 2007</v>
      </c>
      <c r="B17615" s="8" t="str">
        <f>"9780769530277"</f>
        <v>9780769530277</v>
      </c>
      <c r="C17615" s="8" t="s">
        <v>105</v>
      </c>
    </row>
    <row r="17616" spans="1:3" x14ac:dyDescent="0.25">
      <c r="A17616" s="8" t="str">
        <f>"Proceedings of the IEEE/WIC/ACM International Conference on Web Intelligence, WI 2007"</f>
        <v>Proceedings of the IEEE/WIC/ACM International Conference on Web Intelligence, WI 2007</v>
      </c>
      <c r="B17616" s="8" t="str">
        <f>"9780769530260"</f>
        <v>9780769530260</v>
      </c>
      <c r="C17616" s="8" t="s">
        <v>9</v>
      </c>
    </row>
    <row r="17617" spans="1:3" x14ac:dyDescent="0.25">
      <c r="A17617" s="8" t="str">
        <f>"Proceedings of the IEEE-EMBS Special Topic Conference on Molecular, Cellular and Tissue Engineering, MCTE 2002"</f>
        <v>Proceedings of the IEEE-EMBS Special Topic Conference on Molecular, Cellular and Tissue Engineering, MCTE 2002</v>
      </c>
      <c r="B17617" s="8" t="str">
        <f>"9780780375574"</f>
        <v>9780780375574</v>
      </c>
      <c r="C17617" s="8" t="s">
        <v>105</v>
      </c>
    </row>
    <row r="17618" spans="1:3" x14ac:dyDescent="0.25">
      <c r="A17618" s="8" t="s">
        <v>2255</v>
      </c>
      <c r="B17618" s="8" t="str">
        <f>"9781424308521"</f>
        <v>9781424308521</v>
      </c>
      <c r="C17618" s="8" t="s">
        <v>1896</v>
      </c>
    </row>
    <row r="17619" spans="1:3" x14ac:dyDescent="0.25">
      <c r="A17619" s="8" t="str">
        <f>"Proceedings of the ILC Physics Working Group Meetings at KEK in the Period from May 2007 to June 2009"</f>
        <v>Proceedings of the ILC Physics Working Group Meetings at KEK in the Period from May 2007 to June 2009</v>
      </c>
      <c r="B17619" s="8" t="str">
        <f>"-"</f>
        <v>-</v>
      </c>
      <c r="C17619" s="8" t="s">
        <v>259</v>
      </c>
    </row>
    <row r="17620" spans="1:3" x14ac:dyDescent="0.25">
      <c r="A17620" s="8" t="str">
        <f>"Proceedings of the Inaugural IEEE PES 2005 Conference and Exposition in Africa"</f>
        <v>Proceedings of the Inaugural IEEE PES 2005 Conference and Exposition in Africa</v>
      </c>
      <c r="B17620" s="8" t="str">
        <f>"-"</f>
        <v>-</v>
      </c>
      <c r="C17620" s="8" t="s">
        <v>9</v>
      </c>
    </row>
    <row r="17621" spans="1:3" x14ac:dyDescent="0.25">
      <c r="A17621" s="8" t="str">
        <f>"Proceedings of the Inaugural International Conference on Research in Engineering Education, ICREE"</f>
        <v>Proceedings of the Inaugural International Conference on Research in Engineering Education, ICREE</v>
      </c>
      <c r="B17621" s="8" t="str">
        <f>"9780878231935"</f>
        <v>9780878231935</v>
      </c>
      <c r="C17621" s="8" t="s">
        <v>78</v>
      </c>
    </row>
    <row r="17622" spans="1:3" x14ac:dyDescent="0.25">
      <c r="A17622" s="8" t="str">
        <f>"Proceedings of the INDICON 2008 IEEE Conference and Exhibition on Control, Communications and Automation"</f>
        <v>Proceedings of the INDICON 2008 IEEE Conference and Exhibition on Control, Communications and Automation</v>
      </c>
      <c r="B17622" s="8" t="str">
        <f>"9781424427475"</f>
        <v>9781424427475</v>
      </c>
      <c r="C17622" s="8" t="s">
        <v>9</v>
      </c>
    </row>
    <row r="17623" spans="1:3" x14ac:dyDescent="0.25">
      <c r="A17623" s="8" t="str">
        <f>"Proceedings of the INDICON 2008 IEEE Conference and Exhibition on Control, Communications and Automation"</f>
        <v>Proceedings of the INDICON 2008 IEEE Conference and Exhibition on Control, Communications and Automation</v>
      </c>
      <c r="B17623" s="8" t="str">
        <f>"9781424427475"</f>
        <v>9781424427475</v>
      </c>
      <c r="C17623" s="8" t="s">
        <v>9</v>
      </c>
    </row>
    <row r="17624" spans="1:3" x14ac:dyDescent="0.25">
      <c r="A17624" s="8" t="str">
        <f>"Proceedings of the Industrial Track of the 13th ACM/IFIP/USENIX International Middleware Conference, MIDDLEWARE 2012"</f>
        <v>Proceedings of the Industrial Track of the 13th ACM/IFIP/USENIX International Middleware Conference, MIDDLEWARE 2012</v>
      </c>
      <c r="B17624" s="8" t="str">
        <f>"9781450316132"</f>
        <v>9781450316132</v>
      </c>
      <c r="C17624" s="8" t="s">
        <v>21</v>
      </c>
    </row>
    <row r="17625" spans="1:3" x14ac:dyDescent="0.25">
      <c r="A17625" s="8" t="str">
        <f>"Proceedings of the Industrial Track of the 13th ACM/IFIP/USENIX International Middleware Conference, Middleware Industry 2013"</f>
        <v>Proceedings of the Industrial Track of the 13th ACM/IFIP/USENIX International Middleware Conference, Middleware Industry 2013</v>
      </c>
      <c r="B17625" s="8" t="str">
        <f>"9781450325509"</f>
        <v>9781450325509</v>
      </c>
      <c r="C17625" s="8" t="s">
        <v>21</v>
      </c>
    </row>
    <row r="17626" spans="1:3" x14ac:dyDescent="0.25">
      <c r="A17626" s="8" t="str">
        <f>"Proceedings of the Institute of Navigation - 19th International Technical Meeting of the Satellite Division, ION GNSS 2006"</f>
        <v>Proceedings of the Institute of Navigation - 19th International Technical Meeting of the Satellite Division, ION GNSS 2006</v>
      </c>
      <c r="B17626" s="8" t="str">
        <f>"-"</f>
        <v>-</v>
      </c>
      <c r="C17626" s="8" t="s">
        <v>969</v>
      </c>
    </row>
    <row r="17627" spans="1:3" x14ac:dyDescent="0.25">
      <c r="A17627" s="8" t="str">
        <f>"Proceedings of the Intelligent Narrative Technologies III Workshop, INT3 '10"</f>
        <v>Proceedings of the Intelligent Narrative Technologies III Workshop, INT3 '10</v>
      </c>
      <c r="B17627" s="8" t="str">
        <f>"9781450300223"</f>
        <v>9781450300223</v>
      </c>
      <c r="C17627" s="8" t="s">
        <v>21</v>
      </c>
    </row>
    <row r="17628" spans="1:3" x14ac:dyDescent="0.25">
      <c r="A17628" s="8" t="str">
        <f>"Proceedings of the International Baikal Summer School on Physics of Elementary Particles and Astrophysics"</f>
        <v>Proceedings of the International Baikal Summer School on Physics of Elementary Particles and Astrophysics</v>
      </c>
      <c r="B17628" s="8" t="str">
        <f>"-"</f>
        <v>-</v>
      </c>
      <c r="C17628" s="8" t="s">
        <v>2256</v>
      </c>
    </row>
    <row r="17629" spans="1:3" x14ac:dyDescent="0.25">
      <c r="A17629" s="8" t="str">
        <f>"Proceedings of the International Baikal Summer School on Physics of Elementary Particles and Astrophysics 2009"</f>
        <v>Proceedings of the International Baikal Summer School on Physics of Elementary Particles and Astrophysics 2009</v>
      </c>
      <c r="B17629" s="8" t="str">
        <f>"-"</f>
        <v>-</v>
      </c>
      <c r="C17629" s="8" t="s">
        <v>2257</v>
      </c>
    </row>
    <row r="17630" spans="1:3" x14ac:dyDescent="0.25">
      <c r="A17630" s="8" t="str">
        <f>"Proceedings of the International Baikal Summer School on Physics of Elementary Particles and Astrophysics 2010"</f>
        <v>Proceedings of the International Baikal Summer School on Physics of Elementary Particles and Astrophysics 2010</v>
      </c>
      <c r="B17630" s="8" t="str">
        <f>"-"</f>
        <v>-</v>
      </c>
      <c r="C17630" s="8" t="s">
        <v>2257</v>
      </c>
    </row>
    <row r="17631" spans="1:3" x14ac:dyDescent="0.25">
      <c r="A17631" s="8" t="str">
        <f>"Proceedings of the International Colloquium on Stability and Ductility of Steel Structures, SDSS 2006"</f>
        <v>Proceedings of the International Colloquium on Stability and Ductility of Steel Structures, SDSS 2006</v>
      </c>
      <c r="B17631" s="8" t="str">
        <f>"-"</f>
        <v>-</v>
      </c>
      <c r="C17631" s="8" t="s">
        <v>2258</v>
      </c>
    </row>
    <row r="17632" spans="1:3" x14ac:dyDescent="0.25">
      <c r="A17632" s="8" t="str">
        <f>"Proceedings of the International Computer Congress 2004 on Wavelet Analysis and its Applications, and Active Media Technology"</f>
        <v>Proceedings of the International Computer Congress 2004 on Wavelet Analysis and its Applications, and Active Media Technology</v>
      </c>
      <c r="B17632" s="8" t="str">
        <f>"9789812389619"</f>
        <v>9789812389619</v>
      </c>
      <c r="C17632" s="8" t="s">
        <v>157</v>
      </c>
    </row>
    <row r="17633" spans="1:3" x14ac:dyDescent="0.25">
      <c r="A17633" s="8" t="str">
        <f>"Proceedings of the International Conference 'Days on Diffraction' 2006, DD"</f>
        <v>Proceedings of the International Conference 'Days on Diffraction' 2006, DD</v>
      </c>
      <c r="B17633" s="8" t="str">
        <f>"9785965102266"</f>
        <v>9785965102266</v>
      </c>
      <c r="C17633" s="8" t="s">
        <v>9</v>
      </c>
    </row>
    <row r="17634" spans="1:3" x14ac:dyDescent="0.25">
      <c r="A17634" s="8" t="str">
        <f>"Proceedings of the International Conference Days on Diffraction 2007, DD"</f>
        <v>Proceedings of the International Conference Days on Diffraction 2007, DD</v>
      </c>
      <c r="B17634" s="8" t="str">
        <f>"9785965101184"</f>
        <v>9785965101184</v>
      </c>
      <c r="C17634" s="8" t="s">
        <v>9</v>
      </c>
    </row>
    <row r="17635" spans="1:3" x14ac:dyDescent="0.25">
      <c r="A17635" s="8" t="str">
        <f>"Proceedings of the International Conference Days on Diffraction 2011, DD 2011"</f>
        <v>Proceedings of the International Conference Days on Diffraction 2011, DD 2011</v>
      </c>
      <c r="B17635" s="8" t="str">
        <f>"9781457715785"</f>
        <v>9781457715785</v>
      </c>
      <c r="C17635" s="8" t="s">
        <v>9</v>
      </c>
    </row>
    <row r="17636" spans="1:3" x14ac:dyDescent="0.25">
      <c r="A17636" s="8" t="str">
        <f>"Proceedings of the International Conference Days on Diffraction 2013, DD 2013"</f>
        <v>Proceedings of the International Conference Days on Diffraction 2013, DD 2013</v>
      </c>
      <c r="B17636" s="8" t="str">
        <f>"9781479910373"</f>
        <v>9781479910373</v>
      </c>
      <c r="C17636" s="8" t="s">
        <v>9</v>
      </c>
    </row>
    <row r="17637" spans="1:3" x14ac:dyDescent="0.25">
      <c r="A17637" s="8" t="str">
        <f>"Proceedings of the International Conference Days on Diffraction 2014, DD 2014"</f>
        <v>Proceedings of the International Conference Days on Diffraction 2014, DD 2014</v>
      </c>
      <c r="B17637" s="8" t="str">
        <f>"9781479973316"</f>
        <v>9781479973316</v>
      </c>
      <c r="C17637" s="8" t="s">
        <v>105</v>
      </c>
    </row>
    <row r="17638" spans="1:3" x14ac:dyDescent="0.25">
      <c r="A17638" s="8" t="str">
        <f>"Proceedings of the International Conference Days on Diffraction, DD 2009"</f>
        <v>Proceedings of the International Conference Days on Diffraction, DD 2009</v>
      </c>
      <c r="B17638" s="8" t="str">
        <f>"9785965103584"</f>
        <v>9785965103584</v>
      </c>
      <c r="C17638" s="8" t="s">
        <v>9</v>
      </c>
    </row>
    <row r="17639" spans="1:3" x14ac:dyDescent="0.25">
      <c r="A17639" s="8" t="str">
        <f>"Proceedings of the International Conference Days on Diffraction, DD 2010"</f>
        <v>Proceedings of the International Conference Days on Diffraction, DD 2010</v>
      </c>
      <c r="B17639" s="8" t="str">
        <f>"9785965105298"</f>
        <v>9785965105298</v>
      </c>
      <c r="C17639" s="8" t="s">
        <v>9</v>
      </c>
    </row>
    <row r="17640" spans="1:3" x14ac:dyDescent="0.25">
      <c r="A17640" s="8" t="str">
        <f>"Proceedings of the International Conference Days on Diffraction, DD 2012"</f>
        <v>Proceedings of the International Conference Days on Diffraction, DD 2012</v>
      </c>
      <c r="B17640" s="8" t="str">
        <f>"9781467344173"</f>
        <v>9781467344173</v>
      </c>
      <c r="C17640" s="8" t="s">
        <v>9</v>
      </c>
    </row>
    <row r="17641" spans="1:3" x14ac:dyDescent="0.25">
      <c r="A17641" s="8" t="str">
        <f>"Proceedings of the International Conference e-Learning 2013"</f>
        <v>Proceedings of the International Conference e-Learning 2013</v>
      </c>
      <c r="B17641" s="8" t="str">
        <f>"9789728939885"</f>
        <v>9789728939885</v>
      </c>
      <c r="C17641" s="8" t="s">
        <v>1228</v>
      </c>
    </row>
    <row r="17642" spans="1:3" x14ac:dyDescent="0.25">
      <c r="A17642" s="8" t="str">
        <f>"Proceedings of the International Conference e-Learning 2014 - Part of the Multi Conference on Computer Science and Information Systems, MCCSIS 2014"</f>
        <v>Proceedings of the International Conference e-Learning 2014 - Part of the Multi Conference on Computer Science and Information Systems, MCCSIS 2014</v>
      </c>
      <c r="B17642" s="8" t="str">
        <f>"9789898704085"</f>
        <v>9789898704085</v>
      </c>
      <c r="C17642" s="8" t="s">
        <v>1228</v>
      </c>
    </row>
    <row r="17643" spans="1:3" x14ac:dyDescent="0.25">
      <c r="A17643" s="8" t="str">
        <f>"Proceedings of the International Conference in Metal Structures - Steel - A New and Traditional Material for Building"</f>
        <v>Proceedings of the International Conference in Metal Structures - Steel - A New and Traditional Material for Building</v>
      </c>
      <c r="B17643" s="8" t="str">
        <f>"9780415408172"</f>
        <v>9780415408172</v>
      </c>
      <c r="C17643" s="8" t="s">
        <v>1520</v>
      </c>
    </row>
    <row r="17644" spans="1:3" x14ac:dyDescent="0.25">
      <c r="A17644" s="8" t="str">
        <f>"Proceedings of the International Conference in Metal Structures - Steel - A New and Traditional Material for Building"</f>
        <v>Proceedings of the International Conference in Metal Structures - Steel - A New and Traditional Material for Building</v>
      </c>
      <c r="B17644" s="8" t="str">
        <f>"9780415408172"</f>
        <v>9780415408172</v>
      </c>
      <c r="C17644" s="8" t="s">
        <v>1520</v>
      </c>
    </row>
    <row r="17645" spans="1:3" x14ac:dyDescent="0.25">
      <c r="A17645" s="8" t="str">
        <f>"Proceedings of the International Conference of the Biometrics Special Interest Group, BIOSIG 2012"</f>
        <v>Proceedings of the International Conference of the Biometrics Special Interest Group, BIOSIG 2012</v>
      </c>
      <c r="B17645" s="8" t="str">
        <f>"9783885792901"</f>
        <v>9783885792901</v>
      </c>
      <c r="C17645" s="8" t="s">
        <v>9</v>
      </c>
    </row>
    <row r="17646" spans="1:3" x14ac:dyDescent="0.25">
      <c r="A17646" s="8" t="str">
        <f>"Proceedings of the International Conference on Achieving Sustainability in Construction"</f>
        <v>Proceedings of the International Conference on Achieving Sustainability in Construction</v>
      </c>
      <c r="B17646" s="8" t="str">
        <f>"9780727734044"</f>
        <v>9780727734044</v>
      </c>
      <c r="C17646" s="8" t="s">
        <v>74</v>
      </c>
    </row>
    <row r="17647" spans="1:3" x14ac:dyDescent="0.25">
      <c r="A17647" s="8" t="str">
        <f>"Proceedings of the International Conference on Active Media Technology"</f>
        <v>Proceedings of the International Conference on Active Media Technology</v>
      </c>
      <c r="B17647" s="8" t="str">
        <f>"9789812383433"</f>
        <v>9789812383433</v>
      </c>
      <c r="C17647" s="8" t="s">
        <v>157</v>
      </c>
    </row>
    <row r="17648" spans="1:3" x14ac:dyDescent="0.25">
      <c r="A17648" s="8" t="str">
        <f>"Proceedings of the International Conference on Admixtures - Enhancing Concrete Performance"</f>
        <v>Proceedings of the International Conference on Admixtures - Enhancing Concrete Performance</v>
      </c>
      <c r="B17648" s="8" t="str">
        <f>"9780727734075"</f>
        <v>9780727734075</v>
      </c>
      <c r="C17648" s="8" t="s">
        <v>74</v>
      </c>
    </row>
    <row r="17649" spans="1:3" x14ac:dyDescent="0.25">
      <c r="A17649" s="8" t="str">
        <f>"Proceedings of the International Conference on Advanced Geographic Information Systems and Web Services, GEOWS 2009"</f>
        <v>Proceedings of the International Conference on Advanced Geographic Information Systems and Web Services, GEOWS 2009</v>
      </c>
      <c r="B17649" s="8" t="str">
        <f>"9780769535272"</f>
        <v>9780769535272</v>
      </c>
      <c r="C17649" s="8" t="s">
        <v>9</v>
      </c>
    </row>
    <row r="17650" spans="1:3" x14ac:dyDescent="0.25">
      <c r="A17650" s="8" t="s">
        <v>2259</v>
      </c>
      <c r="B17650" s="8" t="str">
        <f>"9781479913794"</f>
        <v>9781479913794</v>
      </c>
      <c r="C17650" s="8" t="s">
        <v>9</v>
      </c>
    </row>
    <row r="17651" spans="1:3" x14ac:dyDescent="0.25">
      <c r="A17651" s="8" t="str">
        <f>"Proceedings of the International Conference on Advances in Computing and Artificial Intelligence, ACAI 2011"</f>
        <v>Proceedings of the International Conference on Advances in Computing and Artificial Intelligence, ACAI 2011</v>
      </c>
      <c r="B17651" s="8" t="str">
        <f>"9781450306355"</f>
        <v>9781450306355</v>
      </c>
      <c r="C17651" s="8" t="s">
        <v>21</v>
      </c>
    </row>
    <row r="17652" spans="1:3" x14ac:dyDescent="0.25">
      <c r="A17652" s="8" t="str">
        <f>"Proceedings of the International Conference on Advances in Computing, Communication and Control, ICAC3'09"</f>
        <v>Proceedings of the International Conference on Advances in Computing, Communication and Control, ICAC3'09</v>
      </c>
      <c r="B17652" s="8" t="str">
        <f>"9781605583518"</f>
        <v>9781605583518</v>
      </c>
      <c r="C17652" s="8" t="s">
        <v>21</v>
      </c>
    </row>
    <row r="17653" spans="1:3" x14ac:dyDescent="0.25">
      <c r="A17653" s="8" t="str">
        <f>"Proceedings of the International Conference on Advances in Surface Treatment: Research and Applications, ASTRA"</f>
        <v>Proceedings of the International Conference on Advances in Surface Treatment: Research and Applications, ASTRA</v>
      </c>
      <c r="B17653" s="8" t="str">
        <f>"-"</f>
        <v>-</v>
      </c>
      <c r="C17653" s="8" t="s">
        <v>2260</v>
      </c>
    </row>
    <row r="17654" spans="1:3" x14ac:dyDescent="0.25">
      <c r="A17654" s="8" t="str">
        <f>"Proceedings of the International Conference on Agile Manufacturing, Advances in Agile Manufacturing, ICAM 2003"</f>
        <v>Proceedings of the International Conference on Agile Manufacturing, Advances in Agile Manufacturing, ICAM 2003</v>
      </c>
      <c r="B17654" s="8" t="str">
        <f>"9787111133957"</f>
        <v>9787111133957</v>
      </c>
      <c r="C17654" s="8" t="s">
        <v>2049</v>
      </c>
    </row>
    <row r="17655" spans="1:3" x14ac:dyDescent="0.25">
      <c r="A17655" s="8" t="str">
        <f>"Proceedings of the International Conference on Application of Codes, Design and Regulations"</f>
        <v>Proceedings of the International Conference on Application of Codes, Design and Regulations</v>
      </c>
      <c r="B17655" s="8" t="str">
        <f>"9780727734037"</f>
        <v>9780727734037</v>
      </c>
      <c r="C17655" s="8" t="s">
        <v>74</v>
      </c>
    </row>
    <row r="17656" spans="1:3" x14ac:dyDescent="0.25">
      <c r="A17656" s="8" t="str">
        <f>"Proceedings of the International Conference on Applications of Nanotechnology in Concrete Design"</f>
        <v>Proceedings of the International Conference on Applications of Nanotechnology in Concrete Design</v>
      </c>
      <c r="B17656" s="8" t="str">
        <f>"9780727734082"</f>
        <v>9780727734082</v>
      </c>
      <c r="C17656" s="8" t="s">
        <v>74</v>
      </c>
    </row>
    <row r="17657" spans="1:3" x14ac:dyDescent="0.25">
      <c r="A17657" s="8" t="str">
        <f>"Proceedings of the International Conference on Artificial Intelligence IC-AI 2003"</f>
        <v>Proceedings of the International Conference on Artificial Intelligence IC-AI 2003</v>
      </c>
      <c r="B17657" s="8" t="str">
        <f>"9781932415124"</f>
        <v>9781932415124</v>
      </c>
      <c r="C17657" s="8" t="s">
        <v>1432</v>
      </c>
    </row>
    <row r="17658" spans="1:3" x14ac:dyDescent="0.25">
      <c r="A17658" s="8" t="str">
        <f>"Proceedings of the International Conference on Artificial Intelligence, IC-AI'04"</f>
        <v>Proceedings of the International Conference on Artificial Intelligence, IC-AI'04</v>
      </c>
      <c r="B17658" s="8" t="str">
        <f>"9781932415339"</f>
        <v>9781932415339</v>
      </c>
      <c r="C17658" s="8" t="s">
        <v>1432</v>
      </c>
    </row>
    <row r="17659" spans="1:3" x14ac:dyDescent="0.25">
      <c r="A17659" s="8" t="str">
        <f>"Proceedings of the International Conference on Asian Language Processing 2014, IALP 2014"</f>
        <v>Proceedings of the International Conference on Asian Language Processing 2014, IALP 2014</v>
      </c>
      <c r="B17659" s="8" t="str">
        <f>"9781479953301"</f>
        <v>9781479953301</v>
      </c>
      <c r="C17659" s="8" t="s">
        <v>105</v>
      </c>
    </row>
    <row r="17660" spans="1:3" x14ac:dyDescent="0.25">
      <c r="A17660" s="8" t="str">
        <f>"Proceedings of the International Conference on Automation Technology for Off-road Equipment, ATOE 2004"</f>
        <v>Proceedings of the International Conference on Automation Technology for Off-road Equipment, ATOE 2004</v>
      </c>
      <c r="B17660" s="8" t="str">
        <f>"9781892769459"</f>
        <v>9781892769459</v>
      </c>
      <c r="C17660" s="8" t="s">
        <v>140</v>
      </c>
    </row>
    <row r="17661" spans="1:3" x14ac:dyDescent="0.25">
      <c r="A17661" s="8" t="str">
        <f>"Proceedings of the International Conference on Cement Combinations for Durable Concrete"</f>
        <v>Proceedings of the International Conference on Cement Combinations for Durable Concrete</v>
      </c>
      <c r="B17661" s="8" t="str">
        <f>"9780727734013"</f>
        <v>9780727734013</v>
      </c>
      <c r="C17661" s="8" t="s">
        <v>74</v>
      </c>
    </row>
    <row r="17662" spans="1:3" x14ac:dyDescent="0.25">
      <c r="A17662" s="8" t="str">
        <f>"Proceedings of the International Conference on Civil Engineering in the Oceans VI"</f>
        <v>Proceedings of the International Conference on Civil Engineering in the Oceans VI</v>
      </c>
      <c r="B17662" s="8" t="str">
        <f>"9780784407752"</f>
        <v>9780784407752</v>
      </c>
      <c r="C17662" s="8" t="s">
        <v>111</v>
      </c>
    </row>
    <row r="17663" spans="1:3" x14ac:dyDescent="0.25">
      <c r="A17663" s="8" t="str">
        <f>"Proceedings of the International Conference on Communications in Computing"</f>
        <v>Proceedings of the International Conference on Communications in Computing</v>
      </c>
      <c r="B17663" s="8" t="str">
        <f>"9781932415063"</f>
        <v>9781932415063</v>
      </c>
      <c r="C17663" s="8" t="s">
        <v>1432</v>
      </c>
    </row>
    <row r="17664" spans="1:3" x14ac:dyDescent="0.25">
      <c r="A17664" s="8" t="str">
        <f>"Proceedings of the International Conference on Communications in Computing, CIC'04"</f>
        <v>Proceedings of the International Conference on Communications in Computing, CIC'04</v>
      </c>
      <c r="B17664" s="8" t="str">
        <f>"9781932415360"</f>
        <v>9781932415360</v>
      </c>
      <c r="C17664" s="8" t="s">
        <v>1432</v>
      </c>
    </row>
    <row r="17665" spans="1:3" x14ac:dyDescent="0.25">
      <c r="A17665" s="8" t="str">
        <f>"Proceedings of the International Conference on Compilers, Architecture and Synthesis for Embedded Systems"</f>
        <v>Proceedings of the International Conference on Compilers, Architecture and Synthesis for Embedded Systems</v>
      </c>
      <c r="B17665" s="8" t="str">
        <f>"9781581133387"</f>
        <v>9781581133387</v>
      </c>
      <c r="C17665" s="8" t="s">
        <v>21</v>
      </c>
    </row>
    <row r="17666" spans="1:3" x14ac:dyDescent="0.25">
      <c r="A17666" s="8" t="str">
        <f>"Proceedings of the International Conference on Complex, Intelligent and Software Intensive Systems, CISIS 2009"</f>
        <v>Proceedings of the International Conference on Complex, Intelligent and Software Intensive Systems, CISIS 2009</v>
      </c>
      <c r="B17666" s="8" t="str">
        <f>"9780769535753"</f>
        <v>9780769535753</v>
      </c>
      <c r="C17666" s="8" t="s">
        <v>9</v>
      </c>
    </row>
    <row r="17667" spans="1:3" x14ac:dyDescent="0.25">
      <c r="A17667" s="8" t="str">
        <f>"Proceedings of the International Conference on Complex, Intelligent and Software Intensive Systems, CISIS 2011"</f>
        <v>Proceedings of the International Conference on Complex, Intelligent and Software Intensive Systems, CISIS 2011</v>
      </c>
      <c r="B17667" s="8" t="str">
        <f>"9780769543734"</f>
        <v>9780769543734</v>
      </c>
      <c r="C17667" s="8" t="s">
        <v>9</v>
      </c>
    </row>
    <row r="17668" spans="1:3" x14ac:dyDescent="0.25">
      <c r="A17668" s="8" t="str">
        <f>"Proceedings of the International Conference on Computational Creativity, ICCC-10"</f>
        <v>Proceedings of the International Conference on Computational Creativity, ICCC-10</v>
      </c>
      <c r="B17668" s="8" t="str">
        <f>"9789899600126"</f>
        <v>9789899600126</v>
      </c>
      <c r="C17668" s="8" t="s">
        <v>2261</v>
      </c>
    </row>
    <row r="17669" spans="1:3" x14ac:dyDescent="0.25">
      <c r="A17669" s="8" t="str">
        <f>"Proceedings of the International Conference on Computer and Communication Engineering 2008, ICCCE08: Global Links for Human Development"</f>
        <v>Proceedings of the International Conference on Computer and Communication Engineering 2008, ICCCE08: Global Links for Human Development</v>
      </c>
      <c r="B17669" s="8" t="str">
        <f>"9781424416929"</f>
        <v>9781424416929</v>
      </c>
      <c r="C17669" s="8" t="s">
        <v>9</v>
      </c>
    </row>
    <row r="17670" spans="1:3" x14ac:dyDescent="0.25">
      <c r="A17670" s="8" t="str">
        <f>"Proceedings of the International Conference on Computer Science and Information Technology, ICCSIT 2008"</f>
        <v>Proceedings of the International Conference on Computer Science and Information Technology, ICCSIT 2008</v>
      </c>
      <c r="B17670" s="8" t="str">
        <f>"9780769533087"</f>
        <v>9780769533087</v>
      </c>
      <c r="C17670" s="8" t="s">
        <v>9</v>
      </c>
    </row>
    <row r="17671" spans="1:3" x14ac:dyDescent="0.25">
      <c r="A17671" s="8" t="str">
        <f>"Proceedings of the International Conference on Computer Supported Cooperative Work in Design"</f>
        <v>Proceedings of the International Conference on Computer Supported Cooperative Work in Design</v>
      </c>
      <c r="B17671" s="8" t="str">
        <f>"9780660184937"</f>
        <v>9780660184937</v>
      </c>
      <c r="C17671" s="8" t="s">
        <v>2262</v>
      </c>
    </row>
    <row r="17672" spans="1:3" x14ac:dyDescent="0.25">
      <c r="A17672" s="8" t="str">
        <f>"Proceedings of the International Conference on Computer Supported Cooperative Work in Design"</f>
        <v>Proceedings of the International Conference on Computer Supported Cooperative Work in Design</v>
      </c>
      <c r="B17672" s="8" t="str">
        <f>"9788528500509"</f>
        <v>9788528500509</v>
      </c>
      <c r="C17672" s="8" t="s">
        <v>105</v>
      </c>
    </row>
    <row r="17673" spans="1:3" x14ac:dyDescent="0.25">
      <c r="A17673" s="8" t="str">
        <f>"Proceedings of the International Conference on Concrete for Transportation Infrastructure"</f>
        <v>Proceedings of the International Conference on Concrete for Transportation Infrastructure</v>
      </c>
      <c r="B17673" s="8" t="str">
        <f>"9780727734020"</f>
        <v>9780727734020</v>
      </c>
      <c r="C17673" s="8" t="s">
        <v>74</v>
      </c>
    </row>
    <row r="17674" spans="1:3" x14ac:dyDescent="0.25">
      <c r="A17674" s="8" t="str">
        <f>"Proceedings of the International Conference on Dependable Systems and Networks"</f>
        <v>Proceedings of the International Conference on Dependable Systems and Networks</v>
      </c>
      <c r="B17674" s="8" t="str">
        <f>"9780769511016"</f>
        <v>9780769511016</v>
      </c>
      <c r="C17674" s="8" t="s">
        <v>9</v>
      </c>
    </row>
    <row r="17675" spans="1:3" x14ac:dyDescent="0.25">
      <c r="A17675" s="8" t="str">
        <f>"Proceedings of the International Conference on Designing Pleasurable Products and Interfaces"</f>
        <v>Proceedings of the International Conference on Designing Pleasurable Products and Interfaces</v>
      </c>
      <c r="B17675" s="8" t="str">
        <f>"9781581136524"</f>
        <v>9781581136524</v>
      </c>
      <c r="C17675" s="8" t="s">
        <v>21</v>
      </c>
    </row>
    <row r="17676" spans="1:3" x14ac:dyDescent="0.25">
      <c r="A17676" s="8" t="str">
        <f>"Proceedings of the International Conference on E-Business and E-Government, ICEE 2010"</f>
        <v>Proceedings of the International Conference on E-Business and E-Government, ICEE 2010</v>
      </c>
      <c r="B17676" s="8" t="str">
        <f>"9780769539973"</f>
        <v>9780769539973</v>
      </c>
      <c r="C17676" s="8" t="s">
        <v>9</v>
      </c>
    </row>
    <row r="17677" spans="1:3" x14ac:dyDescent="0.25">
      <c r="A17677" s="8" t="str">
        <f>"Proceedings of The International Conference on Embedded Software and Systems, ICESS 2008"</f>
        <v>Proceedings of The International Conference on Embedded Software and Systems, ICESS 2008</v>
      </c>
      <c r="B17677" s="8" t="str">
        <f>"9780769532875"</f>
        <v>9780769532875</v>
      </c>
      <c r="C17677" s="8" t="s">
        <v>9</v>
      </c>
    </row>
    <row r="17678" spans="1:3" x14ac:dyDescent="0.25">
      <c r="A17678" s="8" t="str">
        <f>"Proceedings of the International Conference on Embedded Systems and Applications"</f>
        <v>Proceedings of the International Conference on Embedded Systems and Applications</v>
      </c>
      <c r="B17678" s="8" t="str">
        <f>"9781932415155"</f>
        <v>9781932415155</v>
      </c>
      <c r="C17678" s="8" t="s">
        <v>1432</v>
      </c>
    </row>
    <row r="17679" spans="1:3" x14ac:dyDescent="0.25">
      <c r="A17679" s="8" t="str">
        <f>"Proceedings of the International Conference on Embedded Systems and Applications ESA'04 - Proceedings of the International Conference on VLSI, VLSI'04"</f>
        <v>Proceedings of the International Conference on Embedded Systems and Applications ESA'04 - Proceedings of the International Conference on VLSI, VLSI'04</v>
      </c>
      <c r="B17679" s="8" t="str">
        <f>"9781932415414"</f>
        <v>9781932415414</v>
      </c>
      <c r="C17679" s="8" t="s">
        <v>1432</v>
      </c>
    </row>
    <row r="17680" spans="1:3" x14ac:dyDescent="0.25">
      <c r="A17680" s="8" t="str">
        <f>"Proceedings of the International Conference on Energy and Environment Technologies and EquipmProceedings of the International Conference on Energy and Environment Technologies and Equipment, EEETE '10"</f>
        <v>Proceedings of the International Conference on Energy and Environment Technologies and EquipmProceedings of the International Conference on Energy and Environment Technologies and Equipment, EEETE '10</v>
      </c>
      <c r="B17680" s="8" t="str">
        <f>"9789604741816"</f>
        <v>9789604741816</v>
      </c>
      <c r="C17680" s="8" t="s">
        <v>553</v>
      </c>
    </row>
    <row r="17681" spans="1:3" x14ac:dyDescent="0.25">
      <c r="A17681" s="8" t="str">
        <f>"Proceedings of the International Conference on Energy and Sustainable Development: Issues and Strategies, ESD 2010"</f>
        <v>Proceedings of the International Conference on Energy and Sustainable Development: Issues and Strategies, ESD 2010</v>
      </c>
      <c r="B17681" s="8" t="str">
        <f>"9789748257747"</f>
        <v>9789748257747</v>
      </c>
      <c r="C17681" s="8" t="s">
        <v>9</v>
      </c>
    </row>
    <row r="17682" spans="1:3" x14ac:dyDescent="0.25">
      <c r="A17682" s="8" t="str">
        <f>"Proceedings of the International Conference on Energy Conversion and Application (ICECA'2001)"</f>
        <v>Proceedings of the International Conference on Energy Conversion and Application (ICECA'2001)</v>
      </c>
      <c r="B17682" s="8" t="str">
        <f>"9787560924205"</f>
        <v>9787560924205</v>
      </c>
      <c r="C17682" s="8" t="s">
        <v>44</v>
      </c>
    </row>
    <row r="17683" spans="1:3" x14ac:dyDescent="0.25">
      <c r="A17683" s="8" t="str">
        <f>"Proceedings of the International Conference on Energy Conversion and Application (ICECA'2001)"</f>
        <v>Proceedings of the International Conference on Energy Conversion and Application (ICECA'2001)</v>
      </c>
      <c r="B17683" s="8" t="str">
        <f>"9787560924205"</f>
        <v>9787560924205</v>
      </c>
      <c r="C17683" s="8" t="s">
        <v>44</v>
      </c>
    </row>
    <row r="17684" spans="1:3" x14ac:dyDescent="0.25">
      <c r="A17684" s="8" t="str">
        <f>"Proceedings of the International Conference on Engineering of Reconfigurable Systems and Algorithms"</f>
        <v>Proceedings of the International Conference on Engineering of Reconfigurable Systems and Algorithms</v>
      </c>
      <c r="B17684" s="8" t="str">
        <f>"9781932415056"</f>
        <v>9781932415056</v>
      </c>
      <c r="C17684" s="8" t="s">
        <v>1432</v>
      </c>
    </row>
    <row r="17685" spans="1:3" x14ac:dyDescent="0.25">
      <c r="A17685" s="8" t="str">
        <f>"Proceedings of the International Conference on Engineering of Reconfigurable Systems and Algorithms, ERSA'04"</f>
        <v>Proceedings of the International Conference on Engineering of Reconfigurable Systems and Algorithms, ERSA'04</v>
      </c>
      <c r="B17685" s="8" t="str">
        <f>"9781932415421"</f>
        <v>9781932415421</v>
      </c>
      <c r="C17685" s="8" t="s">
        <v>1432</v>
      </c>
    </row>
    <row r="17686" spans="1:3" x14ac:dyDescent="0.25">
      <c r="A17686" s="8" t="str">
        <f>"Proceedings of the International Conference on Fluidized Bed Combustion"</f>
        <v>Proceedings of the International Conference on Fluidized Bed Combustion</v>
      </c>
      <c r="B17686" s="8" t="str">
        <f>"9780791836804"</f>
        <v>9780791836804</v>
      </c>
      <c r="C17686" s="8" t="s">
        <v>73</v>
      </c>
    </row>
    <row r="17687" spans="1:3" x14ac:dyDescent="0.25">
      <c r="A17687" s="8" t="str">
        <f>"Proceedings of the International Conference on Fluvial Hydraulics - River Flow 2006"</f>
        <v>Proceedings of the International Conference on Fluvial Hydraulics - River Flow 2006</v>
      </c>
      <c r="B17687" s="8" t="str">
        <f>"9780415408158"</f>
        <v>9780415408158</v>
      </c>
      <c r="C17687" s="8" t="s">
        <v>1520</v>
      </c>
    </row>
    <row r="17688" spans="1:3" x14ac:dyDescent="0.25">
      <c r="A17688" s="8" t="str">
        <f>"Proceedings of the International Conference on Fluvial Hydraulics - River Flow 2006"</f>
        <v>Proceedings of the International Conference on Fluvial Hydraulics - River Flow 2006</v>
      </c>
      <c r="B17688" s="8" t="str">
        <f>"9780415408158"</f>
        <v>9780415408158</v>
      </c>
      <c r="C17688" s="8" t="s">
        <v>1520</v>
      </c>
    </row>
    <row r="17689" spans="1:3" x14ac:dyDescent="0.25">
      <c r="A17689" s="8" t="str">
        <f>"Proceedings of the International Conference on Fluvial Hydraulics - River Flow 2006"</f>
        <v>Proceedings of the International Conference on Fluvial Hydraulics - River Flow 2006</v>
      </c>
      <c r="B17689" s="8" t="str">
        <f>"9780415408158"</f>
        <v>9780415408158</v>
      </c>
      <c r="C17689" s="8" t="s">
        <v>1520</v>
      </c>
    </row>
    <row r="17690" spans="1:3" x14ac:dyDescent="0.25">
      <c r="A17690" s="8" t="str">
        <f>"Proceedings of the International Conference on Frontiers in Automobile and Mechanical Engineering - 2010, FAME-2010"</f>
        <v>Proceedings of the International Conference on Frontiers in Automobile and Mechanical Engineering - 2010, FAME-2010</v>
      </c>
      <c r="B17690" s="8" t="str">
        <f>"9781424490820"</f>
        <v>9781424490820</v>
      </c>
      <c r="C17690" s="8" t="s">
        <v>9</v>
      </c>
    </row>
    <row r="17691" spans="1:3" x14ac:dyDescent="0.25">
      <c r="A17691" s="8" t="str">
        <f>"Proceedings of the International Conference on Green Technology and Environmental Conservation, GTEC-2011"</f>
        <v>Proceedings of the International Conference on Green Technology and Environmental Conservation, GTEC-2011</v>
      </c>
      <c r="B17691" s="8" t="str">
        <f>"9781467301787"</f>
        <v>9781467301787</v>
      </c>
      <c r="C17691" s="8" t="s">
        <v>9</v>
      </c>
    </row>
    <row r="17692" spans="1:3" x14ac:dyDescent="0.25">
      <c r="A17692" s="8" t="str">
        <f>"Proceedings of the International Conference on Heritage, Weathering and Conservation, HWC 2006"</f>
        <v>Proceedings of the International Conference on Heritage, Weathering and Conservation, HWC 2006</v>
      </c>
      <c r="B17692" s="8" t="str">
        <f>"9780415412728"</f>
        <v>9780415412728</v>
      </c>
      <c r="C17692" s="8" t="s">
        <v>1520</v>
      </c>
    </row>
    <row r="17693" spans="1:3" x14ac:dyDescent="0.25">
      <c r="A17693" s="8" t="str">
        <f>"Proceedings of the International Conference on Heritage, Weathering and Conservation, HWC 2006"</f>
        <v>Proceedings of the International Conference on Heritage, Weathering and Conservation, HWC 2006</v>
      </c>
      <c r="B17693" s="8" t="str">
        <f>"9780415412728"</f>
        <v>9780415412728</v>
      </c>
      <c r="C17693" s="8" t="s">
        <v>1520</v>
      </c>
    </row>
    <row r="17694" spans="1:3" x14ac:dyDescent="0.25">
      <c r="A17694" s="8" t="str">
        <f>"Proceedings of the International Conference on Heritage, Weathering and Conservation, HWC-2006"</f>
        <v>Proceedings of the International Conference on Heritage, Weathering and Conservation, HWC-2006</v>
      </c>
      <c r="B17694" s="8" t="str">
        <f>"9780415412728"</f>
        <v>9780415412728</v>
      </c>
      <c r="C17694" s="8" t="s">
        <v>1520</v>
      </c>
    </row>
    <row r="17695" spans="1:3" x14ac:dyDescent="0.25">
      <c r="A17695" s="8" t="str">
        <f>"Proceedings of the International Conference on Imaging Science, Systems and Technology, CISST"</f>
        <v>Proceedings of the International Conference on Imaging Science, Systems and Technology, CISST</v>
      </c>
      <c r="B17695" s="8" t="str">
        <f>"-"</f>
        <v>-</v>
      </c>
      <c r="C17695" s="8" t="s">
        <v>1432</v>
      </c>
    </row>
    <row r="17696" spans="1:3" x14ac:dyDescent="0.25">
      <c r="A17696" s="8" t="str">
        <f>"Proceedings of the International Conference on Imaging Science, Systems and Technology, CISST'04"</f>
        <v>Proceedings of the International Conference on Imaging Science, Systems and Technology, CISST'04</v>
      </c>
      <c r="B17696" s="8" t="str">
        <f>"9781932415353"</f>
        <v>9781932415353</v>
      </c>
      <c r="C17696" s="8" t="s">
        <v>1432</v>
      </c>
    </row>
    <row r="17697" spans="1:3" x14ac:dyDescent="0.25">
      <c r="A17697" s="8" t="str">
        <f>"Proceedings of the International Conference on Information and Knowledge Engineering"</f>
        <v>Proceedings of the International Conference on Information and Knowledge Engineering</v>
      </c>
      <c r="B17697" s="8" t="str">
        <f>"9781932415070"</f>
        <v>9781932415070</v>
      </c>
      <c r="C17697" s="8" t="s">
        <v>1432</v>
      </c>
    </row>
    <row r="17698" spans="1:3" x14ac:dyDescent="0.25">
      <c r="A17698" s="8" t="str">
        <f>"Proceedings of the International Conference on Information and Knowledge Engineering , IKE'04"</f>
        <v>Proceedings of the International Conference on Information and Knowledge Engineering , IKE'04</v>
      </c>
      <c r="B17698" s="8" t="str">
        <f>"9781932415278"</f>
        <v>9781932415278</v>
      </c>
      <c r="C17698" s="8" t="s">
        <v>1432</v>
      </c>
    </row>
    <row r="17699" spans="1:3" x14ac:dyDescent="0.25">
      <c r="A17699" s="8" t="str">
        <f>"Proceedings of the International Conference on Information ManagementProceedings of the International Conference on Information Management, Innovation Management and Industrial Engineering, ICIII 2008"</f>
        <v>Proceedings of the International Conference on Information ManagementProceedings of the International Conference on Information Management, Innovation Management and Industrial Engineering, ICIII 2008</v>
      </c>
      <c r="B17699" s="8" t="str">
        <f>"9780769534350"</f>
        <v>9780769534350</v>
      </c>
      <c r="C17699" s="8" t="s">
        <v>9</v>
      </c>
    </row>
    <row r="17700" spans="1:3" x14ac:dyDescent="0.25">
      <c r="A17700" s="8" t="str">
        <f>"Proceedings of the International Conference on Information Science and Security, ICISS 2008"</f>
        <v>Proceedings of the International Conference on Information Science and Security, ICISS 2008</v>
      </c>
      <c r="B17700" s="8" t="str">
        <f>"9780769530802"</f>
        <v>9780769530802</v>
      </c>
      <c r="C17700" s="8" t="s">
        <v>9</v>
      </c>
    </row>
    <row r="17701" spans="1:3" x14ac:dyDescent="0.25">
      <c r="A17701" s="8" t="str">
        <f>"Proceedings of the International Conference on Innovation, Good Practice and Research in Engineering Education 2006, EE 2006"</f>
        <v>Proceedings of the International Conference on Innovation, Good Practice and Research in Engineering Education 2006, EE 2006</v>
      </c>
      <c r="B17701" s="8" t="str">
        <f>"9781905788118"</f>
        <v>9781905788118</v>
      </c>
      <c r="C17701" s="8" t="s">
        <v>377</v>
      </c>
    </row>
    <row r="17702" spans="1:3" x14ac:dyDescent="0.25">
      <c r="A17702" s="8" t="str">
        <f>"Proceedings of the International Conference on Innovative Applications of Computational Intelligence on Power, Energy and Controls with Their Impact on Humanity, CIPECH 2014"</f>
        <v>Proceedings of the International Conference on Innovative Applications of Computational Intelligence on Power, Energy and Controls with Their Impact on Humanity, CIPECH 2014</v>
      </c>
      <c r="B17702" s="8" t="str">
        <f>"9781479958719"</f>
        <v>9781479958719</v>
      </c>
      <c r="C17702" s="8" t="s">
        <v>105</v>
      </c>
    </row>
    <row r="17703" spans="1:3" x14ac:dyDescent="0.25">
      <c r="A17703" s="8" t="str">
        <f>"Proceedings of the International Conference on Insulation Condition Monitoring of Electrical Plant"</f>
        <v>Proceedings of the International Conference on Insulation Condition Monitoring of Electrical Plant</v>
      </c>
      <c r="B17703" s="8" t="str">
        <f>"-"</f>
        <v>-</v>
      </c>
      <c r="C17703" s="8" t="s">
        <v>2263</v>
      </c>
    </row>
    <row r="17704" spans="1:3" x14ac:dyDescent="0.25">
      <c r="A17704" s="8" t="str">
        <f>"Proceedings of the International Conference on Integration and Commercialization of Micro and Nanosystems 2007"</f>
        <v>Proceedings of the International Conference on Integration and Commercialization of Micro and Nanosystems 2007</v>
      </c>
      <c r="B17704" s="8" t="str">
        <f>"9780791842652"</f>
        <v>9780791842652</v>
      </c>
      <c r="C17704" s="8" t="s">
        <v>73</v>
      </c>
    </row>
    <row r="17705" spans="1:3" x14ac:dyDescent="0.25">
      <c r="A17705" s="8" t="str">
        <f>"Proceedings of the International Conference on Internet Computing"</f>
        <v>Proceedings of the International Conference on Internet Computing</v>
      </c>
      <c r="B17705" s="8" t="str">
        <f>"-"</f>
        <v>-</v>
      </c>
      <c r="C17705" s="8" t="s">
        <v>1432</v>
      </c>
    </row>
    <row r="17706" spans="1:3" x14ac:dyDescent="0.25">
      <c r="A17706" s="8" t="str">
        <f>"Proceedings of the International Conference on Internet Computing, IC'04"</f>
        <v>Proceedings of the International Conference on Internet Computing, IC'04</v>
      </c>
      <c r="B17706" s="8" t="str">
        <f>"-"</f>
        <v>-</v>
      </c>
      <c r="C17706" s="8" t="s">
        <v>1432</v>
      </c>
    </row>
    <row r="17707" spans="1:3" x14ac:dyDescent="0.25">
      <c r="A17707" s="8" t="str">
        <f>"Proceedings of the International Conference on Machine Learning; Models, Technologies and Applications"</f>
        <v>Proceedings of the International Conference on Machine Learning; Models, Technologies and Applications</v>
      </c>
      <c r="B17707" s="8" t="str">
        <f>"9781932415117"</f>
        <v>9781932415117</v>
      </c>
      <c r="C17707" s="8" t="s">
        <v>1432</v>
      </c>
    </row>
    <row r="17708" spans="1:3" x14ac:dyDescent="0.25">
      <c r="A17708" s="8" t="str">
        <f>"Proceedings of the International Conference on Management of Emergent Digital EcoSystems, MEDES '09"</f>
        <v>Proceedings of the International Conference on Management of Emergent Digital EcoSystems, MEDES '09</v>
      </c>
      <c r="B17708" s="8" t="str">
        <f>"9781605588292"</f>
        <v>9781605588292</v>
      </c>
      <c r="C17708" s="8" t="s">
        <v>21</v>
      </c>
    </row>
    <row r="17709" spans="1:3" x14ac:dyDescent="0.25">
      <c r="A17709" s="8" t="str">
        <f>"Proceedings of the International Conference on Management of Emergent Digital EcoSystems, MEDES 2012"</f>
        <v>Proceedings of the International Conference on Management of Emergent Digital EcoSystems, MEDES 2012</v>
      </c>
      <c r="B17709" s="8" t="str">
        <f>"9781450317559"</f>
        <v>9781450317559</v>
      </c>
      <c r="C17709" s="8" t="s">
        <v>21</v>
      </c>
    </row>
    <row r="17710" spans="1:3" x14ac:dyDescent="0.25">
      <c r="A17710" s="8" t="str">
        <f>"Proceedings of the International Conference on Management of Emergent Digital EcoSystems, MEDES'10"</f>
        <v>Proceedings of the International Conference on Management of Emergent Digital EcoSystems, MEDES'10</v>
      </c>
      <c r="B17710" s="8" t="str">
        <f>"9781450300476"</f>
        <v>9781450300476</v>
      </c>
      <c r="C17710" s="8" t="s">
        <v>21</v>
      </c>
    </row>
    <row r="17711" spans="1:3" x14ac:dyDescent="0.25">
      <c r="A17711" s="8" t="str">
        <f>"Proceedings of the International Conference on Management of Emergent Digital EcoSystems, MEDES'11"</f>
        <v>Proceedings of the International Conference on Management of Emergent Digital EcoSystems, MEDES'11</v>
      </c>
      <c r="B17711" s="8" t="str">
        <f>"9781450310475"</f>
        <v>9781450310475</v>
      </c>
      <c r="C17711" s="8" t="s">
        <v>21</v>
      </c>
    </row>
    <row r="17712" spans="1:3" x14ac:dyDescent="0.25">
      <c r="A17712" s="8" t="str">
        <f>"Proceedings of the International Conference on Manufacturing Science and Engineering"</f>
        <v>Proceedings of the International Conference on Manufacturing Science and Engineering</v>
      </c>
      <c r="B17712" s="8" t="str">
        <f>"-"</f>
        <v>-</v>
      </c>
      <c r="C17712" s="8" t="s">
        <v>1308</v>
      </c>
    </row>
    <row r="17713" spans="1:3" x14ac:dyDescent="0.25">
      <c r="A17713" s="8" t="str">
        <f>"Proceedings of the International Conference on Martensitic Transformations, ICOMAT-08"</f>
        <v>Proceedings of the International Conference on Martensitic Transformations, ICOMAT-08</v>
      </c>
      <c r="B17713" s="8" t="str">
        <f>"9780873397452"</f>
        <v>9780873397452</v>
      </c>
      <c r="C17713" s="8" t="s">
        <v>1844</v>
      </c>
    </row>
    <row r="17714" spans="1:3" x14ac:dyDescent="0.25">
      <c r="A17714" s="8" t="str">
        <f>"Proceedings of the International Conference on Mathematics and Engineering Techniques in Medicine and Biological Sciences"</f>
        <v>Proceedings of the International Conference on Mathematics and Engineering Techniques in Medicine and Biological Sciences</v>
      </c>
      <c r="B17714" s="8" t="str">
        <f>"9781932415049"</f>
        <v>9781932415049</v>
      </c>
      <c r="C17714" s="8" t="s">
        <v>1432</v>
      </c>
    </row>
    <row r="17715" spans="1:3" x14ac:dyDescent="0.25">
      <c r="A17715" s="8" t="str">
        <f>"Proceedings of the International Conference on Mathematics and Engineering Techniques in Medicine and Biological Sciences, METMBS'04"</f>
        <v>Proceedings of the International Conference on Mathematics and Engineering Techniques in Medicine and Biological Sciences, METMBS'04</v>
      </c>
      <c r="B17715" s="8" t="str">
        <f>"9781932415438"</f>
        <v>9781932415438</v>
      </c>
      <c r="C17715" s="8" t="s">
        <v>1432</v>
      </c>
    </row>
    <row r="17716" spans="1:3" x14ac:dyDescent="0.25">
      <c r="A17716" s="8" t="str">
        <f>"Proceedings of the International Conference on Mechanical Transmissions (ICMT 2001)"</f>
        <v>Proceedings of the International Conference on Mechanical Transmissions (ICMT 2001)</v>
      </c>
      <c r="B17716" s="8" t="str">
        <f>"9787900066145"</f>
        <v>9787900066145</v>
      </c>
      <c r="C17716" s="8" t="s">
        <v>330</v>
      </c>
    </row>
    <row r="17717" spans="1:3" x14ac:dyDescent="0.25">
      <c r="A17717" s="8" t="str">
        <f>"Proceedings of the International Conference on Mixed Design of Integrated Circuits and Systems, MIXDES 2006"</f>
        <v>Proceedings of the International Conference on Mixed Design of Integrated Circuits and Systems, MIXDES 2006</v>
      </c>
      <c r="B17717" s="8" t="str">
        <f>"9788392263210"</f>
        <v>9788392263210</v>
      </c>
      <c r="C17717" s="8" t="s">
        <v>9</v>
      </c>
    </row>
    <row r="17718" spans="1:3" x14ac:dyDescent="0.25">
      <c r="A17718" s="8" t="str">
        <f>"Proceedings of the International Conference on Mobile Technology, Applications, and Systems, Mobility'08"</f>
        <v>Proceedings of the International Conference on Mobile Technology, Applications, and Systems, Mobility'08</v>
      </c>
      <c r="B17718" s="8" t="str">
        <f>"9781605580890"</f>
        <v>9781605580890</v>
      </c>
      <c r="C17718" s="8" t="s">
        <v>21</v>
      </c>
    </row>
    <row r="17719" spans="1:3" x14ac:dyDescent="0.25">
      <c r="A17719" s="8" t="str">
        <f>"Proceedings of the International Conference on Modeling, Simulation and Visualization Methods, MSV'04 and Proceedings of the Int. Conference on Algorithmic Mathematics and Comput. Sci., AMCS'04"</f>
        <v>Proceedings of the International Conference on Modeling, Simulation and Visualization Methods, MSV'04 and Proceedings of the Int. Conference on Algorithmic Mathematics and Comput. Sci., AMCS'04</v>
      </c>
      <c r="B17719" s="8" t="str">
        <f>"9781932415346"</f>
        <v>9781932415346</v>
      </c>
      <c r="C17719" s="8" t="s">
        <v>1432</v>
      </c>
    </row>
    <row r="17720" spans="1:3" x14ac:dyDescent="0.25">
      <c r="A17720" s="8" t="s">
        <v>2264</v>
      </c>
      <c r="B17720" s="8" t="str">
        <f>"9781467300742"</f>
        <v>9781467300742</v>
      </c>
      <c r="C17720" s="8" t="s">
        <v>105</v>
      </c>
    </row>
    <row r="17721" spans="1:3" x14ac:dyDescent="0.25">
      <c r="A17721" s="8" t="str">
        <f>"Proceedings of the International Conference on Nanoscience, Engineering and Technology, ICONSET 2011"</f>
        <v>Proceedings of the International Conference on Nanoscience, Engineering and Technology, ICONSET 2011</v>
      </c>
      <c r="B17721" s="8" t="str">
        <f>"9781467300742"</f>
        <v>9781467300742</v>
      </c>
      <c r="C17721" s="8" t="s">
        <v>9</v>
      </c>
    </row>
    <row r="17722" spans="1:3" x14ac:dyDescent="0.25">
      <c r="A17722" s="8" t="str">
        <f>"Proceedings of the International Conference on Networking, International Conference on Systems and International Conference on Mobile Communications and Learning Technologies, ICN/ICONS/MCL'06"</f>
        <v>Proceedings of the International Conference on Networking, International Conference on Systems and International Conference on Mobile Communications and Learning Technologies, ICN/ICONS/MCL'06</v>
      </c>
      <c r="B17722" s="8" t="str">
        <f>"-"</f>
        <v>-</v>
      </c>
      <c r="C17722" s="8" t="s">
        <v>9</v>
      </c>
    </row>
    <row r="17723" spans="1:3" x14ac:dyDescent="0.25">
      <c r="A17723" s="8" t="str">
        <f>"Proceedings of the International Conference on Next Generation Web Services Practices - NWeSP 2006"</f>
        <v>Proceedings of the International Conference on Next Generation Web Services Practices - NWeSP 2006</v>
      </c>
      <c r="B17723" s="8" t="str">
        <f>"9780769526645"</f>
        <v>9780769526645</v>
      </c>
      <c r="C17723" s="8" t="s">
        <v>9</v>
      </c>
    </row>
    <row r="17724" spans="1:3" x14ac:dyDescent="0.25">
      <c r="A17724" s="8" t="str">
        <f>"Proceedings of the International Conference on Nuclear Engineering (ICONE12)"</f>
        <v>Proceedings of the International Conference on Nuclear Engineering (ICONE12)</v>
      </c>
      <c r="B17724" s="8" t="str">
        <f>"-"</f>
        <v>-</v>
      </c>
      <c r="C17724" s="8" t="s">
        <v>1308</v>
      </c>
    </row>
    <row r="17725" spans="1:3" x14ac:dyDescent="0.25">
      <c r="A17725" s="8" t="str">
        <f>"Proceedings of the International Conference on Numerical Simulation of Construction Processes in Geotechnical Engineering for Urban Environment"</f>
        <v>Proceedings of the International Conference on Numerical Simulation of Construction Processes in Geotechnical Engineering for Urban Environment</v>
      </c>
      <c r="B17725" s="8" t="str">
        <f>"9780415397483"</f>
        <v>9780415397483</v>
      </c>
      <c r="C17725" s="8" t="s">
        <v>1650</v>
      </c>
    </row>
    <row r="17726" spans="1:3" x14ac:dyDescent="0.25">
      <c r="A17726" s="8" t="str">
        <f>"Proceedings of the International Conference on Optimisation of Electrical and Electronic Equipment, OPTIM"</f>
        <v>Proceedings of the International Conference on Optimisation of Electrical and Electronic Equipment, OPTIM</v>
      </c>
      <c r="B17726" s="8" t="str">
        <f>"9781424470198"</f>
        <v>9781424470198</v>
      </c>
      <c r="C17726" s="8" t="s">
        <v>9</v>
      </c>
    </row>
    <row r="17727" spans="1:3" x14ac:dyDescent="0.25">
      <c r="A17727" s="8" t="str">
        <f>"Proceedings of the International Conference on Parallel and Distributed Processing Techniques and Applications"</f>
        <v>Proceedings of the International Conference on Parallel and Distributed Processing Techniques and Applications</v>
      </c>
      <c r="B17727" s="8" t="str">
        <f>"9781892512413"</f>
        <v>9781892512413</v>
      </c>
      <c r="C17727" s="8" t="s">
        <v>1432</v>
      </c>
    </row>
    <row r="17728" spans="1:3" x14ac:dyDescent="0.25">
      <c r="A17728" s="8" t="str">
        <f>"Proceedings of the International Conference on Parallel and Distributed Processing Techniques and Applications, PDPTA'04"</f>
        <v>Proceedings of the International Conference on Parallel and Distributed Processing Techniques and Applications, PDPTA'04</v>
      </c>
      <c r="B17728" s="8" t="str">
        <f>"9781932415261"</f>
        <v>9781932415261</v>
      </c>
      <c r="C17728" s="8" t="s">
        <v>1432</v>
      </c>
    </row>
    <row r="17729" spans="1:3" x14ac:dyDescent="0.25">
      <c r="A17729" s="8" t="str">
        <f>"Proceedings of the International Conference on Pervasive Services, ICPS 2008 2nd International Workshop on Agent-Oriented Software"</f>
        <v>Proceedings of the International Conference on Pervasive Services, ICPS 2008 2nd International Workshop on Agent-Oriented Software</v>
      </c>
      <c r="B17729" s="8" t="str">
        <f>"9781605582061"</f>
        <v>9781605582061</v>
      </c>
      <c r="C17729" s="8" t="s">
        <v>21</v>
      </c>
    </row>
    <row r="17730" spans="1:3" x14ac:dyDescent="0.25">
      <c r="A17730" s="8" t="str">
        <f>"Proceedings of the International Conference on Pervasive Services, ICPS 2008 3rd ACM Workshop on Software Engineering for Pervasive Services, SEPS'08"</f>
        <v>Proceedings of the International Conference on Pervasive Services, ICPS 2008 3rd ACM Workshop on Software Engineering for Pervasive Services, SEPS'08</v>
      </c>
      <c r="B17730" s="8" t="str">
        <f>"9781605582146"</f>
        <v>9781605582146</v>
      </c>
      <c r="C17730" s="8" t="s">
        <v>21</v>
      </c>
    </row>
    <row r="17731" spans="1:3" x14ac:dyDescent="0.25">
      <c r="A17731" s="8" t="str">
        <f>"Proceedings of the International Conference on Pervasive Services, ICPS 2008 3rd International Workshop on Services Integration in Pervasive Environments, SIPE'08"</f>
        <v>Proceedings of the International Conference on Pervasive Services, ICPS 2008 3rd International Workshop on Services Integration in Pervasive Environments, SIPE'08</v>
      </c>
      <c r="B17731" s="8" t="str">
        <f>"9781605582085"</f>
        <v>9781605582085</v>
      </c>
      <c r="C17731" s="8" t="s">
        <v>21</v>
      </c>
    </row>
    <row r="17732" spans="1:3" x14ac:dyDescent="0.25">
      <c r="A17732" s="8" t="str">
        <f>"Proceedings of the International Conference on Pervasive Services, ICPS 2008 4th International Workshop on Security, Privacy and Trust in Pervasive and Ubiquitous Computing, SecPerU'08"</f>
        <v>Proceedings of the International Conference on Pervasive Services, ICPS 2008 4th International Workshop on Security, Privacy and Trust in Pervasive and Ubiquitous Computing, SecPerU'08</v>
      </c>
      <c r="B17732" s="8" t="str">
        <f>"9781605582078"</f>
        <v>9781605582078</v>
      </c>
      <c r="C17732" s="8" t="s">
        <v>21</v>
      </c>
    </row>
    <row r="17733" spans="1:3" x14ac:dyDescent="0.25">
      <c r="A17733" s="8" t="str">
        <f>"Proceedings of the International Conference on Physics, Chemistry and Application of Nanostructures, NANOMEETING 2007 - Reviews and Short Notes"</f>
        <v>Proceedings of the International Conference on Physics, Chemistry and Application of Nanostructures, NANOMEETING 2007 - Reviews and Short Notes</v>
      </c>
      <c r="B17733" s="8" t="str">
        <f>"9789812705990"</f>
        <v>9789812705990</v>
      </c>
      <c r="C17733" s="8" t="s">
        <v>157</v>
      </c>
    </row>
    <row r="17734" spans="1:3" x14ac:dyDescent="0.25">
      <c r="A17734" s="8" t="str">
        <f>"Proceedings of the International Conference on Recent Advances in Manufacture and Use of Tools and Dies and Stamping of Steel Sheets"</f>
        <v>Proceedings of the International Conference on Recent Advances in Manufacture and Use of Tools and Dies and Stamping of Steel Sheets</v>
      </c>
      <c r="B17734" s="8" t="str">
        <f>"-"</f>
        <v>-</v>
      </c>
      <c r="C17734" s="8" t="s">
        <v>2265</v>
      </c>
    </row>
    <row r="17735" spans="1:3" x14ac:dyDescent="0.25">
      <c r="A17735" s="8" t="s">
        <v>2266</v>
      </c>
      <c r="B17735" s="8" t="str">
        <f>"9781424491827"</f>
        <v>9781424491827</v>
      </c>
      <c r="C17735" s="8" t="s">
        <v>9</v>
      </c>
    </row>
    <row r="17736" spans="1:3" x14ac:dyDescent="0.25">
      <c r="A17736" s="8" t="str">
        <f>"Proceedings of the International Conference on Repair and Renovation of Concrete Structures"</f>
        <v>Proceedings of the International Conference on Repair and Renovation of Concrete Structures</v>
      </c>
      <c r="B17736" s="8" t="str">
        <f>"9780727734051"</f>
        <v>9780727734051</v>
      </c>
      <c r="C17736" s="8" t="s">
        <v>74</v>
      </c>
    </row>
    <row r="17737" spans="1:3" x14ac:dyDescent="0.25">
      <c r="A17737" s="8" t="str">
        <f>"Proceedings of the International Conference on Restoration, Recycling and Rejuvenation Technology for Engineering and Architecture Application"</f>
        <v>Proceedings of the International Conference on Restoration, Recycling and Rejuvenation Technology for Engineering and Architecture Application</v>
      </c>
      <c r="B17737" s="8" t="str">
        <f>"9788879997652"</f>
        <v>9788879997652</v>
      </c>
      <c r="C17737" s="8" t="s">
        <v>92</v>
      </c>
    </row>
    <row r="17738" spans="1:3" x14ac:dyDescent="0.25">
      <c r="A17738" s="8" t="str">
        <f>"Proceedings of the International Conference on Risk Management, Assessment and Mitigation, RIMA '10"</f>
        <v>Proceedings of the International Conference on Risk Management, Assessment and Mitigation, RIMA '10</v>
      </c>
      <c r="B17738" s="8" t="str">
        <f>"9789604741823"</f>
        <v>9789604741823</v>
      </c>
      <c r="C17738" s="8" t="s">
        <v>553</v>
      </c>
    </row>
    <row r="17739" spans="1:3" x14ac:dyDescent="0.25">
      <c r="A17739" s="8" t="str">
        <f>"Proceedings of the International Conference on Role of Concrete in Nuclear Facilities"</f>
        <v>Proceedings of the International Conference on Role of Concrete in Nuclear Facilities</v>
      </c>
      <c r="B17739" s="8" t="str">
        <f>"9780727734099"</f>
        <v>9780727734099</v>
      </c>
      <c r="C17739" s="8" t="s">
        <v>74</v>
      </c>
    </row>
    <row r="17740" spans="1:3" x14ac:dyDescent="0.25">
      <c r="A17740" s="8" t="str">
        <f>"Proceedings of the International Conference on Security and Management"</f>
        <v>Proceedings of the International Conference on Security and Management</v>
      </c>
      <c r="B17740" s="8" t="str">
        <f>"9781932415162"</f>
        <v>9781932415162</v>
      </c>
      <c r="C17740" s="8" t="s">
        <v>1432</v>
      </c>
    </row>
    <row r="17741" spans="1:3" x14ac:dyDescent="0.25">
      <c r="A17741" s="8" t="str">
        <f>"Proceedings of the International Conference on Security and Management, SAM'04"</f>
        <v>Proceedings of the International Conference on Security and Management, SAM'04</v>
      </c>
      <c r="B17741" s="8" t="str">
        <f>"9781932415377"</f>
        <v>9781932415377</v>
      </c>
      <c r="C17741" s="8" t="s">
        <v>1432</v>
      </c>
    </row>
    <row r="17742" spans="1:3" x14ac:dyDescent="0.25">
      <c r="A17742" s="8" t="str">
        <f>"Proceedings of the International Conference on Software Engineering Research and Practice, SERP'04"</f>
        <v>Proceedings of the International Conference on Software Engineering Research and Practice, SERP'04</v>
      </c>
      <c r="B17742" s="8" t="str">
        <f>"9781932415308"</f>
        <v>9781932415308</v>
      </c>
      <c r="C17742" s="8" t="s">
        <v>1432</v>
      </c>
    </row>
    <row r="17743" spans="1:3" x14ac:dyDescent="0.25">
      <c r="A17743" s="8" t="str">
        <f>"Proceedings of the International Conference on Software Engineering Research and Practise"</f>
        <v>Proceedings of the International Conference on Software Engineering Research and Practise</v>
      </c>
      <c r="B17743" s="8" t="str">
        <f>"9781932415193"</f>
        <v>9781932415193</v>
      </c>
      <c r="C17743" s="8" t="s">
        <v>1432</v>
      </c>
    </row>
    <row r="17744" spans="1:3" x14ac:dyDescent="0.25">
      <c r="A17744" s="8" t="str">
        <f>"Proceedings of the International Conference on Sustainable Waste Management and Recycling: Construction Demolition Waste"</f>
        <v>Proceedings of the International Conference on Sustainable Waste Management and Recycling: Construction Demolition Waste</v>
      </c>
      <c r="B17744" s="8" t="str">
        <f>"9780727732859"</f>
        <v>9780727732859</v>
      </c>
      <c r="C17744" s="8" t="s">
        <v>74</v>
      </c>
    </row>
    <row r="17745" spans="1:3" x14ac:dyDescent="0.25">
      <c r="A17745" s="8" t="str">
        <f>"Proceedings of the International Conference on Sustainable Waste Management and Recycling: Glass Waste"</f>
        <v>Proceedings of the International Conference on Sustainable Waste Management and Recycling: Glass Waste</v>
      </c>
      <c r="B17745" s="8" t="str">
        <f>"9780727732842"</f>
        <v>9780727732842</v>
      </c>
      <c r="C17745" s="8" t="s">
        <v>74</v>
      </c>
    </row>
    <row r="17746" spans="1:3" x14ac:dyDescent="0.25">
      <c r="A17746" s="8" t="str">
        <f>"Proceedings of the International Conference on Sustainable Waste Management and Recycling: Used/Post-Consumer Tyres"</f>
        <v>Proceedings of the International Conference on Sustainable Waste Management and Recycling: Used/Post-Consumer Tyres</v>
      </c>
      <c r="B17746" s="8" t="str">
        <f>"9780727732866"</f>
        <v>9780727732866</v>
      </c>
      <c r="C17746" s="8" t="s">
        <v>74</v>
      </c>
    </row>
    <row r="17747" spans="1:3" x14ac:dyDescent="0.25">
      <c r="A17747" s="8" t="str">
        <f>"Proceedings of the International Conference on Telecommunications"</f>
        <v>Proceedings of the International Conference on Telecommunications</v>
      </c>
      <c r="B17747" s="8" t="str">
        <f>"9787505377028"</f>
        <v>9787505377028</v>
      </c>
      <c r="C17747" s="8" t="s">
        <v>2052</v>
      </c>
    </row>
    <row r="17748" spans="1:3" x14ac:dyDescent="0.25">
      <c r="A17748" s="8" t="str">
        <f>"Proceedings of the International Conference on the Use of Foamed Concrete in Construction"</f>
        <v>Proceedings of the International Conference on the Use of Foamed Concrete in Construction</v>
      </c>
      <c r="B17748" s="8" t="str">
        <f>"9780727734068"</f>
        <v>9780727734068</v>
      </c>
      <c r="C17748" s="8" t="s">
        <v>74</v>
      </c>
    </row>
    <row r="17749" spans="1:3" x14ac:dyDescent="0.25">
      <c r="A17749" s="8" t="str">
        <f>"Proceedings of the International Conference on Uncertainty Reasoning and Knowledge Engineering, URKE 2011"</f>
        <v>Proceedings of the International Conference on Uncertainty Reasoning and Knowledge Engineering, URKE 2011</v>
      </c>
      <c r="B17749" s="8" t="str">
        <f>"9781424499830"</f>
        <v>9781424499830</v>
      </c>
      <c r="C17749" s="8" t="s">
        <v>9</v>
      </c>
    </row>
    <row r="17750" spans="1:3" x14ac:dyDescent="0.25">
      <c r="A17750" s="8" t="str">
        <f>"Proceedings of the International Conference on VLSI"</f>
        <v>Proceedings of the International Conference on VLSI</v>
      </c>
      <c r="B17750" s="8" t="str">
        <f>"9781932415100"</f>
        <v>9781932415100</v>
      </c>
      <c r="C17750" s="8" t="s">
        <v>1432</v>
      </c>
    </row>
    <row r="17751" spans="1:3" x14ac:dyDescent="0.25">
      <c r="A17751" s="8" t="str">
        <f>"Proceedings of the International Conference on Wavelet Analysis and Its Applications (WAA)"</f>
        <v>Proceedings of the International Conference on Wavelet Analysis and Its Applications (WAA)</v>
      </c>
      <c r="B17751" s="8" t="str">
        <f>"9789812389787"</f>
        <v>9789812389787</v>
      </c>
      <c r="C17751" s="8" t="s">
        <v>157</v>
      </c>
    </row>
    <row r="17752" spans="1:3" x14ac:dyDescent="0.25">
      <c r="A17752" s="8" t="str">
        <f>"Proceedings of the International Conference on Wavelet Analysis and Its Applications (WAA)"</f>
        <v>Proceedings of the International Conference on Wavelet Analysis and Its Applications (WAA)</v>
      </c>
      <c r="B17752" s="8" t="str">
        <f>"9789812389770"</f>
        <v>9789812389770</v>
      </c>
      <c r="C17752" s="8" t="s">
        <v>157</v>
      </c>
    </row>
    <row r="17753" spans="1:3" x14ac:dyDescent="0.25">
      <c r="A17753" s="8" t="str">
        <f>"Proceedings of the International Conference on Web Services"</f>
        <v>Proceedings of the International Conference on Web Services</v>
      </c>
      <c r="B17753" s="8" t="str">
        <f>"9781892512499"</f>
        <v>9781892512499</v>
      </c>
      <c r="C17753" s="8" t="s">
        <v>1432</v>
      </c>
    </row>
    <row r="17754" spans="1:3" x14ac:dyDescent="0.25">
      <c r="A17754" s="8" t="str">
        <f>"Proceedings of the International Conference on Wireless Networks"</f>
        <v>Proceedings of the International Conference on Wireless Networks</v>
      </c>
      <c r="B17754" s="8" t="str">
        <f>"9781932415049"</f>
        <v>9781932415049</v>
      </c>
      <c r="C17754" s="8" t="s">
        <v>1432</v>
      </c>
    </row>
    <row r="17755" spans="1:3" x14ac:dyDescent="0.25">
      <c r="A17755" s="8" t="str">
        <f>"Proceedings of the International Conference on Wireless Networks, ICWN'04"</f>
        <v>Proceedings of the International Conference on Wireless Networks, ICWN'04</v>
      </c>
      <c r="B17755" s="8" t="str">
        <f>"-"</f>
        <v>-</v>
      </c>
      <c r="C17755" s="8" t="s">
        <v>1432</v>
      </c>
    </row>
    <row r="17756" spans="1:3" x14ac:dyDescent="0.25">
      <c r="A17756" s="8" t="str">
        <f>"Proceedings of the International Conference on Young Researchers' Forum"</f>
        <v>Proceedings of the International Conference on Young Researchers' Forum</v>
      </c>
      <c r="B17756" s="8" t="str">
        <f>"9780727734075"</f>
        <v>9780727734075</v>
      </c>
      <c r="C17756" s="8" t="s">
        <v>74</v>
      </c>
    </row>
    <row r="17757" spans="1:3" x14ac:dyDescent="0.25">
      <c r="A17757" s="8" t="s">
        <v>2267</v>
      </c>
      <c r="B17757" s="8" t="str">
        <f>"9780415408202"</f>
        <v>9780415408202</v>
      </c>
      <c r="C17757" s="8" t="s">
        <v>1520</v>
      </c>
    </row>
    <row r="17758" spans="1:3" x14ac:dyDescent="0.25">
      <c r="A17758" s="8" t="s">
        <v>2267</v>
      </c>
      <c r="B17758" s="8" t="str">
        <f>"9780415408202"</f>
        <v>9780415408202</v>
      </c>
      <c r="C17758" s="8" t="s">
        <v>1520</v>
      </c>
    </row>
    <row r="17759" spans="1:3" x14ac:dyDescent="0.25">
      <c r="A17759" s="8" t="s">
        <v>2268</v>
      </c>
      <c r="B17759" s="8" t="str">
        <f>"9789898704115"</f>
        <v>9789898704115</v>
      </c>
      <c r="C17759" s="8" t="s">
        <v>1228</v>
      </c>
    </row>
    <row r="17760" spans="1:3" x14ac:dyDescent="0.25">
      <c r="A17760" s="8" t="s">
        <v>2269</v>
      </c>
      <c r="B17760" s="8" t="str">
        <f>"9789898533227"</f>
        <v>9789898533227</v>
      </c>
      <c r="C17760" s="8" t="s">
        <v>1228</v>
      </c>
    </row>
    <row r="17761" spans="1:3" x14ac:dyDescent="0.25">
      <c r="A17761" s="8" t="str">
        <f>"Proceedings of the International Congress of Mathematicians 2010, ICM 2010"</f>
        <v>Proceedings of the International Congress of Mathematicians 2010, ICM 2010</v>
      </c>
      <c r="B17761" s="8" t="str">
        <f>"9789814324304"</f>
        <v>9789814324304</v>
      </c>
      <c r="C17761" s="8" t="s">
        <v>2270</v>
      </c>
    </row>
    <row r="17762" spans="1:3" x14ac:dyDescent="0.25">
      <c r="A17762" s="8" t="str">
        <f>"Proceedings of the International Cross-Disciplinary Workshop on Web Accessibility 2004, W4A at the World Wide Web Conference, WWW2004"</f>
        <v>Proceedings of the International Cross-Disciplinary Workshop on Web Accessibility 2004, W4A at the World Wide Web Conference, WWW2004</v>
      </c>
      <c r="B17762" s="8" t="str">
        <f>"9781581139037"</f>
        <v>9781581139037</v>
      </c>
      <c r="C17762" s="8" t="s">
        <v>21</v>
      </c>
    </row>
    <row r="17763" spans="1:3" x14ac:dyDescent="0.25">
      <c r="A17763" s="8" t="str">
        <f>"Proceedings of the International Cross-Disciplinary Workshop on Web Accessibility, 2005 W4A at the World Wide Web Conference, WWW2005"</f>
        <v>Proceedings of the International Cross-Disciplinary Workshop on Web Accessibility, 2005 W4A at the World Wide Web Conference, WWW2005</v>
      </c>
      <c r="B17763" s="8" t="str">
        <f>"9781595930361"</f>
        <v>9781595930361</v>
      </c>
      <c r="C17763" s="8" t="s">
        <v>21</v>
      </c>
    </row>
    <row r="17764" spans="1:3" x14ac:dyDescent="0.25">
      <c r="A17764" s="8" t="str">
        <f>"Proceedings of the International Disaster Reduction Conference, IDRC Davos 2006"</f>
        <v>Proceedings of the International Disaster Reduction Conference, IDRC Davos 2006</v>
      </c>
      <c r="B17764" s="8" t="str">
        <f>"-"</f>
        <v>-</v>
      </c>
      <c r="C17764" s="8" t="s">
        <v>2271</v>
      </c>
    </row>
    <row r="17765" spans="1:3" x14ac:dyDescent="0.25">
      <c r="A17765" s="8" t="str">
        <f>"Proceedings of the International Instrumentation Symposium"</f>
        <v>Proceedings of the International Instrumentation Symposium</v>
      </c>
      <c r="B17765" s="8" t="str">
        <f>"-"</f>
        <v>-</v>
      </c>
      <c r="C17765" s="8" t="s">
        <v>188</v>
      </c>
    </row>
    <row r="17766" spans="1:3" x14ac:dyDescent="0.25">
      <c r="A17766" s="8" t="str">
        <f>"Proceedings of the International Joint Power Generation Conference"</f>
        <v>Proceedings of the International Joint Power Generation Conference</v>
      </c>
      <c r="B17766" s="8" t="str">
        <f>"9780791835357"</f>
        <v>9780791835357</v>
      </c>
      <c r="C17766" s="8" t="s">
        <v>1308</v>
      </c>
    </row>
    <row r="17767" spans="1:3" x14ac:dyDescent="0.25">
      <c r="A17767" s="8" t="str">
        <f>"Proceedings of the International Joint Workshop on Computational Creativity 2008"</f>
        <v>Proceedings of the International Joint Workshop on Computational Creativity 2008</v>
      </c>
      <c r="B17767" s="8" t="str">
        <f>"9788492539000"</f>
        <v>9788492539000</v>
      </c>
      <c r="C17767" s="8" t="s">
        <v>2272</v>
      </c>
    </row>
    <row r="17768" spans="1:3" x14ac:dyDescent="0.25">
      <c r="A17768" s="8" t="str">
        <f>"Proceedings of the International Joint Workshop on Implementation of Constraint and Logic Programming Systems and Logic-Based Methods in Programming Environments 2014, CICLOPS-WLPE 2014"</f>
        <v>Proceedings of the International Joint Workshop on Implementation of Constraint and Logic Programming Systems and Logic-Based Methods in Programming Environments 2014, CICLOPS-WLPE 2014</v>
      </c>
      <c r="B17768" s="8" t="str">
        <f>"-"</f>
        <v>-</v>
      </c>
      <c r="C17768" s="8" t="s">
        <v>2273</v>
      </c>
    </row>
    <row r="17769" spans="1:3" x14ac:dyDescent="0.25">
      <c r="A17769" s="8" t="str">
        <f>"Proceedings of the International MultiConference of Engineers and Computer Scientists 2010, IMECS 2010"</f>
        <v>Proceedings of the International MultiConference of Engineers and Computer Scientists 2010, IMECS 2010</v>
      </c>
      <c r="B17769" s="8" t="str">
        <f>"9789881701282"</f>
        <v>9789881701282</v>
      </c>
      <c r="C17769" s="8" t="s">
        <v>380</v>
      </c>
    </row>
    <row r="17770" spans="1:3" x14ac:dyDescent="0.25">
      <c r="A17770" s="8" t="str">
        <f>"Proceedings of the International Multiconference on Computer Science and Information Technology, IMCSIT"</f>
        <v>Proceedings of the International Multiconference on Computer Science and Information Technology, IMCSIT</v>
      </c>
      <c r="B17770" s="8" t="str">
        <f>"-"</f>
        <v>-</v>
      </c>
      <c r="C17770" s="8" t="s">
        <v>2274</v>
      </c>
    </row>
    <row r="17771" spans="1:3" x14ac:dyDescent="0.25">
      <c r="A17771" s="8" t="str">
        <f>"Proceedings of the International Multiconference on Computer Science and Information Technology, IMCSIT '09"</f>
        <v>Proceedings of the International Multiconference on Computer Science and Information Technology, IMCSIT '09</v>
      </c>
      <c r="B17771" s="8" t="str">
        <f>"9781424453146"</f>
        <v>9781424453146</v>
      </c>
      <c r="C17771" s="8" t="s">
        <v>9</v>
      </c>
    </row>
    <row r="17772" spans="1:3" x14ac:dyDescent="0.25">
      <c r="A17772" s="8" t="str">
        <f>"Proceedings of the International Multiconference on Computer Science and Information Technology, IMCSIT 2008"</f>
        <v>Proceedings of the International Multiconference on Computer Science and Information Technology, IMCSIT 2008</v>
      </c>
      <c r="B17772" s="8" t="str">
        <f>"9788360810149"</f>
        <v>9788360810149</v>
      </c>
      <c r="C17772" s="8" t="s">
        <v>9</v>
      </c>
    </row>
    <row r="17773" spans="1:3" x14ac:dyDescent="0.25">
      <c r="A17773" s="8" t="str">
        <f>"Proceedings of the International Multiconference on Computer Science and Information Technology, IMCSIT 2010"</f>
        <v>Proceedings of the International Multiconference on Computer Science and Information Technology, IMCSIT 2010</v>
      </c>
      <c r="B17773" s="8" t="str">
        <f>"9788360810279"</f>
        <v>9788360810279</v>
      </c>
      <c r="C17773" s="8" t="s">
        <v>9</v>
      </c>
    </row>
    <row r="17774" spans="1:3" x14ac:dyDescent="0.25">
      <c r="A17774" s="8" t="str">
        <f>"Proceedings of the International Multi-Conference on Computing in the Global Information Technology, ICCGI'06"</f>
        <v>Proceedings of the International Multi-Conference on Computing in the Global Information Technology, ICCGI'06</v>
      </c>
      <c r="B17774" s="8" t="str">
        <f>"9780769526294"</f>
        <v>9780769526294</v>
      </c>
      <c r="C17774" s="8" t="s">
        <v>9</v>
      </c>
    </row>
    <row r="17775" spans="1:3" x14ac:dyDescent="0.25">
      <c r="A17775" s="8" t="str">
        <f>"Proceedings of the International PrimeNet Workshop"</f>
        <v>Proceedings of the International PrimeNet Workshop</v>
      </c>
      <c r="B17775" s="8" t="str">
        <f>"-"</f>
        <v>-</v>
      </c>
      <c r="C17775" s="8" t="s">
        <v>2275</v>
      </c>
    </row>
    <row r="17776" spans="1:3" x14ac:dyDescent="0.25">
      <c r="A17776" s="8" t="str">
        <f>"Proceedings of the International Seminar - Days on Diffraction 2004"</f>
        <v>Proceedings of the International Seminar - Days on Diffraction 2004</v>
      </c>
      <c r="B17776" s="8" t="str">
        <f>"9785965100644"</f>
        <v>9785965100644</v>
      </c>
      <c r="C17776" s="8" t="s">
        <v>502</v>
      </c>
    </row>
    <row r="17777" spans="1:3" x14ac:dyDescent="0.25">
      <c r="A17777" s="8" t="str">
        <f>"Proceedings of the International Seminar Days on Diffraction' 2005, DD"</f>
        <v>Proceedings of the International Seminar Days on Diffraction' 2005, DD</v>
      </c>
      <c r="B17777" s="8" t="str">
        <f>"9785965101405"</f>
        <v>9785965101405</v>
      </c>
      <c r="C17777" s="8" t="s">
        <v>9</v>
      </c>
    </row>
    <row r="17778" spans="1:3" x14ac:dyDescent="0.25">
      <c r="A17778" s="8" t="str">
        <f>"Proceedings of the International Symposium CompIMAGE 2006 - Computational Modelling of Objects Represented in Images: Fundamentals, Methods and Applications"</f>
        <v>Proceedings of the International Symposium CompIMAGE 2006 - Computational Modelling of Objects Represented in Images: Fundamentals, Methods and Applications</v>
      </c>
      <c r="B17778" s="8" t="str">
        <f>"9780415469340"</f>
        <v>9780415469340</v>
      </c>
      <c r="C17778" s="8" t="s">
        <v>1520</v>
      </c>
    </row>
    <row r="17779" spans="1:3" x14ac:dyDescent="0.25">
      <c r="A17779" s="8" t="str">
        <f>"Proceedings of the International Symposium CompIMAGE 2006 - Computational Modelling of Objects Represented in Images: Fundamentals, Methods and Applications"</f>
        <v>Proceedings of the International Symposium CompIMAGE 2006 - Computational Modelling of Objects Represented in Images: Fundamentals, Methods and Applications</v>
      </c>
      <c r="B17779" s="8" t="str">
        <f>"9780415433495"</f>
        <v>9780415433495</v>
      </c>
      <c r="C17779" s="8" t="s">
        <v>1520</v>
      </c>
    </row>
    <row r="17780" spans="1:3" x14ac:dyDescent="0.25">
      <c r="A17780" s="8" t="str">
        <f>"Proceedings of the International Symposium of the International Society for Rock Mechanics, Eurock 2006 - Eurock 2006 Multiphysics Coupling and Long Term Behaviour in Rock Mechanics"</f>
        <v>Proceedings of the International Symposium of the International Society for Rock Mechanics, Eurock 2006 - Eurock 2006 Multiphysics Coupling and Long Term Behaviour in Rock Mechanics</v>
      </c>
      <c r="B17780" s="8" t="str">
        <f>"9780415410014"</f>
        <v>9780415410014</v>
      </c>
      <c r="C17780" s="8" t="s">
        <v>1520</v>
      </c>
    </row>
    <row r="17781" spans="1:3" x14ac:dyDescent="0.25">
      <c r="A17781" s="8" t="str">
        <f>"Proceedings of the International Symposium on AI Inspired Biology - A Symposium at the AISB 2010 Convention"</f>
        <v>Proceedings of the International Symposium on AI Inspired Biology - A Symposium at the AISB 2010 Convention</v>
      </c>
      <c r="B17781" s="8" t="str">
        <f>"9781902956923"</f>
        <v>9781902956923</v>
      </c>
      <c r="C17781" s="8" t="s">
        <v>1630</v>
      </c>
    </row>
    <row r="17782" spans="1:3" x14ac:dyDescent="0.25">
      <c r="A17782" s="8" t="str">
        <f>"Proceedings of the International Symposium on Artificial Intelligence and Signal Processing, AISP 2015"</f>
        <v>Proceedings of the International Symposium on Artificial Intelligence and Signal Processing, AISP 2015</v>
      </c>
      <c r="B17782" s="8" t="str">
        <f>"9781479988174"</f>
        <v>9781479988174</v>
      </c>
      <c r="C17782" s="8" t="s">
        <v>105</v>
      </c>
    </row>
    <row r="17783" spans="1:3" x14ac:dyDescent="0.25">
      <c r="A17783" s="8" t="str">
        <f>"Proceedings of the International Symposium on Bond Behaviour of FRP in Structures, BBFS 2005"</f>
        <v>Proceedings of the International Symposium on Bond Behaviour of FRP in Structures, BBFS 2005</v>
      </c>
      <c r="B17783" s="8" t="str">
        <f>"9789623675062"</f>
        <v>9789623675062</v>
      </c>
      <c r="C17783" s="8" t="s">
        <v>2216</v>
      </c>
    </row>
    <row r="17784" spans="1:3" x14ac:dyDescent="0.25">
      <c r="A17784" s="8" t="str">
        <f>"Proceedings of the International Symposium on Dams in the Societies of the 21st Century, ICOLD-SPANCOLD - Dams and Reservoirs, Societies and Environment in the 21st Century"</f>
        <v>Proceedings of the International Symposium on Dams in the Societies of the 21st Century, ICOLD-SPANCOLD - Dams and Reservoirs, Societies and Environment in the 21st Century</v>
      </c>
      <c r="B17784" s="8" t="str">
        <f>"9780415404235"</f>
        <v>9780415404235</v>
      </c>
      <c r="C17784" s="8" t="s">
        <v>1520</v>
      </c>
    </row>
    <row r="17785" spans="1:3" x14ac:dyDescent="0.25">
      <c r="A17785" s="8" t="str">
        <f>"Proceedings of the International Symposium on Electronic Commerce and Security, ISECS 2008"</f>
        <v>Proceedings of the International Symposium on Electronic Commerce and Security, ISECS 2008</v>
      </c>
      <c r="B17785" s="8" t="str">
        <f>"9780769532585"</f>
        <v>9780769532585</v>
      </c>
      <c r="C17785" s="8" t="s">
        <v>9</v>
      </c>
    </row>
    <row r="17786" spans="1:3" x14ac:dyDescent="0.25">
      <c r="A17786" s="8" t="str">
        <f>"Proceedings of the International Symposium on Evolving Intelligent Systems - A Symposium at the AISB 2010 Convention"</f>
        <v>Proceedings of the International Symposium on Evolving Intelligent Systems - A Symposium at the AISB 2010 Convention</v>
      </c>
      <c r="B17786" s="8" t="str">
        <f>"9781902956947"</f>
        <v>9781902956947</v>
      </c>
      <c r="C17786" s="8" t="s">
        <v>1656</v>
      </c>
    </row>
    <row r="17787" spans="1:3" x14ac:dyDescent="0.25">
      <c r="A17787" s="8" t="str">
        <f>"Proceedings of the International Symposium on Geomechanics and Geotechnics of Particulate Media - Geomechanics and Geotechnics of Particulate Media"</f>
        <v>Proceedings of the International Symposium on Geomechanics and Geotechnics of Particulate Media - Geomechanics and Geotechnics of Particulate Media</v>
      </c>
      <c r="B17787" s="8" t="str">
        <f>"9780415410977"</f>
        <v>9780415410977</v>
      </c>
      <c r="C17787" s="8" t="s">
        <v>1520</v>
      </c>
    </row>
    <row r="17788" spans="1:3" x14ac:dyDescent="0.25">
      <c r="A17788" s="8" t="str">
        <f>"Proceedings of the International Symposium on Human Aspects of Information Security and Assurance, HAISA 2007"</f>
        <v>Proceedings of the International Symposium on Human Aspects of Information Security and Assurance, HAISA 2007</v>
      </c>
      <c r="B17788" s="8" t="str">
        <f>"9781841021744"</f>
        <v>9781841021744</v>
      </c>
      <c r="C17788" s="8" t="s">
        <v>2201</v>
      </c>
    </row>
    <row r="17789" spans="1:3" x14ac:dyDescent="0.25">
      <c r="A17789" s="8" t="str">
        <f>"Proceedings of the International Symposium on In-situ Rock Stress - In-situ Rock Stress Measurement, Interpretation and Application"</f>
        <v>Proceedings of the International Symposium on In-situ Rock Stress - In-situ Rock Stress Measurement, Interpretation and Application</v>
      </c>
      <c r="B17789" s="8" t="str">
        <f>"9780415401630"</f>
        <v>9780415401630</v>
      </c>
      <c r="C17789" s="8" t="s">
        <v>1520</v>
      </c>
    </row>
    <row r="17790" spans="1:3" x14ac:dyDescent="0.25">
      <c r="A17790" s="8" t="str">
        <f>"Proceedings of the International Symposium on Matching and Meaning Automated Development, Evolution and Interpretation of Ontologies - A Symposium at the AISB 2010 Convention"</f>
        <v>Proceedings of the International Symposium on Matching and Meaning Automated Development, Evolution and Interpretation of Ontologies - A Symposium at the AISB 2010 Convention</v>
      </c>
      <c r="B17790" s="8" t="str">
        <f>"9781902956916"</f>
        <v>9781902956916</v>
      </c>
      <c r="C17790" s="8" t="s">
        <v>1630</v>
      </c>
    </row>
    <row r="17791" spans="1:3" x14ac:dyDescent="0.25">
      <c r="A17791" s="8" t="str">
        <f>"Proceedings of the International Symposium on Mathematical Practice and Cognition - A Symposium at the AISB 2010 Convention"</f>
        <v>Proceedings of the International Symposium on Mathematical Practice and Cognition - A Symposium at the AISB 2010 Convention</v>
      </c>
      <c r="B17791" s="8" t="str">
        <f>"9781902956930"</f>
        <v>9781902956930</v>
      </c>
      <c r="C17791" s="8" t="s">
        <v>1656</v>
      </c>
    </row>
    <row r="17792" spans="1:3" x14ac:dyDescent="0.25">
      <c r="A17792" s="8" t="str">
        <f>"Proceedings of the International Symposium on Memory Management"</f>
        <v>Proceedings of the International Symposium on Memory Management</v>
      </c>
      <c r="B17792" s="8" t="str">
        <f>"9781581132632"</f>
        <v>9781581132632</v>
      </c>
      <c r="C17792" s="8" t="s">
        <v>21</v>
      </c>
    </row>
    <row r="17793" spans="1:3" x14ac:dyDescent="0.25">
      <c r="A17793" s="8" t="str">
        <f>"Proceedings of the International Symposium on Niobium for High Temperature Applications"</f>
        <v>Proceedings of the International Symposium on Niobium for High Temperature Applications</v>
      </c>
      <c r="B17793" s="8" t="str">
        <f>"9780873395755"</f>
        <v>9780873395755</v>
      </c>
      <c r="C17793" s="8" t="s">
        <v>648</v>
      </c>
    </row>
    <row r="17794" spans="1:3" x14ac:dyDescent="0.25">
      <c r="A17794" s="8" t="str">
        <f>"Proceedings of the International Symposium on Remembering Who We Are - Human Memory for Artificial Agents - A Symposium at the AISB 2010 Convention"</f>
        <v>Proceedings of the International Symposium on Remembering Who We Are - Human Memory for Artificial Agents - A Symposium at the AISB 2010 Convention</v>
      </c>
      <c r="B17794" s="8" t="str">
        <f>"9781902956893"</f>
        <v>9781902956893</v>
      </c>
      <c r="C17794" s="8" t="s">
        <v>1630</v>
      </c>
    </row>
    <row r="17795" spans="1:3" x14ac:dyDescent="0.25">
      <c r="A17795" s="8" t="str">
        <f>"Proceedings of the International Thermal Spray Conference"</f>
        <v>Proceedings of the International Thermal Spray Conference</v>
      </c>
      <c r="B17795" s="8" t="str">
        <f>"9780871708090"</f>
        <v>9780871708090</v>
      </c>
      <c r="C17795" s="8" t="s">
        <v>65</v>
      </c>
    </row>
    <row r="17796" spans="1:3" x14ac:dyDescent="0.25">
      <c r="A17796" s="8" t="str">
        <f>"Proceedings of the International Workshop on Adaptive and Reflective Middleware, ARM 2011, Co-located with ACM/IFIP/USENIX International Middleware Conference"</f>
        <v>Proceedings of the International Workshop on Adaptive and Reflective Middleware, ARM 2011, Co-located with ACM/IFIP/USENIX International Middleware Conference</v>
      </c>
      <c r="B17796" s="8" t="str">
        <f>"9781450310703"</f>
        <v>9781450310703</v>
      </c>
      <c r="C17796" s="8" t="s">
        <v>21</v>
      </c>
    </row>
    <row r="17797" spans="1:3" x14ac:dyDescent="0.25">
      <c r="A17797" s="8" t="str">
        <f>"Proceedings of the International Workshop on Adaptive Security, ASPI 2013"</f>
        <v>Proceedings of the International Workshop on Adaptive Security, ASPI 2013</v>
      </c>
      <c r="B17797" s="8" t="str">
        <f>"9781450325431"</f>
        <v>9781450325431</v>
      </c>
      <c r="C17797" s="8" t="s">
        <v>21</v>
      </c>
    </row>
    <row r="17798" spans="1:3" x14ac:dyDescent="0.25">
      <c r="A17798" s="8" t="str">
        <f>"Proceedings of the International Workshop on Affective-Aware Virtual Agents and Social Robots, AFFINE '09, held during the ICMI-MLMI'09 Conference"</f>
        <v>Proceedings of the International Workshop on Affective-Aware Virtual Agents and Social Robots, AFFINE '09, held during the ICMI-MLMI'09 Conference</v>
      </c>
      <c r="B17798" s="8" t="str">
        <f>"9781605586922"</f>
        <v>9781605586922</v>
      </c>
      <c r="C17798" s="8" t="s">
        <v>21</v>
      </c>
    </row>
    <row r="17799" spans="1:3" x14ac:dyDescent="0.25">
      <c r="A17799" s="8" t="str">
        <f>"Proceedings of the International Workshop on Artificial Neural Networks and Intelligent Information Processing, ANNIIP 2014 - In Conjunction with ICINCO 2014"</f>
        <v>Proceedings of the International Workshop on Artificial Neural Networks and Intelligent Information Processing, ANNIIP 2014 - In Conjunction with ICINCO 2014</v>
      </c>
      <c r="B17799" s="8" t="str">
        <f>"9789897580413"</f>
        <v>9789897580413</v>
      </c>
      <c r="C17799" s="8" t="s">
        <v>1197</v>
      </c>
    </row>
    <row r="17800" spans="1:3" x14ac:dyDescent="0.25">
      <c r="A17800" s="8" t="str">
        <f>"Proceedings of the International Workshop on Challenges of Large Applications in Distributed Environments, CLADE 2003"</f>
        <v>Proceedings of the International Workshop on Challenges of Large Applications in Distributed Environments, CLADE 2003</v>
      </c>
      <c r="B17800" s="8" t="str">
        <f>"9780769519845"</f>
        <v>9780769519845</v>
      </c>
      <c r="C17800" s="8" t="s">
        <v>105</v>
      </c>
    </row>
    <row r="17801" spans="1:3" x14ac:dyDescent="0.25">
      <c r="A17801" s="8" t="str">
        <f>"Proceedings of the International Workshop on Green Computing Middleware, GCM 2011, Co-located with ACM/IFIP/USENIX International Middleware Conference"</f>
        <v>Proceedings of the International Workshop on Green Computing Middleware, GCM 2011, Co-located with ACM/IFIP/USENIX International Middleware Conference</v>
      </c>
      <c r="B17801" s="8" t="str">
        <f>"9781450310642"</f>
        <v>9781450310642</v>
      </c>
      <c r="C17801" s="8" t="s">
        <v>21</v>
      </c>
    </row>
    <row r="17802" spans="1:3" x14ac:dyDescent="0.25">
      <c r="A17802" s="8" t="str">
        <f>"Proceedings of the International Workshop on Intelligent Data Acquisition and Advanced Computing Systems: Technology and Applications, IDAACS 2001"</f>
        <v>Proceedings of the International Workshop on Intelligent Data Acquisition and Advanced Computing Systems: Technology and Applications, IDAACS 2001</v>
      </c>
      <c r="B17802" s="8" t="str">
        <f>"9780780371644"</f>
        <v>9780780371644</v>
      </c>
      <c r="C17802" s="8" t="s">
        <v>105</v>
      </c>
    </row>
    <row r="17803" spans="1:3" x14ac:dyDescent="0.25">
      <c r="A17803" s="8" t="str">
        <f>"Proceedings of the International Workshop on Middleware for Cloud-Enabled Sensing, MCS 2013 - Co-located with ACM/IFIP/USENIX International Middleware Conference, Middleware 2013"</f>
        <v>Proceedings of the International Workshop on Middleware for Cloud-Enabled Sensing, MCS 2013 - Co-located with ACM/IFIP/USENIX International Middleware Conference, Middleware 2013</v>
      </c>
      <c r="B17803" s="8" t="str">
        <f>"9781450325547"</f>
        <v>9781450325547</v>
      </c>
      <c r="C17803" s="8" t="s">
        <v>21</v>
      </c>
    </row>
    <row r="17804" spans="1:3" x14ac:dyDescent="0.25">
      <c r="A17804" s="8" t="str">
        <f>"Proceedings of the International Workshop on Middleware for Pervasive Mobile and Embedded Computing, M-MPAC 2009 co-located with ACM/IFIP/USENIX International Middleware Conference"</f>
        <v>Proceedings of the International Workshop on Middleware for Pervasive Mobile and Embedded Computing, M-MPAC 2009 co-located with ACM/IFIP/USENIX International Middleware Conference</v>
      </c>
      <c r="B17804" s="8" t="str">
        <f>"9781605588490"</f>
        <v>9781605588490</v>
      </c>
      <c r="C17804" s="8" t="s">
        <v>21</v>
      </c>
    </row>
    <row r="17805" spans="1:3" x14ac:dyDescent="0.25">
      <c r="A17805" s="8" t="str">
        <f>"Proceedings of the International Workshop on Middleware for Pervasive Mobile and Embedded Computing, M-MPAC 2010, Co-located with ACM/IFIP/USENIX International Middleware Conference"</f>
        <v>Proceedings of the International Workshop on Middleware for Pervasive Mobile and Embedded Computing, M-MPAC 2010, Co-located with ACM/IFIP/USENIX International Middleware Conference</v>
      </c>
      <c r="B17805" s="8" t="str">
        <f>"9781450304511"</f>
        <v>9781450304511</v>
      </c>
      <c r="C17805" s="8" t="s">
        <v>21</v>
      </c>
    </row>
    <row r="17806" spans="1:3" x14ac:dyDescent="0.25">
      <c r="A17806" s="8" t="str">
        <f>"Proceedings of the International Workshop on Mobile Video, MV '07, Co-located with the ACM Multimedia 2007, MM'07"</f>
        <v>Proceedings of the International Workshop on Mobile Video, MV '07, Co-located with the ACM Multimedia 2007, MM'07</v>
      </c>
      <c r="B17806" s="8" t="str">
        <f>"9781595937797"</f>
        <v>9781595937797</v>
      </c>
      <c r="C17806" s="8" t="s">
        <v>21</v>
      </c>
    </row>
    <row r="17807" spans="1:3" x14ac:dyDescent="0.25">
      <c r="A17807" s="8" t="str">
        <f>"Proceedings of the International Workshop on Modeling Social Media, MSM '10"</f>
        <v>Proceedings of the International Workshop on Modeling Social Media, MSM '10</v>
      </c>
      <c r="B17807" s="8" t="str">
        <f>"9781450302296"</f>
        <v>9781450302296</v>
      </c>
      <c r="C17807" s="8" t="s">
        <v>21</v>
      </c>
    </row>
    <row r="17808" spans="1:3" x14ac:dyDescent="0.25">
      <c r="A17808" s="8" t="str">
        <f>"Proceedings of the International Workshop on Modeling, Analysis and Simulation of Wireless and Mobile Systems"</f>
        <v>Proceedings of the International Workshop on Modeling, Analysis and Simulation of Wireless and Mobile Systems</v>
      </c>
      <c r="B17808" s="8" t="str">
        <f>"9781581136104"</f>
        <v>9781581136104</v>
      </c>
      <c r="C17808" s="8" t="s">
        <v>21</v>
      </c>
    </row>
    <row r="17809" spans="1:3" x14ac:dyDescent="0.25">
      <c r="A17809" s="8" t="str">
        <f>"Proceedings of the International Workshop on Multi-Device App Middleware 2012, Multi-Device 2012 - Co-located with ACM/IFIP/USENIX 13th International Conference on Middleware"</f>
        <v>Proceedings of the International Workshop on Multi-Device App Middleware 2012, Multi-Device 2012 - Co-located with ACM/IFIP/USENIX 13th International Conference on Middleware</v>
      </c>
      <c r="B17809" s="8" t="str">
        <f>"9781450316170"</f>
        <v>9781450316170</v>
      </c>
      <c r="C17809" s="8" t="s">
        <v>21</v>
      </c>
    </row>
    <row r="17810" spans="1:3" x14ac:dyDescent="0.25">
      <c r="A17810" s="8" t="str">
        <f>"Proceedings of the International Workshop on Numerical Modelling of Hydrodynamics for Water Resources - Numerical Modelling of Hydrodynamics for Water Resources"</f>
        <v>Proceedings of the International Workshop on Numerical Modelling of Hydrodynamics for Water Resources - Numerical Modelling of Hydrodynamics for Water Resources</v>
      </c>
      <c r="B17810" s="8" t="str">
        <f>"9780415440561"</f>
        <v>9780415440561</v>
      </c>
      <c r="C17810" s="8" t="s">
        <v>1520</v>
      </c>
    </row>
    <row r="17811" spans="1:3" x14ac:dyDescent="0.25">
      <c r="A17811" s="8" t="str">
        <f>"Proceedings of the International Workshop on Research Issues in Digital Libraries, IWRIDL-2006, in Association with ACM SIGIR"</f>
        <v>Proceedings of the International Workshop on Research Issues in Digital Libraries, IWRIDL-2006, in Association with ACM SIGIR</v>
      </c>
      <c r="B17811" s="8" t="str">
        <f>"9781595936080"</f>
        <v>9781595936080</v>
      </c>
      <c r="C17811" s="8" t="s">
        <v>21</v>
      </c>
    </row>
    <row r="17812" spans="1:3" x14ac:dyDescent="0.25">
      <c r="A17812" s="8" t="str">
        <f>"Proceedings of the International Workshop on Scrap Tire Derived Geomaterials - Opportunities and Challenges, IW-TDGM 2007"</f>
        <v>Proceedings of the International Workshop on Scrap Tire Derived Geomaterials - Opportunities and Challenges, IW-TDGM 2007</v>
      </c>
      <c r="B17812" s="8" t="str">
        <f>"9780415460705"</f>
        <v>9780415460705</v>
      </c>
      <c r="C17812" s="8" t="s">
        <v>1520</v>
      </c>
    </row>
    <row r="17813" spans="1:3" x14ac:dyDescent="0.25">
      <c r="A17813" s="8" t="str">
        <f>"Proceedings of the International Workshop on Scrap Tire Derived Geomaterials - Opportunities and Challenges, IW-TDGM 2007"</f>
        <v>Proceedings of the International Workshop on Scrap Tire Derived Geomaterials - Opportunities and Challenges, IW-TDGM 2007</v>
      </c>
      <c r="B17813" s="8" t="str">
        <f>"9780415460705"</f>
        <v>9780415460705</v>
      </c>
      <c r="C17813" s="8" t="s">
        <v>1520</v>
      </c>
    </row>
    <row r="17814" spans="1:3" x14ac:dyDescent="0.25">
      <c r="A17814" s="8" t="str">
        <f>"Proceedings of the International Workshop on Semantic Sensor Web, SSW 2010, in Conjunction with IC3K 2010"</f>
        <v>Proceedings of the International Workshop on Semantic Sensor Web, SSW 2010, in Conjunction with IC3K 2010</v>
      </c>
      <c r="B17814" s="8" t="str">
        <f>"9789898425317"</f>
        <v>9789898425317</v>
      </c>
      <c r="C17814" s="8" t="s">
        <v>1197</v>
      </c>
    </row>
    <row r="17815" spans="1:3" x14ac:dyDescent="0.25">
      <c r="A17815" s="8" t="str">
        <f>"Proceedings of the International Workshop on Semantic Web Information Management, SWIM 2011"</f>
        <v>Proceedings of the International Workshop on Semantic Web Information Management, SWIM 2011</v>
      </c>
      <c r="B17815" s="8" t="str">
        <f>"9781450306515"</f>
        <v>9781450306515</v>
      </c>
      <c r="C17815" s="8" t="s">
        <v>21</v>
      </c>
    </row>
    <row r="17816" spans="1:3" x14ac:dyDescent="0.25">
      <c r="A17816" s="8" t="str">
        <f>"Proceedings of the International Workshop on Smalltalk Technologies 2009, IWST'09 - ESUG 2009 Smalltalk Joint Event"</f>
        <v>Proceedings of the International Workshop on Smalltalk Technologies 2009, IWST'09 - ESUG 2009 Smalltalk Joint Event</v>
      </c>
      <c r="B17816" s="8" t="str">
        <f>"9781605588995"</f>
        <v>9781605588995</v>
      </c>
      <c r="C17816" s="8" t="s">
        <v>21</v>
      </c>
    </row>
    <row r="17817" spans="1:3" x14ac:dyDescent="0.25">
      <c r="A17817" s="8" t="str">
        <f>"Proceedings of the International Workshop on Smalltalk Technologies, IWST 2012"</f>
        <v>Proceedings of the International Workshop on Smalltalk Technologies, IWST 2012</v>
      </c>
      <c r="B17817" s="8" t="str">
        <f>"9781450318976"</f>
        <v>9781450318976</v>
      </c>
      <c r="C17817" s="8" t="s">
        <v>21</v>
      </c>
    </row>
    <row r="17818" spans="1:3" x14ac:dyDescent="0.25">
      <c r="A17818" s="8" t="str">
        <f>"Proceedings of the International Workshop on Smalltalk Technologies, IWST'10"</f>
        <v>Proceedings of the International Workshop on Smalltalk Technologies, IWST'10</v>
      </c>
      <c r="B17818" s="8" t="str">
        <f>"9781450304979"</f>
        <v>9781450304979</v>
      </c>
      <c r="C17818" s="8" t="s">
        <v>21</v>
      </c>
    </row>
    <row r="17819" spans="1:3" x14ac:dyDescent="0.25">
      <c r="A17819" s="8" t="str">
        <f>"Proceedings of the International Workshop on Smalltalk Technologies, IWST'11"</f>
        <v>Proceedings of the International Workshop on Smalltalk Technologies, IWST'11</v>
      </c>
      <c r="B17819" s="8" t="str">
        <f>"9781450310505"</f>
        <v>9781450310505</v>
      </c>
      <c r="C17819" s="8" t="s">
        <v>21</v>
      </c>
    </row>
    <row r="17820" spans="1:3" x14ac:dyDescent="0.25">
      <c r="A17820" s="8" t="str">
        <f>"Proceedings of the International Workshop on Software and Performance (WOSP2002)"</f>
        <v>Proceedings of the International Workshop on Software and Performance (WOSP2002)</v>
      </c>
      <c r="B17820" s="8" t="str">
        <f>"9781581135633"</f>
        <v>9781581135633</v>
      </c>
      <c r="C17820" s="8" t="s">
        <v>21</v>
      </c>
    </row>
    <row r="17821" spans="1:3" x14ac:dyDescent="0.25">
      <c r="A17821" s="8" t="str">
        <f>"Proceedings of the International Workshop on TRECVID Video Summarization, TVS '07, Co-located with the ACM Multimedia 2007, MM'07"</f>
        <v>Proceedings of the International Workshop on TRECVID Video Summarization, TVS '07, Co-located with the ACM Multimedia 2007, MM'07</v>
      </c>
      <c r="B17821" s="8" t="str">
        <f>"9781595937803"</f>
        <v>9781595937803</v>
      </c>
      <c r="C17821" s="8" t="s">
        <v>21</v>
      </c>
    </row>
    <row r="17822" spans="1:3" x14ac:dyDescent="0.25">
      <c r="A17822" s="8" t="str">
        <f>"Proceedings of the International Workshop on Ubiquitous Data Management , UDM 2005"</f>
        <v>Proceedings of the International Workshop on Ubiquitous Data Management , UDM 2005</v>
      </c>
      <c r="B17822" s="8" t="str">
        <f>"9780769524115"</f>
        <v>9780769524115</v>
      </c>
      <c r="C17822" s="8" t="s">
        <v>9</v>
      </c>
    </row>
    <row r="17823" spans="1:3" x14ac:dyDescent="0.25">
      <c r="A17823" s="8" t="str">
        <f>"Proceedings of the International Workshop on Veterinary Biosignals and Biodevices, VBB 2012, in Conjunction with BIOSTEC 2012"</f>
        <v>Proceedings of the International Workshop on Veterinary Biosignals and Biodevices, VBB 2012, in Conjunction with BIOSTEC 2012</v>
      </c>
      <c r="B17823" s="8" t="str">
        <f>"9789898425942"</f>
        <v>9789898425942</v>
      </c>
      <c r="C17823" s="8" t="s">
        <v>1197</v>
      </c>
    </row>
    <row r="17824" spans="1:3" x14ac:dyDescent="0.25">
      <c r="A17824" s="8" t="str">
        <f>"Proceedings of the International Young Scholars' Symposium on Rock Mechanics - Boundaries of Rock Mechanics Recent Advances and Challenges for the 21st Century"</f>
        <v>Proceedings of the International Young Scholars' Symposium on Rock Mechanics - Boundaries of Rock Mechanics Recent Advances and Challenges for the 21st Century</v>
      </c>
      <c r="B17824" s="8" t="str">
        <f>"9780415469340"</f>
        <v>9780415469340</v>
      </c>
      <c r="C17824" s="8" t="s">
        <v>1520</v>
      </c>
    </row>
    <row r="17825" spans="1:3" x14ac:dyDescent="0.25">
      <c r="A17825" s="8" t="str">
        <f>"Proceedings of the IPM School and Conference on Lepton and Hadron Physics, IPM-LHP 2006"</f>
        <v>Proceedings of the IPM School and Conference on Lepton and Hadron Physics, IPM-LHP 2006</v>
      </c>
      <c r="B17825" s="8" t="str">
        <f>"-"</f>
        <v>-</v>
      </c>
      <c r="C17825" s="8" t="s">
        <v>1471</v>
      </c>
    </row>
    <row r="17826" spans="1:3" x14ac:dyDescent="0.25">
      <c r="A17826" s="8" t="str">
        <f>"Proceedings of the ISA/IEEE 2005 Sensors for Industry Conference, Sicon'05"</f>
        <v>Proceedings of the ISA/IEEE 2005 Sensors for Industry Conference, Sicon'05</v>
      </c>
      <c r="B17826" s="8" t="str">
        <f>"9781424402984"</f>
        <v>9781424402984</v>
      </c>
      <c r="C17826" s="8" t="s">
        <v>9</v>
      </c>
    </row>
    <row r="17827" spans="1:3" x14ac:dyDescent="0.25">
      <c r="A17827" s="8" t="str">
        <f>"Proceedings of the ISA/IEEE Sensors for Industry Conference"</f>
        <v>Proceedings of the ISA/IEEE Sensors for Industry Conference</v>
      </c>
      <c r="B17827" s="8" t="str">
        <f>"9780780381438"</f>
        <v>9780780381438</v>
      </c>
      <c r="C17827" s="8" t="s">
        <v>105</v>
      </c>
    </row>
    <row r="17828" spans="1:3" x14ac:dyDescent="0.25">
      <c r="A17828" s="8" t="str">
        <f>"Proceedings of the ISCA 15th International Conference on Software Engineering and Data Engineering, SEDE 2006"</f>
        <v>Proceedings of the ISCA 15th International Conference on Software Engineering and Data Engineering, SEDE 2006</v>
      </c>
      <c r="B17828" s="8" t="str">
        <f>"9781604235821"</f>
        <v>9781604235821</v>
      </c>
      <c r="C17828" s="8" t="s">
        <v>1287</v>
      </c>
    </row>
    <row r="17829" spans="1:3" x14ac:dyDescent="0.25">
      <c r="A17829" s="8" t="str">
        <f>"Proceedings of the ISCA 20th International Conference on Software Engineering and Data Engineering, SEDE 2011"</f>
        <v>Proceedings of the ISCA 20th International Conference on Software Engineering and Data Engineering, SEDE 2011</v>
      </c>
      <c r="B17829" s="8" t="str">
        <f>"9781880843826"</f>
        <v>9781880843826</v>
      </c>
      <c r="C17829" s="8" t="s">
        <v>1433</v>
      </c>
    </row>
    <row r="17830" spans="1:3" x14ac:dyDescent="0.25">
      <c r="A17830" s="8" t="str">
        <f>"Proceedings of the ISCA 24th International Conference on Computer Applications in Industry and Engineering, CAINE 2011"</f>
        <v>Proceedings of the ISCA 24th International Conference on Computer Applications in Industry and Engineering, CAINE 2011</v>
      </c>
      <c r="B17830" s="8" t="str">
        <f>"9781880843833"</f>
        <v>9781880843833</v>
      </c>
      <c r="C17830" s="8" t="s">
        <v>1433</v>
      </c>
    </row>
    <row r="17831" spans="1:3" x14ac:dyDescent="0.25">
      <c r="A17831" s="8" t="str">
        <f>"Proceedings of the ISCA 26th International Conference on Computers and Their Applications, CATA 2011"</f>
        <v>Proceedings of the ISCA 26th International Conference on Computers and Their Applications, CATA 2011</v>
      </c>
      <c r="B17831" s="8" t="str">
        <f>"9781880843802"</f>
        <v>9781880843802</v>
      </c>
      <c r="C17831" s="8" t="s">
        <v>1433</v>
      </c>
    </row>
    <row r="17832" spans="1:3" x14ac:dyDescent="0.25">
      <c r="A17832" s="8" t="str">
        <f>"Proceedings of the ISCA 27th International Conference on Computers and Their Applications, CATA 2012"</f>
        <v>Proceedings of the ISCA 27th International Conference on Computers and Their Applications, CATA 2012</v>
      </c>
      <c r="B17832" s="8" t="str">
        <f>"9781880843840"</f>
        <v>9781880843840</v>
      </c>
      <c r="C17832" s="8" t="s">
        <v>1433</v>
      </c>
    </row>
    <row r="17833" spans="1:3" x14ac:dyDescent="0.25">
      <c r="A17833" s="8" t="str">
        <f>"Proceedings of the ISSAT International Conference on Modeling of Complex Systems and Environments"</f>
        <v>Proceedings of the ISSAT International Conference on Modeling of Complex Systems and Environments</v>
      </c>
      <c r="B17833" s="8" t="str">
        <f>"9780976348634"</f>
        <v>9780976348634</v>
      </c>
      <c r="C17833" s="8" t="s">
        <v>1339</v>
      </c>
    </row>
    <row r="17834" spans="1:3" x14ac:dyDescent="0.25">
      <c r="A17834" s="8" t="str">
        <f>"Proceedings of the ISSTA 2006 Workshop on Role of Software Architecture for Testing and Analysis, ROSATEA '06"</f>
        <v>Proceedings of the ISSTA 2006 Workshop on Role of Software Architecture for Testing and Analysis, ROSATEA '06</v>
      </c>
      <c r="B17834" s="8" t="str">
        <f>"-"</f>
        <v>-</v>
      </c>
      <c r="C17834" s="8" t="s">
        <v>21</v>
      </c>
    </row>
    <row r="17835" spans="1:3" x14ac:dyDescent="0.25">
      <c r="A17835" s="8" t="str">
        <f>"Proceedings of the Jan D. Miller Symposium - Innovations in Natural Resource Processing"</f>
        <v>Proceedings of the Jan D. Miller Symposium - Innovations in Natural Resource Processing</v>
      </c>
      <c r="B17835" s="8" t="str">
        <f>"-"</f>
        <v>-</v>
      </c>
      <c r="C17835" s="8" t="s">
        <v>877</v>
      </c>
    </row>
    <row r="17836" spans="1:3" x14ac:dyDescent="0.25">
      <c r="A17836" s="8" t="str">
        <f>"Proceedings of the Joint 3rd International Workshop on Nonlinear Dynamics and Synchronization, INDS'11 and 16th International Symposium on Theoretical Electrical Engineering, ISTET'11"</f>
        <v>Proceedings of the Joint 3rd International Workshop on Nonlinear Dynamics and Synchronization, INDS'11 and 16th International Symposium on Theoretical Electrical Engineering, ISTET'11</v>
      </c>
      <c r="B17836" s="8" t="str">
        <f>"9781457707599"</f>
        <v>9781457707599</v>
      </c>
      <c r="C17836" s="8" t="s">
        <v>9</v>
      </c>
    </row>
    <row r="17837" spans="1:3" x14ac:dyDescent="0.25">
      <c r="A17837" s="8" t="str">
        <f>"Proceedings of the Joint Conference on Information Sciences"</f>
        <v>Proceedings of the Joint Conference on Information Sciences</v>
      </c>
      <c r="B17837" s="8" t="str">
        <f>"-"</f>
        <v>-</v>
      </c>
      <c r="C17837" s="8" t="s">
        <v>2244</v>
      </c>
    </row>
    <row r="17838" spans="1:3" x14ac:dyDescent="0.25">
      <c r="A17838" s="8" t="str">
        <f>"Proceedings of the Joint Conference on Information Sciences"</f>
        <v>Proceedings of the Joint Conference on Information Sciences</v>
      </c>
      <c r="B17838" s="8" t="str">
        <f>"9780964345690"</f>
        <v>9780964345690</v>
      </c>
      <c r="C17838" s="8" t="s">
        <v>2244</v>
      </c>
    </row>
    <row r="17839" spans="1:3" x14ac:dyDescent="0.25">
      <c r="A17839" s="8" t="str">
        <f>"Proceedings of the Joint Conference on Information Sciences"</f>
        <v>Proceedings of the Joint Conference on Information Sciences</v>
      </c>
      <c r="B17839" s="8" t="str">
        <f>"9780970789013"</f>
        <v>9780970789013</v>
      </c>
      <c r="C17839" s="8" t="s">
        <v>2244</v>
      </c>
    </row>
    <row r="17840" spans="1:3" x14ac:dyDescent="0.25">
      <c r="A17840" s="8" t="str">
        <f>"Proceedings of the Joint Conference on Information Sciences"</f>
        <v>Proceedings of the Joint Conference on Information Sciences</v>
      </c>
      <c r="B17840" s="8" t="str">
        <f>"-"</f>
        <v>-</v>
      </c>
      <c r="C17840" s="8" t="s">
        <v>1926</v>
      </c>
    </row>
    <row r="17841" spans="1:3" x14ac:dyDescent="0.25">
      <c r="A17841" s="8" t="str">
        <f>"Proceedings of the Joint European Software Engineering Conference (ESEC) and SIGSOFT Symposium on the Foundations of Software Engineering (FSE-11)"</f>
        <v>Proceedings of the Joint European Software Engineering Conference (ESEC) and SIGSOFT Symposium on the Foundations of Software Engineering (FSE-11)</v>
      </c>
      <c r="B17841" s="8" t="str">
        <f>"9781581137439"</f>
        <v>9781581137439</v>
      </c>
      <c r="C17841" s="8" t="s">
        <v>21</v>
      </c>
    </row>
    <row r="17842" spans="1:3" x14ac:dyDescent="0.25">
      <c r="A17842" s="8" t="str">
        <f>"Proceedings of the Joint International Conference on Autonomic and Autonomous Systems and International Conference on Networking and Services, ICAS/ICNS 2005"</f>
        <v>Proceedings of the Joint International Conference on Autonomic and Autonomous Systems and International Conference on Networking and Services, ICAS/ICNS 2005</v>
      </c>
      <c r="B17842" s="8" t="str">
        <f>"-"</f>
        <v>-</v>
      </c>
      <c r="C17842" s="8" t="s">
        <v>9</v>
      </c>
    </row>
    <row r="17843" spans="1:3" x14ac:dyDescent="0.25">
      <c r="A17843" s="8" t="str">
        <f>"Proceedings of the Joint International Workshop on Adaptivity, Personalization and the Semantic Web, APS '06"</f>
        <v>Proceedings of the Joint International Workshop on Adaptivity, Personalization and the Semantic Web, APS '06</v>
      </c>
      <c r="B17843" s="8" t="str">
        <f>"-"</f>
        <v>-</v>
      </c>
      <c r="C17843" s="8" t="s">
        <v>21</v>
      </c>
    </row>
    <row r="17844" spans="1:3" x14ac:dyDescent="0.25">
      <c r="A17844" s="8" t="str">
        <f>"Proceedings of the Joint Workshop on Foundations of Mobile Computing"</f>
        <v>Proceedings of the Joint Workshop on Foundations of Mobile Computing</v>
      </c>
      <c r="B17844" s="8" t="str">
        <f>"9781581137651"</f>
        <v>9781581137651</v>
      </c>
      <c r="C17844" s="8" t="s">
        <v>21</v>
      </c>
    </row>
    <row r="17845" spans="1:3" x14ac:dyDescent="0.25">
      <c r="A17845" s="8" t="str">
        <f>"Proceedings of the Joint Workshop on Web Services and Model-Driven Enterprise Information Services, WSMDEIS 2005, in Conjunction with ICEIS 2005"</f>
        <v>Proceedings of the Joint Workshop on Web Services and Model-Driven Enterprise Information Services, WSMDEIS 2005, in Conjunction with ICEIS 2005</v>
      </c>
      <c r="B17845" s="8" t="str">
        <f>"9789728865276"</f>
        <v>9789728865276</v>
      </c>
      <c r="C17845" s="8" t="s">
        <v>1680</v>
      </c>
    </row>
    <row r="17846" spans="1:3" x14ac:dyDescent="0.25">
      <c r="A17846" s="8" t="str">
        <f>"Proceedings of the KDD-09 Workshop on Statistical and Relational Learning in Bioinformatics, StReBio '09"</f>
        <v>Proceedings of the KDD-09 Workshop on Statistical and Relational Learning in Bioinformatics, StReBio '09</v>
      </c>
      <c r="B17846" s="8" t="str">
        <f>"9781605586670"</f>
        <v>9781605586670</v>
      </c>
      <c r="C17846" s="8" t="s">
        <v>21</v>
      </c>
    </row>
    <row r="17847" spans="1:3" x14ac:dyDescent="0.25">
      <c r="A17847" s="8" t="str">
        <f>"Proceedings of the Latin American Web Conference, LA-WEB 2008"</f>
        <v>Proceedings of the Latin American Web Conference, LA-WEB 2008</v>
      </c>
      <c r="B17847" s="8" t="str">
        <f>"9780769533971"</f>
        <v>9780769533971</v>
      </c>
      <c r="C17847" s="8" t="s">
        <v>9</v>
      </c>
    </row>
    <row r="17848" spans="1:3" x14ac:dyDescent="0.25">
      <c r="A17848" s="8" t="str">
        <f>"Proceedings of the Materials Division, The ASME Non-Destructive Evaluation Division and The ASME Pressure Vessels and Piping Division, 2006"</f>
        <v>Proceedings of the Materials Division, The ASME Non-Destructive Evaluation Division and The ASME Pressure Vessels and Piping Division, 2006</v>
      </c>
      <c r="B17848" s="8" t="str">
        <f>"9780791847732"</f>
        <v>9780791847732</v>
      </c>
      <c r="C17848" s="8" t="s">
        <v>73</v>
      </c>
    </row>
    <row r="17849" spans="1:3" x14ac:dyDescent="0.25">
      <c r="A17849" s="8" t="str">
        <f>"Proceedings of the Merton C. Flemings Symposium on Solidification and Materials Processing"</f>
        <v>Proceedings of the Merton C. Flemings Symposium on Solidification and Materials Processing</v>
      </c>
      <c r="B17849" s="8" t="str">
        <f>"9780873394987"</f>
        <v>9780873394987</v>
      </c>
      <c r="C17849" s="8" t="s">
        <v>648</v>
      </c>
    </row>
    <row r="17850" spans="1:3" x14ac:dyDescent="0.25">
      <c r="A17850" s="8" t="str">
        <f>"Proceedings of the Middleware 2011 Industry Track: Part of the ACM/IFIP/USENIX International Middleware Conference, Middleware'11"</f>
        <v>Proceedings of the Middleware 2011 Industry Track: Part of the ACM/IFIP/USENIX International Middleware Conference, Middleware'11</v>
      </c>
      <c r="B17850" s="8" t="str">
        <f>"9781450310741"</f>
        <v>9781450310741</v>
      </c>
      <c r="C17850" s="8" t="s">
        <v>21</v>
      </c>
    </row>
    <row r="17851" spans="1:3" x14ac:dyDescent="0.25">
      <c r="A17851" s="8" t="str">
        <f>"Proceedings of the Modelling of the Physical World Workshop, MOTPW 2012"</f>
        <v>Proceedings of the Modelling of the Physical World Workshop, MOTPW 2012</v>
      </c>
      <c r="B17851" s="8" t="str">
        <f>"9781450318082"</f>
        <v>9781450318082</v>
      </c>
      <c r="C17851" s="8" t="s">
        <v>21</v>
      </c>
    </row>
    <row r="17852" spans="1:3" x14ac:dyDescent="0.25">
      <c r="A17852" s="8" t="str">
        <f>"Proceedings of the Multimedia and Security Workshop 2004, MM and Sec'04"</f>
        <v>Proceedings of the Multimedia and Security Workshop 2004, MM and Sec'04</v>
      </c>
      <c r="B17852" s="8" t="str">
        <f>"9781581138542"</f>
        <v>9781581138542</v>
      </c>
      <c r="C17852" s="8" t="s">
        <v>21</v>
      </c>
    </row>
    <row r="17853" spans="1:3" x14ac:dyDescent="0.25">
      <c r="A17853" s="8" t="str">
        <f>"Proceedings of the Multimedia and Security Workshop 2006, MM and Sec'06"</f>
        <v>Proceedings of the Multimedia and Security Workshop 2006, MM and Sec'06</v>
      </c>
      <c r="B17853" s="8" t="str">
        <f>"-"</f>
        <v>-</v>
      </c>
      <c r="C17853" s="8" t="s">
        <v>21</v>
      </c>
    </row>
    <row r="17854" spans="1:3" x14ac:dyDescent="0.25">
      <c r="A17854" s="8" t="str">
        <f>"Proceedings of the National Heat Transfer Conference"</f>
        <v>Proceedings of the National Heat Transfer Conference</v>
      </c>
      <c r="B17854" s="8" t="str">
        <f>"9780791835333"</f>
        <v>9780791835333</v>
      </c>
      <c r="C17854" s="8" t="s">
        <v>1308</v>
      </c>
    </row>
    <row r="17855" spans="1:3" x14ac:dyDescent="0.25">
      <c r="A17855" s="8" t="str">
        <f>"Proceedings of the Ninth Brazilian Symposium on Neural Networks, SBRN'06"</f>
        <v>Proceedings of the Ninth Brazilian Symposium on Neural Networks, SBRN'06</v>
      </c>
      <c r="B17855" s="8" t="str">
        <f>"9780769526805"</f>
        <v>9780769526805</v>
      </c>
      <c r="C17855" s="8" t="s">
        <v>9</v>
      </c>
    </row>
    <row r="17856" spans="1:3" x14ac:dyDescent="0.25">
      <c r="A17856" s="8" t="str">
        <f>"Proceedings of the Ninth International Conference on Computer Supported Cooperative Work in Design"</f>
        <v>Proceedings of the Ninth International Conference on Computer Supported Cooperative Work in Design</v>
      </c>
      <c r="B17856" s="8" t="str">
        <f>"9781846000027"</f>
        <v>9781846000027</v>
      </c>
      <c r="C17856" s="8" t="s">
        <v>9</v>
      </c>
    </row>
    <row r="17857" spans="1:3" x14ac:dyDescent="0.25">
      <c r="A17857" s="8" t="str">
        <f>"Proceedings of the Ninth International Symposium on Environmental Degradation of Materials in Nuclear Power Systems - Water Reactors -"</f>
        <v>Proceedings of the Ninth International Symposium on Environmental Degradation of Materials in Nuclear Power Systems - Water Reactors -</v>
      </c>
      <c r="B17857" s="8" t="str">
        <f>"9780873394758"</f>
        <v>9780873394758</v>
      </c>
      <c r="C17857" s="8" t="s">
        <v>648</v>
      </c>
    </row>
    <row r="17858" spans="1:3" x14ac:dyDescent="0.25">
      <c r="A17858" s="8" t="str">
        <f>"Proceedings of the Ninth International Symposium on Heat Transfer and Renewable Sources of Energy"</f>
        <v>Proceedings of the Ninth International Symposium on Heat Transfer and Renewable Sources of Energy</v>
      </c>
      <c r="B17858" s="8" t="str">
        <f>"9788388764769"</f>
        <v>9788388764769</v>
      </c>
      <c r="C17858" s="8" t="s">
        <v>1941</v>
      </c>
    </row>
    <row r="17859" spans="1:3" x14ac:dyDescent="0.25">
      <c r="A17859" s="8" t="str">
        <f>"Proceedings of the NordiCHI 2014: The 8th Nordic Conference on Human-Computer Interaction: Fun, Fast, Foundational"</f>
        <v>Proceedings of the NordiCHI 2014: The 8th Nordic Conference on Human-Computer Interaction: Fun, Fast, Foundational</v>
      </c>
      <c r="B17859" s="8" t="str">
        <f>"9781450325424"</f>
        <v>9781450325424</v>
      </c>
      <c r="C17859" s="8" t="s">
        <v>1235</v>
      </c>
    </row>
    <row r="17860" spans="1:3" x14ac:dyDescent="0.25">
      <c r="A17860" s="8" t="str">
        <f>"Proceedings of the North American Tunneling 2006 Conference"</f>
        <v>Proceedings of the North American Tunneling 2006 Conference</v>
      </c>
      <c r="B17860" s="8" t="str">
        <f>"9780415401289"</f>
        <v>9780415401289</v>
      </c>
      <c r="C17860" s="8" t="s">
        <v>1520</v>
      </c>
    </row>
    <row r="17861" spans="1:3" x14ac:dyDescent="0.25">
      <c r="A17861" s="8" t="str">
        <f>"Proceedings of the North American Tunneling 2006 Conference"</f>
        <v>Proceedings of the North American Tunneling 2006 Conference</v>
      </c>
      <c r="B17861" s="8" t="str">
        <f>"9780415401289"</f>
        <v>9780415401289</v>
      </c>
      <c r="C17861" s="8" t="s">
        <v>1520</v>
      </c>
    </row>
    <row r="17862" spans="1:3" x14ac:dyDescent="0.25">
      <c r="A17862" s="8" t="str">
        <f>"Proceedings of the OSS 2010 Doctoral Consortium - Collocated with the 6th International Conference on Open Source Systems, OSS 2010"</f>
        <v>Proceedings of the OSS 2010 Doctoral Consortium - Collocated with the 6th International Conference on Open Source Systems, OSS 2010</v>
      </c>
      <c r="B17862" s="8" t="str">
        <f>"9789033700347"</f>
        <v>9789033700347</v>
      </c>
      <c r="C17862" s="8" t="s">
        <v>2276</v>
      </c>
    </row>
    <row r="17863" spans="1:3" x14ac:dyDescent="0.25">
      <c r="A17863" s="8" t="str">
        <f>"Proceedings of the Pacific Symposium on Biocomputing 2005, PSB 2005"</f>
        <v>Proceedings of the Pacific Symposium on Biocomputing 2005, PSB 2005</v>
      </c>
      <c r="B17863" s="8" t="str">
        <f>"9789812560469"</f>
        <v>9789812560469</v>
      </c>
      <c r="C17863" s="8" t="s">
        <v>157</v>
      </c>
    </row>
    <row r="17864" spans="1:3" x14ac:dyDescent="0.25">
      <c r="A17864" s="8" t="str">
        <f>"Proceedings of the Pacific Symposium on Biocomputing 2006, PSB 2006"</f>
        <v>Proceedings of the Pacific Symposium on Biocomputing 2006, PSB 2006</v>
      </c>
      <c r="B17864" s="8" t="str">
        <f>"9789812564634"</f>
        <v>9789812564634</v>
      </c>
      <c r="C17864" s="8" t="s">
        <v>157</v>
      </c>
    </row>
    <row r="17865" spans="1:3" x14ac:dyDescent="0.25">
      <c r="A17865" s="8" t="str">
        <f>"Proceedings of the PHYSOR 2004: The Physics of Fuel Cycles and Advanced Nuclear Systems - Global Developments"</f>
        <v>Proceedings of the PHYSOR 2004: The Physics of Fuel Cycles and Advanced Nuclear Systems - Global Developments</v>
      </c>
      <c r="B17865" s="8" t="str">
        <f>"9780894486838"</f>
        <v>9780894486838</v>
      </c>
      <c r="C17865" s="8" t="s">
        <v>453</v>
      </c>
    </row>
    <row r="17866" spans="1:3" x14ac:dyDescent="0.25">
      <c r="A17866" s="8" t="str">
        <f>"Proceedings of the PHYSTAT 2011 Workshop on Statistical Issues Related to Discovery Claims in Search Experiments and Unfolding"</f>
        <v>Proceedings of the PHYSTAT 2011 Workshop on Statistical Issues Related to Discovery Claims in Search Experiments and Unfolding</v>
      </c>
      <c r="B17866" s="8" t="str">
        <f>"9789290833673"</f>
        <v>9789290833673</v>
      </c>
      <c r="C17866" s="8" t="s">
        <v>259</v>
      </c>
    </row>
    <row r="17867" spans="1:3" x14ac:dyDescent="0.25">
      <c r="A17867" s="8" t="str">
        <f>"Proceedings of the Pipeline Pigging and Integrity Management Conference 2009"</f>
        <v>Proceedings of the Pipeline Pigging and Integrity Management Conference 2009</v>
      </c>
      <c r="B17867" s="8" t="str">
        <f>"-"</f>
        <v>-</v>
      </c>
      <c r="C17867" s="8" t="s">
        <v>1398</v>
      </c>
    </row>
    <row r="17868" spans="1:3" x14ac:dyDescent="0.25">
      <c r="A17868" s="8" t="str">
        <f>"Proceedings of the Posters and Demo Track, Middleware 2012"</f>
        <v>Proceedings of the Posters and Demo Track, Middleware 2012</v>
      </c>
      <c r="B17868" s="8" t="str">
        <f>"9781450316125"</f>
        <v>9781450316125</v>
      </c>
      <c r="C17868" s="8" t="s">
        <v>21</v>
      </c>
    </row>
    <row r="17869" spans="1:3" x14ac:dyDescent="0.25">
      <c r="A17869" s="8" t="str">
        <f>"Proceedings of the Power Conversion Conference-Osaka 2002, PCC-Osaka 2002"</f>
        <v>Proceedings of the Power Conversion Conference-Osaka 2002, PCC-Osaka 2002</v>
      </c>
      <c r="B17869" s="8" t="str">
        <f>"-"</f>
        <v>-</v>
      </c>
    </row>
    <row r="17870" spans="1:3" x14ac:dyDescent="0.25">
      <c r="A17870" s="8" t="str">
        <f>"Proceedings of the Prague Stringology Conference '05"</f>
        <v>Proceedings of the Prague Stringology Conference '05</v>
      </c>
      <c r="B17870" s="8" t="str">
        <f>"9788001033074"</f>
        <v>9788001033074</v>
      </c>
      <c r="C17870" s="8" t="s">
        <v>2277</v>
      </c>
    </row>
    <row r="17871" spans="1:3" x14ac:dyDescent="0.25">
      <c r="A17871" s="8" t="str">
        <f>"Proceedings of the Prague Stringology Conference '06"</f>
        <v>Proceedings of the Prague Stringology Conference '06</v>
      </c>
      <c r="B17871" s="8" t="str">
        <f>"9788001035337"</f>
        <v>9788001035337</v>
      </c>
      <c r="C17871" s="8" t="s">
        <v>2277</v>
      </c>
    </row>
    <row r="17872" spans="1:3" x14ac:dyDescent="0.25">
      <c r="A17872" s="8" t="str">
        <f>"Proceedings of the Prague Stringology Conference 2008"</f>
        <v>Proceedings of the Prague Stringology Conference 2008</v>
      </c>
      <c r="B17872" s="8" t="str">
        <f>"9788001041451"</f>
        <v>9788001041451</v>
      </c>
      <c r="C17872" s="8" t="s">
        <v>2277</v>
      </c>
    </row>
    <row r="17873" spans="1:3" x14ac:dyDescent="0.25">
      <c r="A17873" s="8" t="str">
        <f>"Proceedings of the Prague Stringology Conference 2009"</f>
        <v>Proceedings of the Prague Stringology Conference 2009</v>
      </c>
      <c r="B17873" s="8" t="str">
        <f>"9788001044032"</f>
        <v>9788001044032</v>
      </c>
      <c r="C17873" s="8" t="s">
        <v>2277</v>
      </c>
    </row>
    <row r="17874" spans="1:3" x14ac:dyDescent="0.25">
      <c r="A17874" s="8" t="str">
        <f>"Proceedings of the Prague Stringology Conference 2010"</f>
        <v>Proceedings of the Prague Stringology Conference 2010</v>
      </c>
      <c r="B17874" s="8" t="str">
        <f>"9788001045978"</f>
        <v>9788001045978</v>
      </c>
      <c r="C17874" s="8" t="s">
        <v>2277</v>
      </c>
    </row>
    <row r="17875" spans="1:3" x14ac:dyDescent="0.25">
      <c r="A17875" s="8" t="str">
        <f>"Proceedings of the Prague Stringology Conference 2011"</f>
        <v>Proceedings of the Prague Stringology Conference 2011</v>
      </c>
      <c r="B17875" s="8" t="str">
        <f>"9788001048702"</f>
        <v>9788001048702</v>
      </c>
      <c r="C17875" s="8" t="s">
        <v>2277</v>
      </c>
    </row>
    <row r="17876" spans="1:3" x14ac:dyDescent="0.25">
      <c r="A17876" s="8" t="str">
        <f>"Proceedings of the Prague Stringology Conference 2013, PSC 2013"</f>
        <v>Proceedings of the Prague Stringology Conference 2013, PSC 2013</v>
      </c>
      <c r="B17876" s="8" t="str">
        <f>"9788001053300"</f>
        <v>9788001053300</v>
      </c>
      <c r="C17876" s="8" t="s">
        <v>2277</v>
      </c>
    </row>
    <row r="17877" spans="1:3" x14ac:dyDescent="0.25">
      <c r="A17877" s="8" t="str">
        <f>"Proceedings of the Prague Stringology Conference, PSC 2012"</f>
        <v>Proceedings of the Prague Stringology Conference, PSC 2012</v>
      </c>
      <c r="B17877" s="8" t="str">
        <f>"9788001050958"</f>
        <v>9788001050958</v>
      </c>
      <c r="C17877" s="8" t="s">
        <v>2277</v>
      </c>
    </row>
    <row r="17878" spans="1:3" x14ac:dyDescent="0.25">
      <c r="A17878" s="8" t="str">
        <f>"Proceedings of the Programmable Routers for Extensible Services of Tomorrow, PRESTO 2010, Workshop Held in Conjunction with CoNEXT 2010"</f>
        <v>Proceedings of the Programmable Routers for Extensible Services of Tomorrow, PRESTO 2010, Workshop Held in Conjunction with CoNEXT 2010</v>
      </c>
      <c r="B17878" s="8" t="str">
        <f>"9781450304672"</f>
        <v>9781450304672</v>
      </c>
      <c r="C17878" s="8" t="s">
        <v>21</v>
      </c>
    </row>
    <row r="17879" spans="1:3" x14ac:dyDescent="0.25">
      <c r="A17879" s="8" t="str">
        <f>"Proceedings of the Re-Architecting the Internet (ReArch) Workshop, Held in Conjunction with CoNEXT 2010"</f>
        <v>Proceedings of the Re-Architecting the Internet (ReArch) Workshop, Held in Conjunction with CoNEXT 2010</v>
      </c>
      <c r="B17879" s="8" t="str">
        <f>"9781450304672"</f>
        <v>9781450304672</v>
      </c>
      <c r="C17879" s="8" t="s">
        <v>21</v>
      </c>
    </row>
    <row r="17880" spans="1:3" x14ac:dyDescent="0.25">
      <c r="A17880" s="8" t="str">
        <f>"Proceedings of the Richard Tapia Celebration of Diversity in Computing Conference 2007"</f>
        <v>Proceedings of the Richard Tapia Celebration of Diversity in Computing Conference 2007</v>
      </c>
      <c r="B17880" s="8" t="str">
        <f>"9781595938664"</f>
        <v>9781595938664</v>
      </c>
      <c r="C17880" s="8" t="s">
        <v>21</v>
      </c>
    </row>
    <row r="17881" spans="1:3" x14ac:dyDescent="0.25">
      <c r="A17881" s="8" t="str">
        <f>"Proceedings of the Richard Tapia Celebration of Diversity in Computing Conference 2009: Intellect, Initiatives, Insight, and Innovations"</f>
        <v>Proceedings of the Richard Tapia Celebration of Diversity in Computing Conference 2009: Intellect, Initiatives, Insight, and Innovations</v>
      </c>
      <c r="B17881" s="8" t="str">
        <f>"9781605582177"</f>
        <v>9781605582177</v>
      </c>
      <c r="C17881" s="8" t="s">
        <v>21</v>
      </c>
    </row>
    <row r="17882" spans="1:3" x14ac:dyDescent="0.25">
      <c r="A17882" s="8" t="str">
        <f>"Proceedings of the Ringberg Workshop on New Trends in HERA Physics 2005"</f>
        <v>Proceedings of the Ringberg Workshop on New Trends in HERA Physics 2005</v>
      </c>
      <c r="B17882" s="8" t="str">
        <f>"9789812568168"</f>
        <v>9789812568168</v>
      </c>
      <c r="C17882" s="8" t="s">
        <v>157</v>
      </c>
    </row>
    <row r="17883" spans="1:3" x14ac:dyDescent="0.25">
      <c r="A17883" s="8" t="str">
        <f>"Proceedings of the SBSC 2010 - 7th Brazilian Symposium on Collaborative Systems"</f>
        <v>Proceedings of the SBSC 2010 - 7th Brazilian Symposium on Collaborative Systems</v>
      </c>
      <c r="B17883" s="8" t="str">
        <f>"-"</f>
        <v>-</v>
      </c>
      <c r="C17883" s="8" t="s">
        <v>9</v>
      </c>
    </row>
    <row r="17884" spans="1:3" x14ac:dyDescent="0.25">
      <c r="A17884" s="8" t="str">
        <f>"Proceedings of the School for Experimental High Energy Physics Students 2005"</f>
        <v>Proceedings of the School for Experimental High Energy Physics Students 2005</v>
      </c>
      <c r="B17884" s="8" t="str">
        <f>"-"</f>
        <v>-</v>
      </c>
      <c r="C17884" s="8" t="s">
        <v>2278</v>
      </c>
    </row>
    <row r="17885" spans="1:3" x14ac:dyDescent="0.25">
      <c r="A17885" s="8" t="str">
        <f>"Proceedings of the School for Experimental High Energy Physics Students 2006"</f>
        <v>Proceedings of the School for Experimental High Energy Physics Students 2006</v>
      </c>
      <c r="B17885" s="8" t="str">
        <f>"-"</f>
        <v>-</v>
      </c>
      <c r="C17885" s="8" t="s">
        <v>2278</v>
      </c>
    </row>
    <row r="17886" spans="1:3" x14ac:dyDescent="0.25">
      <c r="A17886" s="8" t="str">
        <f>"Proceedings of the School for Experimental High Energy Physics Students 2008"</f>
        <v>Proceedings of the School for Experimental High Energy Physics Students 2008</v>
      </c>
      <c r="B17886" s="8" t="str">
        <f>"-"</f>
        <v>-</v>
      </c>
      <c r="C17886" s="8" t="s">
        <v>1975</v>
      </c>
    </row>
    <row r="17887" spans="1:3" x14ac:dyDescent="0.25">
      <c r="A17887" s="8" t="str">
        <f>"Proceedings of the Second ACM International Workshop on Data Engineering for Wireless and Mobile Access: MobiDE 2001"</f>
        <v>Proceedings of the Second ACM International Workshop on Data Engineering for Wireless and Mobile Access: MobiDE 2001</v>
      </c>
      <c r="B17887" s="8" t="str">
        <f>"9781581134124"</f>
        <v>9781581134124</v>
      </c>
      <c r="C17887" s="8" t="s">
        <v>21</v>
      </c>
    </row>
    <row r="17888" spans="1:3" x14ac:dyDescent="0.25">
      <c r="A17888" s="8" t="str">
        <f>"Proceedings of the Second ACM International Workshop on Storage Security and Survivability, Storage SS'06. Co-located with the 13th ACM Conference on Computer and Communications Security, CCS'06"</f>
        <v>Proceedings of the Second ACM International Workshop on Storage Security and Survivability, Storage SS'06. Co-located with the 13th ACM Conference on Computer and Communications Security, CCS'06</v>
      </c>
      <c r="B17888" s="8" t="str">
        <f>"9781595935526"</f>
        <v>9781595935526</v>
      </c>
      <c r="C17888" s="8" t="s">
        <v>21</v>
      </c>
    </row>
    <row r="17889" spans="1:3" x14ac:dyDescent="0.25">
      <c r="A17889" s="8" t="str">
        <f>"Proceedings of the Second ACM International Workshop on Wireless Mobile Applications and Services on WLAN Hotspots, WMASH 2004"</f>
        <v>Proceedings of the Second ACM International Workshop on Wireless Mobile Applications and Services on WLAN Hotspots, WMASH 2004</v>
      </c>
      <c r="B17889" s="8" t="str">
        <f>"9781581138771"</f>
        <v>9781581138771</v>
      </c>
      <c r="C17889" s="8" t="s">
        <v>21</v>
      </c>
    </row>
    <row r="17890" spans="1:3" x14ac:dyDescent="0.25">
      <c r="A17890" s="8" t="str">
        <f>"Proceedings of the Second ACM International Workshop on Wireless Sensor networks and Applications, WSNA 2003"</f>
        <v>Proceedings of the Second ACM International Workshop on Wireless Sensor networks and Applications, WSNA 2003</v>
      </c>
      <c r="B17890" s="8" t="str">
        <f>"9781581137644"</f>
        <v>9781581137644</v>
      </c>
      <c r="C17890" s="8" t="s">
        <v>21</v>
      </c>
    </row>
    <row r="17891" spans="1:3" x14ac:dyDescent="0.25">
      <c r="A17891" s="8" t="str">
        <f>"Proceedings of the Second ACM Workshop on Digital Identity Management, DIM 2006. Co-located with the 13th ACM Conference on Computer and Communications Security, CCS'06"</f>
        <v>Proceedings of the Second ACM Workshop on Digital Identity Management, DIM 2006. Co-located with the 13th ACM Conference on Computer and Communications Security, CCS'06</v>
      </c>
      <c r="B17891" s="8" t="str">
        <f>"9781595935472"</f>
        <v>9781595935472</v>
      </c>
      <c r="C17891" s="8" t="s">
        <v>21</v>
      </c>
    </row>
    <row r="17892" spans="1:3" x14ac:dyDescent="0.25">
      <c r="A17892" s="8" t="str">
        <f>"Proceedings of the Second Americas Display Engineering and Applications Conference, ADEAC 2005"</f>
        <v>Proceedings of the Second Americas Display Engineering and Applications Conference, ADEAC 2005</v>
      </c>
      <c r="B17892" s="8" t="str">
        <f>"-"</f>
        <v>-</v>
      </c>
      <c r="C17892" s="8" t="s">
        <v>535</v>
      </c>
    </row>
    <row r="17893" spans="1:3" x14ac:dyDescent="0.25">
      <c r="A17893" s="8" t="str">
        <f>"Proceedings of the Second European Workshop on Wireless Sensor Networks, EWSN 2005"</f>
        <v>Proceedings of the Second European Workshop on Wireless Sensor Networks, EWSN 2005</v>
      </c>
      <c r="B17893" s="8" t="str">
        <f>"-"</f>
        <v>-</v>
      </c>
      <c r="C17893" s="8" t="s">
        <v>9</v>
      </c>
    </row>
    <row r="17894" spans="1:3" x14ac:dyDescent="0.25">
      <c r="A17894" s="8" t="str">
        <f>"Proceedings of the Second IASTED International Conference on Advanced Technology in the Environmental Field, ATEF 2006"</f>
        <v>Proceedings of the Second IASTED International Conference on Advanced Technology in the Environmental Field, ATEF 2006</v>
      </c>
      <c r="B17894" s="8" t="str">
        <f>"9780889865549"</f>
        <v>9780889865549</v>
      </c>
      <c r="C17894" s="8" t="s">
        <v>305</v>
      </c>
    </row>
    <row r="17895" spans="1:3" x14ac:dyDescent="0.25">
      <c r="A17895" s="8" t="str">
        <f>"Proceedings of the Second IASTED International Conference on Antennas, Radar, and Wave Propagation"</f>
        <v>Proceedings of the Second IASTED International Conference on Antennas, Radar, and Wave Propagation</v>
      </c>
      <c r="B17895" s="8" t="str">
        <f>"-"</f>
        <v>-</v>
      </c>
      <c r="C17895" s="8" t="s">
        <v>305</v>
      </c>
    </row>
    <row r="17896" spans="1:3" x14ac:dyDescent="0.25">
      <c r="A17896" s="8" t="str">
        <f>"Proceedings of the Second IASTED International Conference on Biomechanics"</f>
        <v>Proceedings of the Second IASTED International Conference on Biomechanics</v>
      </c>
      <c r="B17896" s="8" t="str">
        <f>"9780889864481"</f>
        <v>9780889864481</v>
      </c>
      <c r="C17896" s="8" t="s">
        <v>305</v>
      </c>
    </row>
    <row r="17897" spans="1:3" x14ac:dyDescent="0.25">
      <c r="A17897" s="8" t="str">
        <f>"Proceedings of the Second IASTED International Conference on Communications, Internet, and Information Technology"</f>
        <v>Proceedings of the Second IASTED International Conference on Communications, Internet, and Information Technology</v>
      </c>
      <c r="B17897" s="8" t="str">
        <f>"9780889863989"</f>
        <v>9780889863989</v>
      </c>
      <c r="C17897" s="8" t="s">
        <v>1869</v>
      </c>
    </row>
    <row r="17898" spans="1:3" x14ac:dyDescent="0.25">
      <c r="A17898" s="8" t="str">
        <f>"Proceedings of the Second IASTED International Conference on Environmental Modelling and Simulation, EMS 2006"</f>
        <v>Proceedings of the Second IASTED International Conference on Environmental Modelling and Simulation, EMS 2006</v>
      </c>
      <c r="B17898" s="8" t="str">
        <f>"9780889866195"</f>
        <v>9780889866195</v>
      </c>
      <c r="C17898" s="8" t="s">
        <v>305</v>
      </c>
    </row>
    <row r="17899" spans="1:3" x14ac:dyDescent="0.25">
      <c r="A17899" s="8" t="str">
        <f>"Proceedings of the Second IASTED International Conference on Financial Engineering and Applications"</f>
        <v>Proceedings of the Second IASTED International Conference on Financial Engineering and Applications</v>
      </c>
      <c r="B17899" s="8" t="str">
        <f>"9780889864177"</f>
        <v>9780889864177</v>
      </c>
      <c r="C17899" s="8" t="s">
        <v>305</v>
      </c>
    </row>
    <row r="17900" spans="1:3" x14ac:dyDescent="0.25">
      <c r="A17900" s="8" t="str">
        <f>"Proceedings of the Second IASTED International Conference on Web Technologies, Applications, and Services, WTAS 2006"</f>
        <v>Proceedings of the Second IASTED International Conference on Web Technologies, Applications, and Services, WTAS 2006</v>
      </c>
      <c r="B17900" s="8" t="str">
        <f>"9780889865778"</f>
        <v>9780889865778</v>
      </c>
      <c r="C17900" s="8" t="s">
        <v>305</v>
      </c>
    </row>
    <row r="17901" spans="1:3" x14ac:dyDescent="0.25">
      <c r="A17901" s="8" t="str">
        <f>"Proceedings of the Second IASTED International Multi-Conference on Automation, Control, and Information Technology - Communication Systems"</f>
        <v>Proceedings of the Second IASTED International Multi-Conference on Automation, Control, and Information Technology - Communication Systems</v>
      </c>
      <c r="B17901" s="8" t="str">
        <f>"-"</f>
        <v>-</v>
      </c>
      <c r="C17901" s="8" t="s">
        <v>305</v>
      </c>
    </row>
    <row r="17902" spans="1:3" x14ac:dyDescent="0.25">
      <c r="A17902" s="8" t="str">
        <f>"Proceedings of the Second IASTED International Multi-Conference on Automation, Control, and Information Technology - Signal and Image Processing"</f>
        <v>Proceedings of the Second IASTED International Multi-Conference on Automation, Control, and Information Technology - Signal and Image Processing</v>
      </c>
      <c r="B17902" s="8" t="str">
        <f>"-"</f>
        <v>-</v>
      </c>
      <c r="C17902" s="8" t="s">
        <v>305</v>
      </c>
    </row>
    <row r="17903" spans="1:3" x14ac:dyDescent="0.25">
      <c r="A17903" s="8" t="str">
        <f>"Proceedings of the Second IASTED International Multi-Conference on Automation, Control, and Information Technology, ACIT 2005"</f>
        <v>Proceedings of the Second IASTED International Multi-Conference on Automation, Control, and Information Technology, ACIT 2005</v>
      </c>
      <c r="B17903" s="8" t="str">
        <f>"9780889864757"</f>
        <v>9780889864757</v>
      </c>
      <c r="C17903" s="8" t="s">
        <v>305</v>
      </c>
    </row>
    <row r="17904" spans="1:3" x14ac:dyDescent="0.25">
      <c r="A17904" s="8" t="str">
        <f>"Proceedings of the Second International Conference on Communications and Networking in China, ChinaCom 2007"</f>
        <v>Proceedings of the Second International Conference on Communications and Networking in China, ChinaCom 2007</v>
      </c>
      <c r="B17904" s="8" t="str">
        <f>"9781424410095"</f>
        <v>9781424410095</v>
      </c>
      <c r="C17904" s="8" t="s">
        <v>105</v>
      </c>
    </row>
    <row r="17905" spans="1:3" x14ac:dyDescent="0.25">
      <c r="A17905" s="8" t="str">
        <f>"Proceedings of the Second International Conference on Information Technology and Applications (ICITA 2004)"</f>
        <v>Proceedings of the Second International Conference on Information Technology and Applications (ICITA 2004)</v>
      </c>
      <c r="B17905" s="8" t="str">
        <f>"9780646423135"</f>
        <v>9780646423135</v>
      </c>
      <c r="C17905" s="8" t="s">
        <v>2279</v>
      </c>
    </row>
    <row r="17906" spans="1:3" x14ac:dyDescent="0.25">
      <c r="A17906" s="8" t="str">
        <f>"Proceedings of the Second International Conference on Microchannels and Minichannels (ICMM2004)"</f>
        <v>Proceedings of the Second International Conference on Microchannels and Minichannels (ICMM2004)</v>
      </c>
      <c r="B17906" s="8" t="str">
        <f>"9780791841648"</f>
        <v>9780791841648</v>
      </c>
      <c r="C17906" s="8" t="s">
        <v>1308</v>
      </c>
    </row>
    <row r="17907" spans="1:3" x14ac:dyDescent="0.25">
      <c r="A17907" s="8" t="str">
        <f>"Proceedings of the Second International Conference on Processing Materials for Properties"</f>
        <v>Proceedings of the Second International Conference on Processing Materials for Properties</v>
      </c>
      <c r="B17907" s="8" t="str">
        <f>"9780873394956"</f>
        <v>9780873394956</v>
      </c>
      <c r="C17907" s="8" t="s">
        <v>648</v>
      </c>
    </row>
    <row r="17908" spans="1:3" x14ac:dyDescent="0.25">
      <c r="A17908" s="8" t="str">
        <f>"Proceedings of the Second International Conference on Software Engineering and Formal Methods. SEFM 2004"</f>
        <v>Proceedings of the Second International Conference on Software Engineering and Formal Methods. SEFM 2004</v>
      </c>
      <c r="B17908" s="8" t="str">
        <f>"9780769522227"</f>
        <v>9780769522227</v>
      </c>
      <c r="C17908" s="8" t="s">
        <v>9</v>
      </c>
    </row>
    <row r="17909" spans="1:3" x14ac:dyDescent="0.25">
      <c r="A17909" s="8" t="str">
        <f>"Proceedings of the Second International Symposium on Instrumentation Science and Technology"</f>
        <v>Proceedings of the Second International Symposium on Instrumentation Science and Technology</v>
      </c>
      <c r="B17909" s="8" t="str">
        <f>"9787560317687"</f>
        <v>9787560317687</v>
      </c>
      <c r="C17909" s="8" t="s">
        <v>476</v>
      </c>
    </row>
    <row r="17910" spans="1:3" x14ac:dyDescent="0.25">
      <c r="A17910" s="8" t="str">
        <f>"Proceedings of the Second International Symposium on Instrumentation Science and Technology"</f>
        <v>Proceedings of the Second International Symposium on Instrumentation Science and Technology</v>
      </c>
      <c r="B17910" s="8" t="str">
        <f>"9787560317687"</f>
        <v>9787560317687</v>
      </c>
      <c r="C17910" s="8" t="s">
        <v>476</v>
      </c>
    </row>
    <row r="17911" spans="1:3" x14ac:dyDescent="0.25">
      <c r="A17911" s="8" t="str">
        <f>"Proceedings of the Second International Symposium on Instrumentation Science and Technology"</f>
        <v>Proceedings of the Second International Symposium on Instrumentation Science and Technology</v>
      </c>
      <c r="B17911" s="8" t="str">
        <f>"9787560317687"</f>
        <v>9787560317687</v>
      </c>
      <c r="C17911" s="8" t="s">
        <v>476</v>
      </c>
    </row>
    <row r="17912" spans="1:3" x14ac:dyDescent="0.25">
      <c r="A17912" s="8" t="str">
        <f>"Proceedings of the Second International Symposium on Instrumentation Science and Technology"</f>
        <v>Proceedings of the Second International Symposium on Instrumentation Science and Technology</v>
      </c>
      <c r="B17912" s="8" t="str">
        <f>"9787560317687"</f>
        <v>9787560317687</v>
      </c>
      <c r="C17912" s="8" t="s">
        <v>476</v>
      </c>
    </row>
    <row r="17913" spans="1:3" x14ac:dyDescent="0.25">
      <c r="A17913" s="8" t="str">
        <f>"Proceedings of the Second International Workshop on Challenges of Large Applications in Distributed Environments"</f>
        <v>Proceedings of the Second International Workshop on Challenges of Large Applications in Distributed Environments</v>
      </c>
      <c r="B17913" s="8" t="str">
        <f>"9780769521152"</f>
        <v>9780769521152</v>
      </c>
      <c r="C17913" s="8" t="s">
        <v>9</v>
      </c>
    </row>
    <row r="17914" spans="1:3" x14ac:dyDescent="0.25">
      <c r="A17914" s="8" t="str">
        <f>"Proceedings of the Second Workshop on Use of P2P, GRid and Agents for the Development of Content Networks, UPGRADE-CN'07"</f>
        <v>Proceedings of the Second Workshop on Use of P2P, GRid and Agents for the Development of Content Networks, UPGRADE-CN'07</v>
      </c>
      <c r="B17914" s="8" t="str">
        <f>"9781595937186"</f>
        <v>9781595937186</v>
      </c>
      <c r="C17914" s="8" t="s">
        <v>21</v>
      </c>
    </row>
    <row r="17915" spans="1:3" x14ac:dyDescent="0.25">
      <c r="A17915" s="8" t="str">
        <f>"Proceedings of the SEM Annual Conference and Exposition on Experimental and Applied Mechanics 2007"</f>
        <v>Proceedings of the SEM Annual Conference and Exposition on Experimental and Applied Mechanics 2007</v>
      </c>
      <c r="B17915" s="8" t="str">
        <f>"9781604232226"</f>
        <v>9781604232226</v>
      </c>
      <c r="C17915" s="8" t="s">
        <v>996</v>
      </c>
    </row>
    <row r="17916" spans="1:3" x14ac:dyDescent="0.25">
      <c r="A17916" s="8" t="str">
        <f>"Proceedings of the Sendai International Symposium: Strangeness in Nuclear and Hadronic Systems, SENDAI 2008"</f>
        <v>Proceedings of the Sendai International Symposium: Strangeness in Nuclear and Hadronic Systems, SENDAI 2008</v>
      </c>
      <c r="B17916" s="8" t="str">
        <f>"9789814277600"</f>
        <v>9789814277600</v>
      </c>
      <c r="C17916" s="8" t="s">
        <v>157</v>
      </c>
    </row>
    <row r="17917" spans="1:3" x14ac:dyDescent="0.25">
      <c r="A17917" s="8" t="str">
        <f>"Proceedings of the Seventeenth ACM Conference on Hypertext and Hypermedia, HT'06"</f>
        <v>Proceedings of the Seventeenth ACM Conference on Hypertext and Hypermedia, HT'06</v>
      </c>
      <c r="B17917" s="8" t="str">
        <f>"-"</f>
        <v>-</v>
      </c>
      <c r="C17917" s="8" t="s">
        <v>21</v>
      </c>
    </row>
    <row r="17918" spans="1:3" x14ac:dyDescent="0.25">
      <c r="A17918" s="8" t="str">
        <f>"Proceedings of the Seventeenth International Florida Artificial Intelligence Research Society Conference, FLAIRS 2004"</f>
        <v>Proceedings of the Seventeenth International Florida Artificial Intelligence Research Society Conference, FLAIRS 2004</v>
      </c>
      <c r="B17918" s="8" t="str">
        <f>"9781577352013"</f>
        <v>9781577352013</v>
      </c>
      <c r="C17918" s="8" t="s">
        <v>11</v>
      </c>
    </row>
    <row r="17919" spans="1:3" x14ac:dyDescent="0.25">
      <c r="A17919" s="8" t="str">
        <f>"Proceedings of the Seventh 2006 ISOPE Pacific/Asia Offshore Mechanics Symposium, ISOPE PACOMS 2006"</f>
        <v>Proceedings of the Seventh 2006 ISOPE Pacific/Asia Offshore Mechanics Symposium, ISOPE PACOMS 2006</v>
      </c>
      <c r="B17919" s="8" t="str">
        <f>"9781880653678"</f>
        <v>9781880653678</v>
      </c>
      <c r="C17919" s="8" t="s">
        <v>594</v>
      </c>
    </row>
    <row r="17920" spans="1:3" x14ac:dyDescent="0.25">
      <c r="A17920" s="8" t="str">
        <f>"Proceedings of the Seventh ACM SIGKDD International Conference on Knowledge Discovery and Data Mining"</f>
        <v>Proceedings of the Seventh ACM SIGKDD International Conference on Knowledge Discovery and Data Mining</v>
      </c>
      <c r="B17920" s="8" t="str">
        <f>"9781581133912"</f>
        <v>9781581133912</v>
      </c>
      <c r="C17920" s="8" t="s">
        <v>21</v>
      </c>
    </row>
    <row r="17921" spans="1:3" x14ac:dyDescent="0.25">
      <c r="A17921" s="8" t="str">
        <f>"Proceedings of the Seventh IASTED International Conference on Advances in Computer Science and Technology"</f>
        <v>Proceedings of the Seventh IASTED International Conference on Advances in Computer Science and Technology</v>
      </c>
      <c r="B17921" s="8" t="str">
        <f>"-"</f>
        <v>-</v>
      </c>
      <c r="C17921" s="8" t="s">
        <v>1869</v>
      </c>
    </row>
    <row r="17922" spans="1:3" x14ac:dyDescent="0.25">
      <c r="A17922" s="8" t="str">
        <f>"Proceedings of the Seventh IASTED International Conference on Computer Graphics and Imaging"</f>
        <v>Proceedings of the Seventh IASTED International Conference on Computer Graphics and Imaging</v>
      </c>
      <c r="B17922" s="8" t="str">
        <f>"-"</f>
        <v>-</v>
      </c>
      <c r="C17922" s="8" t="s">
        <v>305</v>
      </c>
    </row>
    <row r="17923" spans="1:3" x14ac:dyDescent="0.25">
      <c r="A17923" s="8" t="str">
        <f>"Proceedings of the Seventh IASTED International Conference on Computers and Advanced Technology in Education"</f>
        <v>Proceedings of the Seventh IASTED International Conference on Computers and Advanced Technology in Education</v>
      </c>
      <c r="B17923" s="8" t="str">
        <f>"9780889864306"</f>
        <v>9780889864306</v>
      </c>
      <c r="C17923" s="8" t="s">
        <v>305</v>
      </c>
    </row>
    <row r="17924" spans="1:3" x14ac:dyDescent="0.25">
      <c r="A17924" s="8" t="str">
        <f>"Proceedings of the Seventh IASTED International Conference on Signal and Image Processing, SIP 2005"</f>
        <v>Proceedings of the Seventh IASTED International Conference on Signal and Image Processing, SIP 2005</v>
      </c>
      <c r="B17924" s="8" t="str">
        <f>"9780889865181"</f>
        <v>9780889865181</v>
      </c>
      <c r="C17924" s="8" t="s">
        <v>305</v>
      </c>
    </row>
    <row r="17925" spans="1:3" x14ac:dyDescent="0.25">
      <c r="A17925" s="8" t="str">
        <f>"Proceedings of the Seventh IEEE Workshop on Mobile Computing System and Applications - Supplement, WMCSA'06 Supplement"</f>
        <v>Proceedings of the Seventh IEEE Workshop on Mobile Computing System and Applications - Supplement, WMCSA'06 Supplement</v>
      </c>
      <c r="B17925" s="8" t="str">
        <f>"9780769527635"</f>
        <v>9780769527635</v>
      </c>
      <c r="C17925" s="8" t="s">
        <v>9</v>
      </c>
    </row>
    <row r="17926" spans="1:3" x14ac:dyDescent="0.25">
      <c r="A17926" s="8" t="str">
        <f>"Proceedings of the Seventh International Conference on Industrial Engineering and Engineering Management"</f>
        <v>Proceedings of the Seventh International Conference on Industrial Engineering and Engineering Management</v>
      </c>
      <c r="B17926" s="8" t="str">
        <f>"9785702801056"</f>
        <v>9785702801056</v>
      </c>
      <c r="C17926" s="8" t="s">
        <v>2280</v>
      </c>
    </row>
    <row r="17927" spans="1:3" x14ac:dyDescent="0.25">
      <c r="A17927" s="8" t="str">
        <f>"Proceedings of the Seventh International Conference on Information Fusion, FUSION 2004"</f>
        <v>Proceedings of the Seventh International Conference on Information Fusion, FUSION 2004</v>
      </c>
      <c r="B17927" s="8" t="str">
        <f>"9789170561153"</f>
        <v>9789170561153</v>
      </c>
      <c r="C17927" s="8" t="s">
        <v>657</v>
      </c>
    </row>
    <row r="17928" spans="1:3" x14ac:dyDescent="0.25">
      <c r="A17928" s="8" t="str">
        <f>"Proceedings of the Seventh International Conference on Multimodal Interfaces, ICMI'05"</f>
        <v>Proceedings of the Seventh International Conference on Multimodal Interfaces, ICMI'05</v>
      </c>
      <c r="B17928" s="8" t="str">
        <f>"9781595930286"</f>
        <v>9781595930286</v>
      </c>
      <c r="C17928" s="8" t="s">
        <v>21</v>
      </c>
    </row>
    <row r="17929" spans="1:3" x14ac:dyDescent="0.25">
      <c r="A17929" s="8" t="str">
        <f>"Proceedings of the Seventh Workshop on Algorithm Engineering and Experiments and the Second Workshop on Analytic Algorithms and Combinatorics"</f>
        <v>Proceedings of the Seventh Workshop on Algorithm Engineering and Experiments and the Second Workshop on Analytic Algorithms and Combinatorics</v>
      </c>
      <c r="B17929" s="8" t="str">
        <f>"9780898715965"</f>
        <v>9780898715965</v>
      </c>
      <c r="C17929" s="8" t="s">
        <v>249</v>
      </c>
    </row>
    <row r="17930" spans="1:3" x14ac:dyDescent="0.25">
      <c r="A17930" s="8" t="str">
        <f>"Proceedings of the SIGCSE Technical Symposium on Computer Science Education"</f>
        <v>Proceedings of the SIGCSE Technical Symposium on Computer Science Education</v>
      </c>
      <c r="B17930" s="8" t="str">
        <f>"9781581137989"</f>
        <v>9781581137989</v>
      </c>
      <c r="C17930" s="8" t="s">
        <v>21</v>
      </c>
    </row>
    <row r="17931" spans="1:3" x14ac:dyDescent="0.25">
      <c r="A17931" s="8" t="str">
        <f>"Proceedings of the SIGDIAL 2009 Conference: 10th Annual Meeting of the Special Interest Group on Discourse and Dialogue"</f>
        <v>Proceedings of the SIGDIAL 2009 Conference: 10th Annual Meeting of the Special Interest Group on Discourse and Dialogue</v>
      </c>
      <c r="B17931" s="8" t="str">
        <f>"9781932432640"</f>
        <v>9781932432640</v>
      </c>
      <c r="C17931" s="8" t="s">
        <v>554</v>
      </c>
    </row>
    <row r="17932" spans="1:3" x14ac:dyDescent="0.25">
      <c r="A17932" s="8" t="str">
        <f>"Proceedings of the SIGDIAL 2010 Conference: 11th Annual Meeting of the Special Interest Group onDiscourse and Dialogue"</f>
        <v>Proceedings of the SIGDIAL 2010 Conference: 11th Annual Meeting of the Special Interest Group onDiscourse and Dialogue</v>
      </c>
      <c r="B17932" s="8" t="str">
        <f>"9781932432855"</f>
        <v>9781932432855</v>
      </c>
      <c r="C17932" s="8" t="s">
        <v>554</v>
      </c>
    </row>
    <row r="17933" spans="1:3" x14ac:dyDescent="0.25">
      <c r="A17933" s="8" t="str">
        <f>"Proceedings of the SIGDIAL 2011 Conference: 12th Annual Meeting of the Special Interest Group on Discourse and Dialogue"</f>
        <v>Proceedings of the SIGDIAL 2011 Conference: 12th Annual Meeting of the Special Interest Group on Discourse and Dialogue</v>
      </c>
      <c r="B17933" s="8" t="str">
        <f>"9781937284107"</f>
        <v>9781937284107</v>
      </c>
      <c r="C17933" s="8" t="s">
        <v>554</v>
      </c>
    </row>
    <row r="17934" spans="1:3" x14ac:dyDescent="0.25">
      <c r="A17934" s="8" t="str">
        <f>"Proceedings of the SIGSPATIAL ACM GIS 2008 International Workshop on Security and Privacy in GIS and LBS, SPRINGL'08"</f>
        <v>Proceedings of the SIGSPATIAL ACM GIS 2008 International Workshop on Security and Privacy in GIS and LBS, SPRINGL'08</v>
      </c>
      <c r="B17934" s="8" t="str">
        <f>"9781605583242"</f>
        <v>9781605583242</v>
      </c>
      <c r="C17934" s="8" t="s">
        <v>21</v>
      </c>
    </row>
    <row r="17935" spans="1:3" x14ac:dyDescent="0.25">
      <c r="A17935" s="8" t="str">
        <f>"Proceedings of the Sixth (2004) ISOPE Pacific/Asia Offshore Mechanics Symposium"</f>
        <v>Proceedings of the Sixth (2004) ISOPE Pacific/Asia Offshore Mechanics Symposium</v>
      </c>
      <c r="B17935" s="8" t="str">
        <f>"9781880653630"</f>
        <v>9781880653630</v>
      </c>
      <c r="C17935" s="8" t="s">
        <v>594</v>
      </c>
    </row>
    <row r="17936" spans="1:3" x14ac:dyDescent="0.25">
      <c r="A17936" s="8" t="str">
        <f>"Proceedings of the Sixth ACM SIGPLAN Conference on Principles and Practice of Declarative Programming, PPDP'04"</f>
        <v>Proceedings of the Sixth ACM SIGPLAN Conference on Principles and Practice of Declarative Programming, PPDP'04</v>
      </c>
      <c r="B17936" s="8" t="str">
        <f>"9781581138191"</f>
        <v>9781581138191</v>
      </c>
      <c r="C17936" s="8" t="s">
        <v>21</v>
      </c>
    </row>
    <row r="17937" spans="1:3" x14ac:dyDescent="0.25">
      <c r="A17937" s="8" t="str">
        <f>"Proceedings of the Sixth IASTED International Conference on Communications, Internet, and Information Technology, CIIT 2007"</f>
        <v>Proceedings of the Sixth IASTED International Conference on Communications, Internet, and Information Technology, CIIT 2007</v>
      </c>
      <c r="B17937" s="8" t="str">
        <f>"9780889866744"</f>
        <v>9780889866744</v>
      </c>
      <c r="C17937" s="8" t="s">
        <v>305</v>
      </c>
    </row>
    <row r="17938" spans="1:3" x14ac:dyDescent="0.25">
      <c r="A17938" s="8" t="str">
        <f>"Proceedings of the Sixth IASTED International Conference on Modelling, Simulation, and Optimizatiom, MSO 2006"</f>
        <v>Proceedings of the Sixth IASTED International Conference on Modelling, Simulation, and Optimizatiom, MSO 2006</v>
      </c>
      <c r="B17938" s="8" t="str">
        <f>"-"</f>
        <v>-</v>
      </c>
      <c r="C17938" s="8" t="s">
        <v>305</v>
      </c>
    </row>
    <row r="17939" spans="1:3" x14ac:dyDescent="0.25">
      <c r="A17939" s="8" t="str">
        <f>"Proceedings of the Sixth IEEE CPMT Conference on High Density Microsystem Design and Packaging and Component Failure Analysis, HDP'04"</f>
        <v>Proceedings of the Sixth IEEE CPMT Conference on High Density Microsystem Design and Packaging and Component Failure Analysis, HDP'04</v>
      </c>
      <c r="B17939" s="8" t="str">
        <f>"9780780386204"</f>
        <v>9780780386204</v>
      </c>
      <c r="C17939" s="8" t="s">
        <v>105</v>
      </c>
    </row>
    <row r="17940" spans="1:3" x14ac:dyDescent="0.25">
      <c r="A17940" s="8" t="str">
        <f>"Proceedings of the Sixth International Caribbean Conference on Devices, Circuits and Systems, ICCDCS 2006 - Final Program and Technical Digest"</f>
        <v>Proceedings of the Sixth International Caribbean Conference on Devices, Circuits and Systems, ICCDCS 2006 - Final Program and Technical Digest</v>
      </c>
      <c r="B17940" s="8" t="str">
        <f>"-"</f>
        <v>-</v>
      </c>
      <c r="C17940" s="8" t="s">
        <v>9</v>
      </c>
    </row>
    <row r="17941" spans="1:3" x14ac:dyDescent="0.25">
      <c r="A17941" s="8" t="str">
        <f>"Proceedings of the Sixth International Conference for You Computer Scientist: in Computer Science and Technology in New Century"</f>
        <v>Proceedings of the Sixth International Conference for You Computer Scientist: in Computer Science and Technology in New Century</v>
      </c>
      <c r="B17941" s="8" t="str">
        <f>"9787506251815"</f>
        <v>9787506251815</v>
      </c>
      <c r="C17941" s="8" t="s">
        <v>991</v>
      </c>
    </row>
    <row r="17942" spans="1:3" x14ac:dyDescent="0.25">
      <c r="A17942" s="8" t="str">
        <f>"Proceedings of the Sixth International Conference on Machine Learning and Cybernetics, ICMLC 2007"</f>
        <v>Proceedings of the Sixth International Conference on Machine Learning and Cybernetics, ICMLC 2007</v>
      </c>
      <c r="B17942" s="8" t="str">
        <f>"9781424409730"</f>
        <v>9781424409730</v>
      </c>
      <c r="C17942" s="8" t="s">
        <v>9</v>
      </c>
    </row>
    <row r="17943" spans="1:3" x14ac:dyDescent="0.25">
      <c r="A17943" s="8" t="str">
        <f>"Proceedings of the Sixth International Conference on Networking, ICN'07"</f>
        <v>Proceedings of the Sixth International Conference on Networking, ICN'07</v>
      </c>
      <c r="B17943" s="8" t="str">
        <f>"9780769528052"</f>
        <v>9780769528052</v>
      </c>
      <c r="C17943" s="8" t="s">
        <v>9</v>
      </c>
    </row>
    <row r="17944" spans="1:3" x14ac:dyDescent="0.25">
      <c r="A17944" s="8" t="str">
        <f>"Proceedings of the Sixth International Conference on the Application of Artificial Intelligence to Civil and Structural Engineering"</f>
        <v>Proceedings of the Sixth International Conference on the Application of Artificial Intelligence to Civil and Structural Engineering</v>
      </c>
      <c r="B17944" s="8" t="str">
        <f>"9780948749797"</f>
        <v>9780948749797</v>
      </c>
      <c r="C17944" s="8" t="s">
        <v>550</v>
      </c>
    </row>
    <row r="17945" spans="1:3" x14ac:dyDescent="0.25">
      <c r="A17945" s="8" t="str">
        <f>"Proceedings of the Sixth SIAM International Conference on Data Mining"</f>
        <v>Proceedings of the Sixth SIAM International Conference on Data Mining</v>
      </c>
      <c r="B17945" s="8" t="str">
        <f>"-"</f>
        <v>-</v>
      </c>
      <c r="C17945" s="8" t="s">
        <v>2281</v>
      </c>
    </row>
    <row r="17946" spans="1:3" x14ac:dyDescent="0.25">
      <c r="A17946" s="8" t="str">
        <f>"Proceedings of the Sixth Workshop on Algorithm Engineering and Experiments and the First Workshop on Analytic Algorithms and Combinatorics"</f>
        <v>Proceedings of the Sixth Workshop on Algorithm Engineering and Experiments and the First Workshop on Analytic Algorithms and Combinatorics</v>
      </c>
      <c r="B17946" s="8" t="str">
        <f>"9780898715644"</f>
        <v>9780898715644</v>
      </c>
      <c r="C17946" s="8" t="s">
        <v>249</v>
      </c>
    </row>
    <row r="17947" spans="1:3" x14ac:dyDescent="0.25">
      <c r="A17947" s="8" t="str">
        <f>"Proceedings of the Society for Experimental Mechanics, Inc."</f>
        <v>Proceedings of the Society for Experimental Mechanics, Inc.</v>
      </c>
      <c r="B17947" s="8" t="str">
        <f>"-"</f>
        <v>-</v>
      </c>
      <c r="C17947" s="8" t="s">
        <v>996</v>
      </c>
    </row>
    <row r="17948" spans="1:3" x14ac:dyDescent="0.25">
      <c r="A17948" s="8" t="str">
        <f>"Proceedings of the Solar World Congress 2005: Bringing Water to the World, Including Proceedings of 34th ASES Annual Conference and Proceedings of 30th National Passive Solar Conference"</f>
        <v>Proceedings of the Solar World Congress 2005: Bringing Water to the World, Including Proceedings of 34th ASES Annual Conference and Proceedings of 30th National Passive Solar Conference</v>
      </c>
      <c r="B17948" s="8" t="str">
        <f>"9781622762637"</f>
        <v>9781622762637</v>
      </c>
      <c r="C17948" s="8" t="s">
        <v>1491</v>
      </c>
    </row>
    <row r="17949" spans="1:3" x14ac:dyDescent="0.25">
      <c r="A17949" s="8" t="str">
        <f>"Proceedings of the South African Information Security Multi-Conference, SAISMC 2010"</f>
        <v>Proceedings of the South African Information Security Multi-Conference, SAISMC 2010</v>
      </c>
      <c r="B17949" s="8" t="str">
        <f>"9781841022567"</f>
        <v>9781841022567</v>
      </c>
      <c r="C17949" s="8" t="s">
        <v>2249</v>
      </c>
    </row>
    <row r="17950" spans="1:3" x14ac:dyDescent="0.25">
      <c r="A17950" s="8" t="str">
        <f>"Proceedings of the Special Workshop on Internet and Disasters, SWID'11"</f>
        <v>Proceedings of the Special Workshop on Internet and Disasters, SWID'11</v>
      </c>
      <c r="B17950" s="8" t="str">
        <f>"9781450310444"</f>
        <v>9781450310444</v>
      </c>
      <c r="C17950" s="8" t="s">
        <v>21</v>
      </c>
    </row>
    <row r="17951" spans="1:3" x14ac:dyDescent="0.25">
      <c r="A17951" s="8" t="str">
        <f>"Proceedings of the Static Analysis Workshop, SAW 2008"</f>
        <v>Proceedings of the Static Analysis Workshop, SAW 2008</v>
      </c>
      <c r="B17951" s="8" t="str">
        <f>"9781595939241"</f>
        <v>9781595939241</v>
      </c>
      <c r="C17951" s="8" t="s">
        <v>21</v>
      </c>
    </row>
    <row r="17952" spans="1:3" x14ac:dyDescent="0.25">
      <c r="A17952" s="8" t="str">
        <f>"Proceedings of the Symposium - Protection and Restoration of Urban and Rural Streams"</f>
        <v>Proceedings of the Symposium - Protection and Restoration of Urban and Rural Streams</v>
      </c>
      <c r="B17952" s="8" t="str">
        <f>"9780784406953"</f>
        <v>9780784406953</v>
      </c>
      <c r="C17952" s="8" t="s">
        <v>111</v>
      </c>
    </row>
    <row r="17953" spans="1:3" x14ac:dyDescent="0.25">
      <c r="A17953" s="8" t="str">
        <f>"Proceedings of the Symposium on Conversational Informatics for Supporting Social Intelligence and Interaction: Situational and Environmental Information Enforcing Involvement in Conversation"</f>
        <v>Proceedings of the Symposium on Conversational Informatics for Supporting Social Intelligence and Interaction: Situational and Environmental Information Enforcing Involvement in Conversation</v>
      </c>
      <c r="B17953" s="8" t="str">
        <f>"-"</f>
        <v>-</v>
      </c>
      <c r="C17953" s="8" t="s">
        <v>1658</v>
      </c>
    </row>
    <row r="17954" spans="1:3" x14ac:dyDescent="0.25">
      <c r="A17954" s="8" t="str">
        <f>"Proceedings of the Symposium on Interactive 3D Graphics and Games, I3D 2008"</f>
        <v>Proceedings of the Symposium on Interactive 3D Graphics and Games, I3D 2008</v>
      </c>
      <c r="B17954" s="8" t="str">
        <f>"9781595939838"</f>
        <v>9781595939838</v>
      </c>
      <c r="C17954" s="8" t="s">
        <v>21</v>
      </c>
    </row>
    <row r="17955" spans="1:3" x14ac:dyDescent="0.25">
      <c r="A17955" s="8" t="str">
        <f>"Proceedings of the Symposium on Pavement Mechanics and Materials at the Inaugural International Conference of the Engineering Mechanics Institute - Pavements and Materials 2008: Modeling, Testing, and"</f>
        <v>Proceedings of the Symposium on Pavement Mechanics and Materials at the Inaugural International Conference of the Engineering Mechanics Institute - Pavements and Materials 2008: Modeling, Testing, and</v>
      </c>
      <c r="B17955" s="8" t="str">
        <f>"9780784410080"</f>
        <v>9780784410080</v>
      </c>
      <c r="C17955" s="8" t="s">
        <v>111</v>
      </c>
    </row>
    <row r="17956" spans="1:3" x14ac:dyDescent="0.25">
      <c r="A17956" s="8" t="str">
        <f>"Proceedings of the Tenth Conference on Computational Natural Language Learning, CoNLL-X"</f>
        <v>Proceedings of the Tenth Conference on Computational Natural Language Learning, CoNLL-X</v>
      </c>
      <c r="B17956" s="8" t="str">
        <f>"-"</f>
        <v>-</v>
      </c>
      <c r="C17956" s="8" t="s">
        <v>554</v>
      </c>
    </row>
    <row r="17957" spans="1:3" x14ac:dyDescent="0.25">
      <c r="A17957" s="8" t="str">
        <f>"Proceedings of the Tenth Conference on the Theoretical Aspects of Rationality and Knowledge"</f>
        <v>Proceedings of the Tenth Conference on the Theoretical Aspects of Rationality and Knowledge</v>
      </c>
      <c r="B17957" s="8" t="str">
        <f>"9789810534127"</f>
        <v>9789810534127</v>
      </c>
      <c r="C17957" s="8" t="s">
        <v>21</v>
      </c>
    </row>
    <row r="17958" spans="1:3" x14ac:dyDescent="0.25">
      <c r="A17958" s="8" t="str">
        <f>"Proceedings of the Tenth International Conference Ground Penetrating Radar, GPR 2004"</f>
        <v>Proceedings of the Tenth International Conference Ground Penetrating Radar, GPR 2004</v>
      </c>
      <c r="B17958" s="8" t="str">
        <f>"9789090179599"</f>
        <v>9789090179599</v>
      </c>
      <c r="C17958" s="8" t="s">
        <v>105</v>
      </c>
    </row>
    <row r="17959" spans="1:3" x14ac:dyDescent="0.25">
      <c r="A17959" s="8" t="str">
        <f>"Proceedings of the Tenth International Congress on Sound and Vibration"</f>
        <v>Proceedings of the Tenth International Congress on Sound and Vibration</v>
      </c>
      <c r="B17959" s="8" t="str">
        <f>"-"</f>
        <v>-</v>
      </c>
      <c r="C17959" s="8" t="s">
        <v>27</v>
      </c>
    </row>
    <row r="17960" spans="1:3" x14ac:dyDescent="0.25">
      <c r="A17960" s="8" t="str">
        <f>"Proceedings of the TeraGrid 2011 Conference: Extreme Digital Discovery, TG'11"</f>
        <v>Proceedings of the TeraGrid 2011 Conference: Extreme Digital Discovery, TG'11</v>
      </c>
      <c r="B17960" s="8" t="str">
        <f>"9781450308885"</f>
        <v>9781450308885</v>
      </c>
      <c r="C17960" s="8" t="s">
        <v>21</v>
      </c>
    </row>
    <row r="17961" spans="1:3" x14ac:dyDescent="0.25">
      <c r="A17961" s="8" t="str">
        <f>"Proceedings of the the 6th joint meeting of the European Software Engineering Conference and the ACM SIGSOFT Symposium on the Foundations of Software Engineering 2007, ESEC-FSE'07"</f>
        <v>Proceedings of the the 6th joint meeting of the European Software Engineering Conference and the ACM SIGSOFT Symposium on the Foundations of Software Engineering 2007, ESEC-FSE'07</v>
      </c>
      <c r="B17961" s="8" t="str">
        <f>"-"</f>
        <v>-</v>
      </c>
      <c r="C17961" s="8" t="s">
        <v>21</v>
      </c>
    </row>
    <row r="17962" spans="1:3" x14ac:dyDescent="0.25">
      <c r="A17962" s="8" t="str">
        <f>"Proceedings of the Third ACM International Workshop on Data Engineering for Wireless and Mobile Access: MobiDE 2003"</f>
        <v>Proceedings of the Third ACM International Workshop on Data Engineering for Wireless and Mobile Access: MobiDE 2003</v>
      </c>
      <c r="B17962" s="8" t="str">
        <f>"9781581134124"</f>
        <v>9781581134124</v>
      </c>
      <c r="C17962" s="8" t="s">
        <v>21</v>
      </c>
    </row>
    <row r="17963" spans="1:3" x14ac:dyDescent="0.25">
      <c r="A17963" s="8" t="str">
        <f>"Proceedings of the Third Americas Display Engineering and Applications Conference, ADEAC 2006"</f>
        <v>Proceedings of the Third Americas Display Engineering and Applications Conference, ADEAC 2006</v>
      </c>
      <c r="B17963" s="8" t="str">
        <f>"-"</f>
        <v>-</v>
      </c>
      <c r="C17963" s="8" t="s">
        <v>535</v>
      </c>
    </row>
    <row r="17964" spans="1:3" x14ac:dyDescent="0.25">
      <c r="A17964" s="8" t="str">
        <f>"Proceedings of the Third IASTED International Conference on ANTENNAS, RADAR, AND WAVE PROPAGATION"</f>
        <v>Proceedings of the Third IASTED International Conference on ANTENNAS, RADAR, AND WAVE PROPAGATION</v>
      </c>
      <c r="B17964" s="8" t="str">
        <f>"-"</f>
        <v>-</v>
      </c>
      <c r="C17964" s="8" t="s">
        <v>1869</v>
      </c>
    </row>
    <row r="17965" spans="1:3" x14ac:dyDescent="0.25">
      <c r="A17965" s="8" t="str">
        <f>"Proceedings of the Third IASTED International Conference on Circuits, Signals, and Systems, CSS 2005"</f>
        <v>Proceedings of the Third IASTED International Conference on Circuits, Signals, and Systems, CSS 2005</v>
      </c>
      <c r="B17965" s="8" t="str">
        <f>"9780889865099"</f>
        <v>9780889865099</v>
      </c>
      <c r="C17965" s="8" t="s">
        <v>305</v>
      </c>
    </row>
    <row r="17966" spans="1:3" x14ac:dyDescent="0.25">
      <c r="A17966" s="8" t="str">
        <f>"Proceedings of the Third IASTED International Conference on Communication, Network, and Information Security, CNIS 2006"</f>
        <v>Proceedings of the Third IASTED International Conference on Communication, Network, and Information Security, CNIS 2006</v>
      </c>
      <c r="B17966" s="8" t="str">
        <f>"9780889866362"</f>
        <v>9780889866362</v>
      </c>
      <c r="C17966" s="8" t="s">
        <v>305</v>
      </c>
    </row>
    <row r="17967" spans="1:3" x14ac:dyDescent="0.25">
      <c r="A17967" s="8" t="str">
        <f>"Proceedings of the Third IASTED International Conference on Communications and Computer Networks, CCN 2005"</f>
        <v>Proceedings of the Third IASTED International Conference on Communications and Computer Networks, CCN 2005</v>
      </c>
      <c r="B17967" s="8" t="str">
        <f>"9780889865464"</f>
        <v>9780889865464</v>
      </c>
      <c r="C17967" s="8" t="s">
        <v>305</v>
      </c>
    </row>
    <row r="17968" spans="1:3" x14ac:dyDescent="0.25">
      <c r="A17968" s="8" t="str">
        <f>"Proceedings of the Third IASTED International Conference on Communications and Computer Networks, CCN 2006"</f>
        <v>Proceedings of the Third IASTED International Conference on Communications and Computer Networks, CCN 2006</v>
      </c>
      <c r="B17968" s="8" t="str">
        <f>"9780889866300"</f>
        <v>9780889866300</v>
      </c>
      <c r="C17968" s="8" t="s">
        <v>305</v>
      </c>
    </row>
    <row r="17969" spans="1:3" x14ac:dyDescent="0.25">
      <c r="A17969" s="8" t="str">
        <f>"Proceedings of the Third IASTED International Conference on Communications, Internet, and Information Technology"</f>
        <v>Proceedings of the Third IASTED International Conference on Communications, Internet, and Information Technology</v>
      </c>
      <c r="B17969" s="8" t="str">
        <f>"9780889864474"</f>
        <v>9780889864474</v>
      </c>
      <c r="C17969" s="8" t="s">
        <v>305</v>
      </c>
    </row>
    <row r="17970" spans="1:3" x14ac:dyDescent="0.25">
      <c r="A17970" s="8" t="str">
        <f>"Proceedings of the Third IASTED International Conference on Environmental Modelling and Simulation, EMS 2007"</f>
        <v>Proceedings of the Third IASTED International Conference on Environmental Modelling and Simulation, EMS 2007</v>
      </c>
      <c r="B17970" s="8" t="str">
        <f>"9780889866829"</f>
        <v>9780889866829</v>
      </c>
      <c r="C17970" s="8" t="s">
        <v>305</v>
      </c>
    </row>
    <row r="17971" spans="1:3" x14ac:dyDescent="0.25">
      <c r="A17971" s="8" t="str">
        <f>"Proceedings of the Third IASTED International Conference on Signal Processing, Pattern Recognition, and Applications"</f>
        <v>Proceedings of the Third IASTED International Conference on Signal Processing, Pattern Recognition, and Applications</v>
      </c>
      <c r="B17971" s="8" t="str">
        <f>"-"</f>
        <v>-</v>
      </c>
      <c r="C17971" s="8" t="s">
        <v>1869</v>
      </c>
    </row>
    <row r="17972" spans="1:3" x14ac:dyDescent="0.25">
      <c r="A17972" s="8" t="str">
        <f>"Proceedings of the Third IEEE International Conference on Cognitive Informatics, ICCI 2004"</f>
        <v>Proceedings of the Third IEEE International Conference on Cognitive Informatics, ICCI 2004</v>
      </c>
      <c r="B17972" s="8" t="str">
        <f>"9780769521909"</f>
        <v>9780769521909</v>
      </c>
      <c r="C17972" s="8" t="s">
        <v>9</v>
      </c>
    </row>
    <row r="17973" spans="1:3" x14ac:dyDescent="0.25">
      <c r="A17973" s="8" t="str">
        <f>"Proceedings of the Third International Conference on Collaborative Virtual Environments"</f>
        <v>Proceedings of the Third International Conference on Collaborative Virtual Environments</v>
      </c>
      <c r="B17973" s="8" t="str">
        <f>"9781581133035"</f>
        <v>9781581133035</v>
      </c>
      <c r="C17973" s="8" t="s">
        <v>21</v>
      </c>
    </row>
    <row r="17974" spans="1:3" x14ac:dyDescent="0.25">
      <c r="A17974" s="8" t="str">
        <f>"Proceedings of the Third International Conference on Engineering Computational Technology"</f>
        <v>Proceedings of the Third International Conference on Engineering Computational Technology</v>
      </c>
      <c r="B17974" s="8" t="str">
        <f>"9780948749858"</f>
        <v>9780948749858</v>
      </c>
      <c r="C17974" s="8" t="s">
        <v>550</v>
      </c>
    </row>
    <row r="17975" spans="1:3" x14ac:dyDescent="0.25">
      <c r="A17975" s="8" t="str">
        <f>"Proceedings of the Third International Conference on Remediation of Chlorinated and Recalcitrant Compounds"</f>
        <v>Proceedings of the Third International Conference on Remediation of Chlorinated and Recalcitrant Compounds</v>
      </c>
      <c r="B17975" s="8" t="str">
        <f>"9781574771329"</f>
        <v>9781574771329</v>
      </c>
      <c r="C17975" s="8" t="s">
        <v>1678</v>
      </c>
    </row>
    <row r="17976" spans="1:3" x14ac:dyDescent="0.25">
      <c r="A17976" s="8" t="str">
        <f>"Proceedings of the Third International Joint Conference on Autonomous Agents and Multiagent Systems, AAMAS 2004"</f>
        <v>Proceedings of the Third International Joint Conference on Autonomous Agents and Multiagent Systems, AAMAS 2004</v>
      </c>
      <c r="B17976" s="8" t="str">
        <f>"9781581138641"</f>
        <v>9781581138641</v>
      </c>
      <c r="C17976" s="8" t="s">
        <v>21</v>
      </c>
    </row>
    <row r="17977" spans="1:3" x14ac:dyDescent="0.25">
      <c r="A17977" s="8" t="str">
        <f>"Proceedings of the Third International Workshop on Intelligent Solutions in Embedded Systems, WISES'05"</f>
        <v>Proceedings of the Third International Workshop on Intelligent Solutions in Embedded Systems, WISES'05</v>
      </c>
      <c r="B17977" s="8" t="str">
        <f>"-"</f>
        <v>-</v>
      </c>
      <c r="C17977" s="8" t="s">
        <v>9</v>
      </c>
    </row>
    <row r="17978" spans="1:3" x14ac:dyDescent="0.25">
      <c r="A17978" s="8" t="str">
        <f>"Proceedings of the Third International Workshop on Software Quality Assurance, SOQUA 2006"</f>
        <v>Proceedings of the Third International Workshop on Software Quality Assurance, SOQUA 2006</v>
      </c>
      <c r="B17978" s="8" t="str">
        <f>"9781595935847"</f>
        <v>9781595935847</v>
      </c>
      <c r="C17978" s="8" t="s">
        <v>21</v>
      </c>
    </row>
    <row r="17979" spans="1:3" x14ac:dyDescent="0.25">
      <c r="A17979" s="8" t="str">
        <f>"Proceedings of the Third International Workshop on the Analysis of Multi-Temporal Remote Sensing Images 2005"</f>
        <v>Proceedings of the Third International Workshop on the Analysis of Multi-Temporal Remote Sensing Images 2005</v>
      </c>
      <c r="B17979" s="8" t="str">
        <f>"-"</f>
        <v>-</v>
      </c>
      <c r="C17979" s="8" t="s">
        <v>9</v>
      </c>
    </row>
    <row r="17980" spans="1:3" x14ac:dyDescent="0.25">
      <c r="A17980" s="8" t="str">
        <f>"Proceedings of the Third International Workshop on Web Information and Data Management (WIDM)"</f>
        <v>Proceedings of the Third International Workshop on Web Information and Data Management (WIDM)</v>
      </c>
      <c r="B17980" s="8" t="str">
        <f>"9781581134445"</f>
        <v>9781581134445</v>
      </c>
      <c r="C17980" s="8" t="s">
        <v>21</v>
      </c>
    </row>
    <row r="17981" spans="1:3" x14ac:dyDescent="0.25">
      <c r="A17981" s="8" t="str">
        <f>"Proceedings of the Third Workshop - 2005 IEEE Intelligent Data Acquisition and Advanced Computing Systems: Technology and Applications, IDAACS 2005"</f>
        <v>Proceedings of the Third Workshop - 2005 IEEE Intelligent Data Acquisition and Advanced Computing Systems: Technology and Applications, IDAACS 2005</v>
      </c>
      <c r="B17981" s="8" t="str">
        <f>"9780780394469"</f>
        <v>9780780394469</v>
      </c>
      <c r="C17981" s="8" t="s">
        <v>105</v>
      </c>
    </row>
    <row r="17982" spans="1:3" x14ac:dyDescent="0.25">
      <c r="A17982" s="8" t="str">
        <f>"Proceedings of the Thirty-Seventh SIGCSE Technical Symposium on Computer Science Education"</f>
        <v>Proceedings of the Thirty-Seventh SIGCSE Technical Symposium on Computer Science Education</v>
      </c>
      <c r="B17982" s="8" t="str">
        <f>"9781595932594"</f>
        <v>9781595932594</v>
      </c>
      <c r="C17982" s="8" t="s">
        <v>21</v>
      </c>
    </row>
    <row r="17983" spans="1:3" x14ac:dyDescent="0.25">
      <c r="A17983" s="8" t="str">
        <f>"Proceedings of the Thirty-Sixth SIGCSE Technical Symposium on Computer Science Education, SIGCSE 2005"</f>
        <v>Proceedings of the Thirty-Sixth SIGCSE Technical Symposium on Computer Science Education, SIGCSE 2005</v>
      </c>
      <c r="B17983" s="8" t="str">
        <f>"9781581139976"</f>
        <v>9781581139976</v>
      </c>
      <c r="C17983" s="8" t="s">
        <v>21</v>
      </c>
    </row>
    <row r="17984" spans="1:3" x14ac:dyDescent="0.25">
      <c r="A17984" s="8" t="str">
        <f>"Proceedings of the TLDI 2007: 2007 ACM SIGPLAN International Workshop on Types in Languages Design and Implementation - Papers Presented at the Workshop"</f>
        <v>Proceedings of the TLDI 2007: 2007 ACM SIGPLAN International Workshop on Types in Languages Design and Implementation - Papers Presented at the Workshop</v>
      </c>
      <c r="B17984" s="8" t="str">
        <f>"9781595933935"</f>
        <v>9781595933935</v>
      </c>
      <c r="C17984" s="8" t="s">
        <v>21</v>
      </c>
    </row>
    <row r="17985" spans="1:3" x14ac:dyDescent="0.25">
      <c r="A17985" s="8" t="str">
        <f>"Proceedings of the TLDI'05: 2005 ACM SIGPLAN International Workshop on Types in Languages Design and Implementation"</f>
        <v>Proceedings of the TLDI'05: 2005 ACM SIGPLAN International Workshop on Types in Languages Design and Implementation</v>
      </c>
      <c r="B17985" s="8" t="str">
        <f>"9781581139990"</f>
        <v>9781581139990</v>
      </c>
      <c r="C17985" s="8" t="s">
        <v>21</v>
      </c>
    </row>
    <row r="17986" spans="1:3" x14ac:dyDescent="0.25">
      <c r="A17986" s="8" t="str">
        <f>"Proceedings of the TMS Middle East - Mediterranean Materials Congress on Energy and Infrastructure Systems, MEMA 2015"</f>
        <v>Proceedings of the TMS Middle East - Mediterranean Materials Congress on Energy and Infrastructure Systems, MEMA 2015</v>
      </c>
      <c r="B17986" s="8" t="str">
        <f>"9781119065272"</f>
        <v>9781119065272</v>
      </c>
      <c r="C17986" s="8" t="s">
        <v>87</v>
      </c>
    </row>
    <row r="17987" spans="1:3" x14ac:dyDescent="0.25">
      <c r="A17987" s="8" t="str">
        <f>"Proceedings of the Topical Workshop on Electronics for Particle Physics, TWEPP 2007"</f>
        <v>Proceedings of the Topical Workshop on Electronics for Particle Physics, TWEPP 2007</v>
      </c>
      <c r="B17987" s="8" t="str">
        <f>"9789290833048"</f>
        <v>9789290833048</v>
      </c>
      <c r="C17987" s="8" t="s">
        <v>259</v>
      </c>
    </row>
    <row r="17988" spans="1:3" x14ac:dyDescent="0.25">
      <c r="A17988" s="8" t="str">
        <f>"Proceedings of the Topical Workshop on Electronics for Particle Physics, TWEPP 2008"</f>
        <v>Proceedings of the Topical Workshop on Electronics for Particle Physics, TWEPP 2008</v>
      </c>
      <c r="B17988" s="8" t="str">
        <f>"9789290833246"</f>
        <v>9789290833246</v>
      </c>
      <c r="C17988" s="8" t="s">
        <v>259</v>
      </c>
    </row>
    <row r="17989" spans="1:3" x14ac:dyDescent="0.25">
      <c r="A17989" s="8" t="str">
        <f>"Proceedings of the Topical Workshop on Electronics for Particle Physics, TWEPP 2009"</f>
        <v>Proceedings of the Topical Workshop on Electronics for Particle Physics, TWEPP 2009</v>
      </c>
      <c r="B17989" s="8" t="str">
        <f>"9789290833352"</f>
        <v>9789290833352</v>
      </c>
      <c r="C17989" s="8" t="s">
        <v>259</v>
      </c>
    </row>
    <row r="17990" spans="1:3" x14ac:dyDescent="0.25">
      <c r="A17990" s="8" t="str">
        <f>"Proceedings of the Twelfth International Conference on 3D Web Technology 2007, Web3D 2007"</f>
        <v>Proceedings of the Twelfth International Conference on 3D Web Technology 2007, Web3D 2007</v>
      </c>
      <c r="B17990" s="8" t="str">
        <f>"-"</f>
        <v>-</v>
      </c>
      <c r="C17990" s="8" t="s">
        <v>21</v>
      </c>
    </row>
    <row r="17991" spans="1:3" x14ac:dyDescent="0.25">
      <c r="A17991" s="8" t="str">
        <f>"Proceedings of the Twelfth International Conference on Environmental Degradation of Materials in Nuclear Power Systems-Water Reactors"</f>
        <v>Proceedings of the Twelfth International Conference on Environmental Degradation of Materials in Nuclear Power Systems-Water Reactors</v>
      </c>
      <c r="B17991" s="8" t="str">
        <f>"9780873395953"</f>
        <v>9780873395953</v>
      </c>
      <c r="C17991" s="8" t="s">
        <v>648</v>
      </c>
    </row>
    <row r="17992" spans="1:3" x14ac:dyDescent="0.25">
      <c r="A17992" s="8" t="str">
        <f>"Proceedings of the Twentieth International Cryogenic Engineering Conference, ICEC 20"</f>
        <v>Proceedings of the Twentieth International Cryogenic Engineering Conference, ICEC 20</v>
      </c>
      <c r="B17992" s="8" t="str">
        <f>"9780080445595"</f>
        <v>9780080445595</v>
      </c>
      <c r="C17992" s="8" t="s">
        <v>55</v>
      </c>
    </row>
    <row r="17993" spans="1:3" x14ac:dyDescent="0.25">
      <c r="A17993" s="8" t="str">
        <f>"Proceedings of the Twentieth International Florida Artificial Intelligence Research Society Conference, FLAIRS 2007"</f>
        <v>Proceedings of the Twentieth International Florida Artificial Intelligence Research Society Conference, FLAIRS 2007</v>
      </c>
      <c r="B17993" s="8" t="str">
        <f>"9781577353195"</f>
        <v>9781577353195</v>
      </c>
      <c r="C17993" s="8" t="s">
        <v>11</v>
      </c>
    </row>
    <row r="17994" spans="1:3" x14ac:dyDescent="0.25">
      <c r="A17994" s="8" t="str">
        <f>"Proceedings of the Twenty-Ninth Annual International ACM SIGIR Conference on Research and Development in Information Retrieval"</f>
        <v>Proceedings of the Twenty-Ninth Annual International ACM SIGIR Conference on Research and Development in Information Retrieval</v>
      </c>
      <c r="B17994" s="8" t="str">
        <f>"-"</f>
        <v>-</v>
      </c>
      <c r="C17994" s="8" t="s">
        <v>21</v>
      </c>
    </row>
    <row r="17995" spans="1:3" x14ac:dyDescent="0.25">
      <c r="A17995" s="8" t="str">
        <f>"Proceedings of the United Engineering Foundation / ASCE Geo-Institute Soft Ground Technology Conference - Soft Ground Technology, GSP 112"</f>
        <v>Proceedings of the United Engineering Foundation / ASCE Geo-Institute Soft Ground Technology Conference - Soft Ground Technology, GSP 112</v>
      </c>
      <c r="B17995" s="8" t="str">
        <f>"9780784405529"</f>
        <v>9780784405529</v>
      </c>
      <c r="C17995" s="8" t="s">
        <v>111</v>
      </c>
    </row>
    <row r="17996" spans="1:3" x14ac:dyDescent="0.25">
      <c r="A17996" s="8" t="str">
        <f>"Proceedings of the Urban and Regional Data Management - UDMS Annual 2007"</f>
        <v>Proceedings of the Urban and Regional Data Management - UDMS Annual 2007</v>
      </c>
      <c r="B17996" s="8" t="str">
        <f>"9780415440592"</f>
        <v>9780415440592</v>
      </c>
      <c r="C17996" s="8" t="s">
        <v>1520</v>
      </c>
    </row>
    <row r="17997" spans="1:3" x14ac:dyDescent="0.25">
      <c r="A17997" s="8" t="str">
        <f>"Proceedings of the VARiability for You Workshop: Variability Modeling Made Useful for Everyone, VARY 2012"</f>
        <v>Proceedings of the VARiability for You Workshop: Variability Modeling Made Useful for Everyone, VARY 2012</v>
      </c>
      <c r="B17997" s="8" t="str">
        <f>"9781450318099"</f>
        <v>9781450318099</v>
      </c>
      <c r="C17997" s="8" t="s">
        <v>21</v>
      </c>
    </row>
    <row r="17998" spans="1:3" x14ac:dyDescent="0.25">
      <c r="A17998" s="8" t="str">
        <f>"Proceedings of the VII Symposium on Human Factors in Computing Systems, IHC 2006"</f>
        <v>Proceedings of the VII Symposium on Human Factors in Computing Systems, IHC 2006</v>
      </c>
      <c r="B17998" s="8" t="str">
        <f>"9781595934321"</f>
        <v>9781595934321</v>
      </c>
      <c r="C17998" s="8" t="s">
        <v>21</v>
      </c>
    </row>
    <row r="17999" spans="1:3" x14ac:dyDescent="0.25">
      <c r="A17999" s="8" t="str">
        <f>"Proceedings of the VISAPP International Workshop on Robotic Perception, VISAPP-RoboPerc08 - In Conjunction with VISIGRAPP 2008"</f>
        <v>Proceedings of the VISAPP International Workshop on Robotic Perception, VISAPP-RoboPerc08 - In Conjunction with VISIGRAPP 2008</v>
      </c>
      <c r="B17999" s="8" t="str">
        <f>"9789898111234"</f>
        <v>9789898111234</v>
      </c>
      <c r="C17999" s="8" t="s">
        <v>1553</v>
      </c>
    </row>
    <row r="18000" spans="1:3" x14ac:dyDescent="0.25">
      <c r="A18000" s="8" t="str">
        <f>"Proceedings of the Warm Up Workshop for ACM/IEEE ICSE 2010, WUP'09"</f>
        <v>Proceedings of the Warm Up Workshop for ACM/IEEE ICSE 2010, WUP'09</v>
      </c>
      <c r="B18000" s="8" t="str">
        <f>"9781605585659"</f>
        <v>9781605585659</v>
      </c>
      <c r="C18000" s="8" t="s">
        <v>21</v>
      </c>
    </row>
    <row r="18001" spans="1:3" x14ac:dyDescent="0.25">
      <c r="A18001" s="8" t="str">
        <f>"Proceedings of the Workshop - HERA and the LHC: Workshop Series on the Implications of HERA for LHC Physics, HERA-LHC 2006 - 2008"</f>
        <v>Proceedings of the Workshop - HERA and the LHC: Workshop Series on the Implications of HERA for LHC Physics, HERA-LHC 2006 - 2008</v>
      </c>
      <c r="B18001" s="8" t="str">
        <f>"9783935702324"</f>
        <v>9783935702324</v>
      </c>
      <c r="C18001" s="8" t="s">
        <v>1863</v>
      </c>
    </row>
    <row r="18002" spans="1:3" x14ac:dyDescent="0.25">
      <c r="A18002" s="8" t="str">
        <f>"Proceedings of the Workshop - Open Source and Design of Communication, OSDOC 2010"</f>
        <v>Proceedings of the Workshop - Open Source and Design of Communication, OSDOC 2010</v>
      </c>
      <c r="B18002" s="8" t="str">
        <f>"9781450304801"</f>
        <v>9781450304801</v>
      </c>
      <c r="C18002" s="8" t="s">
        <v>21</v>
      </c>
    </row>
    <row r="18003" spans="1:3" x14ac:dyDescent="0.25">
      <c r="A18003" s="8" t="str">
        <f>"Proceedings of the Workshop on AOP and Meta-Data for Software Evolution, RAM-SE'09"</f>
        <v>Proceedings of the Workshop on AOP and Meta-Data for Software Evolution, RAM-SE'09</v>
      </c>
      <c r="B18003" s="8" t="str">
        <f>"9781605585482"</f>
        <v>9781605585482</v>
      </c>
      <c r="C18003" s="8" t="s">
        <v>21</v>
      </c>
    </row>
    <row r="18004" spans="1:3" x14ac:dyDescent="0.25">
      <c r="A18004" s="8" t="str">
        <f>"Proceedings of the Workshop on Dynamic Networks Management and Mining, DyNetMM 2013"</f>
        <v>Proceedings of the Workshop on Dynamic Networks Management and Mining, DyNetMM 2013</v>
      </c>
      <c r="B18004" s="8" t="str">
        <f>"9781450322096"</f>
        <v>9781450322096</v>
      </c>
      <c r="C18004" s="8" t="s">
        <v>21</v>
      </c>
    </row>
    <row r="18005" spans="1:3" x14ac:dyDescent="0.25">
      <c r="A18005" s="8" t="str">
        <f>"Proceedings of the Workshop on Embedded Systems Security, WESS 2013"</f>
        <v>Proceedings of the Workshop on Embedded Systems Security, WESS 2013</v>
      </c>
      <c r="B18005" s="8" t="str">
        <f>"9781450321457"</f>
        <v>9781450321457</v>
      </c>
      <c r="C18005" s="8" t="s">
        <v>21</v>
      </c>
    </row>
    <row r="18006" spans="1:3" x14ac:dyDescent="0.25">
      <c r="A18006" s="8" t="str">
        <f>"Proceedings of the Workshop on Embedded Systems Security, WESS'11"</f>
        <v>Proceedings of the Workshop on Embedded Systems Security, WESS'11</v>
      </c>
      <c r="B18006" s="8" t="str">
        <f>"9781450308199"</f>
        <v>9781450308199</v>
      </c>
      <c r="C18006" s="8" t="s">
        <v>21</v>
      </c>
    </row>
    <row r="18007" spans="1:3" x14ac:dyDescent="0.25">
      <c r="A18007" s="8" t="str">
        <f>"Proceedings of the Workshop on Enterprise Modelling and Information Systems Architectures, EMISA 2005"</f>
        <v>Proceedings of the Workshop on Enterprise Modelling and Information Systems Architectures, EMISA 2005</v>
      </c>
      <c r="B18007" s="8" t="str">
        <f>"9783885794042"</f>
        <v>9783885794042</v>
      </c>
      <c r="C18007" s="8" t="s">
        <v>833</v>
      </c>
    </row>
    <row r="18008" spans="1:3" x14ac:dyDescent="0.25">
      <c r="A18008" s="8" t="str">
        <f>"Proceedings of the Workshop on Hot Topics in Cloud Data Processing, HotCDP'12"</f>
        <v>Proceedings of the Workshop on Hot Topics in Cloud Data Processing, HotCDP'12</v>
      </c>
      <c r="B18008" s="8" t="str">
        <f>"9781450311625"</f>
        <v>9781450311625</v>
      </c>
      <c r="C18008" s="8" t="s">
        <v>21</v>
      </c>
    </row>
    <row r="18009" spans="1:3" x14ac:dyDescent="0.25">
      <c r="A18009" s="8" t="str">
        <f>"Proceedings of the Workshop on Internet of Things and Service Platforms, IoTSP'11"</f>
        <v>Proceedings of the Workshop on Internet of Things and Service Platforms, IoTSP'11</v>
      </c>
      <c r="B18009" s="8" t="str">
        <f>"9781450310437"</f>
        <v>9781450310437</v>
      </c>
      <c r="C18009" s="8" t="s">
        <v>21</v>
      </c>
    </row>
    <row r="18010" spans="1:3" x14ac:dyDescent="0.25">
      <c r="A18010" s="8" t="str">
        <f>"Proceedings of the Workshop on JavaScript Tools, JSTools'12"</f>
        <v>Proceedings of the Workshop on JavaScript Tools, JSTools'12</v>
      </c>
      <c r="B18010" s="8" t="str">
        <f>"9781450312745"</f>
        <v>9781450312745</v>
      </c>
      <c r="C18010" s="8" t="s">
        <v>21</v>
      </c>
    </row>
    <row r="18011" spans="1:3" x14ac:dyDescent="0.25">
      <c r="A18011" s="8" t="str">
        <f>"Proceedings of the Workshop on Model-Driven Engineering, Verification and Validation, MoDeVVa 2012"</f>
        <v>Proceedings of the Workshop on Model-Driven Engineering, Verification and Validation, MoDeVVa 2012</v>
      </c>
      <c r="B18011" s="8" t="str">
        <f>"9781450318013"</f>
        <v>9781450318013</v>
      </c>
      <c r="C18011" s="8" t="s">
        <v>21</v>
      </c>
    </row>
    <row r="18012" spans="1:3" x14ac:dyDescent="0.25">
      <c r="A18012" s="8" t="str">
        <f>"Proceedings of the Workshop on Model-Driven Security, MDsec 2012"</f>
        <v>Proceedings of the Workshop on Model-Driven Security, MDsec 2012</v>
      </c>
      <c r="B18012" s="8" t="str">
        <f>"9781450318068"</f>
        <v>9781450318068</v>
      </c>
      <c r="C18012" s="8" t="s">
        <v>21</v>
      </c>
    </row>
    <row r="18013" spans="1:3" x14ac:dyDescent="0.25">
      <c r="A18013" s="8" t="str">
        <f>"Proceedings of the Workshop on Monte Carlo's, Physics and Simulations at the LHC"</f>
        <v>Proceedings of the Workshop on Monte Carlo's, Physics and Simulations at the LHC</v>
      </c>
      <c r="B18013" s="8" t="str">
        <f>"-"</f>
        <v>-</v>
      </c>
      <c r="C18013" s="8" t="s">
        <v>259</v>
      </c>
    </row>
    <row r="18014" spans="1:3" x14ac:dyDescent="0.25">
      <c r="A18014" s="8" t="str">
        <f>"Proceedings of the Workshop on Posters and Demos Track, PDT'11 - 12th International Middleware Conference, Middleware'11"</f>
        <v>Proceedings of the Workshop on Posters and Demos Track, PDT'11 - 12th International Middleware Conference, Middleware'11</v>
      </c>
      <c r="B18014" s="8" t="str">
        <f>"9781450310734"</f>
        <v>9781450310734</v>
      </c>
      <c r="C18014" s="8" t="s">
        <v>21</v>
      </c>
    </row>
    <row r="18015" spans="1:3" x14ac:dyDescent="0.25">
      <c r="A18015" s="8" t="str">
        <f>"Proceedings of the Workshop on Power-Aware Computing and Systems, HotPower 2013"</f>
        <v>Proceedings of the Workshop on Power-Aware Computing and Systems, HotPower 2013</v>
      </c>
      <c r="B18015" s="8" t="str">
        <f>"9781450324588"</f>
        <v>9781450324588</v>
      </c>
      <c r="C18015" s="8" t="s">
        <v>21</v>
      </c>
    </row>
    <row r="18016" spans="1:3" x14ac:dyDescent="0.25">
      <c r="A18016" s="8" t="str">
        <f>"Proceedings of the Workshop on Relationships and Associations in Object-Oriented Languages, RAOOL 2009, Co-located with the 23rd European Conference on Object-Oriented Programming, ECOOP"</f>
        <v>Proceedings of the Workshop on Relationships and Associations in Object-Oriented Languages, RAOOL 2009, Co-located with the 23rd European Conference on Object-Oriented Programming, ECOOP</v>
      </c>
      <c r="B18016" s="8" t="str">
        <f>"-"</f>
        <v>-</v>
      </c>
      <c r="C18016" s="8" t="s">
        <v>21</v>
      </c>
    </row>
    <row r="18017" spans="1:3" x14ac:dyDescent="0.25">
      <c r="A18017" s="8" t="str">
        <f>"Proceedings of the Workshop on Secure and Dependable Middleware for Cloud Monitoring and Management, SDMCMM 2012"</f>
        <v>Proceedings of the Workshop on Secure and Dependable Middleware for Cloud Monitoring and Management, SDMCMM 2012</v>
      </c>
      <c r="B18017" s="8" t="str">
        <f>"9781450316156"</f>
        <v>9781450316156</v>
      </c>
      <c r="C18017" s="8" t="s">
        <v>21</v>
      </c>
    </row>
    <row r="18018" spans="1:3" x14ac:dyDescent="0.25">
      <c r="A18018" s="8" t="str">
        <f>"Proceedings of the Workshop on the Physics of Excited Nucleons, NSTAR 2005"</f>
        <v>Proceedings of the Workshop on the Physics of Excited Nucleons, NSTAR 2005</v>
      </c>
      <c r="B18018" s="8" t="str">
        <f>"9781860946578"</f>
        <v>9781860946578</v>
      </c>
      <c r="C18018" s="8" t="s">
        <v>157</v>
      </c>
    </row>
    <row r="18019" spans="1:3" x14ac:dyDescent="0.25">
      <c r="A18019" s="8" t="str">
        <f>"Proceedings of the Workshop on Virtual Environments, EGVE'03"</f>
        <v>Proceedings of the Workshop on Virtual Environments, EGVE'03</v>
      </c>
      <c r="B18019" s="8" t="str">
        <f>"9781581136869"</f>
        <v>9781581136869</v>
      </c>
      <c r="C18019" s="8" t="s">
        <v>21</v>
      </c>
    </row>
    <row r="18020" spans="1:3" x14ac:dyDescent="0.25">
      <c r="A18020" s="8" t="str">
        <f>"Proceedings of the Workshop on Wireless Security"</f>
        <v>Proceedings of the Workshop on Wireless Security</v>
      </c>
      <c r="B18020" s="8" t="str">
        <f>"9781581135855"</f>
        <v>9781581135855</v>
      </c>
      <c r="C18020" s="8" t="s">
        <v>21</v>
      </c>
    </row>
    <row r="18021" spans="1:3" x14ac:dyDescent="0.25">
      <c r="A18021" s="8" t="s">
        <v>2282</v>
      </c>
      <c r="B18021" s="8" t="str">
        <f>"-"</f>
        <v>-</v>
      </c>
      <c r="C18021" s="8" t="s">
        <v>259</v>
      </c>
    </row>
    <row r="18022" spans="1:3" x14ac:dyDescent="0.25">
      <c r="A18022" s="8" t="str">
        <f>"Proceedings of the World Congress on Engineering 2011, WCE 2011"</f>
        <v>Proceedings of the World Congress on Engineering 2011, WCE 2011</v>
      </c>
      <c r="B18022" s="8" t="str">
        <f>"-"</f>
        <v>-</v>
      </c>
      <c r="C18022" s="8" t="s">
        <v>380</v>
      </c>
    </row>
    <row r="18023" spans="1:3" x14ac:dyDescent="0.25">
      <c r="A18023" s="8" t="str">
        <f>"Proceedings of the World Forum on Smart Materials and Smart Structures Technology, SMSST'07"</f>
        <v>Proceedings of the World Forum on Smart Materials and Smart Structures Technology, SMSST'07</v>
      </c>
      <c r="B18023" s="8" t="str">
        <f>"9780415468459"</f>
        <v>9780415468459</v>
      </c>
      <c r="C18023" s="8" t="s">
        <v>1520</v>
      </c>
    </row>
    <row r="18024" spans="1:3" x14ac:dyDescent="0.25">
      <c r="A18024" s="8" t="str">
        <f>"Proceedings of the World Tribology Congress III - 2005"</f>
        <v>Proceedings of the World Tribology Congress III - 2005</v>
      </c>
      <c r="B18024" s="8" t="str">
        <f>"9780791842010"</f>
        <v>9780791842010</v>
      </c>
      <c r="C18024" s="8" t="s">
        <v>1308</v>
      </c>
    </row>
    <row r="18025" spans="1:3" x14ac:dyDescent="0.25">
      <c r="A18025" s="8" t="str">
        <f>"Proceedings of the World Tribology Congress III - 2005"</f>
        <v>Proceedings of the World Tribology Congress III - 2005</v>
      </c>
      <c r="B18025" s="8" t="str">
        <f>"9780791842027"</f>
        <v>9780791842027</v>
      </c>
      <c r="C18025" s="8" t="s">
        <v>1308</v>
      </c>
    </row>
    <row r="18026" spans="1:3" x14ac:dyDescent="0.25">
      <c r="A18026" s="8" t="str">
        <f>"Proceedings of the WoWMoM 2015: A World of Wireless Mobile and Multimedia Networks"</f>
        <v>Proceedings of the WoWMoM 2015: A World of Wireless Mobile and Multimedia Networks</v>
      </c>
      <c r="B18026" s="8" t="str">
        <f>"9781479984619"</f>
        <v>9781479984619</v>
      </c>
      <c r="C18026" s="8" t="s">
        <v>105</v>
      </c>
    </row>
    <row r="18027" spans="1:3" x14ac:dyDescent="0.25">
      <c r="A18027" s="8" t="str">
        <f>"Proceedings of the WSDM'2009 ACM Workshop on Exploiting Semantic Annotations in Information Retrieval, ESAIR 2009"</f>
        <v>Proceedings of the WSDM'2009 ACM Workshop on Exploiting Semantic Annotations in Information Retrieval, ESAIR 2009</v>
      </c>
      <c r="B18027" s="8" t="str">
        <f>"9781605584300"</f>
        <v>9781605584300</v>
      </c>
      <c r="C18027" s="8" t="s">
        <v>21</v>
      </c>
    </row>
    <row r="18028" spans="1:3" x14ac:dyDescent="0.25">
      <c r="A18028" s="8" t="str">
        <f>"Proceedings of the XIVth Triennial Congress of the International Ergonomics Association and 44th Annual Meeting of the Human Factors and Ergonomics Association, 'Ergonomics for the New Millennium'"</f>
        <v>Proceedings of the XIVth Triennial Congress of the International Ergonomics Association and 44th Annual Meeting of the Human Factors and Ergonomics Association, 'Ergonomics for the New Millennium'</v>
      </c>
      <c r="B18028" s="8" t="str">
        <f>"-"</f>
        <v>-</v>
      </c>
      <c r="C18028" s="8" t="s">
        <v>1522</v>
      </c>
    </row>
    <row r="18029" spans="1:3" x14ac:dyDescent="0.25">
      <c r="A18029" s="8" t="str">
        <f>"Proceedings of the16th International Symposium on Space Terahertz Technology, ISSTT 2005"</f>
        <v>Proceedings of the16th International Symposium on Space Terahertz Technology, ISSTT 2005</v>
      </c>
      <c r="B18029" s="8" t="str">
        <f>"9781627486316"</f>
        <v>9781627486316</v>
      </c>
      <c r="C18029" s="8" t="s">
        <v>1303</v>
      </c>
    </row>
    <row r="18030" spans="1:3" x14ac:dyDescent="0.25">
      <c r="A18030" s="8" t="str">
        <f>"Proceedings of TMBIO 2006: ACM First International Workshop on Text Mining in Bioinformatics"</f>
        <v>Proceedings of TMBIO 2006: ACM First International Workshop on Text Mining in Bioinformatics</v>
      </c>
      <c r="B18030" s="8" t="str">
        <f>"9781595935267"</f>
        <v>9781595935267</v>
      </c>
      <c r="C18030" s="8" t="s">
        <v>21</v>
      </c>
    </row>
    <row r="18031" spans="1:3" x14ac:dyDescent="0.25">
      <c r="A18031" s="8" t="str">
        <f>"Proceedings of VIPIMAGE 2007 - 1st ECCOMAS Thematic Conference on Computational Vision and Medical Image Processing"</f>
        <v>Proceedings of VIPIMAGE 2007 - 1st ECCOMAS Thematic Conference on Computational Vision and Medical Image Processing</v>
      </c>
      <c r="B18031" s="8" t="str">
        <f>"9780415457774"</f>
        <v>9780415457774</v>
      </c>
      <c r="C18031" s="8" t="s">
        <v>1520</v>
      </c>
    </row>
    <row r="18032" spans="1:3" x14ac:dyDescent="0.25">
      <c r="A18032" s="8" t="str">
        <f>"Proceedings of VIPIMAGE 2007 - 1st ECCOMAS Thematic Conference on Computational Vision and Medical Image Processing"</f>
        <v>Proceedings of VIPIMAGE 2007 - 1st ECCOMAS Thematic Conference on Computational Vision and Medical Image Processing</v>
      </c>
      <c r="B18032" s="8" t="str">
        <f>"9780415457774"</f>
        <v>9780415457774</v>
      </c>
      <c r="C18032" s="8" t="s">
        <v>1520</v>
      </c>
    </row>
    <row r="18033" spans="1:3" x14ac:dyDescent="0.25">
      <c r="A18033" s="8" t="str">
        <f>"Proceedings of VISSOFT 2009 - 5th IEEE International Workshop on Visualizing Software for Understanding and Analysis"</f>
        <v>Proceedings of VISSOFT 2009 - 5th IEEE International Workshop on Visualizing Software for Understanding and Analysis</v>
      </c>
      <c r="B18033" s="8" t="str">
        <f>"9781424450251"</f>
        <v>9781424450251</v>
      </c>
      <c r="C18033" s="8" t="s">
        <v>9</v>
      </c>
    </row>
    <row r="18034" spans="1:3" x14ac:dyDescent="0.25">
      <c r="A18034" s="8" t="str">
        <f>"Proceedings of VISSOFT 2011 - 6th IEEE International Workshop on Visualizing Software for Understanding and Analysis"</f>
        <v>Proceedings of VISSOFT 2011 - 6th IEEE International Workshop on Visualizing Software for Understanding and Analysis</v>
      </c>
      <c r="B18034" s="8" t="str">
        <f>"9781457708237"</f>
        <v>9781457708237</v>
      </c>
      <c r="C18034" s="8" t="s">
        <v>9</v>
      </c>
    </row>
    <row r="18035" spans="1:3" x14ac:dyDescent="0.25">
      <c r="A18035" s="8" t="str">
        <f>"Proceedings of VPA 2014: 1st Workshop on Visual Performance Analysis - held in conjunction with SC 2014: The International Conference for High Performance Computing, Networking, Storage and Analysis"</f>
        <v>Proceedings of VPA 2014: 1st Workshop on Visual Performance Analysis - held in conjunction with SC 2014: The International Conference for High Performance Computing, Networking, Storage and Analysis</v>
      </c>
      <c r="B18035" s="8" t="str">
        <f>"9781479970582"</f>
        <v>9781479970582</v>
      </c>
      <c r="C18035" s="8" t="s">
        <v>105</v>
      </c>
    </row>
    <row r="18036" spans="1:3" x14ac:dyDescent="0.25">
      <c r="A18036" s="8" t="str">
        <f>"Proceedings of VRCAI 2011: ACM SIGGRAPH Conference on Virtual-Reality Continuum and its Applications to Industry"</f>
        <v>Proceedings of VRCAI 2011: ACM SIGGRAPH Conference on Virtual-Reality Continuum and its Applications to Industry</v>
      </c>
      <c r="B18036" s="8" t="str">
        <f>"9781450310604"</f>
        <v>9781450310604</v>
      </c>
      <c r="C18036" s="8" t="s">
        <v>21</v>
      </c>
    </row>
    <row r="18037" spans="1:3" x14ac:dyDescent="0.25">
      <c r="A18037" s="8" t="str">
        <f>"Proceedings of WACCPD 2014: 1st Workshop on Accelerator Programming Using Directives - Held in Conjunction with SC 2014: The International Conference for High Performance Computing, Networking, Storage and Analysis"</f>
        <v>Proceedings of WACCPD 2014: 1st Workshop on Accelerator Programming Using Directives - Held in Conjunction with SC 2014: The International Conference for High Performance Computing, Networking, Storage and Analysis</v>
      </c>
      <c r="B18037" s="8" t="str">
        <f>"9781479970230"</f>
        <v>9781479970230</v>
      </c>
      <c r="C18037" s="8" t="s">
        <v>105</v>
      </c>
    </row>
    <row r="18038" spans="1:3" x14ac:dyDescent="0.25">
      <c r="A18038" s="8" t="str">
        <f>"Proceedings of Web3D 2009: The 14th International Conference on Web3D Technology"</f>
        <v>Proceedings of Web3D 2009: The 14th International Conference on Web3D Technology</v>
      </c>
      <c r="B18038" s="8" t="str">
        <f>"9781605584324"</f>
        <v>9781605584324</v>
      </c>
      <c r="C18038" s="8" t="s">
        <v>21</v>
      </c>
    </row>
    <row r="18039" spans="1:3" x14ac:dyDescent="0.25">
      <c r="A18039" s="8" t="str">
        <f>"Proceedings of WEBI 2013: 2nd International Workshop on Web Intelligence - In Conjunction with the 15th International Conference on Enterprise Information Systems, ICEIS 2013"</f>
        <v>Proceedings of WEBI 2013: 2nd International Workshop on Web Intelligence - In Conjunction with the 15th International Conference on Enterprise Information Systems, ICEIS 2013</v>
      </c>
      <c r="B18039" s="8" t="str">
        <f>"9789898565631"</f>
        <v>9789898565631</v>
      </c>
      <c r="C18039" s="8" t="s">
        <v>1197</v>
      </c>
    </row>
    <row r="18040" spans="1:3" x14ac:dyDescent="0.25">
      <c r="A18040" s="8" t="str">
        <f>"Proceedings of WFOPC2005 - 4th IEEE/LEOS Workshop on Fibres and Optical Passive Components"</f>
        <v>Proceedings of WFOPC2005 - 4th IEEE/LEOS Workshop on Fibres and Optical Passive Components</v>
      </c>
      <c r="B18040" s="8" t="str">
        <f>"-"</f>
        <v>-</v>
      </c>
      <c r="C18040" s="8" t="s">
        <v>9</v>
      </c>
    </row>
    <row r="18041" spans="1:3" x14ac:dyDescent="0.25">
      <c r="A18041" s="8" t="str">
        <f>"Proceedings of WHPCF 2013: 6th Workshop on High Performance Computational Finance - Held in Conjunction with SC 2013: The Int. Conf. for High Performance Computing, Networking, Storage and Analysis"</f>
        <v>Proceedings of WHPCF 2013: 6th Workshop on High Performance Computational Finance - Held in Conjunction with SC 2013: The Int. Conf. for High Performance Computing, Networking, Storage and Analysis</v>
      </c>
      <c r="B18041" s="8" t="str">
        <f>"9781450325073"</f>
        <v>9781450325073</v>
      </c>
      <c r="C18041" s="8" t="s">
        <v>21</v>
      </c>
    </row>
    <row r="18042" spans="1:3" x14ac:dyDescent="0.25">
      <c r="A18042" s="8" t="str">
        <f>"Proceedings of WHPCF 2014: 7th Workshop on High Performance Computational Finance - Held in conjunction with SC 2014: The International Conference for High Performance Computing, Networking, Storage and Analysis"</f>
        <v>Proceedings of WHPCF 2014: 7th Workshop on High Performance Computational Finance - Held in conjunction with SC 2014: The International Conference for High Performance Computing, Networking, Storage and Analysis</v>
      </c>
      <c r="B18042" s="8" t="str">
        <f>"9781479970278"</f>
        <v>9781479970278</v>
      </c>
      <c r="C18042" s="8" t="s">
        <v>105</v>
      </c>
    </row>
    <row r="18043" spans="1:3" x14ac:dyDescent="0.25">
      <c r="A18043" s="8" t="str">
        <f>"Proceedings of WikiSym 2010 - The 6th International Symposium on Wikis and Open Collaboration"</f>
        <v>Proceedings of WikiSym 2010 - The 6th International Symposium on Wikis and Open Collaboration</v>
      </c>
      <c r="B18043" s="8" t="str">
        <f>"9781450300568"</f>
        <v>9781450300568</v>
      </c>
      <c r="C18043" s="8" t="s">
        <v>21</v>
      </c>
    </row>
    <row r="18044" spans="1:3" x14ac:dyDescent="0.25">
      <c r="A18044" s="8" t="str">
        <f>"Proceedings of WikiSym'06 - 2006 International Symposium on Wikis"</f>
        <v>Proceedings of WikiSym'06 - 2006 International Symposium on Wikis</v>
      </c>
      <c r="B18044" s="8" t="str">
        <f>"-"</f>
        <v>-</v>
      </c>
      <c r="C18044" s="8" t="s">
        <v>21</v>
      </c>
    </row>
    <row r="18045" spans="1:3" x14ac:dyDescent="0.25">
      <c r="A18045" s="8" t="s">
        <v>2283</v>
      </c>
      <c r="B18045" s="8" t="str">
        <f>"9781479970209"</f>
        <v>9781479970209</v>
      </c>
      <c r="C18045" s="8" t="s">
        <v>105</v>
      </c>
    </row>
    <row r="18046" spans="1:3" x14ac:dyDescent="0.25">
      <c r="A18046" s="8" t="str">
        <f>"Proceedings of WORKS 2014: The 9th Workshop on Workflows in Support of Large-Scale Science - held in conjunction with SC 2014: The International Conference for High Performance Computing, Networking, Storage and Analysis"</f>
        <v>Proceedings of WORKS 2014: The 9th Workshop on Workflows in Support of Large-Scale Science - held in conjunction with SC 2014: The International Conference for High Performance Computing, Networking, Storage and Analysis</v>
      </c>
      <c r="B18046" s="8" t="str">
        <f>"9781479970674"</f>
        <v>9781479970674</v>
      </c>
      <c r="C18046" s="8" t="s">
        <v>105</v>
      </c>
    </row>
    <row r="18047" spans="1:3" x14ac:dyDescent="0.25">
      <c r="A18047" s="8" t="str">
        <f>"Proceedings of Workshop on Web Search Click Data, WSCD'09"</f>
        <v>Proceedings of Workshop on Web Search Click Data, WSCD'09</v>
      </c>
      <c r="B18047" s="8" t="str">
        <f>"9781605584348"</f>
        <v>9781605584348</v>
      </c>
      <c r="C18047" s="8" t="s">
        <v>21</v>
      </c>
    </row>
    <row r="18048" spans="1:3" x14ac:dyDescent="0.25">
      <c r="A18048" s="8" t="str">
        <f>"Proceedings of World Environmental and Water Resources Congress 2009 - World Environmental and Water Resources Congress 2009: Great Rivers"</f>
        <v>Proceedings of World Environmental and Water Resources Congress 2009 - World Environmental and Water Resources Congress 2009: Great Rivers</v>
      </c>
      <c r="B18048" s="8" t="str">
        <f>"9780784410363"</f>
        <v>9780784410363</v>
      </c>
      <c r="C18048" s="8" t="s">
        <v>111</v>
      </c>
    </row>
    <row r="18049" spans="1:3" x14ac:dyDescent="0.25">
      <c r="A18049" s="8" t="str">
        <f>"Proceedings of WOSIS 2013: 10th International Workshop on Security in Information Systems - In Conjunction with the 15th International Conference on Enterprise Information Systems, ICEIS 2013"</f>
        <v>Proceedings of WOSIS 2013: 10th International Workshop on Security in Information Systems - In Conjunction with the 15th International Conference on Enterprise Information Systems, ICEIS 2013</v>
      </c>
      <c r="B18049" s="8" t="str">
        <f>"9789898565648"</f>
        <v>9789898565648</v>
      </c>
      <c r="C18049" s="8" t="s">
        <v>1197</v>
      </c>
    </row>
    <row r="18050" spans="1:3" x14ac:dyDescent="0.25">
      <c r="A18050" s="8" t="str">
        <f>"Proceedings of XI Tecnologias Aplicadas a la Ensenanza de la Electronica (Technologies Applied to Electronics Teaching), TAEE 2014"</f>
        <v>Proceedings of XI Tecnologias Aplicadas a la Ensenanza de la Electronica (Technologies Applied to Electronics Teaching), TAEE 2014</v>
      </c>
      <c r="B18050" s="8" t="str">
        <f>"9781479960026"</f>
        <v>9781479960026</v>
      </c>
      <c r="C18050" s="8" t="s">
        <v>105</v>
      </c>
    </row>
    <row r="18051" spans="1:3" x14ac:dyDescent="0.25">
      <c r="A18051" s="8" t="str">
        <f>"Proceedings of Xth International Seminar/Workshop on Direct and Inverse Problems of Electromagnetic and Acoustic Wave Theory, DIPED-2005"</f>
        <v>Proceedings of Xth International Seminar/Workshop on Direct and Inverse Problems of Electromagnetic and Acoustic Wave Theory, DIPED-2005</v>
      </c>
      <c r="B18051" s="8" t="str">
        <f>"-"</f>
        <v>-</v>
      </c>
      <c r="C18051" s="8" t="s">
        <v>9</v>
      </c>
    </row>
    <row r="18052" spans="1:3" x14ac:dyDescent="0.25">
      <c r="A18052" s="8" t="str">
        <f>"Proceedings of: Interaction Design and Children 2005, IDC 2005"</f>
        <v>Proceedings of: Interaction Design and Children 2005, IDC 2005</v>
      </c>
      <c r="B18052" s="8" t="str">
        <f>"9781595930965"</f>
        <v>9781595930965</v>
      </c>
      <c r="C18052" s="8" t="s">
        <v>21</v>
      </c>
    </row>
    <row r="18053" spans="1:3" x14ac:dyDescent="0.25">
      <c r="A18053" s="8" t="str">
        <f>"Proceedings on 2012 1st International Conference on Emerging Technology Trends in Electronics, Communication and Networking, ET2ECN 2012"</f>
        <v>Proceedings on 2012 1st International Conference on Emerging Technology Trends in Electronics, Communication and Networking, ET2ECN 2012</v>
      </c>
      <c r="B18053" s="8" t="str">
        <f>"9781467316279"</f>
        <v>9781467316279</v>
      </c>
      <c r="C18053" s="8" t="s">
        <v>9</v>
      </c>
    </row>
    <row r="18054" spans="1:3" x14ac:dyDescent="0.25">
      <c r="A18054" s="8" t="s">
        <v>2284</v>
      </c>
      <c r="B18054" s="8" t="str">
        <f>"9781479969869"</f>
        <v>9781479969869</v>
      </c>
      <c r="C18054" s="8" t="s">
        <v>105</v>
      </c>
    </row>
    <row r="18055" spans="1:3" x14ac:dyDescent="0.25">
      <c r="A18055" s="8" t="str">
        <f>"Proceedings Second International Workshop on Software and Performance WOSP 2000"</f>
        <v>Proceedings Second International Workshop on Software and Performance WOSP 2000</v>
      </c>
      <c r="B18055" s="8" t="str">
        <f>"9781581131956"</f>
        <v>9781581131956</v>
      </c>
      <c r="C18055" s="8" t="s">
        <v>21</v>
      </c>
    </row>
    <row r="18056" spans="1:3" x14ac:dyDescent="0.25">
      <c r="A18056" s="8" t="str">
        <f>"Proceedings SoftVis '05 - ACM Symposium on Software Visualization"</f>
        <v>Proceedings SoftVis '05 - ACM Symposium on Software Visualization</v>
      </c>
      <c r="B18056" s="8" t="str">
        <f>"9781595930736"</f>
        <v>9781595930736</v>
      </c>
      <c r="C18056" s="8" t="s">
        <v>21</v>
      </c>
    </row>
    <row r="18057" spans="1:3" x14ac:dyDescent="0.25">
      <c r="A18057" s="8" t="str">
        <f>"Proceedings SPM 2006 - ACM Symposium on Solid and Physical Modeling"</f>
        <v>Proceedings SPM 2006 - ACM Symposium on Solid and Physical Modeling</v>
      </c>
      <c r="B18057" s="8" t="str">
        <f>"-"</f>
        <v>-</v>
      </c>
      <c r="C18057" s="8" t="s">
        <v>21</v>
      </c>
    </row>
    <row r="18058" spans="1:3" x14ac:dyDescent="0.25">
      <c r="A18058" s="8" t="str">
        <f>"Proceedings The 19th IEEE/IFIP International Symposium on Rapid System Prototyping - Shortening the Path from Specification to Prototype, RSP 2008"</f>
        <v>Proceedings The 19th IEEE/IFIP International Symposium on Rapid System Prototyping - Shortening the Path from Specification to Prototype, RSP 2008</v>
      </c>
      <c r="B18058" s="8" t="str">
        <f>"9780769531809"</f>
        <v>9780769531809</v>
      </c>
      <c r="C18058" s="8" t="s">
        <v>9</v>
      </c>
    </row>
    <row r="18059" spans="1:3" x14ac:dyDescent="0.25">
      <c r="A18059" s="8" t="str">
        <f>"Proceedings The 2007 International Conference on Intelligent Pervasive Computing, IPC 2007"</f>
        <v>Proceedings The 2007 International Conference on Intelligent Pervasive Computing, IPC 2007</v>
      </c>
      <c r="B18059" s="8" t="str">
        <f>"9780769530062"</f>
        <v>9780769530062</v>
      </c>
      <c r="C18059" s="8" t="s">
        <v>9</v>
      </c>
    </row>
    <row r="18060" spans="1:3" x14ac:dyDescent="0.25">
      <c r="A18060" s="8" t="str">
        <f>"Proceedings the 20th Symposium of the International Association for Vehicle System Dynamics, IAVSD"</f>
        <v>Proceedings the 20th Symposium of the International Association for Vehicle System Dynamics, IAVSD</v>
      </c>
      <c r="B18060" s="8" t="str">
        <f>"9780415486026"</f>
        <v>9780415486026</v>
      </c>
      <c r="C18060" s="8" t="s">
        <v>1432</v>
      </c>
    </row>
    <row r="18061" spans="1:3" x14ac:dyDescent="0.25">
      <c r="A18061" s="8" t="str">
        <f>"Proceedings UNITECR 2011 Congress: 12th Biennial Worldwide Conference on Refractories - Refractories-Technology to Sustain the Global Environment"</f>
        <v>Proceedings UNITECR 2011 Congress: 12th Biennial Worldwide Conference on Refractories - Refractories-Technology to Sustain the Global Environment</v>
      </c>
      <c r="B18061" s="8" t="str">
        <f>"-"</f>
        <v>-</v>
      </c>
      <c r="C18061" s="8" t="s">
        <v>2285</v>
      </c>
    </row>
    <row r="18062" spans="1:3" x14ac:dyDescent="0.25">
      <c r="A18062" s="8" t="str">
        <f>"Proceedings VAST 2001 Virtual Reality, Archeology, and Cultural Heritage"</f>
        <v>Proceedings VAST 2001 Virtual Reality, Archeology, and Cultural Heritage</v>
      </c>
      <c r="B18062" s="8" t="str">
        <f>"9781581134476"</f>
        <v>9781581134476</v>
      </c>
      <c r="C18062" s="8" t="s">
        <v>21</v>
      </c>
    </row>
    <row r="18063" spans="1:3" x14ac:dyDescent="0.25">
      <c r="A18063" s="8" t="str">
        <f>"Proceedings VRCAI 2004 - ACM SIGGRAPH International Conference on Virtual Reality Continuum and its Applications in Industry"</f>
        <v>Proceedings VRCAI 2004 - ACM SIGGRAPH International Conference on Virtual Reality Continuum and its Applications in Industry</v>
      </c>
      <c r="B18063" s="8" t="str">
        <f>"9781581138849"</f>
        <v>9781581138849</v>
      </c>
      <c r="C18063" s="8" t="s">
        <v>21</v>
      </c>
    </row>
    <row r="18064" spans="1:3" x14ac:dyDescent="0.25">
      <c r="A18064" s="8" t="str">
        <f>"Proceedings Web3D 2008: 13th International Symposium on 3D Web Technology"</f>
        <v>Proceedings Web3D 2008: 13th International Symposium on 3D Web Technology</v>
      </c>
      <c r="B18064" s="8" t="str">
        <f>"9781605582139"</f>
        <v>9781605582139</v>
      </c>
      <c r="C18064" s="8" t="s">
        <v>21</v>
      </c>
    </row>
    <row r="18065" spans="1:3" x14ac:dyDescent="0.25">
      <c r="A18065" s="8" t="str">
        <f>"Proceedings WODCON XX - Congress and Exhibition: The Art of Dredging"</f>
        <v>Proceedings WODCON XX - Congress and Exhibition: The Art of Dredging</v>
      </c>
      <c r="B18065" s="8" t="str">
        <f>"9789080988309"</f>
        <v>9789080988309</v>
      </c>
      <c r="C18065" s="8" t="s">
        <v>2286</v>
      </c>
    </row>
    <row r="18066" spans="1:3" x14ac:dyDescent="0.25">
      <c r="A18066" s="8" t="str">
        <f>"Proceedings Workshop on Fault Diagnosis and Tolerance in Cryptography, FDTC 2007"</f>
        <v>Proceedings Workshop on Fault Diagnosis and Tolerance in Cryptography, FDTC 2007</v>
      </c>
      <c r="B18066" s="8" t="str">
        <f>"9780769529820"</f>
        <v>9780769529820</v>
      </c>
      <c r="C18066" s="8" t="s">
        <v>9</v>
      </c>
    </row>
    <row r="18067" spans="1:3" x14ac:dyDescent="0.25">
      <c r="A18067" s="8" t="str">
        <f>"Proceedings, 10th International Conference on Principles of Knowledge Representation and Reasoning, KR 2006"</f>
        <v>Proceedings, 10th International Conference on Principles of Knowledge Representation and Reasoning, KR 2006</v>
      </c>
      <c r="B18067" s="8" t="str">
        <f>"9781577352716"</f>
        <v>9781577352716</v>
      </c>
      <c r="C18067" s="8" t="s">
        <v>1257</v>
      </c>
    </row>
    <row r="18068" spans="1:3" x14ac:dyDescent="0.25">
      <c r="A18068" s="8" t="str">
        <f>"Proceedings, 2008 International Conference on Electronic Packaging Technology and High Density Packaging, ICEPT-HDP 2008"</f>
        <v>Proceedings, 2008 International Conference on Electronic Packaging Technology and High Density Packaging, ICEPT-HDP 2008</v>
      </c>
      <c r="B18068" s="8" t="str">
        <f>"9781424427406"</f>
        <v>9781424427406</v>
      </c>
      <c r="C18068" s="8" t="s">
        <v>9</v>
      </c>
    </row>
    <row r="18069" spans="1:3" x14ac:dyDescent="0.25">
      <c r="A18069" s="8" t="str">
        <f>"Proceedings, 31st International Symposium on Remote Sensing of Environment, ISRSE 2005: Global Monitoring for Sustainability and Security"</f>
        <v>Proceedings, 31st International Symposium on Remote Sensing of Environment, ISRSE 2005: Global Monitoring for Sustainability and Security</v>
      </c>
      <c r="B18069" s="8" t="str">
        <f>"-"</f>
        <v>-</v>
      </c>
      <c r="C18069" s="8" t="s">
        <v>1481</v>
      </c>
    </row>
    <row r="18070" spans="1:3" x14ac:dyDescent="0.25">
      <c r="A18070" s="8" t="str">
        <f>"Proceedings, 32nd International Symposium on Remote Sensing of Environment: Sustainable Development Through Global Earth Observations"</f>
        <v>Proceedings, 32nd International Symposium on Remote Sensing of Environment: Sustainable Development Through Global Earth Observations</v>
      </c>
      <c r="B18070" s="8" t="str">
        <f>"-"</f>
        <v>-</v>
      </c>
      <c r="C18070" s="8" t="s">
        <v>1481</v>
      </c>
    </row>
    <row r="18071" spans="1:3" x14ac:dyDescent="0.25">
      <c r="A18071" s="8" t="str">
        <f>"Proceedings, 33rd International Symposium on Remote Sensing of Environment, ISRSE 2009"</f>
        <v>Proceedings, 33rd International Symposium on Remote Sensing of Environment, ISRSE 2009</v>
      </c>
      <c r="B18071" s="8" t="str">
        <f>"-"</f>
        <v>-</v>
      </c>
      <c r="C18071" s="8" t="s">
        <v>1481</v>
      </c>
    </row>
    <row r="18072" spans="1:3" x14ac:dyDescent="0.25">
      <c r="A18072" s="8" t="str">
        <f>"Proceedings, APWiMob 2014: IEEE Asia Pacific Conference on Wireless and Mobile 2014"</f>
        <v>Proceedings, APWiMob 2014: IEEE Asia Pacific Conference on Wireless and Mobile 2014</v>
      </c>
      <c r="B18072" s="8" t="str">
        <f>"9781479937110"</f>
        <v>9781479937110</v>
      </c>
      <c r="C18072" s="8" t="s">
        <v>105</v>
      </c>
    </row>
    <row r="18073" spans="1:3" x14ac:dyDescent="0.25">
      <c r="A18073" s="8" t="str">
        <f>"Proceedings, DELTA 2004 - Second IEEE International Workshop on Electronic Design, Test and Applications"</f>
        <v>Proceedings, DELTA 2004 - Second IEEE International Workshop on Electronic Design, Test and Applications</v>
      </c>
      <c r="B18073" s="8" t="str">
        <f>"9780769520810"</f>
        <v>9780769520810</v>
      </c>
      <c r="C18073" s="8" t="s">
        <v>9</v>
      </c>
    </row>
    <row r="18074" spans="1:3" x14ac:dyDescent="0.25">
      <c r="A18074" s="8" t="str">
        <f>"Proceedings, ICCES'2010 - 2010 International Conference on Computer Engineering and Systems"</f>
        <v>Proceedings, ICCES'2010 - 2010 International Conference on Computer Engineering and Systems</v>
      </c>
      <c r="B18074" s="8" t="str">
        <f>"9781424470426"</f>
        <v>9781424470426</v>
      </c>
      <c r="C18074" s="8" t="s">
        <v>9</v>
      </c>
    </row>
    <row r="18075" spans="1:3" x14ac:dyDescent="0.25">
      <c r="A18075" s="8" t="str">
        <f>"Proceedings, IECON 2014 - 40th Annual Conference of the IEEE Industrial Electronics Society"</f>
        <v>Proceedings, IECON 2014 - 40th Annual Conference of the IEEE Industrial Electronics Society</v>
      </c>
      <c r="B18075" s="8" t="str">
        <f>"9781479940325"</f>
        <v>9781479940325</v>
      </c>
      <c r="C18075" s="8" t="s">
        <v>105</v>
      </c>
    </row>
    <row r="18076" spans="1:3" x14ac:dyDescent="0.25">
      <c r="A18076" s="8" t="str">
        <f>"Proceedings, ITRE 2003 - International Conference on Information Technology: Research and Education"</f>
        <v>Proceedings, ITRE 2003 - International Conference on Information Technology: Research and Education</v>
      </c>
      <c r="B18076" s="8" t="str">
        <f>"9780780377240"</f>
        <v>9780780377240</v>
      </c>
      <c r="C18076" s="8" t="s">
        <v>9</v>
      </c>
    </row>
    <row r="18077" spans="1:3" x14ac:dyDescent="0.25">
      <c r="A18077" s="8" t="str">
        <f>"Proceedings, SAP 2012 - ACM Symposium on Applied Perception"</f>
        <v>Proceedings, SAP 2012 - ACM Symposium on Applied Perception</v>
      </c>
      <c r="B18077" s="8" t="str">
        <f>"9781450314312"</f>
        <v>9781450314312</v>
      </c>
      <c r="C18077" s="8" t="s">
        <v>21</v>
      </c>
    </row>
    <row r="18078" spans="1:3" x14ac:dyDescent="0.25">
      <c r="A18078" s="8" t="str">
        <f>"Proceedings, SBCCI 2014 - 27th Symposium on Integrated Circuits and Systems Design: Chip in Aracaju"</f>
        <v>Proceedings, SBCCI 2014 - 27th Symposium on Integrated Circuits and Systems Design: Chip in Aracaju</v>
      </c>
      <c r="B18078" s="8" t="str">
        <f>"9781450331562"</f>
        <v>9781450331562</v>
      </c>
      <c r="C18078" s="8" t="s">
        <v>1235</v>
      </c>
    </row>
    <row r="18079" spans="1:3" x14ac:dyDescent="0.25">
      <c r="A18079" s="8" t="str">
        <f>"Proceedings, Twentieth International Conference on Machine Learning"</f>
        <v>Proceedings, Twentieth International Conference on Machine Learning</v>
      </c>
      <c r="B18079" s="8" t="str">
        <f>"9781577351894"</f>
        <v>9781577351894</v>
      </c>
      <c r="C18079" s="8" t="s">
        <v>11</v>
      </c>
    </row>
    <row r="18080" spans="1:3" x14ac:dyDescent="0.25">
      <c r="A18080" s="8" t="str">
        <f>"Proceedings, Twenty-First International Conference on Machine Learning, ICML 2004"</f>
        <v>Proceedings, Twenty-First International Conference on Machine Learning, ICML 2004</v>
      </c>
      <c r="B18080" s="8" t="str">
        <f>"9781581138382"</f>
        <v>9781581138382</v>
      </c>
      <c r="C18080" s="8" t="s">
        <v>21</v>
      </c>
    </row>
    <row r="18081" spans="1:3" x14ac:dyDescent="0.25">
      <c r="A18081" s="8" t="str">
        <f>"Proceedings, Web3D 2012 - 17th International Conference on 3D Web Technology"</f>
        <v>Proceedings, Web3D 2012 - 17th International Conference on 3D Web Technology</v>
      </c>
      <c r="B18081" s="8" t="str">
        <f>"9781450314329"</f>
        <v>9781450314329</v>
      </c>
      <c r="C18081" s="8" t="s">
        <v>21</v>
      </c>
    </row>
    <row r="18082" spans="1:3" x14ac:dyDescent="0.25">
      <c r="A18082" s="8" t="str">
        <f>"Proceedings:  DMS 2005 - 11th International Conference on Distributed Multimedia Systems"</f>
        <v>Proceedings:  DMS 2005 - 11th International Conference on Distributed Multimedia Systems</v>
      </c>
      <c r="B18082" s="8" t="str">
        <f t="shared" ref="B18082:B18090" si="35">"-"</f>
        <v>-</v>
      </c>
      <c r="C18082" s="8" t="s">
        <v>986</v>
      </c>
    </row>
    <row r="18083" spans="1:3" x14ac:dyDescent="0.25">
      <c r="A18083" s="8" t="str">
        <f>"Proceedings:  DMS 2006 - 12th International Conference on Distributed Multimedia Systems"</f>
        <v>Proceedings:  DMS 2006 - 12th International Conference on Distributed Multimedia Systems</v>
      </c>
      <c r="B18083" s="8" t="str">
        <f t="shared" si="35"/>
        <v>-</v>
      </c>
      <c r="C18083" s="8" t="s">
        <v>986</v>
      </c>
    </row>
    <row r="18084" spans="1:3" x14ac:dyDescent="0.25">
      <c r="A18084" s="8" t="str">
        <f>"Proceedings:  DMS 2007 - 13th International Conference on Distributed Multimedia Systems"</f>
        <v>Proceedings:  DMS 2007 - 13th International Conference on Distributed Multimedia Systems</v>
      </c>
      <c r="B18084" s="8" t="str">
        <f t="shared" si="35"/>
        <v>-</v>
      </c>
      <c r="C18084" s="8" t="s">
        <v>986</v>
      </c>
    </row>
    <row r="18085" spans="1:3" x14ac:dyDescent="0.25">
      <c r="A18085" s="8" t="str">
        <f>"Proceedings:  DMS 2008 - 14th International Conference on Distributed Multimedia Systems"</f>
        <v>Proceedings:  DMS 2008 - 14th International Conference on Distributed Multimedia Systems</v>
      </c>
      <c r="B18085" s="8" t="str">
        <f t="shared" si="35"/>
        <v>-</v>
      </c>
      <c r="C18085" s="8" t="s">
        <v>986</v>
      </c>
    </row>
    <row r="18086" spans="1:3" x14ac:dyDescent="0.25">
      <c r="A18086" s="8" t="str">
        <f>"Proceedings:  DMS 2009 - 15th International Conference on Distributed Multimedia Systems"</f>
        <v>Proceedings:  DMS 2009 - 15th International Conference on Distributed Multimedia Systems</v>
      </c>
      <c r="B18086" s="8" t="str">
        <f t="shared" si="35"/>
        <v>-</v>
      </c>
      <c r="C18086" s="8" t="s">
        <v>986</v>
      </c>
    </row>
    <row r="18087" spans="1:3" x14ac:dyDescent="0.25">
      <c r="A18087" s="8" t="str">
        <f>"Proceedings:  DMS 2011 - 17th International Conference on Distributed Multimedia Systems"</f>
        <v>Proceedings:  DMS 2011 - 17th International Conference on Distributed Multimedia Systems</v>
      </c>
      <c r="B18087" s="8" t="str">
        <f t="shared" si="35"/>
        <v>-</v>
      </c>
      <c r="C18087" s="8" t="s">
        <v>986</v>
      </c>
    </row>
    <row r="18088" spans="1:3" x14ac:dyDescent="0.25">
      <c r="A18088" s="8" t="str">
        <f>"Proceedings:  DMS 2012 - 18th International Conference on Distributed Multimedia Systems"</f>
        <v>Proceedings:  DMS 2012 - 18th International Conference on Distributed Multimedia Systems</v>
      </c>
      <c r="B18088" s="8" t="str">
        <f t="shared" si="35"/>
        <v>-</v>
      </c>
      <c r="C18088" s="8" t="s">
        <v>986</v>
      </c>
    </row>
    <row r="18089" spans="1:3" x14ac:dyDescent="0.25">
      <c r="A18089" s="8" t="str">
        <f>"Proceedings:  DMS 2013 - 19th International Conference on Distributed Multimedia Systems"</f>
        <v>Proceedings:  DMS 2013 - 19th International Conference on Distributed Multimedia Systems</v>
      </c>
      <c r="B18089" s="8" t="str">
        <f t="shared" si="35"/>
        <v>-</v>
      </c>
      <c r="C18089" s="8" t="s">
        <v>986</v>
      </c>
    </row>
    <row r="18090" spans="1:3" x14ac:dyDescent="0.25">
      <c r="A18090" s="8" t="str">
        <f>"Proceedings:  DMS 2014 - 20th International Conference on Distributed Multimedia Systems"</f>
        <v>Proceedings:  DMS 2014 - 20th International Conference on Distributed Multimedia Systems</v>
      </c>
      <c r="B18090" s="8" t="str">
        <f t="shared" si="35"/>
        <v>-</v>
      </c>
      <c r="C18090" s="8" t="s">
        <v>986</v>
      </c>
    </row>
    <row r="18091" spans="1:3" x14ac:dyDescent="0.25">
      <c r="A18091" s="8" t="str">
        <f>"Proceedings: 22nd International Conference on VLSI Design - Held Jointly with 7th International Conference on Embedded Systems"</f>
        <v>Proceedings: 22nd International Conference on VLSI Design - Held Jointly with 7th International Conference on Embedded Systems</v>
      </c>
      <c r="B18091" s="8" t="str">
        <f>"9780769535067"</f>
        <v>9780769535067</v>
      </c>
      <c r="C18091" s="8" t="s">
        <v>9</v>
      </c>
    </row>
    <row r="18092" spans="1:3" x14ac:dyDescent="0.25">
      <c r="A18092" s="8" t="str">
        <f>"Proceedings: 25th SIBGRAPI - Conference on Graphics, Patterns and Images Tutorials, SIBGRAPI-T 2012"</f>
        <v>Proceedings: 25th SIBGRAPI - Conference on Graphics, Patterns and Images Tutorials, SIBGRAPI-T 2012</v>
      </c>
      <c r="B18092" s="8" t="str">
        <f>"9780769548302"</f>
        <v>9780769548302</v>
      </c>
      <c r="C18092" s="8" t="s">
        <v>9</v>
      </c>
    </row>
    <row r="18093" spans="1:3" x14ac:dyDescent="0.25">
      <c r="A18093" s="8" t="str">
        <f>"Proceedings: HAVE 2002 - IEEE International Workshop on Haptic Virtual Environments and their Applications"</f>
        <v>Proceedings: HAVE 2002 - IEEE International Workshop on Haptic Virtual Environments and their Applications</v>
      </c>
      <c r="B18093" s="8" t="str">
        <f>"9780780376359"</f>
        <v>9780780376359</v>
      </c>
      <c r="C18093" s="8" t="s">
        <v>105</v>
      </c>
    </row>
    <row r="18094" spans="1:3" x14ac:dyDescent="0.25">
      <c r="A18094" s="8" t="str">
        <f>"Proceedings: International Conference on Applications of Computer and Information Sciences to Nature Research 2010, ACISNR 2010"</f>
        <v>Proceedings: International Conference on Applications of Computer and Information Sciences to Nature Research 2010, ACISNR 2010</v>
      </c>
      <c r="B18094" s="8" t="str">
        <f>"9781605589183"</f>
        <v>9781605589183</v>
      </c>
      <c r="C18094" s="8" t="s">
        <v>21</v>
      </c>
    </row>
    <row r="18095" spans="1:3" x14ac:dyDescent="0.25">
      <c r="A18095" s="8" t="str">
        <f>"Proceedings: Turing 100 - International Conference on Computing Sciences, ICCS 2012"</f>
        <v>Proceedings: Turing 100 - International Conference on Computing Sciences, ICCS 2012</v>
      </c>
      <c r="B18095" s="8" t="str">
        <f>"9780769548173"</f>
        <v>9780769548173</v>
      </c>
      <c r="C18095" s="8" t="s">
        <v>9</v>
      </c>
    </row>
    <row r="18096" spans="1:3" x14ac:dyDescent="0.25">
      <c r="A18096" s="8" t="str">
        <f>"Proceeedings - Shape Modeling International 1999 - International Conference on Shape Modeling and Applications"</f>
        <v>Proceeedings - Shape Modeling International 1999 - International Conference on Shape Modeling and Applications</v>
      </c>
      <c r="B18096" s="8" t="str">
        <f>"9780769500652"</f>
        <v>9780769500652</v>
      </c>
      <c r="C18096" s="8" t="s">
        <v>9</v>
      </c>
    </row>
    <row r="18097" spans="1:3" x14ac:dyDescent="0.25">
      <c r="A18097" s="8" t="str">
        <f>"Proceeedings of The 2008 IEEE International Conference on Ultra-Wideband, ICUWB 2008"</f>
        <v>Proceeedings of The 2008 IEEE International Conference on Ultra-Wideband, ICUWB 2008</v>
      </c>
      <c r="B18097" s="8" t="str">
        <f>"9781424418275"</f>
        <v>9781424418275</v>
      </c>
      <c r="C18097" s="8" t="s">
        <v>9</v>
      </c>
    </row>
    <row r="18098" spans="1:3" x14ac:dyDescent="0.25">
      <c r="A18098" s="8" t="str">
        <f>"Process Development Division 2013 - Core Programming Area at the 2013 AIChE Annual Meeting: Global Challenges for Engineering a Sustainable Future"</f>
        <v>Process Development Division 2013 - Core Programming Area at the 2013 AIChE Annual Meeting: Global Challenges for Engineering a Sustainable Future</v>
      </c>
      <c r="B18098" s="8" t="str">
        <f>"9781634390521"</f>
        <v>9781634390521</v>
      </c>
      <c r="C18098" s="8" t="s">
        <v>1219</v>
      </c>
    </row>
    <row r="18099" spans="1:3" x14ac:dyDescent="0.25">
      <c r="A18099" s="8" t="str">
        <f>"Process Development Division 2014 - Core Programming Area at the 2014 AIChE Spring Meeting and 10th Global Congress on Process Safety"</f>
        <v>Process Development Division 2014 - Core Programming Area at the 2014 AIChE Spring Meeting and 10th Global Congress on Process Safety</v>
      </c>
      <c r="B18099" s="8" t="str">
        <f>"9781634390774"</f>
        <v>9781634390774</v>
      </c>
      <c r="C18099" s="8" t="s">
        <v>1219</v>
      </c>
    </row>
    <row r="18100" spans="1:3" x14ac:dyDescent="0.25">
      <c r="A18100" s="8" t="str">
        <f>"Process Development Division Conference, Presentations at the 2008 AIChE Spring National Meeting"</f>
        <v>Process Development Division Conference, Presentations at the 2008 AIChE Spring National Meeting</v>
      </c>
      <c r="B18100" s="8" t="str">
        <f>"9781605602202"</f>
        <v>9781605602202</v>
      </c>
      <c r="C18100" s="8" t="s">
        <v>1219</v>
      </c>
    </row>
    <row r="18101" spans="1:3" x14ac:dyDescent="0.25">
      <c r="A18101" s="8" t="str">
        <f>"Process Development Symposium: Accelerating Process Development for Growth, AIChE"</f>
        <v>Process Development Symposium: Accelerating Process Development for Growth, AIChE</v>
      </c>
      <c r="B18101" s="8" t="str">
        <f>"-"</f>
        <v>-</v>
      </c>
      <c r="C18101" s="8" t="s">
        <v>106</v>
      </c>
    </row>
    <row r="18102" spans="1:3" x14ac:dyDescent="0.25">
      <c r="A18102" s="8" t="str">
        <f>"Process in Safety Science and Technology Part A"</f>
        <v>Process in Safety Science and Technology Part A</v>
      </c>
      <c r="B18102" s="8" t="str">
        <f>"9787030107879"</f>
        <v>9787030107879</v>
      </c>
      <c r="C18102" s="8" t="s">
        <v>37</v>
      </c>
    </row>
    <row r="18103" spans="1:3" x14ac:dyDescent="0.25">
      <c r="A18103" s="8" t="str">
        <f>"Process in Safety Science and Technology Part B"</f>
        <v>Process in Safety Science and Technology Part B</v>
      </c>
      <c r="B18103" s="8" t="str">
        <f>"9787030107879"</f>
        <v>9787030107879</v>
      </c>
      <c r="C18103" s="8" t="s">
        <v>37</v>
      </c>
    </row>
    <row r="18104" spans="1:3" x14ac:dyDescent="0.25">
      <c r="A18104" s="8" t="str">
        <f>"Process Safety Spotlights 2014 - Topical Conference at the 2014 AIChE Spring Meeting and 10th Global Congress on Process Safety"</f>
        <v>Process Safety Spotlights 2014 - Topical Conference at the 2014 AIChE Spring Meeting and 10th Global Congress on Process Safety</v>
      </c>
      <c r="B18104" s="8" t="str">
        <f>"9781634391627"</f>
        <v>9781634391627</v>
      </c>
      <c r="C18104" s="8" t="s">
        <v>1219</v>
      </c>
    </row>
    <row r="18105" spans="1:3" x14ac:dyDescent="0.25">
      <c r="A18105" s="8" t="str">
        <f>"Processing and Fabrication of Advanced Materials X"</f>
        <v>Processing and Fabrication of Advanced Materials X</v>
      </c>
      <c r="B18105" s="8" t="str">
        <f>"9780871707567"</f>
        <v>9780871707567</v>
      </c>
      <c r="C18105" s="8" t="s">
        <v>65</v>
      </c>
    </row>
    <row r="18106" spans="1:3" x14ac:dyDescent="0.25">
      <c r="A18106" s="8" t="str">
        <f>"Processing and Fabrication of Advanced Materials XII"</f>
        <v>Processing and Fabrication of Advanced Materials XII</v>
      </c>
      <c r="B18106" s="8" t="str">
        <f>"9780871707994"</f>
        <v>9780871707994</v>
      </c>
      <c r="C18106" s="8" t="s">
        <v>65</v>
      </c>
    </row>
    <row r="18107" spans="1:3" x14ac:dyDescent="0.25">
      <c r="A18107" s="8" t="str">
        <f>"Processing and Fabrication of Advanced Materials XIV With Frontiers in Materials Science 2005: Innovative Materials and Manufacturing Techniques - Proceedings of a Symposium"</f>
        <v>Processing and Fabrication of Advanced Materials XIV With Frontiers in Materials Science 2005: Innovative Materials and Manufacturing Techniques - Proceedings of a Symposium</v>
      </c>
      <c r="B18107" s="8" t="str">
        <f>"-"</f>
        <v>-</v>
      </c>
      <c r="C18107" s="8" t="s">
        <v>648</v>
      </c>
    </row>
    <row r="18108" spans="1:3" x14ac:dyDescent="0.25">
      <c r="A18108" s="8" t="str">
        <f>"Processing and Properties of Structural Nanomaterial: Proceedings of Symposia held at the Materials Science and Technology 2003 Meeting"</f>
        <v>Processing and Properties of Structural Nanomaterial: Proceedings of Symposia held at the Materials Science and Technology 2003 Meeting</v>
      </c>
      <c r="B18108" s="8" t="str">
        <f>"9780873395588"</f>
        <v>9780873395588</v>
      </c>
      <c r="C18108" s="8" t="s">
        <v>648</v>
      </c>
    </row>
    <row r="18109" spans="1:3" x14ac:dyDescent="0.25">
      <c r="A18109" s="8" t="str">
        <f>"Production Management and Engineering Sciences - Scientific Publication of the International Conference on Engineering Science and Production Management, ESPM 2015"</f>
        <v>Production Management and Engineering Sciences - Scientific Publication of the International Conference on Engineering Science and Production Management, ESPM 2015</v>
      </c>
      <c r="B18109" s="8" t="str">
        <f>"9781138028562"</f>
        <v>9781138028562</v>
      </c>
      <c r="C18109" s="8" t="s">
        <v>1635</v>
      </c>
    </row>
    <row r="18110" spans="1:3" x14ac:dyDescent="0.25">
      <c r="A18110" s="8" t="str">
        <f>"Program and Abstract Book - 2010 7th International Conference on Electrical Engineering, Computing Science and Automatic Control, CCE 2010"</f>
        <v>Program and Abstract Book - 2010 7th International Conference on Electrical Engineering, Computing Science and Automatic Control, CCE 2010</v>
      </c>
      <c r="B18110" s="8" t="str">
        <f>"9781424473120"</f>
        <v>9781424473120</v>
      </c>
      <c r="C18110" s="8" t="s">
        <v>9</v>
      </c>
    </row>
    <row r="18111" spans="1:3" x14ac:dyDescent="0.25">
      <c r="A18111" s="8" t="str">
        <f>"Program and Short Abstract - The 10th Asian Textile Conference: The Sun Rises From the East; Asian Textile Renaissance, ATC-10"</f>
        <v>Program and Short Abstract - The 10th Asian Textile Conference: The Sun Rises From the East; Asian Textile Renaissance, ATC-10</v>
      </c>
      <c r="B18111" s="8" t="str">
        <f>"-"</f>
        <v>-</v>
      </c>
      <c r="C18111" s="8" t="s">
        <v>1266</v>
      </c>
    </row>
    <row r="18112" spans="1:3" x14ac:dyDescent="0.25">
      <c r="A18112" s="8" t="str">
        <f>"Program Book - OCEANS 2012 MTS/IEEE Yeosu: The Living Ocean and Coast - Diversity of Resources and Sustainable Activities"</f>
        <v>Program Book - OCEANS 2012 MTS/IEEE Yeosu: The Living Ocean and Coast - Diversity of Resources and Sustainable Activities</v>
      </c>
      <c r="B18112" s="8" t="str">
        <f>"9781457720895"</f>
        <v>9781457720895</v>
      </c>
      <c r="C18112" s="8" t="s">
        <v>9</v>
      </c>
    </row>
    <row r="18113" spans="1:3" x14ac:dyDescent="0.25">
      <c r="A18113" s="8" t="str">
        <f>"Programm und Referate - 79. Glastechnische Tagung"</f>
        <v>Programm und Referate - 79. Glastechnische Tagung</v>
      </c>
      <c r="B18113" s="8" t="str">
        <f>"9783921089439"</f>
        <v>9783921089439</v>
      </c>
      <c r="C18113" s="8" t="s">
        <v>2012</v>
      </c>
    </row>
    <row r="18114" spans="1:3" x14ac:dyDescent="0.25">
      <c r="A18114" s="8" t="str">
        <f>"Programme and Abstract Book - 5th ESA Workshop on Satellite Navigation Technologies and European Workshop on GNSS Signals and Signal Processing, NAVITEC 2010"</f>
        <v>Programme and Abstract Book - 5th ESA Workshop on Satellite Navigation Technologies and European Workshop on GNSS Signals and Signal Processing, NAVITEC 2010</v>
      </c>
      <c r="B18114" s="8" t="str">
        <f>"9781424487417"</f>
        <v>9781424487417</v>
      </c>
      <c r="C18114" s="8" t="s">
        <v>9</v>
      </c>
    </row>
    <row r="18115" spans="1:3" x14ac:dyDescent="0.25">
      <c r="A18115" s="8" t="str">
        <f>"Progress in Environmental and Engineering Geophysics: Proceedings of the International Conference on Environmental and Engineering Geophysics, ICEEG 2004"</f>
        <v>Progress in Environmental and Engineering Geophysics: Proceedings of the International Conference on Environmental and Engineering Geophysics, ICEEG 2004</v>
      </c>
      <c r="B18115" s="8" t="str">
        <f>"9781880132975"</f>
        <v>9781880132975</v>
      </c>
      <c r="C18115" s="8" t="s">
        <v>1649</v>
      </c>
    </row>
    <row r="18116" spans="1:3" x14ac:dyDescent="0.25">
      <c r="A18116" s="8" t="str">
        <f>"Progress in Heat Treatment and Surface Engineering"</f>
        <v>Progress in Heat Treatment and Surface Engineering</v>
      </c>
      <c r="B18116" s="8" t="str">
        <f>"9780871706959"</f>
        <v>9780871706959</v>
      </c>
      <c r="C18116" s="8" t="s">
        <v>65</v>
      </c>
    </row>
    <row r="18117" spans="1:3" x14ac:dyDescent="0.25">
      <c r="A18117" s="8" t="str">
        <f>"Progress in Mechanics of Structures and Materials - Proceedings of the 19th Australasian Conference on the Mechanics of Structures and Materials, ACMSM19"</f>
        <v>Progress in Mechanics of Structures and Materials - Proceedings of the 19th Australasian Conference on the Mechanics of Structures and Materials, ACMSM19</v>
      </c>
      <c r="B18117" s="8" t="str">
        <f>"9780415426923"</f>
        <v>9780415426923</v>
      </c>
      <c r="C18117" s="8" t="s">
        <v>1619</v>
      </c>
    </row>
    <row r="18118" spans="1:3" x14ac:dyDescent="0.25">
      <c r="A18118" s="8" t="str">
        <f>"Progress in Mine Safety Science and Engineering II - Proceedings of the 2nd International Symposium of Mine Safety Science and Engineering"</f>
        <v>Progress in Mine Safety Science and Engineering II - Proceedings of the 2nd International Symposium of Mine Safety Science and Engineering</v>
      </c>
      <c r="B18118" s="8" t="str">
        <f>"9781138001220"</f>
        <v>9781138001220</v>
      </c>
      <c r="C18118" s="8" t="s">
        <v>1619</v>
      </c>
    </row>
    <row r="18119" spans="1:3" x14ac:dyDescent="0.25">
      <c r="A18119" s="8" t="str">
        <f>"Progress in Safety Science and Technology Volume 4:Proceedings of the 2004 International Symposium on Safety Science and Technology"</f>
        <v>Progress in Safety Science and Technology Volume 4:Proceedings of the 2004 International Symposium on Safety Science and Technology</v>
      </c>
      <c r="B18119" s="8" t="str">
        <f>"9787030143860"</f>
        <v>9787030143860</v>
      </c>
      <c r="C18119" s="8" t="s">
        <v>37</v>
      </c>
    </row>
    <row r="18120" spans="1:3" x14ac:dyDescent="0.25">
      <c r="A18120" s="8" t="str">
        <f>"Progress in Spatial Data Handling - 12th International Symposium on Spatial Data Handling, SDH 2006"</f>
        <v>Progress in Spatial Data Handling - 12th International Symposium on Spatial Data Handling, SDH 2006</v>
      </c>
      <c r="B18120" s="8" t="str">
        <f>"9783540355885"</f>
        <v>9783540355885</v>
      </c>
      <c r="C18120" s="8" t="s">
        <v>42</v>
      </c>
    </row>
    <row r="18121" spans="1:3" x14ac:dyDescent="0.25">
      <c r="A18121" s="8" t="str">
        <f>"Progress in Water Resources"</f>
        <v>Progress in Water Resources</v>
      </c>
      <c r="B18121" s="8" t="str">
        <f>"9781853128769"</f>
        <v>9781853128769</v>
      </c>
      <c r="C18121" s="8" t="s">
        <v>80</v>
      </c>
    </row>
    <row r="18122" spans="1:3" x14ac:dyDescent="0.25">
      <c r="A18122" s="8" t="str">
        <f>"Progress in Water Resources"</f>
        <v>Progress in Water Resources</v>
      </c>
      <c r="B18122" s="8" t="str">
        <f>"9781853129766"</f>
        <v>9781853129766</v>
      </c>
      <c r="C18122" s="8" t="s">
        <v>80</v>
      </c>
    </row>
    <row r="18123" spans="1:3" x14ac:dyDescent="0.25">
      <c r="A18123" s="8" t="str">
        <f>"Progress in Water Resources"</f>
        <v>Progress in Water Resources</v>
      </c>
      <c r="B18123" s="8" t="str">
        <f>"9781853129674"</f>
        <v>9781853129674</v>
      </c>
      <c r="C18123" s="8" t="s">
        <v>80</v>
      </c>
    </row>
    <row r="18124" spans="1:3" x14ac:dyDescent="0.25">
      <c r="A18124" s="8" t="str">
        <f>"Progress of Composites 2008 in Asia and Australasia - Proceedings of the 6th Asian-Australasian Conference on Composite Materials, ACCM 2008"</f>
        <v>Progress of Composites 2008 in Asia and Australasia - Proceedings of the 6th Asian-Australasian Conference on Composite Materials, ACCM 2008</v>
      </c>
      <c r="B18124" s="8" t="str">
        <f>"9784901381321"</f>
        <v>9784901381321</v>
      </c>
      <c r="C18124" s="8" t="s">
        <v>1182</v>
      </c>
    </row>
    <row r="18125" spans="1:3" x14ac:dyDescent="0.25">
      <c r="A18125" s="8" t="str">
        <f>"Progress of Machining Technology - Proceedings of the Seventh International Conference on Progress of Machining Technology, ICPMT'2004"</f>
        <v>Progress of Machining Technology - Proceedings of the Seventh International Conference on Progress of Machining Technology, ICPMT'2004</v>
      </c>
      <c r="B18125" s="8" t="str">
        <f>"9787801835000"</f>
        <v>9787801835000</v>
      </c>
      <c r="C18125" s="8" t="s">
        <v>2287</v>
      </c>
    </row>
    <row r="18126" spans="1:3" x14ac:dyDescent="0.25">
      <c r="A18126" s="8" t="str">
        <f>"Project Management and Risk Management in Complex Projects: Studies in Organizational Semiotics"</f>
        <v>Project Management and Risk Management in Complex Projects: Studies in Organizational Semiotics</v>
      </c>
      <c r="B18126" s="8" t="str">
        <f>"9781402058363"</f>
        <v>9781402058363</v>
      </c>
      <c r="C18126" s="8" t="s">
        <v>162</v>
      </c>
    </row>
    <row r="18127" spans="1:3" x14ac:dyDescent="0.25">
      <c r="A18127" s="8" t="str">
        <f>"PROMOTO 2014 - Proceedings of the 2nd Workshop on Programming for Mobile and Touch, Part of SPLASH 2014"</f>
        <v>PROMOTO 2014 - Proceedings of the 2nd Workshop on Programming for Mobile and Touch, Part of SPLASH 2014</v>
      </c>
      <c r="B18127" s="8" t="str">
        <f>"9781450322959"</f>
        <v>9781450322959</v>
      </c>
      <c r="C18127" s="8" t="s">
        <v>1235</v>
      </c>
    </row>
    <row r="18128" spans="1:3" x14ac:dyDescent="0.25">
      <c r="A18128" s="8" t="str">
        <f>"PSAM 2014 - Probabilistic Safety Assessment and Management"</f>
        <v>PSAM 2014 - Probabilistic Safety Assessment and Management</v>
      </c>
      <c r="B18128" s="8" t="str">
        <f>"-"</f>
        <v>-</v>
      </c>
      <c r="C18128" s="8" t="s">
        <v>2288</v>
      </c>
    </row>
    <row r="18129" spans="1:3" x14ac:dyDescent="0.25">
      <c r="A18129" s="8" t="str">
        <f>"PSP 2014 - Proceedings of the 2014 ACM SIGPLAN International Workshop on Privacy and Security in Programming, Part of SPLASH 2014"</f>
        <v>PSP 2014 - Proceedings of the 2014 ACM SIGPLAN International Workshop on Privacy and Security in Programming, Part of SPLASH 2014</v>
      </c>
      <c r="B18129" s="8" t="str">
        <f>"9781450322966"</f>
        <v>9781450322966</v>
      </c>
      <c r="C18129" s="8" t="s">
        <v>1235</v>
      </c>
    </row>
    <row r="18130" spans="1:3" x14ac:dyDescent="0.25">
      <c r="A18130" s="8" t="str">
        <f>"PST 2005 - 3rd Annual Conference on Privacy, Security and Trust, Conference Proceedings"</f>
        <v>PST 2005 - 3rd Annual Conference on Privacy, Security and Trust, Conference Proceedings</v>
      </c>
      <c r="B18130" s="8" t="str">
        <f>"-"</f>
        <v>-</v>
      </c>
      <c r="C18130" s="8" t="s">
        <v>2289</v>
      </c>
    </row>
    <row r="18131" spans="1:3" x14ac:dyDescent="0.25">
      <c r="A18131" s="8" t="str">
        <f>"PST 2010: 2010 8th International Conference on Privacy, Security and Trust"</f>
        <v>PST 2010: 2010 8th International Conference on Privacy, Security and Trust</v>
      </c>
      <c r="B18131" s="8" t="str">
        <f>"9781424475742"</f>
        <v>9781424475742</v>
      </c>
      <c r="C18131" s="8" t="s">
        <v>9</v>
      </c>
    </row>
    <row r="18132" spans="1:3" x14ac:dyDescent="0.25">
      <c r="A18132" s="8" t="str">
        <f>"PulPaper 2007 Conference: Innovative and Sustainable use of Forest Resources"</f>
        <v>PulPaper 2007 Conference: Innovative and Sustainable use of Forest Resources</v>
      </c>
      <c r="B18132" s="8" t="str">
        <f t="shared" ref="B18132:B18137" si="36">"-"</f>
        <v>-</v>
      </c>
      <c r="C18132" s="8" t="s">
        <v>2290</v>
      </c>
    </row>
    <row r="18133" spans="1:3" x14ac:dyDescent="0.25">
      <c r="A18133" s="8" t="str">
        <f>"PULPAPER 2010 Conference - Implementing the New Rise: Bioenergy Boosting Forest Industry"</f>
        <v>PULPAPER 2010 Conference - Implementing the New Rise: Bioenergy Boosting Forest Industry</v>
      </c>
      <c r="B18133" s="8" t="str">
        <f t="shared" si="36"/>
        <v>-</v>
      </c>
      <c r="C18133" s="8" t="s">
        <v>2290</v>
      </c>
    </row>
    <row r="18134" spans="1:3" x14ac:dyDescent="0.25">
      <c r="A18134" s="8" t="str">
        <f>"PULPAPER 2010 Conference - Implementing the New Rise: Resource Efficiency"</f>
        <v>PULPAPER 2010 Conference - Implementing the New Rise: Resource Efficiency</v>
      </c>
      <c r="B18134" s="8" t="str">
        <f t="shared" si="36"/>
        <v>-</v>
      </c>
      <c r="C18134" s="8" t="s">
        <v>2290</v>
      </c>
    </row>
    <row r="18135" spans="1:3" x14ac:dyDescent="0.25">
      <c r="A18135" s="8" t="str">
        <f>"PULPAPER 2010 Conference - Implementing the New Rise: Sustainable Solutions"</f>
        <v>PULPAPER 2010 Conference - Implementing the New Rise: Sustainable Solutions</v>
      </c>
      <c r="B18135" s="8" t="str">
        <f t="shared" si="36"/>
        <v>-</v>
      </c>
      <c r="C18135" s="8" t="s">
        <v>2290</v>
      </c>
    </row>
    <row r="18136" spans="1:3" x14ac:dyDescent="0.25">
      <c r="A18136" s="8" t="str">
        <f>"PULPAPER 2010 Conference - Implementing the New Rise: Technological Breakthroughs - Nanotechnology"</f>
        <v>PULPAPER 2010 Conference - Implementing the New Rise: Technological Breakthroughs - Nanotechnology</v>
      </c>
      <c r="B18136" s="8" t="str">
        <f t="shared" si="36"/>
        <v>-</v>
      </c>
      <c r="C18136" s="8" t="s">
        <v>2290</v>
      </c>
    </row>
    <row r="18137" spans="1:3" x14ac:dyDescent="0.25">
      <c r="A18137" s="8" t="str">
        <f>"PULPAPER 2010 Conference - Implementing the New Rise: Winning Change"</f>
        <v>PULPAPER 2010 Conference - Implementing the New Rise: Winning Change</v>
      </c>
      <c r="B18137" s="8" t="str">
        <f t="shared" si="36"/>
        <v>-</v>
      </c>
      <c r="C18137" s="8" t="s">
        <v>2290</v>
      </c>
    </row>
    <row r="18138" spans="1:3" x14ac:dyDescent="0.25">
      <c r="A18138" s="8" t="str">
        <f>"PV 2010 - 2010 18th International Packet Video Workshop"</f>
        <v>PV 2010 - 2010 18th International Packet Video Workshop</v>
      </c>
      <c r="B18138" s="8" t="str">
        <f>"9781424495214"</f>
        <v>9781424495214</v>
      </c>
      <c r="C18138" s="8" t="s">
        <v>9</v>
      </c>
    </row>
    <row r="18139" spans="1:3" x14ac:dyDescent="0.25">
      <c r="A18139" s="8" t="str">
        <f>"Q2SWinet 2006: Proceedings of the Second ACM International Workshop on Quality of Service and Security in Wireless and Mobile Networks"</f>
        <v>Q2SWinet 2006: Proceedings of the Second ACM International Workshop on Quality of Service and Security in Wireless and Mobile Networks</v>
      </c>
      <c r="B18139" s="8" t="str">
        <f>"9781595934864"</f>
        <v>9781595934864</v>
      </c>
      <c r="C18139" s="8" t="s">
        <v>21</v>
      </c>
    </row>
    <row r="18140" spans="1:3" x14ac:dyDescent="0.25">
      <c r="A18140" s="8" t="str">
        <f>"Q2SWinet 2014 - Proceedings of the 10th ACM Symposium on QoS and Security for Wireless and Mobile Networks"</f>
        <v>Q2SWinet 2014 - Proceedings of the 10th ACM Symposium on QoS and Security for Wireless and Mobile Networks</v>
      </c>
      <c r="B18140" s="8" t="str">
        <f>"9781450330275"</f>
        <v>9781450330275</v>
      </c>
      <c r="C18140" s="8" t="s">
        <v>1235</v>
      </c>
    </row>
    <row r="18141" spans="1:3" x14ac:dyDescent="0.25">
      <c r="A18141" s="8" t="str">
        <f>"Q2SWinet'05 - Proceedings of the First ACM International Workshop on Quality of Service and Security in Wireless and Mobile Networks"</f>
        <v>Q2SWinet'05 - Proceedings of the First ACM International Workshop on Quality of Service and Security in Wireless and Mobile Networks</v>
      </c>
      <c r="B18141" s="8" t="str">
        <f>"9781595932419"</f>
        <v>9781595932419</v>
      </c>
      <c r="C18141" s="8" t="s">
        <v>21</v>
      </c>
    </row>
    <row r="18142" spans="1:3" x14ac:dyDescent="0.25">
      <c r="A18142" s="8" t="str">
        <f>"Q2SWinet'07: Proceedings of the Third ACM Workshop on Q2S and Security for Wireless and Mobile Networks"</f>
        <v>Q2SWinet'07: Proceedings of the Third ACM Workshop on Q2S and Security for Wireless and Mobile Networks</v>
      </c>
      <c r="B18142" s="8" t="str">
        <f>"9781595938060"</f>
        <v>9781595938060</v>
      </c>
      <c r="C18142" s="8" t="s">
        <v>21</v>
      </c>
    </row>
    <row r="18143" spans="1:3" x14ac:dyDescent="0.25">
      <c r="A18143" s="8" t="str">
        <f>"Q2SWinet'08: Proceedings of the 4th ACM International Symposium on QoS and Security for Wireless and Mobile Networks"</f>
        <v>Q2SWinet'08: Proceedings of the 4th ACM International Symposium on QoS and Security for Wireless and Mobile Networks</v>
      </c>
      <c r="B18143" s="8" t="str">
        <f>"9781605582375"</f>
        <v>9781605582375</v>
      </c>
      <c r="C18143" s="8" t="s">
        <v>21</v>
      </c>
    </row>
    <row r="18144" spans="1:3" x14ac:dyDescent="0.25">
      <c r="A18144" s="8" t="str">
        <f>"Q2SWinet'09 - Proceedings of the 5th ACM International Symposium on QoS and Security for Wireless and Mobile Networks"</f>
        <v>Q2SWinet'09 - Proceedings of the 5th ACM International Symposium on QoS and Security for Wireless and Mobile Networks</v>
      </c>
      <c r="B18144" s="8" t="str">
        <f>"9781605586199"</f>
        <v>9781605586199</v>
      </c>
      <c r="C18144" s="8" t="s">
        <v>21</v>
      </c>
    </row>
    <row r="18145" spans="1:3" x14ac:dyDescent="0.25">
      <c r="A18145" s="8" t="str">
        <f>"Q2SWinet'11 - Proceedings of the 7th ACM Symposium on QoS and Security for Wireless and Mobile Networks, Co-located with MSWiM'11"</f>
        <v>Q2SWinet'11 - Proceedings of the 7th ACM Symposium on QoS and Security for Wireless and Mobile Networks, Co-located with MSWiM'11</v>
      </c>
      <c r="B18145" s="8" t="str">
        <f>"9781450308991"</f>
        <v>9781450308991</v>
      </c>
      <c r="C18145" s="8" t="s">
        <v>21</v>
      </c>
    </row>
    <row r="18146" spans="1:3" x14ac:dyDescent="0.25">
      <c r="A18146" s="8" t="str">
        <f>"Q2SWinet'12 - Proceedings of the 8th ACM Symposium on QoS and Security for Wireless and Mobile Networks"</f>
        <v>Q2SWinet'12 - Proceedings of the 8th ACM Symposium on QoS and Security for Wireless and Mobile Networks</v>
      </c>
      <c r="B18146" s="8" t="str">
        <f>"9781450316194"</f>
        <v>9781450316194</v>
      </c>
      <c r="C18146" s="8" t="s">
        <v>21</v>
      </c>
    </row>
    <row r="18147" spans="1:3" x14ac:dyDescent="0.25">
      <c r="A18147" s="8" t="str">
        <f>"QEST - 6th International Conference on the Quantitative Evaluation of Systems"</f>
        <v>QEST - 6th International Conference on the Quantitative Evaluation of Systems</v>
      </c>
      <c r="B18147" s="8" t="str">
        <f>"-"</f>
        <v>-</v>
      </c>
      <c r="C18147" s="8" t="s">
        <v>9</v>
      </c>
    </row>
    <row r="18148" spans="1:3" x14ac:dyDescent="0.25">
      <c r="A18148" s="8" t="str">
        <f>"QEST 2005 - Proceedings Second International Conference on the Quantitative Evaluation of SysTems"</f>
        <v>QEST 2005 - Proceedings Second International Conference on the Quantitative Evaluation of SysTems</v>
      </c>
      <c r="B18148" s="8" t="str">
        <f>"-"</f>
        <v>-</v>
      </c>
      <c r="C18148" s="8" t="s">
        <v>9</v>
      </c>
    </row>
    <row r="18149" spans="1:3" x14ac:dyDescent="0.25">
      <c r="A18149" s="8" t="str">
        <f>"QoSA 2013 - Proceedings of the 9th International ACM Sigsoft Conference on the Quality of Software Architectures"</f>
        <v>QoSA 2013 - Proceedings of the 9th International ACM Sigsoft Conference on the Quality of Software Architectures</v>
      </c>
      <c r="B18149" s="8" t="str">
        <f>"9781450321266"</f>
        <v>9781450321266</v>
      </c>
      <c r="C18149" s="8" t="s">
        <v>21</v>
      </c>
    </row>
    <row r="18150" spans="1:3" x14ac:dyDescent="0.25">
      <c r="A18150" s="8" t="str">
        <f>"QoSA'12 - Proceedings of the 8th International ACM SIGSOFT Conference on the Quality of Software Architectures"</f>
        <v>QoSA'12 - Proceedings of the 8th International ACM SIGSOFT Conference on the Quality of Software Architectures</v>
      </c>
      <c r="B18150" s="8" t="str">
        <f>"9781450313469"</f>
        <v>9781450313469</v>
      </c>
      <c r="C18150" s="8" t="s">
        <v>21</v>
      </c>
    </row>
    <row r="18151" spans="1:3" x14ac:dyDescent="0.25">
      <c r="A18151" s="8" t="str">
        <f>"QR2MSE 2013 - Proceedings of 2013 International Conference on Quality, Reliability, Risk, Maintenance, and Safety Engineering"</f>
        <v>QR2MSE 2013 - Proceedings of 2013 International Conference on Quality, Reliability, Risk, Maintenance, and Safety Engineering</v>
      </c>
      <c r="B18151" s="8" t="str">
        <f>"9781479910144"</f>
        <v>9781479910144</v>
      </c>
      <c r="C18151" s="8" t="s">
        <v>9</v>
      </c>
    </row>
    <row r="18152" spans="1:3" x14ac:dyDescent="0.25">
      <c r="A18152" s="8" t="str">
        <f>"QShine 2007 Workshop: Satellite/Terrestrial Interworking, IWSTI '07"</f>
        <v>QShine 2007 Workshop: Satellite/Terrestrial Interworking, IWSTI '07</v>
      </c>
      <c r="B18152" s="8" t="str">
        <f>"9781595938428"</f>
        <v>9781595938428</v>
      </c>
      <c r="C18152" s="8" t="s">
        <v>21</v>
      </c>
    </row>
    <row r="18153" spans="1:3" x14ac:dyDescent="0.25">
      <c r="A18153" s="8" t="str">
        <f>"QShine 2008 - 5th International ICST Conference on Heterogeneous Networking for Quality, Reliability, Security and Robustness"</f>
        <v>QShine 2008 - 5th International ICST Conference on Heterogeneous Networking for Quality, Reliability, Security and Robustness</v>
      </c>
      <c r="B18153" s="8" t="str">
        <f>"9789639799264"</f>
        <v>9789639799264</v>
      </c>
      <c r="C18153" s="8" t="s">
        <v>1504</v>
      </c>
    </row>
    <row r="18154" spans="1:3" x14ac:dyDescent="0.25">
      <c r="A18154" s="8" t="str">
        <f>"QTNA 2009 - 4th International Conference on Queueing Theory and Network Applications"</f>
        <v>QTNA 2009 - 4th International Conference on Queueing Theory and Network Applications</v>
      </c>
      <c r="B18154" s="8" t="str">
        <f>"9781605585628"</f>
        <v>9781605585628</v>
      </c>
      <c r="C18154" s="8" t="s">
        <v>21</v>
      </c>
    </row>
    <row r="18155" spans="1:3" x14ac:dyDescent="0.25">
      <c r="A18155" s="8" t="str">
        <f>"QualIT 2007 - Qualitative Research: From the Margins to the Mainstream"</f>
        <v>QualIT 2007 - Qualitative Research: From the Margins to the Mainstream</v>
      </c>
      <c r="B18155" s="8" t="str">
        <f>"-"</f>
        <v>-</v>
      </c>
      <c r="C18155" s="8" t="s">
        <v>2291</v>
      </c>
    </row>
    <row r="18156" spans="1:3" x14ac:dyDescent="0.25">
      <c r="A18156" s="8" t="str">
        <f>"Qualitative Research in IT and IT in Qualitative Research: Challenges for Qualitative Research, QualIT 2005 - 2005 Conference Proceedings"</f>
        <v>Qualitative Research in IT and IT in Qualitative Research: Challenges for Qualitative Research, QualIT 2005 - 2005 Conference Proceedings</v>
      </c>
      <c r="B18156" s="8" t="str">
        <f>"9781920952488"</f>
        <v>9781920952488</v>
      </c>
      <c r="C18156" s="8" t="s">
        <v>2292</v>
      </c>
    </row>
    <row r="18157" spans="1:3" x14ac:dyDescent="0.25">
      <c r="A18157" s="8" t="str">
        <f>"Quality and Impact of Qualitative Research: QualIT 2006, Proceedings of the 3rd International Conference on Qualitative Research in IT and IT in Qualitative Research"</f>
        <v>Quality and Impact of Qualitative Research: QualIT 2006, Proceedings of the 3rd International Conference on Qualitative Research in IT and IT in Qualitative Research</v>
      </c>
      <c r="B18157" s="8" t="str">
        <f>"9781920952914"</f>
        <v>9781920952914</v>
      </c>
      <c r="C18157" s="8" t="s">
        <v>2292</v>
      </c>
    </row>
    <row r="18158" spans="1:3" x14ac:dyDescent="0.25">
      <c r="A18158" s="8" t="str">
        <f>"Quality and Reliability Technical Symposium, QRTS 2015: Connecting Innovation to Application for Next Gen Design - Proceedings"</f>
        <v>Quality and Reliability Technical Symposium, QRTS 2015: Connecting Innovation to Application for Next Gen Design - Proceedings</v>
      </c>
      <c r="B18158" s="8" t="str">
        <f>"-"</f>
        <v>-</v>
      </c>
      <c r="C18158" s="8" t="s">
        <v>1715</v>
      </c>
    </row>
    <row r="18159" spans="1:3" x14ac:dyDescent="0.25">
      <c r="A18159" s="8" t="str">
        <f>"Quantitative Analysis Technology and Related Engineering Applications: Conference Proceedings of 2009 International Institute of Applied Statistics Studies, IIASS 2009"</f>
        <v>Quantitative Analysis Technology and Related Engineering Applications: Conference Proceedings of 2009 International Institute of Applied Statistics Studies, IIASS 2009</v>
      </c>
      <c r="B18159" s="8" t="str">
        <f>"9780980605747"</f>
        <v>9780980605747</v>
      </c>
      <c r="C18159" s="8" t="s">
        <v>1857</v>
      </c>
    </row>
    <row r="18160" spans="1:3" x14ac:dyDescent="0.25">
      <c r="A18160" s="8" t="str">
        <f>"Quantum Electronics and Laser Science Conference (QELS)"</f>
        <v>Quantum Electronics and Laser Science Conference (QELS)</v>
      </c>
      <c r="B18160" s="8" t="str">
        <f>"9781557527967"</f>
        <v>9781557527967</v>
      </c>
      <c r="C18160" s="8" t="s">
        <v>86</v>
      </c>
    </row>
    <row r="18161" spans="1:3" x14ac:dyDescent="0.25">
      <c r="A18161" s="8" t="str">
        <f>"Quantum Field Theory and Beyond: Essays in Honor of Wolfhart Zimmermann - Proceedings of the Symposium in Honor of Wolfhart Zimmermann's 80th Birthday"</f>
        <v>Quantum Field Theory and Beyond: Essays in Honor of Wolfhart Zimmermann - Proceedings of the Symposium in Honor of Wolfhart Zimmermann's 80th Birthday</v>
      </c>
      <c r="B18161" s="8" t="str">
        <f>"9789812833549"</f>
        <v>9789812833549</v>
      </c>
      <c r="C18161" s="8" t="s">
        <v>157</v>
      </c>
    </row>
    <row r="18162" spans="1:3" x14ac:dyDescent="0.25">
      <c r="A18162" s="8" t="str">
        <f>"Quantum Field Theory: Competitive Models"</f>
        <v>Quantum Field Theory: Competitive Models</v>
      </c>
      <c r="B18162" s="8" t="str">
        <f>"9783764387358"</f>
        <v>9783764387358</v>
      </c>
      <c r="C18162" s="8" t="s">
        <v>730</v>
      </c>
    </row>
    <row r="18163" spans="1:3" x14ac:dyDescent="0.25">
      <c r="A18163" s="8" t="str">
        <f>"Quantum Gravity: Mathematical Models and Experimental Bounds"</f>
        <v>Quantum Gravity: Mathematical Models and Experimental Bounds</v>
      </c>
      <c r="B18163" s="8" t="str">
        <f>"9783764379773"</f>
        <v>9783764379773</v>
      </c>
      <c r="C18163" s="8" t="s">
        <v>730</v>
      </c>
    </row>
    <row r="18164" spans="1:3" x14ac:dyDescent="0.25">
      <c r="A18164" s="8" t="str">
        <f>"Quantum Mechanics of Fundamental Systems: The Quest for Beauty and Simplicity - Claudio Bunster Festschrift"</f>
        <v>Quantum Mechanics of Fundamental Systems: The Quest for Beauty and Simplicity - Claudio Bunster Festschrift</v>
      </c>
      <c r="B18164" s="8" t="str">
        <f>"9780387874982"</f>
        <v>9780387874982</v>
      </c>
      <c r="C18164" s="8" t="s">
        <v>834</v>
      </c>
    </row>
    <row r="18165" spans="1:3" x14ac:dyDescent="0.25">
      <c r="A18165" s="8" t="str">
        <f>"QUASOSS'09 - Proceedings of the 1st International Workshop on Quality of Service-Oriented Software Systems"</f>
        <v>QUASOSS'09 - Proceedings of the 1st International Workshop on Quality of Service-Oriented Software Systems</v>
      </c>
      <c r="B18165" s="8" t="str">
        <f>"9781605587097"</f>
        <v>9781605587097</v>
      </c>
      <c r="C18165" s="8" t="s">
        <v>21</v>
      </c>
    </row>
    <row r="18166" spans="1:3" x14ac:dyDescent="0.25">
      <c r="A18166" s="8" t="str">
        <f>"QUATIC 2007 - 6th International Conference on the Quality of Information and Communications Technology"</f>
        <v>QUATIC 2007 - 6th International Conference on the Quality of Information and Communications Technology</v>
      </c>
      <c r="B18166" s="8" t="str">
        <f>"9780769529486"</f>
        <v>9780769529486</v>
      </c>
      <c r="C18166" s="8" t="s">
        <v>9</v>
      </c>
    </row>
    <row r="18167" spans="1:3" x14ac:dyDescent="0.25">
      <c r="A18167" s="8" t="str">
        <f>"Queensland University of Technology Research Week International Conference, QUT Research Week 2005 - Conference Proceedings"</f>
        <v>Queensland University of Technology Research Week International Conference, QUT Research Week 2005 - Conference Proceedings</v>
      </c>
      <c r="B18167" s="8" t="str">
        <f>"9781741071016"</f>
        <v>9781741071016</v>
      </c>
      <c r="C18167" s="8" t="s">
        <v>2246</v>
      </c>
    </row>
    <row r="18168" spans="1:3" x14ac:dyDescent="0.25">
      <c r="A18168" s="8" t="str">
        <f>"Quenching Control and Distortion - Proceedings of the 6th International Quenching and Control of Distortion Conference, Including the 4th International Distortion Engineering Conference"</f>
        <v>Quenching Control and Distortion - Proceedings of the 6th International Quenching and Control of Distortion Conference, Including the 4th International Distortion Engineering Conference</v>
      </c>
      <c r="B18168" s="8" t="str">
        <f>"9781615039807"</f>
        <v>9781615039807</v>
      </c>
      <c r="C18168" s="8" t="s">
        <v>65</v>
      </c>
    </row>
    <row r="18169" spans="1:3" x14ac:dyDescent="0.25">
      <c r="A18169" s="8" t="str">
        <f>"Radiation Effects on Embedded Systems"</f>
        <v>Radiation Effects on Embedded Systems</v>
      </c>
      <c r="B18169" s="8" t="str">
        <f>"9781402056451"</f>
        <v>9781402056451</v>
      </c>
      <c r="C18169" s="8" t="s">
        <v>162</v>
      </c>
    </row>
    <row r="18170" spans="1:3" x14ac:dyDescent="0.25">
      <c r="A18170" s="8" t="str">
        <f>"Radio Design in Nanometer Technologies"</f>
        <v>Radio Design in Nanometer Technologies</v>
      </c>
      <c r="B18170" s="8" t="str">
        <f>"9781402048234"</f>
        <v>9781402048234</v>
      </c>
      <c r="C18170" s="8" t="s">
        <v>162</v>
      </c>
    </row>
    <row r="18171" spans="1:3" x14ac:dyDescent="0.25">
      <c r="A18171" s="8" t="str">
        <f>"Rail Human Factors Around the World: Impacts on and of People for Successful Rail Operations"</f>
        <v>Rail Human Factors Around the World: Impacts on and of People for Successful Rail Operations</v>
      </c>
      <c r="B18171" s="8" t="str">
        <f>"9780415644754"</f>
        <v>9780415644754</v>
      </c>
      <c r="C18171" s="8" t="s">
        <v>1619</v>
      </c>
    </row>
    <row r="18172" spans="1:3" x14ac:dyDescent="0.25">
      <c r="A18172" s="8" t="str">
        <f>"Rail Human Factors: Supporting Reliability, Safety and Cost Reduction"</f>
        <v>Rail Human Factors: Supporting Reliability, Safety and Cost Reduction</v>
      </c>
      <c r="B18172" s="8" t="str">
        <f>"9781138000377"</f>
        <v>9781138000377</v>
      </c>
      <c r="C18172" s="8" t="s">
        <v>1619</v>
      </c>
    </row>
    <row r="18173" spans="1:3" x14ac:dyDescent="0.25">
      <c r="A18173" s="8" t="str">
        <f>"Rainfall in the Urban Context: Forecasting, Risk and Climate Change"</f>
        <v>Rainfall in the Urban Context: Forecasting, Risk and Climate Change</v>
      </c>
      <c r="B18173" s="8" t="str">
        <f>"-"</f>
        <v>-</v>
      </c>
      <c r="C18173" s="8" t="s">
        <v>55</v>
      </c>
    </row>
    <row r="18174" spans="1:3" x14ac:dyDescent="0.25">
      <c r="A18174" s="8" t="str">
        <f>"Rammed Earth Conservation - Proceedings of the 1st International Conference on Rammed Earth Conservation, RESTAPIA 2012"</f>
        <v>Rammed Earth Conservation - Proceedings of the 1st International Conference on Rammed Earth Conservation, RESTAPIA 2012</v>
      </c>
      <c r="B18174" s="8" t="str">
        <f>"9780415621250"</f>
        <v>9780415621250</v>
      </c>
      <c r="C18174" s="8" t="s">
        <v>1619</v>
      </c>
    </row>
    <row r="18175" spans="1:3" x14ac:dyDescent="0.25">
      <c r="A18175" s="8" t="str">
        <f>"Rammed Earth Construction - Proceedings of the 1st International Conference on Rammed Earth Construction, ICREC 2015"</f>
        <v>Rammed Earth Construction - Proceedings of the 1st International Conference on Rammed Earth Construction, ICREC 2015</v>
      </c>
      <c r="B18175" s="8" t="str">
        <f>"9781138027701"</f>
        <v>9781138027701</v>
      </c>
      <c r="C18175" s="8" t="s">
        <v>1635</v>
      </c>
    </row>
    <row r="18176" spans="1:3" x14ac:dyDescent="0.25">
      <c r="A18176" s="8" t="str">
        <f>"RAM-SE'12 - 9th ECOOP Workshop on Reflection, AOP, and Meta-Data for Software Evolution, Proceedings"</f>
        <v>RAM-SE'12 - 9th ECOOP Workshop on Reflection, AOP, and Meta-Data for Software Evolution, Proceedings</v>
      </c>
      <c r="B18176" s="8" t="str">
        <f>"9781450312776"</f>
        <v>9781450312776</v>
      </c>
      <c r="C18176" s="8" t="s">
        <v>21</v>
      </c>
    </row>
    <row r="18177" spans="1:3" x14ac:dyDescent="0.25">
      <c r="A18177" s="8" t="str">
        <f>"RASLAN 2007 - Recent Advances in Slavonic Natural Language Processing,1st Workshop on Recent Advances in Slavonic Natural Language Processing, Proceedings"</f>
        <v>RASLAN 2007 - Recent Advances in Slavonic Natural Language Processing,1st Workshop on Recent Advances in Slavonic Natural Language Processing, Proceedings</v>
      </c>
      <c r="B18177" s="8" t="str">
        <f>"9788021044715"</f>
        <v>9788021044715</v>
      </c>
      <c r="C18177" s="8" t="s">
        <v>1786</v>
      </c>
    </row>
    <row r="18178" spans="1:3" x14ac:dyDescent="0.25">
      <c r="A18178" s="8" t="str">
        <f>"RASLAN 2008 - Recent Advances in Slavonic Natural Language Processing: 2nd Workshop on Recent Advances in Slavonic Natural Language Processing, Proceedings"</f>
        <v>RASLAN 2008 - Recent Advances in Slavonic Natural Language Processing: 2nd Workshop on Recent Advances in Slavonic Natural Language Processing, Proceedings</v>
      </c>
      <c r="B18178" s="8" t="str">
        <f>"9788021047419"</f>
        <v>9788021047419</v>
      </c>
      <c r="C18178" s="8" t="s">
        <v>1786</v>
      </c>
    </row>
    <row r="18179" spans="1:3" x14ac:dyDescent="0.25">
      <c r="A18179" s="8" t="str">
        <f>"RASLAN 2009 - Recent Advances in Slavonic Natural Language Processing: 3rd Workshop on Recent Advances in Slavonic Natural Language Processing, Proceedings"</f>
        <v>RASLAN 2009 - Recent Advances in Slavonic Natural Language Processing: 3rd Workshop on Recent Advances in Slavonic Natural Language Processing, Proceedings</v>
      </c>
      <c r="B18179" s="8" t="str">
        <f>"9788021050488"</f>
        <v>9788021050488</v>
      </c>
      <c r="C18179" s="8" t="s">
        <v>1786</v>
      </c>
    </row>
    <row r="18180" spans="1:3" x14ac:dyDescent="0.25">
      <c r="A18180" s="8" t="str">
        <f>"RASLAN 2010 - Recent Advances in Slavonic Natural Language Processing: 4th Workshop on Recent Advances in Slavonic Natural Language Processing, Proceedings"</f>
        <v>RASLAN 2010 - Recent Advances in Slavonic Natural Language Processing: 4th Workshop on Recent Advances in Slavonic Natural Language Processing, Proceedings</v>
      </c>
      <c r="B18180" s="8" t="str">
        <f>"9788073992460"</f>
        <v>9788073992460</v>
      </c>
      <c r="C18180" s="8" t="s">
        <v>1786</v>
      </c>
    </row>
    <row r="18181" spans="1:3" x14ac:dyDescent="0.25">
      <c r="A18181" s="8" t="str">
        <f>"RASLAN 2011 - Recent Advances in Slavonic Natural Language Processing: 5th Workshop on Recent Advances in Slavonic Natural Language Processing, Proceedings"</f>
        <v>RASLAN 2011 - Recent Advances in Slavonic Natural Language Processing: 5th Workshop on Recent Advances in Slavonic Natural Language Processing, Proceedings</v>
      </c>
      <c r="B18181" s="8" t="str">
        <f>"9788026300779"</f>
        <v>9788026300779</v>
      </c>
      <c r="C18181" s="8" t="s">
        <v>1786</v>
      </c>
    </row>
    <row r="18182" spans="1:3" x14ac:dyDescent="0.25">
      <c r="A18182" s="8" t="str">
        <f>"RASLAN 2013 - Recent Advances in Slavonic Natural Language Processing: 7th Workshop on Recent Advances in Slavonic Natural Language Processing, Proceedings"</f>
        <v>RASLAN 2013 - Recent Advances in Slavonic Natural Language Processing: 7th Workshop on Recent Advances in Slavonic Natural Language Processing, Proceedings</v>
      </c>
      <c r="B18182" s="8" t="str">
        <f>"9788026305200"</f>
        <v>9788026305200</v>
      </c>
      <c r="C18182" s="8" t="s">
        <v>1786</v>
      </c>
    </row>
    <row r="18183" spans="1:3" x14ac:dyDescent="0.25">
      <c r="A18183" s="8" t="str">
        <f>"RAST 2003 - Proceedings of International Conference on Recent Advances in Space Technologies"</f>
        <v>RAST 2003 - Proceedings of International Conference on Recent Advances in Space Technologies</v>
      </c>
      <c r="B18183" s="8" t="str">
        <f>"9780780381421"</f>
        <v>9780780381421</v>
      </c>
      <c r="C18183" s="8" t="s">
        <v>105</v>
      </c>
    </row>
    <row r="18184" spans="1:3" x14ac:dyDescent="0.25">
      <c r="A18184" s="8" t="str">
        <f>"RAST 2005 - Proceedings of 2nd International Conference on Recent Advances in Space Technologies"</f>
        <v>RAST 2005 - Proceedings of 2nd International Conference on Recent Advances in Space Technologies</v>
      </c>
      <c r="B18184" s="8" t="str">
        <f>"-"</f>
        <v>-</v>
      </c>
      <c r="C18184" s="8" t="s">
        <v>9</v>
      </c>
    </row>
    <row r="18185" spans="1:3" x14ac:dyDescent="0.25">
      <c r="A18185" s="8" t="str">
        <f>"RAST 2009 - Proceedings of 4th International Conference on Recent Advances Space Technologies"</f>
        <v>RAST 2009 - Proceedings of 4th International Conference on Recent Advances Space Technologies</v>
      </c>
      <c r="B18185" s="8" t="str">
        <f>"9781424436286"</f>
        <v>9781424436286</v>
      </c>
      <c r="C18185" s="8" t="s">
        <v>9</v>
      </c>
    </row>
    <row r="18186" spans="1:3" x14ac:dyDescent="0.25">
      <c r="A18186" s="8" t="str">
        <f>"RAST 2011 - Proceedings of 5th International Conference on Recent Advances in Space Technologies"</f>
        <v>RAST 2011 - Proceedings of 5th International Conference on Recent Advances in Space Technologies</v>
      </c>
      <c r="B18186" s="8" t="str">
        <f>"9781424496143"</f>
        <v>9781424496143</v>
      </c>
      <c r="C18186" s="8" t="s">
        <v>9</v>
      </c>
    </row>
    <row r="18187" spans="1:3" x14ac:dyDescent="0.25">
      <c r="A18187" s="8" t="str">
        <f>"RAST 2013 - Proceedings of 6th International Conference on Recent Advances in Space Technologies"</f>
        <v>RAST 2013 - Proceedings of 6th International Conference on Recent Advances in Space Technologies</v>
      </c>
      <c r="B18187" s="8" t="str">
        <f>"9781467363938"</f>
        <v>9781467363938</v>
      </c>
      <c r="C18187" s="8" t="s">
        <v>9</v>
      </c>
    </row>
    <row r="18188" spans="1:3" x14ac:dyDescent="0.25">
      <c r="A18188" s="8" t="str">
        <f>"RDURP'11 - Proceedings of the 2011 ACM Symposium on the Role of Design in UbiComp Research and Practice"</f>
        <v>RDURP'11 - Proceedings of the 2011 ACM Symposium on the Role of Design in UbiComp Research and Practice</v>
      </c>
      <c r="B18188" s="8" t="str">
        <f>"9781450309318"</f>
        <v>9781450309318</v>
      </c>
      <c r="C18188" s="8" t="s">
        <v>21</v>
      </c>
    </row>
    <row r="18189" spans="1:3" x14ac:dyDescent="0.25">
      <c r="A18189" s="8" t="str">
        <f>"Reaching the Unreached - Challenges for the 21st Century: Proceedings of the 22nd WEDC Conference"</f>
        <v>Reaching the Unreached - Challenges for the 21st Century: Proceedings of the 22nd WEDC Conference</v>
      </c>
      <c r="B18189" s="8" t="str">
        <f>"9780906055489"</f>
        <v>9780906055489</v>
      </c>
      <c r="C18189" s="8" t="s">
        <v>1486</v>
      </c>
    </row>
    <row r="18190" spans="1:3" x14ac:dyDescent="0.25">
      <c r="A18190" s="8" t="str">
        <f>"Real Structures: Bridges and Tall Buildings - Proceedings of the 10th East Asia-Pacific Conference on Structural Engineering and Construction, EASEC 2010"</f>
        <v>Real Structures: Bridges and Tall Buildings - Proceedings of the 10th East Asia-Pacific Conference on Structural Engineering and Construction, EASEC 2010</v>
      </c>
      <c r="B18190" s="8" t="str">
        <f>"9789748257174"</f>
        <v>9789748257174</v>
      </c>
      <c r="C18190" s="8" t="s">
        <v>1670</v>
      </c>
    </row>
    <row r="18191" spans="1:3" x14ac:dyDescent="0.25">
      <c r="A18191" s="8" t="str">
        <f>"REALMAN 2006 - Proceedings of Second International Workshop on Multi-hop Ad Hoc Networks: from Theory to Reality"</f>
        <v>REALMAN 2006 - Proceedings of Second International Workshop on Multi-hop Ad Hoc Networks: from Theory to Reality</v>
      </c>
      <c r="B18191" s="8" t="str">
        <f>"-"</f>
        <v>-</v>
      </c>
      <c r="C18191" s="8" t="s">
        <v>21</v>
      </c>
    </row>
    <row r="18192" spans="1:3" x14ac:dyDescent="0.25">
      <c r="A18192" s="8" t="str">
        <f>"REALWSN 2008 - Proceedings of the 2008 Workshop on Real-World Wireless Sensor Networks"</f>
        <v>REALWSN 2008 - Proceedings of the 2008 Workshop on Real-World Wireless Sensor Networks</v>
      </c>
      <c r="B18192" s="8" t="str">
        <f>"9781605581231"</f>
        <v>9781605581231</v>
      </c>
      <c r="C18192" s="8" t="s">
        <v>21</v>
      </c>
    </row>
    <row r="18193" spans="1:3" x14ac:dyDescent="0.25">
      <c r="A18193" s="8" t="str">
        <f>"Recent Advances in Applied and Biomedical Informatics and Computational Engineering in Systems Applications - AIC'11, BEBI'11"</f>
        <v>Recent Advances in Applied and Biomedical Informatics and Computational Engineering in Systems Applications - AIC'11, BEBI'11</v>
      </c>
      <c r="B18193" s="8" t="str">
        <f>"9781618040282"</f>
        <v>9781618040282</v>
      </c>
      <c r="C18193" s="8" t="s">
        <v>553</v>
      </c>
    </row>
    <row r="18194" spans="1:3" x14ac:dyDescent="0.25">
      <c r="A18194" s="8" t="str">
        <f>"Recent Advances in Applied and Theoretical Mathematics"</f>
        <v>Recent Advances in Applied and Theoretical Mathematics</v>
      </c>
      <c r="B18194" s="8" t="str">
        <f>"9789608052215"</f>
        <v>9789608052215</v>
      </c>
      <c r="C18194" s="8" t="s">
        <v>553</v>
      </c>
    </row>
    <row r="18195" spans="1:3" x14ac:dyDescent="0.25">
      <c r="A18195" s="8" t="str">
        <f>"Recent Advances in Circuits, Systems and Signal Processing"</f>
        <v>Recent Advances in Circuits, Systems and Signal Processing</v>
      </c>
      <c r="B18195" s="8" t="str">
        <f>"9789608052642"</f>
        <v>9789608052642</v>
      </c>
      <c r="C18195" s="8" t="s">
        <v>553</v>
      </c>
    </row>
    <row r="18196" spans="1:3" x14ac:dyDescent="0.25">
      <c r="A18196" s="8" t="str">
        <f>"Recent Advances in Communications and Computer Science"</f>
        <v>Recent Advances in Communications and Computer Science</v>
      </c>
      <c r="B18196" s="8" t="str">
        <f>"9789608052864"</f>
        <v>9789608052864</v>
      </c>
      <c r="C18196" s="8" t="s">
        <v>553</v>
      </c>
    </row>
    <row r="18197" spans="1:3" x14ac:dyDescent="0.25">
      <c r="A18197" s="8" t="str">
        <f>"Recent Advances in Computational Mechanics - Proceedings of the 20th International Conference on Computer Methods in Mechanics, CMM 2013"</f>
        <v>Recent Advances in Computational Mechanics - Proceedings of the 20th International Conference on Computer Methods in Mechanics, CMM 2013</v>
      </c>
      <c r="B18197" s="8" t="str">
        <f>"9781138024823"</f>
        <v>9781138024823</v>
      </c>
      <c r="C18197" s="8" t="s">
        <v>1619</v>
      </c>
    </row>
    <row r="18198" spans="1:3" x14ac:dyDescent="0.25">
      <c r="A18198" s="8" t="str">
        <f>"Recent Advances in Computers, Communications, Applied Social Science and Mathematics -Proceedings of ICANCM'11, ICDCC'11, IC-ASSSE-DC'11"</f>
        <v>Recent Advances in Computers, Communications, Applied Social Science and Mathematics -Proceedings of ICANCM'11, ICDCC'11, IC-ASSSE-DC'11</v>
      </c>
      <c r="B18198" s="8" t="str">
        <f>"9781618040305"</f>
        <v>9781618040305</v>
      </c>
      <c r="C18198" s="8" t="s">
        <v>553</v>
      </c>
    </row>
    <row r="18199" spans="1:3" x14ac:dyDescent="0.25">
      <c r="A18199" s="8" t="str">
        <f>"Recent Advances in Computers, Computing and Communications"</f>
        <v>Recent Advances in Computers, Computing and Communications</v>
      </c>
      <c r="B18199" s="8" t="str">
        <f>"9789608052628"</f>
        <v>9789608052628</v>
      </c>
      <c r="C18199" s="8" t="s">
        <v>553</v>
      </c>
    </row>
    <row r="18200" spans="1:3" x14ac:dyDescent="0.25">
      <c r="A18200" s="8" t="str">
        <f>"Recent Advances in Environment, Energy Systems and Naval Science - Proc. of the 4th Int. Conf. on Environmental and Geological Science and Engineering, EG'11, ICESEEI'11, MN'11"</f>
        <v>Recent Advances in Environment, Energy Systems and Naval Science - Proc. of the 4th Int. Conf. on Environmental and Geological Science and Engineering, EG'11, ICESEEI'11, MN'11</v>
      </c>
      <c r="B18200" s="8" t="str">
        <f>"9781618040329"</f>
        <v>9781618040329</v>
      </c>
      <c r="C18200" s="8" t="s">
        <v>553</v>
      </c>
    </row>
    <row r="18201" spans="1:3" x14ac:dyDescent="0.25">
      <c r="A18201" s="8" t="str">
        <f>"Recent Advances in Environmental Vibration - Proceedings of 6th International Symposium on Environmental Vibration, ISEV 2013"</f>
        <v>Recent Advances in Environmental Vibration - Proceedings of 6th International Symposium on Environmental Vibration, ISEV 2013</v>
      </c>
      <c r="B18201" s="8" t="str">
        <f>"9787560853031"</f>
        <v>9787560853031</v>
      </c>
      <c r="C18201" s="8" t="s">
        <v>2293</v>
      </c>
    </row>
    <row r="18202" spans="1:3" x14ac:dyDescent="0.25">
      <c r="A18202" s="8" t="str">
        <f>"Recent Advances in Fluid Mechanics and Heat and Mass Transfer - Proc. of the 9th IASME / WSEAS Int. Conf. on Fluid Mechanics and Aerodynamics, FMA'11, Proc. of the 9th IASME / WSEAS Int. Conf. HTE'11"</f>
        <v>Recent Advances in Fluid Mechanics and Heat and Mass Transfer - Proc. of the 9th IASME / WSEAS Int. Conf. on Fluid Mechanics and Aerodynamics, FMA'11, Proc. of the 9th IASME / WSEAS Int. Conf. HTE'11</v>
      </c>
      <c r="B18202" s="8" t="str">
        <f>"9781618040268"</f>
        <v>9781618040268</v>
      </c>
      <c r="C18202" s="8" t="s">
        <v>553</v>
      </c>
    </row>
    <row r="18203" spans="1:3" x14ac:dyDescent="0.25">
      <c r="A18203" s="8" t="str">
        <f>"Recent Advances in Food and Flavor Chemistry: Food Flavor and Encapsulation, Health Benefits, Analytical Methods, and Molecular Biology of Functional Foods"</f>
        <v>Recent Advances in Food and Flavor Chemistry: Food Flavor and Encapsulation, Health Benefits, Analytical Methods, and Molecular Biology of Functional Foods</v>
      </c>
      <c r="B18203" s="8" t="str">
        <f>"9781847552013"</f>
        <v>9781847552013</v>
      </c>
      <c r="C18203" s="8" t="s">
        <v>121</v>
      </c>
    </row>
    <row r="18204" spans="1:3" x14ac:dyDescent="0.25">
      <c r="A18204" s="8" t="str">
        <f>"Recent Advances in Intelligent Systems and Signal Processing"</f>
        <v>Recent Advances in Intelligent Systems and Signal Processing</v>
      </c>
      <c r="B18204" s="8" t="str">
        <f>"9789608052871"</f>
        <v>9789608052871</v>
      </c>
      <c r="C18204" s="8" t="s">
        <v>553</v>
      </c>
    </row>
    <row r="18205" spans="1:3" x14ac:dyDescent="0.25">
      <c r="A18205" s="8" t="str">
        <f>"Recent Advances in Mechatronics"</f>
        <v>Recent Advances in Mechatronics</v>
      </c>
      <c r="B18205" s="8" t="str">
        <f>"9783540739555"</f>
        <v>9783540739555</v>
      </c>
      <c r="C18205" s="8" t="s">
        <v>79</v>
      </c>
    </row>
    <row r="18206" spans="1:3" x14ac:dyDescent="0.25">
      <c r="A18206" s="8" t="str">
        <f>"Recent Advances in Modeling and Simulation Tools for Communication Networks and Services"</f>
        <v>Recent Advances in Modeling and Simulation Tools for Communication Networks and Services</v>
      </c>
      <c r="B18206" s="8" t="str">
        <f>"9780387739076"</f>
        <v>9780387739076</v>
      </c>
      <c r="C18206" s="8" t="s">
        <v>834</v>
      </c>
    </row>
    <row r="18207" spans="1:3" x14ac:dyDescent="0.25">
      <c r="A18207" s="8" t="str">
        <f>"Recent Advances in Optimal Structural Design"</f>
        <v>Recent Advances in Optimal Structural Design</v>
      </c>
      <c r="B18207" s="8" t="str">
        <f>"9780784406366"</f>
        <v>9780784406366</v>
      </c>
      <c r="C18207" s="8" t="s">
        <v>111</v>
      </c>
    </row>
    <row r="18208" spans="1:3" x14ac:dyDescent="0.25">
      <c r="A18208" s="8" t="str">
        <f>"Recent Advances in Signal Processing and Communications"</f>
        <v>Recent Advances in Signal Processing and Communications</v>
      </c>
      <c r="B18208" s="8" t="str">
        <f>"9789608052031"</f>
        <v>9789608052031</v>
      </c>
      <c r="C18208" s="8" t="s">
        <v>553</v>
      </c>
    </row>
    <row r="18209" spans="1:3" x14ac:dyDescent="0.25">
      <c r="A18209" s="8" t="str">
        <f>"Recent Advances in Signal Processing, Computational Geometry and Systems Theory - ISCGAV'11, ISTASC'11"</f>
        <v>Recent Advances in Signal Processing, Computational Geometry and Systems Theory - ISCGAV'11, ISTASC'11</v>
      </c>
      <c r="B18209" s="8" t="str">
        <f>"9781618040275"</f>
        <v>9781618040275</v>
      </c>
      <c r="C18209" s="8" t="s">
        <v>553</v>
      </c>
    </row>
    <row r="18210" spans="1:3" x14ac:dyDescent="0.25">
      <c r="A18210" s="8" t="str">
        <f>"Recent Advances in Solids and Structures 2005"</f>
        <v>Recent Advances in Solids and Structures 2005</v>
      </c>
      <c r="B18210" s="8" t="str">
        <f>"-"</f>
        <v>-</v>
      </c>
      <c r="C18210" s="8" t="s">
        <v>1308</v>
      </c>
    </row>
    <row r="18211" spans="1:3" x14ac:dyDescent="0.25">
      <c r="A18211" s="8" t="str">
        <f>"Recent Advances in Urban Planning, Cultural Sustainability and Green Dev. - Int. Conf. on Urban Sustainability, Cultural Sustainability, Green Dev. Green Structures and Clean Cars, USCUDAR 2010"</f>
        <v>Recent Advances in Urban Planning, Cultural Sustainability and Green Dev. - Int. Conf. on Urban Sustainability, Cultural Sustainability, Green Dev. Green Structures and Clean Cars, USCUDAR 2010</v>
      </c>
      <c r="B18211" s="8" t="str">
        <f>"9789604742271"</f>
        <v>9789604742271</v>
      </c>
      <c r="C18211" s="8" t="s">
        <v>553</v>
      </c>
    </row>
    <row r="18212" spans="1:3" x14ac:dyDescent="0.25">
      <c r="A18212" s="8" t="str">
        <f>"Recent Advances on Intrusion-Tolerant Systems - Proceedings of the 2nd Workshop on Recent Advances on Intrusion-Tolerant Systems, WRAITS 2008, In conjunction with EuroSys 2008"</f>
        <v>Recent Advances on Intrusion-Tolerant Systems - Proceedings of the 2nd Workshop on Recent Advances on Intrusion-Tolerant Systems, WRAITS 2008, In conjunction with EuroSys 2008</v>
      </c>
      <c r="B18212" s="8" t="str">
        <f>"9781595939869"</f>
        <v>9781595939869</v>
      </c>
      <c r="C18212" s="8" t="s">
        <v>21</v>
      </c>
    </row>
    <row r="18213" spans="1:3" x14ac:dyDescent="0.25">
      <c r="A18213" s="8" t="str">
        <f>"Recent and Emerging Trends in Computer and Computational Sciences, RETCOMP 2015"</f>
        <v>Recent and Emerging Trends in Computer and Computational Sciences, RETCOMP 2015</v>
      </c>
      <c r="B18213" s="8" t="str">
        <f>"9781479918355"</f>
        <v>9781479918355</v>
      </c>
      <c r="C18213" s="8" t="s">
        <v>105</v>
      </c>
    </row>
    <row r="18214" spans="1:3" x14ac:dyDescent="0.25">
      <c r="A18214" s="8" t="str">
        <f>"Recent Developments in Applied Probability and Statistics - Dedicated to the Memory of Jurgen Lehn"</f>
        <v>Recent Developments in Applied Probability and Statistics - Dedicated to the Memory of Jurgen Lehn</v>
      </c>
      <c r="B18214" s="8" t="str">
        <f>"9783790825978"</f>
        <v>9783790825978</v>
      </c>
      <c r="C18214" s="8" t="s">
        <v>582</v>
      </c>
    </row>
    <row r="18215" spans="1:3" x14ac:dyDescent="0.25">
      <c r="A18215" s="8" t="str">
        <f>"Recent Researches in Applied Informatics - Proceedings of the 2nd International Conference on Applied Informatics and Computing Theory, AICT'11"</f>
        <v>Recent Researches in Applied Informatics - Proceedings of the 2nd International Conference on Applied Informatics and Computing Theory, AICT'11</v>
      </c>
      <c r="B18215" s="8" t="str">
        <f>"9781618040343"</f>
        <v>9781618040343</v>
      </c>
      <c r="C18215" s="8" t="s">
        <v>553</v>
      </c>
    </row>
    <row r="18216" spans="1:3" x14ac:dyDescent="0.25">
      <c r="A18216" s="8" t="str">
        <f>"Recent Researches in Artificial Intelligence, Knowledge Engineering and Data Bases - 10th WSEAS International Conference on Artificial Intelligence, Knowledge Engineering and Data Bases, AIKED'11"</f>
        <v>Recent Researches in Artificial Intelligence, Knowledge Engineering and Data Bases - 10th WSEAS International Conference on Artificial Intelligence, Knowledge Engineering and Data Bases, AIKED'11</v>
      </c>
      <c r="B18216" s="8" t="str">
        <f>"9789604742738"</f>
        <v>9789604742738</v>
      </c>
      <c r="C18216" s="8" t="s">
        <v>553</v>
      </c>
    </row>
    <row r="18217" spans="1:3" x14ac:dyDescent="0.25">
      <c r="A18217" s="8" t="str">
        <f>"Recent Researches in Automatic Control - 13th WSEAS International Conference on Automatic Control, Modelling and Simulation, ACMOS'11"</f>
        <v>Recent Researches in Automatic Control - 13th WSEAS International Conference on Automatic Control, Modelling and Simulation, ACMOS'11</v>
      </c>
      <c r="B18217" s="8" t="str">
        <f>"9781618040046"</f>
        <v>9781618040046</v>
      </c>
      <c r="C18217" s="8" t="s">
        <v>553</v>
      </c>
    </row>
    <row r="18218" spans="1:3" x14ac:dyDescent="0.25">
      <c r="A18218" s="8" t="str">
        <f>"Recent Researches in Circuits, Systems and Signal Processing - Proc. of the 15th WSEAS Int. Conf. on Circuits, Part of the 15th WSEAS CSCC Multiconference, Proc. of the 5th Int. Conf. on CSS'11"</f>
        <v>Recent Researches in Circuits, Systems and Signal Processing - Proc. of the 15th WSEAS Int. Conf. on Circuits, Part of the 15th WSEAS CSCC Multiconference, Proc. of the 5th Int. Conf. on CSS'11</v>
      </c>
      <c r="B18218" s="8" t="str">
        <f>"9781618040176"</f>
        <v>9781618040176</v>
      </c>
      <c r="C18218" s="8" t="s">
        <v>553</v>
      </c>
    </row>
    <row r="18219" spans="1:3" x14ac:dyDescent="0.25">
      <c r="A18219" s="8" t="str">
        <f>"Recent Researches in Circuits, Systems, Control and Signals - Proceedings of the 2nd International Conference on Circuits, Systems, Control, Signals, CSCS'11"</f>
        <v>Recent Researches in Circuits, Systems, Control and Signals - Proceedings of the 2nd International Conference on Circuits, Systems, Control, Signals, CSCS'11</v>
      </c>
      <c r="B18219" s="8" t="str">
        <f>"9781618040350"</f>
        <v>9781618040350</v>
      </c>
      <c r="C18219" s="8" t="s">
        <v>553</v>
      </c>
    </row>
    <row r="18220" spans="1:3" x14ac:dyDescent="0.25">
      <c r="A18220" s="8" t="str">
        <f>"Recent Researches in Communications and IT - Proc. of the 15th WSEAS Int. Conf. on Communications, Part of the 15th WSEAS CSCC Multiconference, Proc. of the 5th Int. Conf. on CIT'11"</f>
        <v>Recent Researches in Communications and IT - Proc. of the 15th WSEAS Int. Conf. on Communications, Part of the 15th WSEAS CSCC Multiconference, Proc. of the 5th Int. Conf. on CIT'11</v>
      </c>
      <c r="B18220" s="8" t="str">
        <f>"9781618040183"</f>
        <v>9781618040183</v>
      </c>
      <c r="C18220" s="8" t="s">
        <v>553</v>
      </c>
    </row>
    <row r="18221" spans="1:3" x14ac:dyDescent="0.25">
      <c r="A18221" s="8" t="str">
        <f>"Recent Researches in Computational Techniques, Non-Linear Systems and Control - Proc. of the 13th WSEAS Int. Conf. on MAMECTIS'11, NOLASC'11, CONTROL'11, WAMUS'11"</f>
        <v>Recent Researches in Computational Techniques, Non-Linear Systems and Control - Proc. of the 13th WSEAS Int. Conf. on MAMECTIS'11, NOLASC'11, CONTROL'11, WAMUS'11</v>
      </c>
      <c r="B18221" s="8" t="str">
        <f>"9781618040114"</f>
        <v>9781618040114</v>
      </c>
      <c r="C18221" s="8" t="s">
        <v>553</v>
      </c>
    </row>
    <row r="18222" spans="1:3" x14ac:dyDescent="0.25">
      <c r="A18222" s="8" t="str">
        <f>"Recent Researches in Computer Science - Proceedings of the 15th WSEAS International Conference on Computers, Part of the 15th WSEAS CSCC Multiconference"</f>
        <v>Recent Researches in Computer Science - Proceedings of the 15th WSEAS International Conference on Computers, Part of the 15th WSEAS CSCC Multiconference</v>
      </c>
      <c r="B18222" s="8" t="str">
        <f>"9781618040190"</f>
        <v>9781618040190</v>
      </c>
      <c r="C18222" s="8" t="s">
        <v>553</v>
      </c>
    </row>
    <row r="18223" spans="1:3" x14ac:dyDescent="0.25">
      <c r="A18223" s="8" t="str">
        <f>"Recent Researches in Computers and Computing - International Conference on Computers and Computing, ICCC'11"</f>
        <v>Recent Researches in Computers and Computing - International Conference on Computers and Computing, ICCC'11</v>
      </c>
      <c r="B18223" s="8" t="str">
        <f>"9781618040008"</f>
        <v>9781618040008</v>
      </c>
      <c r="C18223" s="8" t="s">
        <v>553</v>
      </c>
    </row>
    <row r="18224" spans="1:3" x14ac:dyDescent="0.25">
      <c r="A18224" s="8" t="str">
        <f>"Recent Researches in Energy and Environment - 6th IASME / WSEAS International Conference on Energy and Environment, EE'11"</f>
        <v>Recent Researches in Energy and Environment - 6th IASME / WSEAS International Conference on Energy and Environment, EE'11</v>
      </c>
      <c r="B18224" s="8" t="str">
        <f>"9789604742745"</f>
        <v>9789604742745</v>
      </c>
      <c r="C18224" s="8" t="s">
        <v>553</v>
      </c>
    </row>
    <row r="18225" spans="1:3" x14ac:dyDescent="0.25">
      <c r="A18225" s="8" t="str">
        <f>"Recent Researches in Energy, Environment, Entrepreneurship, Innovation - International Conference on Energy, Environment, Entrepreneurship, Innovation, ICEEEI'11"</f>
        <v>Recent Researches in Energy, Environment, Entrepreneurship, Innovation - International Conference on Energy, Environment, Entrepreneurship, Innovation, ICEEEI'11</v>
      </c>
      <c r="B18225" s="8" t="str">
        <f>"9781618040015"</f>
        <v>9781618040015</v>
      </c>
      <c r="C18225" s="8" t="s">
        <v>553</v>
      </c>
    </row>
    <row r="18226" spans="1:3" x14ac:dyDescent="0.25">
      <c r="A18226" s="8" t="str">
        <f>"Recent Researches in Environment, Energy Planning and Pollution - Proc. of the 5th WSEAS Int. Conf. on Renewable Energy Sources, RES'11, EPESE'11, WWAI'11"</f>
        <v>Recent Researches in Environment, Energy Planning and Pollution - Proc. of the 5th WSEAS Int. Conf. on Renewable Energy Sources, RES'11, EPESE'11, WWAI'11</v>
      </c>
      <c r="B18226" s="8" t="str">
        <f>"9781618040121"</f>
        <v>9781618040121</v>
      </c>
      <c r="C18226" s="8" t="s">
        <v>553</v>
      </c>
    </row>
    <row r="18227" spans="1:3" x14ac:dyDescent="0.25">
      <c r="A18227" s="8" t="str">
        <f>"Recent Researches in Geography, Geology, Energy, Environment and Biomedicine - Proc. of the 4th WSEAS Int. Conf. on EMESEG'11, 2nd Int. Conf. on WORLD-GEO'11, 5th Int. Conf. on EDEB'11"</f>
        <v>Recent Researches in Geography, Geology, Energy, Environment and Biomedicine - Proc. of the 4th WSEAS Int. Conf. on EMESEG'11, 2nd Int. Conf. on WORLD-GEO'11, 5th Int. Conf. on EDEB'11</v>
      </c>
      <c r="B18227" s="8" t="str">
        <f>"9781618040220"</f>
        <v>9781618040220</v>
      </c>
      <c r="C18227" s="8" t="s">
        <v>553</v>
      </c>
    </row>
    <row r="18228" spans="1:3" x14ac:dyDescent="0.25">
      <c r="A18228" s="8" t="str">
        <f>"Recent Researches in Mechanics - Proc. of the 2nd Int. Conf. on FLUIDSHEAT'11, TAM'11,Proc. of the 4th WSEAS Int. Conf. UPT'11, CUHT'11"</f>
        <v>Recent Researches in Mechanics - Proc. of the 2nd Int. Conf. on FLUIDSHEAT'11, TAM'11,Proc. of the 4th WSEAS Int. Conf. UPT'11, CUHT'11</v>
      </c>
      <c r="B18228" s="8" t="str">
        <f>"9781618040206"</f>
        <v>9781618040206</v>
      </c>
      <c r="C18228" s="8" t="s">
        <v>553</v>
      </c>
    </row>
    <row r="18229" spans="1:3" x14ac:dyDescent="0.25">
      <c r="A18229" s="8" t="str">
        <f>"Recent Researches in Social Science, Digital Convergence, Manufacturing and Tourism - IC-SSSE-DC'11, ICM-CTS'11"</f>
        <v>Recent Researches in Social Science, Digital Convergence, Manufacturing and Tourism - IC-SSSE-DC'11, ICM-CTS'11</v>
      </c>
      <c r="B18229" s="8" t="str">
        <f>"9781618040039"</f>
        <v>9781618040039</v>
      </c>
      <c r="C18229" s="8" t="s">
        <v>553</v>
      </c>
    </row>
    <row r="18230" spans="1:3" x14ac:dyDescent="0.25">
      <c r="A18230" s="8" t="str">
        <f>"Recent Researches in Software Engineering, Parallel and Distributed Systems - 10th WSEAS International Conference on Software Engineering, Parallel and Distributed Systems, SEPADS'11"</f>
        <v>Recent Researches in Software Engineering, Parallel and Distributed Systems - 10th WSEAS International Conference on Software Engineering, Parallel and Distributed Systems, SEPADS'11</v>
      </c>
      <c r="B18230" s="8" t="str">
        <f>"9789604742776"</f>
        <v>9789604742776</v>
      </c>
      <c r="C18230" s="8" t="s">
        <v>553</v>
      </c>
    </row>
    <row r="18231" spans="1:3" x14ac:dyDescent="0.25">
      <c r="A18231" s="8" t="str">
        <f>"Recent Researches in System Science - Proceedings of the 15th WSEAS International Conference on Systems, Part of the 15th WSEAS CSCC Multiconference"</f>
        <v>Recent Researches in System Science - Proceedings of the 15th WSEAS International Conference on Systems, Part of the 15th WSEAS CSCC Multiconference</v>
      </c>
      <c r="B18231" s="8" t="str">
        <f>"9781618040237"</f>
        <v>9781618040237</v>
      </c>
      <c r="C18231" s="8" t="s">
        <v>553</v>
      </c>
    </row>
    <row r="18232" spans="1:3" x14ac:dyDescent="0.25">
      <c r="A18232" s="8" t="str">
        <f>"Recent Researches in Telecommunications, Informatics, Electronics and Signal Processing - TELE-INFO'11, MINO'11, SIP'11"</f>
        <v>Recent Researches in Telecommunications, Informatics, Electronics and Signal Processing - TELE-INFO'11, MINO'11, SIP'11</v>
      </c>
      <c r="B18232" s="8" t="str">
        <f>"9781618040053"</f>
        <v>9781618040053</v>
      </c>
      <c r="C18232" s="8" t="s">
        <v>553</v>
      </c>
    </row>
    <row r="18233" spans="1:3" x14ac:dyDescent="0.25">
      <c r="A18233" s="8" t="str">
        <f>"Recent Trends in Social and Behaviour Sciences - Proceedings of the 2nd International Congress on Interdisciplinary Behavior and Social Sciences 2013, ICIBSoS 2013"</f>
        <v>Recent Trends in Social and Behaviour Sciences - Proceedings of the 2nd International Congress on Interdisciplinary Behavior and Social Sciences 2013, ICIBSoS 2013</v>
      </c>
      <c r="B18233" s="8" t="str">
        <f>"9781138001213"</f>
        <v>9781138001213</v>
      </c>
      <c r="C18233" s="8" t="s">
        <v>1619</v>
      </c>
    </row>
    <row r="18234" spans="1:3" x14ac:dyDescent="0.25">
      <c r="A18234" s="8" t="str">
        <f>"Reclaiming the Desert: Towards a Sustainable Environment in Arid Lands - Proceedings of the 3rd UAE-Japan Symposium on Sustainable GCC Environment and Water Resources, EWR 2006"</f>
        <v>Reclaiming the Desert: Towards a Sustainable Environment in Arid Lands - Proceedings of the 3rd UAE-Japan Symposium on Sustainable GCC Environment and Water Resources, EWR 2006</v>
      </c>
      <c r="B18234" s="8" t="str">
        <f>"9780415411288"</f>
        <v>9780415411288</v>
      </c>
      <c r="C18234" s="8" t="s">
        <v>1619</v>
      </c>
    </row>
    <row r="18235" spans="1:3" x14ac:dyDescent="0.25">
      <c r="A18235" s="8" t="s">
        <v>2294</v>
      </c>
      <c r="B18235" s="8" t="str">
        <f>"9781908187352"</f>
        <v>9781908187352</v>
      </c>
      <c r="C18235" s="8" t="s">
        <v>1465</v>
      </c>
    </row>
    <row r="18236" spans="1:3" x14ac:dyDescent="0.25">
      <c r="A18236" s="8" t="str">
        <f>"ReConFig'09 - 2009 International Conference on ReConFigurable Computing and FPGAs"</f>
        <v>ReConFig'09 - 2009 International Conference on ReConFigurable Computing and FPGAs</v>
      </c>
      <c r="B18236" s="8" t="str">
        <f>"9780769539171"</f>
        <v>9780769539171</v>
      </c>
      <c r="C18236" s="8" t="s">
        <v>9</v>
      </c>
    </row>
    <row r="18237" spans="1:3" x14ac:dyDescent="0.25">
      <c r="A18237" s="8" t="str">
        <f>"ReCoSoC 2012 - 7th International Workshop on Reconfigurable and Communication-Centric Systems-on-Chip, Proceedings"</f>
        <v>ReCoSoC 2012 - 7th International Workshop on Reconfigurable and Communication-Centric Systems-on-Chip, Proceedings</v>
      </c>
      <c r="B18237" s="8" t="str">
        <f>"9781467325721"</f>
        <v>9781467325721</v>
      </c>
      <c r="C18237" s="8" t="s">
        <v>9</v>
      </c>
    </row>
    <row r="18238" spans="1:3" x14ac:dyDescent="0.25">
      <c r="A18238" s="8" t="str">
        <f>"RecSys 2013 - Proceedings of the 7th ACM Conference on Recommender Systems"</f>
        <v>RecSys 2013 - Proceedings of the 7th ACM Conference on Recommender Systems</v>
      </c>
      <c r="B18238" s="8" t="str">
        <f>"9781450324090"</f>
        <v>9781450324090</v>
      </c>
      <c r="C18238" s="8" t="s">
        <v>21</v>
      </c>
    </row>
    <row r="18239" spans="1:3" x14ac:dyDescent="0.25">
      <c r="A18239" s="8" t="str">
        <f>"RecSys 2014 - Proceedings of the 8th ACM Conference on Recommender Systems"</f>
        <v>RecSys 2014 - Proceedings of the 8th ACM Conference on Recommender Systems</v>
      </c>
      <c r="B18239" s="8" t="str">
        <f>"9781450326681"</f>
        <v>9781450326681</v>
      </c>
      <c r="C18239" s="8" t="s">
        <v>1235</v>
      </c>
    </row>
    <row r="18240" spans="1:3" x14ac:dyDescent="0.25">
      <c r="A18240" s="8" t="str">
        <f>"RecSys'07: Proceedings of the 2007 ACM Conference on Recommender Systems"</f>
        <v>RecSys'07: Proceedings of the 2007 ACM Conference on Recommender Systems</v>
      </c>
      <c r="B18240" s="8" t="str">
        <f>"9781595937308"</f>
        <v>9781595937308</v>
      </c>
      <c r="C18240" s="8" t="s">
        <v>21</v>
      </c>
    </row>
    <row r="18241" spans="1:3" x14ac:dyDescent="0.25">
      <c r="A18241" s="8" t="str">
        <f>"RecSys'08: Proceedings of the 2008 ACM Conference on Recommender Systems"</f>
        <v>RecSys'08: Proceedings of the 2008 ACM Conference on Recommender Systems</v>
      </c>
      <c r="B18241" s="8" t="str">
        <f>"9781605580937"</f>
        <v>9781605580937</v>
      </c>
      <c r="C18241" s="8" t="s">
        <v>21</v>
      </c>
    </row>
    <row r="18242" spans="1:3" x14ac:dyDescent="0.25">
      <c r="A18242" s="8" t="str">
        <f>"RecSys'09 - Proceedings of the 3rd ACM Conference on Recommender Systems"</f>
        <v>RecSys'09 - Proceedings of the 3rd ACM Conference on Recommender Systems</v>
      </c>
      <c r="B18242" s="8" t="str">
        <f>"9781605584355"</f>
        <v>9781605584355</v>
      </c>
      <c r="C18242" s="8" t="s">
        <v>21</v>
      </c>
    </row>
    <row r="18243" spans="1:3" x14ac:dyDescent="0.25">
      <c r="A18243" s="8" t="str">
        <f>"RecSys'10 - Proceedings of the 4th ACM Conference on Recommender Systems"</f>
        <v>RecSys'10 - Proceedings of the 4th ACM Conference on Recommender Systems</v>
      </c>
      <c r="B18243" s="8" t="str">
        <f>"9781450304429"</f>
        <v>9781450304429</v>
      </c>
      <c r="C18243" s="8" t="s">
        <v>21</v>
      </c>
    </row>
    <row r="18244" spans="1:3" x14ac:dyDescent="0.25">
      <c r="A18244" s="8" t="str">
        <f>"RecSys'11 - Proceedings of the 5th ACM Conference on Recommender Systems"</f>
        <v>RecSys'11 - Proceedings of the 5th ACM Conference on Recommender Systems</v>
      </c>
      <c r="B18244" s="8" t="str">
        <f>"9781450306836"</f>
        <v>9781450306836</v>
      </c>
      <c r="C18244" s="8" t="s">
        <v>21</v>
      </c>
    </row>
    <row r="18245" spans="1:3" x14ac:dyDescent="0.25">
      <c r="A18245" s="8" t="str">
        <f>"RecSys'12 - Proceedings of the 6th ACM Conference on Recommender Systems"</f>
        <v>RecSys'12 - Proceedings of the 6th ACM Conference on Recommender Systems</v>
      </c>
      <c r="B18245" s="8" t="str">
        <f>"9781450312707"</f>
        <v>9781450312707</v>
      </c>
      <c r="C18245" s="8" t="s">
        <v>21</v>
      </c>
    </row>
    <row r="18246" spans="1:3" x14ac:dyDescent="0.25">
      <c r="A18246" s="8" t="str">
        <f>"Recycling and Reuse of Waste Materials, Proceedings of the International Symposium"</f>
        <v>Recycling and Reuse of Waste Materials, Proceedings of the International Symposium</v>
      </c>
      <c r="B18246" s="8" t="str">
        <f>"9780727732521"</f>
        <v>9780727732521</v>
      </c>
      <c r="C18246" s="8" t="s">
        <v>74</v>
      </c>
    </row>
    <row r="18247" spans="1:3" x14ac:dyDescent="0.25">
      <c r="A18247" s="8" t="str">
        <f>"Reducing Climate Impacts in the Transportation Sector"</f>
        <v>Reducing Climate Impacts in the Transportation Sector</v>
      </c>
      <c r="B18247" s="8" t="str">
        <f>"9781402069789"</f>
        <v>9781402069789</v>
      </c>
      <c r="C18247" s="8" t="s">
        <v>162</v>
      </c>
    </row>
    <row r="18248" spans="1:3" x14ac:dyDescent="0.25">
      <c r="A18248" s="8" t="str">
        <f>"Reducing Risk in Innovation - Proceedings of the 15th International Dependency and Structure Modelling Conference, DSM 2013"</f>
        <v>Reducing Risk in Innovation - Proceedings of the 15th International Dependency and Structure Modelling Conference, DSM 2013</v>
      </c>
      <c r="B18248" s="8" t="str">
        <f>"9783446438033"</f>
        <v>9783446438033</v>
      </c>
      <c r="C18248" s="8" t="s">
        <v>1855</v>
      </c>
    </row>
    <row r="18249" spans="1:3" x14ac:dyDescent="0.25">
      <c r="A18249" s="8" t="str">
        <f>"Re-Engineering Manufacturing for Sustainability - Proceedings of the 20th CIRP International Conference on Life Cycle Engineering"</f>
        <v>Re-Engineering Manufacturing for Sustainability - Proceedings of the 20th CIRP International Conference on Life Cycle Engineering</v>
      </c>
      <c r="B18249" s="8" t="str">
        <f>"9789814451475"</f>
        <v>9789814451475</v>
      </c>
      <c r="C18249" s="8" t="s">
        <v>582</v>
      </c>
    </row>
    <row r="18250" spans="1:3" x14ac:dyDescent="0.25">
      <c r="A18250" s="8" t="str">
        <f>"REFSQ 2005 - 11th International Workshop on Requirements Engineering: Foundation for Software Quality. In Conjunction with CAiSE 2005"</f>
        <v>REFSQ 2005 - 11th International Workshop on Requirements Engineering: Foundation for Software Quality. In Conjunction with CAiSE 2005</v>
      </c>
      <c r="B18250" s="8" t="str">
        <f>"-"</f>
        <v>-</v>
      </c>
      <c r="C18250" s="8" t="s">
        <v>2295</v>
      </c>
    </row>
    <row r="18251" spans="1:3" x14ac:dyDescent="0.25">
      <c r="A18251" s="8" t="str">
        <f>"Regional and Global Perspectives on Haze"</f>
        <v>Regional and Global Perspectives on Haze</v>
      </c>
      <c r="B18251" s="8" t="str">
        <f>"-"</f>
        <v>-</v>
      </c>
      <c r="C18251" s="8" t="s">
        <v>10</v>
      </c>
    </row>
    <row r="18252" spans="1:3" x14ac:dyDescent="0.25">
      <c r="A18252" s="8" t="str">
        <f>"Regulatory Regional Economic Challenge and Project Management in Sustain - Call of Paper from the 2nd International Symposium on Project Management, ISPMREC 2011"</f>
        <v>Regulatory Regional Economic Challenge and Project Management in Sustain - Call of Paper from the 2nd International Symposium on Project Management, ISPMREC 2011</v>
      </c>
      <c r="B18252" s="8" t="str">
        <f>"9781921712289"</f>
        <v>9781921712289</v>
      </c>
      <c r="C18252" s="8" t="s">
        <v>1857</v>
      </c>
    </row>
    <row r="18253" spans="1:3" x14ac:dyDescent="0.25">
      <c r="A18253" s="8" t="str">
        <f>"Regulatory Regional Economic Challenge for Mining, Investment, Environment and Work Safety: Call of Paper from 2010 International Symposium on Project Management"</f>
        <v>Regulatory Regional Economic Challenge for Mining, Investment, Environment and Work Safety: Call of Paper from 2010 International Symposium on Project Management</v>
      </c>
      <c r="B18253" s="8" t="str">
        <f>"9781921712074"</f>
        <v>9781921712074</v>
      </c>
      <c r="C18253" s="8" t="s">
        <v>1857</v>
      </c>
    </row>
    <row r="18254" spans="1:3" x14ac:dyDescent="0.25">
      <c r="A18254" s="8" t="str">
        <f>"Rekreace a Ochrana Prirody - Sbornik Prispevku"</f>
        <v>Rekreace a Ochrana Prirody - Sbornik Prispevku</v>
      </c>
      <c r="B18254" s="8" t="str">
        <f>"9788073753986"</f>
        <v>9788073753986</v>
      </c>
      <c r="C18254" s="8" t="s">
        <v>2296</v>
      </c>
    </row>
    <row r="18255" spans="1:3" x14ac:dyDescent="0.25">
      <c r="A18255" s="8" t="str">
        <f>"Reliability and Optimization of Structural Systems - Proceedings of Reliability and Optimization of Structural Systems"</f>
        <v>Reliability and Optimization of Structural Systems - Proceedings of Reliability and Optimization of Structural Systems</v>
      </c>
      <c r="B18255" s="8" t="str">
        <f>"9780415881791"</f>
        <v>9780415881791</v>
      </c>
      <c r="C18255" s="8" t="s">
        <v>21</v>
      </c>
    </row>
    <row r="18256" spans="1:3" x14ac:dyDescent="0.25">
      <c r="A18256" s="8" t="str">
        <f>"Reliability, Risk and Safety: Back to the Future"</f>
        <v>Reliability, Risk and Safety: Back to the Future</v>
      </c>
      <c r="B18256" s="8" t="str">
        <f>"9780415604277"</f>
        <v>9780415604277</v>
      </c>
      <c r="C18256" s="8" t="s">
        <v>1619</v>
      </c>
    </row>
    <row r="18257" spans="1:3" x14ac:dyDescent="0.25">
      <c r="A18257" s="8" t="str">
        <f>"Remediation of Contaminated Sediments - 2003: Proceedings of the Second International Conference on Remediation of Contaminated Sediments"</f>
        <v>Remediation of Contaminated Sediments - 2003: Proceedings of the Second International Conference on Remediation of Contaminated Sediments</v>
      </c>
      <c r="B18257" s="8" t="str">
        <f>"9781574771435"</f>
        <v>9781574771435</v>
      </c>
      <c r="C18257" s="8" t="s">
        <v>2250</v>
      </c>
    </row>
    <row r="18258" spans="1:3" x14ac:dyDescent="0.25">
      <c r="A18258" s="8" t="str">
        <f>"Renewable Energies Offshore - 1st International Conference on Renewable Energies Offshore, RENEW 2014"</f>
        <v>Renewable Energies Offshore - 1st International Conference on Renewable Energies Offshore, RENEW 2014</v>
      </c>
      <c r="B18258" s="8" t="str">
        <f>"9781138028715"</f>
        <v>9781138028715</v>
      </c>
      <c r="C18258" s="8" t="s">
        <v>1635</v>
      </c>
    </row>
    <row r="18259" spans="1:3" x14ac:dyDescent="0.25">
      <c r="A18259" s="8" t="str">
        <f>"REPRODUCED SOUND 2010, Performing Arts Venue: Balancing the Design - Proceedings of the Institute of Acoustics"</f>
        <v>REPRODUCED SOUND 2010, Performing Arts Venue: Balancing the Design - Proceedings of the Institute of Acoustics</v>
      </c>
      <c r="B18259" s="8" t="str">
        <f>"9781617821912"</f>
        <v>9781617821912</v>
      </c>
      <c r="C18259" s="8" t="s">
        <v>27</v>
      </c>
    </row>
    <row r="18260" spans="1:3" x14ac:dyDescent="0.25">
      <c r="A18260" s="8" t="str">
        <f>"Reproduced Sound 2011, Sound Systems: Engineering or Art? - Proceedings of the Institute of Acoustics"</f>
        <v>Reproduced Sound 2011, Sound Systems: Engineering or Art? - Proceedings of the Institute of Acoustics</v>
      </c>
      <c r="B18260" s="8" t="str">
        <f>"9781618393494"</f>
        <v>9781618393494</v>
      </c>
      <c r="C18260" s="8" t="s">
        <v>27</v>
      </c>
    </row>
    <row r="18261" spans="1:3" x14ac:dyDescent="0.25">
      <c r="A18261" s="8" t="str">
        <f>"Res. and Dev. in Intelligent Syst. XXIX: Incorporating Applications and Innovations in Intel. Sys. XX - AI 2012, 32nd SGAI Int. Conf. on Innovative Techniques and Applications of Artificial Intel."</f>
        <v>Res. and Dev. in Intelligent Syst. XXIX: Incorporating Applications and Innovations in Intel. Sys. XX - AI 2012, 32nd SGAI Int. Conf. on Innovative Techniques and Applications of Artificial Intel.</v>
      </c>
      <c r="B18261" s="8" t="str">
        <f>"9781447147381"</f>
        <v>9781447147381</v>
      </c>
      <c r="C18261" s="8" t="s">
        <v>62</v>
      </c>
    </row>
    <row r="18262" spans="1:3" x14ac:dyDescent="0.25">
      <c r="A18262" s="8" t="str">
        <f>"Res. and Dev. in Intelligent Syst. XXVII: Incorporating Applications and Innovations in Intel. Sys. XVIII - AI 2010, 30th SGAI Int. Conf. on Innovative Techniques and Applications of Artificial Intel."</f>
        <v>Res. and Dev. in Intelligent Syst. XXVII: Incorporating Applications and Innovations in Intel. Sys. XVIII - AI 2010, 30th SGAI Int. Conf. on Innovative Techniques and Applications of Artificial Intel.</v>
      </c>
      <c r="B18262" s="8" t="str">
        <f>"9780857291295"</f>
        <v>9780857291295</v>
      </c>
      <c r="C18262" s="8" t="s">
        <v>62</v>
      </c>
    </row>
    <row r="18263" spans="1:3" x14ac:dyDescent="0.25">
      <c r="A18263" s="8" t="str">
        <f>"Res. and Dev. in Intelligent Syst. XXVIII: Incorporating Applications and Innovations in Intel. Sys. XIX - AI 2011, 31st SGAI Int. Conf. on Innovative Techniques and Applications of Artificial Intel."</f>
        <v>Res. and Dev. in Intelligent Syst. XXVIII: Incorporating Applications and Innovations in Intel. Sys. XIX - AI 2011, 31st SGAI Int. Conf. on Innovative Techniques and Applications of Artificial Intel.</v>
      </c>
      <c r="B18263" s="8" t="str">
        <f>"9781447123170"</f>
        <v>9781447123170</v>
      </c>
      <c r="C18263" s="8" t="s">
        <v>62</v>
      </c>
    </row>
    <row r="18264" spans="1:3" x14ac:dyDescent="0.25">
      <c r="A18264" s="8" t="str">
        <f>"RESCEU Symposium on General Relativity and Gravitation, JGRG 22"</f>
        <v>RESCEU Symposium on General Relativity and Gravitation, JGRG 22</v>
      </c>
      <c r="B18264" s="8" t="str">
        <f>"-"</f>
        <v>-</v>
      </c>
      <c r="C18264" s="8" t="s">
        <v>133</v>
      </c>
    </row>
    <row r="18265" spans="1:3" x14ac:dyDescent="0.25">
      <c r="A18265" s="8" t="str">
        <f>"Research and Applications in Structural Engineering, Mechanics and Computation - Proceedings of the 5th International Conference on Structural Engineering, Mechanics and Computation, SEMC 2013"</f>
        <v>Research and Applications in Structural Engineering, Mechanics and Computation - Proceedings of the 5th International Conference on Structural Engineering, Mechanics and Computation, SEMC 2013</v>
      </c>
      <c r="B18265" s="8" t="str">
        <f>"9781138000612"</f>
        <v>9781138000612</v>
      </c>
      <c r="C18265" s="8" t="s">
        <v>1619</v>
      </c>
    </row>
    <row r="18266" spans="1:3" x14ac:dyDescent="0.25">
      <c r="A18266" s="8" t="str">
        <f>"Research and Development in Intelligent Systems XXII - Proceedings of AI 2005, the 25th SGAI International Conference on Innovative Techniques and Applications of Artificial Intelligence"</f>
        <v>Research and Development in Intelligent Systems XXII - Proceedings of AI 2005, the 25th SGAI International Conference on Innovative Techniques and Applications of Artificial Intelligence</v>
      </c>
      <c r="B18266" s="8" t="str">
        <f>"9781846282256"</f>
        <v>9781846282256</v>
      </c>
      <c r="C18266" s="8" t="s">
        <v>62</v>
      </c>
    </row>
    <row r="18267" spans="1:3" x14ac:dyDescent="0.25">
      <c r="A18267" s="8" t="str">
        <f>"Research and Development in Intelligent Systems XXIII - Proceedings of AI 2006, the 26th SGAI International Conference on Innovative Techniques and Applications of Artificial Intelligence"</f>
        <v>Research and Development in Intelligent Systems XXIII - Proceedings of AI 2006, the 26th SGAI International Conference on Innovative Techniques and Applications of Artificial Intelligence</v>
      </c>
      <c r="B18267" s="8" t="str">
        <f>"9781846286629"</f>
        <v>9781846286629</v>
      </c>
      <c r="C18267" s="8" t="s">
        <v>62</v>
      </c>
    </row>
    <row r="18268" spans="1:3" x14ac:dyDescent="0.25">
      <c r="A18268" s="8" t="str">
        <f>"Research and Development in Intelligent Systems XXVI: Incorporating Applications and Innovations in Intelligent Systems XVII"</f>
        <v>Research and Development in Intelligent Systems XXVI: Incorporating Applications and Innovations in Intelligent Systems XVII</v>
      </c>
      <c r="B18268" s="8" t="str">
        <f>"9781848829824"</f>
        <v>9781848829824</v>
      </c>
      <c r="C18268" s="8" t="s">
        <v>62</v>
      </c>
    </row>
    <row r="18269" spans="1:3" x14ac:dyDescent="0.25">
      <c r="A18269" s="8" t="str">
        <f>"Research in Engineering Education Symposium 2008"</f>
        <v>Research in Engineering Education Symposium 2008</v>
      </c>
      <c r="B18269" s="8" t="str">
        <f>"9781627481830"</f>
        <v>9781627481830</v>
      </c>
      <c r="C18269" s="8" t="s">
        <v>2297</v>
      </c>
    </row>
    <row r="18270" spans="1:3" x14ac:dyDescent="0.25">
      <c r="A18270" s="8" t="str">
        <f>"Research in Engineering Education Symposium 2011, REES 2011"</f>
        <v>Research in Engineering Education Symposium 2011, REES 2011</v>
      </c>
      <c r="B18270" s="8" t="str">
        <f>"9781627481847"</f>
        <v>9781627481847</v>
      </c>
      <c r="C18270" s="8" t="s">
        <v>2297</v>
      </c>
    </row>
    <row r="18271" spans="1:3" x14ac:dyDescent="0.25">
      <c r="A18271" s="8" t="str">
        <f>"Research in Engineering Education Symposium, REES 2013"</f>
        <v>Research in Engineering Education Symposium, REES 2013</v>
      </c>
      <c r="B18271" s="8" t="str">
        <f>"9781629931364"</f>
        <v>9781629931364</v>
      </c>
      <c r="C18271" s="8" t="s">
        <v>2297</v>
      </c>
    </row>
    <row r="18272" spans="1:3" x14ac:dyDescent="0.25">
      <c r="A18272" s="8" t="str">
        <f>"Research Workshop 2006: From Seismic Interpretation to Stratigraphic and Basin Modelling - Present and Future"</f>
        <v>Research Workshop 2006: From Seismic Interpretation to Stratigraphic and Basin Modelling - Present and Future</v>
      </c>
      <c r="B18272" s="8" t="str">
        <f>"-"</f>
        <v>-</v>
      </c>
      <c r="C18272" s="8" t="s">
        <v>1251</v>
      </c>
    </row>
    <row r="18273" spans="1:3" x14ac:dyDescent="0.25">
      <c r="A18273" s="8" t="str">
        <f>"Research Workshop 2008 - Compacting and Stressing Out Shales: From Geological to Production Timescales"</f>
        <v>Research Workshop 2008 - Compacting and Stressing Out Shales: From Geological to Production Timescales</v>
      </c>
      <c r="B18273" s="8" t="str">
        <f>"-"</f>
        <v>-</v>
      </c>
      <c r="C18273" s="8" t="s">
        <v>1251</v>
      </c>
    </row>
    <row r="18274" spans="1:3" x14ac:dyDescent="0.25">
      <c r="A18274" s="8" t="str">
        <f>"Reshaping Australasian Housing Research: Refereed Papers and Presentations from the 2nd Australasian Housing Researchers' Conference 2007, AHRC 2007"</f>
        <v>Reshaping Australasian Housing Research: Refereed Papers and Presentations from the 2nd Australasian Housing Researchers' Conference 2007, AHRC 2007</v>
      </c>
      <c r="B18274" s="8" t="str">
        <f>"-"</f>
        <v>-</v>
      </c>
      <c r="C18274" s="8" t="s">
        <v>2298</v>
      </c>
    </row>
    <row r="18275" spans="1:3" x14ac:dyDescent="0.25">
      <c r="A18275" s="8" t="str">
        <f>"Residual Stress and Its Effects on Fatigue and Fracture - Proceedings of a Special Symposium, Held Within the 16th European Conference of Fracture, ECF 2006"</f>
        <v>Residual Stress and Its Effects on Fatigue and Fracture - Proceedings of a Special Symposium, Held Within the 16th European Conference of Fracture, ECF 2006</v>
      </c>
      <c r="B18275" s="8" t="str">
        <f>"9781402053283"</f>
        <v>9781402053283</v>
      </c>
      <c r="C18275" s="8" t="s">
        <v>162</v>
      </c>
    </row>
    <row r="18276" spans="1:3" x14ac:dyDescent="0.25">
      <c r="A18276" s="8" t="str">
        <f>"Resilience and Urban Risk Management - Proceedings of the Conference 'How the Concept of Resilience is Able to Improve Urban Risk Management? A Temporal and a Spatial Analysis'"</f>
        <v>Resilience and Urban Risk Management - Proceedings of the Conference 'How the Concept of Resilience is Able to Improve Urban Risk Management? A Temporal and a Spatial Analysis'</v>
      </c>
      <c r="B18276" s="8" t="str">
        <f>"9780415621472"</f>
        <v>9780415621472</v>
      </c>
      <c r="C18276" s="8" t="s">
        <v>1619</v>
      </c>
    </row>
    <row r="18277" spans="1:3" x14ac:dyDescent="0.25">
      <c r="A18277" s="8" t="str">
        <f>"Restoring Our Natural Habitat - Proceedings of the 2007 World Environmental and Water Resources Congress"</f>
        <v>Restoring Our Natural Habitat - Proceedings of the 2007 World Environmental and Water Resources Congress</v>
      </c>
      <c r="B18277" s="8" t="str">
        <f>"9780784409275"</f>
        <v>9780784409275</v>
      </c>
      <c r="C18277" s="8" t="s">
        <v>111</v>
      </c>
    </row>
    <row r="18278" spans="1:3" x14ac:dyDescent="0.25">
      <c r="A18278" s="8" t="str">
        <f>"REWAS'04 - Global Symposium on Recycling, Waste Treatment and Clean Technology"</f>
        <v>REWAS'04 - Global Symposium on Recycling, Waste Treatment and Clean Technology</v>
      </c>
      <c r="B18278" s="8" t="str">
        <f>"9788495520043"</f>
        <v>9788495520043</v>
      </c>
      <c r="C18278" s="8" t="s">
        <v>648</v>
      </c>
    </row>
    <row r="18279" spans="1:3" x14ac:dyDescent="0.25">
      <c r="A18279" s="8" t="str">
        <f>"REWAS'04 - Global Symposium on Recycling, Waste Treatment and Clean Technology"</f>
        <v>REWAS'04 - Global Symposium on Recycling, Waste Treatment and Clean Technology</v>
      </c>
      <c r="B18279" s="8" t="str">
        <f>"9788495520050"</f>
        <v>9788495520050</v>
      </c>
      <c r="C18279" s="8" t="s">
        <v>648</v>
      </c>
    </row>
    <row r="18280" spans="1:3" x14ac:dyDescent="0.25">
      <c r="A18280" s="8" t="str">
        <f>"REWAS'04 - Global Symposium on Recycling, Waste Treatment and Clean Technology"</f>
        <v>REWAS'04 - Global Symposium on Recycling, Waste Treatment and Clean Technology</v>
      </c>
      <c r="B18280" s="8" t="str">
        <f>"9788495520067"</f>
        <v>9788495520067</v>
      </c>
      <c r="C18280" s="8" t="s">
        <v>648</v>
      </c>
    </row>
    <row r="18281" spans="1:3" x14ac:dyDescent="0.25">
      <c r="A18281" s="8" t="str">
        <f>"RFID 2010: International IEEE Conference on RFID"</f>
        <v>RFID 2010: International IEEE Conference on RFID</v>
      </c>
      <c r="B18281" s="8" t="str">
        <f>"9781424457434"</f>
        <v>9781424457434</v>
      </c>
      <c r="C18281" s="8" t="s">
        <v>9</v>
      </c>
    </row>
    <row r="18282" spans="1:3" x14ac:dyDescent="0.25">
      <c r="A18282" s="8" t="str">
        <f>"RFID Technology - Concepts, Applications, Challenges - Proceedings of the 2nd International Workshop on RFID Technology - Concepts, Applications, Challenges, IWRT 2008; In Conjunction with ICEIS 2008"</f>
        <v>RFID Technology - Concepts, Applications, Challenges - Proceedings of the 2nd International Workshop on RFID Technology - Concepts, Applications, Challenges, IWRT 2008; In Conjunction with ICEIS 2008</v>
      </c>
      <c r="B18282" s="8" t="str">
        <f>"9789898111463"</f>
        <v>9789898111463</v>
      </c>
      <c r="C18282" s="8" t="s">
        <v>1553</v>
      </c>
    </row>
    <row r="18283" spans="1:3" x14ac:dyDescent="0.25">
      <c r="A18283" s="8" t="str">
        <f>"RFID Technology Concepts, Applications, Challenges - Proceedings of the 3rd International Workshop on RFID Technology - Concepts, Applications, Challenges IWRT 2009 In Conjunction with ICEIS 2009"</f>
        <v>RFID Technology Concepts, Applications, Challenges - Proceedings of the 3rd International Workshop on RFID Technology - Concepts, Applications, Challenges IWRT 2009 In Conjunction with ICEIS 2009</v>
      </c>
      <c r="B18283" s="8" t="str">
        <f>"9789898111944"</f>
        <v>9789898111944</v>
      </c>
      <c r="C18283" s="8" t="s">
        <v>1680</v>
      </c>
    </row>
    <row r="18284" spans="1:3" x14ac:dyDescent="0.25">
      <c r="A18284" s="8" t="str">
        <f>"RFIT 2007 - IEEE International Workshop on Radio-Frequency Integration Technology"</f>
        <v>RFIT 2007 - IEEE International Workshop on Radio-Frequency Integration Technology</v>
      </c>
      <c r="B18284" s="8" t="str">
        <f>"9781424413072"</f>
        <v>9781424413072</v>
      </c>
      <c r="C18284" s="8" t="s">
        <v>9</v>
      </c>
    </row>
    <row r="18285" spans="1:3" x14ac:dyDescent="0.25">
      <c r="A18285" s="8" t="str">
        <f>"RFIT 2014 - 2014 IEEE International Symposium on Radio-Frequency Integration Technology: Silicon Technology Heats Up for THz"</f>
        <v>RFIT 2014 - 2014 IEEE International Symposium on Radio-Frequency Integration Technology: Silicon Technology Heats Up for THz</v>
      </c>
      <c r="B18285" s="8" t="str">
        <f>"9781479955039"</f>
        <v>9781479955039</v>
      </c>
      <c r="C18285" s="8" t="s">
        <v>105</v>
      </c>
    </row>
    <row r="18286" spans="1:3" x14ac:dyDescent="0.25">
      <c r="A18286" s="8" t="str">
        <f>"RFM 2013 - 2013 IEEE International RF and Microwave Conference, Proceedings"</f>
        <v>RFM 2013 - 2013 IEEE International RF and Microwave Conference, Proceedings</v>
      </c>
      <c r="B18286" s="8" t="str">
        <f>"9781479922147"</f>
        <v>9781479922147</v>
      </c>
      <c r="C18286" s="8" t="s">
        <v>9</v>
      </c>
    </row>
    <row r="18287" spans="1:3" x14ac:dyDescent="0.25">
      <c r="A18287" s="8" t="str">
        <f>"RFMIR 2014 - Proceedings of the 2014 ACM Roadmapping the Future of Multimodal Interaction Research Including Business Opportunities and Challenges, Co-located with ICMI 2014"</f>
        <v>RFMIR 2014 - Proceedings of the 2014 ACM Roadmapping the Future of Multimodal Interaction Research Including Business Opportunities and Challenges, Co-located with ICMI 2014</v>
      </c>
      <c r="B18287" s="8" t="str">
        <f>"9781450306157"</f>
        <v>9781450306157</v>
      </c>
      <c r="C18287" s="8" t="s">
        <v>1235</v>
      </c>
    </row>
    <row r="18288" spans="1:3" x14ac:dyDescent="0.25">
      <c r="A18288" s="8" t="str">
        <f>"RIIT 2013 - Proceedings of the 2nd Annual Conference on Research in Information Technology"</f>
        <v>RIIT 2013 - Proceedings of the 2nd Annual Conference on Research in Information Technology</v>
      </c>
      <c r="B18288" s="8" t="str">
        <f>"9781450324946"</f>
        <v>9781450324946</v>
      </c>
      <c r="C18288" s="8" t="s">
        <v>21</v>
      </c>
    </row>
    <row r="18289" spans="1:3" x14ac:dyDescent="0.25">
      <c r="A18289" s="8" t="str">
        <f>"RIIT 2014 - Proceedings of the 3rd Annual Conference on Research in Information Technology"</f>
        <v>RIIT 2014 - Proceedings of the 3rd Annual Conference on Research in Information Technology</v>
      </c>
      <c r="B18289" s="8" t="str">
        <f>"9781450327114"</f>
        <v>9781450327114</v>
      </c>
      <c r="C18289" s="8" t="s">
        <v>1235</v>
      </c>
    </row>
    <row r="18290" spans="1:3" x14ac:dyDescent="0.25">
      <c r="A18290" s="8" t="str">
        <f>"RIIT'12 - Proceedings of the ACM Research in Information Technology"</f>
        <v>RIIT'12 - Proceedings of the ACM Research in Information Technology</v>
      </c>
      <c r="B18290" s="8" t="str">
        <f>"9781450316439"</f>
        <v>9781450316439</v>
      </c>
      <c r="C18290" s="8" t="s">
        <v>21</v>
      </c>
    </row>
    <row r="18291" spans="1:3" x14ac:dyDescent="0.25">
      <c r="A18291" s="8" t="str">
        <f>"RILEM Workshop on Long-Term Performance of Cementitious Barriers and Reinforced Concrete in Nuclear Power Plants, NUCPERF 2009"</f>
        <v>RILEM Workshop on Long-Term Performance of Cementitious Barriers and Reinforced Concrete in Nuclear Power Plants, NUCPERF 2009</v>
      </c>
      <c r="B18291" s="8" t="str">
        <f>"9781634395083"</f>
        <v>9781634395083</v>
      </c>
      <c r="C18291" s="8" t="s">
        <v>2299</v>
      </c>
    </row>
    <row r="18292" spans="1:3" x14ac:dyDescent="0.25">
      <c r="A18292" s="8" t="str">
        <f>"RINA - International Conference - Historic Ships - Papers"</f>
        <v>RINA - International Conference - Historic Ships - Papers</v>
      </c>
      <c r="B18292" s="8" t="str">
        <f>"9781905040339"</f>
        <v>9781905040339</v>
      </c>
      <c r="C18292" s="8" t="s">
        <v>1137</v>
      </c>
    </row>
    <row r="18293" spans="1:3" x14ac:dyDescent="0.25">
      <c r="A18293" s="8" t="str">
        <f>"RINA - International Conference - Innovation in High Performance Sailing Yachts, Papers"</f>
        <v>RINA - International Conference - Innovation in High Performance Sailing Yachts, Papers</v>
      </c>
      <c r="B18293" s="8" t="str">
        <f>"9781905040469"</f>
        <v>9781905040469</v>
      </c>
      <c r="C18293" s="8" t="s">
        <v>1137</v>
      </c>
    </row>
    <row r="18294" spans="1:3" x14ac:dyDescent="0.25">
      <c r="A18294" s="8" t="str">
        <f>"RINA - International Conference - Innovation in High Performance Sailing Yachts, Papers"</f>
        <v>RINA - International Conference - Innovation in High Performance Sailing Yachts, Papers</v>
      </c>
      <c r="B18294" s="8" t="str">
        <f>"9781905040728"</f>
        <v>9781905040728</v>
      </c>
      <c r="C18294" s="8" t="s">
        <v>1137</v>
      </c>
    </row>
    <row r="18295" spans="1:3" x14ac:dyDescent="0.25">
      <c r="A18295" s="8" t="str">
        <f>"RINA - International Conference - Marine CFD 2008 - Papers"</f>
        <v>RINA - International Conference - Marine CFD 2008 - Papers</v>
      </c>
      <c r="B18295" s="8" t="str">
        <f>"9781905040452"</f>
        <v>9781905040452</v>
      </c>
      <c r="C18295" s="8" t="s">
        <v>1137</v>
      </c>
    </row>
    <row r="18296" spans="1:3" x14ac:dyDescent="0.25">
      <c r="A18296" s="8" t="str">
        <f>"RINA - International Conference - Modern Yacht - Papers"</f>
        <v>RINA - International Conference - Modern Yacht - Papers</v>
      </c>
      <c r="B18296" s="8" t="str">
        <f>"9781905040391"</f>
        <v>9781905040391</v>
      </c>
      <c r="C18296" s="8" t="s">
        <v>1137</v>
      </c>
    </row>
    <row r="18297" spans="1:3" x14ac:dyDescent="0.25">
      <c r="A18297" s="8" t="str">
        <f>"RINA - International Conference on Computer Applications in Shipbuilding 2007 - Papers"</f>
        <v>RINA - International Conference on Computer Applications in Shipbuilding 2007 - Papers</v>
      </c>
      <c r="B18297" s="8" t="str">
        <f>"9781905040384"</f>
        <v>9781905040384</v>
      </c>
      <c r="C18297" s="8" t="s">
        <v>1137</v>
      </c>
    </row>
    <row r="18298" spans="1:3" x14ac:dyDescent="0.25">
      <c r="A18298" s="8" t="str">
        <f>"RINA - International Conference Warship 2008: Naval Submarines 9 - Papers"</f>
        <v>RINA - International Conference Warship 2008: Naval Submarines 9 - Papers</v>
      </c>
      <c r="B18298" s="8" t="str">
        <f>"9781905040476"</f>
        <v>9781905040476</v>
      </c>
      <c r="C18298" s="8" t="s">
        <v>1137</v>
      </c>
    </row>
    <row r="18299" spans="1:3" x14ac:dyDescent="0.25">
      <c r="A18299" s="8" t="str">
        <f>"RINA, Royal Institution of Naval Architects - 2nd International Conference on Ship Manoeuvering in Shallow and Confined Water: Ship to Ship Interactions 2011"</f>
        <v>RINA, Royal Institution of Naval Architects - 2nd International Conference on Ship Manoeuvering in Shallow and Confined Water: Ship to Ship Interactions 2011</v>
      </c>
      <c r="B18299" s="8" t="str">
        <f>"9781622761197"</f>
        <v>9781622761197</v>
      </c>
      <c r="C18299" s="8" t="s">
        <v>1137</v>
      </c>
    </row>
    <row r="18300" spans="1:3" x14ac:dyDescent="0.25">
      <c r="A18300" s="8" t="str">
        <f>"RINA, Royal Institution of Naval Architects - 2nd International Conference on the Education and Professional Development of Engineers in the Maritime Industry"</f>
        <v>RINA, Royal Institution of Naval Architects - 2nd International Conference on the Education and Professional Development of Engineers in the Maritime Industry</v>
      </c>
      <c r="B18300" s="8" t="str">
        <f>"9781909024120"</f>
        <v>9781909024120</v>
      </c>
      <c r="C18300" s="8" t="s">
        <v>1137</v>
      </c>
    </row>
    <row r="18301" spans="1:3" x14ac:dyDescent="0.25">
      <c r="A18301" s="8" t="str">
        <f>"RINA, Royal Institution of Naval Architects - Damaged Ship III, Papers"</f>
        <v>RINA, Royal Institution of Naval Architects - Damaged Ship III, Papers</v>
      </c>
      <c r="B18301" s="8" t="str">
        <f>"9781909024380"</f>
        <v>9781909024380</v>
      </c>
      <c r="C18301" s="8" t="s">
        <v>1137</v>
      </c>
    </row>
    <row r="18302" spans="1:3" x14ac:dyDescent="0.25">
      <c r="A18302" s="8" t="str">
        <f>"RINA, Royal Institution of Naval Architects - Design and Operation of Container Ships, Papers"</f>
        <v>RINA, Royal Institution of Naval Architects - Design and Operation of Container Ships, Papers</v>
      </c>
      <c r="B18302" s="8" t="str">
        <f>"9781909024274"</f>
        <v>9781909024274</v>
      </c>
      <c r="C18302" s="8" t="s">
        <v>1137</v>
      </c>
    </row>
    <row r="18303" spans="1:3" x14ac:dyDescent="0.25">
      <c r="A18303" s="8" t="str">
        <f>"RINA, Royal Institution of Naval Architects - Design and Operation of Passenger Ships 2013"</f>
        <v>RINA, Royal Institution of Naval Architects - Design and Operation of Passenger Ships 2013</v>
      </c>
      <c r="B18303" s="8" t="str">
        <f>"9781510801547"</f>
        <v>9781510801547</v>
      </c>
      <c r="C18303" s="8" t="s">
        <v>1137</v>
      </c>
    </row>
    <row r="18304" spans="1:3" x14ac:dyDescent="0.25">
      <c r="A18304" s="8" t="str">
        <f>"RINA, Royal Institution of Naval Architects - Design and Operation of Wind Farm Support Vessels, Papers"</f>
        <v>RINA, Royal Institution of Naval Architects - Design and Operation of Wind Farm Support Vessels, Papers</v>
      </c>
      <c r="B18304" s="8" t="str">
        <f>"9781909024236"</f>
        <v>9781909024236</v>
      </c>
      <c r="C18304" s="8" t="s">
        <v>1137</v>
      </c>
    </row>
    <row r="18305" spans="1:3" x14ac:dyDescent="0.25">
      <c r="A18305" s="8" t="str">
        <f>"RINA, Royal Institution of Naval Architects - Developments in Marine CFD, Papers"</f>
        <v>RINA, Royal Institution of Naval Architects - Developments in Marine CFD, Papers</v>
      </c>
      <c r="B18305" s="8" t="str">
        <f>"-"</f>
        <v>-</v>
      </c>
      <c r="C18305" s="8" t="s">
        <v>2300</v>
      </c>
    </row>
    <row r="18306" spans="1:3" x14ac:dyDescent="0.25">
      <c r="A18306" s="8" t="str">
        <f>"RINA, Royal Institution of Naval Architects - Education and Professional Development of Engineers in the Maritime Industry, Papers"</f>
        <v>RINA, Royal Institution of Naval Architects - Education and Professional Development of Engineers in the Maritime Industry, Papers</v>
      </c>
      <c r="B18306" s="8" t="str">
        <f>"9781909024274"</f>
        <v>9781909024274</v>
      </c>
      <c r="C18306" s="8" t="s">
        <v>1137</v>
      </c>
    </row>
    <row r="18307" spans="1:3" x14ac:dyDescent="0.25">
      <c r="A18307" s="8" t="str">
        <f>"RINA, Royal Institution of Naval Architects - Historic Ships 2014, Papers"</f>
        <v>RINA, Royal Institution of Naval Architects - Historic Ships 2014, Papers</v>
      </c>
      <c r="B18307" s="8" t="str">
        <f>"9781909024342"</f>
        <v>9781909024342</v>
      </c>
      <c r="C18307" s="8" t="s">
        <v>1137</v>
      </c>
    </row>
    <row r="18308" spans="1:3" x14ac:dyDescent="0.25">
      <c r="A18308" s="8" t="str">
        <f>"RINA, Royal Institution of Naval Architects - Influence of EEDI on Ship Design 2014"</f>
        <v>RINA, Royal Institution of Naval Architects - Influence of EEDI on Ship Design 2014</v>
      </c>
      <c r="B18308" s="8" t="str">
        <f>"9781510801516"</f>
        <v>9781510801516</v>
      </c>
      <c r="C18308" s="8" t="s">
        <v>1137</v>
      </c>
    </row>
    <row r="18309" spans="1:3" x14ac:dyDescent="0.25">
      <c r="A18309" s="8" t="str">
        <f>"RINA, Royal Institution of Naval Architects - International Conference in Marine Design, Papers"</f>
        <v>RINA, Royal Institution of Naval Architects - International Conference in Marine Design, Papers</v>
      </c>
      <c r="B18309" s="8" t="str">
        <f>"9781905040889"</f>
        <v>9781905040889</v>
      </c>
      <c r="C18309" s="8" t="s">
        <v>1137</v>
      </c>
    </row>
    <row r="18310" spans="1:3" x14ac:dyDescent="0.25">
      <c r="A18310" s="8" t="str">
        <f>"RINA, Royal Institution of Naval Architects - International Conference on Computer Applications in Shipbuilding 2009, ICCAS"</f>
        <v>RINA, Royal Institution of Naval Architects - International Conference on Computer Applications in Shipbuilding 2009, ICCAS</v>
      </c>
      <c r="B18310" s="8" t="str">
        <f>"9781615676651"</f>
        <v>9781615676651</v>
      </c>
      <c r="C18310" s="8" t="s">
        <v>1137</v>
      </c>
    </row>
    <row r="18311" spans="1:3" x14ac:dyDescent="0.25">
      <c r="A18311" s="8" t="str">
        <f>"RINA, Royal Institution of Naval Architects - International Conference on Computer Applications in Shipbuilding 2011, Papers"</f>
        <v>RINA, Royal Institution of Naval Architects - International Conference on Computer Applications in Shipbuilding 2011, Papers</v>
      </c>
      <c r="B18311" s="8" t="str">
        <f>"9781905040872"</f>
        <v>9781905040872</v>
      </c>
      <c r="C18311" s="8" t="s">
        <v>1137</v>
      </c>
    </row>
    <row r="18312" spans="1:3" x14ac:dyDescent="0.25">
      <c r="A18312" s="8" t="str">
        <f>"RINA, Royal Institution of Naval Architects - International Conference on Damaged Ship II"</f>
        <v>RINA, Royal Institution of Naval Architects - International Conference on Damaged Ship II</v>
      </c>
      <c r="B18312" s="8" t="str">
        <f>"9781909024113"</f>
        <v>9781909024113</v>
      </c>
      <c r="C18312" s="8" t="s">
        <v>1137</v>
      </c>
    </row>
    <row r="18313" spans="1:3" x14ac:dyDescent="0.25">
      <c r="A18313" s="8" t="str">
        <f>"RINA, Royal Institution of Naval Architects - International Conference on Design and Operation of Bulk Carriers 2009 - Papers"</f>
        <v>RINA, Royal Institution of Naval Architects - International Conference on Design and Operation of Bulk Carriers 2009 - Papers</v>
      </c>
      <c r="B18313" s="8" t="str">
        <f>"9781905040629"</f>
        <v>9781905040629</v>
      </c>
      <c r="C18313" s="8" t="s">
        <v>1137</v>
      </c>
    </row>
    <row r="18314" spans="1:3" x14ac:dyDescent="0.25">
      <c r="A18314" s="8" t="str">
        <f>"RINA, Royal Institution of Naval Architects - International Conference on Design and Operation of Passenger Ships - Papers"</f>
        <v>RINA, Royal Institution of Naval Architects - International Conference on Design and Operation of Passenger Ships - Papers</v>
      </c>
      <c r="B18314" s="8" t="str">
        <f>"9781905040803"</f>
        <v>9781905040803</v>
      </c>
      <c r="C18314" s="8" t="s">
        <v>2300</v>
      </c>
    </row>
    <row r="18315" spans="1:3" x14ac:dyDescent="0.25">
      <c r="A18315" s="8" t="str">
        <f>"RINA, Royal Institution of Naval Architects - International Conference on Design and Operation of Tankers, Papers"</f>
        <v>RINA, Royal Institution of Naval Architects - International Conference on Design and Operation of Tankers, Papers</v>
      </c>
      <c r="B18315" s="8" t="str">
        <f>"9781905040858"</f>
        <v>9781905040858</v>
      </c>
      <c r="C18315" s="8" t="s">
        <v>1137</v>
      </c>
    </row>
    <row r="18316" spans="1:3" x14ac:dyDescent="0.25">
      <c r="A18316" s="8" t="str">
        <f>"RINA, Royal Institution of Naval Architects - International Conference on Design, Construction and Operation of Super and Mega Yachts, Papers"</f>
        <v>RINA, Royal Institution of Naval Architects - International Conference on Design, Construction and Operation of Super and Mega Yachts, Papers</v>
      </c>
      <c r="B18316" s="8" t="str">
        <f>"9781905040841"</f>
        <v>9781905040841</v>
      </c>
      <c r="C18316" s="8" t="s">
        <v>1137</v>
      </c>
    </row>
    <row r="18317" spans="1:3" x14ac:dyDescent="0.25">
      <c r="A18317" s="8" t="str">
        <f>"RINA, Royal Institution of Naval Architects - International Conference on Education and Professional Development of Engineers in the Maritime Industry"</f>
        <v>RINA, Royal Institution of Naval Architects - International Conference on Education and Professional Development of Engineers in the Maritime Industry</v>
      </c>
      <c r="B18317" s="8" t="str">
        <f>"9781909024076"</f>
        <v>9781909024076</v>
      </c>
      <c r="C18317" s="8" t="s">
        <v>1137</v>
      </c>
    </row>
    <row r="18318" spans="1:3" x14ac:dyDescent="0.25">
      <c r="A18318" s="8" t="str">
        <f>"RINA, Royal Institution of Naval Architects - International Conference on Education and Professional Development of Engineers in the Maritime Industry, Papers"</f>
        <v>RINA, Royal Institution of Naval Architects - International Conference on Education and Professional Development of Engineers in the Maritime Industry, Papers</v>
      </c>
      <c r="B18318" s="8" t="str">
        <f>"9781905040933"</f>
        <v>9781905040933</v>
      </c>
      <c r="C18318" s="8" t="s">
        <v>1137</v>
      </c>
    </row>
    <row r="18319" spans="1:3" x14ac:dyDescent="0.25">
      <c r="A18319" s="8" t="str">
        <f>"RINA, Royal Institution of Naval Architects - International Conference on Fire at Sea 2014"</f>
        <v>RINA, Royal Institution of Naval Architects - International Conference on Fire at Sea 2014</v>
      </c>
      <c r="B18319" s="8" t="str">
        <f>"9781510801530"</f>
        <v>9781510801530</v>
      </c>
      <c r="C18319" s="8" t="s">
        <v>1137</v>
      </c>
    </row>
    <row r="18320" spans="1:3" x14ac:dyDescent="0.25">
      <c r="A18320" s="8" t="str">
        <f>"RINA, Royal Institution of Naval Architects - International Conference on Historic Ships 2009 - Papers"</f>
        <v>RINA, Royal Institution of Naval Architects - International Conference on Historic Ships 2009 - Papers</v>
      </c>
      <c r="B18320" s="8" t="str">
        <f>"9781905040650"</f>
        <v>9781905040650</v>
      </c>
      <c r="C18320" s="8" t="s">
        <v>1137</v>
      </c>
    </row>
    <row r="18321" spans="1:3" x14ac:dyDescent="0.25">
      <c r="A18321" s="8" t="str">
        <f>"RINA, Royal Institution of Naval Architects - International Conference on Historic Ships III"</f>
        <v>RINA, Royal Institution of Naval Architects - International Conference on Historic Ships III</v>
      </c>
      <c r="B18321" s="8" t="str">
        <f>"9781909024076"</f>
        <v>9781909024076</v>
      </c>
      <c r="C18321" s="8" t="s">
        <v>1137</v>
      </c>
    </row>
    <row r="18322" spans="1:3" x14ac:dyDescent="0.25">
      <c r="A18322" s="8" t="str">
        <f>"RINA, Royal Institution of Naval Architects - International Conference on Human Factors in Ship Design and Operation, Papers"</f>
        <v>RINA, Royal Institution of Naval Architects - International Conference on Human Factors in Ship Design and Operation, Papers</v>
      </c>
      <c r="B18322" s="8" t="str">
        <f>"9781905040919"</f>
        <v>9781905040919</v>
      </c>
      <c r="C18322" s="8" t="s">
        <v>1137</v>
      </c>
    </row>
    <row r="18323" spans="1:3" x14ac:dyDescent="0.25">
      <c r="A18323" s="8" t="str">
        <f>"RINA, Royal Institution of Naval Architects - International Conference on ICSOT: Developments in Fixed and Floating Offshore Structures"</f>
        <v>RINA, Royal Institution of Naval Architects - International Conference on ICSOT: Developments in Fixed and Floating Offshore Structures</v>
      </c>
      <c r="B18323" s="8" t="str">
        <f>"9781905040995"</f>
        <v>9781905040995</v>
      </c>
      <c r="C18323" s="8" t="s">
        <v>1137</v>
      </c>
    </row>
    <row r="18324" spans="1:3" x14ac:dyDescent="0.25">
      <c r="A18324" s="8" t="str">
        <f>"RINA, Royal Institution of Naval Architects - International Conference on Managing Reliability and Maintainability in the Maritime Industry, Papers"</f>
        <v>RINA, Royal Institution of Naval Architects - International Conference on Managing Reliability and Maintainability in the Maritime Industry, Papers</v>
      </c>
      <c r="B18324" s="8" t="str">
        <f>"9781905040957"</f>
        <v>9781905040957</v>
      </c>
      <c r="C18324" s="8" t="s">
        <v>1137</v>
      </c>
    </row>
    <row r="18325" spans="1:3" x14ac:dyDescent="0.25">
      <c r="A18325" s="8" t="str">
        <f>"RINA, Royal Institution of Naval Architects - International Conference on Marine and Offshore Coatings 2010"</f>
        <v>RINA, Royal Institution of Naval Architects - International Conference on Marine and Offshore Coatings 2010</v>
      </c>
      <c r="B18325" s="8" t="str">
        <f>"9781617384615"</f>
        <v>9781617384615</v>
      </c>
      <c r="C18325" s="8" t="s">
        <v>2300</v>
      </c>
    </row>
    <row r="18326" spans="1:3" x14ac:dyDescent="0.25">
      <c r="A18326" s="8" t="str">
        <f>"RINA, Royal Institution of Naval Architects - International Conference on Marine and Offshore Composites 2010"</f>
        <v>RINA, Royal Institution of Naval Architects - International Conference on Marine and Offshore Composites 2010</v>
      </c>
      <c r="B18326" s="8" t="str">
        <f>"9781617384608"</f>
        <v>9781617384608</v>
      </c>
      <c r="C18326" s="8" t="s">
        <v>2300</v>
      </c>
    </row>
    <row r="18327" spans="1:3" x14ac:dyDescent="0.25">
      <c r="A18327" s="8" t="str">
        <f>"RINA, Royal Institution of Naval Architects - International Conference on Marine and Offshore Renewable Energy 2012"</f>
        <v>RINA, Royal Institution of Naval Architects - International Conference on Marine and Offshore Renewable Energy 2012</v>
      </c>
      <c r="B18327" s="8" t="str">
        <f>"9781909024045"</f>
        <v>9781909024045</v>
      </c>
      <c r="C18327" s="8" t="s">
        <v>1137</v>
      </c>
    </row>
    <row r="18328" spans="1:3" x14ac:dyDescent="0.25">
      <c r="A18328" s="8" t="str">
        <f>"RINA, Royal Institution of Naval Architects - International Conference on Marine Heavy Transport and Lift III"</f>
        <v>RINA, Royal Institution of Naval Architects - International Conference on Marine Heavy Transport and Lift III</v>
      </c>
      <c r="B18328" s="8" t="str">
        <f>"9781909024052"</f>
        <v>9781909024052</v>
      </c>
      <c r="C18328" s="8" t="s">
        <v>1137</v>
      </c>
    </row>
    <row r="18329" spans="1:3" x14ac:dyDescent="0.25">
      <c r="A18329" s="8" t="str">
        <f>"RINA, Royal Institution of Naval Architects - International Conference on Ship and Offshore Technology 2009 - ICSOT India 2009: Developments in Ship Design and Construction"</f>
        <v>RINA, Royal Institution of Naval Architects - International Conference on Ship and Offshore Technology 2009 - ICSOT India 2009: Developments in Ship Design and Construction</v>
      </c>
      <c r="B18329" s="8" t="str">
        <f>"9781615678501"</f>
        <v>9781615678501</v>
      </c>
      <c r="C18329" s="8" t="s">
        <v>2300</v>
      </c>
    </row>
    <row r="18330" spans="1:3" x14ac:dyDescent="0.25">
      <c r="A18330" s="8" t="str">
        <f>"RINA, Royal Institution of Naval Architects - International Conference on Ship and Offshore Technology, ICSOT Indonesia 2012: Developments in Ship Design ad Construction"</f>
        <v>RINA, Royal Institution of Naval Architects - International Conference on Ship and Offshore Technology, ICSOT Indonesia 2012: Developments in Ship Design ad Construction</v>
      </c>
      <c r="B18330" s="8" t="str">
        <f>"9781629930381"</f>
        <v>9781629930381</v>
      </c>
      <c r="C18330" s="8" t="s">
        <v>1137</v>
      </c>
    </row>
    <row r="18331" spans="1:3" x14ac:dyDescent="0.25">
      <c r="A18331" s="8" t="str">
        <f>"RINA, Royal Institution of Naval Architects - International Conference on Ship Manoeuvering in Shallow and Confined Water: Bank Effects 2009"</f>
        <v>RINA, Royal Institution of Naval Architects - International Conference on Ship Manoeuvering in Shallow and Confined Water: Bank Effects 2009</v>
      </c>
      <c r="B18331" s="8" t="str">
        <f>"9781615673612"</f>
        <v>9781615673612</v>
      </c>
      <c r="C18331" s="8" t="s">
        <v>1137</v>
      </c>
    </row>
    <row r="18332" spans="1:3" x14ac:dyDescent="0.25">
      <c r="A18332" s="8" t="str">
        <f>"RINA, Royal Institution of Naval Architects - International Conference on Systems Engineering in Ship and Offshore Design, Papers"</f>
        <v>RINA, Royal Institution of Naval Architects - International Conference on Systems Engineering in Ship and Offshore Design, Papers</v>
      </c>
      <c r="B18332" s="8" t="str">
        <f>"9781905040766"</f>
        <v>9781905040766</v>
      </c>
      <c r="C18332" s="8" t="s">
        <v>1137</v>
      </c>
    </row>
    <row r="18333" spans="1:3" x14ac:dyDescent="0.25">
      <c r="A18333" s="8" t="str">
        <f>"RINA, Royal Institution of Naval Architects - International Conference on the Environmentally Friendly Ship, Papers"</f>
        <v>RINA, Royal Institution of Naval Architects - International Conference on the Environmentally Friendly Ship, Papers</v>
      </c>
      <c r="B18333" s="8" t="str">
        <f>"9781905040964"</f>
        <v>9781905040964</v>
      </c>
      <c r="C18333" s="8" t="s">
        <v>1137</v>
      </c>
    </row>
    <row r="18334" spans="1:3" x14ac:dyDescent="0.25">
      <c r="A18334" s="8" t="str">
        <f>"RINA, Royal Institution of Naval Architects - International Conference on the Ice Class Ships 2012"</f>
        <v>RINA, Royal Institution of Naval Architects - International Conference on the Ice Class Ships 2012</v>
      </c>
      <c r="B18334" s="8" t="str">
        <f>"9781909024014"</f>
        <v>9781909024014</v>
      </c>
      <c r="C18334" s="8" t="s">
        <v>1137</v>
      </c>
    </row>
    <row r="18335" spans="1:3" x14ac:dyDescent="0.25">
      <c r="A18335" s="8" t="str">
        <f>"RINA, Royal Institution of Naval Architects - International Conference Warship 2012: The Affordable Warship"</f>
        <v>RINA, Royal Institution of Naval Architects - International Conference Warship 2012: The Affordable Warship</v>
      </c>
      <c r="B18335" s="8" t="str">
        <f>"9781909024007"</f>
        <v>9781909024007</v>
      </c>
      <c r="C18335" s="8" t="s">
        <v>1137</v>
      </c>
    </row>
    <row r="18336" spans="1:3" x14ac:dyDescent="0.25">
      <c r="A18336" s="8" t="str">
        <f>"RINA, Royal Institution of Naval Architects - International Conference: High Speed Marine Vessels - Papers"</f>
        <v>RINA, Royal Institution of Naval Architects - International Conference: High Speed Marine Vessels - Papers</v>
      </c>
      <c r="B18336" s="8" t="str">
        <f>"9781905040810"</f>
        <v>9781905040810</v>
      </c>
      <c r="C18336" s="8" t="s">
        <v>2300</v>
      </c>
    </row>
    <row r="18337" spans="1:3" x14ac:dyDescent="0.25">
      <c r="A18337" s="8" t="str">
        <f>"RINA, Royal Institution of Naval Architects - International Maritime Conference 2012, Pacific 2012"</f>
        <v>RINA, Royal Institution of Naval Architects - International Maritime Conference 2012, Pacific 2012</v>
      </c>
      <c r="B18337" s="8" t="str">
        <f>"9781622761203"</f>
        <v>9781622761203</v>
      </c>
      <c r="C18337" s="8" t="s">
        <v>1137</v>
      </c>
    </row>
    <row r="18338" spans="1:3" x14ac:dyDescent="0.25">
      <c r="A18338" s="8" t="str">
        <f>"RINA, Royal Institution of Naval Architects - Marine Design, Papers"</f>
        <v>RINA, Royal Institution of Naval Architects - Marine Design, Papers</v>
      </c>
      <c r="B18338" s="8" t="str">
        <f>"9781909024298"</f>
        <v>9781909024298</v>
      </c>
      <c r="C18338" s="8" t="s">
        <v>1137</v>
      </c>
    </row>
    <row r="18339" spans="1:3" x14ac:dyDescent="0.25">
      <c r="A18339" s="8" t="str">
        <f>"RINA, Royal Institution of Naval Architects - Marine Heavy Transport and Lift IV, Papers"</f>
        <v>RINA, Royal Institution of Naval Architects - Marine Heavy Transport and Lift IV, Papers</v>
      </c>
      <c r="B18339" s="8" t="str">
        <f>"9781909024335"</f>
        <v>9781909024335</v>
      </c>
      <c r="C18339" s="8" t="s">
        <v>1137</v>
      </c>
    </row>
    <row r="18340" spans="1:3" x14ac:dyDescent="0.25">
      <c r="A18340" s="8" t="str">
        <f>"RINA, Royal Institution of Naval Architects - Marine Renewable and Offshore Wind Energy - Papers"</f>
        <v>RINA, Royal Institution of Naval Architects - Marine Renewable and Offshore Wind Energy - Papers</v>
      </c>
      <c r="B18340" s="8" t="str">
        <f>"9781905040704"</f>
        <v>9781905040704</v>
      </c>
      <c r="C18340" s="8" t="s">
        <v>2300</v>
      </c>
    </row>
    <row r="18341" spans="1:3" x14ac:dyDescent="0.25">
      <c r="A18341" s="8" t="str">
        <f>"RINA, Royal Institution of Naval Architects - Safeguard: Passenger Evacuation Seminar 2012"</f>
        <v>RINA, Royal Institution of Naval Architects - Safeguard: Passenger Evacuation Seminar 2012</v>
      </c>
      <c r="B18341" s="8" t="str">
        <f>"9781909024083"</f>
        <v>9781909024083</v>
      </c>
      <c r="C18341" s="8" t="s">
        <v>1137</v>
      </c>
    </row>
    <row r="18342" spans="1:3" x14ac:dyDescent="0.25">
      <c r="A18342" s="8" t="str">
        <f>"RINA, Royal Institution of Naval Architects - Ship Design and Operation for Environmental Sustainability - Papers"</f>
        <v>RINA, Royal Institution of Naval Architects - Ship Design and Operation for Environmental Sustainability - Papers</v>
      </c>
      <c r="B18342" s="8" t="str">
        <f>"9781905040698"</f>
        <v>9781905040698</v>
      </c>
      <c r="C18342" s="8" t="s">
        <v>2300</v>
      </c>
    </row>
    <row r="18343" spans="1:3" x14ac:dyDescent="0.25">
      <c r="A18343" s="8" t="str">
        <f>"RINA, Royal Institution of Naval Architects - Warship 2010: Advanced Technologies in Naval Design and Construction - Papers"</f>
        <v>RINA, Royal Institution of Naval Architects - Warship 2010: Advanced Technologies in Naval Design and Construction - Papers</v>
      </c>
      <c r="B18343" s="8" t="str">
        <f>"9781905040711"</f>
        <v>9781905040711</v>
      </c>
      <c r="C18343" s="8" t="s">
        <v>2300</v>
      </c>
    </row>
    <row r="18344" spans="1:3" x14ac:dyDescent="0.25">
      <c r="A18344" s="8" t="str">
        <f>"RINA, Royal Institution of Naval Architects - Warship 2011: Naval Submarines and UUVS, Papers"</f>
        <v>RINA, Royal Institution of Naval Architects - Warship 2011: Naval Submarines and UUVS, Papers</v>
      </c>
      <c r="B18344" s="8" t="str">
        <f>"9781905040865"</f>
        <v>9781905040865</v>
      </c>
      <c r="C18344" s="8" t="s">
        <v>1137</v>
      </c>
    </row>
    <row r="18345" spans="1:3" x14ac:dyDescent="0.25">
      <c r="A18345" s="8" t="str">
        <f>"RINA, Royal Institution of Naval Architects - Warship 2014: Naval Submarines and UUV's, Papers"</f>
        <v>RINA, Royal Institution of Naval Architects - Warship 2014: Naval Submarines and UUV's, Papers</v>
      </c>
      <c r="B18345" s="8" t="str">
        <f>"9781909024281"</f>
        <v>9781909024281</v>
      </c>
      <c r="C18345" s="8" t="s">
        <v>1137</v>
      </c>
    </row>
    <row r="18346" spans="1:3" x14ac:dyDescent="0.25">
      <c r="A18346" s="8" t="str">
        <f>"RINA, Royal Institution of Naval Architects - Warship 2015: Future Surface Vessels, Papers"</f>
        <v>RINA, Royal Institution of Naval Architects - Warship 2015: Future Surface Vessels, Papers</v>
      </c>
      <c r="B18346" s="8" t="str">
        <f>"9781909024410"</f>
        <v>9781909024410</v>
      </c>
      <c r="C18346" s="8" t="s">
        <v>1137</v>
      </c>
    </row>
    <row r="18347" spans="1:3" x14ac:dyDescent="0.25">
      <c r="A18347" s="8" t="str">
        <f>"RINA, Royal Institution of Naval Architects - William Froude Conference: Advances in Theoretical and Applied Hydrodynamics - Past and Future, Papers"</f>
        <v>RINA, Royal Institution of Naval Architects - William Froude Conference: Advances in Theoretical and Applied Hydrodynamics - Past and Future, Papers</v>
      </c>
      <c r="B18347" s="8" t="str">
        <f>"9781905040773"</f>
        <v>9781905040773</v>
      </c>
      <c r="C18347" s="8" t="s">
        <v>1137</v>
      </c>
    </row>
    <row r="18348" spans="1:3" x14ac:dyDescent="0.25">
      <c r="A18348" s="8" t="str">
        <f>"RINA, Royal Institution of Naval Architects International Conference - Advanced Marine Materials and Coatings - Papers"</f>
        <v>RINA, Royal Institution of Naval Architects International Conference - Advanced Marine Materials and Coatings - Papers</v>
      </c>
      <c r="B18348" s="8" t="str">
        <f>"-"</f>
        <v>-</v>
      </c>
      <c r="C18348" s="8" t="s">
        <v>1137</v>
      </c>
    </row>
    <row r="18349" spans="1:3" x14ac:dyDescent="0.25">
      <c r="A18349" s="8" t="str">
        <f>"RINA, Royal Institution of Naval Architects International Conference - Coastal Ships and Inland Waterways II - Papers"</f>
        <v>RINA, Royal Institution of Naval Architects International Conference - Coastal Ships and Inland Waterways II - Papers</v>
      </c>
      <c r="B18349" s="8" t="str">
        <f>"-"</f>
        <v>-</v>
      </c>
      <c r="C18349" s="8" t="s">
        <v>1137</v>
      </c>
    </row>
    <row r="18350" spans="1:3" x14ac:dyDescent="0.25">
      <c r="A18350" s="8" t="str">
        <f>"RINA, Royal Institution of Naval Architects International Conference - Design and Construction of Vessels Operating in Low Temperature Environments - Papers"</f>
        <v>RINA, Royal Institution of Naval Architects International Conference - Design and Construction of Vessels Operating in Low Temperature Environments - Papers</v>
      </c>
      <c r="B18350" s="8" t="str">
        <f>"9781905040360"</f>
        <v>9781905040360</v>
      </c>
      <c r="C18350" s="8" t="s">
        <v>9</v>
      </c>
    </row>
    <row r="18351" spans="1:3" x14ac:dyDescent="0.25">
      <c r="A18351" s="8" t="str">
        <f>"RINA, Royal Institution of Naval Architects International Conference - Design and Operation for Abnormal Conditions III"</f>
        <v>RINA, Royal Institution of Naval Architects International Conference - Design and Operation for Abnormal Conditions III</v>
      </c>
      <c r="B18351" s="8" t="str">
        <f>"9781905040087"</f>
        <v>9781905040087</v>
      </c>
      <c r="C18351" s="8" t="s">
        <v>1137</v>
      </c>
    </row>
    <row r="18352" spans="1:3" x14ac:dyDescent="0.25">
      <c r="A18352" s="8" t="str">
        <f>"RINA, Royal Institution of Naval Architects International Conference - Design and Operation of Bulk Carriers"</f>
        <v>RINA, Royal Institution of Naval Architects International Conference - Design and Operation of Bulk Carriers</v>
      </c>
      <c r="B18352" s="8" t="str">
        <f>"-"</f>
        <v>-</v>
      </c>
      <c r="C18352" s="8" t="s">
        <v>1137</v>
      </c>
    </row>
    <row r="18353" spans="1:3" x14ac:dyDescent="0.25">
      <c r="A18353" s="8" t="str">
        <f>"RINA, Royal Institution of Naval Architects International Conference - Design and Operation of Container Ships - Papers"</f>
        <v>RINA, Royal Institution of Naval Architects International Conference - Design and Operation of Container Ships - Papers</v>
      </c>
      <c r="B18353" s="8" t="str">
        <f>"9781905040292"</f>
        <v>9781905040292</v>
      </c>
      <c r="C18353" s="8" t="s">
        <v>1137</v>
      </c>
    </row>
    <row r="18354" spans="1:3" x14ac:dyDescent="0.25">
      <c r="A18354" s="8" t="str">
        <f>"RINA, Royal Institution of Naval Architects International Conference - Design and Operation of LPG Ships - Papers"</f>
        <v>RINA, Royal Institution of Naval Architects International Conference - Design and Operation of LPG Ships - Papers</v>
      </c>
      <c r="B18354" s="8" t="str">
        <f>"9781905040438"</f>
        <v>9781905040438</v>
      </c>
      <c r="C18354" s="8" t="s">
        <v>1137</v>
      </c>
    </row>
    <row r="18355" spans="1:3" x14ac:dyDescent="0.25">
      <c r="A18355" s="8" t="str">
        <f>"RINA, Royal Institution of Naval Architects International Conference - Design and Operation of Passenger Ships - Papers"</f>
        <v>RINA, Royal Institution of Naval Architects International Conference - Design and Operation of Passenger Ships - Papers</v>
      </c>
      <c r="B18355" s="8" t="str">
        <f>"9781905040353"</f>
        <v>9781905040353</v>
      </c>
      <c r="C18355" s="8" t="s">
        <v>1137</v>
      </c>
    </row>
    <row r="18356" spans="1:3" x14ac:dyDescent="0.25">
      <c r="A18356" s="8" t="str">
        <f>"RINA, Royal Institution of Naval Architects International Conference - Developments in Classification and International Regulations - Papers"</f>
        <v>RINA, Royal Institution of Naval Architects International Conference - Developments in Classification and International Regulations - Papers</v>
      </c>
      <c r="B18356" s="8" t="str">
        <f>"9781905040322"</f>
        <v>9781905040322</v>
      </c>
      <c r="C18356" s="8" t="s">
        <v>1137</v>
      </c>
    </row>
    <row r="18357" spans="1:3" x14ac:dyDescent="0.25">
      <c r="A18357" s="8" t="str">
        <f>"RINA, Royal Institution of Naval Architects International Conference - Fishing Vessels, Fishing Technology and Fisheries"</f>
        <v>RINA, Royal Institution of Naval Architects International Conference - Fishing Vessels, Fishing Technology and Fisheries</v>
      </c>
      <c r="B18357" s="8" t="str">
        <f>"9781905040117"</f>
        <v>9781905040117</v>
      </c>
      <c r="C18357" s="8" t="s">
        <v>1137</v>
      </c>
    </row>
    <row r="18358" spans="1:3" x14ac:dyDescent="0.25">
      <c r="A18358" s="8" t="str">
        <f>"RINA, Royal Institution of Naval Architects International Conference - Human Factors in Ship Design, Safety and Operation"</f>
        <v>RINA, Royal Institution of Naval Architects International Conference - Human Factors in Ship Design, Safety and Operation</v>
      </c>
      <c r="B18358" s="8" t="str">
        <f>"9781905040094"</f>
        <v>9781905040094</v>
      </c>
      <c r="C18358" s="8" t="s">
        <v>1137</v>
      </c>
    </row>
    <row r="18359" spans="1:3" x14ac:dyDescent="0.25">
      <c r="A18359" s="8" t="str">
        <f>"RINA, Royal Institution of Naval Architects International Conference - Human Factors in Ship Design, Safety and Operation - Papers"</f>
        <v>RINA, Royal Institution of Naval Architects International Conference - Human Factors in Ship Design, Safety and Operation - Papers</v>
      </c>
      <c r="B18359" s="8" t="str">
        <f>"9781905040346"</f>
        <v>9781905040346</v>
      </c>
      <c r="C18359" s="8" t="s">
        <v>1137</v>
      </c>
    </row>
    <row r="18360" spans="1:3" x14ac:dyDescent="0.25">
      <c r="A18360" s="8" t="str">
        <f>"RINA, Royal Institution of Naval Architects International Conference - Human Factors in Ship Design, Safety and Operation - Papers"</f>
        <v>RINA, Royal Institution of Naval Architects International Conference - Human Factors in Ship Design, Safety and Operation - Papers</v>
      </c>
      <c r="B18360" s="8" t="str">
        <f>"9781905040551"</f>
        <v>9781905040551</v>
      </c>
      <c r="C18360" s="8" t="s">
        <v>1137</v>
      </c>
    </row>
    <row r="18361" spans="1:3" x14ac:dyDescent="0.25">
      <c r="A18361" s="8" t="str">
        <f>"RINA, Royal Institution of Naval Architects International Conference - International Conference on Ship and Offshore Technology: Ice Class Vessels - Papers"</f>
        <v>RINA, Royal Institution of Naval Architects International Conference - International Conference on Ship and Offshore Technology: Ice Class Vessels - Papers</v>
      </c>
      <c r="B18361" s="8" t="str">
        <f>"9781905040612"</f>
        <v>9781905040612</v>
      </c>
      <c r="C18361" s="8" t="s">
        <v>1137</v>
      </c>
    </row>
    <row r="18362" spans="1:3" x14ac:dyDescent="0.25">
      <c r="A18362" s="8" t="str">
        <f>"RINA, Royal Institution of Naval Architects International Conference - International Symposium on Marine Design - Papers"</f>
        <v>RINA, Royal Institution of Naval Architects International Conference - International Symposium on Marine Design - Papers</v>
      </c>
      <c r="B18362" s="8" t="str">
        <f>"-"</f>
        <v>-</v>
      </c>
      <c r="C18362" s="8" t="s">
        <v>1137</v>
      </c>
    </row>
    <row r="18363" spans="1:3" x14ac:dyDescent="0.25">
      <c r="A18363" s="8" t="str">
        <f>"RINA, Royal Institution of Naval Architects International Conference - Learning from Marine Incidents III - Papers"</f>
        <v>RINA, Royal Institution of Naval Architects International Conference - Learning from Marine Incidents III - Papers</v>
      </c>
      <c r="B18363" s="8" t="str">
        <f>"-"</f>
        <v>-</v>
      </c>
      <c r="C18363" s="8" t="s">
        <v>1137</v>
      </c>
    </row>
    <row r="18364" spans="1:3" x14ac:dyDescent="0.25">
      <c r="A18364" s="8" t="str">
        <f>"RINA, Royal Institution of Naval Architects International Conference - Marine CFD 2005: 4th International Conference on Marine Hydrodynamics"</f>
        <v>RINA, Royal Institution of Naval Architects International Conference - Marine CFD 2005: 4th International Conference on Marine Hydrodynamics</v>
      </c>
      <c r="B18364" s="8" t="str">
        <f>"9781905040100"</f>
        <v>9781905040100</v>
      </c>
      <c r="C18364" s="8" t="s">
        <v>1137</v>
      </c>
    </row>
    <row r="18365" spans="1:3" x14ac:dyDescent="0.25">
      <c r="A18365" s="8" t="str">
        <f>"RINA, Royal Institution of Naval Architects International Conference - Marine Heavy Transport and Lift"</f>
        <v>RINA, Royal Institution of Naval Architects International Conference - Marine Heavy Transport and Lift</v>
      </c>
      <c r="B18365" s="8" t="str">
        <f>"-"</f>
        <v>-</v>
      </c>
      <c r="C18365" s="8" t="s">
        <v>1137</v>
      </c>
    </row>
    <row r="18366" spans="1:3" x14ac:dyDescent="0.25">
      <c r="A18366" s="8" t="str">
        <f>"RINA, Royal Institution of Naval Architects International Conference - Marine Heavy Transport and Lift II - Papers"</f>
        <v>RINA, Royal Institution of Naval Architects International Conference - Marine Heavy Transport and Lift II - Papers</v>
      </c>
      <c r="B18366" s="8" t="str">
        <f>"9781905040445"</f>
        <v>9781905040445</v>
      </c>
      <c r="C18366" s="8" t="s">
        <v>1137</v>
      </c>
    </row>
    <row r="18367" spans="1:3" x14ac:dyDescent="0.25">
      <c r="A18367" s="8" t="str">
        <f>"RINA, Royal Institution of Naval Architects International Conference - Marine Renewable Energy - Papers"</f>
        <v>RINA, Royal Institution of Naval Architects International Conference - Marine Renewable Energy - Papers</v>
      </c>
      <c r="B18367" s="8" t="str">
        <f>"9781905040490"</f>
        <v>9781905040490</v>
      </c>
      <c r="C18367" s="8" t="s">
        <v>2300</v>
      </c>
    </row>
    <row r="18368" spans="1:3" x14ac:dyDescent="0.25">
      <c r="A18368" s="8" t="str">
        <f>"RINA, Royal Institution of Naval Architects International Conference - Military Support Ships - Papers"</f>
        <v>RINA, Royal Institution of Naval Architects International Conference - Military Support Ships - Papers</v>
      </c>
      <c r="B18368" s="8" t="str">
        <f>"9781905040407"</f>
        <v>9781905040407</v>
      </c>
      <c r="C18368" s="8" t="s">
        <v>1137</v>
      </c>
    </row>
    <row r="18369" spans="1:3" x14ac:dyDescent="0.25">
      <c r="A18369" s="8" t="str">
        <f>"RINA, Royal Institution of Naval Architects International Conference - Recycling of Ships and other Marine Structures"</f>
        <v>RINA, Royal Institution of Naval Architects International Conference - Recycling of Ships and other Marine Structures</v>
      </c>
      <c r="B18369" s="8" t="str">
        <f>"9781905040124"</f>
        <v>9781905040124</v>
      </c>
      <c r="C18369" s="8" t="s">
        <v>1137</v>
      </c>
    </row>
    <row r="18370" spans="1:3" x14ac:dyDescent="0.25">
      <c r="A18370" s="8" t="str">
        <f>"RINA, Royal Institution of Naval Architects International Conference - Safety Regulations and Naval Class II - Papers"</f>
        <v>RINA, Royal Institution of Naval Architects International Conference - Safety Regulations and Naval Class II - Papers</v>
      </c>
      <c r="B18370" s="8" t="str">
        <f>"-"</f>
        <v>-</v>
      </c>
      <c r="C18370" s="8" t="s">
        <v>1137</v>
      </c>
    </row>
    <row r="18371" spans="1:3" x14ac:dyDescent="0.25">
      <c r="A18371" s="8" t="str">
        <f>"RINA, Royal Institution of Naval Architects International Conference - SURV7 - Surveillance, Search and Rescue Craft"</f>
        <v>RINA, Royal Institution of Naval Architects International Conference - SURV7 - Surveillance, Search and Rescue Craft</v>
      </c>
      <c r="B18371" s="8" t="str">
        <f>"9781905040582"</f>
        <v>9781905040582</v>
      </c>
      <c r="C18371" s="8" t="s">
        <v>2301</v>
      </c>
    </row>
    <row r="18372" spans="1:3" x14ac:dyDescent="0.25">
      <c r="A18372" s="8" t="str">
        <f>"RINA, Royal Institution of Naval Architects International Conference - Warship 2005: Naval Submarines 8"</f>
        <v>RINA, Royal Institution of Naval Architects International Conference - Warship 2005: Naval Submarines 8</v>
      </c>
      <c r="B18372" s="8" t="str">
        <f>"-"</f>
        <v>-</v>
      </c>
      <c r="C18372" s="8" t="s">
        <v>1137</v>
      </c>
    </row>
    <row r="18373" spans="1:3" x14ac:dyDescent="0.25">
      <c r="A18373" s="8" t="str">
        <f>"RINA, Royal Institution of Naval Architects International Conference - Warship 2007: The Affordable Warship - Papers"</f>
        <v>RINA, Royal Institution of Naval Architects International Conference - Warship 2007: The Affordable Warship - Papers</v>
      </c>
      <c r="B18373" s="8" t="str">
        <f>"9781905040377"</f>
        <v>9781905040377</v>
      </c>
      <c r="C18373" s="8" t="s">
        <v>1137</v>
      </c>
    </row>
    <row r="18374" spans="1:3" x14ac:dyDescent="0.25">
      <c r="A18374" s="8" t="str">
        <f>"RINA, Royal Institution of Naval Architects International Conference - Warship 2009: Airpower at Sea"</f>
        <v>RINA, Royal Institution of Naval Architects International Conference - Warship 2009: Airpower at Sea</v>
      </c>
      <c r="B18374" s="8" t="str">
        <f>"9781905040599"</f>
        <v>9781905040599</v>
      </c>
      <c r="C18374" s="8" t="s">
        <v>1137</v>
      </c>
    </row>
    <row r="18375" spans="1:3" x14ac:dyDescent="0.25">
      <c r="A18375" s="8" t="str">
        <f>"RINA, Royal Institution of Naval Architects International Conference - Waterjet Propulsion 5 - Papers"</f>
        <v>RINA, Royal Institution of Naval Architects International Conference - Waterjet Propulsion 5 - Papers</v>
      </c>
      <c r="B18375" s="8" t="str">
        <f>"9781905040506"</f>
        <v>9781905040506</v>
      </c>
      <c r="C18375" s="8" t="s">
        <v>2300</v>
      </c>
    </row>
    <row r="18376" spans="1:3" x14ac:dyDescent="0.25">
      <c r="A18376" s="8" t="str">
        <f>"Risk Analysis 2008: Risk Analysis - Simulation and Hazard Mitigation, RISK08"</f>
        <v>Risk Analysis 2008: Risk Analysis - Simulation and Hazard Mitigation, RISK08</v>
      </c>
      <c r="B18376" s="8" t="str">
        <f>"9781845641047"</f>
        <v>9781845641047</v>
      </c>
      <c r="C18376" s="8" t="s">
        <v>1641</v>
      </c>
    </row>
    <row r="18377" spans="1:3" x14ac:dyDescent="0.25">
      <c r="A18377" s="8" t="str">
        <f>"Risk and Variability in Geotechnical Engineering: The Institution of Civil Engineers"</f>
        <v>Risk and Variability in Geotechnical Engineering: The Institution of Civil Engineers</v>
      </c>
      <c r="B18377" s="8" t="str">
        <f>"9780727734860"</f>
        <v>9780727734860</v>
      </c>
      <c r="C18377" s="8" t="s">
        <v>1266</v>
      </c>
    </row>
    <row r="18378" spans="1:3" x14ac:dyDescent="0.25">
      <c r="A18378" s="8" t="str">
        <f>"RISK21 - Coping with Risks Due to Natural Hazards in the 21st Century - Proceedings of the RISK21 Workshop"</f>
        <v>RISK21 - Coping with Risks Due to Natural Hazards in the 21st Century - Proceedings of the RISK21 Workshop</v>
      </c>
      <c r="B18378" s="8" t="str">
        <f>"9780415401722"</f>
        <v>9780415401722</v>
      </c>
      <c r="C18378" s="8" t="s">
        <v>1619</v>
      </c>
    </row>
    <row r="18379" spans="1:3" x14ac:dyDescent="0.25">
      <c r="A18379" s="8" t="str">
        <f>"Risk-Based Decisionmaking in Water Resources IX"</f>
        <v>Risk-Based Decisionmaking in Water Resources IX</v>
      </c>
      <c r="B18379" s="8" t="str">
        <f>"9780784405772"</f>
        <v>9780784405772</v>
      </c>
      <c r="C18379" s="8" t="s">
        <v>111</v>
      </c>
    </row>
    <row r="18380" spans="1:3" x14ac:dyDescent="0.25">
      <c r="A18380" s="8" t="str">
        <f>"Risk-Based Decisionmaking in Water Resources X"</f>
        <v>Risk-Based Decisionmaking in Water Resources X</v>
      </c>
      <c r="B18380" s="8" t="str">
        <f>"9780784406946"</f>
        <v>9780784406946</v>
      </c>
      <c r="C18380" s="8" t="s">
        <v>111</v>
      </c>
    </row>
    <row r="18381" spans="1:3" x14ac:dyDescent="0.25">
      <c r="A18381" s="8" t="str">
        <f>"Risks Challenging Publics, Scientists and Governments - Selected and Revised Papers from the Annual Meeting of the Society for Risk Analysis-Europe"</f>
        <v>Risks Challenging Publics, Scientists and Governments - Selected and Revised Papers from the Annual Meeting of the Society for Risk Analysis-Europe</v>
      </c>
      <c r="B18381" s="8" t="str">
        <f>"9780415580724"</f>
        <v>9780415580724</v>
      </c>
      <c r="C18381" s="8" t="s">
        <v>1637</v>
      </c>
    </row>
    <row r="18382" spans="1:3" x14ac:dyDescent="0.25">
      <c r="A18382" s="8" t="str">
        <f>"River Basin Research and Planning Approach - Proceedings of International Symposium of HAI Basin Integrated Water and Environment Management"</f>
        <v>River Basin Research and Planning Approach - Proceedings of International Symposium of HAI Basin Integrated Water and Environment Management</v>
      </c>
      <c r="B18382" s="8" t="str">
        <f>"9780980605716"</f>
        <v>9780980605716</v>
      </c>
      <c r="C18382" s="8" t="s">
        <v>1647</v>
      </c>
    </row>
    <row r="18383" spans="1:3" x14ac:dyDescent="0.25">
      <c r="A18383" s="8" t="str">
        <f>"River Flow 2012 - Proceedings of the International Conference on Fluvial Hydraulics"</f>
        <v>River Flow 2012 - Proceedings of the International Conference on Fluvial Hydraulics</v>
      </c>
      <c r="B18383" s="8" t="str">
        <f>"-"</f>
        <v>-</v>
      </c>
      <c r="C18383" s="8" t="s">
        <v>1619</v>
      </c>
    </row>
    <row r="18384" spans="1:3" x14ac:dyDescent="0.25">
      <c r="A18384" s="8" t="str">
        <f>"River, Coastal and Estuarine Morphodynamics: RCEM 2005 - Proceedings of the 4th IAHR Symposium on River, Coastal and Estuarine Morphodynamics"</f>
        <v>River, Coastal and Estuarine Morphodynamics: RCEM 2005 - Proceedings of the 4th IAHR Symposium on River, Coastal and Estuarine Morphodynamics</v>
      </c>
      <c r="B18384" s="8" t="str">
        <f>"-"</f>
        <v>-</v>
      </c>
      <c r="C18384" s="8" t="s">
        <v>1619</v>
      </c>
    </row>
    <row r="18385" spans="1:3" x14ac:dyDescent="0.25">
      <c r="A18385" s="8" t="str">
        <f>"River, Coastal and Estuarine Morphodynamics: RCEM 2007 - Proceedings of the 5th IAHR Symposium on River, Coastal and Estuarine Morphodynamics"</f>
        <v>River, Coastal and Estuarine Morphodynamics: RCEM 2007 - Proceedings of the 5th IAHR Symposium on River, Coastal and Estuarine Morphodynamics</v>
      </c>
      <c r="B18385" s="8" t="str">
        <f>"-"</f>
        <v>-</v>
      </c>
      <c r="C18385" s="8" t="s">
        <v>1619</v>
      </c>
    </row>
    <row r="18386" spans="1:3" x14ac:dyDescent="0.25">
      <c r="A18386" s="8" t="str">
        <f>"RIVF 2008 - 2008 IEEE International Conference on Research, Innovation and Vision for the Future in Computing and Communication Technologies"</f>
        <v>RIVF 2008 - 2008 IEEE International Conference on Research, Innovation and Vision for the Future in Computing and Communication Technologies</v>
      </c>
      <c r="B18386" s="8" t="str">
        <f>"9781424423798"</f>
        <v>9781424423798</v>
      </c>
      <c r="C18386" s="8" t="s">
        <v>9</v>
      </c>
    </row>
    <row r="18387" spans="1:3" x14ac:dyDescent="0.25">
      <c r="A18387" s="8" t="str">
        <f>"Robotics 2000"</f>
        <v>Robotics 2000</v>
      </c>
      <c r="B18387" s="8" t="str">
        <f>"9780784404768"</f>
        <v>9780784404768</v>
      </c>
      <c r="C18387" s="8" t="s">
        <v>111</v>
      </c>
    </row>
    <row r="18388" spans="1:3" x14ac:dyDescent="0.25">
      <c r="A18388" s="8" t="str">
        <f>"Robotics, Automation, Control and Manufacturing: Trends, Principles and Applications - Proceedings of the 5th Biannual World Automation Congress, WAC 2002, ISORA 2002, ISIAC 2002 and ISOMA 2002"</f>
        <v>Robotics, Automation, Control and Manufacturing: Trends, Principles and Applications - Proceedings of the 5th Biannual World Automation Congress, WAC 2002, ISORA 2002, ISIAC 2002 and ISOMA 2002</v>
      </c>
      <c r="B18388" s="8" t="str">
        <f>"9781889335193"</f>
        <v>9781889335193</v>
      </c>
      <c r="C18388" s="8" t="s">
        <v>9</v>
      </c>
    </row>
    <row r="18389" spans="1:3" x14ac:dyDescent="0.25">
      <c r="A18389" s="8" t="str">
        <f>"Robotics: Trends, Principles, and Applications - Proceedings of the Sixth Biannual World Automation Congress, WAC"</f>
        <v>Robotics: Trends, Principles, and Applications - Proceedings of the Sixth Biannual World Automation Congress, WAC</v>
      </c>
      <c r="B18389" s="8" t="str">
        <f>"9781889335216"</f>
        <v>9781889335216</v>
      </c>
      <c r="C18389" s="8" t="s">
        <v>1899</v>
      </c>
    </row>
    <row r="18390" spans="1:3" x14ac:dyDescent="0.25">
      <c r="A18390" s="8" t="str">
        <f>"Rock Characterisation, Modelling and Engineering Design Methods - Proceedings of the 3rd ISRM SINOROCK 2013 Symposium"</f>
        <v>Rock Characterisation, Modelling and Engineering Design Methods - Proceedings of the 3rd ISRM SINOROCK 2013 Symposium</v>
      </c>
      <c r="B18390" s="8" t="str">
        <f>"9781138000575"</f>
        <v>9781138000575</v>
      </c>
      <c r="C18390" s="8" t="s">
        <v>1619</v>
      </c>
    </row>
    <row r="18391" spans="1:3" x14ac:dyDescent="0.25">
      <c r="A18391" s="8" t="str">
        <f>"Rock Dynamics and Applications - State of the Art: Proceedings of the 1st International Conference on Rock Dynamics and Applications, RocDyn-1 2013"</f>
        <v>Rock Dynamics and Applications - State of the Art: Proceedings of the 1st International Conference on Rock Dynamics and Applications, RocDyn-1 2013</v>
      </c>
      <c r="B18391" s="8" t="str">
        <f>"9781138000568"</f>
        <v>9781138000568</v>
      </c>
      <c r="C18391" s="8" t="s">
        <v>1619</v>
      </c>
    </row>
    <row r="18392" spans="1:3" x14ac:dyDescent="0.25">
      <c r="A18392" s="8" t="str">
        <f>"Rock Engineering and Rock Mechanics: Structures in and on Rock Masses - Proceedings of EUROCK 2014, ISRM European Regional Symposium"</f>
        <v>Rock Engineering and Rock Mechanics: Structures in and on Rock Masses - Proceedings of EUROCK 2014, ISRM European Regional Symposium</v>
      </c>
      <c r="B18392" s="8" t="str">
        <f>"9781138001497"</f>
        <v>9781138001497</v>
      </c>
      <c r="C18392" s="8" t="s">
        <v>1619</v>
      </c>
    </row>
    <row r="18393" spans="1:3" x14ac:dyDescent="0.25">
      <c r="A18393" s="8" t="str">
        <f>"Rock Engineering in Difficult Ground Conditions - Soft Rocks and Karst - Proceedings of the Regional Symposium of the International Society for Rock Mechanics, EUROCK 2009"</f>
        <v>Rock Engineering in Difficult Ground Conditions - Soft Rocks and Karst - Proceedings of the Regional Symposium of the International Society for Rock Mechanics, EUROCK 2009</v>
      </c>
      <c r="B18393" s="8" t="str">
        <f>"9780415804813"</f>
        <v>9780415804813</v>
      </c>
      <c r="C18393" s="8" t="s">
        <v>1637</v>
      </c>
    </row>
    <row r="18394" spans="1:3" x14ac:dyDescent="0.25">
      <c r="A18394" s="8" t="str">
        <f>"Rock Fragmentation by Blasting - Proceedings of the 9th International Symposium on Rock Fragmentation by Blasting, FRAGBLAST 9"</f>
        <v>Rock Fragmentation by Blasting - Proceedings of the 9th International Symposium on Rock Fragmentation by Blasting, FRAGBLAST 9</v>
      </c>
      <c r="B18394" s="8" t="str">
        <f>"9780415482967"</f>
        <v>9780415482967</v>
      </c>
      <c r="C18394" s="8" t="s">
        <v>1637</v>
      </c>
    </row>
    <row r="18395" spans="1:3" x14ac:dyDescent="0.25">
      <c r="A18395" s="8" t="str">
        <f>"Rock Fragmentation by Blasting, FRAGBLAST 10 - Proceedings of the 10th International Symposium on Rock Fragmentation by Blasting"</f>
        <v>Rock Fragmentation by Blasting, FRAGBLAST 10 - Proceedings of the 10th International Symposium on Rock Fragmentation by Blasting</v>
      </c>
      <c r="B18395" s="8" t="str">
        <f>"9780415621434"</f>
        <v>9780415621434</v>
      </c>
      <c r="C18395" s="8" t="s">
        <v>1635</v>
      </c>
    </row>
    <row r="18396" spans="1:3" x14ac:dyDescent="0.25">
      <c r="A18396" s="8" t="str">
        <f>"Rock Mechanics in Civil and Environmental Engineering - Proceedings of the European Rock Mechanics Symposium, EUROCK 2010"</f>
        <v>Rock Mechanics in Civil and Environmental Engineering - Proceedings of the European Rock Mechanics Symposium, EUROCK 2010</v>
      </c>
      <c r="B18396" s="8" t="str">
        <f>"9780415586542"</f>
        <v>9780415586542</v>
      </c>
      <c r="C18396" s="8" t="s">
        <v>1619</v>
      </c>
    </row>
    <row r="18397" spans="1:3" x14ac:dyDescent="0.25">
      <c r="A18397" s="8" t="str">
        <f>"Rock Mechanics: Achievements and Ambitions - Proceedings of the 2nd ISRM International Young Scholars' Symposium on Rock Mechanics"</f>
        <v>Rock Mechanics: Achievements and Ambitions - Proceedings of the 2nd ISRM International Young Scholars' Symposium on Rock Mechanics</v>
      </c>
      <c r="B18397" s="8" t="str">
        <f>"9780415620802"</f>
        <v>9780415620802</v>
      </c>
      <c r="C18397" s="8" t="s">
        <v>96</v>
      </c>
    </row>
    <row r="18398" spans="1:3" x14ac:dyDescent="0.25">
      <c r="A18398" s="8" t="str">
        <f>"Rock Stress and Earthquakes - Proceedings of the 5th International Symposium on In-Situ Rock Stress"</f>
        <v>Rock Stress and Earthquakes - Proceedings of the 5th International Symposium on In-Situ Rock Stress</v>
      </c>
      <c r="B18398" s="8" t="str">
        <f>"9780415601658"</f>
        <v>9780415601658</v>
      </c>
      <c r="C18398" s="8" t="s">
        <v>1619</v>
      </c>
    </row>
    <row r="18399" spans="1:3" x14ac:dyDescent="0.25">
      <c r="A18399" s="8" t="str">
        <f>"Role of Cement Science in Sustainable Development - Proceedings of the International Symposium - Celebrating Concrete: People and Practice"</f>
        <v>Role of Cement Science in Sustainable Development - Proceedings of the International Symposium - Celebrating Concrete: People and Practice</v>
      </c>
      <c r="B18399" s="8" t="str">
        <f>"9780727732460"</f>
        <v>9780727732460</v>
      </c>
      <c r="C18399" s="8" t="s">
        <v>74</v>
      </c>
    </row>
    <row r="18400" spans="1:3" x14ac:dyDescent="0.25">
      <c r="A18400" s="8" t="str">
        <f>"Role of Cement Science in Sustainable Development - Proceedings of the International Symposium dedicated to Professor Fred Glasser, University of Aberdeen, Scotland"</f>
        <v>Role of Cement Science in Sustainable Development - Proceedings of the International Symposium dedicated to Professor Fred Glasser, University of Aberdeen, Scotland</v>
      </c>
      <c r="B18400" s="8" t="str">
        <f>"9780727732460"</f>
        <v>9780727732460</v>
      </c>
      <c r="C18400" s="8" t="s">
        <v>74</v>
      </c>
    </row>
    <row r="18401" spans="1:3" x14ac:dyDescent="0.25">
      <c r="A18401" s="8" t="str">
        <f>"Role of Concrete Bridges in Sustainable Development - Proceedings of the International Symposium - Celebrating Concrete: People and Practice"</f>
        <v>Role of Concrete Bridges in Sustainable Development - Proceedings of the International Symposium - Celebrating Concrete: People and Practice</v>
      </c>
      <c r="B18401" s="8" t="str">
        <f>"9780727732484"</f>
        <v>9780727732484</v>
      </c>
      <c r="C18401" s="8" t="s">
        <v>74</v>
      </c>
    </row>
    <row r="18402" spans="1:3" x14ac:dyDescent="0.25">
      <c r="A18402" s="8" t="str">
        <f>"Roots for the Future of Ambient Intelligence - Adjunct Proceedings, 3rd European Conference on Ambient Intelligence, AmI 2009"</f>
        <v>Roots for the Future of Ambient Intelligence - Adjunct Proceedings, 3rd European Conference on Ambient Intelligence, AmI 2009</v>
      </c>
      <c r="B18402" s="8" t="str">
        <f>"-"</f>
        <v>-</v>
      </c>
      <c r="C18402" s="8" t="s">
        <v>2302</v>
      </c>
    </row>
    <row r="18403" spans="1:3" x14ac:dyDescent="0.25">
      <c r="A18403" s="8" t="str">
        <f>"ROSE 2003 - 1st IEEE International Workshop on Robotic Sensing 2003: Sensing and Perception in 21st Century Robotics"</f>
        <v>ROSE 2003 - 1st IEEE International Workshop on Robotic Sensing 2003: Sensing and Perception in 21st Century Robotics</v>
      </c>
      <c r="B18403" s="8" t="str">
        <f>"9780780381094"</f>
        <v>9780780381094</v>
      </c>
      <c r="C18403" s="8" t="s">
        <v>105</v>
      </c>
    </row>
    <row r="18404" spans="1:3" x14ac:dyDescent="0.25">
      <c r="A18404" s="8" t="str">
        <f>"ROSE 2007 - International Workshop on Robotic and Sensor Environments, Proceedings"</f>
        <v>ROSE 2007 - International Workshop on Robotic and Sensor Environments, Proceedings</v>
      </c>
      <c r="B18404" s="8" t="str">
        <f>"9781424415274"</f>
        <v>9781424415274</v>
      </c>
      <c r="C18404" s="8" t="s">
        <v>9</v>
      </c>
    </row>
    <row r="18405" spans="1:3" x14ac:dyDescent="0.25">
      <c r="A18405" s="8" t="str">
        <f>"ROSE 2008 - IEEE International Workshop on Robotic and Sensors Environments Proceedings"</f>
        <v>ROSE 2008 - IEEE International Workshop on Robotic and Sensors Environments Proceedings</v>
      </c>
      <c r="B18405" s="8" t="str">
        <f>"9781424425952"</f>
        <v>9781424425952</v>
      </c>
      <c r="C18405" s="8" t="s">
        <v>9</v>
      </c>
    </row>
    <row r="18406" spans="1:3" x14ac:dyDescent="0.25">
      <c r="A18406" s="8" t="str">
        <f>"ROSE 2010 - 2010 IEEE International Workshop on Robotic and Sensors Environments, Proceedings"</f>
        <v>ROSE 2010 - 2010 IEEE International Workshop on Robotic and Sensors Environments, Proceedings</v>
      </c>
      <c r="B18406" s="8" t="str">
        <f>"9781424471461"</f>
        <v>9781424471461</v>
      </c>
      <c r="C18406" s="8" t="s">
        <v>9</v>
      </c>
    </row>
    <row r="18407" spans="1:3" x14ac:dyDescent="0.25">
      <c r="A18407" s="8" t="str">
        <f>"ROSE 2011 - IEEE International Symposium on Robotic and Sensors Environments, Proceedings"</f>
        <v>ROSE 2011 - IEEE International Symposium on Robotic and Sensors Environments, Proceedings</v>
      </c>
      <c r="B18407" s="8" t="str">
        <f>"-"</f>
        <v>-</v>
      </c>
      <c r="C18407" s="8" t="s">
        <v>9</v>
      </c>
    </row>
    <row r="18408" spans="1:3" x14ac:dyDescent="0.25">
      <c r="A18408" s="8" t="str">
        <f>"ROSE 2013 - 2013 IEEE International Symposium on Robotic and Sensors Environments, Proceedings"</f>
        <v>ROSE 2013 - 2013 IEEE International Symposium on Robotic and Sensors Environments, Proceedings</v>
      </c>
      <c r="B18408" s="8" t="str">
        <f>"9781467329385"</f>
        <v>9781467329385</v>
      </c>
      <c r="C18408" s="8" t="s">
        <v>9</v>
      </c>
    </row>
    <row r="18409" spans="1:3" x14ac:dyDescent="0.25">
      <c r="A18409" s="8" t="str">
        <f>"ROSE 2014 - 2014 IEEE International Symposium on RObotic and SEnsors Environments, Proceedings"</f>
        <v>ROSE 2014 - 2014 IEEE International Symposium on RObotic and SEnsors Environments, Proceedings</v>
      </c>
      <c r="B18409" s="8" t="str">
        <f>"9781479949274"</f>
        <v>9781479949274</v>
      </c>
      <c r="C18409" s="8" t="s">
        <v>105</v>
      </c>
    </row>
    <row r="18410" spans="1:3" x14ac:dyDescent="0.25">
      <c r="A18410" s="8" t="s">
        <v>2303</v>
      </c>
      <c r="B18410" s="8" t="str">
        <f>"-"</f>
        <v>-</v>
      </c>
      <c r="C18410" s="8" t="s">
        <v>132</v>
      </c>
    </row>
    <row r="18411" spans="1:3" x14ac:dyDescent="0.25">
      <c r="A18411" s="8" t="str">
        <f>"Royal Institution of Naval Architects - 8th Symposium on High Speed Marine Vehicles, HSMV 2008"</f>
        <v>Royal Institution of Naval Architects - 8th Symposium on High Speed Marine Vehicles, HSMV 2008</v>
      </c>
      <c r="B18411" s="8" t="str">
        <f>"9781605604602"</f>
        <v>9781605604602</v>
      </c>
      <c r="C18411" s="8" t="s">
        <v>1137</v>
      </c>
    </row>
    <row r="18412" spans="1:3" x14ac:dyDescent="0.25">
      <c r="A18412" s="8" t="str">
        <f>"Royal Institution of Naval Architects - International Maritime Conference, Pacific 2008"</f>
        <v>Royal Institution of Naval Architects - International Maritime Conference, Pacific 2008</v>
      </c>
      <c r="B18412" s="8" t="str">
        <f>"9781605604596"</f>
        <v>9781605604596</v>
      </c>
      <c r="C18412" s="8" t="s">
        <v>1137</v>
      </c>
    </row>
    <row r="18413" spans="1:3" x14ac:dyDescent="0.25">
      <c r="A18413" s="8" t="str">
        <f>"RPC 2010 - 1st Russia and Pacific Conference on Computer Technology and Applications"</f>
        <v>RPC 2010 - 1st Russia and Pacific Conference on Computer Technology and Applications</v>
      </c>
      <c r="B18413" s="8" t="str">
        <f>"-"</f>
        <v>-</v>
      </c>
      <c r="C18413" s="8" t="s">
        <v>2304</v>
      </c>
    </row>
    <row r="18414" spans="1:3" x14ac:dyDescent="0.25">
      <c r="A18414" s="8" t="str">
        <f>"RQD 2014 - Proceedings - 20th ISSAT International Conference Reliability and Quality in Design"</f>
        <v>RQD 2014 - Proceedings - 20th ISSAT International Conference Reliability and Quality in Design</v>
      </c>
      <c r="B18414" s="8" t="str">
        <f>"9780991057603"</f>
        <v>9780991057603</v>
      </c>
      <c r="C18414" s="8" t="s">
        <v>1339</v>
      </c>
    </row>
    <row r="18415" spans="1:3" x14ac:dyDescent="0.25">
      <c r="A18415" s="8" t="str">
        <f>"RSWeb'12 - Proceedings of the 4th ACM RecSys Workshop on Recommender Systems and the Social Web"</f>
        <v>RSWeb'12 - Proceedings of the 4th ACM RecSys Workshop on Recommender Systems and the Social Web</v>
      </c>
      <c r="B18415" s="8" t="str">
        <f>"9781450316385"</f>
        <v>9781450316385</v>
      </c>
      <c r="C18415" s="8" t="s">
        <v>21</v>
      </c>
    </row>
    <row r="18416" spans="1:3" x14ac:dyDescent="0.25">
      <c r="A18416" s="8" t="str">
        <f>"RT'06: IEEE Symposium on Interactive Ray Tracing 2006, Proceedings"</f>
        <v>RT'06: IEEE Symposium on Interactive Ray Tracing 2006, Proceedings</v>
      </c>
      <c r="B18416" s="8" t="str">
        <f>"9781424406937"</f>
        <v>9781424406937</v>
      </c>
      <c r="C18416" s="8" t="s">
        <v>105</v>
      </c>
    </row>
    <row r="18417" spans="1:3" x14ac:dyDescent="0.25">
      <c r="A18417" s="8" t="str">
        <f>"RT'08 - IEEE/EG Symposium on Interactive Ray Tracing 2008, Proceedings"</f>
        <v>RT'08 - IEEE/EG Symposium on Interactive Ray Tracing 2008, Proceedings</v>
      </c>
      <c r="B18417" s="8" t="str">
        <f>"9781424427413"</f>
        <v>9781424427413</v>
      </c>
      <c r="C18417" s="8" t="s">
        <v>9</v>
      </c>
    </row>
    <row r="18418" spans="1:3" x14ac:dyDescent="0.25">
      <c r="A18418" s="8" t="str">
        <f>"RTCSA 2014 - 20th IEEE International Conference on Embedded and Real-Time Computing Systems and Applications"</f>
        <v>RTCSA 2014 - 20th IEEE International Conference on Embedded and Real-Time Computing Systems and Applications</v>
      </c>
      <c r="B18418" s="8" t="str">
        <f>"9781479939534"</f>
        <v>9781479939534</v>
      </c>
      <c r="C18418" s="8" t="s">
        <v>105</v>
      </c>
    </row>
    <row r="18419" spans="1:3" x14ac:dyDescent="0.25">
      <c r="A18419" s="8" t="str">
        <f>"RuPAC 2006 Contributions to the Proceedings - 20th Russian Conference on Charged Particle Accelerators"</f>
        <v>RuPAC 2006 Contributions to the Proceedings - 20th Russian Conference on Charged Particle Accelerators</v>
      </c>
      <c r="B18419" s="8" t="str">
        <f>"-"</f>
        <v>-</v>
      </c>
      <c r="C18419" s="8" t="s">
        <v>1359</v>
      </c>
    </row>
    <row r="18420" spans="1:3" x14ac:dyDescent="0.25">
      <c r="A18420" s="8" t="str">
        <f>"RuPAC 2008 Contributions to the Proceedings - 21st Russian Particle Accelerator Conference"</f>
        <v>RuPAC 2008 Contributions to the Proceedings - 21st Russian Particle Accelerator Conference</v>
      </c>
      <c r="B18420" s="8" t="str">
        <f>"-"</f>
        <v>-</v>
      </c>
      <c r="C18420" s="8" t="s">
        <v>1359</v>
      </c>
    </row>
    <row r="18421" spans="1:3" x14ac:dyDescent="0.25">
      <c r="A18421" s="8" t="str">
        <f>"RuPAC 2010 Contributions to the Proceedings - 22nd Russian Particle Accelerator Conference"</f>
        <v>RuPAC 2010 Contributions to the Proceedings - 22nd Russian Particle Accelerator Conference</v>
      </c>
      <c r="B18421" s="8" t="str">
        <f>"-"</f>
        <v>-</v>
      </c>
      <c r="C18421" s="8" t="s">
        <v>1359</v>
      </c>
    </row>
    <row r="18422" spans="1:3" x14ac:dyDescent="0.25">
      <c r="A18422" s="8" t="str">
        <f>"RuPAC 2012 Contributions to the Proceedings - 23rd Russian Particle Accelerator Conference"</f>
        <v>RuPAC 2012 Contributions to the Proceedings - 23rd Russian Particle Accelerator Conference</v>
      </c>
      <c r="B18422" s="8" t="str">
        <f>"-"</f>
        <v>-</v>
      </c>
      <c r="C18422" s="8" t="s">
        <v>1359</v>
      </c>
    </row>
    <row r="18423" spans="1:3" x14ac:dyDescent="0.25">
      <c r="A18423" s="8" t="str">
        <f>"Rural Water and Engineering Development in Africa: Proceedings of the 13th WEDC Conference"</f>
        <v>Rural Water and Engineering Development in Africa: Proceedings of the 13th WEDC Conference</v>
      </c>
      <c r="B18423" s="8" t="str">
        <f>"-"</f>
        <v>-</v>
      </c>
      <c r="C18423" s="8" t="s">
        <v>1486</v>
      </c>
    </row>
    <row r="18424" spans="1:3" x14ac:dyDescent="0.25">
      <c r="A18424" s="8" t="str">
        <f>"RWS 2009 IEEE Radio and Wireless Symposium, Proceedings"</f>
        <v>RWS 2009 IEEE Radio and Wireless Symposium, Proceedings</v>
      </c>
      <c r="B18424" s="8" t="str">
        <f>"9781424426997"</f>
        <v>9781424426997</v>
      </c>
      <c r="C18424" s="8" t="s">
        <v>9</v>
      </c>
    </row>
    <row r="18425" spans="1:3" x14ac:dyDescent="0.25">
      <c r="A18425" s="8" t="str">
        <f>"RWW 2012 - Proceedings of the 2012 IEEE Topical Conference on Wireless Sensors and Sensor Networks, WiSNet 2012"</f>
        <v>RWW 2012 - Proceedings of the 2012 IEEE Topical Conference on Wireless Sensors and Sensor Networks, WiSNet 2012</v>
      </c>
      <c r="B18425" s="8" t="str">
        <f>"9781457711541"</f>
        <v>9781457711541</v>
      </c>
      <c r="C18425" s="8" t="s">
        <v>9</v>
      </c>
    </row>
    <row r="18426" spans="1:3" x14ac:dyDescent="0.25">
      <c r="A18426" s="8" t="str">
        <f>"RWW 2012 - Proceedings: 2012 IEEE Topical Conference on Biomedical Wireless Technologies, Networks, and Sensing Systems, BioWireleSS 2012"</f>
        <v>RWW 2012 - Proceedings: 2012 IEEE Topical Conference on Biomedical Wireless Technologies, Networks, and Sensing Systems, BioWireleSS 2012</v>
      </c>
      <c r="B18426" s="8" t="str">
        <f>"9781457711541"</f>
        <v>9781457711541</v>
      </c>
      <c r="C18426" s="8" t="s">
        <v>9</v>
      </c>
    </row>
    <row r="18427" spans="1:3" x14ac:dyDescent="0.25">
      <c r="A18427" s="8" t="str">
        <f>"RWW 2012 - Proceedings: 2012 IEEE Topical Conference on Power Amplifiers for Wireless and Radio Applications, PAWR 2012"</f>
        <v>RWW 2012 - Proceedings: 2012 IEEE Topical Conference on Power Amplifiers for Wireless and Radio Applications, PAWR 2012</v>
      </c>
      <c r="B18427" s="8" t="str">
        <f>"9781457711541"</f>
        <v>9781457711541</v>
      </c>
      <c r="C18427" s="8" t="s">
        <v>9</v>
      </c>
    </row>
    <row r="18428" spans="1:3" x14ac:dyDescent="0.25">
      <c r="A18428" s="8" t="str">
        <f>"RWW 2012 - Proceedings: IEEE Radio and Wireless Symposium, RWS 2012"</f>
        <v>RWW 2012 - Proceedings: IEEE Radio and Wireless Symposium, RWS 2012</v>
      </c>
      <c r="B18428" s="8" t="str">
        <f>"9781457711541"</f>
        <v>9781457711541</v>
      </c>
      <c r="C18428" s="8" t="s">
        <v>9</v>
      </c>
    </row>
    <row r="18429" spans="1:3" x14ac:dyDescent="0.25">
      <c r="A18429" s="8" t="str">
        <f>"S3 2014 - Proceedings of the 6th ACM MobiCom Workshop on Wireless of the Students, by the Students, for the Students"</f>
        <v>S3 2014 - Proceedings of the 6th ACM MobiCom Workshop on Wireless of the Students, by the Students, for the Students</v>
      </c>
      <c r="B18429" s="8" t="str">
        <f>"9781450330732"</f>
        <v>9781450330732</v>
      </c>
      <c r="C18429" s="8" t="s">
        <v>1235</v>
      </c>
    </row>
    <row r="18430" spans="1:3" x14ac:dyDescent="0.25">
      <c r="A18430" s="8" t="str">
        <f>"SACI 2007: 4th International Symposium on Applied Computational Intelligence and Informatics - Proceedings"</f>
        <v>SACI 2007: 4th International Symposium on Applied Computational Intelligence and Informatics - Proceedings</v>
      </c>
      <c r="B18430" s="8" t="str">
        <f>"9781424412341"</f>
        <v>9781424412341</v>
      </c>
      <c r="C18430" s="8" t="s">
        <v>9</v>
      </c>
    </row>
    <row r="18431" spans="1:3" x14ac:dyDescent="0.25">
      <c r="A18431" s="8" t="str">
        <f>"SACI 2011 - 6th IEEE International Symposium on Applied Computational Intelligence and Informatics, Proceedings"</f>
        <v>SACI 2011 - 6th IEEE International Symposium on Applied Computational Intelligence and Informatics, Proceedings</v>
      </c>
      <c r="B18431" s="8" t="str">
        <f>"9781424491094"</f>
        <v>9781424491094</v>
      </c>
      <c r="C18431" s="8" t="s">
        <v>9</v>
      </c>
    </row>
    <row r="18432" spans="1:3" x14ac:dyDescent="0.25">
      <c r="A18432" s="8" t="str">
        <f>"SACI 2012 - 7th IEEE International Symposium on Applied Computational Intelligence and Informatics, Proceedings"</f>
        <v>SACI 2012 - 7th IEEE International Symposium on Applied Computational Intelligence and Informatics, Proceedings</v>
      </c>
      <c r="B18432" s="8" t="str">
        <f>"9781467310116"</f>
        <v>9781467310116</v>
      </c>
      <c r="C18432" s="8" t="s">
        <v>9</v>
      </c>
    </row>
    <row r="18433" spans="1:3" x14ac:dyDescent="0.25">
      <c r="A18433" s="8" t="str">
        <f>"SACI 2013 - 8th IEEE International Symposium on Applied Computational Intelligence and Informatics, Proceedings"</f>
        <v>SACI 2013 - 8th IEEE International Symposium on Applied Computational Intelligence and Informatics, Proceedings</v>
      </c>
      <c r="B18433" s="8" t="str">
        <f>"9781467364003"</f>
        <v>9781467364003</v>
      </c>
      <c r="C18433" s="8" t="s">
        <v>9</v>
      </c>
    </row>
    <row r="18434" spans="1:3" x14ac:dyDescent="0.25">
      <c r="A18434" s="8" t="str">
        <f>"SAE 2003 Noise and Vibration Conference and Exhibition, NVC 2003"</f>
        <v>SAE 2003 Noise and Vibration Conference and Exhibition, NVC 2003</v>
      </c>
      <c r="B18434" s="8" t="str">
        <f t="shared" ref="B18434:B18448" si="37">"-"</f>
        <v>-</v>
      </c>
      <c r="C18434" s="8" t="s">
        <v>1040</v>
      </c>
    </row>
    <row r="18435" spans="1:3" x14ac:dyDescent="0.25">
      <c r="A18435" s="8" t="str">
        <f>"SAE 2004 Aerospace Manufacturing and Automated Fastening Conference and Exhibition"</f>
        <v>SAE 2004 Aerospace Manufacturing and Automated Fastening Conference and Exhibition</v>
      </c>
      <c r="B18435" s="8" t="str">
        <f t="shared" si="37"/>
        <v>-</v>
      </c>
      <c r="C18435" s="8" t="s">
        <v>1040</v>
      </c>
    </row>
    <row r="18436" spans="1:3" x14ac:dyDescent="0.25">
      <c r="A18436" s="8" t="str">
        <f>"SAE 2005 Noise and Vibration Conference and Exhibition"</f>
        <v>SAE 2005 Noise and Vibration Conference and Exhibition</v>
      </c>
      <c r="B18436" s="8" t="str">
        <f t="shared" si="37"/>
        <v>-</v>
      </c>
      <c r="C18436" s="8" t="s">
        <v>1040</v>
      </c>
    </row>
    <row r="18437" spans="1:3" x14ac:dyDescent="0.25">
      <c r="A18437" s="8" t="str">
        <f>"SAE 2006 Automotive Dynamics, Stability and Controls Conference and Exhibition"</f>
        <v>SAE 2006 Automotive Dynamics, Stability and Controls Conference and Exhibition</v>
      </c>
      <c r="B18437" s="8" t="str">
        <f t="shared" si="37"/>
        <v>-</v>
      </c>
      <c r="C18437" s="8" t="s">
        <v>1040</v>
      </c>
    </row>
    <row r="18438" spans="1:3" x14ac:dyDescent="0.25">
      <c r="A18438" s="8" t="str">
        <f>"SAE 2007 Noise and Vibration Conference and Exhibition"</f>
        <v>SAE 2007 Noise and Vibration Conference and Exhibition</v>
      </c>
      <c r="B18438" s="8" t="str">
        <f t="shared" si="37"/>
        <v>-</v>
      </c>
      <c r="C18438" s="8" t="s">
        <v>1040</v>
      </c>
    </row>
    <row r="18439" spans="1:3" x14ac:dyDescent="0.25">
      <c r="A18439" s="8" t="str">
        <f>"SAE 2009 AeroTech Congress and Exhibition"</f>
        <v>SAE 2009 AeroTech Congress and Exhibition</v>
      </c>
      <c r="B18439" s="8" t="str">
        <f t="shared" si="37"/>
        <v>-</v>
      </c>
      <c r="C18439" s="8" t="s">
        <v>1040</v>
      </c>
    </row>
    <row r="18440" spans="1:3" x14ac:dyDescent="0.25">
      <c r="A18440" s="8" t="str">
        <f>"SAE 2009 Brake Colloquium and Exhibition, BRAKE"</f>
        <v>SAE 2009 Brake Colloquium and Exhibition, BRAKE</v>
      </c>
      <c r="B18440" s="8" t="str">
        <f t="shared" si="37"/>
        <v>-</v>
      </c>
      <c r="C18440" s="8" t="s">
        <v>1040</v>
      </c>
    </row>
    <row r="18441" spans="1:3" x14ac:dyDescent="0.25">
      <c r="A18441" s="8" t="str">
        <f>"SAE 2009 Commercial Vehicle Engineering Congress and Exhibition, COMVEC"</f>
        <v>SAE 2009 Commercial Vehicle Engineering Congress and Exhibition, COMVEC</v>
      </c>
      <c r="B18441" s="8" t="str">
        <f t="shared" si="37"/>
        <v>-</v>
      </c>
      <c r="C18441" s="8" t="s">
        <v>1040</v>
      </c>
    </row>
    <row r="18442" spans="1:3" x14ac:dyDescent="0.25">
      <c r="A18442" s="8" t="str">
        <f>"SAE 2009 Digital Human Modeling for Design and Engineering Conference and Exhibition, DHMC 2009"</f>
        <v>SAE 2009 Digital Human Modeling for Design and Engineering Conference and Exhibition, DHMC 2009</v>
      </c>
      <c r="B18442" s="8" t="str">
        <f t="shared" si="37"/>
        <v>-</v>
      </c>
      <c r="C18442" s="8" t="s">
        <v>1040</v>
      </c>
    </row>
    <row r="18443" spans="1:3" x14ac:dyDescent="0.25">
      <c r="A18443" s="8" t="str">
        <f>"SAE 2009 Noise and Vibration Conference and Exhibition, NVC"</f>
        <v>SAE 2009 Noise and Vibration Conference and Exhibition, NVC</v>
      </c>
      <c r="B18443" s="8" t="str">
        <f t="shared" si="37"/>
        <v>-</v>
      </c>
      <c r="C18443" s="8" t="s">
        <v>1040</v>
      </c>
    </row>
    <row r="18444" spans="1:3" x14ac:dyDescent="0.25">
      <c r="A18444" s="8" t="str">
        <f>"SAE 2009 Powertrains Fuels and Lubricants Meeting, FFL"</f>
        <v>SAE 2009 Powertrains Fuels and Lubricants Meeting, FFL</v>
      </c>
      <c r="B18444" s="8" t="str">
        <f t="shared" si="37"/>
        <v>-</v>
      </c>
      <c r="C18444" s="8" t="s">
        <v>1040</v>
      </c>
    </row>
    <row r="18445" spans="1:3" x14ac:dyDescent="0.25">
      <c r="A18445" s="8" t="str">
        <f>"SAE 2011 World Congress and Exhibition"</f>
        <v>SAE 2011 World Congress and Exhibition</v>
      </c>
      <c r="B18445" s="8" t="str">
        <f t="shared" si="37"/>
        <v>-</v>
      </c>
      <c r="C18445" s="8" t="s">
        <v>1040</v>
      </c>
    </row>
    <row r="18446" spans="1:3" x14ac:dyDescent="0.25">
      <c r="A18446" s="8" t="str">
        <f>"SAE Advances in Aviation Safety Conference 2003 Aerospace Congress and Exhibition"</f>
        <v>SAE Advances in Aviation Safety Conference 2003 Aerospace Congress and Exhibition</v>
      </c>
      <c r="B18446" s="8" t="str">
        <f t="shared" si="37"/>
        <v>-</v>
      </c>
      <c r="C18446" s="8" t="s">
        <v>1040</v>
      </c>
    </row>
    <row r="18447" spans="1:3" x14ac:dyDescent="0.25">
      <c r="A18447" s="8" t="str">
        <f>"SAE Aerospace Automated Fastening Conference and Exhibition 2003 Aerospace Congress and Exhibition"</f>
        <v>SAE Aerospace Automated Fastening Conference and Exhibition 2003 Aerospace Congress and Exhibition</v>
      </c>
      <c r="B18447" s="8" t="str">
        <f t="shared" si="37"/>
        <v>-</v>
      </c>
      <c r="C18447" s="8" t="s">
        <v>1040</v>
      </c>
    </row>
    <row r="18448" spans="1:3" x14ac:dyDescent="0.25">
      <c r="A18448" s="8" t="str">
        <f>"SAE Aerospace Manufacturing Technology Conference and Exhibition 2003 Aerospace Congress and Exhibition"</f>
        <v>SAE Aerospace Manufacturing Technology Conference and Exhibition 2003 Aerospace Congress and Exhibition</v>
      </c>
      <c r="B18448" s="8" t="str">
        <f t="shared" si="37"/>
        <v>-</v>
      </c>
      <c r="C18448" s="8" t="s">
        <v>1040</v>
      </c>
    </row>
    <row r="18449" spans="1:3" x14ac:dyDescent="0.25">
      <c r="A18449" s="8" t="str">
        <f>"SAE Automotive Dynamics, Stability and Controls Conference and Exhibition"</f>
        <v>SAE Automotive Dynamics, Stability and Controls Conference and Exhibition</v>
      </c>
      <c r="B18449" s="8" t="str">
        <f>"9780768014778"</f>
        <v>9780768014778</v>
      </c>
      <c r="C18449" s="8" t="s">
        <v>1040</v>
      </c>
    </row>
    <row r="18450" spans="1:3" x14ac:dyDescent="0.25">
      <c r="A18450" s="8" t="str">
        <f>"SAE Digital Human Modeling for Design and Engineering Conference and Exhibition, DHMC 2008"</f>
        <v>SAE Digital Human Modeling for Design and Engineering Conference and Exhibition, DHMC 2008</v>
      </c>
      <c r="B18450" s="8" t="str">
        <f>"-"</f>
        <v>-</v>
      </c>
      <c r="C18450" s="8" t="s">
        <v>1040</v>
      </c>
    </row>
    <row r="18451" spans="1:3" x14ac:dyDescent="0.25">
      <c r="A18451" s="8" t="str">
        <f>"SAE Powertrain and Fluid Systems Conference and Exhibition"</f>
        <v>SAE Powertrain and Fluid Systems Conference and Exhibition</v>
      </c>
      <c r="B18451" s="8" t="str">
        <f>"9780768013191"</f>
        <v>9780768013191</v>
      </c>
      <c r="C18451" s="8" t="s">
        <v>1040</v>
      </c>
    </row>
    <row r="18452" spans="1:3" x14ac:dyDescent="0.25">
      <c r="A18452" s="8" t="str">
        <f>"SAE World Aviation Congress 2003 Aerospace Congress and Exhibition"</f>
        <v>SAE World Aviation Congress 2003 Aerospace Congress and Exhibition</v>
      </c>
      <c r="B18452" s="8" t="str">
        <f>"-"</f>
        <v>-</v>
      </c>
      <c r="C18452" s="8" t="s">
        <v>1040</v>
      </c>
    </row>
    <row r="18453" spans="1:3" x14ac:dyDescent="0.25">
      <c r="A18453" s="8" t="str">
        <f>"SAE World Congress and Exhibition, ANNUAL 2009"</f>
        <v>SAE World Congress and Exhibition, ANNUAL 2009</v>
      </c>
      <c r="B18453" s="8" t="str">
        <f>"-"</f>
        <v>-</v>
      </c>
      <c r="C18453" s="8" t="s">
        <v>1040</v>
      </c>
    </row>
    <row r="18454" spans="1:3" x14ac:dyDescent="0.25">
      <c r="A18454" s="8" t="str">
        <f>"Safety and Health Division 2013 - Core Programming Area at the 2013 AIChE Annual Meeting: Global Challenges for Engineering a Sustainable Future"</f>
        <v>Safety and Health Division 2013 - Core Programming Area at the 2013 AIChE Annual Meeting: Global Challenges for Engineering a Sustainable Future</v>
      </c>
      <c r="B18454" s="8" t="str">
        <f>"9781634390538"</f>
        <v>9781634390538</v>
      </c>
      <c r="C18454" s="8" t="s">
        <v>1219</v>
      </c>
    </row>
    <row r="18455" spans="1:3" x14ac:dyDescent="0.25">
      <c r="A18455" s="8" t="str">
        <f>"Safety and Health Division 2014 - Core Programming Area at the 2014 AIChE Spring Meeting and 10th Global Congress on Process Safety"</f>
        <v>Safety and Health Division 2014 - Core Programming Area at the 2014 AIChE Spring Meeting and 10th Global Congress on Process Safety</v>
      </c>
      <c r="B18455" s="8" t="str">
        <f>"9781634390781"</f>
        <v>9781634390781</v>
      </c>
      <c r="C18455" s="8" t="s">
        <v>1219</v>
      </c>
    </row>
    <row r="18456" spans="1:3" x14ac:dyDescent="0.25">
      <c r="A18456" s="8" t="str">
        <f>"Safety and Reliability for Managing Risk - Proceedings of the European Safety and Reliability Conference 2006, ESREL 2006"</f>
        <v>Safety and Reliability for Managing Risk - Proceedings of the European Safety and Reliability Conference 2006, ESREL 2006</v>
      </c>
      <c r="B18456" s="8" t="str">
        <f>"-"</f>
        <v>-</v>
      </c>
      <c r="C18456" s="8" t="s">
        <v>1520</v>
      </c>
    </row>
    <row r="18457" spans="1:3" x14ac:dyDescent="0.25">
      <c r="A18457" s="8" t="str">
        <f>"Safety Instrumented Systems for the Process Industry"</f>
        <v>Safety Instrumented Systems for the Process Industry</v>
      </c>
      <c r="B18457" s="8" t="str">
        <f>"9781556178436"</f>
        <v>9781556178436</v>
      </c>
      <c r="C18457" s="8" t="s">
        <v>1907</v>
      </c>
    </row>
    <row r="18458" spans="1:3" x14ac:dyDescent="0.25">
      <c r="A18458" s="8" t="str">
        <f>"Safety Through Design"</f>
        <v>Safety Through Design</v>
      </c>
      <c r="B18458" s="8" t="str">
        <f>"9780879122041"</f>
        <v>9780879122041</v>
      </c>
      <c r="C18458" s="8" t="s">
        <v>73</v>
      </c>
    </row>
    <row r="18459" spans="1:3" x14ac:dyDescent="0.25">
      <c r="A18459" s="8" t="str">
        <f>"Safety, Failures and Robustness of Large Structures"</f>
        <v>Safety, Failures and Robustness of Large Structures</v>
      </c>
      <c r="B18459" s="8" t="str">
        <f>"9783857481307"</f>
        <v>9783857481307</v>
      </c>
      <c r="C18459" s="8" t="s">
        <v>1686</v>
      </c>
    </row>
    <row r="18460" spans="1:3" x14ac:dyDescent="0.25">
      <c r="A18460" s="8" t="str">
        <f>"Safety, Reliability and Risk Analysis: Beyond the Horizon - Proceedings of the European Safety and Reliability Conference, ESREL 2013"</f>
        <v>Safety, Reliability and Risk Analysis: Beyond the Horizon - Proceedings of the European Safety and Reliability Conference, ESREL 2013</v>
      </c>
      <c r="B18460" s="8" t="str">
        <f>"9781138001237"</f>
        <v>9781138001237</v>
      </c>
      <c r="C18460" s="8" t="s">
        <v>1619</v>
      </c>
    </row>
    <row r="18461" spans="1:3" x14ac:dyDescent="0.25">
      <c r="A18461" s="8" t="str">
        <f>"Safety, Reliability and Risk Analysis: Theory, Methods and Applications - Proceedings of the Joint ESREL and SRA-Europe Conference"</f>
        <v>Safety, Reliability and Risk Analysis: Theory, Methods and Applications - Proceedings of the Joint ESREL and SRA-Europe Conference</v>
      </c>
      <c r="B18461" s="8" t="str">
        <f>"9780415485135"</f>
        <v>9780415485135</v>
      </c>
      <c r="C18461" s="8" t="s">
        <v>1637</v>
      </c>
    </row>
    <row r="18462" spans="1:3" x14ac:dyDescent="0.25">
      <c r="A18462" s="8" t="str">
        <f>"Safety, Reliability and Risk of Structures, Infrastructures and Engineering Systems - Proceedings of the 10th International Conference on Structural Safety and Reliability, ICOSSAR 2009"</f>
        <v>Safety, Reliability and Risk of Structures, Infrastructures and Engineering Systems - Proceedings of the 10th International Conference on Structural Safety and Reliability, ICOSSAR 2009</v>
      </c>
      <c r="B18462" s="8" t="str">
        <f>"9780415475570"</f>
        <v>9780415475570</v>
      </c>
      <c r="C18462" s="8" t="s">
        <v>1637</v>
      </c>
    </row>
    <row r="18463" spans="1:3" x14ac:dyDescent="0.25">
      <c r="A18463" s="8" t="str">
        <f>"Safety, Reliability, Risk and Life-Cycle Performance of Structures and Infrastructures - Proceedings of the 11th International Conference on Structural Safety and Reliability, ICOSSAR 2013"</f>
        <v>Safety, Reliability, Risk and Life-Cycle Performance of Structures and Infrastructures - Proceedings of the 11th International Conference on Structural Safety and Reliability, ICOSSAR 2013</v>
      </c>
      <c r="B18463" s="8" t="str">
        <f>"9781138000865"</f>
        <v>9781138000865</v>
      </c>
      <c r="C18463" s="8" t="s">
        <v>1619</v>
      </c>
    </row>
    <row r="18464" spans="1:3" x14ac:dyDescent="0.25">
      <c r="A18464" s="8" t="str">
        <f>"Safety, Robustness and Condition Assessment of Structures"</f>
        <v>Safety, Robustness and Condition Assessment of Structures</v>
      </c>
      <c r="B18464" s="8" t="str">
        <f>"-"</f>
        <v>-</v>
      </c>
      <c r="C18464" s="8" t="s">
        <v>1686</v>
      </c>
    </row>
    <row r="18465" spans="1:3" x14ac:dyDescent="0.25">
      <c r="A18465" s="8" t="str">
        <f>"Safety-Critical Systems: Problems, Process and Practice - Proceedings of the 17th Safety-Critical Systems Symposium, SSS 2009"</f>
        <v>Safety-Critical Systems: Problems, Process and Practice - Proceedings of the 17th Safety-Critical Systems Symposium, SSS 2009</v>
      </c>
      <c r="B18465" s="8" t="str">
        <f>"9781848823488"</f>
        <v>9781848823488</v>
      </c>
      <c r="C18465" s="8" t="s">
        <v>62</v>
      </c>
    </row>
    <row r="18466" spans="1:3" x14ac:dyDescent="0.25">
      <c r="A18466" s="8" t="str">
        <f>"SAGAware'11 - Proceedings of the 2011 International Workshop on Situation Activity and Goal Awareness"</f>
        <v>SAGAware'11 - Proceedings of the 2011 International Workshop on Situation Activity and Goal Awareness</v>
      </c>
      <c r="B18466" s="8" t="str">
        <f>"9781450309264"</f>
        <v>9781450309264</v>
      </c>
      <c r="C18466" s="8" t="s">
        <v>21</v>
      </c>
    </row>
    <row r="18467" spans="1:3" x14ac:dyDescent="0.25">
      <c r="A18467" s="8" t="str">
        <f>"SAINT - 2007 International Symposium on Applications and the Internet"</f>
        <v>SAINT - 2007 International Symposium on Applications and the Internet</v>
      </c>
      <c r="B18467" s="8" t="str">
        <f>"9780769527567"</f>
        <v>9780769527567</v>
      </c>
      <c r="C18467" s="8" t="s">
        <v>9</v>
      </c>
    </row>
    <row r="18468" spans="1:3" x14ac:dyDescent="0.25">
      <c r="A18468" s="8" t="str">
        <f>"SAINT - 2007 International Symposium on Applications and the Internet - Workshops, SAINT-W"</f>
        <v>SAINT - 2007 International Symposium on Applications and the Internet - Workshops, SAINT-W</v>
      </c>
      <c r="B18468" s="8" t="str">
        <f>"9780769527574"</f>
        <v>9780769527574</v>
      </c>
      <c r="C18468" s="8" t="s">
        <v>9</v>
      </c>
    </row>
    <row r="18469" spans="1:3" x14ac:dyDescent="0.25">
      <c r="A18469" s="8" t="str">
        <f>"Saint Petersburg 2006 International Conference and Exhibition"</f>
        <v>Saint Petersburg 2006 International Conference and Exhibition</v>
      </c>
      <c r="B18469" s="8" t="str">
        <f>"-"</f>
        <v>-</v>
      </c>
      <c r="C18469" s="8" t="s">
        <v>1251</v>
      </c>
    </row>
    <row r="18470" spans="1:3" x14ac:dyDescent="0.25">
      <c r="A18470" s="8" t="str">
        <f>"Saint Petersburg 2008: Geosciences - From New Ideas to New Discoveries"</f>
        <v>Saint Petersburg 2008: Geosciences - From New Ideas to New Discoveries</v>
      </c>
      <c r="B18470" s="8" t="str">
        <f>"-"</f>
        <v>-</v>
      </c>
      <c r="C18470" s="8" t="s">
        <v>1251</v>
      </c>
    </row>
    <row r="18471" spans="1:3" x14ac:dyDescent="0.25">
      <c r="A18471" s="8" t="str">
        <f>"Saint Petersburg 2012 - Geosciences: Making the Most of the Earth's Resources"</f>
        <v>Saint Petersburg 2012 - Geosciences: Making the Most of the Earth's Resources</v>
      </c>
      <c r="B18471" s="8" t="str">
        <f>"-"</f>
        <v>-</v>
      </c>
      <c r="C18471" s="8" t="s">
        <v>1251</v>
      </c>
    </row>
    <row r="18472" spans="1:3" x14ac:dyDescent="0.25">
      <c r="A18472" s="8" t="str">
        <f>"SAM 2008 - 5th IEEE Sensor Array and Multichannel Signal Processing Workshop"</f>
        <v>SAM 2008 - 5th IEEE Sensor Array and Multichannel Signal Processing Workshop</v>
      </c>
      <c r="B18472" s="8" t="str">
        <f>"9781424422418"</f>
        <v>9781424422418</v>
      </c>
      <c r="C18472" s="8" t="s">
        <v>9</v>
      </c>
    </row>
    <row r="18473" spans="1:3" x14ac:dyDescent="0.25">
      <c r="A18473" s="8" t="str">
        <f>"SAM 2012 - Proceedings of the 2012 ACM Workshop on Socially-Aware Multimedia, Co-located with ACM Multimedia 2012"</f>
        <v>SAM 2012 - Proceedings of the 2012 ACM Workshop on Socially-Aware Multimedia, Co-located with ACM Multimedia 2012</v>
      </c>
      <c r="B18473" s="8" t="str">
        <f>"9781450315869"</f>
        <v>9781450315869</v>
      </c>
      <c r="C18473" s="8" t="s">
        <v>21</v>
      </c>
    </row>
    <row r="18474" spans="1:3" x14ac:dyDescent="0.25">
      <c r="A18474" s="8" t="str">
        <f>"SAM 2013 - Proceedings of the 2nd International Workshop on Socially-Aware Multimedia, Co-located with ACM Multimedia 2013"</f>
        <v>SAM 2013 - Proceedings of the 2nd International Workshop on Socially-Aware Multimedia, Co-located with ACM Multimedia 2013</v>
      </c>
      <c r="B18474" s="8" t="str">
        <f>"9781450323949"</f>
        <v>9781450323949</v>
      </c>
      <c r="C18474" s="8" t="s">
        <v>21</v>
      </c>
    </row>
    <row r="18475" spans="1:3" x14ac:dyDescent="0.25">
      <c r="A18475" s="8" t="str">
        <f>"SAM 2014 - Proceedings of the 3rd International Workshop on Socially-Aware Multimedia, Workshop of MM 2014"</f>
        <v>SAM 2014 - Proceedings of the 3rd International Workshop on Socially-Aware Multimedia, Workshop of MM 2014</v>
      </c>
      <c r="B18475" s="8" t="str">
        <f>"9781450331241"</f>
        <v>9781450331241</v>
      </c>
      <c r="C18475" s="8" t="s">
        <v>1235</v>
      </c>
    </row>
    <row r="18476" spans="1:3" x14ac:dyDescent="0.25">
      <c r="A18476" s="8" t="str">
        <f>"SAMI 2008 6th International Symposium on Applied Machine Intelligence and Informatics - Proceedings"</f>
        <v>SAMI 2008 6th International Symposium on Applied Machine Intelligence and Informatics - Proceedings</v>
      </c>
      <c r="B18476" s="8" t="str">
        <f>"9781424421060"</f>
        <v>9781424421060</v>
      </c>
      <c r="C18476" s="8" t="s">
        <v>9</v>
      </c>
    </row>
    <row r="18477" spans="1:3" x14ac:dyDescent="0.25">
      <c r="A18477" s="8" t="str">
        <f>"SAMI 2009 - 7th International Symposium on Applied Machine Intelligence and Informatics, Proceedings"</f>
        <v>SAMI 2009 - 7th International Symposium on Applied Machine Intelligence and Informatics, Proceedings</v>
      </c>
      <c r="B18477" s="8" t="str">
        <f>"9781424438020"</f>
        <v>9781424438020</v>
      </c>
      <c r="C18477" s="8" t="s">
        <v>9</v>
      </c>
    </row>
    <row r="18478" spans="1:3" x14ac:dyDescent="0.25">
      <c r="A18478" s="8" t="str">
        <f>"SAMI 2010 - 8th International Symposium on Applied Machine Intelligence and Informatics, Proceedings"</f>
        <v>SAMI 2010 - 8th International Symposium on Applied Machine Intelligence and Informatics, Proceedings</v>
      </c>
      <c r="B18478" s="8" t="str">
        <f>"9781424464241"</f>
        <v>9781424464241</v>
      </c>
      <c r="C18478" s="8" t="s">
        <v>9</v>
      </c>
    </row>
    <row r="18479" spans="1:3" x14ac:dyDescent="0.25">
      <c r="A18479" s="8" t="str">
        <f>"SAMI 2013 - IEEE 11th International Symposium on Applied Machine Intelligence and Informatics, Proceedings"</f>
        <v>SAMI 2013 - IEEE 11th International Symposium on Applied Machine Intelligence and Informatics, Proceedings</v>
      </c>
      <c r="B18479" s="8" t="str">
        <f>"9781467359290"</f>
        <v>9781467359290</v>
      </c>
      <c r="C18479" s="8" t="s">
        <v>9</v>
      </c>
    </row>
    <row r="18480" spans="1:3" x14ac:dyDescent="0.25">
      <c r="A18480" s="8" t="str">
        <f>"SAMI 2015 - IEEE 13th International Symposium on Applied Machine Intelligence and Informatics, Proceedings"</f>
        <v>SAMI 2015 - IEEE 13th International Symposium on Applied Machine Intelligence and Informatics, Proceedings</v>
      </c>
      <c r="B18480" s="8" t="str">
        <f>"9781479982219"</f>
        <v>9781479982219</v>
      </c>
      <c r="C18480" s="8" t="s">
        <v>105</v>
      </c>
    </row>
    <row r="18481" spans="1:3" x14ac:dyDescent="0.25">
      <c r="A18481" s="8" t="str">
        <f>"Sand Rights 1999 Bringing Back the Beaches"</f>
        <v>Sand Rights 1999 Bringing Back the Beaches</v>
      </c>
      <c r="B18481" s="8" t="str">
        <f>"9780784405284"</f>
        <v>9780784405284</v>
      </c>
      <c r="C18481" s="8" t="s">
        <v>111</v>
      </c>
    </row>
    <row r="18482" spans="1:3" x14ac:dyDescent="0.25">
      <c r="A18482" s="8" t="str">
        <f>"Sandbox Symposium 2007 - ACM SIGGRAPH Video Game Symposium, Sandbox '07"</f>
        <v>Sandbox Symposium 2007 - ACM SIGGRAPH Video Game Symposium, Sandbox '07</v>
      </c>
      <c r="B18482" s="8" t="str">
        <f>"9781595937490"</f>
        <v>9781595937490</v>
      </c>
      <c r="C18482" s="8" t="s">
        <v>21</v>
      </c>
    </row>
    <row r="18483" spans="1:3" x14ac:dyDescent="0.25">
      <c r="A18483" s="8" t="str">
        <f>"Sanitation and Water for All: Proceedings of the 24th WEDC Conference"</f>
        <v>Sanitation and Water for All: Proceedings of the 24th WEDC Conference</v>
      </c>
      <c r="B18483" s="8" t="str">
        <f>"9780906055595"</f>
        <v>9780906055595</v>
      </c>
      <c r="C18483" s="8" t="s">
        <v>1486</v>
      </c>
    </row>
    <row r="18484" spans="1:3" x14ac:dyDescent="0.25">
      <c r="A18484" s="8" t="str">
        <f>"Sanitation and Water for Development in Africa: Proceedings of the 9th WEDC Conference"</f>
        <v>Sanitation and Water for Development in Africa: Proceedings of the 9th WEDC Conference</v>
      </c>
      <c r="B18484" s="8" t="str">
        <f>"-"</f>
        <v>-</v>
      </c>
      <c r="C18484" s="8" t="s">
        <v>1486</v>
      </c>
    </row>
    <row r="18485" spans="1:3" x14ac:dyDescent="0.25">
      <c r="A18485" s="8" t="str">
        <f>"SAPMIA'10 - Proceedings of the 2010 ACM Workshop on Social, Adaptive and Personalized Multimedia Interaction and Access, Co-located with ACM Multimedia 2010"</f>
        <v>SAPMIA'10 - Proceedings of the 2010 ACM Workshop on Social, Adaptive and Personalized Multimedia Interaction and Access, Co-located with ACM Multimedia 2010</v>
      </c>
      <c r="B18485" s="8" t="str">
        <f>"9781450301718"</f>
        <v>9781450301718</v>
      </c>
      <c r="C18485" s="8" t="s">
        <v>21</v>
      </c>
    </row>
    <row r="18486" spans="1:3" x14ac:dyDescent="0.25">
      <c r="A18486" s="8" t="str">
        <f>"SARA 2009 - Proceedings, 8th Symposium on Abstraction, Reformulation and Approximation"</f>
        <v>SARA 2009 - Proceedings, 8th Symposium on Abstraction, Reformulation and Approximation</v>
      </c>
      <c r="B18486" s="8" t="str">
        <f>"9781577354338"</f>
        <v>9781577354338</v>
      </c>
      <c r="C18486" s="8" t="s">
        <v>1257</v>
      </c>
    </row>
    <row r="18487" spans="1:3" x14ac:dyDescent="0.25">
      <c r="A18487" s="8" t="str">
        <f>"SARA 2011 - Proceedings of the 9th Symposium on Abstraction, Reformulation, and Approximation"</f>
        <v>SARA 2011 - Proceedings of the 9th Symposium on Abstraction, Reformulation, and Approximation</v>
      </c>
      <c r="B18487" s="8" t="str">
        <f>"9781577355434"</f>
        <v>9781577355434</v>
      </c>
      <c r="C18487" s="8" t="s">
        <v>956</v>
      </c>
    </row>
    <row r="18488" spans="1:3" x14ac:dyDescent="0.25">
      <c r="A18488" s="8" t="str">
        <f>"SAS 2009 - IEEE Sensors Applications Symposium Proceedings"</f>
        <v>SAS 2009 - IEEE Sensors Applications Symposium Proceedings</v>
      </c>
      <c r="B18488" s="8" t="str">
        <f>"9781424427871"</f>
        <v>9781424427871</v>
      </c>
      <c r="C18488" s="8" t="s">
        <v>9</v>
      </c>
    </row>
    <row r="18489" spans="1:3" x14ac:dyDescent="0.25">
      <c r="A18489" s="8" t="str">
        <f>"SAS 2011 - IEEE Sensors Applications Symposium, Proceedings"</f>
        <v>SAS 2011 - IEEE Sensors Applications Symposium, Proceedings</v>
      </c>
      <c r="B18489" s="8" t="str">
        <f>"9781424480647"</f>
        <v>9781424480647</v>
      </c>
      <c r="C18489" s="8" t="s">
        <v>9</v>
      </c>
    </row>
    <row r="18490" spans="1:3" x14ac:dyDescent="0.25">
      <c r="A18490" s="8" t="str">
        <f>"SAS 2015 - 2015 IEEE Sensors Applications Symposium, Proceedings"</f>
        <v>SAS 2015 - 2015 IEEE Sensors Applications Symposium, Proceedings</v>
      </c>
      <c r="B18490" s="8" t="str">
        <f>"9781479961160"</f>
        <v>9781479961160</v>
      </c>
      <c r="C18490" s="8" t="s">
        <v>105</v>
      </c>
    </row>
    <row r="18491" spans="1:3" x14ac:dyDescent="0.25">
      <c r="A18491" s="8" t="str">
        <f>"SASN'04 - Proceedings of the 2004 ACM Workshop on Security of Ad Hoc and Sensor Networks"</f>
        <v>SASN'04 - Proceedings of the 2004 ACM Workshop on Security of Ad Hoc and Sensor Networks</v>
      </c>
      <c r="B18491" s="8" t="str">
        <f>"9781581139723"</f>
        <v>9781581139723</v>
      </c>
      <c r="C18491" s="8" t="s">
        <v>21</v>
      </c>
    </row>
    <row r="18492" spans="1:3" x14ac:dyDescent="0.25">
      <c r="A18492" s="8" t="str">
        <f>"SASN'05 - Proceedings of the 2005 ACM Workshop on Security of Ad Hoc and Sensor Networks"</f>
        <v>SASN'05 - Proceedings of the 2005 ACM Workshop on Security of Ad Hoc and Sensor Networks</v>
      </c>
      <c r="B18492" s="8" t="str">
        <f>"-"</f>
        <v>-</v>
      </c>
      <c r="C18492" s="8" t="s">
        <v>21</v>
      </c>
    </row>
    <row r="18493" spans="1:3" x14ac:dyDescent="0.25">
      <c r="A18493" s="8" t="str">
        <f>"SASO 2009 - 3rd IEEE International Conference on Self-Adaptive and Self-Organizing Systems"</f>
        <v>SASO 2009 - 3rd IEEE International Conference on Self-Adaptive and Self-Organizing Systems</v>
      </c>
      <c r="B18493" s="8" t="str">
        <f>"9780769537948"</f>
        <v>9780769537948</v>
      </c>
      <c r="C18493" s="8" t="s">
        <v>9</v>
      </c>
    </row>
    <row r="18494" spans="1:3" x14ac:dyDescent="0.25">
      <c r="A18494" s="8" t="str">
        <f>"SATC 2007 - 26th Annual Southern African Transport Conference: The Challenges of Implementing Policy"</f>
        <v>SATC 2007 - 26th Annual Southern African Transport Conference: The Challenges of Implementing Policy</v>
      </c>
      <c r="B18494" s="8" t="str">
        <f>"9781920017026"</f>
        <v>9781920017026</v>
      </c>
      <c r="C18494" s="8" t="s">
        <v>1421</v>
      </c>
    </row>
    <row r="18495" spans="1:3" x14ac:dyDescent="0.25">
      <c r="A18495" s="8" t="str">
        <f>"Saudi International Electronics, Communications and Photonics Conference 2011, SIECPC 2011"</f>
        <v>Saudi International Electronics, Communications and Photonics Conference 2011, SIECPC 2011</v>
      </c>
      <c r="B18495" s="8" t="str">
        <f>"9781457700699"</f>
        <v>9781457700699</v>
      </c>
      <c r="C18495" s="8" t="s">
        <v>9</v>
      </c>
    </row>
    <row r="18496" spans="1:3" x14ac:dyDescent="0.25">
      <c r="A18496" s="8" t="str">
        <f>"SAVCBS'09 - Proceedings of the 8th International Workshop on Specification and Verification of Component-Based Systems"</f>
        <v>SAVCBS'09 - Proceedings of the 8th International Workshop on Specification and Verification of Component-Based Systems</v>
      </c>
      <c r="B18496" s="8" t="str">
        <f>"9781605586809"</f>
        <v>9781605586809</v>
      </c>
      <c r="C18496" s="8" t="s">
        <v>21</v>
      </c>
    </row>
    <row r="18497" spans="1:3" x14ac:dyDescent="0.25">
      <c r="A18497" s="8" t="str">
        <f>"SAVE International - 47th Annual Conference, SAVE 2007: Achieving Value Through Innovation"</f>
        <v>SAVE International - 47th Annual Conference, SAVE 2007: Achieving Value Through Innovation</v>
      </c>
      <c r="B18497" s="8" t="str">
        <f>"9781604232806"</f>
        <v>9781604232806</v>
      </c>
      <c r="C18497" s="8" t="s">
        <v>1523</v>
      </c>
    </row>
    <row r="18498" spans="1:3" x14ac:dyDescent="0.25">
      <c r="A18498" s="8" t="str">
        <f>"SAVE Value Summit 2013"</f>
        <v>SAVE Value Summit 2013</v>
      </c>
      <c r="B18498" s="8" t="str">
        <f>"9781627489379"</f>
        <v>9781627489379</v>
      </c>
      <c r="C18498" s="8" t="s">
        <v>1523</v>
      </c>
    </row>
    <row r="18499" spans="1:3" x14ac:dyDescent="0.25">
      <c r="A18499" s="8" t="str">
        <f>"SBCCI 2005 - 18th Symposium on Integrated Circuits and Systems Design"</f>
        <v>SBCCI 2005 - 18th Symposium on Integrated Circuits and Systems Design</v>
      </c>
      <c r="B18499" s="8" t="str">
        <f>"9781595931740"</f>
        <v>9781595931740</v>
      </c>
      <c r="C18499" s="8" t="s">
        <v>9</v>
      </c>
    </row>
    <row r="18500" spans="1:3" x14ac:dyDescent="0.25">
      <c r="A18500" s="8" t="str">
        <f>"SBCCI 2006 - 19th Symposium on Integrated Circuits and Systems Design"</f>
        <v>SBCCI 2006 - 19th Symposium on Integrated Circuits and Systems Design</v>
      </c>
      <c r="B18500" s="8" t="str">
        <f>"-"</f>
        <v>-</v>
      </c>
      <c r="C18500" s="8" t="s">
        <v>21</v>
      </c>
    </row>
    <row r="18501" spans="1:3" x14ac:dyDescent="0.25">
      <c r="A18501" s="8" t="str">
        <f>"SBCCI 2014: Proceedings of the 27th Symposium on Integrated Circuits and Systems Design"</f>
        <v>SBCCI 2014: Proceedings of the 27th Symposium on Integrated Circuits and Systems Design</v>
      </c>
      <c r="B18501" s="8" t="str">
        <f>"9781479968732"</f>
        <v>9781479968732</v>
      </c>
      <c r="C18501" s="8" t="s">
        <v>105</v>
      </c>
    </row>
    <row r="18502" spans="1:3" x14ac:dyDescent="0.25">
      <c r="A18502" s="8" t="str">
        <f>"SBCCI'10 - Proceedings of the 23rd Symposium on Integrated Circuits and Systems Design"</f>
        <v>SBCCI'10 - Proceedings of the 23rd Symposium on Integrated Circuits and Systems Design</v>
      </c>
      <c r="B18502" s="8" t="str">
        <f>"9781450302883"</f>
        <v>9781450302883</v>
      </c>
      <c r="C18502" s="8" t="s">
        <v>21</v>
      </c>
    </row>
    <row r="18503" spans="1:3" x14ac:dyDescent="0.25">
      <c r="A18503" s="8" t="str">
        <f>"SBES 2009 - 23rd Brazilian Symposium on Software Engineering"</f>
        <v>SBES 2009 - 23rd Brazilian Symposium on Software Engineering</v>
      </c>
      <c r="B18503" s="8" t="str">
        <f>"9780769538440"</f>
        <v>9780769538440</v>
      </c>
      <c r="C18503" s="8" t="s">
        <v>9</v>
      </c>
    </row>
    <row r="18504" spans="1:3" x14ac:dyDescent="0.25">
      <c r="A18504" s="8" t="str">
        <f>"SBGAMES2009 - 8th Brazilian Symposium on Games and Digital Entertainment"</f>
        <v>SBGAMES2009 - 8th Brazilian Symposium on Games and Digital Entertainment</v>
      </c>
      <c r="B18504" s="8" t="str">
        <f>"9780769539638"</f>
        <v>9780769539638</v>
      </c>
      <c r="C18504" s="8" t="s">
        <v>9</v>
      </c>
    </row>
    <row r="18505" spans="1:3" x14ac:dyDescent="0.25">
      <c r="A18505" s="8" t="str">
        <f>"SBSC 2009 - 6th Simposio Brasileiro de Sistemas Colaborativos"</f>
        <v>SBSC 2009 - 6th Simposio Brasileiro de Sistemas Colaborativos</v>
      </c>
      <c r="B18505" s="8" t="str">
        <f>"9780769539188"</f>
        <v>9780769539188</v>
      </c>
      <c r="C18505" s="8" t="s">
        <v>9</v>
      </c>
    </row>
    <row r="18506" spans="1:3" x14ac:dyDescent="0.25">
      <c r="A18506" s="8" t="str">
        <f>"SC'11 - Proceedings of the 2011 High Performance Computing Networking, Storage and Analysis Companion, Co-located with SC'11"</f>
        <v>SC'11 - Proceedings of the 2011 High Performance Computing Networking, Storage and Analysis Companion, Co-located with SC'11</v>
      </c>
      <c r="B18506" s="8" t="str">
        <f>"9781450310307"</f>
        <v>9781450310307</v>
      </c>
      <c r="C18506" s="8" t="s">
        <v>21</v>
      </c>
    </row>
    <row r="18507" spans="1:3" x14ac:dyDescent="0.25">
      <c r="A18507" s="8" t="str">
        <f>"ScalA'11 - Proceedings of the 2011 ACM Workshop on Scalable Algorithms for Large-Scale Systems, Co-located with SC'11"</f>
        <v>ScalA'11 - Proceedings of the 2011 ACM Workshop on Scalable Algorithms for Large-Scale Systems, Co-located with SC'11</v>
      </c>
      <c r="B18507" s="8" t="str">
        <f>"9781450311809"</f>
        <v>9781450311809</v>
      </c>
      <c r="C18507" s="8" t="s">
        <v>21</v>
      </c>
    </row>
    <row r="18508" spans="1:3" x14ac:dyDescent="0.25">
      <c r="A18508" s="8" t="str">
        <f>"SCAM 2002 - Proceedings, 2nd IEEE International Workshop on Source Code Analysis and Manipulation"</f>
        <v>SCAM 2002 - Proceedings, 2nd IEEE International Workshop on Source Code Analysis and Manipulation</v>
      </c>
      <c r="B18508" s="8" t="str">
        <f>"9780769517933"</f>
        <v>9780769517933</v>
      </c>
      <c r="C18508" s="8" t="s">
        <v>105</v>
      </c>
    </row>
    <row r="18509" spans="1:3" x14ac:dyDescent="0.25">
      <c r="A18509" s="8" t="str">
        <f>"SCAM 2007 - Proceedings 7th IEEE International Working Conference on Source Code Analysis and Manipulation"</f>
        <v>SCAM 2007 - Proceedings 7th IEEE International Working Conference on Source Code Analysis and Manipulation</v>
      </c>
      <c r="B18509" s="8" t="str">
        <f>"9780769528809"</f>
        <v>9780769528809</v>
      </c>
      <c r="C18509" s="8" t="s">
        <v>9</v>
      </c>
    </row>
    <row r="18510" spans="1:3" x14ac:dyDescent="0.25">
      <c r="A18510" s="8" t="str">
        <f>"ScanGIS 2005 - Proceedings of the 10th Scandinavian Research Conference on Geographical Information Sciences"</f>
        <v>ScanGIS 2005 - Proceedings of the 10th Scandinavian Research Conference on Geographical Information Sciences</v>
      </c>
      <c r="B18510" s="8" t="str">
        <f>"9789173231268"</f>
        <v>9789173231268</v>
      </c>
      <c r="C18510" s="8" t="s">
        <v>2305</v>
      </c>
    </row>
    <row r="18511" spans="1:3" x14ac:dyDescent="0.25">
      <c r="A18511" s="8" t="str">
        <f>"ScanGIS 2007 - Proceedings of the 11th Scandinavian Research Conference on Geographical Information Sciences"</f>
        <v>ScanGIS 2007 - Proceedings of the 11th Scandinavian Research Conference on Geographical Information Sciences</v>
      </c>
      <c r="B18511" s="8" t="str">
        <f>"9788276360202"</f>
        <v>9788276360202</v>
      </c>
      <c r="C18511" s="8" t="s">
        <v>2305</v>
      </c>
    </row>
    <row r="18512" spans="1:3" x14ac:dyDescent="0.25">
      <c r="A18512" s="8" t="str">
        <f>"SCC 2009 - 2009 IEEE International Conference on Services Computing"</f>
        <v>SCC 2009 - 2009 IEEE International Conference on Services Computing</v>
      </c>
      <c r="B18512" s="8" t="str">
        <f>"9780769538112"</f>
        <v>9780769538112</v>
      </c>
      <c r="C18512" s="8" t="s">
        <v>9</v>
      </c>
    </row>
    <row r="18513" spans="1:3" x14ac:dyDescent="0.25">
      <c r="A18513" s="8" t="str">
        <f>"SCI'11 - Proceedings of 1st International Symposium on from Digital Footprints to Social and Community Intelligence"</f>
        <v>SCI'11 - Proceedings of 1st International Symposium on from Digital Footprints to Social and Community Intelligence</v>
      </c>
      <c r="B18513" s="8" t="str">
        <f>"9781450309257"</f>
        <v>9781450309257</v>
      </c>
      <c r="C18513" s="8" t="s">
        <v>21</v>
      </c>
    </row>
    <row r="18514" spans="1:3" x14ac:dyDescent="0.25">
      <c r="A18514" s="8" t="str">
        <f>"Science and Technology of Powder Materials: Synthesis, Consolidation and Properties - Proceedings of a Symposium sponsored by Materials Science and Technology 2005, MS and T'05"</f>
        <v>Science and Technology of Powder Materials: Synthesis, Consolidation and Properties - Proceedings of a Symposium sponsored by Materials Science and Technology 2005, MS and T'05</v>
      </c>
      <c r="B18514" s="8" t="str">
        <f>"-"</f>
        <v>-</v>
      </c>
      <c r="C18514" s="8" t="s">
        <v>648</v>
      </c>
    </row>
    <row r="18515" spans="1:3" x14ac:dyDescent="0.25">
      <c r="A18515" s="8" t="str">
        <f>"Science and Technology Proceedings - IEEE 2009 International Symposium on Mixed and Augmented Reality, ISMAR 2009"</f>
        <v>Science and Technology Proceedings - IEEE 2009 International Symposium on Mixed and Augmented Reality, ISMAR 2009</v>
      </c>
      <c r="B18515" s="8" t="str">
        <f>"9781424453900"</f>
        <v>9781424453900</v>
      </c>
      <c r="C18515" s="8" t="s">
        <v>9</v>
      </c>
    </row>
    <row r="18516" spans="1:3" x14ac:dyDescent="0.25">
      <c r="A18516" s="8" t="str">
        <f>"Science, Technology and Cultural Heritage - Proceedings of the 2nd International Congress on Science and Technology for the Conservation of Cultural Heritage, 2014"</f>
        <v>Science, Technology and Cultural Heritage - Proceedings of the 2nd International Congress on Science and Technology for the Conservation of Cultural Heritage, 2014</v>
      </c>
      <c r="B18516" s="8" t="str">
        <f>"9781138027442"</f>
        <v>9781138027442</v>
      </c>
      <c r="C18516" s="8" t="s">
        <v>1635</v>
      </c>
    </row>
    <row r="18517" spans="1:3" x14ac:dyDescent="0.25">
      <c r="A18517" s="8" t="str">
        <f>"ScienceCloud '12 - 3rd Workshop on Scientific Cloud Computing"</f>
        <v>ScienceCloud '12 - 3rd Workshop on Scientific Cloud Computing</v>
      </c>
      <c r="B18517" s="8" t="str">
        <f>"9781450313407"</f>
        <v>9781450313407</v>
      </c>
      <c r="C18517" s="8" t="s">
        <v>21</v>
      </c>
    </row>
    <row r="18518" spans="1:3" x14ac:dyDescent="0.25">
      <c r="A18518" s="8" t="str">
        <f>"ScienceCloud 2013 - Proceedings of the 4th ACM Workshop on Scientific Cloud Computing"</f>
        <v>ScienceCloud 2013 - Proceedings of the 4th ACM Workshop on Scientific Cloud Computing</v>
      </c>
      <c r="B18518" s="8" t="str">
        <f>"9781450319799"</f>
        <v>9781450319799</v>
      </c>
      <c r="C18518" s="8" t="s">
        <v>21</v>
      </c>
    </row>
    <row r="18519" spans="1:3" x14ac:dyDescent="0.25">
      <c r="A18519" s="8" t="str">
        <f>"ScienceCloud'11 - Proceedings of the 2nd International Workshop on Scientific Cloud Computing"</f>
        <v>ScienceCloud'11 - Proceedings of the 2nd International Workshop on Scientific Cloud Computing</v>
      </c>
      <c r="B18519" s="8" t="str">
        <f>"9781450306997"</f>
        <v>9781450306997</v>
      </c>
      <c r="C18519" s="8" t="s">
        <v>21</v>
      </c>
    </row>
    <row r="18520" spans="1:3" x14ac:dyDescent="0.25">
      <c r="A18520" s="8" t="str">
        <f>"Scientific and Technical Advances in Wet End Chemistry 2004 - Pira International - Industry Briefing Notes"</f>
        <v>Scientific and Technical Advances in Wet End Chemistry 2004 - Pira International - Industry Briefing Notes</v>
      </c>
      <c r="B18520" s="8" t="str">
        <f>"-"</f>
        <v>-</v>
      </c>
      <c r="C18520" s="8" t="s">
        <v>202</v>
      </c>
    </row>
    <row r="18521" spans="1:3" x14ac:dyDescent="0.25">
      <c r="A18521" s="8" t="str">
        <f>"Scientific Legacy of Bruno Rossi - A Scientific Colloquium in Honour of Bruno Rossi on the 100th Anniversary of His Birth"</f>
        <v>Scientific Legacy of Bruno Rossi - A Scientific Colloquium in Honour of Bruno Rossi on the 100th Anniversary of His Birth</v>
      </c>
      <c r="B18521" s="8" t="str">
        <f>"-"</f>
        <v>-</v>
      </c>
      <c r="C18521" s="8" t="s">
        <v>1798</v>
      </c>
    </row>
    <row r="18522" spans="1:3" x14ac:dyDescent="0.25">
      <c r="A18522" s="8" t="str">
        <f>"SCIMA 2003 - 2003 IEEE International Workshop on Soft Computing Techniques in Instrumentation, Measurement and Related Applications"</f>
        <v>SCIMA 2003 - 2003 IEEE International Workshop on Soft Computing Techniques in Instrumentation, Measurement and Related Applications</v>
      </c>
      <c r="B18522" s="8" t="str">
        <f>"9780780377110"</f>
        <v>9780780377110</v>
      </c>
      <c r="C18522" s="8" t="s">
        <v>105</v>
      </c>
    </row>
    <row r="18523" spans="1:3" x14ac:dyDescent="0.25">
      <c r="A18523" s="8" t="str">
        <f>"SCIS and ISIS 2010 - Joint 5th International Conference on Soft Computing and Intelligent Systems and 11th International Symposium on Advanced Intelligent Systems"</f>
        <v>SCIS and ISIS 2010 - Joint 5th International Conference on Soft Computing and Intelligent Systems and 11th International Symposium on Advanced Intelligent Systems</v>
      </c>
      <c r="B18523" s="8" t="str">
        <f>"-"</f>
        <v>-</v>
      </c>
      <c r="C18523" s="8" t="s">
        <v>2306</v>
      </c>
    </row>
    <row r="18524" spans="1:3" x14ac:dyDescent="0.25">
      <c r="A18524" s="8" t="str">
        <f>"SCMIS 2010 - Proceedings of 2010 8th International Conference on Supply Chain Management and Information Systems: Logistics Systems and Engineering"</f>
        <v>SCMIS 2010 - Proceedings of 2010 8th International Conference on Supply Chain Management and Information Systems: Logistics Systems and Engineering</v>
      </c>
      <c r="B18524" s="8" t="str">
        <f>"9789623676960"</f>
        <v>9789623676960</v>
      </c>
      <c r="C18524" s="8" t="s">
        <v>9</v>
      </c>
    </row>
    <row r="18525" spans="1:3" x14ac:dyDescent="0.25">
      <c r="A18525" s="8" t="s">
        <v>2307</v>
      </c>
      <c r="B18525" s="8" t="str">
        <f>"9781424405275"</f>
        <v>9781424405275</v>
      </c>
      <c r="C18525" s="8" t="s">
        <v>9</v>
      </c>
    </row>
    <row r="18526" spans="1:3" x14ac:dyDescent="0.25">
      <c r="A18526" s="8" t="str">
        <f>"SCOReD 2012 - 2012 IEEE Student Conference on Research and Development"</f>
        <v>SCOReD 2012 - 2012 IEEE Student Conference on Research and Development</v>
      </c>
      <c r="B18526" s="8" t="str">
        <f>"9781467351584"</f>
        <v>9781467351584</v>
      </c>
      <c r="C18526" s="8" t="s">
        <v>9</v>
      </c>
    </row>
    <row r="18527" spans="1:3" x14ac:dyDescent="0.25">
      <c r="A18527" s="8" t="str">
        <f>"SCOReD2009 - Proceedings of 2009 IEEE Student Conference on Research and Development"</f>
        <v>SCOReD2009 - Proceedings of 2009 IEEE Student Conference on Research and Development</v>
      </c>
      <c r="B18527" s="8" t="str">
        <f>"9781424451876"</f>
        <v>9781424451876</v>
      </c>
      <c r="C18527" s="8" t="s">
        <v>9</v>
      </c>
    </row>
    <row r="18528" spans="1:3" x14ac:dyDescent="0.25">
      <c r="A18528" s="8" t="str">
        <f>"Scour and Erosion - Proceedings of the 7th International Conference on Scour and Erosion, ICSE 2014"</f>
        <v>Scour and Erosion - Proceedings of the 7th International Conference on Scour and Erosion, ICSE 2014</v>
      </c>
      <c r="B18528" s="8" t="str">
        <f>"9781138027329"</f>
        <v>9781138027329</v>
      </c>
      <c r="C18528" s="8" t="s">
        <v>1635</v>
      </c>
    </row>
    <row r="18529" spans="1:3" x14ac:dyDescent="0.25">
      <c r="A18529" s="8" t="str">
        <f>"SCS 2003 - International Symposium on Signals, Circuits and Systems, Proceedings"</f>
        <v>SCS 2003 - International Symposium on Signals, Circuits and Systems, Proceedings</v>
      </c>
      <c r="B18529" s="8" t="str">
        <f>"-"</f>
        <v>-</v>
      </c>
      <c r="C18529" s="8" t="s">
        <v>105</v>
      </c>
    </row>
    <row r="18530" spans="1:3" x14ac:dyDescent="0.25">
      <c r="A18530" s="8" t="str">
        <f>"SDEMPED 2005 - International Symposium on Diagnostics of Electric Machines, Power Electronics, and Drives"</f>
        <v>SDEMPED 2005 - International Symposium on Diagnostics of Electric Machines, Power Electronics, and Drives</v>
      </c>
      <c r="B18530" s="8" t="str">
        <f>"9780780391246"</f>
        <v>9780780391246</v>
      </c>
      <c r="C18530" s="8" t="s">
        <v>9</v>
      </c>
    </row>
    <row r="18531" spans="1:3" x14ac:dyDescent="0.25">
      <c r="A18531" s="8" t="str">
        <f>"SDEMPED 2011 - 8th IEEE Symposium on Diagnostics for Electrical Machines, Power Electronics and Drives"</f>
        <v>SDEMPED 2011 - 8th IEEE Symposium on Diagnostics for Electrical Machines, Power Electronics and Drives</v>
      </c>
      <c r="B18531" s="8" t="str">
        <f>"9781424493036"</f>
        <v>9781424493036</v>
      </c>
      <c r="C18531" s="8" t="s">
        <v>9</v>
      </c>
    </row>
    <row r="18532" spans="1:3" x14ac:dyDescent="0.25">
      <c r="A18532" s="8" t="str">
        <f>"SDN and NFV: Next Generation of Computational  Infrastructure - 2014 International Science and Technology Conference - Modern Networking Technologies, MoNeTec  2014, Proceedings"</f>
        <v>SDN and NFV: Next Generation of Computational  Infrastructure - 2014 International Science and Technology Conference - Modern Networking Technologies, MoNeTec  2014, Proceedings</v>
      </c>
      <c r="B18532" s="8" t="str">
        <f>"9781479975952"</f>
        <v>9781479975952</v>
      </c>
      <c r="C18532" s="8" t="s">
        <v>105</v>
      </c>
    </row>
    <row r="18533" spans="1:3" x14ac:dyDescent="0.25">
      <c r="A18533" s="8" t="str">
        <f>"SDN4FNS 2013 - 2013 Workshop on Software Defined Networks for Future Networks and Services"</f>
        <v>SDN4FNS 2013 - 2013 Workshop on Software Defined Networks for Future Networks and Services</v>
      </c>
      <c r="B18533" s="8" t="str">
        <f>"9781479927814"</f>
        <v>9781479927814</v>
      </c>
      <c r="C18533" s="8" t="s">
        <v>9</v>
      </c>
    </row>
    <row r="18534" spans="1:3" x14ac:dyDescent="0.25">
      <c r="A18534" s="8" t="str">
        <f>"Sealing for Pollution Prevention and Control - 19th International Conference on Fluid Sealing"</f>
        <v>Sealing for Pollution Prevention and Control - 19th International Conference on Fluid Sealing</v>
      </c>
      <c r="B18534" s="8" t="str">
        <f>"9781855980914"</f>
        <v>9781855980914</v>
      </c>
      <c r="C18534" s="8" t="s">
        <v>1246</v>
      </c>
    </row>
    <row r="18535" spans="1:3" x14ac:dyDescent="0.25">
      <c r="A18535" s="8" t="str">
        <f>"SEBD 2005 - Proceedings of the 13th Italian Symposium on Advanced Database Systems"</f>
        <v>SEBD 2005 - Proceedings of the 13th Italian Symposium on Advanced Database Systems</v>
      </c>
      <c r="B18535" s="8" t="str">
        <f>"9788854801226"</f>
        <v>9788854801226</v>
      </c>
      <c r="C18535" s="8" t="s">
        <v>92</v>
      </c>
    </row>
    <row r="18536" spans="1:3" x14ac:dyDescent="0.25">
      <c r="A18536" s="8" t="str">
        <f>"SEBD 2006 - Proceedings of the 14th Italian Symposium on Advanced Databases Systems"</f>
        <v>SEBD 2006 - Proceedings of the 14th Italian Symposium on Advanced Databases Systems</v>
      </c>
      <c r="B18536" s="8" t="str">
        <f>"-"</f>
        <v>-</v>
      </c>
      <c r="C18536" s="8" t="s">
        <v>2308</v>
      </c>
    </row>
    <row r="18537" spans="1:3" x14ac:dyDescent="0.25">
      <c r="A18537" s="8" t="str">
        <f>"SEBD 2007 - Proceedings of the 15th Italian Symposium on Advanced Database Systems"</f>
        <v>SEBD 2007 - Proceedings of the 15th Italian Symposium on Advanced Database Systems</v>
      </c>
      <c r="B18537" s="8" t="str">
        <f>"9788890298103"</f>
        <v>9788890298103</v>
      </c>
      <c r="C18537" s="8" t="s">
        <v>2309</v>
      </c>
    </row>
    <row r="18538" spans="1:3" x14ac:dyDescent="0.25">
      <c r="A18538" s="8" t="str">
        <f>"SEBD 2008 - Proceedings of the 16th Italian Symposium on Advanced Database Systems"</f>
        <v>SEBD 2008 - Proceedings of the 16th Italian Symposium on Advanced Database Systems</v>
      </c>
      <c r="B18538" s="8" t="str">
        <f>"-"</f>
        <v>-</v>
      </c>
      <c r="C18538" s="8" t="s">
        <v>2310</v>
      </c>
    </row>
    <row r="18539" spans="1:3" x14ac:dyDescent="0.25">
      <c r="A18539" s="8" t="str">
        <f>"SEBD 2010 - Proceedings of the 18th Italian Symposium on Advanced Database Systems"</f>
        <v>SEBD 2010 - Proceedings of the 18th Italian Symposium on Advanced Database Systems</v>
      </c>
      <c r="B18539" s="8" t="str">
        <f>"9788874883691"</f>
        <v>9788874883691</v>
      </c>
      <c r="C18539" s="8" t="s">
        <v>2311</v>
      </c>
    </row>
    <row r="18540" spans="1:3" x14ac:dyDescent="0.25">
      <c r="A18540" s="8" t="str">
        <f>"SEBD 2011 - Proceedings of the 19th Italian Symposium on Advanced Database Systems"</f>
        <v>SEBD 2011 - Proceedings of the 19th Italian Symposium on Advanced Database Systems</v>
      </c>
      <c r="B18540" s="8" t="str">
        <f>"-"</f>
        <v>-</v>
      </c>
      <c r="C18540" s="8" t="s">
        <v>2312</v>
      </c>
    </row>
    <row r="18541" spans="1:3" x14ac:dyDescent="0.25">
      <c r="A18541" s="8" t="str">
        <f>"SECON 2010 - 2010 7th Annual IEEE Communications Society Conference on Sensor, Mesh and Ad Hoc Communications and Networks"</f>
        <v>SECON 2010 - 2010 7th Annual IEEE Communications Society Conference on Sensor, Mesh and Ad Hoc Communications and Networks</v>
      </c>
      <c r="B18541" s="8" t="str">
        <f>"9781424471515"</f>
        <v>9781424471515</v>
      </c>
      <c r="C18541" s="8" t="s">
        <v>9</v>
      </c>
    </row>
    <row r="18542" spans="1:3" x14ac:dyDescent="0.25">
      <c r="A18542" s="8" t="str">
        <f>"Second Asian and Pacific Rim Symposium on Biophotonics - Proceedings, APBP 2004"</f>
        <v>Second Asian and Pacific Rim Symposium on Biophotonics - Proceedings, APBP 2004</v>
      </c>
      <c r="B18542" s="8" t="str">
        <f>"9780780386761"</f>
        <v>9780780386761</v>
      </c>
      <c r="C18542" s="8" t="s">
        <v>105</v>
      </c>
    </row>
    <row r="18543" spans="1:3" x14ac:dyDescent="0.25">
      <c r="A18543" s="8" t="str">
        <f>"Second IEEE Workshop on Embedded Networked Sensors, EmNetS-II"</f>
        <v>Second IEEE Workshop on Embedded Networked Sensors, EmNetS-II</v>
      </c>
      <c r="B18543" s="8" t="str">
        <f>"-"</f>
        <v>-</v>
      </c>
      <c r="C18543" s="8" t="s">
        <v>9</v>
      </c>
    </row>
    <row r="18544" spans="1:3" x14ac:dyDescent="0.25">
      <c r="A18544" s="8" t="str">
        <f>"Second IEEE/ACM/IFIP International Conference on Hardware/Software Codesign and Systems Synthesis, CODES+ISSS 2004"</f>
        <v>Second IEEE/ACM/IFIP International Conference on Hardware/Software Codesign and Systems Synthesis, CODES+ISSS 2004</v>
      </c>
      <c r="B18544" s="8" t="str">
        <f>"9781581139372"</f>
        <v>9781581139372</v>
      </c>
      <c r="C18544" s="8" t="s">
        <v>21</v>
      </c>
    </row>
    <row r="18545" spans="1:3" x14ac:dyDescent="0.25">
      <c r="A18545" s="8" t="str">
        <f>"Second IEEE/IFIP International Workshop on Business-Driven IT Management, BDIM 2007"</f>
        <v>Second IEEE/IFIP International Workshop on Business-Driven IT Management, BDIM 2007</v>
      </c>
      <c r="B18545" s="8" t="str">
        <f>"9781424412952"</f>
        <v>9781424412952</v>
      </c>
      <c r="C18545" s="8" t="s">
        <v>9</v>
      </c>
    </row>
    <row r="18546" spans="1:3" x14ac:dyDescent="0.25">
      <c r="A18546" s="8" t="str">
        <f>"Second International Conference on Innovative Computing, Information and Control, ICICIC 2007"</f>
        <v>Second International Conference on Innovative Computing, Information and Control, ICICIC 2007</v>
      </c>
      <c r="B18546" s="8" t="str">
        <f>"9780769528823"</f>
        <v>9780769528823</v>
      </c>
      <c r="C18546" s="8" t="s">
        <v>9</v>
      </c>
    </row>
    <row r="18547" spans="1:3" x14ac:dyDescent="0.25">
      <c r="A18547" s="8" t="str">
        <f>"Second International Conference on Internet and Web Applications and Services, ICIW'07"</f>
        <v>Second International Conference on Internet and Web Applications and Services, ICIW'07</v>
      </c>
      <c r="B18547" s="8" t="str">
        <f>"9780769528441"</f>
        <v>9780769528441</v>
      </c>
      <c r="C18547" s="8" t="s">
        <v>9</v>
      </c>
    </row>
    <row r="18548" spans="1:3" x14ac:dyDescent="0.25">
      <c r="A18548" s="8" t="str">
        <f>"Second International Conference on Internet Monitoring and Protection, ICIMP 2007"</f>
        <v>Second International Conference on Internet Monitoring and Protection, ICIMP 2007</v>
      </c>
      <c r="B18548" s="8" t="str">
        <f>"9780769529110"</f>
        <v>9780769529110</v>
      </c>
      <c r="C18548" s="8" t="s">
        <v>9</v>
      </c>
    </row>
    <row r="18549" spans="1:3" x14ac:dyDescent="0.25">
      <c r="A18549" s="8" t="str">
        <f>"Second International Conference on Quality of Service in Heterogeneous Wired/Wireless Networks, Qshine 2005"</f>
        <v>Second International Conference on Quality of Service in Heterogeneous Wired/Wireless Networks, Qshine 2005</v>
      </c>
      <c r="B18549" s="8" t="str">
        <f>"-"</f>
        <v>-</v>
      </c>
      <c r="C18549" s="8" t="s">
        <v>9</v>
      </c>
    </row>
    <row r="18550" spans="1:3" x14ac:dyDescent="0.25">
      <c r="A18550" s="8" t="str">
        <f>"Second International Conference on Systems and Networks Communications, ICSNC 2006"</f>
        <v>Second International Conference on Systems and Networks Communications, ICSNC 2006</v>
      </c>
      <c r="B18550" s="8" t="str">
        <f>"9780769526997"</f>
        <v>9780769526997</v>
      </c>
      <c r="C18550" s="8" t="s">
        <v>9</v>
      </c>
    </row>
    <row r="18551" spans="1:3" x14ac:dyDescent="0.25">
      <c r="A18551" s="8" t="str">
        <f>"Second International Conference on Systems and Networks Communications, ICSNC 2007"</f>
        <v>Second International Conference on Systems and Networks Communications, ICSNC 2007</v>
      </c>
      <c r="B18551" s="8" t="str">
        <f>"9780769529387"</f>
        <v>9780769529387</v>
      </c>
      <c r="C18551" s="8" t="s">
        <v>9</v>
      </c>
    </row>
    <row r="18552" spans="1:3" x14ac:dyDescent="0.25">
      <c r="A18552" s="8" t="str">
        <f>"Second International Conference on Wireless and Mobile Communications, ICWMC 2006"</f>
        <v>Second International Conference on Wireless and Mobile Communications, ICWMC 2006</v>
      </c>
      <c r="B18552" s="8" t="str">
        <f>"-"</f>
        <v>-</v>
      </c>
      <c r="C18552" s="8" t="s">
        <v>9</v>
      </c>
    </row>
    <row r="18553" spans="1:3" x14ac:dyDescent="0.25">
      <c r="A18553" s="8" t="str">
        <f>"Second International Workshop on Networked Group Communcation (NGC 2000)"</f>
        <v>Second International Workshop on Networked Group Communcation (NGC 2000)</v>
      </c>
      <c r="B18553" s="8" t="str">
        <f>"9781581133127"</f>
        <v>9781581133127</v>
      </c>
      <c r="C18553" s="8" t="s">
        <v>21</v>
      </c>
    </row>
    <row r="18554" spans="1:3" x14ac:dyDescent="0.25">
      <c r="A18554" s="8" t="str">
        <f>"Second Smith and Nephew International Symposium - Tissue Engineering 2000: Advances in Tissue Engineering, Biomaterials and Cell Signalling"</f>
        <v>Second Smith and Nephew International Symposium - Tissue Engineering 2000: Advances in Tissue Engineering, Biomaterials and Cell Signalling</v>
      </c>
      <c r="B18554" s="8" t="str">
        <f>"-"</f>
        <v>-</v>
      </c>
      <c r="C18554" s="8" t="s">
        <v>2313</v>
      </c>
    </row>
    <row r="18555" spans="1:3" x14ac:dyDescent="0.25">
      <c r="A18555" s="8" t="s">
        <v>2314</v>
      </c>
      <c r="B18555" s="8" t="str">
        <f>"-"</f>
        <v>-</v>
      </c>
      <c r="C18555" s="8" t="s">
        <v>671</v>
      </c>
    </row>
    <row r="18556" spans="1:3" x14ac:dyDescent="0.25">
      <c r="A18556" s="8" t="str">
        <f>"SECRYPT 2006 - International Conference on Security and Cryptography, Proceedings"</f>
        <v>SECRYPT 2006 - International Conference on Security and Cryptography, Proceedings</v>
      </c>
      <c r="B18556" s="8" t="str">
        <f>"9789728865634"</f>
        <v>9789728865634</v>
      </c>
      <c r="C18556" s="8" t="s">
        <v>1680</v>
      </c>
    </row>
    <row r="18557" spans="1:3" x14ac:dyDescent="0.25">
      <c r="A18557" s="8" t="str">
        <f>"SECRYPT 2007 - International Conference on Security and Cryptography, Proceedings"</f>
        <v>SECRYPT 2007 - International Conference on Security and Cryptography, Proceedings</v>
      </c>
      <c r="B18557" s="8" t="str">
        <f>"-"</f>
        <v>-</v>
      </c>
      <c r="C18557" s="8" t="s">
        <v>1680</v>
      </c>
    </row>
    <row r="18558" spans="1:3" x14ac:dyDescent="0.25">
      <c r="A18558" s="8" t="str">
        <f>"SECRYPT 2008 - International Conference on Security and Cryptography, Proceedings"</f>
        <v>SECRYPT 2008 - International Conference on Security and Cryptography, Proceedings</v>
      </c>
      <c r="B18558" s="8" t="str">
        <f>"9789898111593"</f>
        <v>9789898111593</v>
      </c>
      <c r="C18558" s="8" t="s">
        <v>1553</v>
      </c>
    </row>
    <row r="18559" spans="1:3" x14ac:dyDescent="0.25">
      <c r="A18559" s="8" t="str">
        <f>"SECRYPT 2009 - International Conference on Security and Cryptography, Proceedings"</f>
        <v>SECRYPT 2009 - International Conference on Security and Cryptography, Proceedings</v>
      </c>
      <c r="B18559" s="8" t="str">
        <f>"9789896740054"</f>
        <v>9789896740054</v>
      </c>
      <c r="C18559" s="8" t="s">
        <v>1680</v>
      </c>
    </row>
    <row r="18560" spans="1:3" x14ac:dyDescent="0.25">
      <c r="A18560" s="8" t="str">
        <f>"SECRYPT 2010 - Proceedings of the International Conference on Security and Cryptography"</f>
        <v>SECRYPT 2010 - Proceedings of the International Conference on Security and Cryptography</v>
      </c>
      <c r="B18560" s="8" t="str">
        <f>"9789898425188"</f>
        <v>9789898425188</v>
      </c>
      <c r="C18560" s="8" t="s">
        <v>1680</v>
      </c>
    </row>
    <row r="18561" spans="1:3" x14ac:dyDescent="0.25">
      <c r="A18561" s="8" t="str">
        <f>"SECRYPT 2011 - Proceedings of the International Conference on Security and Cryptography"</f>
        <v>SECRYPT 2011 - Proceedings of the International Conference on Security and Cryptography</v>
      </c>
      <c r="B18561" s="8" t="str">
        <f>"9789898425713"</f>
        <v>9789898425713</v>
      </c>
      <c r="C18561" s="8" t="s">
        <v>1680</v>
      </c>
    </row>
    <row r="18562" spans="1:3" x14ac:dyDescent="0.25">
      <c r="A18562" s="8" t="str">
        <f>"SECRYPT 2012 - Proceedings of the International Conference on Security and Cryptography"</f>
        <v>SECRYPT 2012 - Proceedings of the International Conference on Security and Cryptography</v>
      </c>
      <c r="B18562" s="8" t="str">
        <f>"9789898565242"</f>
        <v>9789898565242</v>
      </c>
      <c r="C18562" s="8" t="s">
        <v>1197</v>
      </c>
    </row>
    <row r="18563" spans="1:3" x14ac:dyDescent="0.25">
      <c r="A18563" s="8" t="str">
        <f>"SECRYPT 2014 - Proceedings of the 11th International Conference on Security and Cryptography, Part of ICETE 2014 - 11th International Joint Conference on e-Business and Telecommunications"</f>
        <v>SECRYPT 2014 - Proceedings of the 11th International Conference on Security and Cryptography, Part of ICETE 2014 - 11th International Joint Conference on e-Business and Telecommunications</v>
      </c>
      <c r="B18563" s="8" t="str">
        <f>"9789897580451"</f>
        <v>9789897580451</v>
      </c>
      <c r="C18563" s="8" t="s">
        <v>1197</v>
      </c>
    </row>
    <row r="18564" spans="1:3" x14ac:dyDescent="0.25">
      <c r="A18564" s="8" t="str">
        <f>"Security in Information Systems - Proceedings of the 6th International Workshop on Security in Information Systems, WOSIS 2008; In Conjunction with ICEIS 2008"</f>
        <v>Security in Information Systems - Proceedings of the 6th International Workshop on Security in Information Systems, WOSIS 2008; In Conjunction with ICEIS 2008</v>
      </c>
      <c r="B18564" s="8" t="str">
        <f>"9789898111449"</f>
        <v>9789898111449</v>
      </c>
      <c r="C18564" s="8" t="s">
        <v>1553</v>
      </c>
    </row>
    <row r="18565" spans="1:3" x14ac:dyDescent="0.25">
      <c r="A18565" s="8" t="str">
        <f>"Security in Information Systems - Proceedings of the 7th International Workshop on Security in Information Systems - WOSIS 2009 In Conjunction with ICEIS 2009"</f>
        <v>Security in Information Systems - Proceedings of the 7th International Workshop on Security in Information Systems - WOSIS 2009 In Conjunction with ICEIS 2009</v>
      </c>
      <c r="B18565" s="8" t="str">
        <f>"9789898111913"</f>
        <v>9789898111913</v>
      </c>
      <c r="C18565" s="8" t="s">
        <v>1680</v>
      </c>
    </row>
    <row r="18566" spans="1:3" x14ac:dyDescent="0.25">
      <c r="A18566" s="8" t="str">
        <f>"Security of Information and Networks - Proceedings of the 1st International Conference on Security of Information and Networks, SIN 2007"</f>
        <v>Security of Information and Networks - Proceedings of the 1st International Conference on Security of Information and Networks, SIN 2007</v>
      </c>
      <c r="B18566" s="8" t="str">
        <f>"9781425141097"</f>
        <v>9781425141097</v>
      </c>
      <c r="C18566" s="8" t="s">
        <v>2315</v>
      </c>
    </row>
    <row r="18567" spans="1:3" x14ac:dyDescent="0.25">
      <c r="A18567" s="8" t="str">
        <f>"SECURWARE 2011 - 5th International Conference on Emerging Security Information, Systems and Technologies"</f>
        <v>SECURWARE 2011 - 5th International Conference on Emerging Security Information, Systems and Technologies</v>
      </c>
      <c r="B18567" s="8" t="str">
        <f>"9781612081465"</f>
        <v>9781612081465</v>
      </c>
      <c r="C18567" s="8" t="s">
        <v>2316</v>
      </c>
    </row>
    <row r="18568" spans="1:3" x14ac:dyDescent="0.25">
      <c r="A18568" s="8" t="str">
        <f>"SECURWARE 2012 - 6th International Conference on Emerging Security Information, Systems and Technologies"</f>
        <v>SECURWARE 2012 - 6th International Conference on Emerging Security Information, Systems and Technologies</v>
      </c>
      <c r="B18568" s="8" t="str">
        <f>"9781612082097"</f>
        <v>9781612082097</v>
      </c>
      <c r="C18568" s="8" t="s">
        <v>2316</v>
      </c>
    </row>
    <row r="18569" spans="1:3" x14ac:dyDescent="0.25">
      <c r="A18569" s="8" t="str">
        <f>"SECURWARE 2013 - 7th International Conference on Emerging Security Information, Systems and Technologies"</f>
        <v>SECURWARE 2013 - 7th International Conference on Emerging Security Information, Systems and Technologies</v>
      </c>
      <c r="B18569" s="8" t="str">
        <f>"9781612082981"</f>
        <v>9781612082981</v>
      </c>
      <c r="C18569" s="8" t="s">
        <v>373</v>
      </c>
    </row>
    <row r="18570" spans="1:3" x14ac:dyDescent="0.25">
      <c r="A18570" s="8" t="str">
        <f>"SECURWARE 2014 - 8th International Conference on Emerging Security Information, Systems and Technologies"</f>
        <v>SECURWARE 2014 - 8th International Conference on Emerging Security Information, Systems and Technologies</v>
      </c>
      <c r="B18570" s="8" t="str">
        <f>"-"</f>
        <v>-</v>
      </c>
      <c r="C18570" s="8" t="s">
        <v>373</v>
      </c>
    </row>
    <row r="18571" spans="1:3" x14ac:dyDescent="0.25">
      <c r="A18571" s="8" t="str">
        <f>"Seeing the Unseen - Geophysics and Landscape Archaeology"</f>
        <v>Seeing the Unseen - Geophysics and Landscape Archaeology</v>
      </c>
      <c r="B18571" s="8" t="str">
        <f>"9780415447218"</f>
        <v>9780415447218</v>
      </c>
      <c r="C18571" s="8" t="s">
        <v>1637</v>
      </c>
    </row>
    <row r="18572" spans="1:3" x14ac:dyDescent="0.25">
      <c r="A18572" s="8" t="str">
        <f>"SEFI 2005 Annual Conference: Engineering Education at the Cross-Roads of Civilizations"</f>
        <v>SEFI 2005 Annual Conference: Engineering Education at the Cross-Roads of Civilizations</v>
      </c>
      <c r="B18572" s="8" t="str">
        <f>"9789754292367"</f>
        <v>9789754292367</v>
      </c>
      <c r="C18572" s="8" t="s">
        <v>2317</v>
      </c>
    </row>
    <row r="18573" spans="1:3" x14ac:dyDescent="0.25">
      <c r="A18573" s="8" t="str">
        <f>"SEFI 2006 - 34th Annual Conference: Engineering Education and Active Students"</f>
        <v>SEFI 2006 - 34th Annual Conference: Engineering Education and Active Students</v>
      </c>
      <c r="B18573" s="8" t="str">
        <f>"9789163183874"</f>
        <v>9789163183874</v>
      </c>
      <c r="C18573" s="8" t="s">
        <v>2318</v>
      </c>
    </row>
    <row r="18574" spans="1:3" x14ac:dyDescent="0.25">
      <c r="A18574" s="8" t="str">
        <f>"SEFI 37th Annual Conference 2009"</f>
        <v>SEFI 37th Annual Conference 2009</v>
      </c>
      <c r="B18574" s="8" t="str">
        <f>"-"</f>
        <v>-</v>
      </c>
      <c r="C18574" s="8" t="s">
        <v>1518</v>
      </c>
    </row>
    <row r="18575" spans="1:3" x14ac:dyDescent="0.25">
      <c r="A18575" s="8" t="str">
        <f>"SEFI Annual Conference 2011"</f>
        <v>SEFI Annual Conference 2011</v>
      </c>
      <c r="B18575" s="8" t="str">
        <f>"-"</f>
        <v>-</v>
      </c>
      <c r="C18575" s="8" t="s">
        <v>1518</v>
      </c>
    </row>
    <row r="18576" spans="1:3" x14ac:dyDescent="0.25">
      <c r="A18576" s="8" t="str">
        <f>"SEFI Annual Conference 2014"</f>
        <v>SEFI Annual Conference 2014</v>
      </c>
      <c r="B18576" s="8" t="str">
        <f>"-"</f>
        <v>-</v>
      </c>
      <c r="C18576" s="8" t="s">
        <v>1518</v>
      </c>
    </row>
    <row r="18577" spans="1:3" x14ac:dyDescent="0.25">
      <c r="A18577" s="8" t="str">
        <f>"SEFM 2009 - 7th IEEE International Conference on Software Engineering and Formal Methods"</f>
        <v>SEFM 2009 - 7th IEEE International Conference on Software Engineering and Formal Methods</v>
      </c>
      <c r="B18577" s="8" t="str">
        <f>"9780769538709"</f>
        <v>9780769538709</v>
      </c>
      <c r="C18577" s="8" t="s">
        <v>9</v>
      </c>
    </row>
    <row r="18578" spans="1:3" x14ac:dyDescent="0.25">
      <c r="A18578" s="8" t="str">
        <f>"SeGAH 2013 - IEEE 2nd International Conference on Serious Games and Applications for Health, Book of Proceedings"</f>
        <v>SeGAH 2013 - IEEE 2nd International Conference on Serious Games and Applications for Health, Book of Proceedings</v>
      </c>
      <c r="B18578" s="8" t="str">
        <f>"9781467361651"</f>
        <v>9781467361651</v>
      </c>
      <c r="C18578" s="8" t="s">
        <v>9</v>
      </c>
    </row>
    <row r="18579" spans="1:3" x14ac:dyDescent="0.25">
      <c r="A18579" s="8" t="str">
        <f>"SeGAH 2014 - IEEE 3rd International Conference on Serious Games and Applications for Health, Books of Proceedings"</f>
        <v>SeGAH 2014 - IEEE 3rd International Conference on Serious Games and Applications for Health, Books of Proceedings</v>
      </c>
      <c r="B18579" s="8" t="str">
        <f>"9781479948239"</f>
        <v>9781479948239</v>
      </c>
      <c r="C18579" s="8" t="s">
        <v>105</v>
      </c>
    </row>
    <row r="18580" spans="1:3" x14ac:dyDescent="0.25">
      <c r="A18580" s="8" t="str">
        <f>"SEI 2010 - 101. Tagung der Studiengruppe Elektronische Instrumentierung im Herbst 2010"</f>
        <v>SEI 2010 - 101. Tagung der Studiengruppe Elektronische Instrumentierung im Herbst 2010</v>
      </c>
      <c r="B18580" s="8" t="str">
        <f>"9783935702515"</f>
        <v>9783935702515</v>
      </c>
      <c r="C18580" s="8" t="s">
        <v>1863</v>
      </c>
    </row>
    <row r="18581" spans="1:3" x14ac:dyDescent="0.25">
      <c r="A18581" s="8" t="str">
        <f>"SEI 2011 - 102. Tagung der Studiengruppe Elektronische Instrumentierung im Fruhjahr 2011"</f>
        <v>SEI 2011 - 102. Tagung der Studiengruppe Elektronische Instrumentierung im Fruhjahr 2011</v>
      </c>
      <c r="B18581" s="8" t="str">
        <f>"9783935702584"</f>
        <v>9783935702584</v>
      </c>
      <c r="C18581" s="8" t="s">
        <v>1863</v>
      </c>
    </row>
    <row r="18582" spans="1:3" x14ac:dyDescent="0.25">
      <c r="A18582" s="8" t="str">
        <f>"SEI 2012 - 103. Tagung der Studiengruppe Elektronische Instrumentierung im Fruhjahr 2012"</f>
        <v>SEI 2012 - 103. Tagung der Studiengruppe Elektronische Instrumentierung im Fruhjahr 2012</v>
      </c>
      <c r="B18582" s="8" t="str">
        <f>"9783935702652"</f>
        <v>9783935702652</v>
      </c>
      <c r="C18582" s="8" t="s">
        <v>1863</v>
      </c>
    </row>
    <row r="18583" spans="1:3" x14ac:dyDescent="0.25">
      <c r="A18583" s="8" t="str">
        <f>"SEI 2013 - 104. Tagung der Studiengruppe Elektronische Instrumentierung im Fruhjahr 2013"</f>
        <v>SEI 2013 - 104. Tagung der Studiengruppe Elektronische Instrumentierung im Fruhjahr 2013</v>
      </c>
      <c r="B18583" s="8" t="str">
        <f>"9783935702720"</f>
        <v>9783935702720</v>
      </c>
      <c r="C18583" s="8" t="s">
        <v>1863</v>
      </c>
    </row>
    <row r="18584" spans="1:3" x14ac:dyDescent="0.25">
      <c r="A18584" s="8" t="str">
        <f>"SEI 2014 - 105. Tagung der Studiengruppe Elektronische Instrumentierung im Fruhjahr 2014"</f>
        <v>SEI 2014 - 105. Tagung der Studiengruppe Elektronische Instrumentierung im Fruhjahr 2014</v>
      </c>
      <c r="B18584" s="8" t="str">
        <f>"9783935702850"</f>
        <v>9783935702850</v>
      </c>
      <c r="C18584" s="8" t="s">
        <v>1863</v>
      </c>
    </row>
    <row r="18585" spans="1:3" x14ac:dyDescent="0.25">
      <c r="A18585" s="8" t="str">
        <f>"SEKE 2010 - Proceedings of the 22nd International Conference on Software Engineering and Knowledge Engineering"</f>
        <v>SEKE 2010 - Proceedings of the 22nd International Conference on Software Engineering and Knowledge Engineering</v>
      </c>
      <c r="B18585" s="8" t="str">
        <f>"9781891706264"</f>
        <v>9781891706264</v>
      </c>
      <c r="C18585" s="8" t="s">
        <v>986</v>
      </c>
    </row>
    <row r="18586" spans="1:3" x14ac:dyDescent="0.25">
      <c r="A18586" s="8" t="str">
        <f>"SEKE 2011 - Proceedings of the 23rd International Conference on Software Engineering and Knowledge Engineering"</f>
        <v>SEKE 2011 - Proceedings of the 23rd International Conference on Software Engineering and Knowledge Engineering</v>
      </c>
      <c r="B18586" s="8" t="str">
        <f>"9781891706295"</f>
        <v>9781891706295</v>
      </c>
      <c r="C18586" s="8" t="s">
        <v>986</v>
      </c>
    </row>
    <row r="18587" spans="1:3" x14ac:dyDescent="0.25">
      <c r="A18587" s="8" t="str">
        <f>"Sel. Topics in Energy, Environ., Sustainable Dev. and Landscaping - 6th WSEAS Int. Conf. on Energy, Environ., Ecosystems and Sustainable Dev., EEESD'10, 3rd WSEAS Int. Conf. on Landsc. Archit., LA'10"</f>
        <v>Sel. Topics in Energy, Environ., Sustainable Dev. and Landscaping - 6th WSEAS Int. Conf. on Energy, Environ., Ecosystems and Sustainable Dev., EEESD'10, 3rd WSEAS Int. Conf. on Landsc. Archit., LA'10</v>
      </c>
      <c r="B18587" s="8" t="str">
        <f>"9789604742370"</f>
        <v>9789604742370</v>
      </c>
      <c r="C18587" s="8" t="s">
        <v>553</v>
      </c>
    </row>
    <row r="18588" spans="1:3" x14ac:dyDescent="0.25">
      <c r="A18588" s="8" t="str">
        <f>"Selenium in the Environment and Human Health - Proceedings of the 3rd International Conference on Selenium in the Environment and Human Health"</f>
        <v>Selenium in the Environment and Human Health - Proceedings of the 3rd International Conference on Selenium in the Environment and Human Health</v>
      </c>
      <c r="B18588" s="8" t="str">
        <f>"-"</f>
        <v>-</v>
      </c>
      <c r="C18588" s="8" t="s">
        <v>1619</v>
      </c>
    </row>
    <row r="18589" spans="1:3" x14ac:dyDescent="0.25">
      <c r="A18589" s="8" t="str">
        <f>"Self-IoT'12 - Proceedings of the 2012 International Workshop on Self-Aware Internet of Things, Co-located with ICAC'12"</f>
        <v>Self-IoT'12 - Proceedings of the 2012 International Workshop on Self-Aware Internet of Things, Co-located with ICAC'12</v>
      </c>
      <c r="B18589" s="8" t="str">
        <f>"9781450317535"</f>
        <v>9781450317535</v>
      </c>
      <c r="C18589" s="8" t="s">
        <v>21</v>
      </c>
    </row>
    <row r="18590" spans="1:3" x14ac:dyDescent="0.25">
      <c r="A18590" s="8" t="str">
        <f>"SEM 2005 - Proceedings of the 5th International Workshop on Software Engineering and Middleware"</f>
        <v>SEM 2005 - Proceedings of the 5th International Workshop on Software Engineering and Middleware</v>
      </c>
      <c r="B18590" s="8" t="str">
        <f>"-"</f>
        <v>-</v>
      </c>
      <c r="C18590" s="8" t="s">
        <v>21</v>
      </c>
    </row>
    <row r="18591" spans="1:3" x14ac:dyDescent="0.25">
      <c r="A18591" s="8" t="str">
        <f>"SEM 2006: Sixth International Workshop on Software Engineering and Middleware - Workshop Proceedings"</f>
        <v>SEM 2006: Sixth International Workshop on Software Engineering and Middleware - Workshop Proceedings</v>
      </c>
      <c r="B18591" s="8" t="str">
        <f>"9781595935854"</f>
        <v>9781595935854</v>
      </c>
      <c r="C18591" s="8" t="s">
        <v>21</v>
      </c>
    </row>
    <row r="18592" spans="1:3" x14ac:dyDescent="0.25">
      <c r="A18592" s="8" t="str">
        <f>"Semantic Approaches in Natural Language Processing - Proceedings of the Conference on Natural Language Processing 2010, KONVENS"</f>
        <v>Semantic Approaches in Natural Language Processing - Proceedings of the Conference on Natural Language Processing 2010, KONVENS</v>
      </c>
      <c r="B18592" s="8" t="str">
        <f>"9783862230051"</f>
        <v>9783862230051</v>
      </c>
      <c r="C18592" s="8" t="s">
        <v>2319</v>
      </c>
    </row>
    <row r="18593" spans="1:3" x14ac:dyDescent="0.25">
      <c r="A18593" s="8" t="str">
        <f>"Semiconductor Technology, ISTC2007 - Proceedings of the 6th International Conference on Semiconductor Technology"</f>
        <v>Semiconductor Technology, ISTC2007 - Proceedings of the 6th International Conference on Semiconductor Technology</v>
      </c>
      <c r="B18593" s="8" t="str">
        <f>"9789889884444"</f>
        <v>9789889884444</v>
      </c>
      <c r="C18593" s="8" t="s">
        <v>394</v>
      </c>
    </row>
    <row r="18594" spans="1:3" x14ac:dyDescent="0.25">
      <c r="A18594" s="8" t="str">
        <f>"Sense Transport'12 - Proceedings of the 6th ACM Workshop on Next Generation Mobile Computing for Dynamic Personalised Travel Planning"</f>
        <v>Sense Transport'12 - Proceedings of the 6th ACM Workshop on Next Generation Mobile Computing for Dynamic Personalised Travel Planning</v>
      </c>
      <c r="B18594" s="8" t="str">
        <f>"9781450313254"</f>
        <v>9781450313254</v>
      </c>
      <c r="C18594" s="8" t="s">
        <v>21</v>
      </c>
    </row>
    <row r="18595" spans="1:3" x14ac:dyDescent="0.25">
      <c r="A18595" s="8" t="str">
        <f>"SenseMine 2013 - Proceedings of the 1st International Workshop on Sensing and Big Data Mining"</f>
        <v>SenseMine 2013 - Proceedings of the 1st International Workshop on Sensing and Big Data Mining</v>
      </c>
      <c r="B18595" s="8" t="str">
        <f>"9781450324304"</f>
        <v>9781450324304</v>
      </c>
      <c r="C18595" s="8" t="s">
        <v>21</v>
      </c>
    </row>
    <row r="18596" spans="1:3" x14ac:dyDescent="0.25">
      <c r="A18596" s="8" t="str">
        <f>"SENSORCOMM 2011 - 5th International Conference on Sensor Technologies and Applications and WSNSCM 2011, 1st International Workshop on Sensor Networks for Supply Chain Management"</f>
        <v>SENSORCOMM 2011 - 5th International Conference on Sensor Technologies and Applications and WSNSCM 2011, 1st International Workshop on Sensor Networks for Supply Chain Management</v>
      </c>
      <c r="B18596" s="8" t="str">
        <f>"9781612081441"</f>
        <v>9781612081441</v>
      </c>
      <c r="C18596" s="8" t="s">
        <v>373</v>
      </c>
    </row>
    <row r="18597" spans="1:3" x14ac:dyDescent="0.25">
      <c r="A18597" s="8" t="str">
        <f>"SENSORCOMM 2014 - 8th International Conference on Sensor Technologies and Applications"</f>
        <v>SENSORCOMM 2014 - 8th International Conference on Sensor Technologies and Applications</v>
      </c>
      <c r="B18597" s="8" t="str">
        <f>"-"</f>
        <v>-</v>
      </c>
      <c r="C18597" s="8" t="s">
        <v>2316</v>
      </c>
    </row>
    <row r="18598" spans="1:3" x14ac:dyDescent="0.25">
      <c r="A18598" s="8" t="str">
        <f>"SENSORNETS 2012 - Proceedings of the 1st International Conference on Sensor Networks"</f>
        <v>SENSORNETS 2012 - Proceedings of the 1st International Conference on Sensor Networks</v>
      </c>
      <c r="B18598" s="8" t="str">
        <f>"9789898565013"</f>
        <v>9789898565013</v>
      </c>
      <c r="C18598" s="8" t="s">
        <v>1197</v>
      </c>
    </row>
    <row r="18599" spans="1:3" x14ac:dyDescent="0.25">
      <c r="A18599" s="8" t="str">
        <f>"SENSORNETS 2013 - Proceedings of the 2nd International Conference on Sensor Networks"</f>
        <v>SENSORNETS 2013 - Proceedings of the 2nd International Conference on Sensor Networks</v>
      </c>
      <c r="B18599" s="8" t="str">
        <f>"9789898565457"</f>
        <v>9789898565457</v>
      </c>
      <c r="C18599" s="8" t="s">
        <v>1680</v>
      </c>
    </row>
    <row r="18600" spans="1:3" x14ac:dyDescent="0.25">
      <c r="A18600" s="8" t="str">
        <f>"SENSORNETS 2015 - 4th International Conference on Sensor Networks, Proceedings"</f>
        <v>SENSORNETS 2015 - 4th International Conference on Sensor Networks, Proceedings</v>
      </c>
      <c r="B18600" s="8" t="str">
        <f>"9789897580864"</f>
        <v>9789897580864</v>
      </c>
      <c r="C18600" s="8" t="s">
        <v>1197</v>
      </c>
    </row>
    <row r="18601" spans="1:3" x14ac:dyDescent="0.25">
      <c r="A18601" s="8" t="str">
        <f>"Sensors 2013 - Topical Conference at the 2013 AIChE Annual Meeting: Global Challenges for Engineering a Sustainable Future"</f>
        <v>Sensors 2013 - Topical Conference at the 2013 AIChE Annual Meeting: Global Challenges for Engineering a Sustainable Future</v>
      </c>
      <c r="B18601" s="8" t="str">
        <f>"9781634390262"</f>
        <v>9781634390262</v>
      </c>
      <c r="C18601" s="8" t="s">
        <v>1219</v>
      </c>
    </row>
    <row r="18602" spans="1:3" x14ac:dyDescent="0.25">
      <c r="A18602" s="8" t="str">
        <f>"SenSys 2010 - Proceedings of the 8th ACM Conference on Embedded Networked Sensor Systems"</f>
        <v>SenSys 2010 - Proceedings of the 8th ACM Conference on Embedded Networked Sensor Systems</v>
      </c>
      <c r="B18602" s="8" t="str">
        <f>"9781450303446"</f>
        <v>9781450303446</v>
      </c>
      <c r="C18602" s="8" t="s">
        <v>21</v>
      </c>
    </row>
    <row r="18603" spans="1:3" x14ac:dyDescent="0.25">
      <c r="A18603" s="8" t="str">
        <f>"SenSys 2011 - Proceedings of the 9th ACM Conference on Embedded Networked Sensor Systems"</f>
        <v>SenSys 2011 - Proceedings of the 9th ACM Conference on Embedded Networked Sensor Systems</v>
      </c>
      <c r="B18603" s="8" t="str">
        <f>"9781450307185"</f>
        <v>9781450307185</v>
      </c>
      <c r="C18603" s="8" t="s">
        <v>21</v>
      </c>
    </row>
    <row r="18604" spans="1:3" x14ac:dyDescent="0.25">
      <c r="A18604" s="8" t="str">
        <f>"SenSys 2012 - Proceedings of the 10th ACM Conference on Embedded Networked Sensor Systems"</f>
        <v>SenSys 2012 - Proceedings of the 10th ACM Conference on Embedded Networked Sensor Systems</v>
      </c>
      <c r="B18604" s="8" t="str">
        <f>"9781450311694"</f>
        <v>9781450311694</v>
      </c>
      <c r="C18604" s="8" t="s">
        <v>21</v>
      </c>
    </row>
    <row r="18605" spans="1:3" x14ac:dyDescent="0.25">
      <c r="A18605" s="8" t="str">
        <f>"SenSys 2013 - Proceedings of the 11th ACM Conference on Embedded Networked Sensor Systems"</f>
        <v>SenSys 2013 - Proceedings of the 11th ACM Conference on Embedded Networked Sensor Systems</v>
      </c>
      <c r="B18605" s="8" t="str">
        <f>"9781450320276"</f>
        <v>9781450320276</v>
      </c>
      <c r="C18605" s="8" t="s">
        <v>21</v>
      </c>
    </row>
    <row r="18606" spans="1:3" x14ac:dyDescent="0.25">
      <c r="A18606" s="8" t="str">
        <f>"SenSys 2014 - Proceedings of the 12th ACM Conference on Embedded Networked Sensor Systems"</f>
        <v>SenSys 2014 - Proceedings of the 12th ACM Conference on Embedded Networked Sensor Systems</v>
      </c>
      <c r="B18606" s="8" t="str">
        <f>"9781450331432"</f>
        <v>9781450331432</v>
      </c>
      <c r="C18606" s="8" t="s">
        <v>1235</v>
      </c>
    </row>
    <row r="18607" spans="1:3" x14ac:dyDescent="0.25">
      <c r="A18607" s="8" t="str">
        <f>"SenSys'03: Proceedings of the First International Conference on Embedded Networked Sensor Systems"</f>
        <v>SenSys'03: Proceedings of the First International Conference on Embedded Networked Sensor Systems</v>
      </c>
      <c r="B18607" s="8" t="str">
        <f>"9781581137071"</f>
        <v>9781581137071</v>
      </c>
      <c r="C18607" s="8" t="s">
        <v>21</v>
      </c>
    </row>
    <row r="18608" spans="1:3" x14ac:dyDescent="0.25">
      <c r="A18608" s="8" t="str">
        <f>"SenSys'04 - Proceedings of the 2nd International Conference on Embedded Networked Sensor Systems"</f>
        <v>SenSys'04 - Proceedings of the 2nd International Conference on Embedded Networked Sensor Systems</v>
      </c>
      <c r="B18608" s="8" t="str">
        <f>"9781581138795"</f>
        <v>9781581138795</v>
      </c>
      <c r="C18608" s="8" t="s">
        <v>21</v>
      </c>
    </row>
    <row r="18609" spans="1:3" x14ac:dyDescent="0.25">
      <c r="A18609" s="8" t="str">
        <f>"SenSys'04 - Proceedings of the Second International Conference on Embedded Networked Sensor Systems"</f>
        <v>SenSys'04 - Proceedings of the Second International Conference on Embedded Networked Sensor Systems</v>
      </c>
      <c r="B18609" s="8" t="str">
        <f>"9781581138795"</f>
        <v>9781581138795</v>
      </c>
      <c r="C18609" s="8" t="s">
        <v>21</v>
      </c>
    </row>
    <row r="18610" spans="1:3" x14ac:dyDescent="0.25">
      <c r="A18610" s="8" t="str">
        <f>"SenSys'06: Proceedings of the Fourth International Conference on Embedded Networked Sensor Systems"</f>
        <v>SenSys'06: Proceedings of the Fourth International Conference on Embedded Networked Sensor Systems</v>
      </c>
      <c r="B18610" s="8" t="str">
        <f>"9781595933430"</f>
        <v>9781595933430</v>
      </c>
      <c r="C18610" s="8" t="s">
        <v>21</v>
      </c>
    </row>
    <row r="18611" spans="1:3" x14ac:dyDescent="0.25">
      <c r="A18611" s="8" t="str">
        <f>"SenSys'07 - Proceedings of the 5th ACM Conference on Embedded Networked Sensor Systems"</f>
        <v>SenSys'07 - Proceedings of the 5th ACM Conference on Embedded Networked Sensor Systems</v>
      </c>
      <c r="B18611" s="8" t="str">
        <f>"9781595937636"</f>
        <v>9781595937636</v>
      </c>
      <c r="C18611" s="8" t="s">
        <v>21</v>
      </c>
    </row>
    <row r="18612" spans="1:3" x14ac:dyDescent="0.25">
      <c r="A18612" s="8" t="str">
        <f>"SenSys'08 - Proceedings of the 6th ACM Conference on Embedded Networked Sensor Systems"</f>
        <v>SenSys'08 - Proceedings of the 6th ACM Conference on Embedded Networked Sensor Systems</v>
      </c>
      <c r="B18612" s="8" t="str">
        <f>"9781595939906"</f>
        <v>9781595939906</v>
      </c>
      <c r="C18612" s="8" t="s">
        <v>21</v>
      </c>
    </row>
    <row r="18613" spans="1:3" x14ac:dyDescent="0.25">
      <c r="A18613" s="8" t="str">
        <f>"Separation Technologies for Minerals, Coal, and Earth Resources"</f>
        <v>Separation Technologies for Minerals, Coal, and Earth Resources</v>
      </c>
      <c r="B18613" s="8" t="str">
        <f>"9780873353397"</f>
        <v>9780873353397</v>
      </c>
      <c r="C18613" s="8" t="s">
        <v>877</v>
      </c>
    </row>
    <row r="18614" spans="1:3" x14ac:dyDescent="0.25">
      <c r="A18614" s="8" t="str">
        <f>"Separations Division 2013 - Core Programming Area at the 2013 AIChE Annual Meeting: Global Challenges for Engineering a Sustainable Future"</f>
        <v>Separations Division 2013 - Core Programming Area at the 2013 AIChE Annual Meeting: Global Challenges for Engineering a Sustainable Future</v>
      </c>
      <c r="B18614" s="8" t="str">
        <f>"9781634390545"</f>
        <v>9781634390545</v>
      </c>
      <c r="C18614" s="8" t="s">
        <v>1219</v>
      </c>
    </row>
    <row r="18615" spans="1:3" x14ac:dyDescent="0.25">
      <c r="A18615" s="8" t="str">
        <f>"Separations Division 2014 - Core Programming Area at the 2014 AIChE Spring Meeting and 10th Global Congress on Process Safety"</f>
        <v>Separations Division 2014 - Core Programming Area at the 2014 AIChE Spring Meeting and 10th Global Congress on Process Safety</v>
      </c>
      <c r="B18615" s="8" t="str">
        <f>"9781634390798"</f>
        <v>9781634390798</v>
      </c>
      <c r="C18615" s="8" t="s">
        <v>1219</v>
      </c>
    </row>
    <row r="18616" spans="1:3" x14ac:dyDescent="0.25">
      <c r="A18616" s="8" t="str">
        <f>"SeriousGames 2014 - Proceedings of the 2014 ACM International Workshop on Serious Games, Workshop of MM 2014"</f>
        <v>SeriousGames 2014 - Proceedings of the 2014 ACM International Workshop on Serious Games, Workshop of MM 2014</v>
      </c>
      <c r="B18616" s="8" t="str">
        <f>"9781450331210"</f>
        <v>9781450331210</v>
      </c>
      <c r="C18616" s="8" t="s">
        <v>1235</v>
      </c>
    </row>
    <row r="18617" spans="1:3" x14ac:dyDescent="0.25">
      <c r="A18617" s="8" t="str">
        <f>"Service Life Prediction of Polymeric Materials: Global Perspectives"</f>
        <v>Service Life Prediction of Polymeric Materials: Global Perspectives</v>
      </c>
      <c r="B18617" s="8" t="str">
        <f>"9780387848754"</f>
        <v>9780387848754</v>
      </c>
      <c r="C18617" s="8" t="s">
        <v>834</v>
      </c>
    </row>
    <row r="18618" spans="1:3" x14ac:dyDescent="0.25">
      <c r="A18618" s="8" t="str">
        <f>"SERVICES 2009 - 5th 2009 World Congress on Services"</f>
        <v>SERVICES 2009 - 5th 2009 World Congress on Services</v>
      </c>
      <c r="B18618" s="8" t="str">
        <f>"9780769538129"</f>
        <v>9780769538129</v>
      </c>
      <c r="C18618" s="8" t="s">
        <v>9</v>
      </c>
    </row>
    <row r="18619" spans="1:3" x14ac:dyDescent="0.25">
      <c r="A18619" s="8" t="str">
        <f>"SESP 2013 - Proceedings of the 1st International Workshop on Security in Embedded Systems and Smartphones"</f>
        <v>SESP 2013 - Proceedings of the 1st International Workshop on Security in Embedded Systems and Smartphones</v>
      </c>
      <c r="B18619" s="8" t="str">
        <f>"9781450320689"</f>
        <v>9781450320689</v>
      </c>
      <c r="C18619" s="8" t="s">
        <v>21</v>
      </c>
    </row>
    <row r="18620" spans="1:3" x14ac:dyDescent="0.25">
      <c r="A18620" s="8" t="str">
        <f>"Seventeenth International Specialty Conference on Cold-Formed Steel Structures: Recent Research and Developments in Cold-Formed Steel Design and Construction"</f>
        <v>Seventeenth International Specialty Conference on Cold-Formed Steel Structures: Recent Research and Developments in Cold-Formed Steel Design and Construction</v>
      </c>
      <c r="B18620" s="8" t="str">
        <f>"-"</f>
        <v>-</v>
      </c>
      <c r="C18620" s="8" t="s">
        <v>1399</v>
      </c>
    </row>
    <row r="18621" spans="1:3" x14ac:dyDescent="0.25">
      <c r="A18621" s="8" t="str">
        <f>"Seventh International Conference on Web-Age Information Management Workshops, WAIM 2006"</f>
        <v>Seventh International Conference on Web-Age Information Management Workshops, WAIM 2006</v>
      </c>
      <c r="B18621" s="8" t="str">
        <f>"9780769527055"</f>
        <v>9780769527055</v>
      </c>
      <c r="C18621" s="8" t="s">
        <v>9</v>
      </c>
    </row>
    <row r="18622" spans="1:3" x14ac:dyDescent="0.25">
      <c r="A18622" s="8" t="str">
        <f>"Shale Gas and Tight Oil 2014 - Topical Conference at the 2014 AIChE Spring Meeting and 10th Global Congress on Process Safety"</f>
        <v>Shale Gas and Tight Oil 2014 - Topical Conference at the 2014 AIChE Spring Meeting and 10th Global Congress on Process Safety</v>
      </c>
      <c r="B18622" s="8" t="str">
        <f>"9781634390590"</f>
        <v>9781634390590</v>
      </c>
      <c r="C18622" s="8" t="s">
        <v>1219</v>
      </c>
    </row>
    <row r="18623" spans="1:3" x14ac:dyDescent="0.25">
      <c r="A18623" s="8" t="str">
        <f>"Shallow Anomalies Workshop: Indications of Prospective Petroleum Systems?"</f>
        <v>Shallow Anomalies Workshop: Indications of Prospective Petroleum Systems?</v>
      </c>
      <c r="B18623" s="8" t="str">
        <f>"-"</f>
        <v>-</v>
      </c>
      <c r="C18623" s="8" t="s">
        <v>1251</v>
      </c>
    </row>
    <row r="18624" spans="1:3" x14ac:dyDescent="0.25">
      <c r="A18624" s="8" t="str">
        <f>"Shape Casting: 3rd International Symposium 2009"</f>
        <v>Shape Casting: 3rd International Symposium 2009</v>
      </c>
      <c r="B18624" s="8" t="str">
        <f>"9780873397346"</f>
        <v>9780873397346</v>
      </c>
      <c r="C18624" s="8" t="s">
        <v>1844</v>
      </c>
    </row>
    <row r="18625" spans="1:3" x14ac:dyDescent="0.25">
      <c r="A18625" s="8" t="str">
        <f>"Shapes and Geometries Analysis, Differential Calculus, and Optimization"</f>
        <v>Shapes and Geometries Analysis, Differential Calculus, and Optimization</v>
      </c>
      <c r="B18625" s="8" t="str">
        <f>"9780898714890"</f>
        <v>9780898714890</v>
      </c>
      <c r="C18625" s="8" t="s">
        <v>249</v>
      </c>
    </row>
    <row r="18626" spans="1:3" x14ac:dyDescent="0.25">
      <c r="A18626" s="8" t="str">
        <f>"Shell Structures: Theory and Applications - Proceedings of the 10th SSTA 2013 Conference"</f>
        <v>Shell Structures: Theory and Applications - Proceedings of the 10th SSTA 2013 Conference</v>
      </c>
      <c r="B18626" s="8" t="str">
        <f>"9781138000827"</f>
        <v>9781138000827</v>
      </c>
      <c r="C18626" s="8" t="s">
        <v>1619</v>
      </c>
    </row>
    <row r="18627" spans="1:3" x14ac:dyDescent="0.25">
      <c r="A18627" s="8" t="str">
        <f>"Shell Structures: Theory and Applications - Proceedings of the 9th SSTA Conference"</f>
        <v>Shell Structures: Theory and Applications - Proceedings of the 9th SSTA Conference</v>
      </c>
      <c r="B18627" s="8" t="str">
        <f>"9780415548830"</f>
        <v>9780415548830</v>
      </c>
      <c r="C18627" s="8" t="s">
        <v>1637</v>
      </c>
    </row>
    <row r="18628" spans="1:3" x14ac:dyDescent="0.25">
      <c r="A18628" s="8" t="str">
        <f>"SHMII-5 2011 - 5th International Conference on Structural Health Monitoring of Intelligent Infrastructure"</f>
        <v>SHMII-5 2011 - 5th International Conference on Structural Health Monitoring of Intelligent Infrastructure</v>
      </c>
      <c r="B18628" s="8" t="str">
        <f>"-"</f>
        <v>-</v>
      </c>
      <c r="C18628" s="8" t="s">
        <v>2320</v>
      </c>
    </row>
    <row r="18629" spans="1:3" x14ac:dyDescent="0.25">
      <c r="A18629" s="8" t="str">
        <f>"Shotcrete for Underground Support X - Proceedings of the Tenth International Conference on Shotcrete for Underground Support"</f>
        <v>Shotcrete for Underground Support X - Proceedings of the Tenth International Conference on Shotcrete for Underground Support</v>
      </c>
      <c r="B18629" s="8" t="str">
        <f>"-"</f>
        <v>-</v>
      </c>
      <c r="C18629" s="8" t="s">
        <v>111</v>
      </c>
    </row>
    <row r="18630" spans="1:3" x14ac:dyDescent="0.25">
      <c r="A18630" s="8" t="str">
        <f>"Shotcrete: Elements of a System - Proceedings of the 3rd International Conference on Engineering Developments in Shotcrete"</f>
        <v>Shotcrete: Elements of a System - Proceedings of the 3rd International Conference on Engineering Developments in Shotcrete</v>
      </c>
      <c r="B18630" s="8" t="str">
        <f>"9780415475891"</f>
        <v>9780415475891</v>
      </c>
      <c r="C18630" s="8" t="s">
        <v>1637</v>
      </c>
    </row>
    <row r="18631" spans="1:3" x14ac:dyDescent="0.25">
      <c r="A18631" s="8" t="str">
        <f>"SHUSER 2011 - 2011 International Symposium on Humanities, Science and Engineering Research"</f>
        <v>SHUSER 2011 - 2011 International Symposium on Humanities, Science and Engineering Research</v>
      </c>
      <c r="B18631" s="8" t="str">
        <f>"9781457702655"</f>
        <v>9781457702655</v>
      </c>
      <c r="C18631" s="8" t="s">
        <v>9</v>
      </c>
    </row>
    <row r="18632" spans="1:3" x14ac:dyDescent="0.25">
      <c r="A18632" s="8" t="str">
        <f>"SHUSER 2012 - 2012 IEEE Symposium on Humanities, Science and Engineering Research"</f>
        <v>SHUSER 2012 - 2012 IEEE Symposium on Humanities, Science and Engineering Research</v>
      </c>
      <c r="B18632" s="8" t="str">
        <f>"9781467313100"</f>
        <v>9781467313100</v>
      </c>
      <c r="C18632" s="8" t="s">
        <v>9</v>
      </c>
    </row>
    <row r="18633" spans="1:3" x14ac:dyDescent="0.25">
      <c r="A18633" s="8" t="str">
        <f>"SIAM Conference on Control and Its Applications 2015"</f>
        <v>SIAM Conference on Control and Its Applications 2015</v>
      </c>
      <c r="B18633" s="8" t="str">
        <f>"9781510811539"</f>
        <v>9781510811539</v>
      </c>
      <c r="C18633" s="8" t="s">
        <v>249</v>
      </c>
    </row>
    <row r="18634" spans="1:3" x14ac:dyDescent="0.25">
      <c r="A18634" s="8" t="str">
        <f>"SIAM International Conference on Data Mining 2015, SDM 2015"</f>
        <v>SIAM International Conference on Data Mining 2015, SDM 2015</v>
      </c>
      <c r="B18634" s="8" t="str">
        <f>"9781510811522"</f>
        <v>9781510811522</v>
      </c>
      <c r="C18634" s="8" t="s">
        <v>249</v>
      </c>
    </row>
    <row r="18635" spans="1:3" x14ac:dyDescent="0.25">
      <c r="A18635" s="8" t="str">
        <f>"Siberian Russian Student Workshops on Electron Devices and Materials, EDM 2000"</f>
        <v>Siberian Russian Student Workshops on Electron Devices and Materials, EDM 2000</v>
      </c>
      <c r="B18635" s="8" t="str">
        <f>"9785778202917"</f>
        <v>9785778202917</v>
      </c>
      <c r="C18635" s="8" t="s">
        <v>105</v>
      </c>
    </row>
    <row r="18636" spans="1:3" x14ac:dyDescent="0.25">
      <c r="A18636" s="8" t="str">
        <f>"SIcon/02 - Proceedings of the ISA/IEEE Sensors for Industry Conference"</f>
        <v>SIcon/02 - Proceedings of the ISA/IEEE Sensors for Industry Conference</v>
      </c>
      <c r="B18636" s="8" t="str">
        <f>"9781556178344"</f>
        <v>9781556178344</v>
      </c>
      <c r="C18636" s="8" t="s">
        <v>9</v>
      </c>
    </row>
    <row r="18637" spans="1:3" x14ac:dyDescent="0.25">
      <c r="A18637" s="8" t="str">
        <f>"SIDs 2011 - Proceedings of the SESAR Innovation Days"</f>
        <v>SIDs 2011 - Proceedings of the SESAR Innovation Days</v>
      </c>
      <c r="B18637" s="8" t="str">
        <f>"9782874970245"</f>
        <v>9782874970245</v>
      </c>
      <c r="C18637" s="8" t="s">
        <v>1532</v>
      </c>
    </row>
    <row r="18638" spans="1:3" x14ac:dyDescent="0.25">
      <c r="A18638" s="8" t="str">
        <f>"SIDs 2012 - Proceedings of the SESAR Innovation Days"</f>
        <v>SIDs 2012 - Proceedings of the SESAR Innovation Days</v>
      </c>
      <c r="B18638" s="8" t="str">
        <f>"9782874970689"</f>
        <v>9782874970689</v>
      </c>
      <c r="C18638" s="8" t="s">
        <v>1532</v>
      </c>
    </row>
    <row r="18639" spans="1:3" x14ac:dyDescent="0.25">
      <c r="A18639" s="8" t="str">
        <f>"SIDs 2013 - Proceedings of the SESAR Innovation Days"</f>
        <v>SIDs 2013 - Proceedings of the SESAR Innovation Days</v>
      </c>
      <c r="B18639" s="8" t="str">
        <f>"9782874970740"</f>
        <v>9782874970740</v>
      </c>
      <c r="C18639" s="8" t="s">
        <v>1532</v>
      </c>
    </row>
    <row r="18640" spans="1:3" x14ac:dyDescent="0.25">
      <c r="A18640" s="8" t="str">
        <f>"SIDs 2014 - Proceedings of the SESAR Innovation Days"</f>
        <v>SIDs 2014 - Proceedings of the SESAR Innovation Days</v>
      </c>
      <c r="B18640" s="8" t="str">
        <f>"9782874970771"</f>
        <v>9782874970771</v>
      </c>
      <c r="C18640" s="8" t="s">
        <v>1532</v>
      </c>
    </row>
    <row r="18641" spans="1:3" x14ac:dyDescent="0.25">
      <c r="A18641" s="8" t="str">
        <f>"SIES 2011 - 6th IEEE International Symposium on Industrial Embedded Systems, Conference Proceedings"</f>
        <v>SIES 2011 - 6th IEEE International Symposium on Industrial Embedded Systems, Conference Proceedings</v>
      </c>
      <c r="B18641" s="8" t="str">
        <f>"9781612848204"</f>
        <v>9781612848204</v>
      </c>
      <c r="C18641" s="8" t="s">
        <v>9</v>
      </c>
    </row>
    <row r="18642" spans="1:3" x14ac:dyDescent="0.25">
      <c r="A18642" s="8" t="str">
        <f>"SIES'2008 - 3rd International Symposium on Industrial Embedded Systems"</f>
        <v>SIES'2008 - 3rd International Symposium on Industrial Embedded Systems</v>
      </c>
      <c r="B18642" s="8" t="str">
        <f>"9781424419951"</f>
        <v>9781424419951</v>
      </c>
      <c r="C18642" s="8" t="s">
        <v>9</v>
      </c>
    </row>
    <row r="18643" spans="1:3" x14ac:dyDescent="0.25">
      <c r="A18643" s="8" t="str">
        <f>"SIGCOMM 2008 Conference and the Co-located Workshops - PRESTO'08: Proceedings of the ACM Workshop on Programmable Routers for Extensible Services of Tomorrow"</f>
        <v>SIGCOMM 2008 Conference and the Co-located Workshops - PRESTO'08: Proceedings of the ACM Workshop on Programmable Routers for Extensible Services of Tomorrow</v>
      </c>
      <c r="B18643" s="8" t="str">
        <f>"9781605581811"</f>
        <v>9781605581811</v>
      </c>
      <c r="C18643" s="8" t="s">
        <v>21</v>
      </c>
    </row>
    <row r="18644" spans="1:3" x14ac:dyDescent="0.25">
      <c r="A18644" s="8" t="str">
        <f>"SIGCOMM 2008 Conference and the Co-located Workshops - Proceedings of the 3rd International Workshop on Economics of Networked Systems, NetEcon'08"</f>
        <v>SIGCOMM 2008 Conference and the Co-located Workshops - Proceedings of the 3rd International Workshop on Economics of Networked Systems, NetEcon'08</v>
      </c>
      <c r="B18644" s="8" t="str">
        <f>"9781605581798"</f>
        <v>9781605581798</v>
      </c>
      <c r="C18644" s="8" t="s">
        <v>21</v>
      </c>
    </row>
    <row r="18645" spans="1:3" x14ac:dyDescent="0.25">
      <c r="A18645" s="8" t="str">
        <f>"SIGCOMM 2013 - Proceedings of the ACM SIGCOMM 2013 Conference on Applications, Technologies, Architectures, and Protocols for Computer Communication"</f>
        <v>SIGCOMM 2013 - Proceedings of the ACM SIGCOMM 2013 Conference on Applications, Technologies, Architectures, and Protocols for Computer Communication</v>
      </c>
      <c r="B18645" s="8" t="str">
        <f>"9781450320566"</f>
        <v>9781450320566</v>
      </c>
      <c r="C18645" s="8" t="s">
        <v>21</v>
      </c>
    </row>
    <row r="18646" spans="1:3" x14ac:dyDescent="0.25">
      <c r="A18646" s="8" t="str">
        <f>"SIGCOMM'08: Applications, Technologies, Architectures, and Protocols for Computer Communication - Proceedings of the ACM SIGCOMM 2008 Conference on Data Communication 2008"</f>
        <v>SIGCOMM'08: Applications, Technologies, Architectures, and Protocols for Computer Communication - Proceedings of the ACM SIGCOMM 2008 Conference on Data Communication 2008</v>
      </c>
      <c r="B18646" s="8" t="str">
        <f>"9781605581750"</f>
        <v>9781605581750</v>
      </c>
      <c r="C18646" s="8" t="s">
        <v>21</v>
      </c>
    </row>
    <row r="18647" spans="1:3" x14ac:dyDescent="0.25">
      <c r="A18647" s="8" t="str">
        <f>"SIGCOMM'10 - Proceedings of the SIGCOMM 2010 Conference"</f>
        <v>SIGCOMM'10 - Proceedings of the SIGCOMM 2010 Conference</v>
      </c>
      <c r="B18647" s="8" t="str">
        <f>"9781450302012"</f>
        <v>9781450302012</v>
      </c>
      <c r="C18647" s="8" t="s">
        <v>21</v>
      </c>
    </row>
    <row r="18648" spans="1:3" x14ac:dyDescent="0.25">
      <c r="A18648" s="8" t="str">
        <f>"SIGCOMM'12 - Proceedings of the ACM SIGCOMM 2012 Conference Applications, Technologies, Architectures, and Protocols for Computer Communication"</f>
        <v>SIGCOMM'12 - Proceedings of the ACM SIGCOMM 2012 Conference Applications, Technologies, Architectures, and Protocols for Computer Communication</v>
      </c>
      <c r="B18648" s="8" t="str">
        <f>"9781450314190"</f>
        <v>9781450314190</v>
      </c>
      <c r="C18648" s="8" t="s">
        <v>21</v>
      </c>
    </row>
    <row r="18649" spans="1:3" x14ac:dyDescent="0.25">
      <c r="A18649" s="8" t="str">
        <f>"SIGCSE 2007: 38th SIGCSE Technical Symposium on Computer Science Education"</f>
        <v>SIGCSE 2007: 38th SIGCSE Technical Symposium on Computer Science Education</v>
      </c>
      <c r="B18649" s="8" t="str">
        <f>"9781595933614"</f>
        <v>9781595933614</v>
      </c>
      <c r="C18649" s="8" t="s">
        <v>21</v>
      </c>
    </row>
    <row r="18650" spans="1:3" x14ac:dyDescent="0.25">
      <c r="A18650" s="8" t="str">
        <f>"SIGCSE 2013 - Proceedings of the 44th ACM Technical Symposium on Computer Science Education"</f>
        <v>SIGCSE 2013 - Proceedings of the 44th ACM Technical Symposium on Computer Science Education</v>
      </c>
      <c r="B18650" s="8" t="str">
        <f>"9781450320306"</f>
        <v>9781450320306</v>
      </c>
      <c r="C18650" s="8" t="s">
        <v>21</v>
      </c>
    </row>
    <row r="18651" spans="1:3" x14ac:dyDescent="0.25">
      <c r="A18651" s="8" t="str">
        <f>"SIGCSE 2014 - Proceedings of the 45th ACM Technical Symposium on Computer Science Education"</f>
        <v>SIGCSE 2014 - Proceedings of the 45th ACM Technical Symposium on Computer Science Education</v>
      </c>
      <c r="B18651" s="8" t="str">
        <f>"9781450326056"</f>
        <v>9781450326056</v>
      </c>
      <c r="C18651" s="8" t="s">
        <v>21</v>
      </c>
    </row>
    <row r="18652" spans="1:3" x14ac:dyDescent="0.25">
      <c r="A18652" s="8" t="str">
        <f>"SIGCSE 2015 - Proceedings of the 46th ACM Technical Symposium on Computer Science Education"</f>
        <v>SIGCSE 2015 - Proceedings of the 46th ACM Technical Symposium on Computer Science Education</v>
      </c>
      <c r="B18652" s="8" t="str">
        <f>"9781450329668"</f>
        <v>9781450329668</v>
      </c>
      <c r="C18652" s="8" t="s">
        <v>1235</v>
      </c>
    </row>
    <row r="18653" spans="1:3" x14ac:dyDescent="0.25">
      <c r="A18653" s="8" t="str">
        <f>"SIGCSE'08 - Proceedings of the 39th ACM Technical Symposium on Computer Science Education"</f>
        <v>SIGCSE'08 - Proceedings of the 39th ACM Technical Symposium on Computer Science Education</v>
      </c>
      <c r="B18653" s="8" t="str">
        <f>"9781595937995"</f>
        <v>9781595937995</v>
      </c>
      <c r="C18653" s="8" t="s">
        <v>21</v>
      </c>
    </row>
    <row r="18654" spans="1:3" x14ac:dyDescent="0.25">
      <c r="A18654" s="8" t="str">
        <f>"SIGCSE'09 - Proceedings of the 40th ACM Technical Symposium on Computer Science Education"</f>
        <v>SIGCSE'09 - Proceedings of the 40th ACM Technical Symposium on Computer Science Education</v>
      </c>
      <c r="B18654" s="8" t="str">
        <f>"9781605585048"</f>
        <v>9781605585048</v>
      </c>
      <c r="C18654" s="8" t="s">
        <v>21</v>
      </c>
    </row>
    <row r="18655" spans="1:3" x14ac:dyDescent="0.25">
      <c r="A18655" s="8" t="str">
        <f>"SIGCSE'10 - Proceedings of the 41st ACM Technical Symposium on Computer Science Education"</f>
        <v>SIGCSE'10 - Proceedings of the 41st ACM Technical Symposium on Computer Science Education</v>
      </c>
      <c r="B18655" s="8" t="str">
        <f>"9781605588858"</f>
        <v>9781605588858</v>
      </c>
      <c r="C18655" s="8" t="s">
        <v>21</v>
      </c>
    </row>
    <row r="18656" spans="1:3" x14ac:dyDescent="0.25">
      <c r="A18656" s="8" t="str">
        <f>"SIGCSE'11 - Proceedings of the 42nd ACM Technical Symposium on Computer Science Education"</f>
        <v>SIGCSE'11 - Proceedings of the 42nd ACM Technical Symposium on Computer Science Education</v>
      </c>
      <c r="B18656" s="8" t="str">
        <f>"9781450305006"</f>
        <v>9781450305006</v>
      </c>
      <c r="C18656" s="8" t="s">
        <v>21</v>
      </c>
    </row>
    <row r="18657" spans="1:3" x14ac:dyDescent="0.25">
      <c r="A18657" s="8" t="str">
        <f>"SIGCSE'12 - Proceedings of the 43rd ACM Technical Symposium on Computer Science Education"</f>
        <v>SIGCSE'12 - Proceedings of the 43rd ACM Technical Symposium on Computer Science Education</v>
      </c>
      <c r="B18657" s="8" t="str">
        <f>"9781450310987"</f>
        <v>9781450310987</v>
      </c>
      <c r="C18657" s="8" t="s">
        <v>21</v>
      </c>
    </row>
    <row r="18658" spans="1:3" x14ac:dyDescent="0.25">
      <c r="A18658" s="8" t="str">
        <f>"SIGDOC 2008 - Proceedings of the 26th ACM International Conference on Design of Communication"</f>
        <v>SIGDOC 2008 - Proceedings of the 26th ACM International Conference on Design of Communication</v>
      </c>
      <c r="B18658" s="8" t="str">
        <f>"9781605580838"</f>
        <v>9781605580838</v>
      </c>
      <c r="C18658" s="8" t="s">
        <v>21</v>
      </c>
    </row>
    <row r="18659" spans="1:3" x14ac:dyDescent="0.25">
      <c r="A18659" s="8" t="str">
        <f>"SIGDOC 2010 - Proceedings of the 28th ACM International Conference on Design of Communication"</f>
        <v>SIGDOC 2010 - Proceedings of the 28th ACM International Conference on Design of Communication</v>
      </c>
      <c r="B18659" s="8" t="str">
        <f>"9781450304030"</f>
        <v>9781450304030</v>
      </c>
      <c r="C18659" s="8" t="s">
        <v>21</v>
      </c>
    </row>
    <row r="18660" spans="1:3" x14ac:dyDescent="0.25">
      <c r="A18660" s="8" t="str">
        <f>"SIGDOC 2013 - Proceedings of the 31st ACM International Conference on Design of Communication"</f>
        <v>SIGDOC 2013 - Proceedings of the 31st ACM International Conference on Design of Communication</v>
      </c>
      <c r="B18660" s="8" t="str">
        <f>"9781450321310"</f>
        <v>9781450321310</v>
      </c>
      <c r="C18660" s="8" t="s">
        <v>21</v>
      </c>
    </row>
    <row r="18661" spans="1:3" x14ac:dyDescent="0.25">
      <c r="A18661" s="8" t="str">
        <f>"SIGDOC 2014 - Proceedings of the 32nd Annual International Conference on the Design of Communication"</f>
        <v>SIGDOC 2014 - Proceedings of the 32nd Annual International Conference on the Design of Communication</v>
      </c>
      <c r="B18661" s="8" t="str">
        <f>"9781450331661"</f>
        <v>9781450331661</v>
      </c>
      <c r="C18661" s="8" t="s">
        <v>1235</v>
      </c>
    </row>
    <row r="18662" spans="1:3" x14ac:dyDescent="0.25">
      <c r="A18662" s="8" t="str">
        <f>"SIGDOC'07: Proceedings of the 25th ACM International Conference on Design of Communication"</f>
        <v>SIGDOC'07: Proceedings of the 25th ACM International Conference on Design of Communication</v>
      </c>
      <c r="B18662" s="8" t="str">
        <f>"9781595935885"</f>
        <v>9781595935885</v>
      </c>
      <c r="C18662" s="8" t="s">
        <v>21</v>
      </c>
    </row>
    <row r="18663" spans="1:3" x14ac:dyDescent="0.25">
      <c r="A18663" s="8" t="str">
        <f>"SIGDOC'09 - Proceedings of the 27th ACM International Conference on Design of Communication"</f>
        <v>SIGDOC'09 - Proceedings of the 27th ACM International Conference on Design of Communication</v>
      </c>
      <c r="B18663" s="8" t="str">
        <f>"9781605585598"</f>
        <v>9781605585598</v>
      </c>
      <c r="C18663" s="8" t="s">
        <v>21</v>
      </c>
    </row>
    <row r="18664" spans="1:3" x14ac:dyDescent="0.25">
      <c r="A18664" s="8" t="str">
        <f>"SIGDOC'11 - Proceedings of the 29th ACM International Conference on Design of Communication"</f>
        <v>SIGDOC'11 - Proceedings of the 29th ACM International Conference on Design of Communication</v>
      </c>
      <c r="B18664" s="8" t="str">
        <f>"9781450309363"</f>
        <v>9781450309363</v>
      </c>
      <c r="C18664" s="8" t="s">
        <v>21</v>
      </c>
    </row>
    <row r="18665" spans="1:3" x14ac:dyDescent="0.25">
      <c r="A18665" s="8" t="str">
        <f>"SIGDOC'12 - Proceedings of the 30th ACM International Conference on Design of Communication"</f>
        <v>SIGDOC'12 - Proceedings of the 30th ACM International Conference on Design of Communication</v>
      </c>
      <c r="B18665" s="8" t="str">
        <f>"9781450314978"</f>
        <v>9781450314978</v>
      </c>
      <c r="C18665" s="8" t="s">
        <v>21</v>
      </c>
    </row>
    <row r="18666" spans="1:3" x14ac:dyDescent="0.25">
      <c r="A18666" s="8" t="str">
        <f>"SIGED: IAIM 2007, Proceedings - 22nd Annual Conference"</f>
        <v>SIGED: IAIM 2007, Proceedings - 22nd Annual Conference</v>
      </c>
      <c r="B18666" s="8" t="str">
        <f>"-"</f>
        <v>-</v>
      </c>
      <c r="C18666" s="8" t="s">
        <v>289</v>
      </c>
    </row>
    <row r="18667" spans="1:3" x14ac:dyDescent="0.25">
      <c r="A18667" s="8" t="str">
        <f>"SIGGRAPH 2009: Posters, SIGGRAPH '09"</f>
        <v>SIGGRAPH 2009: Posters, SIGGRAPH '09</v>
      </c>
      <c r="B18667" s="8" t="str">
        <f>"-"</f>
        <v>-</v>
      </c>
      <c r="C18667" s="8" t="s">
        <v>21</v>
      </c>
    </row>
    <row r="18668" spans="1:3" x14ac:dyDescent="0.25">
      <c r="A18668" s="8" t="str">
        <f>"SIGGRAPH 2009: Talks, SIGGRAPH '09"</f>
        <v>SIGGRAPH 2009: Talks, SIGGRAPH '09</v>
      </c>
      <c r="B18668" s="8" t="str">
        <f>"9781605588346"</f>
        <v>9781605588346</v>
      </c>
      <c r="C18668" s="8" t="s">
        <v>21</v>
      </c>
    </row>
    <row r="18669" spans="1:3" x14ac:dyDescent="0.25">
      <c r="A18669" s="8" t="str">
        <f>"SIGGRAPH 2011 - Computer Animation Festival"</f>
        <v>SIGGRAPH 2011 - Computer Animation Festival</v>
      </c>
      <c r="B18669" s="8" t="str">
        <f>"9781450309660"</f>
        <v>9781450309660</v>
      </c>
      <c r="C18669" s="8" t="s">
        <v>21</v>
      </c>
    </row>
    <row r="18670" spans="1:3" x14ac:dyDescent="0.25">
      <c r="A18670" s="8" t="str">
        <f>"SIGGRAPH 2013 - 40th International Conference and Exhibition on Computer Graphics and Interactive Techniques: Computer Animation Festival"</f>
        <v>SIGGRAPH 2013 - 40th International Conference and Exhibition on Computer Graphics and Interactive Techniques: Computer Animation Festival</v>
      </c>
      <c r="B18670" s="8" t="str">
        <f>"9781450323383"</f>
        <v>9781450323383</v>
      </c>
      <c r="C18670" s="8" t="s">
        <v>21</v>
      </c>
    </row>
    <row r="18671" spans="1:3" x14ac:dyDescent="0.25">
      <c r="A18671" s="8" t="str">
        <f>"SIGGRAPH ASIA 2008 - Computer Animation Festival"</f>
        <v>SIGGRAPH ASIA 2008 - Computer Animation Festival</v>
      </c>
      <c r="B18671" s="8" t="str">
        <f>"9781605583747"</f>
        <v>9781605583747</v>
      </c>
      <c r="C18671" s="8" t="s">
        <v>21</v>
      </c>
    </row>
    <row r="18672" spans="1:3" x14ac:dyDescent="0.25">
      <c r="A18672" s="8" t="str">
        <f>"SIGGRAPH Asia 2009 Art Gallery and Emerging Technologies: Adaptation, ACM SIGGRAPH ASIA 2009"</f>
        <v>SIGGRAPH Asia 2009 Art Gallery and Emerging Technologies: Adaptation, ACM SIGGRAPH ASIA 2009</v>
      </c>
      <c r="B18672" s="8" t="str">
        <f>"9781605588780"</f>
        <v>9781605588780</v>
      </c>
      <c r="C18672" s="8" t="s">
        <v>21</v>
      </c>
    </row>
    <row r="18673" spans="1:3" x14ac:dyDescent="0.25">
      <c r="A18673" s="8" t="str">
        <f>"SIGGRAPH Asia 2011 Art Gallery, SA 2011"</f>
        <v>SIGGRAPH Asia 2011 Art Gallery, SA 2011</v>
      </c>
      <c r="B18673" s="8" t="str">
        <f>"9781450311335"</f>
        <v>9781450311335</v>
      </c>
      <c r="C18673" s="8" t="s">
        <v>21</v>
      </c>
    </row>
    <row r="18674" spans="1:3" x14ac:dyDescent="0.25">
      <c r="A18674" s="8" t="str">
        <f>"SIGGRAPH Asia 2011 Courses, SA'11"</f>
        <v>SIGGRAPH Asia 2011 Courses, SA'11</v>
      </c>
      <c r="B18674" s="8" t="str">
        <f>"9781450311359"</f>
        <v>9781450311359</v>
      </c>
      <c r="C18674" s="8" t="s">
        <v>21</v>
      </c>
    </row>
    <row r="18675" spans="1:3" x14ac:dyDescent="0.25">
      <c r="A18675" s="8" t="str">
        <f>"SIGGRAPH Asia 2011 Emerging Technologies, SA'11"</f>
        <v>SIGGRAPH Asia 2011 Emerging Technologies, SA'11</v>
      </c>
      <c r="B18675" s="8" t="str">
        <f>"9781450311366"</f>
        <v>9781450311366</v>
      </c>
      <c r="C18675" s="8" t="s">
        <v>21</v>
      </c>
    </row>
    <row r="18676" spans="1:3" x14ac:dyDescent="0.25">
      <c r="A18676" s="8" t="str">
        <f>"SIGGRAPH Asia 2011 Posters, SA'11"</f>
        <v>SIGGRAPH Asia 2011 Posters, SA'11</v>
      </c>
      <c r="B18676" s="8" t="str">
        <f>"9781450311373"</f>
        <v>9781450311373</v>
      </c>
      <c r="C18676" s="8" t="s">
        <v>21</v>
      </c>
    </row>
    <row r="18677" spans="1:3" x14ac:dyDescent="0.25">
      <c r="A18677" s="8" t="str">
        <f>"SIGGRAPH Asia 2011 Sketches, SA'11"</f>
        <v>SIGGRAPH Asia 2011 Sketches, SA'11</v>
      </c>
      <c r="B18677" s="8" t="str">
        <f>"9781450311380"</f>
        <v>9781450311380</v>
      </c>
      <c r="C18677" s="8" t="s">
        <v>21</v>
      </c>
    </row>
    <row r="18678" spans="1:3" x14ac:dyDescent="0.25">
      <c r="A18678" s="8" t="str">
        <f>"SIGGRAPH Asia 2012 Art Gallery, SA 2012"</f>
        <v>SIGGRAPH Asia 2012 Art Gallery, SA 2012</v>
      </c>
      <c r="B18678" s="8" t="str">
        <f>"9781450319171"</f>
        <v>9781450319171</v>
      </c>
      <c r="C18678" s="8" t="s">
        <v>21</v>
      </c>
    </row>
    <row r="18679" spans="1:3" x14ac:dyDescent="0.25">
      <c r="A18679" s="8" t="str">
        <f>"SIGGRAPH Asia 2012 Computer Animation Festival, SA 2012"</f>
        <v>SIGGRAPH Asia 2012 Computer Animation Festival, SA 2012</v>
      </c>
      <c r="B18679" s="8" t="str">
        <f>"9781450319140"</f>
        <v>9781450319140</v>
      </c>
      <c r="C18679" s="8" t="s">
        <v>21</v>
      </c>
    </row>
    <row r="18680" spans="1:3" x14ac:dyDescent="0.25">
      <c r="A18680" s="8" t="str">
        <f>"SIGGRAPH Asia 2012 Courses, SA 2012"</f>
        <v>SIGGRAPH Asia 2012 Courses, SA 2012</v>
      </c>
      <c r="B18680" s="8" t="str">
        <f>"9781450319133"</f>
        <v>9781450319133</v>
      </c>
      <c r="C18680" s="8" t="s">
        <v>21</v>
      </c>
    </row>
    <row r="18681" spans="1:3" x14ac:dyDescent="0.25">
      <c r="A18681" s="8" t="str">
        <f>"SIGGRAPH Asia 2012 Emerging Technologies, SA 2012"</f>
        <v>SIGGRAPH Asia 2012 Emerging Technologies, SA 2012</v>
      </c>
      <c r="B18681" s="8" t="str">
        <f>"9781450319126"</f>
        <v>9781450319126</v>
      </c>
      <c r="C18681" s="8" t="s">
        <v>21</v>
      </c>
    </row>
    <row r="18682" spans="1:3" x14ac:dyDescent="0.25">
      <c r="A18682" s="8" t="str">
        <f>"SIGGRAPH Asia 2012 Posters, SA 2012"</f>
        <v>SIGGRAPH Asia 2012 Posters, SA 2012</v>
      </c>
      <c r="B18682" s="8" t="str">
        <f>"9781450319119"</f>
        <v>9781450319119</v>
      </c>
      <c r="C18682" s="8" t="s">
        <v>21</v>
      </c>
    </row>
    <row r="18683" spans="1:3" x14ac:dyDescent="0.25">
      <c r="A18683" s="8" t="str">
        <f>"SIGGRAPH Asia 2012 Symposium on Apps, SA 2012"</f>
        <v>SIGGRAPH Asia 2012 Symposium on Apps, SA 2012</v>
      </c>
      <c r="B18683" s="8" t="str">
        <f>"9781450319164"</f>
        <v>9781450319164</v>
      </c>
      <c r="C18683" s="8" t="s">
        <v>21</v>
      </c>
    </row>
    <row r="18684" spans="1:3" x14ac:dyDescent="0.25">
      <c r="A18684" s="8" t="str">
        <f>"SIGGRAPH Asia 2012 Technical Briefs, SA 2012"</f>
        <v>SIGGRAPH Asia 2012 Technical Briefs, SA 2012</v>
      </c>
      <c r="B18684" s="8" t="str">
        <f>"9781450319157"</f>
        <v>9781450319157</v>
      </c>
      <c r="C18684" s="8" t="s">
        <v>21</v>
      </c>
    </row>
    <row r="18685" spans="1:3" x14ac:dyDescent="0.25">
      <c r="A18685" s="8" t="str">
        <f>"SIGGRAPH Asia 2013 Art Gallery, SA 2013"</f>
        <v>SIGGRAPH Asia 2013 Art Gallery, SA 2013</v>
      </c>
      <c r="B18685" s="8" t="str">
        <f>"9781450326285"</f>
        <v>9781450326285</v>
      </c>
      <c r="C18685" s="8" t="s">
        <v>21</v>
      </c>
    </row>
    <row r="18686" spans="1:3" x14ac:dyDescent="0.25">
      <c r="A18686" s="8" t="str">
        <f>"SIGGRAPH Asia 2013 Computer Animation Festival, SA 2013"</f>
        <v>SIGGRAPH Asia 2013 Computer Animation Festival, SA 2013</v>
      </c>
      <c r="B18686" s="8" t="str">
        <f>"9781450326308"</f>
        <v>9781450326308</v>
      </c>
      <c r="C18686" s="8" t="s">
        <v>21</v>
      </c>
    </row>
    <row r="18687" spans="1:3" x14ac:dyDescent="0.25">
      <c r="A18687" s="8" t="str">
        <f>"SIGGRAPH Asia 2013 Courses, SA 2013"</f>
        <v>SIGGRAPH Asia 2013 Courses, SA 2013</v>
      </c>
      <c r="B18687" s="8" t="str">
        <f>"9781450326315"</f>
        <v>9781450326315</v>
      </c>
      <c r="C18687" s="8" t="s">
        <v>21</v>
      </c>
    </row>
    <row r="18688" spans="1:3" x14ac:dyDescent="0.25">
      <c r="A18688" s="8" t="str">
        <f>"SIGGRAPH Asia 2013 Emerging Technologies, SA 2013"</f>
        <v>SIGGRAPH Asia 2013 Emerging Technologies, SA 2013</v>
      </c>
      <c r="B18688" s="8" t="str">
        <f>"9781450326322"</f>
        <v>9781450326322</v>
      </c>
      <c r="C18688" s="8" t="s">
        <v>21</v>
      </c>
    </row>
    <row r="18689" spans="1:3" x14ac:dyDescent="0.25">
      <c r="A18689" s="8" t="str">
        <f>"SIGGRAPH Asia 2013 Posters, SA 2013"</f>
        <v>SIGGRAPH Asia 2013 Posters, SA 2013</v>
      </c>
      <c r="B18689" s="8" t="str">
        <f>"9781450326346"</f>
        <v>9781450326346</v>
      </c>
      <c r="C18689" s="8" t="s">
        <v>21</v>
      </c>
    </row>
    <row r="18690" spans="1:3" x14ac:dyDescent="0.25">
      <c r="A18690" s="8" t="str">
        <f>"SIGGRAPH Asia 2013 Symposium on Mobile Graphics and Interactive Applications, SA 2013"</f>
        <v>SIGGRAPH Asia 2013 Symposium on Mobile Graphics and Interactive Applications, SA 2013</v>
      </c>
      <c r="B18690" s="8" t="str">
        <f>"9781450326339"</f>
        <v>9781450326339</v>
      </c>
      <c r="C18690" s="8" t="s">
        <v>21</v>
      </c>
    </row>
    <row r="18691" spans="1:3" x14ac:dyDescent="0.25">
      <c r="A18691" s="8" t="str">
        <f>"SIGGRAPH Asia 2013 Technical Briefs, SA 2013"</f>
        <v>SIGGRAPH Asia 2013 Technical Briefs, SA 2013</v>
      </c>
      <c r="B18691" s="8" t="str">
        <f>"9781450326292"</f>
        <v>9781450326292</v>
      </c>
      <c r="C18691" s="8" t="s">
        <v>21</v>
      </c>
    </row>
    <row r="18692" spans="1:3" x14ac:dyDescent="0.25">
      <c r="A18692" s="8" t="str">
        <f>"SIGGRAPH Asia 2014 Autonomous Virtual Humans and Social Robot for Telepresence, SA 2014"</f>
        <v>SIGGRAPH Asia 2014 Autonomous Virtual Humans and Social Robot for Telepresence, SA 2014</v>
      </c>
      <c r="B18692" s="8" t="str">
        <f>"9781450332439"</f>
        <v>9781450332439</v>
      </c>
      <c r="C18692" s="8" t="s">
        <v>1235</v>
      </c>
    </row>
    <row r="18693" spans="1:3" x14ac:dyDescent="0.25">
      <c r="A18693" s="8" t="str">
        <f>"SIGGRAPH Asia 2014 Creative Shape Modeling and Design, SA 2014"</f>
        <v>SIGGRAPH Asia 2014 Creative Shape Modeling and Design, SA 2014</v>
      </c>
      <c r="B18693" s="8" t="str">
        <f>"9781450331821"</f>
        <v>9781450331821</v>
      </c>
      <c r="C18693" s="8" t="s">
        <v>1235</v>
      </c>
    </row>
    <row r="18694" spans="1:3" x14ac:dyDescent="0.25">
      <c r="A18694" s="8" t="str">
        <f>"SIGGRAPH Asia 2014 Designing Tools For Crafting Interactive Artifacts, SIGGRAPH ASIA 2014"</f>
        <v>SIGGRAPH Asia 2014 Designing Tools For Crafting Interactive Artifacts, SIGGRAPH ASIA 2014</v>
      </c>
      <c r="B18694" s="8" t="str">
        <f>"9781450332156"</f>
        <v>9781450332156</v>
      </c>
      <c r="C18694" s="8" t="s">
        <v>1235</v>
      </c>
    </row>
    <row r="18695" spans="1:3" x14ac:dyDescent="0.25">
      <c r="A18695" s="8" t="str">
        <f>"SIGGRAPH Asia 2014 Emerging Technologies, SA 2014"</f>
        <v>SIGGRAPH Asia 2014 Emerging Technologies, SA 2014</v>
      </c>
      <c r="B18695" s="8" t="str">
        <f>"9781450319553"</f>
        <v>9781450319553</v>
      </c>
      <c r="C18695" s="8" t="s">
        <v>1235</v>
      </c>
    </row>
    <row r="18696" spans="1:3" x14ac:dyDescent="0.25">
      <c r="A18696" s="8" t="str">
        <f>"SIGGRAPH Asia 2014 Indoor Scene Understanding Where Graphics Meets Vision, SA 2014"</f>
        <v>SIGGRAPH Asia 2014 Indoor Scene Understanding Where Graphics Meets Vision, SA 2014</v>
      </c>
      <c r="B18696" s="8" t="str">
        <f>"9781450332422"</f>
        <v>9781450332422</v>
      </c>
      <c r="C18696" s="8" t="s">
        <v>1235</v>
      </c>
    </row>
    <row r="18697" spans="1:3" x14ac:dyDescent="0.25">
      <c r="A18697" s="8" t="str">
        <f>"SIGGRAPH Asia 2014 Mobile Graphics and Interactive Applications, SA 2014"</f>
        <v>SIGGRAPH Asia 2014 Mobile Graphics and Interactive Applications, SA 2014</v>
      </c>
      <c r="B18697" s="8" t="str">
        <f>"9781450318914"</f>
        <v>9781450318914</v>
      </c>
      <c r="C18697" s="8" t="s">
        <v>1235</v>
      </c>
    </row>
    <row r="18698" spans="1:3" x14ac:dyDescent="0.25">
      <c r="A18698" s="8" t="str">
        <f>"SIGGRAPH Asia 2014 Posters, SIGGRAPH ASIA 2014"</f>
        <v>SIGGRAPH Asia 2014 Posters, SIGGRAPH ASIA 2014</v>
      </c>
      <c r="B18698" s="8" t="str">
        <f>"9781450327923"</f>
        <v>9781450327923</v>
      </c>
      <c r="C18698" s="8" t="s">
        <v>1235</v>
      </c>
    </row>
    <row r="18699" spans="1:3" x14ac:dyDescent="0.25">
      <c r="A18699" s="8" t="str">
        <f>"SIGGRAPH Asia 2014 Technical Briefs, SA 2014"</f>
        <v>SIGGRAPH Asia 2014 Technical Briefs, SA 2014</v>
      </c>
      <c r="B18699" s="8" t="str">
        <f>"9781450328951"</f>
        <v>9781450328951</v>
      </c>
      <c r="C18699" s="8" t="s">
        <v>1235</v>
      </c>
    </row>
    <row r="18700" spans="1:3" x14ac:dyDescent="0.25">
      <c r="A18700" s="8" t="str">
        <f>"SIGGRAPH'08 - ACM SIGGRAPH 2008 Posters"</f>
        <v>SIGGRAPH'08 - ACM SIGGRAPH 2008 Posters</v>
      </c>
      <c r="B18700" s="8" t="str">
        <f>"9781605584669"</f>
        <v>9781605584669</v>
      </c>
      <c r="C18700" s="8" t="s">
        <v>21</v>
      </c>
    </row>
    <row r="18701" spans="1:3" x14ac:dyDescent="0.25">
      <c r="A18701" s="8" t="str">
        <f>"SIGGRAPH'08 - ACM SIGGRAPH 2008 Posters"</f>
        <v>SIGGRAPH'08 - ACM SIGGRAPH 2008 Posters</v>
      </c>
      <c r="B18701" s="8" t="str">
        <f>"9781605584669"</f>
        <v>9781605584669</v>
      </c>
      <c r="C18701" s="8" t="s">
        <v>21</v>
      </c>
    </row>
    <row r="18702" spans="1:3" x14ac:dyDescent="0.25">
      <c r="A18702" s="8" t="str">
        <f>"SIGGRAPH'08: ACM SIGGRAPH Classes 2008"</f>
        <v>SIGGRAPH'08: ACM SIGGRAPH Classes 2008</v>
      </c>
      <c r="B18702" s="8" t="str">
        <f>"-"</f>
        <v>-</v>
      </c>
      <c r="C18702" s="8" t="s">
        <v>21</v>
      </c>
    </row>
    <row r="18703" spans="1:3" x14ac:dyDescent="0.25">
      <c r="A18703" s="8" t="str">
        <f>"SIGGRAPH'08: ACM SIGGRAPH Talks 2008"</f>
        <v>SIGGRAPH'08: ACM SIGGRAPH Talks 2008</v>
      </c>
      <c r="B18703" s="8" t="str">
        <f>"9781605583433"</f>
        <v>9781605583433</v>
      </c>
      <c r="C18703" s="8" t="s">
        <v>21</v>
      </c>
    </row>
    <row r="18704" spans="1:3" x14ac:dyDescent="0.25">
      <c r="A18704" s="8" t="str">
        <f>"SIGGRAPH'08: Computer Animation Festival"</f>
        <v>SIGGRAPH'08: Computer Animation Festival</v>
      </c>
      <c r="B18704" s="8" t="str">
        <f>"9781605583457"</f>
        <v>9781605583457</v>
      </c>
      <c r="C18704" s="8" t="s">
        <v>21</v>
      </c>
    </row>
    <row r="18705" spans="1:3" x14ac:dyDescent="0.25">
      <c r="A18705" s="8" t="str">
        <f>"SIGGRAPH'08: International Conference on Computer Graphics and Interactive Techniques - ACM SIGGRAPH 2008 Art Gallery 2008"</f>
        <v>SIGGRAPH'08: International Conference on Computer Graphics and Interactive Techniques - ACM SIGGRAPH 2008 Art Gallery 2008</v>
      </c>
      <c r="B18705" s="8" t="str">
        <f>"9781605583440"</f>
        <v>9781605583440</v>
      </c>
      <c r="C18705" s="8" t="s">
        <v>21</v>
      </c>
    </row>
    <row r="18706" spans="1:3" x14ac:dyDescent="0.25">
      <c r="A18706" s="8" t="str">
        <f>"SIGGRAPH'08: International Conference on Computer Graphics and Interactive Techniques - ACM SIGGRAPH 2008 Classes 2008"</f>
        <v>SIGGRAPH'08: International Conference on Computer Graphics and Interactive Techniques - ACM SIGGRAPH 2008 Classes 2008</v>
      </c>
      <c r="B18706" s="8" t="str">
        <f>"-"</f>
        <v>-</v>
      </c>
      <c r="C18706" s="8" t="s">
        <v>21</v>
      </c>
    </row>
    <row r="18707" spans="1:3" x14ac:dyDescent="0.25">
      <c r="A18707" s="8" t="str">
        <f>"SIGGRAPH'08: International Conference on Computer Graphics and Interactive Techniques - ACM SIGGRAPH 2008 Computer Animation Festival 2008"</f>
        <v>SIGGRAPH'08: International Conference on Computer Graphics and Interactive Techniques - ACM SIGGRAPH 2008 Computer Animation Festival 2008</v>
      </c>
      <c r="B18707" s="8" t="str">
        <f>"9781605583457"</f>
        <v>9781605583457</v>
      </c>
      <c r="C18707" s="8" t="s">
        <v>21</v>
      </c>
    </row>
    <row r="18708" spans="1:3" x14ac:dyDescent="0.25">
      <c r="A18708" s="8" t="str">
        <f>"SIGGRAPH'08: International Conference on Computer Graphics and Interactive Techniques - ACM SIGGRAPH 2008 Posters 2008"</f>
        <v>SIGGRAPH'08: International Conference on Computer Graphics and Interactive Techniques - ACM SIGGRAPH 2008 Posters 2008</v>
      </c>
      <c r="B18708" s="8" t="str">
        <f>"9781605584669"</f>
        <v>9781605584669</v>
      </c>
      <c r="C18708" s="8" t="s">
        <v>21</v>
      </c>
    </row>
    <row r="18709" spans="1:3" x14ac:dyDescent="0.25">
      <c r="A18709" s="8" t="str">
        <f>"SIGGRAPH'08: International Conference on Computer Graphics and Interactive Techniques - ACM SIGGRAPH 2008 Talks 2008"</f>
        <v>SIGGRAPH'08: International Conference on Computer Graphics and Interactive Techniques - ACM SIGGRAPH 2008 Talks 2008</v>
      </c>
      <c r="B18709" s="8" t="str">
        <f>"9781605583433"</f>
        <v>9781605583433</v>
      </c>
      <c r="C18709" s="8" t="s">
        <v>21</v>
      </c>
    </row>
    <row r="18710" spans="1:3" x14ac:dyDescent="0.25">
      <c r="A18710" s="8" t="str">
        <f>"SIGGRAPH'08: International Conference on Computer Graphics and Interactive Techniques, ACM SIGGRAPH 2008 Papers 2008"</f>
        <v>SIGGRAPH'08: International Conference on Computer Graphics and Interactive Techniques, ACM SIGGRAPH 2008 Papers 2008</v>
      </c>
      <c r="B18710" s="8" t="str">
        <f>"-"</f>
        <v>-</v>
      </c>
      <c r="C18710" s="8" t="s">
        <v>21</v>
      </c>
    </row>
    <row r="18711" spans="1:3" x14ac:dyDescent="0.25">
      <c r="A18711" s="8" t="str">
        <f>"SIGIR 2005 - Proceedings of the 28th Annual International ACM SIGIR Conference on Research and Development in Information Retrieval"</f>
        <v>SIGIR 2005 - Proceedings of the 28th Annual International ACM SIGIR Conference on Research and Development in Information Retrieval</v>
      </c>
      <c r="B18711" s="8" t="str">
        <f>"9781595930347"</f>
        <v>9781595930347</v>
      </c>
      <c r="C18711" s="8" t="s">
        <v>21</v>
      </c>
    </row>
    <row r="18712" spans="1:3" x14ac:dyDescent="0.25">
      <c r="A18712" s="8" t="str">
        <f>"SIGIR 2010 Proceedings - 33rd Annual International ACM SIGIR Conference on Research and Development in Information Retrieval"</f>
        <v>SIGIR 2010 Proceedings - 33rd Annual International ACM SIGIR Conference on Research and Development in Information Retrieval</v>
      </c>
      <c r="B18712" s="8" t="str">
        <f>"9781605588964"</f>
        <v>9781605588964</v>
      </c>
      <c r="C18712" s="8" t="s">
        <v>21</v>
      </c>
    </row>
    <row r="18713" spans="1:3" x14ac:dyDescent="0.25">
      <c r="A18713" s="8" t="str">
        <f>"SIGIR 2013 - Proceedings of the 36th International ACM SIGIR Conference on Research and Development in Information Retrieval"</f>
        <v>SIGIR 2013 - Proceedings of the 36th International ACM SIGIR Conference on Research and Development in Information Retrieval</v>
      </c>
      <c r="B18713" s="8" t="str">
        <f>"9781450320344"</f>
        <v>9781450320344</v>
      </c>
      <c r="C18713" s="8" t="s">
        <v>21</v>
      </c>
    </row>
    <row r="18714" spans="1:3" x14ac:dyDescent="0.25">
      <c r="A18714" s="8" t="str">
        <f>"SIGIR 2014 - Proceedings of the 37th International ACM SIGIR Conference on Research and Development in Information Retrieval"</f>
        <v>SIGIR 2014 - Proceedings of the 37th International ACM SIGIR Conference on Research and Development in Information Retrieval</v>
      </c>
      <c r="B18714" s="8" t="str">
        <f>"9781450322591"</f>
        <v>9781450322591</v>
      </c>
      <c r="C18714" s="8" t="s">
        <v>21</v>
      </c>
    </row>
    <row r="18715" spans="1:3" x14ac:dyDescent="0.25">
      <c r="A18715" s="8" t="str">
        <f>"SIGIR'11 - Proceedings of the 34th International ACM SIGIR Conference on Research and Development in Information Retrieval"</f>
        <v>SIGIR'11 - Proceedings of the 34th International ACM SIGIR Conference on Research and Development in Information Retrieval</v>
      </c>
      <c r="B18715" s="8" t="str">
        <f>"9781450309349"</f>
        <v>9781450309349</v>
      </c>
      <c r="C18715" s="8" t="s">
        <v>21</v>
      </c>
    </row>
    <row r="18716" spans="1:3" x14ac:dyDescent="0.25">
      <c r="A18716" s="8" t="str">
        <f>"SIGIR'12 - Proceedings of the International ACM SIGIR Conference on Research and Development in Information Retrieval"</f>
        <v>SIGIR'12 - Proceedings of the International ACM SIGIR Conference on Research and Development in Information Retrieval</v>
      </c>
      <c r="B18716" s="8" t="str">
        <f>"9781450316583"</f>
        <v>9781450316583</v>
      </c>
      <c r="C18716" s="8" t="s">
        <v>21</v>
      </c>
    </row>
    <row r="18717" spans="1:3" x14ac:dyDescent="0.25">
      <c r="A18717" s="8" t="str">
        <f>"SIGITE 2004 Conference"</f>
        <v>SIGITE 2004 Conference</v>
      </c>
      <c r="B18717" s="8" t="str">
        <f>"9781581139365"</f>
        <v>9781581139365</v>
      </c>
      <c r="C18717" s="8" t="s">
        <v>21</v>
      </c>
    </row>
    <row r="18718" spans="1:3" x14ac:dyDescent="0.25">
      <c r="A18718" s="8" t="str">
        <f>"SIGITE 2013 - Proceedings of the 2013 ACM SIGITE Annual Conference on Information Technology Education"</f>
        <v>SIGITE 2013 - Proceedings of the 2013 ACM SIGITE Annual Conference on Information Technology Education</v>
      </c>
      <c r="B18718" s="8" t="str">
        <f>"9781450322393"</f>
        <v>9781450322393</v>
      </c>
      <c r="C18718" s="8" t="s">
        <v>21</v>
      </c>
    </row>
    <row r="18719" spans="1:3" x14ac:dyDescent="0.25">
      <c r="A18719" s="8" t="str">
        <f>"SIGITE 2014 - Proceedings of the 15th Annual Conference on Information Technology Education"</f>
        <v>SIGITE 2014 - Proceedings of the 15th Annual Conference on Information Technology Education</v>
      </c>
      <c r="B18719" s="8" t="str">
        <f>"9781450326865"</f>
        <v>9781450326865</v>
      </c>
      <c r="C18719" s="8" t="s">
        <v>1235</v>
      </c>
    </row>
    <row r="18720" spans="1:3" x14ac:dyDescent="0.25">
      <c r="A18720" s="8" t="str">
        <f>"SIGITE'07 - Proceedings of the 2007 ACM Information Technology Education Conference"</f>
        <v>SIGITE'07 - Proceedings of the 2007 ACM Information Technology Education Conference</v>
      </c>
      <c r="B18720" s="8" t="str">
        <f>"9781595939203"</f>
        <v>9781595939203</v>
      </c>
      <c r="C18720" s="8" t="s">
        <v>21</v>
      </c>
    </row>
    <row r="18721" spans="1:3" x14ac:dyDescent="0.25">
      <c r="A18721" s="8" t="str">
        <f>"SIGITE'08: Proceedings of the 9th ACM SIG-Information Technology Education Conference"</f>
        <v>SIGITE'08: Proceedings of the 9th ACM SIG-Information Technology Education Conference</v>
      </c>
      <c r="B18721" s="8" t="str">
        <f>"9781605583297"</f>
        <v>9781605583297</v>
      </c>
      <c r="C18721" s="8" t="s">
        <v>21</v>
      </c>
    </row>
    <row r="18722" spans="1:3" x14ac:dyDescent="0.25">
      <c r="A18722" s="8" t="str">
        <f>"SIGITE'09 - Proceedings of the 2009 ACM Special Interest Group for Information Technology Education"</f>
        <v>SIGITE'09 - Proceedings of the 2009 ACM Special Interest Group for Information Technology Education</v>
      </c>
      <c r="B18722" s="8" t="str">
        <f>"9781605587653"</f>
        <v>9781605587653</v>
      </c>
      <c r="C18722" s="8" t="s">
        <v>21</v>
      </c>
    </row>
    <row r="18723" spans="1:3" x14ac:dyDescent="0.25">
      <c r="A18723" s="8" t="str">
        <f>"SIGITE'10 - Proceedings of the 2010 ACM Conference on Information Technology Education"</f>
        <v>SIGITE'10 - Proceedings of the 2010 ACM Conference on Information Technology Education</v>
      </c>
      <c r="B18723" s="8" t="str">
        <f>"9781450303439"</f>
        <v>9781450303439</v>
      </c>
      <c r="C18723" s="8" t="s">
        <v>21</v>
      </c>
    </row>
    <row r="18724" spans="1:3" x14ac:dyDescent="0.25">
      <c r="A18724" s="8" t="str">
        <f>"SIGITE'11 - Proceedings of the 2011 ACM Special Interest Group for Information Technology Education Conference"</f>
        <v>SIGITE'11 - Proceedings of the 2011 ACM Special Interest Group for Information Technology Education Conference</v>
      </c>
      <c r="B18724" s="8" t="str">
        <f>"9781450310178"</f>
        <v>9781450310178</v>
      </c>
      <c r="C18724" s="8" t="s">
        <v>21</v>
      </c>
    </row>
    <row r="18725" spans="1:3" x14ac:dyDescent="0.25">
      <c r="A18725" s="8" t="str">
        <f>"SIGITE'12 - Proceedings of the ACM Special Interest Group for Information Technology Education Conference"</f>
        <v>SIGITE'12 - Proceedings of the ACM Special Interest Group for Information Technology Education Conference</v>
      </c>
      <c r="B18725" s="8" t="str">
        <f>"9781450314640"</f>
        <v>9781450314640</v>
      </c>
      <c r="C18725" s="8" t="s">
        <v>21</v>
      </c>
    </row>
    <row r="18726" spans="1:3" x14ac:dyDescent="0.25">
      <c r="A18726" s="8" t="str">
        <f>"SIGMAP 2006 - International Conference on Signal Processing and Multimedia Applications, Proceedings"</f>
        <v>SIGMAP 2006 - International Conference on Signal Processing and Multimedia Applications, Proceedings</v>
      </c>
      <c r="B18726" s="8" t="str">
        <f>"9789728865641"</f>
        <v>9789728865641</v>
      </c>
      <c r="C18726" s="8" t="s">
        <v>1680</v>
      </c>
    </row>
    <row r="18727" spans="1:3" x14ac:dyDescent="0.25">
      <c r="A18727" s="8" t="str">
        <f>"SIGMAP 2007 - International Conference on Signal Processing and Multimedia Applications, Proceedings"</f>
        <v>SIGMAP 2007 - International Conference on Signal Processing and Multimedia Applications, Proceedings</v>
      </c>
      <c r="B18727" s="8" t="str">
        <f>"-"</f>
        <v>-</v>
      </c>
      <c r="C18727" s="8" t="s">
        <v>1680</v>
      </c>
    </row>
    <row r="18728" spans="1:3" x14ac:dyDescent="0.25">
      <c r="A18728" s="8" t="str">
        <f>"SIGMAP 2008 - Proceedings of the International Conference on Signal Processing and Multimedia Applications"</f>
        <v>SIGMAP 2008 - Proceedings of the International Conference on Signal Processing and Multimedia Applications</v>
      </c>
      <c r="B18728" s="8" t="str">
        <f>"9789898111609"</f>
        <v>9789898111609</v>
      </c>
      <c r="C18728" s="8" t="s">
        <v>1553</v>
      </c>
    </row>
    <row r="18729" spans="1:3" x14ac:dyDescent="0.25">
      <c r="A18729" s="8" t="str">
        <f>"SIGMAP 2009 - International Conference on Signal Processing and Multimedia Applications, Proceedings"</f>
        <v>SIGMAP 2009 - International Conference on Signal Processing and Multimedia Applications, Proceedings</v>
      </c>
      <c r="B18729" s="8" t="str">
        <f>"9789896740078"</f>
        <v>9789896740078</v>
      </c>
      <c r="C18729" s="8" t="s">
        <v>1680</v>
      </c>
    </row>
    <row r="18730" spans="1:3" x14ac:dyDescent="0.25">
      <c r="A18730" s="8" t="str">
        <f>"SIGMAP 2010 - Proceedings of the International Conference on Signal Processing and Multimedia Applications"</f>
        <v>SIGMAP 2010 - Proceedings of the International Conference on Signal Processing and Multimedia Applications</v>
      </c>
      <c r="B18730" s="8" t="str">
        <f>"9789898425195"</f>
        <v>9789898425195</v>
      </c>
      <c r="C18730" s="8" t="s">
        <v>1553</v>
      </c>
    </row>
    <row r="18731" spans="1:3" x14ac:dyDescent="0.25">
      <c r="A18731" s="8" t="str">
        <f>"SIGMAP 2011 - Proceedings of the International Conference on Signal Processing and Multimedia Applications"</f>
        <v>SIGMAP 2011 - Proceedings of the International Conference on Signal Processing and Multimedia Applications</v>
      </c>
      <c r="B18731" s="8" t="str">
        <f>"9789898425720"</f>
        <v>9789898425720</v>
      </c>
      <c r="C18731" s="8" t="s">
        <v>1680</v>
      </c>
    </row>
    <row r="18732" spans="1:3" x14ac:dyDescent="0.25">
      <c r="A18732" s="8" t="str">
        <f>"SIGMAP 2012, WINSYS 2012 - Proceedings of the International Conference on Signal Processing and Multimedia Applications and Wireless Information Networks and Systems"</f>
        <v>SIGMAP 2012, WINSYS 2012 - Proceedings of the International Conference on Signal Processing and Multimedia Applications and Wireless Information Networks and Systems</v>
      </c>
      <c r="B18732" s="8" t="str">
        <f>"9789898565259"</f>
        <v>9789898565259</v>
      </c>
      <c r="C18732" s="8" t="s">
        <v>1197</v>
      </c>
    </row>
    <row r="18733" spans="1:3" x14ac:dyDescent="0.25">
      <c r="A18733" s="8" t="str">
        <f>"SIGMAP 2014 - Proceedings of the 11th International Conference on Signal Processing and Multimedia Applications, Part of ICETE 2014 - 11th International Joint Conference on e-Business and Telecommunications"</f>
        <v>SIGMAP 2014 - Proceedings of the 11th International Conference on Signal Processing and Multimedia Applications, Part of ICETE 2014 - 11th International Joint Conference on e-Business and Telecommunications</v>
      </c>
      <c r="B18733" s="8" t="str">
        <f>"9789897580468"</f>
        <v>9789897580468</v>
      </c>
      <c r="C18733" s="8" t="s">
        <v>1197</v>
      </c>
    </row>
    <row r="18734" spans="1:3" x14ac:dyDescent="0.25">
      <c r="A18734" s="8" t="str">
        <f>"SIGMETRICS/Performance'09 - Proceedings of the 11th International Joint Conference on Measurement and Modeling of Computer Systems"</f>
        <v>SIGMETRICS/Performance'09 - Proceedings of the 11th International Joint Conference on Measurement and Modeling of Computer Systems</v>
      </c>
      <c r="B18734" s="8" t="str">
        <f>"9781605585116"</f>
        <v>9781605585116</v>
      </c>
      <c r="C18734" s="8" t="s">
        <v>21</v>
      </c>
    </row>
    <row r="18735" spans="1:3" x14ac:dyDescent="0.25">
      <c r="A18735" s="8" t="str">
        <f>"SIGMETRICS'08: Proceedings of the 2008 ACM SIGMETRICS International Conference on Measurement and Modeling of Computer Systems"</f>
        <v>SIGMETRICS'08: Proceedings of the 2008 ACM SIGMETRICS International Conference on Measurement and Modeling of Computer Systems</v>
      </c>
      <c r="B18735" s="8" t="str">
        <f>"9781605580050"</f>
        <v>9781605580050</v>
      </c>
      <c r="C18735" s="8" t="s">
        <v>21</v>
      </c>
    </row>
    <row r="18736" spans="1:3" x14ac:dyDescent="0.25">
      <c r="A18736" s="8" t="str">
        <f>"SIGMIS CPR 2008 - Proceedings of the 2008 ACM SIGMIS CPR Conference: Refilling the Pipeline: Meeting the Renewed Demand for Information Technology Workers"</f>
        <v>SIGMIS CPR 2008 - Proceedings of the 2008 ACM SIGMIS CPR Conference: Refilling the Pipeline: Meeting the Renewed Demand for Information Technology Workers</v>
      </c>
      <c r="B18736" s="8" t="str">
        <f>"9781605580692"</f>
        <v>9781605580692</v>
      </c>
      <c r="C18736" s="8" t="s">
        <v>21</v>
      </c>
    </row>
    <row r="18737" spans="1:3" x14ac:dyDescent="0.25">
      <c r="A18737" s="8" t="str">
        <f>"SIGMIS CPR 2011 - Proceedings of the 2011 ACM SIGMIS Computer Personnel Research Conference"</f>
        <v>SIGMIS CPR 2011 - Proceedings of the 2011 ACM SIGMIS Computer Personnel Research Conference</v>
      </c>
      <c r="B18737" s="8" t="str">
        <f>"9781450306669"</f>
        <v>9781450306669</v>
      </c>
      <c r="C18737" s="8" t="s">
        <v>21</v>
      </c>
    </row>
    <row r="18738" spans="1:3" x14ac:dyDescent="0.25">
      <c r="A18738" s="8" t="str">
        <f>"SIGMIS CPR'05 - Proceedings of the 2005 ACM SIGMIS CPR Conference"</f>
        <v>SIGMIS CPR'05 - Proceedings of the 2005 ACM SIGMIS CPR Conference</v>
      </c>
      <c r="B18738" s="8" t="str">
        <f>"9781595930118"</f>
        <v>9781595930118</v>
      </c>
      <c r="C18738" s="8" t="s">
        <v>21</v>
      </c>
    </row>
    <row r="18739" spans="1:3" x14ac:dyDescent="0.25">
      <c r="A18739" s="8" t="str">
        <f>"SIGMIS CPR'06 - Proceedings of the 2006 ACM SIGMIS CPR Conference"</f>
        <v>SIGMIS CPR'06 - Proceedings of the 2006 ACM SIGMIS CPR Conference</v>
      </c>
      <c r="B18739" s="8" t="str">
        <f>"-"</f>
        <v>-</v>
      </c>
      <c r="C18739" s="8" t="s">
        <v>21</v>
      </c>
    </row>
    <row r="18740" spans="1:3" x14ac:dyDescent="0.25">
      <c r="A18740" s="8" t="str">
        <f>"SIGMIS CPR'09 - Proceedings of the 2009 ACM SIGMIS Computer Personnel Research Conference"</f>
        <v>SIGMIS CPR'09 - Proceedings of the 2009 ACM SIGMIS Computer Personnel Research Conference</v>
      </c>
      <c r="B18740" s="8" t="str">
        <f>"9781605584270"</f>
        <v>9781605584270</v>
      </c>
      <c r="C18740" s="8" t="s">
        <v>21</v>
      </c>
    </row>
    <row r="18741" spans="1:3" x14ac:dyDescent="0.25">
      <c r="A18741" s="8" t="str">
        <f>"SIGMIS CPR'10 - Proceedings of the 2010 ACM SIGMIS Computer Personnel Research Conference"</f>
        <v>SIGMIS CPR'10 - Proceedings of the 2010 ACM SIGMIS Computer Personnel Research Conference</v>
      </c>
      <c r="B18741" s="8" t="str">
        <f>"9781450300049"</f>
        <v>9781450300049</v>
      </c>
      <c r="C18741" s="8" t="s">
        <v>21</v>
      </c>
    </row>
    <row r="18742" spans="1:3" x14ac:dyDescent="0.25">
      <c r="A18742" s="8" t="str">
        <f>"SIGMIS-CPR 2007 - Proceedings of the 2007 ACM SIGMIS CPR Conference: The Global Information Technology Workforce"</f>
        <v>SIGMIS-CPR 2007 - Proceedings of the 2007 ACM SIGMIS CPR Conference: The Global Information Technology Workforce</v>
      </c>
      <c r="B18742" s="8" t="str">
        <f>"9781595936417"</f>
        <v>9781595936417</v>
      </c>
      <c r="C18742" s="8" t="s">
        <v>21</v>
      </c>
    </row>
    <row r="18743" spans="1:3" x14ac:dyDescent="0.25">
      <c r="A18743" s="8" t="str">
        <f>"SIGMIS-CPR 2013 - Proceedings of the 2013 ACM Conference on Computers and People Research"</f>
        <v>SIGMIS-CPR 2013 - Proceedings of the 2013 ACM Conference on Computers and People Research</v>
      </c>
      <c r="B18743" s="8" t="str">
        <f>"9781450319751"</f>
        <v>9781450319751</v>
      </c>
      <c r="C18743" s="8" t="s">
        <v>21</v>
      </c>
    </row>
    <row r="18744" spans="1:3" x14ac:dyDescent="0.25">
      <c r="A18744" s="8" t="str">
        <f>"SIGMIS-CPR'12 - Proceedings of the 2012 Computers and People Research Conference"</f>
        <v>SIGMIS-CPR'12 - Proceedings of the 2012 Computers and People Research Conference</v>
      </c>
      <c r="B18744" s="8" t="str">
        <f>"9781450311106"</f>
        <v>9781450311106</v>
      </c>
      <c r="C18744" s="8" t="s">
        <v>21</v>
      </c>
    </row>
    <row r="18745" spans="1:3" x14ac:dyDescent="0.25">
      <c r="A18745" s="8" t="str">
        <f>"SIGMOD-PODS'09 - Proceedings of the International Conference on Management of Data and 28th Symposium on Principles of Database Systems"</f>
        <v>SIGMOD-PODS'09 - Proceedings of the International Conference on Management of Data and 28th Symposium on Principles of Database Systems</v>
      </c>
      <c r="B18745" s="8" t="str">
        <f>"9781605585543"</f>
        <v>9781605585543</v>
      </c>
      <c r="C18745" s="8" t="s">
        <v>21</v>
      </c>
    </row>
    <row r="18746" spans="1:3" x14ac:dyDescent="0.25">
      <c r="A18746" s="8" t="str">
        <f>"Signal Processing in Photonic Communications, SPPCom 2015"</f>
        <v>Signal Processing in Photonic Communications, SPPCom 2015</v>
      </c>
      <c r="B18746" s="8" t="str">
        <f>"9781557520005"</f>
        <v>9781557520005</v>
      </c>
      <c r="C18746" s="8" t="s">
        <v>1638</v>
      </c>
    </row>
    <row r="18747" spans="1:3" x14ac:dyDescent="0.25">
      <c r="A18747" s="8" t="str">
        <f>"Signal Processing: Algorithms, Architectures, Arrangements, and Applications, SPA 2007 - Workshop Proceedings"</f>
        <v>Signal Processing: Algorithms, Architectures, Arrangements, and Applications, SPA 2007 - Workshop Proceedings</v>
      </c>
      <c r="B18747" s="8" t="str">
        <f>"9781424415144"</f>
        <v>9781424415144</v>
      </c>
      <c r="C18747" s="8" t="s">
        <v>9</v>
      </c>
    </row>
    <row r="18748" spans="1:3" x14ac:dyDescent="0.25">
      <c r="A18748" s="8" t="str">
        <f>"SIGSIM-PADS 2013 - Proceedings of the 2013 ACM SIGSIM Principles of Advanced Discrete Simulation"</f>
        <v>SIGSIM-PADS 2013 - Proceedings of the 2013 ACM SIGSIM Principles of Advanced Discrete Simulation</v>
      </c>
      <c r="B18748" s="8" t="str">
        <f>"9781450319201"</f>
        <v>9781450319201</v>
      </c>
      <c r="C18748" s="8" t="s">
        <v>21</v>
      </c>
    </row>
    <row r="18749" spans="1:3" x14ac:dyDescent="0.25">
      <c r="A18749" s="8" t="str">
        <f>"SIGUCCS'09 - Proceedings of the 2009 ACM SIGUCCS Fall Conference"</f>
        <v>SIGUCCS'09 - Proceedings of the 2009 ACM SIGUCCS Fall Conference</v>
      </c>
      <c r="B18749" s="8" t="str">
        <f>"9781605584775"</f>
        <v>9781605584775</v>
      </c>
      <c r="C18749" s="8" t="s">
        <v>21</v>
      </c>
    </row>
    <row r="18750" spans="1:3" x14ac:dyDescent="0.25">
      <c r="A18750" s="8" t="str">
        <f>"SIGUCCS'12 - ACM Proceedings of the SIGUCCS Annual Conference"</f>
        <v>SIGUCCS'12 - ACM Proceedings of the SIGUCCS Annual Conference</v>
      </c>
      <c r="B18750" s="8" t="str">
        <f>"9781450314947"</f>
        <v>9781450314947</v>
      </c>
      <c r="C18750" s="8" t="s">
        <v>21</v>
      </c>
    </row>
    <row r="18751" spans="1:3" x14ac:dyDescent="0.25">
      <c r="A18751" s="8" t="str">
        <f>"SIISY 2010 - 8th IEEE International Symposium on Intelligent Systems and Informatics"</f>
        <v>SIISY 2010 - 8th IEEE International Symposium on Intelligent Systems and Informatics</v>
      </c>
      <c r="B18751" s="8" t="str">
        <f>"9781424473946"</f>
        <v>9781424473946</v>
      </c>
      <c r="C18751" s="8" t="s">
        <v>9</v>
      </c>
    </row>
    <row r="18752" spans="1:3" x14ac:dyDescent="0.25">
      <c r="A18752" s="8" t="str">
        <f>"SIITME 2009 - 15th International Symposium for Design and Technology of Electronics Packages"</f>
        <v>SIITME 2009 - 15th International Symposium for Design and Technology of Electronics Packages</v>
      </c>
      <c r="B18752" s="8" t="str">
        <f>"9781424451333"</f>
        <v>9781424451333</v>
      </c>
      <c r="C18752" s="8" t="s">
        <v>9</v>
      </c>
    </row>
    <row r="18753" spans="1:3" x14ac:dyDescent="0.25">
      <c r="A18753" s="8" t="str">
        <f>"Silicon Based Polymers: Advances in Synthesis and Supramolecular Organization"</f>
        <v>Silicon Based Polymers: Advances in Synthesis and Supramolecular Organization</v>
      </c>
      <c r="B18753" s="8" t="str">
        <f>"9781402085277"</f>
        <v>9781402085277</v>
      </c>
      <c r="C18753" s="8" t="s">
        <v>834</v>
      </c>
    </row>
    <row r="18754" spans="1:3" x14ac:dyDescent="0.25">
      <c r="A18754" s="8" t="str">
        <f>"SIMPLEX'09 - 1st Annual Workshop on Simplifying Complex Network for Practitioners"</f>
        <v>SIMPLEX'09 - 1st Annual Workshop on Simplifying Complex Network for Practitioners</v>
      </c>
      <c r="B18754" s="8" t="str">
        <f>"9781605587042"</f>
        <v>9781605587042</v>
      </c>
      <c r="C18754" s="8" t="s">
        <v>21</v>
      </c>
    </row>
    <row r="18755" spans="1:3" x14ac:dyDescent="0.25">
      <c r="A18755" s="8" t="str">
        <f>"Simulation in Wider Europe - 19th European Conference on Modelling and Simulation, ECMS 2005"</f>
        <v>Simulation in Wider Europe - 19th European Conference on Modelling and Simulation, ECMS 2005</v>
      </c>
      <c r="B18755" s="8" t="str">
        <f>"9781842331125"</f>
        <v>9781842331125</v>
      </c>
      <c r="C18755" s="8" t="s">
        <v>1391</v>
      </c>
    </row>
    <row r="18756" spans="1:3" x14ac:dyDescent="0.25">
      <c r="A18756" s="8" t="str">
        <f>"Simulation Interoperability Standards Organization - 14th Conference on Behavior Representation in Modeling and Simulation 2005"</f>
        <v>Simulation Interoperability Standards Organization - 14th Conference on Behavior Representation in Modeling and Simulation 2005</v>
      </c>
      <c r="B18756" s="8" t="str">
        <f>"9781604238952"</f>
        <v>9781604238952</v>
      </c>
      <c r="C18756" s="8" t="s">
        <v>1283</v>
      </c>
    </row>
    <row r="18757" spans="1:3" x14ac:dyDescent="0.25">
      <c r="A18757" s="8" t="str">
        <f>"Simulation Interoperability Standards Organization - 15th Conference on Behavior Representation in Modeling and Simulation 2006"</f>
        <v>Simulation Interoperability Standards Organization - 15th Conference on Behavior Representation in Modeling and Simulation 2006</v>
      </c>
      <c r="B18757" s="8" t="str">
        <f>"9781604238969"</f>
        <v>9781604238969</v>
      </c>
      <c r="C18757" s="8" t="s">
        <v>1283</v>
      </c>
    </row>
    <row r="18758" spans="1:3" x14ac:dyDescent="0.25">
      <c r="A18758" s="8" t="str">
        <f>"Simulation Interoperability Standards Organization - Simulation Interoperability Workshop Fall 2008"</f>
        <v>Simulation Interoperability Standards Organization - Simulation Interoperability Workshop Fall 2008</v>
      </c>
      <c r="B18758" s="8" t="str">
        <f>"9781605604183"</f>
        <v>9781605604183</v>
      </c>
      <c r="C18758" s="8" t="s">
        <v>1283</v>
      </c>
    </row>
    <row r="18759" spans="1:3" x14ac:dyDescent="0.25">
      <c r="A18759" s="8" t="str">
        <f>"Simulation Interoperability Standards Organization - Simulation Interoperability Workshop Spring 2008, Workshop Papers"</f>
        <v>Simulation Interoperability Standards Organization - Simulation Interoperability Workshop Spring 2008, Workshop Papers</v>
      </c>
      <c r="B18759" s="8" t="str">
        <f>"9781605601083"</f>
        <v>9781605601083</v>
      </c>
      <c r="C18759" s="8" t="s">
        <v>1283</v>
      </c>
    </row>
    <row r="18760" spans="1:3" x14ac:dyDescent="0.25">
      <c r="A18760" s="8" t="str">
        <f>"Simulation Interoperability Standards Organization - SISO European Simulation Interoperability Workshop, EURO SIW 2008"</f>
        <v>Simulation Interoperability Standards Organization - SISO European Simulation Interoperability Workshop, EURO SIW 2008</v>
      </c>
      <c r="B18760" s="8" t="str">
        <f>"9781605602004"</f>
        <v>9781605602004</v>
      </c>
      <c r="C18760" s="8" t="s">
        <v>1283</v>
      </c>
    </row>
    <row r="18761" spans="1:3" x14ac:dyDescent="0.25">
      <c r="A18761" s="8" t="str">
        <f>"Simulation Interoperability Standards Organization - SISO Workshop at ITEC 2013"</f>
        <v>Simulation Interoperability Standards Organization - SISO Workshop at ITEC 2013</v>
      </c>
      <c r="B18761" s="8" t="str">
        <f>"9781627488624"</f>
        <v>9781627488624</v>
      </c>
      <c r="C18761" s="8" t="s">
        <v>1283</v>
      </c>
    </row>
    <row r="18762" spans="1:3" x14ac:dyDescent="0.25">
      <c r="A18762" s="8" t="str">
        <f>"Simulation Interoperability Standards Organization - Spring Simulation Interoperability Workshop 2007, 07 Spring SIW"</f>
        <v>Simulation Interoperability Standards Organization - Spring Simulation Interoperability Workshop 2007, 07 Spring SIW</v>
      </c>
      <c r="B18762" s="8" t="str">
        <f>"9781604239232"</f>
        <v>9781604239232</v>
      </c>
      <c r="C18762" s="8" t="s">
        <v>1283</v>
      </c>
    </row>
    <row r="18763" spans="1:3" x14ac:dyDescent="0.25">
      <c r="A18763" s="8" t="str">
        <f>"Simulation Interoperability Standards Organization - Spring Simulation Interoperability Workshop 2009"</f>
        <v>Simulation Interoperability Standards Organization - Spring Simulation Interoperability Workshop 2009</v>
      </c>
      <c r="B18763" s="8" t="str">
        <f>"9781605607986"</f>
        <v>9781605607986</v>
      </c>
      <c r="C18763" s="8" t="s">
        <v>1283</v>
      </c>
    </row>
    <row r="18764" spans="1:3" x14ac:dyDescent="0.25">
      <c r="A18764" s="8" t="str">
        <f>"SIMULTECH 2011 - Proceedings of 1st International Conference on Simulation and Modeling Methodologies, Technologies and Applications"</f>
        <v>SIMULTECH 2011 - Proceedings of 1st International Conference on Simulation and Modeling Methodologies, Technologies and Applications</v>
      </c>
      <c r="B18764" s="8" t="str">
        <f>"9789898425782"</f>
        <v>9789898425782</v>
      </c>
      <c r="C18764" s="8" t="s">
        <v>1680</v>
      </c>
    </row>
    <row r="18765" spans="1:3" x14ac:dyDescent="0.25">
      <c r="A18765" s="8" t="str">
        <f>"SIMULTECH 2012 - Proceedings of the 2nd International Conference on Simulation and Modeling Methodologies, Technologies and Applications"</f>
        <v>SIMULTECH 2012 - Proceedings of the 2nd International Conference on Simulation and Modeling Methodologies, Technologies and Applications</v>
      </c>
      <c r="B18765" s="8" t="str">
        <f>"9789898565204"</f>
        <v>9789898565204</v>
      </c>
      <c r="C18765" s="8" t="s">
        <v>1197</v>
      </c>
    </row>
    <row r="18766" spans="1:3" x14ac:dyDescent="0.25">
      <c r="A18766" s="8" t="str">
        <f>"SIMULTECH 2013 - Proceedings of the 3rd International Conference on Simulation and Modeling Methodologies, Technologies and Applications"</f>
        <v>SIMULTECH 2013 - Proceedings of the 3rd International Conference on Simulation and Modeling Methodologies, Technologies and Applications</v>
      </c>
      <c r="B18766" s="8" t="str">
        <f>"9789898565693"</f>
        <v>9789898565693</v>
      </c>
      <c r="C18766" s="8" t="s">
        <v>1197</v>
      </c>
    </row>
    <row r="18767" spans="1:3" x14ac:dyDescent="0.25">
      <c r="A18767" s="8" t="str">
        <f>"SIMULTECH 2014 - Proceedings of the 4th International Conference on Simulation and Modeling Methodologies, Technologies and Applications"</f>
        <v>SIMULTECH 2014 - Proceedings of the 4th International Conference on Simulation and Modeling Methodologies, Technologies and Applications</v>
      </c>
      <c r="B18767" s="8" t="str">
        <f>"9789897580383"</f>
        <v>9789897580383</v>
      </c>
      <c r="C18767" s="8" t="s">
        <v>1197</v>
      </c>
    </row>
    <row r="18768" spans="1:3" x14ac:dyDescent="0.25">
      <c r="A18768" s="8" t="str">
        <f>"SIMUTools 2008 - 1st International ICST Conference on Simulation Tools and Techniques for Communications, Networks and Systems"</f>
        <v>SIMUTools 2008 - 1st International ICST Conference on Simulation Tools and Techniques for Communications, Networks and Systems</v>
      </c>
      <c r="B18768" s="8" t="str">
        <f>"9789639799233"</f>
        <v>9789639799233</v>
      </c>
      <c r="C18768" s="8" t="s">
        <v>1504</v>
      </c>
    </row>
    <row r="18769" spans="1:3" x14ac:dyDescent="0.25">
      <c r="A18769" s="8" t="str">
        <f>"SIMUTools 2009 - 2nd International ICST Conference on Simulation Tools and Techniques"</f>
        <v>SIMUTools 2009 - 2nd International ICST Conference on Simulation Tools and Techniques</v>
      </c>
      <c r="B18769" s="8" t="str">
        <f>"9789639799455"</f>
        <v>9789639799455</v>
      </c>
      <c r="C18769" s="8" t="s">
        <v>1504</v>
      </c>
    </row>
    <row r="18770" spans="1:3" x14ac:dyDescent="0.25">
      <c r="A18770" s="8" t="str">
        <f>"SIMUTools 2010 - 3rd International ICST Conference on Simulation Tools and Techniques"</f>
        <v>SIMUTools 2010 - 3rd International ICST Conference on Simulation Tools and Techniques</v>
      </c>
      <c r="B18770" s="8" t="str">
        <f>"9789639799875"</f>
        <v>9789639799875</v>
      </c>
      <c r="C18770" s="8" t="s">
        <v>1504</v>
      </c>
    </row>
    <row r="18771" spans="1:3" x14ac:dyDescent="0.25">
      <c r="A18771" s="8" t="str">
        <f>"SIMUTools 2011 - 4th International ICST Conference on Simulation Tools and Techniques"</f>
        <v>SIMUTools 2011 - 4th International ICST Conference on Simulation Tools and Techniques</v>
      </c>
      <c r="B18771" s="8" t="str">
        <f>"9781936968008"</f>
        <v>9781936968008</v>
      </c>
      <c r="C18771" s="8" t="s">
        <v>1504</v>
      </c>
    </row>
    <row r="18772" spans="1:3" x14ac:dyDescent="0.25">
      <c r="A18772" s="8" t="str">
        <f>"SIMUTools 2012 - 5th International Conference on Simulation Tools and Techniques"</f>
        <v>SIMUTools 2012 - 5th International Conference on Simulation Tools and Techniques</v>
      </c>
      <c r="B18772" s="8" t="str">
        <f>"9781450315104"</f>
        <v>9781450315104</v>
      </c>
      <c r="C18772" s="8" t="s">
        <v>1504</v>
      </c>
    </row>
    <row r="18773" spans="1:3" x14ac:dyDescent="0.25">
      <c r="A18773" s="8" t="str">
        <f>"SIMUTools 2013 - 6th International Conference on Simulation Tools and Techniques"</f>
        <v>SIMUTools 2013 - 6th International Conference on Simulation Tools and Techniques</v>
      </c>
      <c r="B18773" s="8" t="str">
        <f>"9781936968763"</f>
        <v>9781936968763</v>
      </c>
      <c r="C18773" s="8" t="s">
        <v>1504</v>
      </c>
    </row>
    <row r="18774" spans="1:3" x14ac:dyDescent="0.25">
      <c r="A18774" s="8" t="str">
        <f>"SIMUTools 2014 - 7th International Conference on Simulation Tools and Techniques"</f>
        <v>SIMUTools 2014 - 7th International Conference on Simulation Tools and Techniques</v>
      </c>
      <c r="B18774" s="8" t="str">
        <f>"9781631900075"</f>
        <v>9781631900075</v>
      </c>
      <c r="C18774" s="8" t="s">
        <v>1504</v>
      </c>
    </row>
    <row r="18775" spans="1:3" x14ac:dyDescent="0.25">
      <c r="A18775" s="8" t="str">
        <f>"SIMUTOOLS 2015 - 8th EAI International Conference on Simulation Tools and Techniques"</f>
        <v>SIMUTOOLS 2015 - 8th EAI International Conference on Simulation Tools and Techniques</v>
      </c>
      <c r="B18775" s="8" t="str">
        <f>"9781631900792"</f>
        <v>9781631900792</v>
      </c>
      <c r="C18775" s="8" t="s">
        <v>1504</v>
      </c>
    </row>
    <row r="18776" spans="1:3" x14ac:dyDescent="0.25">
      <c r="A18776" s="8" t="str">
        <f>"SIN 2013 - Proceedings of the 6th International Conference on Security of Information and Networks"</f>
        <v>SIN 2013 - Proceedings of the 6th International Conference on Security of Information and Networks</v>
      </c>
      <c r="B18776" s="8" t="str">
        <f>"9781450324984"</f>
        <v>9781450324984</v>
      </c>
      <c r="C18776" s="8" t="s">
        <v>21</v>
      </c>
    </row>
    <row r="18777" spans="1:3" x14ac:dyDescent="0.25">
      <c r="A18777" s="8" t="str">
        <f>"SIN'09 - Proceedings of the 2nd International Conference on Security of Information and Networks"</f>
        <v>SIN'09 - Proceedings of the 2nd International Conference on Security of Information and Networks</v>
      </c>
      <c r="B18777" s="8" t="str">
        <f>"9781605584126"</f>
        <v>9781605584126</v>
      </c>
      <c r="C18777" s="8" t="s">
        <v>21</v>
      </c>
    </row>
    <row r="18778" spans="1:3" x14ac:dyDescent="0.25">
      <c r="A18778" s="8" t="str">
        <f>"SIN'10 - Proceedings of the 3rd International Conference of Security of Information and Networks"</f>
        <v>SIN'10 - Proceedings of the 3rd International Conference of Security of Information and Networks</v>
      </c>
      <c r="B18778" s="8" t="str">
        <f>"9781450302340"</f>
        <v>9781450302340</v>
      </c>
      <c r="C18778" s="8" t="s">
        <v>21</v>
      </c>
    </row>
    <row r="18779" spans="1:3" x14ac:dyDescent="0.25">
      <c r="A18779" s="8" t="str">
        <f>"SINTER'09 - Proceedings of the 2009 ESEC/FSE Workshop on Software Integration and Evolution at Runtime"</f>
        <v>SINTER'09 - Proceedings of the 2009 ESEC/FSE Workshop on Software Integration and Evolution at Runtime</v>
      </c>
      <c r="B18779" s="8" t="str">
        <f>"9781605586816"</f>
        <v>9781605586816</v>
      </c>
      <c r="C18779" s="8" t="s">
        <v>21</v>
      </c>
    </row>
    <row r="18780" spans="1:3" x14ac:dyDescent="0.25">
      <c r="A18780" s="8" t="str">
        <f>"SISO European Simulation Interoperability Workshop 2007, EURO SIW 2007"</f>
        <v>SISO European Simulation Interoperability Workshop 2007, EURO SIW 2007</v>
      </c>
      <c r="B18780" s="8" t="str">
        <f>"9781615671700"</f>
        <v>9781615671700</v>
      </c>
      <c r="C18780" s="8" t="s">
        <v>1362</v>
      </c>
    </row>
    <row r="18781" spans="1:3" x14ac:dyDescent="0.25">
      <c r="A18781" s="8" t="str">
        <f>"SISO European Simulation Interoperability Workshop 2009, EURO SIW 2009"</f>
        <v>SISO European Simulation Interoperability Workshop 2009, EURO SIW 2009</v>
      </c>
      <c r="B18781" s="8" t="str">
        <f>"9781615673193"</f>
        <v>9781615673193</v>
      </c>
      <c r="C18781" s="8" t="s">
        <v>1362</v>
      </c>
    </row>
    <row r="18782" spans="1:3" x14ac:dyDescent="0.25">
      <c r="A18782" s="8" t="str">
        <f>"SISY 2005 - 3rd Serbian-Hungarian Joint Symposium on Intelligent Systems"</f>
        <v>SISY 2005 - 3rd Serbian-Hungarian Joint Symposium on Intelligent Systems</v>
      </c>
      <c r="B18782" s="8" t="str">
        <f>"-"</f>
        <v>-</v>
      </c>
      <c r="C18782" s="8" t="s">
        <v>2321</v>
      </c>
    </row>
    <row r="18783" spans="1:3" x14ac:dyDescent="0.25">
      <c r="A18783" s="8" t="str">
        <f>"SISY 2006 - 4th Serbian-Hungarian Joint Symposium on Intelligent Systems"</f>
        <v>SISY 2006 - 4th Serbian-Hungarian Joint Symposium on Intelligent Systems</v>
      </c>
      <c r="B18783" s="8" t="str">
        <f>"-"</f>
        <v>-</v>
      </c>
      <c r="C18783" s="8" t="s">
        <v>2321</v>
      </c>
    </row>
    <row r="18784" spans="1:3" x14ac:dyDescent="0.25">
      <c r="A18784" s="8" t="str">
        <f>"SISY 2008 - 6th International Symposium on Intelligent Systems and Informatics"</f>
        <v>SISY 2008 - 6th International Symposium on Intelligent Systems and Informatics</v>
      </c>
      <c r="B18784" s="8" t="str">
        <f>"-"</f>
        <v>-</v>
      </c>
      <c r="C18784" s="8" t="s">
        <v>9</v>
      </c>
    </row>
    <row r="18785" spans="1:3" x14ac:dyDescent="0.25">
      <c r="A18785" s="8" t="str">
        <f>"SISY 2009 - 7th International Symposium on Intelligent Systems and Informatics"</f>
        <v>SISY 2009 - 7th International Symposium on Intelligent Systems and Informatics</v>
      </c>
      <c r="B18785" s="8" t="str">
        <f>"9781424453498"</f>
        <v>9781424453498</v>
      </c>
      <c r="C18785" s="8" t="s">
        <v>9</v>
      </c>
    </row>
    <row r="18786" spans="1:3" x14ac:dyDescent="0.25">
      <c r="A18786" s="8" t="str">
        <f>"SISY 2011 - 9th International Symposium on Intelligent Systems and Informatics, Proceedings"</f>
        <v>SISY 2011 - 9th International Symposium on Intelligent Systems and Informatics, Proceedings</v>
      </c>
      <c r="B18786" s="8" t="str">
        <f>"9781457719745"</f>
        <v>9781457719745</v>
      </c>
      <c r="C18786" s="8" t="s">
        <v>9</v>
      </c>
    </row>
    <row r="18787" spans="1:3" x14ac:dyDescent="0.25">
      <c r="A18787" s="8" t="str">
        <f>"SISY 2013 - IEEE 11th International Symposium on Intelligent Systems and Informatics, Proceedings"</f>
        <v>SISY 2013 - IEEE 11th International Symposium on Intelligent Systems and Informatics, Proceedings</v>
      </c>
      <c r="B18787" s="8" t="str">
        <f>"9781479903054"</f>
        <v>9781479903054</v>
      </c>
      <c r="C18787" s="8" t="s">
        <v>9</v>
      </c>
    </row>
    <row r="18788" spans="1:3" x14ac:dyDescent="0.25">
      <c r="A18788" s="8" t="str">
        <f>"SISY 2014 - IEEE 12th International Symposium on Intelligent Systems and Informatics, Proceedings"</f>
        <v>SISY 2014 - IEEE 12th International Symposium on Intelligent Systems and Informatics, Proceedings</v>
      </c>
      <c r="B18788" s="8" t="str">
        <f>"9781479959969"</f>
        <v>9781479959969</v>
      </c>
      <c r="C18788" s="8" t="s">
        <v>105</v>
      </c>
    </row>
    <row r="18789" spans="1:3" x14ac:dyDescent="0.25">
      <c r="A18789" s="8" t="str">
        <f>"SITIS 2008 - Proceedings of the 4th International Conference on Signal Image Technology and Internet Based Systems"</f>
        <v>SITIS 2008 - Proceedings of the 4th International Conference on Signal Image Technology and Internet Based Systems</v>
      </c>
      <c r="B18789" s="8" t="str">
        <f>"9780769534930"</f>
        <v>9780769534930</v>
      </c>
      <c r="C18789" s="8" t="s">
        <v>9</v>
      </c>
    </row>
    <row r="18790" spans="1:3" x14ac:dyDescent="0.25">
      <c r="A18790" s="8" t="str">
        <f>"SIU 2010 - IEEE 18th Signal Processing and Communications Applications Conference"</f>
        <v>SIU 2010 - IEEE 18th Signal Processing and Communications Applications Conference</v>
      </c>
      <c r="B18790" s="8" t="str">
        <f>"9781424496716"</f>
        <v>9781424496716</v>
      </c>
      <c r="C18790" s="8" t="s">
        <v>9</v>
      </c>
    </row>
    <row r="18791" spans="1:3" x14ac:dyDescent="0.25">
      <c r="A18791" s="8" t="str">
        <f>"Sixth IASTED International Conference on Signal and Image Processing"</f>
        <v>Sixth IASTED International Conference on Signal and Image Processing</v>
      </c>
      <c r="B18791" s="8" t="str">
        <f>"9780889864429"</f>
        <v>9780889864429</v>
      </c>
      <c r="C18791" s="8" t="s">
        <v>305</v>
      </c>
    </row>
    <row r="18792" spans="1:3" x14ac:dyDescent="0.25">
      <c r="A18792" s="8" t="str">
        <f>"Sixth IEEE International Symposium on Cluster Computing and the Grid Workshops, 2006. CCGRID 06"</f>
        <v>Sixth IEEE International Symposium on Cluster Computing and the Grid Workshops, 2006. CCGRID 06</v>
      </c>
      <c r="B18792" s="8" t="str">
        <f>"-"</f>
        <v>-</v>
      </c>
      <c r="C18792" s="8" t="s">
        <v>9</v>
      </c>
    </row>
    <row r="18793" spans="1:3" x14ac:dyDescent="0.25">
      <c r="A18793" s="8" t="str">
        <f>"Sixth IEEE International Symposium on Cluster Computing and the Grid, 2006. CCGRID 06"</f>
        <v>Sixth IEEE International Symposium on Cluster Computing and the Grid, 2006. CCGRID 06</v>
      </c>
      <c r="B18793" s="8" t="str">
        <f>"-"</f>
        <v>-</v>
      </c>
      <c r="C18793" s="8" t="s">
        <v>9</v>
      </c>
    </row>
    <row r="18794" spans="1:3" x14ac:dyDescent="0.25">
      <c r="A18794" s="8" t="str">
        <f>"Sixth IEEE International Symposium on Signal Processing and Information Technology, ISSPIT"</f>
        <v>Sixth IEEE International Symposium on Signal Processing and Information Technology, ISSPIT</v>
      </c>
      <c r="B18794" s="8" t="str">
        <f>"9780780397545"</f>
        <v>9780780397545</v>
      </c>
      <c r="C18794" s="8" t="s">
        <v>105</v>
      </c>
    </row>
    <row r="18795" spans="1:3" x14ac:dyDescent="0.25">
      <c r="A18795" s="8" t="str">
        <f>"Sixth International Conference on Advances in Power System Control, Operation and Management - Proceedings"</f>
        <v>Sixth International Conference on Advances in Power System Control, Operation and Management - Proceedings</v>
      </c>
      <c r="B18795" s="8" t="str">
        <f>"9780863413285"</f>
        <v>9780863413285</v>
      </c>
      <c r="C18795" s="8" t="s">
        <v>1944</v>
      </c>
    </row>
    <row r="18796" spans="1:3" x14ac:dyDescent="0.25">
      <c r="A18796" s="8" t="str">
        <f>"Sixth International Symposium on Parallel and Distributed Computing, ISPDC 2007"</f>
        <v>Sixth International Symposium on Parallel and Distributed Computing, ISPDC 2007</v>
      </c>
      <c r="B18796" s="8" t="str">
        <f>"9780769529363"</f>
        <v>9780769529363</v>
      </c>
      <c r="C18796" s="8" t="s">
        <v>9</v>
      </c>
    </row>
    <row r="18797" spans="1:3" x14ac:dyDescent="0.25">
      <c r="A18797" s="8" t="str">
        <f>"Sixth Workshop on Foundations of Aspect-oriented Languages, FOAL'07 was held at the Sixth International Conference on Aspect-Oriented Software Development"</f>
        <v>Sixth Workshop on Foundations of Aspect-oriented Languages, FOAL'07 was held at the Sixth International Conference on Aspect-Oriented Software Development</v>
      </c>
      <c r="B18797" s="8" t="str">
        <f>"9781595936714"</f>
        <v>9781595936714</v>
      </c>
      <c r="C18797" s="8" t="s">
        <v>21</v>
      </c>
    </row>
    <row r="18798" spans="1:3" x14ac:dyDescent="0.25">
      <c r="A18798" s="8" t="str">
        <f>"Sketch-Based Interfaces and Modeling 2007 - ACM SIGGRAPH/Eurographics Symposium Proceedings"</f>
        <v>Sketch-Based Interfaces and Modeling 2007 - ACM SIGGRAPH/Eurographics Symposium Proceedings</v>
      </c>
      <c r="B18798" s="8" t="str">
        <f>"-"</f>
        <v>-</v>
      </c>
      <c r="C18798" s="8" t="s">
        <v>21</v>
      </c>
    </row>
    <row r="18799" spans="1:3" x14ac:dyDescent="0.25">
      <c r="A18799" s="8" t="str">
        <f>"Sketch-Based Interfaces and Modeling 2009 - ACM SIGGRAPH/Eurographics Symposium Proceedings"</f>
        <v>Sketch-Based Interfaces and Modeling 2009 - ACM SIGGRAPH/Eurographics Symposium Proceedings</v>
      </c>
      <c r="B18799" s="8" t="str">
        <f>"9781605586021"</f>
        <v>9781605586021</v>
      </c>
      <c r="C18799" s="8" t="s">
        <v>21</v>
      </c>
    </row>
    <row r="18800" spans="1:3" x14ac:dyDescent="0.25">
      <c r="A18800" s="8" t="str">
        <f>"SKG 2009 - 5th International Conference on Semantics, Knowledge, and Grid"</f>
        <v>SKG 2009 - 5th International Conference on Semantics, Knowledge, and Grid</v>
      </c>
      <c r="B18800" s="8" t="str">
        <f>"9780769538105"</f>
        <v>9780769538105</v>
      </c>
      <c r="C18800" s="8" t="s">
        <v>9</v>
      </c>
    </row>
    <row r="18801" spans="1:3" x14ac:dyDescent="0.25">
      <c r="A18801" s="8" t="str">
        <f>"SKIMA 2011 - 5th International Conference on Software, Knowledge Information, Industrial Management and Applications"</f>
        <v>SKIMA 2011 - 5th International Conference on Software, Knowledge Information, Industrial Management and Applications</v>
      </c>
      <c r="B18801" s="8" t="str">
        <f>"9781467302463"</f>
        <v>9781467302463</v>
      </c>
      <c r="C18801" s="8" t="s">
        <v>9</v>
      </c>
    </row>
    <row r="18802" spans="1:3" x14ac:dyDescent="0.25">
      <c r="A18802" s="8" t="str">
        <f>"SKIMA 2014 - 8th International Conference on Software, Knowledge, Information Management and Applications"</f>
        <v>SKIMA 2014 - 8th International Conference on Software, Knowledge, Information Management and Applications</v>
      </c>
      <c r="B18802" s="8" t="str">
        <f>"9781479963997"</f>
        <v>9781479963997</v>
      </c>
      <c r="C18802" s="8" t="s">
        <v>105</v>
      </c>
    </row>
    <row r="18803" spans="1:3" x14ac:dyDescent="0.25">
      <c r="A18803" s="8" t="str">
        <f>"SLED 2011 - 2nd 2011 Symposium on Sensorless Control for Electrical Drives"</f>
        <v>SLED 2011 - 2nd 2011 Symposium on Sensorless Control for Electrical Drives</v>
      </c>
      <c r="B18803" s="8" t="str">
        <f>"9781457718540"</f>
        <v>9781457718540</v>
      </c>
      <c r="C18803" s="8" t="s">
        <v>9</v>
      </c>
    </row>
    <row r="18804" spans="1:3" x14ac:dyDescent="0.25">
      <c r="A18804" s="8" t="str">
        <f>"SLED/PRECEDE 2013 - 2013 IEEE International Symposium on Sensorless Control for Electrical Drives and Predictive Control of Electrical Drives and Power Electronics"</f>
        <v>SLED/PRECEDE 2013 - 2013 IEEE International Symposium on Sensorless Control for Electrical Drives and Predictive Control of Electrical Drives and Power Electronics</v>
      </c>
      <c r="B18804" s="8" t="str">
        <f>"9781479906819"</f>
        <v>9781479906819</v>
      </c>
      <c r="C18804" s="8" t="s">
        <v>9</v>
      </c>
    </row>
    <row r="18805" spans="1:3" x14ac:dyDescent="0.25">
      <c r="A18805" s="8" t="str">
        <f>"SMACD 2006 - Proceedings of the 9th International Workshop on Symbolic Methods and Applications to Circuit Design"</f>
        <v>SMACD 2006 - Proceedings of the 9th International Workshop on Symbolic Methods and Applications to Circuit Design</v>
      </c>
      <c r="B18805" s="8" t="str">
        <f>"9788884535092"</f>
        <v>9788884535092</v>
      </c>
      <c r="C18805" s="8" t="s">
        <v>1552</v>
      </c>
    </row>
    <row r="18806" spans="1:3" x14ac:dyDescent="0.25">
      <c r="A18806" s="8" t="str">
        <f>"Small Engine Technology Conference and Exposition, SETC 2005"</f>
        <v>Small Engine Technology Conference and Exposition, SETC 2005</v>
      </c>
      <c r="B18806" s="8" t="str">
        <f>"-"</f>
        <v>-</v>
      </c>
      <c r="C18806" s="8" t="s">
        <v>1040</v>
      </c>
    </row>
    <row r="18807" spans="1:3" x14ac:dyDescent="0.25">
      <c r="A18807" s="8" t="str">
        <f>"Small Satellites for Earth Observation - Selected Contributions"</f>
        <v>Small Satellites for Earth Observation - Selected Contributions</v>
      </c>
      <c r="B18807" s="8" t="str">
        <f>"9781402069420"</f>
        <v>9781402069420</v>
      </c>
      <c r="C18807" s="8" t="s">
        <v>162</v>
      </c>
    </row>
    <row r="18808" spans="1:3" x14ac:dyDescent="0.25">
      <c r="A18808" s="8" t="str">
        <f>"SMAP '09 - 4th International Workshop on Semantic Media Adaptation and Personalization"</f>
        <v>SMAP '09 - 4th International Workshop on Semantic Media Adaptation and Personalization</v>
      </c>
      <c r="B18808" s="8" t="str">
        <f>"9780769538945"</f>
        <v>9780769538945</v>
      </c>
      <c r="C18808" s="8" t="s">
        <v>9</v>
      </c>
    </row>
    <row r="18809" spans="1:3" x14ac:dyDescent="0.25">
      <c r="A18809" s="8" t="str">
        <f>"SMAP07 - Second International Workshop on Semantic Media Adaptation and Personalization"</f>
        <v>SMAP07 - Second International Workshop on Semantic Media Adaptation and Personalization</v>
      </c>
      <c r="B18809" s="8" t="str">
        <f>"9780769530406"</f>
        <v>9780769530406</v>
      </c>
      <c r="C18809" s="8" t="s">
        <v>9</v>
      </c>
    </row>
    <row r="18810" spans="1:3" x14ac:dyDescent="0.25">
      <c r="A18810" s="8" t="str">
        <f>"Smart Grid Conference 2013, SGC 2013"</f>
        <v>Smart Grid Conference 2013, SGC 2013</v>
      </c>
      <c r="B18810" s="8" t="str">
        <f>"9781479930401"</f>
        <v>9781479930401</v>
      </c>
      <c r="C18810" s="8" t="s">
        <v>9</v>
      </c>
    </row>
    <row r="18811" spans="1:3" x14ac:dyDescent="0.25">
      <c r="A18811" s="8" t="str">
        <f>"Smart Grid Conference 2014, SGC 2014"</f>
        <v>Smart Grid Conference 2014, SGC 2014</v>
      </c>
      <c r="B18811" s="8" t="str">
        <f>"9781479983131"</f>
        <v>9781479983131</v>
      </c>
      <c r="C18811" s="8" t="s">
        <v>105</v>
      </c>
    </row>
    <row r="18812" spans="1:3" x14ac:dyDescent="0.25">
      <c r="A18812" s="8" t="str">
        <f>"Smart SysTech 2014; European Conference on Smart Objects, Systems and Technologies"</f>
        <v>Smart SysTech 2014; European Conference on Smart Objects, Systems and Technologies</v>
      </c>
      <c r="B18812" s="8" t="str">
        <f>"9783800736263"</f>
        <v>9783800736263</v>
      </c>
      <c r="C18812" s="8" t="s">
        <v>105</v>
      </c>
    </row>
    <row r="18813" spans="1:3" x14ac:dyDescent="0.25">
      <c r="A18813" s="8" t="str">
        <f>"SMARTGREENS 2012 - Proceedings of the 1st International Conference on Smart Grids and Green IT Systems"</f>
        <v>SMARTGREENS 2012 - Proceedings of the 1st International Conference on Smart Grids and Green IT Systems</v>
      </c>
      <c r="B18813" s="8" t="str">
        <f>"9789898565099"</f>
        <v>9789898565099</v>
      </c>
      <c r="C18813" s="8" t="s">
        <v>394</v>
      </c>
    </row>
    <row r="18814" spans="1:3" x14ac:dyDescent="0.25">
      <c r="A18814" s="8" t="str">
        <f>"SMARTGREENS 2013 - Proceedings of the 2nd International Conference on Smart Grids and Green IT Systems"</f>
        <v>SMARTGREENS 2013 - Proceedings of the 2nd International Conference on Smart Grids and Green IT Systems</v>
      </c>
      <c r="B18814" s="8" t="str">
        <f>"9789898565556"</f>
        <v>9789898565556</v>
      </c>
      <c r="C18814" s="8" t="s">
        <v>1197</v>
      </c>
    </row>
    <row r="18815" spans="1:3" x14ac:dyDescent="0.25">
      <c r="A18815" s="8" t="str">
        <f>"SMARTGREENS 2015 - 4th International Conference on Smart Cities and Green ICT Systems, Proceedings"</f>
        <v>SMARTGREENS 2015 - 4th International Conference on Smart Cities and Green ICT Systems, Proceedings</v>
      </c>
      <c r="B18815" s="8" t="str">
        <f>"9789897581052"</f>
        <v>9789897581052</v>
      </c>
      <c r="C18815" s="8" t="s">
        <v>1197</v>
      </c>
    </row>
    <row r="18816" spans="1:3" x14ac:dyDescent="0.25">
      <c r="A18816" s="8" t="str">
        <f>"SMBM 2012 - Proceedings of the 5th International Symposium on Semantic Mining in Biomedicine"</f>
        <v>SMBM 2012 - Proceedings of the 5th International Symposium on Semantic Mining in Biomedicine</v>
      </c>
      <c r="B18816" s="8" t="str">
        <f>"9783033038233"</f>
        <v>9783033038233</v>
      </c>
      <c r="C18816" s="8" t="s">
        <v>2322</v>
      </c>
    </row>
    <row r="18817" spans="1:3" x14ac:dyDescent="0.25">
      <c r="A18817" s="8" t="str">
        <f>"SMCia 2001 - Proceedings of the 2001 IEEE Mountain Workshop on Soft Computing in Industrial Applications"</f>
        <v>SMCia 2001 - Proceedings of the 2001 IEEE Mountain Workshop on Soft Computing in Industrial Applications</v>
      </c>
      <c r="B18817" s="8" t="str">
        <f>"9780780371545"</f>
        <v>9780780371545</v>
      </c>
      <c r="C18817" s="8" t="s">
        <v>105</v>
      </c>
    </row>
    <row r="18818" spans="1:3" x14ac:dyDescent="0.25">
      <c r="A18818" s="8" t="str">
        <f>"SMCia 2003 - Proceedings of the 2003 IEEE International Workshop on Soft Computing in Industrial Applications"</f>
        <v>SMCia 2003 - Proceedings of the 2003 IEEE International Workshop on Soft Computing in Industrial Applications</v>
      </c>
      <c r="B18818" s="8" t="str">
        <f>"9780780378551"</f>
        <v>9780780378551</v>
      </c>
      <c r="C18818" s="8" t="s">
        <v>105</v>
      </c>
    </row>
    <row r="18819" spans="1:3" x14ac:dyDescent="0.25">
      <c r="A18819" s="8" t="str">
        <f>"SMCia/05 - Proceedings of the 2005 IEEE Mid-Summer Workshop on Soft Computing in Industrial Applications"</f>
        <v>SMCia/05 - Proceedings of the 2005 IEEE Mid-Summer Workshop on Soft Computing in Industrial Applications</v>
      </c>
      <c r="B18819" s="8" t="str">
        <f>"-"</f>
        <v>-</v>
      </c>
      <c r="C18819" s="8" t="s">
        <v>9</v>
      </c>
    </row>
    <row r="18820" spans="1:3" x14ac:dyDescent="0.25">
      <c r="A18820" s="8" t="str">
        <f>"SMCia/08 - Proceedings of the 2008 IEEE Conference on Soft Computing on Industrial Applications"</f>
        <v>SMCia/08 - Proceedings of the 2008 IEEE Conference on Soft Computing on Industrial Applications</v>
      </c>
      <c r="B18820" s="8" t="str">
        <f>"9781424437825"</f>
        <v>9781424437825</v>
      </c>
      <c r="C18820" s="8" t="s">
        <v>9</v>
      </c>
    </row>
    <row r="18821" spans="1:3" x14ac:dyDescent="0.25">
      <c r="A18821" s="8" t="str">
        <f>"SME Annual Meeting and Exhibit 2010"</f>
        <v>SME Annual Meeting and Exhibit 2010</v>
      </c>
      <c r="B18821" s="8" t="str">
        <f>"9781617380822"</f>
        <v>9781617380822</v>
      </c>
      <c r="C18821" s="8" t="s">
        <v>877</v>
      </c>
    </row>
    <row r="18822" spans="1:3" x14ac:dyDescent="0.25">
      <c r="A18822" s="8" t="str">
        <f>"SME Annual Meeting and Exhibit and CMA 113th National Western Mining Conference 2011"</f>
        <v>SME Annual Meeting and Exhibit and CMA 113th National Western Mining Conference 2011</v>
      </c>
      <c r="B18822" s="8" t="str">
        <f>"9781617829727"</f>
        <v>9781617829727</v>
      </c>
      <c r="C18822" s="8" t="s">
        <v>877</v>
      </c>
    </row>
    <row r="18823" spans="1:3" x14ac:dyDescent="0.25">
      <c r="A18823" s="8" t="str">
        <f>"SME Annual Meeting and Exhibit and CMA's 111th National Western Mining Conference 2009"</f>
        <v>SME Annual Meeting and Exhibit and CMA's 111th National Western Mining Conference 2009</v>
      </c>
      <c r="B18823" s="8" t="str">
        <f>"9781615671533"</f>
        <v>9781615671533</v>
      </c>
      <c r="C18823" s="8" t="s">
        <v>877</v>
      </c>
    </row>
    <row r="18824" spans="1:3" x14ac:dyDescent="0.25">
      <c r="A18824" s="8" t="str">
        <f>"SMFG 2011 - IEEE International Conference on Smart Measurements for Grids, Proceedings"</f>
        <v>SMFG 2011 - IEEE International Conference on Smart Measurements for Grids, Proceedings</v>
      </c>
      <c r="B18824" s="8" t="str">
        <f>"9781457713125"</f>
        <v>9781457713125</v>
      </c>
      <c r="C18824" s="8" t="s">
        <v>9</v>
      </c>
    </row>
    <row r="18825" spans="1:3" x14ac:dyDescent="0.25">
      <c r="A18825" s="8" t="str">
        <f>"SMI 2010 - International Conference on Shape Modeling and Applications, Proceedings"</f>
        <v>SMI 2010 - International Conference on Shape Modeling and Applications, Proceedings</v>
      </c>
      <c r="B18825" s="8" t="str">
        <f>"9780769540726"</f>
        <v>9780769540726</v>
      </c>
      <c r="C18825" s="8" t="s">
        <v>9</v>
      </c>
    </row>
    <row r="18826" spans="1:3" x14ac:dyDescent="0.25">
      <c r="A18826" s="8" t="str">
        <f>"SMI 2013 - Proceedings of the 2013 ACM Workshop on Smart Material Interfaces: Another Step to a Material Future, Co-located with ICMI 2013"</f>
        <v>SMI 2013 - Proceedings of the 2013 ACM Workshop on Smart Material Interfaces: Another Step to a Material Future, Co-located with ICMI 2013</v>
      </c>
      <c r="B18826" s="8" t="str">
        <f>"9781450325622"</f>
        <v>9781450325622</v>
      </c>
      <c r="C18826" s="8" t="s">
        <v>21</v>
      </c>
    </row>
    <row r="18827" spans="1:3" x14ac:dyDescent="0.25">
      <c r="A18827" s="8" t="str">
        <f>"SMPTE 2014 Annual Technical Conference and Exhibition, SMPTE 2014"</f>
        <v>SMPTE 2014 Annual Technical Conference and Exhibition, SMPTE 2014</v>
      </c>
      <c r="B18827" s="8" t="str">
        <f>"-"</f>
        <v>-</v>
      </c>
      <c r="C18827" s="8" t="s">
        <v>1078</v>
      </c>
    </row>
    <row r="18828" spans="1:3" x14ac:dyDescent="0.25">
      <c r="A18828" s="8" t="str">
        <f>"SMPTE Annual Technical Conference and Exhibition 2011, SMPTE 2011"</f>
        <v>SMPTE Annual Technical Conference and Exhibition 2011, SMPTE 2011</v>
      </c>
      <c r="B18828" s="8" t="str">
        <f>"9781622764204"</f>
        <v>9781622764204</v>
      </c>
      <c r="C18828" s="8" t="s">
        <v>1078</v>
      </c>
    </row>
    <row r="18829" spans="1:3" x14ac:dyDescent="0.25">
      <c r="A18829" s="8" t="str">
        <f>"SMPTE Annual Technical Conference and Exhibition 2012, SMPTE 2012"</f>
        <v>SMPTE Annual Technical Conference and Exhibition 2012, SMPTE 2012</v>
      </c>
      <c r="B18829" s="8" t="str">
        <f>"9781622765386"</f>
        <v>9781622765386</v>
      </c>
      <c r="C18829" s="8" t="s">
        <v>1078</v>
      </c>
    </row>
    <row r="18830" spans="1:3" x14ac:dyDescent="0.25">
      <c r="A18830" s="8" t="str">
        <f>"SMST-2006 - Proceedings of the International Conference on Shape Memory and Superelastic Technologies"</f>
        <v>SMST-2006 - Proceedings of the International Conference on Shape Memory and Superelastic Technologies</v>
      </c>
      <c r="B18830" s="8" t="str">
        <f>"9780871708625"</f>
        <v>9780871708625</v>
      </c>
      <c r="C18830" s="8" t="s">
        <v>65</v>
      </c>
    </row>
    <row r="18831" spans="1:3" x14ac:dyDescent="0.25">
      <c r="A18831" s="8" t="str">
        <f>"SMST-2007 - Proceedings of the International Conference on Shape Memory and Superelastic Technologies"</f>
        <v>SMST-2007 - Proceedings of the International Conference on Shape Memory and Superelastic Technologies</v>
      </c>
      <c r="B18831" s="8" t="str">
        <f>"9780871707222"</f>
        <v>9780871707222</v>
      </c>
      <c r="C18831" s="8" t="s">
        <v>65</v>
      </c>
    </row>
    <row r="18832" spans="1:3" x14ac:dyDescent="0.25">
      <c r="A18832" s="8" t="str">
        <f>"SMVC'10 - Proceedings of the 2010 ACM Workshop on Surreal Media and Virtual Cloning, Co-located with ACM Multimedia 2010"</f>
        <v>SMVC'10 - Proceedings of the 2010 ACM Workshop on Surreal Media and Virtual Cloning, Co-located with ACM Multimedia 2010</v>
      </c>
      <c r="B18832" s="8" t="str">
        <f>"9781450301756"</f>
        <v>9781450301756</v>
      </c>
      <c r="C18832" s="8" t="s">
        <v>21</v>
      </c>
    </row>
    <row r="18833" spans="1:3" x14ac:dyDescent="0.25">
      <c r="A18833" s="8" t="str">
        <f>"SNC'07 - Proceedings of the 2007 International Workshop on Symbolic-Numeric Computation"</f>
        <v>SNC'07 - Proceedings of the 2007 International Workshop on Symbolic-Numeric Computation</v>
      </c>
      <c r="B18833" s="8" t="str">
        <f>"9781595937445"</f>
        <v>9781595937445</v>
      </c>
      <c r="C18833" s="8" t="s">
        <v>21</v>
      </c>
    </row>
    <row r="18834" spans="1:3" x14ac:dyDescent="0.25">
      <c r="A18834" s="8" t="str">
        <f>"SNC'11 - Proceedings of the 2011 International Workshop on Symbolic-Numeric Computation"</f>
        <v>SNC'11 - Proceedings of the 2011 International Workshop on Symbolic-Numeric Computation</v>
      </c>
      <c r="B18834" s="8" t="str">
        <f>"9781450305150"</f>
        <v>9781450305150</v>
      </c>
      <c r="C18834" s="8" t="s">
        <v>21</v>
      </c>
    </row>
    <row r="18835" spans="1:3" x14ac:dyDescent="0.25">
      <c r="A18835" s="8" t="str">
        <f>"SNPD 2013 - 14th ACIS International Conference on Software Engineering, Artificial Intelligence, Networking and Parallel/Distributed Computing"</f>
        <v>SNPD 2013 - 14th ACIS International Conference on Software Engineering, Artificial Intelligence, Networking and Parallel/Distributed Computing</v>
      </c>
      <c r="B18835" s="8" t="str">
        <f>"9780769550053"</f>
        <v>9780769550053</v>
      </c>
      <c r="C18835" s="8" t="s">
        <v>9</v>
      </c>
    </row>
    <row r="18836" spans="1:3" x14ac:dyDescent="0.25">
      <c r="A18836" s="8" t="str">
        <f>"Social Computing and Behavioral Modeling"</f>
        <v>Social Computing and Behavioral Modeling</v>
      </c>
      <c r="B18836" s="8" t="str">
        <f>"9781441900555"</f>
        <v>9781441900555</v>
      </c>
      <c r="C18836" s="8" t="s">
        <v>834</v>
      </c>
    </row>
    <row r="18837" spans="1:3" x14ac:dyDescent="0.25">
      <c r="A18837" s="8" t="str">
        <f>"Social Coordination: Principles, Artefacts and Theories, SOCIAL.PATH 2013 - AISB Convention 2013"</f>
        <v>Social Coordination: Principles, Artefacts and Theories, SOCIAL.PATH 2013 - AISB Convention 2013</v>
      </c>
      <c r="B18837" s="8" t="str">
        <f>"9781908187369"</f>
        <v>9781908187369</v>
      </c>
      <c r="C18837" s="8" t="s">
        <v>1465</v>
      </c>
    </row>
    <row r="18838" spans="1:3" x14ac:dyDescent="0.25">
      <c r="A18838" s="8" t="s">
        <v>2323</v>
      </c>
      <c r="B18838" s="8" t="str">
        <f>"9781604238716"</f>
        <v>9781604238716</v>
      </c>
      <c r="C18838" s="8" t="s">
        <v>1266</v>
      </c>
    </row>
    <row r="18839" spans="1:3" x14ac:dyDescent="0.25">
      <c r="A18839" s="8" t="str">
        <f>"Society for Biomaterials Fall Symposium 2012 - Transactions of the 36th Annual Meeting"</f>
        <v>Society for Biomaterials Fall Symposium 2012 - Transactions of the 36th Annual Meeting</v>
      </c>
      <c r="B18839" s="8" t="str">
        <f>"9781622763726"</f>
        <v>9781622763726</v>
      </c>
      <c r="C18839" s="8" t="s">
        <v>1131</v>
      </c>
    </row>
    <row r="18840" spans="1:3" x14ac:dyDescent="0.25">
      <c r="A18840" s="8" t="str">
        <f>"Society for Experimental Mechanics - 11th International Congress and Exhibition on Experimental and Applied Mechanics 2008"</f>
        <v>Society for Experimental Mechanics - 11th International Congress and Exhibition on Experimental and Applied Mechanics 2008</v>
      </c>
      <c r="B18840" s="8" t="str">
        <f>"9781605604152"</f>
        <v>9781605604152</v>
      </c>
      <c r="C18840" s="8" t="s">
        <v>996</v>
      </c>
    </row>
    <row r="18841" spans="1:3" x14ac:dyDescent="0.25">
      <c r="A18841" s="8" t="str">
        <f>"Society for Experimental Mechanics - SEM Annual Conference and Exposition on Experimental and Applied Mechanics 2009"</f>
        <v>Society for Experimental Mechanics - SEM Annual Conference and Exposition on Experimental and Applied Mechanics 2009</v>
      </c>
      <c r="B18841" s="8" t="str">
        <f>"9781615671892"</f>
        <v>9781615671892</v>
      </c>
      <c r="C18841" s="8" t="s">
        <v>996</v>
      </c>
    </row>
    <row r="18842" spans="1:3" x14ac:dyDescent="0.25">
      <c r="A18842" s="8" t="str">
        <f>"Society for Experimental Mechanics - SEM Annual Conference and Exposition on Experimental and Applied Mechanics 2010"</f>
        <v>Society for Experimental Mechanics - SEM Annual Conference and Exposition on Experimental and Applied Mechanics 2010</v>
      </c>
      <c r="B18842" s="8" t="str">
        <f>"9781617386909"</f>
        <v>9781617386909</v>
      </c>
      <c r="C18842" s="8" t="s">
        <v>996</v>
      </c>
    </row>
    <row r="18843" spans="1:3" x14ac:dyDescent="0.25">
      <c r="A18843" s="8" t="str">
        <f>"Society for Health Systems Conference and Expo"</f>
        <v>Society for Health Systems Conference and Expo</v>
      </c>
      <c r="B18843" s="8" t="str">
        <f>"-"</f>
        <v>-</v>
      </c>
      <c r="C18843" s="8" t="s">
        <v>530</v>
      </c>
    </row>
    <row r="18844" spans="1:3" x14ac:dyDescent="0.25">
      <c r="A18844" s="8" t="str">
        <f>"Society for Health Systems Conference and Expo"</f>
        <v>Society for Health Systems Conference and Expo</v>
      </c>
      <c r="B18844" s="8" t="str">
        <f>"-"</f>
        <v>-</v>
      </c>
      <c r="C18844" s="8" t="s">
        <v>530</v>
      </c>
    </row>
    <row r="18845" spans="1:3" x14ac:dyDescent="0.25">
      <c r="A18845" s="8" t="str">
        <f>"Society for Imaging Science and Technology - 4th European Conference on Colour in Graphics, Imaging, and Vision and 10th International Symposium on Multispectral Colour Science, CGIV 2008/MCS'08"</f>
        <v>Society for Imaging Science and Technology - 4th European Conference on Colour in Graphics, Imaging, and Vision and 10th International Symposium on Multispectral Colour Science, CGIV 2008/MCS'08</v>
      </c>
      <c r="B18845" s="8" t="str">
        <f>"9781605607023"</f>
        <v>9781605607023</v>
      </c>
      <c r="C18845" s="8" t="s">
        <v>415</v>
      </c>
    </row>
    <row r="18846" spans="1:3" x14ac:dyDescent="0.25">
      <c r="A18846" s="8" t="str">
        <f>"Society for Imaging Science and Technology - 4th International Symposium on Technologies for Digital Photo Fulfillment 2013"</f>
        <v>Society for Imaging Science and Technology - 4th International Symposium on Technologies for Digital Photo Fulfillment 2013</v>
      </c>
      <c r="B18846" s="8" t="str">
        <f>"9781510800489"</f>
        <v>9781510800489</v>
      </c>
      <c r="C18846" s="8" t="s">
        <v>415</v>
      </c>
    </row>
    <row r="18847" spans="1:3" x14ac:dyDescent="0.25">
      <c r="A18847" s="8" t="str">
        <f>"Society for Imaging Science and Technology - 5th International Symposium on Technologies for Digital Photo Fulfillment 2014"</f>
        <v>Society for Imaging Science and Technology - 5th International Symposium on Technologies for Digital Photo Fulfillment 2014</v>
      </c>
      <c r="B18847" s="8" t="str">
        <f>"9781634399968"</f>
        <v>9781634399968</v>
      </c>
      <c r="C18847" s="8" t="s">
        <v>415</v>
      </c>
    </row>
    <row r="18848" spans="1:3" x14ac:dyDescent="0.25">
      <c r="A18848" s="8" t="str">
        <f>"Society for Imaging Science and Technology - 6th International Symposium on Technologies for Digital Photo Fulfillment 2015"</f>
        <v>Society for Imaging Science and Technology - 6th International Symposium on Technologies for Digital Photo Fulfillment 2015</v>
      </c>
      <c r="B18848" s="8" t="str">
        <f>"9781634399975"</f>
        <v>9781634399975</v>
      </c>
      <c r="C18848" s="8" t="s">
        <v>415</v>
      </c>
    </row>
    <row r="18849" spans="1:3" x14ac:dyDescent="0.25">
      <c r="A18849" s="8" t="str">
        <f>"Society for Industrial and Applied Mathematics - 8th SIAM International Conference on Data Mining 2008, Proceedings in Applied Mathematics 130"</f>
        <v>Society for Industrial and Applied Mathematics - 8th SIAM International Conference on Data Mining 2008, Proceedings in Applied Mathematics 130</v>
      </c>
      <c r="B18849" s="8" t="str">
        <f>"9781605603179"</f>
        <v>9781605603179</v>
      </c>
      <c r="C18849" s="8" t="s">
        <v>249</v>
      </c>
    </row>
    <row r="18850" spans="1:3" x14ac:dyDescent="0.25">
      <c r="A18850" s="8" t="str">
        <f>"Society for Industrial and Applied Mathematics - 9th SIAM International Conference on Data Mining 2009, Proceedings in Applied Mathematics"</f>
        <v>Society for Industrial and Applied Mathematics - 9th SIAM International Conference on Data Mining 2009, Proceedings in Applied Mathematics</v>
      </c>
      <c r="B18850" s="8" t="str">
        <f>"9781615671090"</f>
        <v>9781615671090</v>
      </c>
      <c r="C18850" s="8" t="s">
        <v>249</v>
      </c>
    </row>
    <row r="18851" spans="1:3" x14ac:dyDescent="0.25">
      <c r="A18851" s="8" t="str">
        <f>"Society for Information Display - 10th Asian Symposium on Information Display 2007, ASID'07"</f>
        <v>Society for Information Display - 10th Asian Symposium on Information Display 2007, ASID'07</v>
      </c>
      <c r="B18851" s="8" t="str">
        <f>"9781605603896"</f>
        <v>9781605603896</v>
      </c>
      <c r="C18851" s="8" t="s">
        <v>535</v>
      </c>
    </row>
    <row r="18852" spans="1:3" x14ac:dyDescent="0.25">
      <c r="A18852" s="8" t="str">
        <f>"Society for Information Display - Vehicle Displays and Interfaces Symposium 2011, Papers and Presentations"</f>
        <v>Society for Information Display - Vehicle Displays and Interfaces Symposium 2011, Papers and Presentations</v>
      </c>
      <c r="B18852" s="8" t="str">
        <f>"9781622762118"</f>
        <v>9781622762118</v>
      </c>
      <c r="C18852" s="8" t="s">
        <v>535</v>
      </c>
    </row>
    <row r="18853" spans="1:3" x14ac:dyDescent="0.25">
      <c r="A18853" s="8" t="s">
        <v>2324</v>
      </c>
      <c r="B18853" s="8" t="str">
        <f>"9781605604558"</f>
        <v>9781605604558</v>
      </c>
      <c r="C18853" s="8" t="s">
        <v>877</v>
      </c>
    </row>
    <row r="18854" spans="1:3" x14ac:dyDescent="0.25">
      <c r="A18854" s="8" t="str">
        <f>"Society of Allied Weight Engineers - 64th Annual International Conference on Mass Properties Engineering 2005"</f>
        <v>Society of Allied Weight Engineers - 64th Annual International Conference on Mass Properties Engineering 2005</v>
      </c>
      <c r="B18854" s="8" t="str">
        <f>"9781604239201"</f>
        <v>9781604239201</v>
      </c>
      <c r="C18854" s="8" t="s">
        <v>1564</v>
      </c>
    </row>
    <row r="18855" spans="1:3" x14ac:dyDescent="0.25">
      <c r="A18855" s="8" t="str">
        <f>"Society of Allied Weight Engineers - 65th Annual International Conference on Mass Properties Engineering 2006"</f>
        <v>Society of Allied Weight Engineers - 65th Annual International Conference on Mass Properties Engineering 2006</v>
      </c>
      <c r="B18855" s="8" t="str">
        <f>"9781604239744"</f>
        <v>9781604239744</v>
      </c>
      <c r="C18855" s="8" t="s">
        <v>1564</v>
      </c>
    </row>
    <row r="18856" spans="1:3" x14ac:dyDescent="0.25">
      <c r="A18856" s="8" t="str">
        <f>"Society of Allied Weight Engineers - 66th Annual International Conference on Mass Properties Engineering 2007"</f>
        <v>Society of Allied Weight Engineers - 66th Annual International Conference on Mass Properties Engineering 2007</v>
      </c>
      <c r="B18856" s="8" t="str">
        <f>"9781604239737"</f>
        <v>9781604239737</v>
      </c>
      <c r="C18856" s="8" t="s">
        <v>1564</v>
      </c>
    </row>
    <row r="18857" spans="1:3" x14ac:dyDescent="0.25">
      <c r="A18857" s="8" t="str">
        <f>"Society of Allied Weight Engineers - 67th International Conference on Mass Properties 2008"</f>
        <v>Society of Allied Weight Engineers - 67th International Conference on Mass Properties 2008</v>
      </c>
      <c r="B18857" s="8" t="str">
        <f>"9781605607139"</f>
        <v>9781605607139</v>
      </c>
      <c r="C18857" s="8" t="s">
        <v>1564</v>
      </c>
    </row>
    <row r="18858" spans="1:3" x14ac:dyDescent="0.25">
      <c r="A18858" s="8" t="str">
        <f>"Society of Allied Weight Engineers - 71st International Conference on Mass Properties 2012"</f>
        <v>Society of Allied Weight Engineers - 71st International Conference on Mass Properties 2012</v>
      </c>
      <c r="B18858" s="8" t="str">
        <f>"9781622765416"</f>
        <v>9781622765416</v>
      </c>
      <c r="C18858" s="8" t="s">
        <v>1564</v>
      </c>
    </row>
    <row r="18859" spans="1:3" x14ac:dyDescent="0.25">
      <c r="A18859" s="8" t="str">
        <f>"Society of American Value Engineers - 48th Annual Conference of SAVE International 2008: Discovering Value Added Strategies"</f>
        <v>Society of American Value Engineers - 48th Annual Conference of SAVE International 2008: Discovering Value Added Strategies</v>
      </c>
      <c r="B18859" s="8" t="str">
        <f>"9781605603636"</f>
        <v>9781605603636</v>
      </c>
      <c r="C18859" s="8" t="s">
        <v>1523</v>
      </c>
    </row>
    <row r="18860" spans="1:3" x14ac:dyDescent="0.25">
      <c r="A18860" s="8" t="str">
        <f>"Society of Flight Test Engineers - 37th Annual International Symposium Proceedings, RENO 2006"</f>
        <v>Society of Flight Test Engineers - 37th Annual International Symposium Proceedings, RENO 2006</v>
      </c>
      <c r="B18860" s="8" t="str">
        <f>"-"</f>
        <v>-</v>
      </c>
      <c r="C18860" s="8" t="s">
        <v>1490</v>
      </c>
    </row>
    <row r="18861" spans="1:3" x14ac:dyDescent="0.25">
      <c r="A18861" s="8" t="str">
        <f>"Society of Flight Test Engineers, SFTE 35th Annual Symposium Proceedings: Flight Test - The Next Hundred Years"</f>
        <v>Society of Flight Test Engineers, SFTE 35th Annual Symposium Proceedings: Flight Test - The Next Hundred Years</v>
      </c>
      <c r="B18861" s="8" t="str">
        <f>"-"</f>
        <v>-</v>
      </c>
      <c r="C18861" s="8" t="s">
        <v>1490</v>
      </c>
    </row>
    <row r="18862" spans="1:3" x14ac:dyDescent="0.25">
      <c r="A18862" s="8" t="str">
        <f>"Society of Flights Test Engineers, SFTE 36th Annual Symposium Proceedings"</f>
        <v>Society of Flights Test Engineers, SFTE 36th Annual Symposium Proceedings</v>
      </c>
      <c r="B18862" s="8" t="str">
        <f>"-"</f>
        <v>-</v>
      </c>
      <c r="C18862" s="8" t="s">
        <v>1490</v>
      </c>
    </row>
    <row r="18863" spans="1:3" x14ac:dyDescent="0.25">
      <c r="A18863" s="8" t="str">
        <f>"Society of Motion Picture and Television Engineers - 147th SMPTE Technical Conference 2005, SMPTE 2005"</f>
        <v>Society of Motion Picture and Television Engineers - 147th SMPTE Technical Conference 2005, SMPTE 2005</v>
      </c>
      <c r="B18863" s="8" t="str">
        <f>"9781604236231"</f>
        <v>9781604236231</v>
      </c>
      <c r="C18863" s="8" t="s">
        <v>1078</v>
      </c>
    </row>
    <row r="18864" spans="1:3" x14ac:dyDescent="0.25">
      <c r="A18864" s="8" t="str">
        <f>"Society of Motion Picture and Television Engineers - 148th SMPTE Technical Conference and Exhibition 2006, SMPTE 2006"</f>
        <v>Society of Motion Picture and Television Engineers - 148th SMPTE Technical Conference and Exhibition 2006, SMPTE 2006</v>
      </c>
      <c r="B18864" s="8" t="str">
        <f>"9781604237238"</f>
        <v>9781604237238</v>
      </c>
      <c r="C18864" s="8" t="s">
        <v>1078</v>
      </c>
    </row>
    <row r="18865" spans="1:3" x14ac:dyDescent="0.25">
      <c r="A18865" s="8" t="str">
        <f>"Society of Motion Picture and Television Engineers - SMPTE Technical Conference and Exhibition 2007, SMPTE 2007"</f>
        <v>Society of Motion Picture and Television Engineers - SMPTE Technical Conference and Exhibition 2007, SMPTE 2007</v>
      </c>
      <c r="B18865" s="8" t="str">
        <f>"9781604238501"</f>
        <v>9781604238501</v>
      </c>
      <c r="C18865" s="8" t="s">
        <v>1078</v>
      </c>
    </row>
    <row r="18866" spans="1:3" x14ac:dyDescent="0.25">
      <c r="A18866" s="8" t="str">
        <f>"Society of Motion Picture and Television Engineers - Society of Motion Picture and Television Engineers Technical Conference and Exhibition 2008, SMPTE 2008"</f>
        <v>Society of Motion Picture and Television Engineers - Society of Motion Picture and Television Engineers Technical Conference and Exhibition 2008, SMPTE 2008</v>
      </c>
      <c r="B18866" s="8" t="str">
        <f>"9781605607979"</f>
        <v>9781605607979</v>
      </c>
      <c r="C18866" s="8" t="s">
        <v>1078</v>
      </c>
    </row>
    <row r="18867" spans="1:3" x14ac:dyDescent="0.25">
      <c r="A18867" s="8" t="str">
        <f>"Society of Motion Picture and Television Engineers Annual Technical Conference and Exhibition 2009, SMPTE 2009"</f>
        <v>Society of Motion Picture and Television Engineers Annual Technical Conference and Exhibition 2009, SMPTE 2009</v>
      </c>
      <c r="B18867" s="8" t="str">
        <f>"9781615676743"</f>
        <v>9781615676743</v>
      </c>
      <c r="C18867" s="8" t="s">
        <v>1078</v>
      </c>
    </row>
    <row r="18868" spans="1:3" x14ac:dyDescent="0.25">
      <c r="A18868" s="8" t="str">
        <f>"Society of Motion Picture and Television Engineers Annual Technical Conference and Exhibition 2010, SMPTE 2010"</f>
        <v>Society of Motion Picture and Television Engineers Annual Technical Conference and Exhibition 2010, SMPTE 2010</v>
      </c>
      <c r="B18868" s="8" t="str">
        <f>"9781617821790"</f>
        <v>9781617821790</v>
      </c>
      <c r="C18868" s="8" t="s">
        <v>1078</v>
      </c>
    </row>
    <row r="18869" spans="1:3" x14ac:dyDescent="0.25">
      <c r="A18869" s="8" t="str">
        <f>"Society of Naval Architects and Marine Engineers Propellers/Shafting 2006 Symposium"</f>
        <v>Society of Naval Architects and Marine Engineers Propellers/Shafting 2006 Symposium</v>
      </c>
      <c r="B18869" s="8" t="str">
        <f>"-"</f>
        <v>-</v>
      </c>
      <c r="C18869" s="8" t="s">
        <v>762</v>
      </c>
    </row>
    <row r="18870" spans="1:3" x14ac:dyDescent="0.25">
      <c r="A18870" s="8" t="str">
        <f>"Society of Petroleum Engineers - 10th SPE International Conference on Oilfield Scale 2010"</f>
        <v>Society of Petroleum Engineers - 10th SPE International Conference on Oilfield Scale 2010</v>
      </c>
      <c r="B18870" s="8" t="str">
        <f>"9781617386619"</f>
        <v>9781617386619</v>
      </c>
      <c r="C18870" s="8" t="s">
        <v>671</v>
      </c>
    </row>
    <row r="18871" spans="1:3" x14ac:dyDescent="0.25">
      <c r="A18871" s="8" t="str">
        <f>"Society of Petroleum Engineers - 13th Abu Dhabi International Petroleum Exhibition and Conference, ADIPEC 2008"</f>
        <v>Society of Petroleum Engineers - 13th Abu Dhabi International Petroleum Exhibition and Conference, ADIPEC 2008</v>
      </c>
      <c r="B18871" s="8" t="str">
        <f>"9781605606996"</f>
        <v>9781605606996</v>
      </c>
      <c r="C18871" s="8" t="s">
        <v>671</v>
      </c>
    </row>
    <row r="18872" spans="1:3" x14ac:dyDescent="0.25">
      <c r="A18872" s="8" t="str">
        <f>"Society of Petroleum Engineers - 14th Abu Dhabi International Petroleum Exhibition and Conference 2010, ADIPEC 2010"</f>
        <v>Society of Petroleum Engineers - 14th Abu Dhabi International Petroleum Exhibition and Conference 2010, ADIPEC 2010</v>
      </c>
      <c r="B18872" s="8" t="str">
        <f>"9781617820434"</f>
        <v>9781617820434</v>
      </c>
      <c r="C18872" s="8" t="s">
        <v>671</v>
      </c>
    </row>
    <row r="18873" spans="1:3" x14ac:dyDescent="0.25">
      <c r="A18873" s="8" t="s">
        <v>2325</v>
      </c>
      <c r="B18873" s="8" t="str">
        <f>"9781634395519"</f>
        <v>9781634395519</v>
      </c>
      <c r="C18873" s="8" t="s">
        <v>671</v>
      </c>
    </row>
    <row r="18874" spans="1:3" x14ac:dyDescent="0.25">
      <c r="A18874" s="8" t="str">
        <f>"Society of Petroleum Engineers - 2013 SPE Artificial Lift Conference - Americas: Artificial Lift: Where Do We Go From Here"</f>
        <v>Society of Petroleum Engineers - 2013 SPE Artificial Lift Conference - Americas: Artificial Lift: Where Do We Go From Here</v>
      </c>
      <c r="B18874" s="8" t="str">
        <f>"9781627485722"</f>
        <v>9781627485722</v>
      </c>
      <c r="C18874" s="8" t="s">
        <v>671</v>
      </c>
    </row>
    <row r="18875" spans="1:3" x14ac:dyDescent="0.25">
      <c r="A18875" s="8" t="str">
        <f>"Society of Petroleum Engineers - 2014 SPE Artificial Lift Conference - North America"</f>
        <v>Society of Petroleum Engineers - 2014 SPE Artificial Lift Conference - North America</v>
      </c>
      <c r="B18875" s="8" t="str">
        <f>"9781634395250"</f>
        <v>9781634395250</v>
      </c>
      <c r="C18875" s="8" t="s">
        <v>671</v>
      </c>
    </row>
    <row r="18876" spans="1:3" x14ac:dyDescent="0.25">
      <c r="A18876" s="8" t="str">
        <f>"Society of Petroleum Engineers - 2nd International Oil Conference and Exhibition in Mexico 2007"</f>
        <v>Society of Petroleum Engineers - 2nd International Oil Conference and Exhibition in Mexico 2007</v>
      </c>
      <c r="B18876" s="8" t="str">
        <f>"9781604232875"</f>
        <v>9781604232875</v>
      </c>
      <c r="C18876" s="8" t="s">
        <v>671</v>
      </c>
    </row>
    <row r="18877" spans="1:3" x14ac:dyDescent="0.25">
      <c r="A18877" s="8" t="str">
        <f>"Society of Petroleum Engineers - 36th Nigeria Annual Int. Conf. and Exhibition 2012, NAICE 2012 - Future of Oil and Gas: Right Balance with the Environment and Sustainable Stakeholders' Participation"</f>
        <v>Society of Petroleum Engineers - 36th Nigeria Annual Int. Conf. and Exhibition 2012, NAICE 2012 - Future of Oil and Gas: Right Balance with the Environment and Sustainable Stakeholders' Participation</v>
      </c>
      <c r="B18877" s="8" t="str">
        <f>"-"</f>
        <v>-</v>
      </c>
      <c r="C18877" s="8" t="s">
        <v>671</v>
      </c>
    </row>
    <row r="18878" spans="1:3" x14ac:dyDescent="0.25">
      <c r="A18878" s="8" t="str">
        <f>"Society of Petroleum Engineers - 37th Nigeria Annual Int. Conf. and Exhibition, NAICE 2013 - To Grow Africa's Oil and Gas Production: Required Policy, Funding, Technol., Techniques and Capabilities"</f>
        <v>Society of Petroleum Engineers - 37th Nigeria Annual Int. Conf. and Exhibition, NAICE 2013 - To Grow Africa's Oil and Gas Production: Required Policy, Funding, Technol., Techniques and Capabilities</v>
      </c>
      <c r="B18878" s="8" t="str">
        <f>"9781627489683"</f>
        <v>9781627489683</v>
      </c>
      <c r="C18878" s="8" t="s">
        <v>671</v>
      </c>
    </row>
    <row r="18879" spans="1:3" x14ac:dyDescent="0.25">
      <c r="A18879" s="8" t="s">
        <v>2326</v>
      </c>
      <c r="B18879" s="8" t="str">
        <f>"9781605603407"</f>
        <v>9781605603407</v>
      </c>
      <c r="C18879" s="8" t="s">
        <v>671</v>
      </c>
    </row>
    <row r="18880" spans="1:3" x14ac:dyDescent="0.25">
      <c r="A18880" s="8" t="str">
        <f>"Society of Petroleum Engineers - 5th International Conference on Thermoplastic Foam, FOAMS 2006"</f>
        <v>Society of Petroleum Engineers - 5th International Conference on Thermoplastic Foam, FOAMS 2006</v>
      </c>
      <c r="B18880" s="8" t="str">
        <f>"-"</f>
        <v>-</v>
      </c>
      <c r="C18880" s="8" t="s">
        <v>671</v>
      </c>
    </row>
    <row r="18881" spans="1:3" x14ac:dyDescent="0.25">
      <c r="A18881" s="8" t="str">
        <f>"Society of Petroleum Engineers - 5th SPE International Conference on Oilfield Corrosion 2010"</f>
        <v>Society of Petroleum Engineers - 5th SPE International Conference on Oilfield Corrosion 2010</v>
      </c>
      <c r="B18881" s="8" t="str">
        <f>"9781617386688"</f>
        <v>9781617386688</v>
      </c>
      <c r="C18881" s="8" t="s">
        <v>671</v>
      </c>
    </row>
    <row r="18882" spans="1:3" x14ac:dyDescent="0.25">
      <c r="A18882" s="8" t="str">
        <f>"Society of Petroleum Engineers - 9th European Formation Damage Conference 2011"</f>
        <v>Society of Petroleum Engineers - 9th European Formation Damage Conference 2011</v>
      </c>
      <c r="B18882" s="8" t="str">
        <f>"9781617829673"</f>
        <v>9781617829673</v>
      </c>
      <c r="C18882" s="8" t="s">
        <v>671</v>
      </c>
    </row>
    <row r="18883" spans="1:3" x14ac:dyDescent="0.25">
      <c r="A18883" s="8" t="s">
        <v>2327</v>
      </c>
      <c r="B18883" s="8" t="str">
        <f>"9781605601663"</f>
        <v>9781605601663</v>
      </c>
      <c r="C18883" s="8" t="s">
        <v>671</v>
      </c>
    </row>
    <row r="18884" spans="1:3" x14ac:dyDescent="0.25">
      <c r="A18884" s="8" t="s">
        <v>2328</v>
      </c>
      <c r="B18884" s="8" t="str">
        <f>"9781605603414"</f>
        <v>9781605603414</v>
      </c>
      <c r="C18884" s="8" t="s">
        <v>671</v>
      </c>
    </row>
    <row r="18885" spans="1:3" x14ac:dyDescent="0.25">
      <c r="A18885" s="8" t="str">
        <f>"Society of Petroleum Engineers - Abu Dhabi International Petroleum Exhibition and Conference 2012, ADIPEC 2012 - Sustainable Energy Growth: People, Responsibility, and Innovation"</f>
        <v>Society of Petroleum Engineers - Abu Dhabi International Petroleum Exhibition and Conference 2012, ADIPEC 2012 - Sustainable Energy Growth: People, Responsibility, and Innovation</v>
      </c>
      <c r="B18885" s="8" t="str">
        <f>"9781622768745"</f>
        <v>9781622768745</v>
      </c>
      <c r="C18885" s="8" t="s">
        <v>671</v>
      </c>
    </row>
    <row r="18886" spans="1:3" x14ac:dyDescent="0.25">
      <c r="A18886" s="8" t="str">
        <f>"Society of Petroleum Engineers - Arctic and Extreme Environments Conference and Exhibition 2011"</f>
        <v>Society of Petroleum Engineers - Arctic and Extreme Environments Conference and Exhibition 2011</v>
      </c>
      <c r="B18886" s="8" t="str">
        <f>"9781618392640"</f>
        <v>9781618392640</v>
      </c>
      <c r="C18886" s="8" t="s">
        <v>671</v>
      </c>
    </row>
    <row r="18887" spans="1:3" x14ac:dyDescent="0.25">
      <c r="A18887" s="8" t="str">
        <f>"Society of Petroleum Engineers - Arctic Technology Conference 2011"</f>
        <v>Society of Petroleum Engineers - Arctic Technology Conference 2011</v>
      </c>
      <c r="B18887" s="8" t="str">
        <f>"9781618390561"</f>
        <v>9781618390561</v>
      </c>
      <c r="C18887" s="8" t="s">
        <v>671</v>
      </c>
    </row>
    <row r="18888" spans="1:3" x14ac:dyDescent="0.25">
      <c r="A18888" s="8" t="str">
        <f>"Society of Petroleum Engineers - Arctic Technology Conference 2012"</f>
        <v>Society of Petroleum Engineers - Arctic Technology Conference 2012</v>
      </c>
      <c r="B18888" s="8" t="str">
        <f>"9781627482899"</f>
        <v>9781627482899</v>
      </c>
      <c r="C18888" s="8" t="s">
        <v>671</v>
      </c>
    </row>
    <row r="18889" spans="1:3" x14ac:dyDescent="0.25">
      <c r="A18889" s="8" t="s">
        <v>2329</v>
      </c>
      <c r="B18889" s="8" t="str">
        <f>"9781604239775"</f>
        <v>9781604239775</v>
      </c>
      <c r="C18889" s="8" t="s">
        <v>394</v>
      </c>
    </row>
    <row r="18890" spans="1:3" x14ac:dyDescent="0.25">
      <c r="A18890" s="8" t="str">
        <f>"Society of Petroleum Engineers - Asia Pacific Unconventional Resources Conference and Exhibition 2013: Delivering Abundant Energy for a Sustainable Future"</f>
        <v>Society of Petroleum Engineers - Asia Pacific Unconventional Resources Conference and Exhibition 2013: Delivering Abundant Energy for a Sustainable Future</v>
      </c>
      <c r="B18890" s="8" t="str">
        <f>"9781629936000"</f>
        <v>9781629936000</v>
      </c>
      <c r="C18890" s="8" t="s">
        <v>671</v>
      </c>
    </row>
    <row r="18891" spans="1:3" x14ac:dyDescent="0.25">
      <c r="A18891" s="8" t="str">
        <f>"Society of Petroleum Engineers - Brazil Offshore Conference 2011"</f>
        <v>Society of Petroleum Engineers - Brazil Offshore Conference 2011</v>
      </c>
      <c r="B18891" s="8" t="str">
        <f>"9781618390189"</f>
        <v>9781618390189</v>
      </c>
      <c r="C18891" s="8" t="s">
        <v>671</v>
      </c>
    </row>
    <row r="18892" spans="1:3" x14ac:dyDescent="0.25">
      <c r="A18892" s="8" t="str">
        <f>"Society of Petroleum Engineers - Canadian Unconventional Resources and International Petroleum Conference 2010"</f>
        <v>Society of Petroleum Engineers - Canadian Unconventional Resources and International Petroleum Conference 2010</v>
      </c>
      <c r="B18892" s="8" t="str">
        <f>"9781617820427"</f>
        <v>9781617820427</v>
      </c>
      <c r="C18892" s="8" t="s">
        <v>671</v>
      </c>
    </row>
    <row r="18893" spans="1:3" x14ac:dyDescent="0.25">
      <c r="A18893" s="8" t="str">
        <f>"Society of Petroleum Engineers - Canadian Unconventional Resources Conference 2011, CURC 2011"</f>
        <v>Society of Petroleum Engineers - Canadian Unconventional Resources Conference 2011, CURC 2011</v>
      </c>
      <c r="B18893" s="8" t="str">
        <f>"9781618394217"</f>
        <v>9781618394217</v>
      </c>
      <c r="C18893" s="8" t="s">
        <v>671</v>
      </c>
    </row>
    <row r="18894" spans="1:3" x14ac:dyDescent="0.25">
      <c r="A18894" s="8" t="str">
        <f>"Society of Petroleum Engineers - Carbon Management Technology Conference 2012"</f>
        <v>Society of Petroleum Engineers - Carbon Management Technology Conference 2012</v>
      </c>
      <c r="B18894" s="8" t="str">
        <f>"9781618396112"</f>
        <v>9781618396112</v>
      </c>
      <c r="C18894" s="8" t="s">
        <v>671</v>
      </c>
    </row>
    <row r="18895" spans="1:3" x14ac:dyDescent="0.25">
      <c r="A18895" s="8" t="str">
        <f>"Society of Petroleum Engineers - Coiled Tubing and Well Intervention Conference and Exhibition 2008"</f>
        <v>Society of Petroleum Engineers - Coiled Tubing and Well Intervention Conference and Exhibition 2008</v>
      </c>
      <c r="B18895" s="8" t="str">
        <f>"9781605601489"</f>
        <v>9781605601489</v>
      </c>
      <c r="C18895" s="8" t="s">
        <v>394</v>
      </c>
    </row>
    <row r="18896" spans="1:3" x14ac:dyDescent="0.25">
      <c r="A18896" s="8" t="str">
        <f>"Society of Petroleum Engineers - Coiled Tubing and Well Intervention Conference and Exhibition 2012"</f>
        <v>Society of Petroleum Engineers - Coiled Tubing and Well Intervention Conference and Exhibition 2012</v>
      </c>
      <c r="B18896" s="8" t="str">
        <f>"9781618399304"</f>
        <v>9781618399304</v>
      </c>
      <c r="C18896" s="8" t="s">
        <v>671</v>
      </c>
    </row>
    <row r="18897" spans="1:3" x14ac:dyDescent="0.25">
      <c r="A18897" s="8" t="str">
        <f>"Society of Petroleum Engineers - Coiled Tubing and Well Intervention Conference and Exhibition 2013"</f>
        <v>Society of Petroleum Engineers - Coiled Tubing and Well Intervention Conference and Exhibition 2013</v>
      </c>
      <c r="B18897" s="8" t="str">
        <f>"9781627481403"</f>
        <v>9781627481403</v>
      </c>
      <c r="C18897" s="8" t="s">
        <v>671</v>
      </c>
    </row>
    <row r="18898" spans="1:3" x14ac:dyDescent="0.25">
      <c r="A18898" s="8" t="str">
        <f>"Society of Petroleum Engineers - Coiled Tubing and Well Intervention Conference and Exhibition 2015"</f>
        <v>Society of Petroleum Engineers - Coiled Tubing and Well Intervention Conference and Exhibition 2015</v>
      </c>
      <c r="B18898" s="8" t="str">
        <f>"9781510802445"</f>
        <v>9781510802445</v>
      </c>
      <c r="C18898" s="8" t="s">
        <v>671</v>
      </c>
    </row>
    <row r="18899" spans="1:3" x14ac:dyDescent="0.25">
      <c r="A18899" s="8" t="str">
        <f>"Society of Petroleum Engineers - Digital Energy Conference and Exhibition 2007"</f>
        <v>Society of Petroleum Engineers - Digital Energy Conference and Exhibition 2007</v>
      </c>
      <c r="B18899" s="8" t="str">
        <f>"9781604230086"</f>
        <v>9781604230086</v>
      </c>
      <c r="C18899" s="8" t="s">
        <v>671</v>
      </c>
    </row>
    <row r="18900" spans="1:3" x14ac:dyDescent="0.25">
      <c r="A18900" s="8" t="s">
        <v>2330</v>
      </c>
      <c r="B18900" s="8" t="str">
        <f>"9781605606743"</f>
        <v>9781605606743</v>
      </c>
      <c r="C18900" s="8" t="s">
        <v>671</v>
      </c>
    </row>
    <row r="18901" spans="1:3" x14ac:dyDescent="0.25">
      <c r="A18901" s="8" t="str">
        <f>"Society of Petroleum Engineers - IADC/SPE Asia Pacific Drilling Technology Conference 2010"</f>
        <v>Society of Petroleum Engineers - IADC/SPE Asia Pacific Drilling Technology Conference 2010</v>
      </c>
      <c r="B18901" s="8" t="str">
        <f>"9781617820823"</f>
        <v>9781617820823</v>
      </c>
      <c r="C18901" s="8" t="s">
        <v>671</v>
      </c>
    </row>
    <row r="18902" spans="1:3" x14ac:dyDescent="0.25">
      <c r="A18902" s="8" t="str">
        <f>"Society of Petroleum Engineers - IADC/SPE Asia Pacific Drilling Technology Conference 2012 - Catching the Unconventional Tide: Winning the Future Through Innovation"</f>
        <v>Society of Petroleum Engineers - IADC/SPE Asia Pacific Drilling Technology Conference 2012 - Catching the Unconventional Tide: Winning the Future Through Innovation</v>
      </c>
      <c r="B18902" s="8" t="str">
        <f>"9781622762729"</f>
        <v>9781622762729</v>
      </c>
      <c r="C18902" s="8" t="s">
        <v>915</v>
      </c>
    </row>
    <row r="18903" spans="1:3" x14ac:dyDescent="0.25">
      <c r="A18903" s="8" t="str">
        <f>"Society of Petroleum Engineers - IADC/SPE Asia Pacific Drilling Technology Conference 2014: Driving Sustainable Growth Through Technology and Innovation"</f>
        <v>Society of Petroleum Engineers - IADC/SPE Asia Pacific Drilling Technology Conference 2014: Driving Sustainable Growth Through Technology and Innovation</v>
      </c>
      <c r="B18903" s="8" t="str">
        <f>"9781634393454"</f>
        <v>9781634393454</v>
      </c>
      <c r="C18903" s="8" t="s">
        <v>671</v>
      </c>
    </row>
    <row r="18904" spans="1:3" x14ac:dyDescent="0.25">
      <c r="A18904" s="8" t="str">
        <f>"Society of Petroleum Engineers - IADC/SPE Managed Pressure Drilling and Underbalanced Operations Conference and Exhibition 2009 - Drilling in India: Challenges and Opportunities"</f>
        <v>Society of Petroleum Engineers - IADC/SPE Managed Pressure Drilling and Underbalanced Operations Conference and Exhibition 2009 - Drilling in India: Challenges and Opportunities</v>
      </c>
      <c r="B18904" s="8" t="str">
        <f>"9781605609553"</f>
        <v>9781605609553</v>
      </c>
      <c r="C18904" s="8" t="s">
        <v>915</v>
      </c>
    </row>
    <row r="18905" spans="1:3" x14ac:dyDescent="0.25">
      <c r="A18905" s="8" t="str">
        <f>"Society of Petroleum Engineers - IADC/SPE Managed Pressure Drilling and Underbalanced Operations Conference and Exhibition 2011"</f>
        <v>Society of Petroleum Engineers - IADC/SPE Managed Pressure Drilling and Underbalanced Operations Conference and Exhibition 2011</v>
      </c>
      <c r="B18905" s="8" t="str">
        <f>"9781617827075"</f>
        <v>9781617827075</v>
      </c>
      <c r="C18905" s="8" t="s">
        <v>671</v>
      </c>
    </row>
    <row r="18906" spans="1:3" x14ac:dyDescent="0.25">
      <c r="A18906" s="8" t="str">
        <f>"Society of Petroleum Engineers - Intelligent Energy Conference and Exhibition: Intelligent Energy 2008"</f>
        <v>Society of Petroleum Engineers - Intelligent Energy Conference and Exhibition: Intelligent Energy 2008</v>
      </c>
      <c r="B18906" s="8" t="str">
        <f>"9781605600994"</f>
        <v>9781605600994</v>
      </c>
      <c r="C18906" s="8" t="s">
        <v>671</v>
      </c>
    </row>
    <row r="18907" spans="1:3" x14ac:dyDescent="0.25">
      <c r="A18907" s="8" t="str">
        <f>"Society of Petroleum Engineers - International Oil and Gas Conference and Exhibition in China 2010, IOGCEC"</f>
        <v>Society of Petroleum Engineers - International Oil and Gas Conference and Exhibition in China 2010, IOGCEC</v>
      </c>
      <c r="B18907" s="8" t="str">
        <f>"9781617388866"</f>
        <v>9781617388866</v>
      </c>
      <c r="C18907" s="8" t="s">
        <v>671</v>
      </c>
    </row>
    <row r="18908" spans="1:3" x14ac:dyDescent="0.25">
      <c r="A18908" s="8" t="str">
        <f>"Society of Petroleum Engineers - International Petroleum Technology Conference 2009, IPTC 2009"</f>
        <v>Society of Petroleum Engineers - International Petroleum Technology Conference 2009, IPTC 2009</v>
      </c>
      <c r="B18908" s="8" t="str">
        <f>"9781615678150"</f>
        <v>9781615678150</v>
      </c>
      <c r="C18908" s="8" t="s">
        <v>671</v>
      </c>
    </row>
    <row r="18909" spans="1:3" x14ac:dyDescent="0.25">
      <c r="A18909" s="8" t="str">
        <f>"Society of Petroleum Engineers - International Petroleum Technology Conference 2012, IPTC 2012"</f>
        <v>Society of Petroleum Engineers - International Petroleum Technology Conference 2012, IPTC 2012</v>
      </c>
      <c r="B18909" s="8" t="str">
        <f>"9781618396594"</f>
        <v>9781618396594</v>
      </c>
      <c r="C18909" s="8" t="s">
        <v>2331</v>
      </c>
    </row>
    <row r="18910" spans="1:3" x14ac:dyDescent="0.25">
      <c r="A18910" s="8" t="str">
        <f>"Society of Petroleum Engineers - International Petroleum Technology Conference 2013, IPTC 2013: Challenging Technology and Economic Limits to Meet the Global Energy Demand"</f>
        <v>Society of Petroleum Engineers - International Petroleum Technology Conference 2013, IPTC 2013: Challenging Technology and Economic Limits to Meet the Global Energy Demand</v>
      </c>
      <c r="B18910" s="8" t="str">
        <f>"9781627481762"</f>
        <v>9781627481762</v>
      </c>
      <c r="C18910" s="8" t="s">
        <v>671</v>
      </c>
    </row>
    <row r="18911" spans="1:3" x14ac:dyDescent="0.25">
      <c r="A18911" s="8" t="str">
        <f>"Society of Petroleum Engineers - International Petroleum Technology Conference 2014, IPTC 2014 - Innovation and Collaboration: Keys to Affordable Energy"</f>
        <v>Society of Petroleum Engineers - International Petroleum Technology Conference 2014, IPTC 2014 - Innovation and Collaboration: Keys to Affordable Energy</v>
      </c>
      <c r="B18911" s="8" t="str">
        <f>"-"</f>
        <v>-</v>
      </c>
      <c r="C18911" s="8" t="s">
        <v>671</v>
      </c>
    </row>
    <row r="18912" spans="1:3" x14ac:dyDescent="0.25">
      <c r="A18912" s="8" t="str">
        <f>"Society of Petroleum Engineers - International Petroleum Technology Conference 2014, IPTC 2014: Unlocking Energy Through Innovation, Technology and Capability"</f>
        <v>Society of Petroleum Engineers - International Petroleum Technology Conference 2014, IPTC 2014: Unlocking Energy Through Innovation, Technology and Capability</v>
      </c>
      <c r="B18912" s="8" t="str">
        <f>"9781632660053"</f>
        <v>9781632660053</v>
      </c>
      <c r="C18912" s="8" t="s">
        <v>671</v>
      </c>
    </row>
    <row r="18913" spans="1:3" x14ac:dyDescent="0.25">
      <c r="A18913" s="8" t="s">
        <v>2332</v>
      </c>
      <c r="B18913" s="8" t="str">
        <f>"9781605606767"</f>
        <v>9781605606767</v>
      </c>
      <c r="C18913" s="8" t="s">
        <v>671</v>
      </c>
    </row>
    <row r="18914" spans="1:3" x14ac:dyDescent="0.25">
      <c r="A18914" s="8" t="str">
        <f>"Society of Petroleum Engineers - Kuwait International Petroleum Conference and Exhibition 2012, KIPCE 2012: People and Innovative Technologies to Unleash Challenging Hydrocarbon Resources"</f>
        <v>Society of Petroleum Engineers - Kuwait International Petroleum Conference and Exhibition 2012, KIPCE 2012: People and Innovative Technologies to Unleash Challenging Hydrocarbon Resources</v>
      </c>
      <c r="B18914" s="8" t="str">
        <f>"9781622769766"</f>
        <v>9781622769766</v>
      </c>
      <c r="C18914" s="8" t="s">
        <v>671</v>
      </c>
    </row>
    <row r="18915" spans="1:3" x14ac:dyDescent="0.25">
      <c r="A18915" s="8" t="str">
        <f>"Society of Petroleum Engineers - Kuwait International Petroleum Conference and Exhibition, KIPCE 2009: Meeting Energy Demand for Long Term Economic Growth"</f>
        <v>Society of Petroleum Engineers - Kuwait International Petroleum Conference and Exhibition, KIPCE 2009: Meeting Energy Demand for Long Term Economic Growth</v>
      </c>
      <c r="B18915" s="8" t="str">
        <f>"9781615678136"</f>
        <v>9781615678136</v>
      </c>
      <c r="C18915" s="8" t="s">
        <v>671</v>
      </c>
    </row>
    <row r="18916" spans="1:3" x14ac:dyDescent="0.25">
      <c r="A18916" s="8" t="str">
        <f>"Society of Petroleum Engineers - Kuwait Oil and Gas Show and Conference, KOGS 2013"</f>
        <v>Society of Petroleum Engineers - Kuwait Oil and Gas Show and Conference, KOGS 2013</v>
      </c>
      <c r="B18916" s="8" t="str">
        <f>"9781629932149"</f>
        <v>9781629932149</v>
      </c>
      <c r="C18916" s="8" t="s">
        <v>915</v>
      </c>
    </row>
    <row r="18917" spans="1:3" x14ac:dyDescent="0.25">
      <c r="A18917" s="8" t="str">
        <f>"Society of Petroleum Engineers - Middle East Turbomachinery Symposium 2011, METS - 1st SPE Project and Facilities Challenges Conference at METS"</f>
        <v>Society of Petroleum Engineers - Middle East Turbomachinery Symposium 2011, METS - 1st SPE Project and Facilities Challenges Conference at METS</v>
      </c>
      <c r="B18917" s="8" t="str">
        <f>"9781617823916"</f>
        <v>9781617823916</v>
      </c>
      <c r="C18917" s="8" t="s">
        <v>671</v>
      </c>
    </row>
    <row r="18918" spans="1:3" x14ac:dyDescent="0.25">
      <c r="A18918" s="8" t="str">
        <f>"Society of Petroleum Engineers - Nigeria Annual International Conference and Exhibition 2010, NAICE"</f>
        <v>Society of Petroleum Engineers - Nigeria Annual International Conference and Exhibition 2010, NAICE</v>
      </c>
      <c r="B18918" s="8" t="str">
        <f>"9781617388835"</f>
        <v>9781617388835</v>
      </c>
      <c r="C18918" s="8" t="s">
        <v>671</v>
      </c>
    </row>
    <row r="18919" spans="1:3" x14ac:dyDescent="0.25">
      <c r="A18919" s="8" t="s">
        <v>2333</v>
      </c>
      <c r="B18919" s="8" t="str">
        <f>"9781605601472"</f>
        <v>9781605601472</v>
      </c>
      <c r="C18919" s="8" t="s">
        <v>394</v>
      </c>
    </row>
    <row r="18920" spans="1:3" x14ac:dyDescent="0.25">
      <c r="A18920" s="8" t="str">
        <f>"Society of Petroleum Engineers - North Africa Technical Conference and Exhibition 2012, NATC 2012: Managing Hydrocarbon Resources in a Changing Environment"</f>
        <v>Society of Petroleum Engineers - North Africa Technical Conference and Exhibition 2012, NATC 2012: Managing Hydrocarbon Resources in a Changing Environment</v>
      </c>
      <c r="B18920" s="8" t="str">
        <f>"9781622760503"</f>
        <v>9781622760503</v>
      </c>
      <c r="C18920" s="8" t="s">
        <v>671</v>
      </c>
    </row>
    <row r="18921" spans="1:3" x14ac:dyDescent="0.25">
      <c r="A18921" s="8" t="str">
        <f>"Society of Petroleum Engineers - North Africa Technical Conference and Exhibition 2013, NATC 2013"</f>
        <v>Society of Petroleum Engineers - North Africa Technical Conference and Exhibition 2013, NATC 2013</v>
      </c>
      <c r="B18921" s="8" t="str">
        <f>"9781627483407"</f>
        <v>9781627483407</v>
      </c>
      <c r="C18921" s="8" t="s">
        <v>671</v>
      </c>
    </row>
    <row r="18922" spans="1:3" x14ac:dyDescent="0.25">
      <c r="A18922" s="8" t="str">
        <f>"Society of Petroleum Engineers - Offshore Europe Oil and Gas Conference and Exhibition 2009, OE 2009"</f>
        <v>Society of Petroleum Engineers - Offshore Europe Oil and Gas Conference and Exhibition 2009, OE 2009</v>
      </c>
      <c r="B18922" s="8" t="str">
        <f>"9781615675821"</f>
        <v>9781615675821</v>
      </c>
      <c r="C18922" s="8" t="s">
        <v>671</v>
      </c>
    </row>
    <row r="18923" spans="1:3" x14ac:dyDescent="0.25">
      <c r="A18923" s="8" t="str">
        <f>"Society of Petroleum Engineers - Offshore Europe Oil and Gas Conference and Exhibition 2011, OE 2011"</f>
        <v>Society of Petroleum Engineers - Offshore Europe Oil and Gas Conference and Exhibition 2011, OE 2011</v>
      </c>
      <c r="B18923" s="8" t="str">
        <f>"9781618391520"</f>
        <v>9781618391520</v>
      </c>
      <c r="C18923" s="8" t="s">
        <v>671</v>
      </c>
    </row>
    <row r="18924" spans="1:3" x14ac:dyDescent="0.25">
      <c r="A18924" s="8" t="str">
        <f>"Society of Petroleum Engineers - Progressing Cavity Pumps Conference 2008"</f>
        <v>Society of Petroleum Engineers - Progressing Cavity Pumps Conference 2008</v>
      </c>
      <c r="B18924" s="8" t="str">
        <f>"9781605601670"</f>
        <v>9781605601670</v>
      </c>
      <c r="C18924" s="8" t="s">
        <v>671</v>
      </c>
    </row>
    <row r="18925" spans="1:3" x14ac:dyDescent="0.25">
      <c r="A18925" s="8" t="str">
        <f>"Society of Petroleum Engineers - Progressing Cavity Pumps Conference 2010"</f>
        <v>Society of Petroleum Engineers - Progressing Cavity Pumps Conference 2010</v>
      </c>
      <c r="B18925" s="8" t="str">
        <f>"9781617389658"</f>
        <v>9781617389658</v>
      </c>
      <c r="C18925" s="8" t="s">
        <v>671</v>
      </c>
    </row>
    <row r="18926" spans="1:3" x14ac:dyDescent="0.25">
      <c r="A18926" s="8" t="str">
        <f>"Society of Petroleum Engineers - Progressing Cavity Pumps Conference 2013"</f>
        <v>Society of Petroleum Engineers - Progressing Cavity Pumps Conference 2013</v>
      </c>
      <c r="B18926" s="8" t="str">
        <f>"9781629931456"</f>
        <v>9781629931456</v>
      </c>
      <c r="C18926" s="8" t="s">
        <v>915</v>
      </c>
    </row>
    <row r="18927" spans="1:3" x14ac:dyDescent="0.25">
      <c r="A18927" s="8" t="str">
        <f>"Society of Petroleum Engineers - Rocky Mountain Oil and Gas Technology Symposium 2007"</f>
        <v>Society of Petroleum Engineers - Rocky Mountain Oil and Gas Technology Symposium 2007</v>
      </c>
      <c r="B18927" s="8" t="str">
        <f>"9781604230079"</f>
        <v>9781604230079</v>
      </c>
      <c r="C18927" s="8" t="s">
        <v>671</v>
      </c>
    </row>
    <row r="18928" spans="1:3" x14ac:dyDescent="0.25">
      <c r="A18928" s="8" t="str">
        <f>"Society of Petroleum Engineers - Saudi Arabia Section Young Professionals Technical Symposium 2011"</f>
        <v>Society of Petroleum Engineers - Saudi Arabia Section Young Professionals Technical Symposium 2011</v>
      </c>
      <c r="B18928" s="8" t="str">
        <f>"9781627482905"</f>
        <v>9781627482905</v>
      </c>
      <c r="C18928" s="8" t="s">
        <v>671</v>
      </c>
    </row>
    <row r="18929" spans="1:3" x14ac:dyDescent="0.25">
      <c r="A18929" s="8" t="str">
        <f>"Society of Petroleum Engineers - Shale Gas Production Conference 2008"</f>
        <v>Society of Petroleum Engineers - Shale Gas Production Conference 2008</v>
      </c>
      <c r="B18929" s="8" t="str">
        <f>"9781605607009"</f>
        <v>9781605607009</v>
      </c>
      <c r="C18929" s="8" t="s">
        <v>671</v>
      </c>
    </row>
    <row r="18930" spans="1:3" x14ac:dyDescent="0.25">
      <c r="A18930" s="8" t="str">
        <f>"Society of Petroleum Engineers - SPE Americas E and P Health, Safety, Security, and Environmental Conference 2011"</f>
        <v>Society of Petroleum Engineers - SPE Americas E and P Health, Safety, Security, and Environmental Conference 2011</v>
      </c>
      <c r="B18930" s="8" t="str">
        <f>"9781617827099"</f>
        <v>9781617827099</v>
      </c>
      <c r="C18930" s="8" t="s">
        <v>671</v>
      </c>
    </row>
    <row r="18931" spans="1:3" x14ac:dyDescent="0.25">
      <c r="A18931" s="8" t="str">
        <f>"Society of Petroleum Engineers - SPE Americas E and P Health, Safety, Security, and Environmental Conference 2013"</f>
        <v>Society of Petroleum Engineers - SPE Americas E and P Health, Safety, Security, and Environmental Conference 2013</v>
      </c>
      <c r="B18931" s="8" t="str">
        <f>"9781627481410"</f>
        <v>9781627481410</v>
      </c>
      <c r="C18931" s="8" t="s">
        <v>671</v>
      </c>
    </row>
    <row r="18932" spans="1:3" x14ac:dyDescent="0.25">
      <c r="A18932" s="8" t="str">
        <f>"Society of Petroleum Engineers - SPE Americas Unconventional Gas Conference 2011, UGC 2011"</f>
        <v>Society of Petroleum Engineers - SPE Americas Unconventional Gas Conference 2011, UGC 2011</v>
      </c>
      <c r="B18932" s="8" t="str">
        <f>"9781617829826"</f>
        <v>9781617829826</v>
      </c>
      <c r="C18932" s="8" t="s">
        <v>915</v>
      </c>
    </row>
    <row r="18933" spans="1:3" x14ac:dyDescent="0.25">
      <c r="A18933" s="8" t="str">
        <f>"Society of Petroleum Engineers - SPE Americas Unconventional Resources Conference 2012"</f>
        <v>Society of Petroleum Engineers - SPE Americas Unconventional Resources Conference 2012</v>
      </c>
      <c r="B18933" s="8" t="str">
        <f>"9781622761098"</f>
        <v>9781622761098</v>
      </c>
      <c r="C18933" s="8" t="s">
        <v>671</v>
      </c>
    </row>
    <row r="18934" spans="1:3" x14ac:dyDescent="0.25">
      <c r="A18934" s="8" t="str">
        <f>"Society of Petroleum Engineers - SPE Arctic and Extreme Environments Conference and Exhibition, AEE 2013"</f>
        <v>Society of Petroleum Engineers - SPE Arctic and Extreme Environments Conference and Exhibition, AEE 2013</v>
      </c>
      <c r="B18934" s="8" t="str">
        <f>"9781629933900"</f>
        <v>9781629933900</v>
      </c>
      <c r="C18934" s="8" t="s">
        <v>671</v>
      </c>
    </row>
    <row r="18935" spans="1:3" x14ac:dyDescent="0.25">
      <c r="A18935" s="8" t="str">
        <f>"Society of Petroleum Engineers - SPE Asia Pacific Oil and Gas Conference and Exhibition 2010, APOGCE 2010"</f>
        <v>Society of Petroleum Engineers - SPE Asia Pacific Oil and Gas Conference and Exhibition 2010, APOGCE 2010</v>
      </c>
      <c r="B18935" s="8" t="str">
        <f>"9781617820397"</f>
        <v>9781617820397</v>
      </c>
      <c r="C18935" s="8" t="s">
        <v>671</v>
      </c>
    </row>
    <row r="18936" spans="1:3" x14ac:dyDescent="0.25">
      <c r="A18936" s="8" t="str">
        <f>"Society of Petroleum Engineers - SPE Asia Pacific Oil and Gas Conference and Exhibition 2011"</f>
        <v>Society of Petroleum Engineers - SPE Asia Pacific Oil and Gas Conference and Exhibition 2011</v>
      </c>
      <c r="B18936" s="8" t="str">
        <f>"9781618392626"</f>
        <v>9781618392626</v>
      </c>
      <c r="C18936" s="8" t="s">
        <v>671</v>
      </c>
    </row>
    <row r="18937" spans="1:3" x14ac:dyDescent="0.25">
      <c r="A18937" s="8" t="str">
        <f>"Society of Petroleum Engineers - SPE Asia Pacific Oil and Gas Conference and Exhibition 2012, APOGCE 2012"</f>
        <v>Society of Petroleum Engineers - SPE Asia Pacific Oil and Gas Conference and Exhibition 2012, APOGCE 2012</v>
      </c>
      <c r="B18937" s="8" t="str">
        <f>"9781622764464"</f>
        <v>9781622764464</v>
      </c>
      <c r="C18937" s="8" t="s">
        <v>671</v>
      </c>
    </row>
    <row r="18938" spans="1:3" x14ac:dyDescent="0.25">
      <c r="A18938" s="8" t="str">
        <f>"Society of Petroleum Engineers - SPE Asia Pacific Oil and Gas Conference and Exhibition, APOGCE 2013: Maximising the Mature, Elevating the Young"</f>
        <v>Society of Petroleum Engineers - SPE Asia Pacific Oil and Gas Conference and Exhibition, APOGCE 2013: Maximising the Mature, Elevating the Young</v>
      </c>
      <c r="B18938" s="8" t="str">
        <f>"9781629933894"</f>
        <v>9781629933894</v>
      </c>
      <c r="C18938" s="8" t="s">
        <v>671</v>
      </c>
    </row>
    <row r="18939" spans="1:3" x14ac:dyDescent="0.25">
      <c r="A18939" s="8" t="str">
        <f>"Society of Petroleum Engineers - SPE Asia Pacific Oil and Gas Conference and Exhibition, APOGCE 2014 - Changing the Game: Opportunities, Challenges and Solutions"</f>
        <v>Society of Petroleum Engineers - SPE Asia Pacific Oil and Gas Conference and Exhibition, APOGCE 2014 - Changing the Game: Opportunities, Challenges and Solutions</v>
      </c>
      <c r="B18939" s="8" t="str">
        <f>"-"</f>
        <v>-</v>
      </c>
      <c r="C18939" s="8" t="s">
        <v>671</v>
      </c>
    </row>
    <row r="18940" spans="1:3" x14ac:dyDescent="0.25">
      <c r="A18940" s="8" t="str">
        <f>"Society of Petroleum Engineers - SPE Bergen One Day Seminar 2015"</f>
        <v>Society of Petroleum Engineers - SPE Bergen One Day Seminar 2015</v>
      </c>
      <c r="B18940" s="8" t="str">
        <f>"9781510802711"</f>
        <v>9781510802711</v>
      </c>
      <c r="C18940" s="8" t="s">
        <v>671</v>
      </c>
    </row>
    <row r="18941" spans="1:3" x14ac:dyDescent="0.25">
      <c r="A18941" s="8" t="str">
        <f>"Society of Petroleum Engineers - SPE Canadian Unconventional Resources Conference 2012, CURC 2012"</f>
        <v>Society of Petroleum Engineers - SPE Canadian Unconventional Resources Conference 2012, CURC 2012</v>
      </c>
      <c r="B18941" s="8" t="str">
        <f>"9781622764884"</f>
        <v>9781622764884</v>
      </c>
      <c r="C18941" s="8" t="s">
        <v>671</v>
      </c>
    </row>
    <row r="18942" spans="1:3" x14ac:dyDescent="0.25">
      <c r="A18942" s="8" t="str">
        <f>"Society of Petroleum Engineers - SPE Canadian Unconventional Resources Conference 2013 - Unconventional Becoming Conventional: Lessons Learned and New Innovations"</f>
        <v>Society of Petroleum Engineers - SPE Canadian Unconventional Resources Conference 2013 - Unconventional Becoming Conventional: Lessons Learned and New Innovations</v>
      </c>
      <c r="B18942" s="8" t="str">
        <f>"9781629933481"</f>
        <v>9781629933481</v>
      </c>
      <c r="C18942" s="8" t="s">
        <v>671</v>
      </c>
    </row>
    <row r="18943" spans="1:3" x14ac:dyDescent="0.25">
      <c r="A18943" s="8" t="str">
        <f>"Society of Petroleum Engineers - SPE Canadian Unconventional Resources Conference 2014"</f>
        <v>Society of Petroleum Engineers - SPE Canadian Unconventional Resources Conference 2014</v>
      </c>
      <c r="B18943" s="8" t="str">
        <f>"-"</f>
        <v>-</v>
      </c>
      <c r="C18943" s="8" t="s">
        <v>671</v>
      </c>
    </row>
    <row r="18944" spans="1:3" x14ac:dyDescent="0.25">
      <c r="A18944" s="8" t="str">
        <f>"Society of Petroleum Engineers - SPE Caspian Carbonates Technology Conference 2010"</f>
        <v>Society of Petroleum Engineers - SPE Caspian Carbonates Technology Conference 2010</v>
      </c>
      <c r="B18944" s="8" t="str">
        <f>"9781617820458"</f>
        <v>9781617820458</v>
      </c>
      <c r="C18944" s="8" t="s">
        <v>671</v>
      </c>
    </row>
    <row r="18945" spans="1:3" x14ac:dyDescent="0.25">
      <c r="A18945" s="8" t="str">
        <f>"Society of Petroleum Engineers - SPE Deepwater Drilling and Completions Conference 2010"</f>
        <v>Society of Petroleum Engineers - SPE Deepwater Drilling and Completions Conference 2010</v>
      </c>
      <c r="B18945" s="8" t="str">
        <f>"9781617820120"</f>
        <v>9781617820120</v>
      </c>
      <c r="C18945" s="8" t="s">
        <v>671</v>
      </c>
    </row>
    <row r="18946" spans="1:3" x14ac:dyDescent="0.25">
      <c r="A18946" s="8" t="str">
        <f>"Society of Petroleum Engineers - SPE Deepwater Drilling and Completions Conference 2012"</f>
        <v>Society of Petroleum Engineers - SPE Deepwater Drilling and Completions Conference 2012</v>
      </c>
      <c r="B18946" s="8" t="str">
        <f>"9781622761364"</f>
        <v>9781622761364</v>
      </c>
      <c r="C18946" s="8" t="s">
        <v>671</v>
      </c>
    </row>
    <row r="18947" spans="1:3" x14ac:dyDescent="0.25">
      <c r="A18947" s="8" t="str">
        <f>"Society of Petroleum Engineers - SPE Deepwater Drilling and Completions Conference 2014"</f>
        <v>Society of Petroleum Engineers - SPE Deepwater Drilling and Completions Conference 2014</v>
      </c>
      <c r="B18947" s="8" t="str">
        <f>"9781634394161"</f>
        <v>9781634394161</v>
      </c>
      <c r="C18947" s="8" t="s">
        <v>671</v>
      </c>
    </row>
    <row r="18948" spans="1:3" x14ac:dyDescent="0.25">
      <c r="A18948" s="8" t="str">
        <f>"Society of Petroleum Engineers - SPE Digital Energy Conference and Exhibition 2011"</f>
        <v>Society of Petroleum Engineers - SPE Digital Energy Conference and Exhibition 2011</v>
      </c>
      <c r="B18948" s="8" t="str">
        <f>"9781617827419"</f>
        <v>9781617827419</v>
      </c>
      <c r="C18948" s="8" t="s">
        <v>671</v>
      </c>
    </row>
    <row r="18949" spans="1:3" x14ac:dyDescent="0.25">
      <c r="A18949" s="8" t="str">
        <f>"Society of Petroleum Engineers - SPE Digital Energy Conference and Exhibition 2013"</f>
        <v>Society of Petroleum Engineers - SPE Digital Energy Conference and Exhibition 2013</v>
      </c>
      <c r="B18949" s="8" t="str">
        <f>"9781627480253"</f>
        <v>9781627480253</v>
      </c>
      <c r="C18949" s="8" t="s">
        <v>671</v>
      </c>
    </row>
    <row r="18950" spans="1:3" x14ac:dyDescent="0.25">
      <c r="A18950" s="8" t="str">
        <f>"Society of Petroleum Engineers - SPE Digital Energy Conference and Exhibition 2015"</f>
        <v>Society of Petroleum Engineers - SPE Digital Energy Conference and Exhibition 2015</v>
      </c>
      <c r="B18950" s="8" t="str">
        <f>"9781510800595"</f>
        <v>9781510800595</v>
      </c>
      <c r="C18950" s="8" t="s">
        <v>671</v>
      </c>
    </row>
    <row r="18951" spans="1:3" x14ac:dyDescent="0.25">
      <c r="A18951" s="8" t="str">
        <f>"Society of Petroleum Engineers - SPE E and P Health, Safety, Security and Environmental Conference - Americas 2015"</f>
        <v>Society of Petroleum Engineers - SPE E and P Health, Safety, Security and Environmental Conference - Americas 2015</v>
      </c>
      <c r="B18951" s="8" t="str">
        <f>"9781510802452"</f>
        <v>9781510802452</v>
      </c>
      <c r="C18951" s="8" t="s">
        <v>671</v>
      </c>
    </row>
    <row r="18952" spans="1:3" x14ac:dyDescent="0.25">
      <c r="A18952" s="8" t="str">
        <f>"Society of Petroleum Engineers - SPE Eastern Regional/AAPG Eastern Section Joint Meeting 2008"</f>
        <v>Society of Petroleum Engineers - SPE Eastern Regional/AAPG Eastern Section Joint Meeting 2008</v>
      </c>
      <c r="B18952" s="8" t="str">
        <f>"9781605606736"</f>
        <v>9781605606736</v>
      </c>
      <c r="C18952" s="8" t="s">
        <v>671</v>
      </c>
    </row>
    <row r="18953" spans="1:3" x14ac:dyDescent="0.25">
      <c r="A18953" s="8" t="str">
        <f>"Society of Petroleum Engineers - SPE Enhanced Oil Recovery Conference 2011, EORC 2011"</f>
        <v>Society of Petroleum Engineers - SPE Enhanced Oil Recovery Conference 2011, EORC 2011</v>
      </c>
      <c r="B18953" s="8" t="str">
        <f>"9781618390929"</f>
        <v>9781618390929</v>
      </c>
      <c r="C18953" s="8" t="s">
        <v>671</v>
      </c>
    </row>
    <row r="18954" spans="1:3" x14ac:dyDescent="0.25">
      <c r="A18954" s="8" t="str">
        <f>"Society of Petroleum Engineers - SPE Enhanced Oil Recovery Conference, EORC 2013: Delivering the Promise NOW!"</f>
        <v>Society of Petroleum Engineers - SPE Enhanced Oil Recovery Conference, EORC 2013: Delivering the Promise NOW!</v>
      </c>
      <c r="B18954" s="8" t="str">
        <f>"9781627488129"</f>
        <v>9781627488129</v>
      </c>
      <c r="C18954" s="8" t="s">
        <v>671</v>
      </c>
    </row>
    <row r="18955" spans="1:3" x14ac:dyDescent="0.25">
      <c r="A18955" s="8" t="str">
        <f>"Society of Petroleum Engineers - SPE EOR Conference at Oil and Gas West Asia 2012, OGWA - EOR: Building Towards Sustainable Growth"</f>
        <v>Society of Petroleum Engineers - SPE EOR Conference at Oil and Gas West Asia 2012, OGWA - EOR: Building Towards Sustainable Growth</v>
      </c>
      <c r="B18955" s="8" t="str">
        <f>"9781622760473"</f>
        <v>9781622760473</v>
      </c>
      <c r="C18955" s="8" t="s">
        <v>671</v>
      </c>
    </row>
    <row r="18956" spans="1:3" x14ac:dyDescent="0.25">
      <c r="A18956" s="8" t="str">
        <f>"Society of Petroleum Engineers - SPE European HSE Conference and Exhibition 2013: Health, Safety, Environment and Social Responsibility in the Oil and Gas Exploration and Production Industry"</f>
        <v>Society of Petroleum Engineers - SPE European HSE Conference and Exhibition 2013: Health, Safety, Environment and Social Responsibility in the Oil and Gas Exploration and Production Industry</v>
      </c>
      <c r="B18956" s="8" t="str">
        <f>"9781627482844"</f>
        <v>9781627482844</v>
      </c>
      <c r="C18956" s="8" t="s">
        <v>671</v>
      </c>
    </row>
    <row r="18957" spans="1:3" x14ac:dyDescent="0.25">
      <c r="A18957" s="8" t="str">
        <f>"Society of Petroleum Engineers - SPE Gas Technology Symposium"</f>
        <v>Society of Petroleum Engineers - SPE Gas Technology Symposium</v>
      </c>
      <c r="B18957" s="8" t="str">
        <f>"9781605604732"</f>
        <v>9781605604732</v>
      </c>
      <c r="C18957" s="8" t="s">
        <v>671</v>
      </c>
    </row>
    <row r="18958" spans="1:3" x14ac:dyDescent="0.25">
      <c r="A18958" s="8" t="str">
        <f>"Society of Petroleum Engineers - SPE Heavy and Extra Heavy Oil Conference - Latin America 2014, LAHO 2014"</f>
        <v>Society of Petroleum Engineers - SPE Heavy and Extra Heavy Oil Conference - Latin America 2014, LAHO 2014</v>
      </c>
      <c r="B18958" s="8" t="str">
        <f>"9781634395526"</f>
        <v>9781634395526</v>
      </c>
      <c r="C18958" s="8" t="s">
        <v>671</v>
      </c>
    </row>
    <row r="18959" spans="1:3" x14ac:dyDescent="0.25">
      <c r="A18959" s="8" t="str">
        <f>"Society of Petroleum Engineers - SPE Heavy Oil Conference Canada 2012"</f>
        <v>Society of Petroleum Engineers - SPE Heavy Oil Conference Canada 2012</v>
      </c>
      <c r="B18959" s="8" t="str">
        <f>"9781622761111"</f>
        <v>9781622761111</v>
      </c>
      <c r="C18959" s="8" t="s">
        <v>671</v>
      </c>
    </row>
    <row r="18960" spans="1:3" x14ac:dyDescent="0.25">
      <c r="A18960" s="8" t="str">
        <f>"Society of Petroleum Engineers - SPE Heavy Oil Conference Canada 2013"</f>
        <v>Society of Petroleum Engineers - SPE Heavy Oil Conference Canada 2013</v>
      </c>
      <c r="B18960" s="8" t="str">
        <f>"9781627486286"</f>
        <v>9781627486286</v>
      </c>
      <c r="C18960" s="8" t="s">
        <v>671</v>
      </c>
    </row>
    <row r="18961" spans="1:3" x14ac:dyDescent="0.25">
      <c r="A18961" s="8" t="str">
        <f>"Society of Petroleum Engineers - SPE Heavy Oil Conference Canada 2014"</f>
        <v>Society of Petroleum Engineers - SPE Heavy Oil Conference Canada 2014</v>
      </c>
      <c r="B18961" s="8" t="str">
        <f>"-"</f>
        <v>-</v>
      </c>
      <c r="C18961" s="8" t="s">
        <v>671</v>
      </c>
    </row>
    <row r="18962" spans="1:3" x14ac:dyDescent="0.25">
      <c r="A18962" s="8" t="str">
        <f>"Society of Petroleum Engineers - SPE Hydraulic Fracturing Technology Conference 2009"</f>
        <v>Society of Petroleum Engineers - SPE Hydraulic Fracturing Technology Conference 2009</v>
      </c>
      <c r="B18962" s="8" t="str">
        <f>"9781605607788"</f>
        <v>9781605607788</v>
      </c>
      <c r="C18962" s="8" t="s">
        <v>671</v>
      </c>
    </row>
    <row r="18963" spans="1:3" x14ac:dyDescent="0.25">
      <c r="A18963" s="8" t="str">
        <f>"Society of Petroleum Engineers - SPE Hydraulic Fracturing Technology Conference 2011"</f>
        <v>Society of Petroleum Engineers - SPE Hydraulic Fracturing Technology Conference 2011</v>
      </c>
      <c r="B18963" s="8" t="str">
        <f>"9781617823084"</f>
        <v>9781617823084</v>
      </c>
      <c r="C18963" s="8" t="s">
        <v>671</v>
      </c>
    </row>
    <row r="18964" spans="1:3" x14ac:dyDescent="0.25">
      <c r="A18964" s="8" t="str">
        <f>"Society of Petroleum Engineers - SPE Hydraulic Fracturing Technology Conference 2012"</f>
        <v>Society of Petroleum Engineers - SPE Hydraulic Fracturing Technology Conference 2012</v>
      </c>
      <c r="B18964" s="8" t="str">
        <f>"9781618396105"</f>
        <v>9781618396105</v>
      </c>
      <c r="C18964" s="8" t="s">
        <v>671</v>
      </c>
    </row>
    <row r="18965" spans="1:3" x14ac:dyDescent="0.25">
      <c r="A18965" s="8" t="str">
        <f>"Society of Petroleum Engineers - SPE Hydraulic Fracturing Technology Conference 2013"</f>
        <v>Society of Petroleum Engineers - SPE Hydraulic Fracturing Technology Conference 2013</v>
      </c>
      <c r="B18965" s="8" t="str">
        <f>"9781622769445"</f>
        <v>9781622769445</v>
      </c>
      <c r="C18965" s="8" t="s">
        <v>671</v>
      </c>
    </row>
    <row r="18966" spans="1:3" x14ac:dyDescent="0.25">
      <c r="A18966" s="8" t="str">
        <f>"Society of Petroleum Engineers - SPE Hydraulic Fracturing Technology Conference 2015"</f>
        <v>Society of Petroleum Engineers - SPE Hydraulic Fracturing Technology Conference 2015</v>
      </c>
      <c r="B18966" s="8" t="str">
        <f>"9781510800274"</f>
        <v>9781510800274</v>
      </c>
      <c r="C18966" s="8" t="s">
        <v>671</v>
      </c>
    </row>
    <row r="18967" spans="1:3" x14ac:dyDescent="0.25">
      <c r="A18967" s="8" t="s">
        <v>2334</v>
      </c>
      <c r="B18967" s="8" t="str">
        <f>"9781605601465"</f>
        <v>9781605601465</v>
      </c>
      <c r="C18967" s="8" t="s">
        <v>394</v>
      </c>
    </row>
    <row r="18968" spans="1:3" x14ac:dyDescent="0.25">
      <c r="A18968" s="8" t="str">
        <f>"Society of Petroleum Engineers - SPE Intelligent Energy International 2012"</f>
        <v>Society of Petroleum Engineers - SPE Intelligent Energy International 2012</v>
      </c>
      <c r="B18968" s="8" t="str">
        <f>"9781618399311"</f>
        <v>9781618399311</v>
      </c>
      <c r="C18968" s="8" t="s">
        <v>671</v>
      </c>
    </row>
    <row r="18969" spans="1:3" x14ac:dyDescent="0.25">
      <c r="A18969" s="8" t="str">
        <f>"Society of Petroleum Engineers - SPE Intelligent Energy International 2013: Realising the Full Asset Value"</f>
        <v>Society of Petroleum Engineers - SPE Intelligent Energy International 2013: Realising the Full Asset Value</v>
      </c>
      <c r="B18969" s="8" t="str">
        <f>"9781629934358"</f>
        <v>9781629934358</v>
      </c>
      <c r="C18969" s="8" t="s">
        <v>915</v>
      </c>
    </row>
    <row r="18970" spans="1:3" x14ac:dyDescent="0.25">
      <c r="A18970" s="8" t="str">
        <f>"Society of Petroleum Engineers - SPE International Conference and Exhibition on Oilfield Corrosion 2012"</f>
        <v>Society of Petroleum Engineers - SPE International Conference and Exhibition on Oilfield Corrosion 2012</v>
      </c>
      <c r="B18970" s="8" t="str">
        <f>"9781622760800"</f>
        <v>9781622760800</v>
      </c>
      <c r="C18970" s="8" t="s">
        <v>671</v>
      </c>
    </row>
    <row r="18971" spans="1:3" x14ac:dyDescent="0.25">
      <c r="A18971" s="8" t="str">
        <f>"Society of Petroleum Engineers - SPE International Conference and Exhibition on Oilfield Scale 2012"</f>
        <v>Society of Petroleum Engineers - SPE International Conference and Exhibition on Oilfield Scale 2012</v>
      </c>
      <c r="B18971" s="8" t="str">
        <f>"9781622760763"</f>
        <v>9781622760763</v>
      </c>
      <c r="C18971" s="8" t="s">
        <v>671</v>
      </c>
    </row>
    <row r="18972" spans="1:3" x14ac:dyDescent="0.25">
      <c r="A18972" s="8" t="str">
        <f>"Society of Petroleum Engineers - SPE International Conference on CO2 Capture, Storage, and Utilization 2010"</f>
        <v>Society of Petroleum Engineers - SPE International Conference on CO2 Capture, Storage, and Utilization 2010</v>
      </c>
      <c r="B18972" s="8" t="str">
        <f>"9781617820830"</f>
        <v>9781617820830</v>
      </c>
      <c r="C18972" s="8" t="s">
        <v>671</v>
      </c>
    </row>
    <row r="18973" spans="1:3" x14ac:dyDescent="0.25">
      <c r="A18973" s="8" t="str">
        <f>"Society of Petroleum Engineers - SPE International Conference on Health, Safety and Environment 2014: The Journey Continues"</f>
        <v>Society of Petroleum Engineers - SPE International Conference on Health, Safety and Environment 2014: The Journey Continues</v>
      </c>
      <c r="B18973" s="8" t="str">
        <f>"-"</f>
        <v>-</v>
      </c>
      <c r="C18973" s="8" t="s">
        <v>671</v>
      </c>
    </row>
    <row r="18974" spans="1:3" x14ac:dyDescent="0.25">
      <c r="A18974" s="8" t="str">
        <f>"Society of Petroleum Engineers - SPE International Conference on Health, Safety and Environment 2014: The Journey Continues, HSE 2014"</f>
        <v>Society of Petroleum Engineers - SPE International Conference on Health, Safety and Environment 2014: The Journey Continues, HSE 2014</v>
      </c>
      <c r="B18974" s="8" t="str">
        <f>"-"</f>
        <v>-</v>
      </c>
      <c r="C18974" s="8" t="s">
        <v>671</v>
      </c>
    </row>
    <row r="18975" spans="1:3" x14ac:dyDescent="0.25">
      <c r="A18975" s="8" t="str">
        <f>"Society of Petroleum Engineers - SPE International Conference on Health, Safety and Environment in Oil and Gas Exploration and Production 2010"</f>
        <v>Society of Petroleum Engineers - SPE International Conference on Health, Safety and Environment in Oil and Gas Exploration and Production 2010</v>
      </c>
      <c r="B18975" s="8" t="str">
        <f>"9781617384127"</f>
        <v>9781617384127</v>
      </c>
      <c r="C18975" s="8" t="s">
        <v>671</v>
      </c>
    </row>
    <row r="18976" spans="1:3" x14ac:dyDescent="0.25">
      <c r="A18976" s="8" t="str">
        <f>"Society of Petroleum Engineers - SPE International Conference on Health, Safety and Environment in Oil and Gas Exploration and Production 2011"</f>
        <v>Society of Petroleum Engineers - SPE International Conference on Health, Safety and Environment in Oil and Gas Exploration and Production 2011</v>
      </c>
      <c r="B18976" s="8" t="str">
        <f>"9781617823879"</f>
        <v>9781617823879</v>
      </c>
      <c r="C18976" s="8" t="s">
        <v>671</v>
      </c>
    </row>
    <row r="18977" spans="1:3" x14ac:dyDescent="0.25">
      <c r="A18977" s="8" t="str">
        <f>"Society of Petroleum Engineers - SPE International Heavy Oil Conference and Exhibition 2011"</f>
        <v>Society of Petroleum Engineers - SPE International Heavy Oil Conference and Exhibition 2011</v>
      </c>
      <c r="B18977" s="8" t="str">
        <f>"9781618394231"</f>
        <v>9781618394231</v>
      </c>
      <c r="C18977" s="8" t="s">
        <v>671</v>
      </c>
    </row>
    <row r="18978" spans="1:3" x14ac:dyDescent="0.25">
      <c r="A18978" s="8" t="str">
        <f>"Society of Petroleum Engineers - SPE International Heavy Oil Conference and Exhibition 2014: Heavy Oil Innovations Beyond Limitations"</f>
        <v>Society of Petroleum Engineers - SPE International Heavy Oil Conference and Exhibition 2014: Heavy Oil Innovations Beyond Limitations</v>
      </c>
      <c r="B18978" s="8" t="str">
        <f>"9781634399937"</f>
        <v>9781634399937</v>
      </c>
      <c r="C18978" s="8" t="s">
        <v>671</v>
      </c>
    </row>
    <row r="18979" spans="1:3" x14ac:dyDescent="0.25">
      <c r="A18979" s="8" t="str">
        <f>"Society of Petroleum Engineers - SPE International Oilfield Nanotechnology Conference 2012"</f>
        <v>Society of Petroleum Engineers - SPE International Oilfield Nanotechnology Conference 2012</v>
      </c>
      <c r="B18979" s="8" t="str">
        <f>"9781622761104"</f>
        <v>9781622761104</v>
      </c>
      <c r="C18979" s="8" t="s">
        <v>671</v>
      </c>
    </row>
    <row r="18980" spans="1:3" x14ac:dyDescent="0.25">
      <c r="A18980" s="8" t="str">
        <f>"Society of Petroleum Engineers - SPE Middle East Health, Safety, Environment and Sustainable Development Conference and Exhibition, MEHSE 2014"</f>
        <v>Society of Petroleum Engineers - SPE Middle East Health, Safety, Environment and Sustainable Development Conference and Exhibition, MEHSE 2014</v>
      </c>
      <c r="B18980" s="8" t="str">
        <f>"9781634396356"</f>
        <v>9781634396356</v>
      </c>
      <c r="C18980" s="8" t="s">
        <v>671</v>
      </c>
    </row>
    <row r="18981" spans="1:3" x14ac:dyDescent="0.25">
      <c r="A18981" s="8" t="str">
        <f>"Society of Petroleum Engineers - SPE Middle East Health, Safety, Security and Environment Conference and Exhibition 2008 - Strengthening Sustainable Practices and Regulations"</f>
        <v>Society of Petroleum Engineers - SPE Middle East Health, Safety, Security and Environment Conference and Exhibition 2008 - Strengthening Sustainable Practices and Regulations</v>
      </c>
      <c r="B18981" s="8" t="str">
        <f>"9781605607016"</f>
        <v>9781605607016</v>
      </c>
      <c r="C18981" s="8" t="s">
        <v>671</v>
      </c>
    </row>
    <row r="18982" spans="1:3" x14ac:dyDescent="0.25">
      <c r="A18982" s="8" t="str">
        <f>"Society of Petroleum Engineers - SPE Middle East Health, Safety, Security and Environment Conference and Exhibition 2010"</f>
        <v>Society of Petroleum Engineers - SPE Middle East Health, Safety, Security and Environment Conference and Exhibition 2010</v>
      </c>
      <c r="B18982" s="8" t="str">
        <f>"9781617820410"</f>
        <v>9781617820410</v>
      </c>
      <c r="C18982" s="8" t="s">
        <v>671</v>
      </c>
    </row>
    <row r="18983" spans="1:3" x14ac:dyDescent="0.25">
      <c r="A18983" s="8" t="str">
        <f>"Society of Petroleum Engineers - SPE Middle East Health, Safety, Security, and Environment Conf. and Exhibition 2012, MEHSSE - Sustaining World Energy Through an Integrated HSSE and Business Approach"</f>
        <v>Society of Petroleum Engineers - SPE Middle East Health, Safety, Security, and Environment Conf. and Exhibition 2012, MEHSSE - Sustaining World Energy Through an Integrated HSSE and Business Approach</v>
      </c>
      <c r="B18983" s="8" t="str">
        <f>"9781622760497"</f>
        <v>9781622760497</v>
      </c>
      <c r="C18983" s="8" t="s">
        <v>671</v>
      </c>
    </row>
    <row r="18984" spans="1:3" x14ac:dyDescent="0.25">
      <c r="A18984" s="8" t="str">
        <f>"Society of Petroleum Engineers - SPE Middle East Unconventional Gas Conference and Exhibition 2011, UGAS"</f>
        <v>Society of Petroleum Engineers - SPE Middle East Unconventional Gas Conference and Exhibition 2011, UGAS</v>
      </c>
      <c r="B18984" s="8" t="str">
        <f>"9781617823596"</f>
        <v>9781617823596</v>
      </c>
      <c r="C18984" s="8" t="s">
        <v>671</v>
      </c>
    </row>
    <row r="18985" spans="1:3" x14ac:dyDescent="0.25">
      <c r="A18985" s="8" t="str">
        <f>"Society of Petroleum Engineers - SPE Middle East Unconventional Gas Conference and Exhibition 2012, UGAS - Unlocking Unconventional Gas: New Energy in the Middle East"</f>
        <v>Society of Petroleum Engineers - SPE Middle East Unconventional Gas Conference and Exhibition 2012, UGAS - Unlocking Unconventional Gas: New Energy in the Middle East</v>
      </c>
      <c r="B18985" s="8" t="str">
        <f>"9781618396129"</f>
        <v>9781618396129</v>
      </c>
      <c r="C18985" s="8" t="s">
        <v>671</v>
      </c>
    </row>
    <row r="18986" spans="1:3" x14ac:dyDescent="0.25">
      <c r="A18986" s="8" t="str">
        <f>"Society of Petroleum Engineers - SPE Middle East Unconventional Gas Conference and Exhibition 2013, UGAS 2013 - Unconventional and Tight Gas: Bridging the Gaps for Sustainable Economic Development"</f>
        <v>Society of Petroleum Engineers - SPE Middle East Unconventional Gas Conference and Exhibition 2013, UGAS 2013 - Unconventional and Tight Gas: Bridging the Gaps for Sustainable Economic Development</v>
      </c>
      <c r="B18986" s="8" t="str">
        <f>"9781622769759"</f>
        <v>9781622769759</v>
      </c>
      <c r="C18986" s="8" t="s">
        <v>671</v>
      </c>
    </row>
    <row r="18987" spans="1:3" x14ac:dyDescent="0.25">
      <c r="A18987" s="8" t="str">
        <f>"Society of Petroleum Engineers - SPE Middle East Unconventional Resources Conference and Exhibition 2015 - The Journey of Unconventional Resources: From Exploration to Successful Development"</f>
        <v>Society of Petroleum Engineers - SPE Middle East Unconventional Resources Conference and Exhibition 2015 - The Journey of Unconventional Resources: From Exploration to Successful Development</v>
      </c>
      <c r="B18987" s="8" t="str">
        <f>"9781510800267"</f>
        <v>9781510800267</v>
      </c>
      <c r="C18987" s="8" t="s">
        <v>671</v>
      </c>
    </row>
    <row r="18988" spans="1:3" x14ac:dyDescent="0.25">
      <c r="A18988" s="8" t="str">
        <f>"Society of Petroleum Engineers - SPE Offshore Europe Conference and Exhibition, OE 2013"</f>
        <v>Society of Petroleum Engineers - SPE Offshore Europe Conference and Exhibition, OE 2013</v>
      </c>
      <c r="B18988" s="8" t="str">
        <f>"9781629930992"</f>
        <v>9781629930992</v>
      </c>
      <c r="C18988" s="8" t="s">
        <v>915</v>
      </c>
    </row>
    <row r="18989" spans="1:3" x14ac:dyDescent="0.25">
      <c r="A18989" s="8" t="str">
        <f>"Society of Petroleum Engineers - SPE Oil and Gas India Conference and Exhibition 2012, OGIC - Further, Deeper, Tougher: The Quest Continues..."</f>
        <v>Society of Petroleum Engineers - SPE Oil and Gas India Conference and Exhibition 2012, OGIC - Further, Deeper, Tougher: The Quest Continues...</v>
      </c>
      <c r="B18989" s="8" t="str">
        <f>"9781622760480"</f>
        <v>9781622760480</v>
      </c>
      <c r="C18989" s="8" t="s">
        <v>671</v>
      </c>
    </row>
    <row r="18990" spans="1:3" x14ac:dyDescent="0.25">
      <c r="A18990" s="8" t="str">
        <f>"Society of Petroleum Engineers - SPE Reservoir Characterisation and Simulation Conference and Exhibition 2011, RCSC 2011"</f>
        <v>Society of Petroleum Engineers - SPE Reservoir Characterisation and Simulation Conference and Exhibition 2011, RCSC 2011</v>
      </c>
      <c r="B18990" s="8" t="str">
        <f>"9781618394224"</f>
        <v>9781618394224</v>
      </c>
      <c r="C18990" s="8" t="s">
        <v>671</v>
      </c>
    </row>
    <row r="18991" spans="1:3" x14ac:dyDescent="0.25">
      <c r="A18991" s="8" t="str">
        <f>"Society of Petroleum Engineers - SPE Reservoir Characterisation and Simulation Conference and Exhibition, RCSC 2013: New Approaches in Characterisation andModelling of Complex Reservoirs"</f>
        <v>Society of Petroleum Engineers - SPE Reservoir Characterisation and Simulation Conference and Exhibition, RCSC 2013: New Approaches in Characterisation andModelling of Complex Reservoirs</v>
      </c>
      <c r="B18991" s="8" t="str">
        <f>"9781629931449"</f>
        <v>9781629931449</v>
      </c>
      <c r="C18991" s="8" t="s">
        <v>915</v>
      </c>
    </row>
    <row r="18992" spans="1:3" x14ac:dyDescent="0.25">
      <c r="A18992" s="8" t="str">
        <f>"Society of Petroleum Engineers - SPE Reservoir Simulation Symposium 2011"</f>
        <v>Society of Petroleum Engineers - SPE Reservoir Simulation Symposium 2011</v>
      </c>
      <c r="B18992" s="8" t="str">
        <f>"9781617823862"</f>
        <v>9781617823862</v>
      </c>
      <c r="C18992" s="8" t="s">
        <v>671</v>
      </c>
    </row>
    <row r="18993" spans="1:3" x14ac:dyDescent="0.25">
      <c r="A18993" s="8" t="str">
        <f>"Society of Petroleum Engineers - SPE Reservoir Simulation Symposium 2013"</f>
        <v>Society of Petroleum Engineers - SPE Reservoir Simulation Symposium 2013</v>
      </c>
      <c r="B18993" s="8" t="str">
        <f>"9781627480246"</f>
        <v>9781627480246</v>
      </c>
      <c r="C18993" s="8" t="s">
        <v>671</v>
      </c>
    </row>
    <row r="18994" spans="1:3" x14ac:dyDescent="0.25">
      <c r="A18994" s="8" t="str">
        <f>"Society of Petroleum Engineers - SPE Reservoir Simulation Symposium 2015"</f>
        <v>Society of Petroleum Engineers - SPE Reservoir Simulation Symposium 2015</v>
      </c>
      <c r="B18994" s="8" t="str">
        <f>"-"</f>
        <v>-</v>
      </c>
      <c r="C18994" s="8" t="s">
        <v>671</v>
      </c>
    </row>
    <row r="18995" spans="1:3" x14ac:dyDescent="0.25">
      <c r="A18995" s="8" t="str">
        <f>"Society of Petroleum Engineers - SPE Russian Oil and Gas Exploration and Production Technical Conference and Exhibition 2012"</f>
        <v>Society of Petroleum Engineers - SPE Russian Oil and Gas Exploration and Production Technical Conference and Exhibition 2012</v>
      </c>
      <c r="B18995" s="8" t="str">
        <f>"9781622764891"</f>
        <v>9781622764891</v>
      </c>
      <c r="C18995" s="8" t="s">
        <v>671</v>
      </c>
    </row>
    <row r="18996" spans="1:3" x14ac:dyDescent="0.25">
      <c r="A18996" s="8" t="str">
        <f>"Society of Petroleum Engineers - SPE Russian Oil and Gas Exploration and Production Technical Conference and Exhibition 2014, RO and G 2014 - Sustaining and Optimising Production: Challenging the Limits with Technology"</f>
        <v>Society of Petroleum Engineers - SPE Russian Oil and Gas Exploration and Production Technical Conference and Exhibition 2014, RO and G 2014 - Sustaining and Optimising Production: Challenging the Limits with Technology</v>
      </c>
      <c r="B18996" s="8" t="str">
        <f>"-"</f>
        <v>-</v>
      </c>
      <c r="C18996" s="8" t="s">
        <v>671</v>
      </c>
    </row>
    <row r="18997" spans="1:3" x14ac:dyDescent="0.25">
      <c r="A18997" s="8" t="str">
        <f>"Society of Petroleum Engineers - SPE Russian Oil and Gas Technical Conference and Exhibition 2008"</f>
        <v>Society of Petroleum Engineers - SPE Russian Oil and Gas Technical Conference and Exhibition 2008</v>
      </c>
      <c r="B18997" s="8" t="str">
        <f>"9781605607795"</f>
        <v>9781605607795</v>
      </c>
      <c r="C18997" s="8" t="s">
        <v>671</v>
      </c>
    </row>
    <row r="18998" spans="1:3" x14ac:dyDescent="0.25">
      <c r="A18998" s="8" t="str">
        <f>"Society of Petroleum Engineers - SPE Russian Oil and Gas Technical Conference and Exhibition 2010, RO and G 10"</f>
        <v>Society of Petroleum Engineers - SPE Russian Oil and Gas Technical Conference and Exhibition 2010, RO and G 10</v>
      </c>
      <c r="B18998" s="8" t="str">
        <f>"9781617820441"</f>
        <v>9781617820441</v>
      </c>
      <c r="C18998" s="8" t="s">
        <v>671</v>
      </c>
    </row>
    <row r="18999" spans="1:3" x14ac:dyDescent="0.25">
      <c r="A18999" s="8" t="str">
        <f>"Society of Petroleum Engineers - SPE Tight Gas Completions Conference 2010"</f>
        <v>Society of Petroleum Engineers - SPE Tight Gas Completions Conference 2010</v>
      </c>
      <c r="B18999" s="8" t="str">
        <f>"9781617820403"</f>
        <v>9781617820403</v>
      </c>
      <c r="C18999" s="8" t="s">
        <v>671</v>
      </c>
    </row>
    <row r="19000" spans="1:3" x14ac:dyDescent="0.25">
      <c r="A19000" s="8" t="str">
        <f>"Society of Petroleum Engineers - SPE USA Unconventional Resources Conference 2013"</f>
        <v>Society of Petroleum Engineers - SPE USA Unconventional Resources Conference 2013</v>
      </c>
      <c r="B19000" s="8" t="str">
        <f>"9781627481786"</f>
        <v>9781627481786</v>
      </c>
      <c r="C19000" s="8" t="s">
        <v>671</v>
      </c>
    </row>
    <row r="19001" spans="1:3" x14ac:dyDescent="0.25">
      <c r="A19001" s="8" t="str">
        <f>"Society of Petroleum Engineers - SPE Western Regional / Pacific Section AAPG Joint Technical Conference 2013: Energy and the Environment Working Together for the Future"</f>
        <v>Society of Petroleum Engineers - SPE Western Regional / Pacific Section AAPG Joint Technical Conference 2013: Energy and the Environment Working Together for the Future</v>
      </c>
      <c r="B19001" s="8" t="str">
        <f>"9781627482868"</f>
        <v>9781627482868</v>
      </c>
      <c r="C19001" s="8" t="s">
        <v>671</v>
      </c>
    </row>
    <row r="19002" spans="1:3" x14ac:dyDescent="0.25">
      <c r="A19002" s="8" t="str">
        <f>"Society of Petroleum Engineers - SPE/APPEA Int. Conference on Health, Safety and Environment in Oil and Gas Exploration and Production 2012: Protecting People and the Environment - Evolving Challenges"</f>
        <v>Society of Petroleum Engineers - SPE/APPEA Int. Conference on Health, Safety and Environment in Oil and Gas Exploration and Production 2012: Protecting People and the Environment - Evolving Challenges</v>
      </c>
      <c r="B19002" s="8" t="str">
        <f>"9781622763931"</f>
        <v>9781622763931</v>
      </c>
      <c r="C19002" s="8" t="s">
        <v>671</v>
      </c>
    </row>
    <row r="19003" spans="1:3" x14ac:dyDescent="0.25">
      <c r="A19003" s="8" t="str">
        <f>"Society of Petroleum Engineers - SPE/EAGE European Unconventional Resources Conference and Exhibition 2012"</f>
        <v>Society of Petroleum Engineers - SPE/EAGE European Unconventional Resources Conference and Exhibition 2012</v>
      </c>
      <c r="B19003" s="8" t="str">
        <f>"9781618398109"</f>
        <v>9781618398109</v>
      </c>
      <c r="C19003" s="8" t="s">
        <v>671</v>
      </c>
    </row>
    <row r="19004" spans="1:3" x14ac:dyDescent="0.25">
      <c r="A19004" s="8" t="str">
        <f>"Society of Petroleum Engineers - SPE/EAGE Reservoir Characterization and Simulation Conference 2007"</f>
        <v>Society of Petroleum Engineers - SPE/EAGE Reservoir Characterization and Simulation Conference 2007</v>
      </c>
      <c r="B19004" s="8" t="str">
        <f>"9781604238587"</f>
        <v>9781604238587</v>
      </c>
      <c r="C19004" s="8" t="s">
        <v>394</v>
      </c>
    </row>
    <row r="19005" spans="1:3" x14ac:dyDescent="0.25">
      <c r="A19005" s="8" t="str">
        <f>"Society of Petroleum Engineers - SPE/EAGE Reservoir Characterization and Simulation Conference 2009 - Overcoming Modeling Challenges to Optimize Recovery"</f>
        <v>Society of Petroleum Engineers - SPE/EAGE Reservoir Characterization and Simulation Conference 2009 - Overcoming Modeling Challenges to Optimize Recovery</v>
      </c>
      <c r="B19005" s="8" t="str">
        <f>"9781615677443"</f>
        <v>9781615677443</v>
      </c>
      <c r="C19005" s="8" t="s">
        <v>671</v>
      </c>
    </row>
    <row r="19006" spans="1:3" x14ac:dyDescent="0.25">
      <c r="A19006" s="8" t="str">
        <f>"Society of Petroleum Engineers - SPE/IADC Managed Pressure Drilling and Underbalanced Operations Conference and Exhibition 2008"</f>
        <v>Society of Petroleum Engineers - SPE/IADC Managed Pressure Drilling and Underbalanced Operations Conference and Exhibition 2008</v>
      </c>
      <c r="B19006" s="8" t="str">
        <f>"9781605600789"</f>
        <v>9781605600789</v>
      </c>
      <c r="C19006" s="8" t="s">
        <v>671</v>
      </c>
    </row>
    <row r="19007" spans="1:3" x14ac:dyDescent="0.25">
      <c r="A19007" s="8" t="str">
        <f>"Society of Petroleum Engineers - SPE/IADC Managed Pressure Drilling and Underbalanced Operations Conference and Exhibition 2012"</f>
        <v>Society of Petroleum Engineers - SPE/IADC Managed Pressure Drilling and Underbalanced Operations Conference and Exhibition 2012</v>
      </c>
      <c r="B19007" s="8" t="str">
        <f>"-"</f>
        <v>-</v>
      </c>
      <c r="C19007" s="8" t="s">
        <v>671</v>
      </c>
    </row>
    <row r="19008" spans="1:3" x14ac:dyDescent="0.25">
      <c r="A19008" s="8" t="str">
        <f>"Society of Petroleum Engineers - SPE/IADC Managed Pressure Drilling and Underbalanced Operations Conference and Exhibition 2013"</f>
        <v>Society of Petroleum Engineers - SPE/IADC Managed Pressure Drilling and Underbalanced Operations Conference and Exhibition 2013</v>
      </c>
      <c r="B19008" s="8" t="str">
        <f>"9781627482882"</f>
        <v>9781627482882</v>
      </c>
      <c r="C19008" s="8" t="s">
        <v>671</v>
      </c>
    </row>
    <row r="19009" spans="1:3" x14ac:dyDescent="0.25">
      <c r="A19009" s="8" t="str">
        <f>"Society of Petroleum Engineers - SPE/IATMI Asia Pacific Health Safety, Security and Environment Conference and Exhibition 2009, APHSSEC 09"</f>
        <v>Society of Petroleum Engineers - SPE/IATMI Asia Pacific Health Safety, Security and Environment Conference and Exhibition 2009, APHSSEC 09</v>
      </c>
      <c r="B19009" s="8" t="str">
        <f>"9781615675760"</f>
        <v>9781615675760</v>
      </c>
      <c r="C19009" s="8" t="s">
        <v>2335</v>
      </c>
    </row>
    <row r="19010" spans="1:3" x14ac:dyDescent="0.25">
      <c r="A19010" s="8" t="str">
        <f>"Society of Petroleum Engineers - SPE/IATMI Asia Pacific Oil and Gas Conference and Exhibition 2009, APOGCE 09"</f>
        <v>Society of Petroleum Engineers - SPE/IATMI Asia Pacific Oil and Gas Conference and Exhibition 2009, APOGCE 09</v>
      </c>
      <c r="B19010" s="8" t="str">
        <f>"9781615675746"</f>
        <v>9781615675746</v>
      </c>
      <c r="C19010" s="8" t="s">
        <v>671</v>
      </c>
    </row>
    <row r="19011" spans="1:3" x14ac:dyDescent="0.25">
      <c r="A19011" s="8" t="str">
        <f>"Society of Petroleum Engineers - SPETT Energy Conference and Exhibition 2012"</f>
        <v>Society of Petroleum Engineers - SPETT Energy Conference and Exhibition 2012</v>
      </c>
      <c r="B19011" s="8" t="str">
        <f>"9781622761357"</f>
        <v>9781622761357</v>
      </c>
      <c r="C19011" s="8" t="s">
        <v>671</v>
      </c>
    </row>
    <row r="19012" spans="1:3" x14ac:dyDescent="0.25">
      <c r="A19012" s="8" t="str">
        <f>"Society of Petroleum Engineers - Tight Gas Completions Conference 2008"</f>
        <v>Society of Petroleum Engineers - Tight Gas Completions Conference 2008</v>
      </c>
      <c r="B19012" s="8" t="str">
        <f>"9781605603421"</f>
        <v>9781605603421</v>
      </c>
      <c r="C19012" s="8" t="s">
        <v>671</v>
      </c>
    </row>
    <row r="19013" spans="1:3" x14ac:dyDescent="0.25">
      <c r="A19013" s="8" t="str">
        <f>"Society of Petroleum Engineers - Trinidad and Tobago Energy Resources Conference 2010, SPE TT 2010"</f>
        <v>Society of Petroleum Engineers - Trinidad and Tobago Energy Resources Conference 2010, SPE TT 2010</v>
      </c>
      <c r="B19013" s="8" t="str">
        <f>"9781617388859"</f>
        <v>9781617388859</v>
      </c>
      <c r="C19013" s="8" t="s">
        <v>671</v>
      </c>
    </row>
    <row r="19014" spans="1:3" x14ac:dyDescent="0.25">
      <c r="A19014" s="8" t="str">
        <f>"Society of Petroleum Engineers - Unconventional Reservoirs Conference 2008"</f>
        <v>Society of Petroleum Engineers - Unconventional Reservoirs Conference 2008</v>
      </c>
      <c r="B19014" s="8" t="str">
        <f>"9781605600796"</f>
        <v>9781605600796</v>
      </c>
      <c r="C19014" s="8" t="s">
        <v>671</v>
      </c>
    </row>
    <row r="19015" spans="1:3" x14ac:dyDescent="0.25">
      <c r="A19015" s="8" t="str">
        <f>"Society of Petroleum Engineers Coiled Tubing and Well Intervention Conference and Exhibition 2007"</f>
        <v>Society of Petroleum Engineers Coiled Tubing and Well Intervention Conference and Exhibition 2007</v>
      </c>
      <c r="B19015" s="8" t="str">
        <f>"-"</f>
        <v>-</v>
      </c>
      <c r="C19015" s="8" t="s">
        <v>671</v>
      </c>
    </row>
    <row r="19016" spans="1:3" x14ac:dyDescent="0.25">
      <c r="A19016" s="8" t="str">
        <f>"Society of Petroleum Engineers International Conference on Polyolefins 2005: The Challenges of Globalization"</f>
        <v>Society of Petroleum Engineers International Conference on Polyolefins 2005: The Challenges of Globalization</v>
      </c>
      <c r="B19016" s="8" t="str">
        <f>"-"</f>
        <v>-</v>
      </c>
      <c r="C19016" s="8" t="s">
        <v>671</v>
      </c>
    </row>
    <row r="19017" spans="1:3" x14ac:dyDescent="0.25">
      <c r="A19017" s="8" t="str">
        <f>"Society of Petroleum Engineers International Conference on Polyolefins 2006: From Reserves to Retailers - The Changes Confronting the Polyolefins Business Worldwide"</f>
        <v>Society of Petroleum Engineers International Conference on Polyolefins 2006: From Reserves to Retailers - The Changes Confronting the Polyolefins Business Worldwide</v>
      </c>
      <c r="B19017" s="8" t="str">
        <f>"-"</f>
        <v>-</v>
      </c>
      <c r="C19017" s="8" t="s">
        <v>671</v>
      </c>
    </row>
    <row r="19018" spans="1:3" x14ac:dyDescent="0.25">
      <c r="A19018" s="8" t="str">
        <f>"Society of Petroleum Engineers Nigeria Annual International Conference and Exhibition 2011"</f>
        <v>Society of Petroleum Engineers Nigeria Annual International Conference and Exhibition 2011</v>
      </c>
      <c r="B19018" s="8" t="str">
        <f>"9781618390943"</f>
        <v>9781618390943</v>
      </c>
      <c r="C19018" s="8" t="s">
        <v>671</v>
      </c>
    </row>
    <row r="19019" spans="1:3" x14ac:dyDescent="0.25">
      <c r="A19019" s="8" t="str">
        <f>"Society of Petroleum Engineers Western North American Regional Meeting 2010 - In Collaboration with the Joint Meetings of the Pacific Section AAPG and Cordilleran Section GSA"</f>
        <v>Society of Petroleum Engineers Western North American Regional Meeting 2010 - In Collaboration with the Joint Meetings of the Pacific Section AAPG and Cordilleran Section GSA</v>
      </c>
      <c r="B19019" s="8" t="str">
        <f>"9781617387722"</f>
        <v>9781617387722</v>
      </c>
      <c r="C19019" s="8" t="s">
        <v>671</v>
      </c>
    </row>
    <row r="19020" spans="1:3" x14ac:dyDescent="0.25">
      <c r="A19020" s="8" t="str">
        <f>"Society of Petroleum Engineers Western North American Regional Meeting 2011"</f>
        <v>Society of Petroleum Engineers Western North American Regional Meeting 2011</v>
      </c>
      <c r="B19020" s="8" t="str">
        <f>"9781617828829"</f>
        <v>9781617828829</v>
      </c>
      <c r="C19020" s="8" t="s">
        <v>671</v>
      </c>
    </row>
    <row r="19021" spans="1:3" x14ac:dyDescent="0.25">
      <c r="A19021" s="8" t="str">
        <f>"Society of Petroleum Engineers Western Regional Meeting 2012"</f>
        <v>Society of Petroleum Engineers Western Regional Meeting 2012</v>
      </c>
      <c r="B19021" s="8" t="str">
        <f>"9781618399298"</f>
        <v>9781618399298</v>
      </c>
      <c r="C19021" s="8" t="s">
        <v>671</v>
      </c>
    </row>
    <row r="19022" spans="1:3" x14ac:dyDescent="0.25">
      <c r="A19022" s="8" t="str">
        <f>"Society of Plastic Engineers - Automotive TPO Global Conference 2007"</f>
        <v>Society of Plastic Engineers - Automotive TPO Global Conference 2007</v>
      </c>
      <c r="B19022" s="8" t="str">
        <f>"-"</f>
        <v>-</v>
      </c>
      <c r="C19022" s="8" t="s">
        <v>132</v>
      </c>
    </row>
    <row r="19023" spans="1:3" x14ac:dyDescent="0.25">
      <c r="A19023" s="8" t="str">
        <f>"Society of Plastics Engineers - 10th Annual Automotive Composites Conference and Exhibition 2010, ACCE 2010"</f>
        <v>Society of Plastics Engineers - 10th Annual Automotive Composites Conference and Exhibition 2010, ACCE 2010</v>
      </c>
      <c r="B19023" s="8" t="str">
        <f>"9781618390240"</f>
        <v>9781618390240</v>
      </c>
      <c r="C19023" s="8" t="s">
        <v>132</v>
      </c>
    </row>
    <row r="19024" spans="1:3" x14ac:dyDescent="0.25">
      <c r="A19024" s="8" t="str">
        <f>"Society of Plastics Engineers - 10th International Conference on Foam Materials and Technology, FOAMS 2012"</f>
        <v>Society of Plastics Engineers - 10th International Conference on Foam Materials and Technology, FOAMS 2012</v>
      </c>
      <c r="B19024" s="8" t="str">
        <f>"9781510808379"</f>
        <v>9781510808379</v>
      </c>
      <c r="C19024" s="8" t="s">
        <v>132</v>
      </c>
    </row>
    <row r="19025" spans="1:3" x14ac:dyDescent="0.25">
      <c r="A19025" s="8" t="str">
        <f>"Society of Plastics Engineers - 11th-Annual Automotive Composites Conference and Exhibition, ACCE 2011"</f>
        <v>Society of Plastics Engineers - 11th-Annual Automotive Composites Conference and Exhibition, ACCE 2011</v>
      </c>
      <c r="B19025" s="8" t="str">
        <f>"-"</f>
        <v>-</v>
      </c>
      <c r="C19025" s="8" t="s">
        <v>132</v>
      </c>
    </row>
    <row r="19026" spans="1:3" x14ac:dyDescent="0.25">
      <c r="A19026" s="8" t="str">
        <f>"Society of Plastics Engineers - 11th-Annual SPE TPO Conference - The World's Leading Automotive Olefins Forum"</f>
        <v>Society of Plastics Engineers - 11th-Annual SPE TPO Conference - The World's Leading Automotive Olefins Forum</v>
      </c>
      <c r="B19026" s="8" t="str">
        <f>"-"</f>
        <v>-</v>
      </c>
      <c r="C19026" s="8" t="s">
        <v>132</v>
      </c>
    </row>
    <row r="19027" spans="1:3" x14ac:dyDescent="0.25">
      <c r="A19027" s="8" t="str">
        <f>"Society of Plastics Engineers - 12th International Conference on Foam Materials and Technology, FOAMS 2014"</f>
        <v>Society of Plastics Engineers - 12th International Conference on Foam Materials and Technology, FOAMS 2014</v>
      </c>
      <c r="B19027" s="8" t="str">
        <f>"9781510808348"</f>
        <v>9781510808348</v>
      </c>
      <c r="C19027" s="8" t="s">
        <v>132</v>
      </c>
    </row>
    <row r="19028" spans="1:3" x14ac:dyDescent="0.25">
      <c r="A19028" s="8" t="str">
        <f>"Society of Plastics Engineers - 13th Annual Automotive Composites Conference and Exhibition, ACCE 2013"</f>
        <v>Society of Plastics Engineers - 13th Annual Automotive Composites Conference and Exhibition, ACCE 2013</v>
      </c>
      <c r="B19028" s="8" t="str">
        <f t="shared" ref="B19028:B19033" si="38">"-"</f>
        <v>-</v>
      </c>
      <c r="C19028" s="8" t="s">
        <v>132</v>
      </c>
    </row>
    <row r="19029" spans="1:3" x14ac:dyDescent="0.25">
      <c r="A19029" s="8" t="str">
        <f>"Society of Plastics Engineers - 14th-Annual SPE TPO Automotive Engineered Polyolefins Conference"</f>
        <v>Society of Plastics Engineers - 14th-Annual SPE TPO Automotive Engineered Polyolefins Conference</v>
      </c>
      <c r="B19029" s="8" t="str">
        <f t="shared" si="38"/>
        <v>-</v>
      </c>
      <c r="C19029" s="8" t="s">
        <v>132</v>
      </c>
    </row>
    <row r="19030" spans="1:3" x14ac:dyDescent="0.25">
      <c r="A19030" s="8" t="str">
        <f>"Society of Plastics Engineers - 2013 SPE International Polyolefins Conference"</f>
        <v>Society of Plastics Engineers - 2013 SPE International Polyolefins Conference</v>
      </c>
      <c r="B19030" s="8" t="str">
        <f t="shared" si="38"/>
        <v>-</v>
      </c>
      <c r="C19030" s="8" t="s">
        <v>132</v>
      </c>
    </row>
    <row r="19031" spans="1:3" x14ac:dyDescent="0.25">
      <c r="A19031" s="8" t="str">
        <f>"Society of Plastics Engineers - 25th Annual Blow Molding Conference, ABC 2009"</f>
        <v>Society of Plastics Engineers - 25th Annual Blow Molding Conference, ABC 2009</v>
      </c>
      <c r="B19031" s="8" t="str">
        <f t="shared" si="38"/>
        <v>-</v>
      </c>
      <c r="C19031" s="8" t="s">
        <v>132</v>
      </c>
    </row>
    <row r="19032" spans="1:3" x14ac:dyDescent="0.25">
      <c r="A19032" s="8" t="str">
        <f>"Society of Plastics Engineers - 26th Annual Blow Molding Conference, ABC 2010"</f>
        <v>Society of Plastics Engineers - 26th Annual Blow Molding Conference, ABC 2010</v>
      </c>
      <c r="B19032" s="8" t="str">
        <f t="shared" si="38"/>
        <v>-</v>
      </c>
      <c r="C19032" s="8" t="s">
        <v>132</v>
      </c>
    </row>
    <row r="19033" spans="1:3" x14ac:dyDescent="0.25">
      <c r="A19033" s="8" t="str">
        <f>"Society of Plastics Engineers - 27th Annual Blow Molding Conference, ABC 2011"</f>
        <v>Society of Plastics Engineers - 27th Annual Blow Molding Conference, ABC 2011</v>
      </c>
      <c r="B19033" s="8" t="str">
        <f t="shared" si="38"/>
        <v>-</v>
      </c>
      <c r="C19033" s="8" t="s">
        <v>132</v>
      </c>
    </row>
    <row r="19034" spans="1:3" x14ac:dyDescent="0.25">
      <c r="A19034" s="8" t="str">
        <f>"Society of Plastics Engineers - 29th Annual Blow Molding Conference 2013: The Global Intersection of Blow Molding"</f>
        <v>Society of Plastics Engineers - 29th Annual Blow Molding Conference 2013: The Global Intersection of Blow Molding</v>
      </c>
      <c r="B19034" s="8" t="str">
        <f>"9781634391900"</f>
        <v>9781634391900</v>
      </c>
      <c r="C19034" s="8" t="s">
        <v>132</v>
      </c>
    </row>
    <row r="19035" spans="1:3" x14ac:dyDescent="0.25">
      <c r="A19035" s="8" t="str">
        <f>"Society of Plastics Engineers - 7th Annual SPE Polymer Nanocomposites Conference: Processing, Properties and Applications"</f>
        <v>Society of Plastics Engineers - 7th Annual SPE Polymer Nanocomposites Conference: Processing, Properties and Applications</v>
      </c>
      <c r="B19035" s="8" t="str">
        <f>"-"</f>
        <v>-</v>
      </c>
      <c r="C19035" s="8" t="s">
        <v>132</v>
      </c>
    </row>
    <row r="19036" spans="1:3" x14ac:dyDescent="0.25">
      <c r="A19036" s="8" t="str">
        <f>"Society of Plastics Engineers - 7th European Conference on Additives and Colors"</f>
        <v>Society of Plastics Engineers - 7th European Conference on Additives and Colors</v>
      </c>
      <c r="B19036" s="8" t="str">
        <f>"-"</f>
        <v>-</v>
      </c>
      <c r="C19036" s="8" t="s">
        <v>132</v>
      </c>
    </row>
    <row r="19037" spans="1:3" x14ac:dyDescent="0.25">
      <c r="A19037" s="8" t="str">
        <f>"Society of Plastics Engineers - 8th European Conference on Additives and Colors"</f>
        <v>Society of Plastics Engineers - 8th European Conference on Additives and Colors</v>
      </c>
      <c r="B19037" s="8" t="str">
        <f>"-"</f>
        <v>-</v>
      </c>
      <c r="C19037" s="8" t="s">
        <v>132</v>
      </c>
    </row>
    <row r="19038" spans="1:3" x14ac:dyDescent="0.25">
      <c r="A19038" s="8" t="str">
        <f>"Society of Plastics Engineers - 8th Thermoplastic Elastomers Topical Conference 2007, TPE TopCon"</f>
        <v>Society of Plastics Engineers - 8th Thermoplastic Elastomers Topical Conference 2007, TPE TopCon</v>
      </c>
      <c r="B19038" s="8" t="str">
        <f>"9781604239010"</f>
        <v>9781604239010</v>
      </c>
      <c r="C19038" s="8" t="s">
        <v>597</v>
      </c>
    </row>
    <row r="19039" spans="1:3" x14ac:dyDescent="0.25">
      <c r="A19039" s="8" t="str">
        <f>"Society of Plastics Engineers - 9th Thermoplastic Elastomers, TPE TOPCON 2010"</f>
        <v>Society of Plastics Engineers - 9th Thermoplastic Elastomers, TPE TOPCON 2010</v>
      </c>
      <c r="B19039" s="8" t="str">
        <f>"-"</f>
        <v>-</v>
      </c>
      <c r="C19039" s="8" t="s">
        <v>132</v>
      </c>
    </row>
    <row r="19040" spans="1:3" x14ac:dyDescent="0.25">
      <c r="A19040" s="8" t="str">
        <f>"Society of Plastics Engineers - Annual Blow Molding Conference, ABC 2005"</f>
        <v>Society of Plastics Engineers - Annual Blow Molding Conference, ABC 2005</v>
      </c>
      <c r="B19040" s="8" t="str">
        <f>"9781604238983"</f>
        <v>9781604238983</v>
      </c>
      <c r="C19040" s="8" t="s">
        <v>132</v>
      </c>
    </row>
    <row r="19041" spans="1:3" x14ac:dyDescent="0.25">
      <c r="A19041" s="8" t="str">
        <f>"Society of Plastics Engineers - Annual Blow Molding Conference, ABC 2007"</f>
        <v>Society of Plastics Engineers - Annual Blow Molding Conference, ABC 2007</v>
      </c>
      <c r="B19041" s="8" t="str">
        <f>"9781605601458"</f>
        <v>9781605601458</v>
      </c>
      <c r="C19041" s="8" t="s">
        <v>132</v>
      </c>
    </row>
    <row r="19042" spans="1:3" x14ac:dyDescent="0.25">
      <c r="A19042" s="8" t="str">
        <f>"Society of Plastics Engineers - Coextrusion TOPCON 2008"</f>
        <v>Society of Plastics Engineers - Coextrusion TOPCON 2008</v>
      </c>
      <c r="B19042" s="8" t="str">
        <f>"9781615670369"</f>
        <v>9781615670369</v>
      </c>
      <c r="C19042" s="8" t="s">
        <v>132</v>
      </c>
    </row>
    <row r="19043" spans="1:3" x14ac:dyDescent="0.25">
      <c r="A19043" s="8" t="str">
        <f>"Society of Plastics Engineers - Color and Appearance Division Regional Technical Conference 2008, CAD RETEC 2008: Driving Color Into the Next Decade"</f>
        <v>Society of Plastics Engineers - Color and Appearance Division Regional Technical Conference 2008, CAD RETEC 2008: Driving Color Into the Next Decade</v>
      </c>
      <c r="B19043" s="8" t="str">
        <f>"9781615670383"</f>
        <v>9781615670383</v>
      </c>
      <c r="C19043" s="8" t="s">
        <v>132</v>
      </c>
    </row>
    <row r="19044" spans="1:3" x14ac:dyDescent="0.25">
      <c r="A19044" s="8" t="str">
        <f>"Society of Plastics Engineers - Color and Appearance Division Regional Technical Conference: Color and Appearance 2010, CAD RETEC 2010"</f>
        <v>Society of Plastics Engineers - Color and Appearance Division Regional Technical Conference: Color and Appearance 2010, CAD RETEC 2010</v>
      </c>
      <c r="B19044" s="8" t="str">
        <f>"-"</f>
        <v>-</v>
      </c>
      <c r="C19044" s="8" t="s">
        <v>132</v>
      </c>
    </row>
    <row r="19045" spans="1:3" x14ac:dyDescent="0.25">
      <c r="A19045" s="8" t="str">
        <f>"Society of Plastics Engineers - EUROTEC 2011 Conference Proceedings"</f>
        <v>Society of Plastics Engineers - EUROTEC 2011 Conference Proceedings</v>
      </c>
      <c r="B19045" s="8" t="str">
        <f>"-"</f>
        <v>-</v>
      </c>
      <c r="C19045" s="8" t="s">
        <v>132</v>
      </c>
    </row>
    <row r="19046" spans="1:3" x14ac:dyDescent="0.25">
      <c r="A19046" s="8" t="str">
        <f>"Society of Plastics Engineers - Flexible Packaging Conference, FlexPackCon 2014"</f>
        <v>Society of Plastics Engineers - Flexible Packaging Conference, FlexPackCon 2014</v>
      </c>
      <c r="B19046" s="8" t="str">
        <f>"9781634397094"</f>
        <v>9781634397094</v>
      </c>
      <c r="C19046" s="8" t="s">
        <v>132</v>
      </c>
    </row>
    <row r="19047" spans="1:3" x14ac:dyDescent="0.25">
      <c r="A19047" s="8" t="str">
        <f>"Society of Plastics Engineers - FOAMS 2010, 8th International Conference on Foam Materials and Technology"</f>
        <v>Society of Plastics Engineers - FOAMS 2010, 8th International Conference on Foam Materials and Technology</v>
      </c>
      <c r="B19047" s="8" t="str">
        <f>"-"</f>
        <v>-</v>
      </c>
      <c r="C19047" s="8" t="s">
        <v>132</v>
      </c>
    </row>
    <row r="19048" spans="1:3" x14ac:dyDescent="0.25">
      <c r="A19048" s="8" t="str">
        <f>"Society of Plastics Engineers - Global Plastics Environmental Conference 2009, GPEC 2009"</f>
        <v>Society of Plastics Engineers - Global Plastics Environmental Conference 2009, GPEC 2009</v>
      </c>
      <c r="B19048" s="8" t="str">
        <f>"9781615670642"</f>
        <v>9781615670642</v>
      </c>
      <c r="C19048" s="8" t="s">
        <v>132</v>
      </c>
    </row>
    <row r="19049" spans="1:3" x14ac:dyDescent="0.25">
      <c r="A19049" s="8" t="str">
        <f>"Society of Plastics Engineers - Global Plastics Environmental Conference 2010, GPEC 2010"</f>
        <v>Society of Plastics Engineers - Global Plastics Environmental Conference 2010, GPEC 2010</v>
      </c>
      <c r="B19049" s="8" t="str">
        <f>"-"</f>
        <v>-</v>
      </c>
      <c r="C19049" s="8" t="s">
        <v>132</v>
      </c>
    </row>
    <row r="19050" spans="1:3" x14ac:dyDescent="0.25">
      <c r="A19050" s="8" t="str">
        <f>"Society of Plastics Engineers - Global Plastics Environmental Conference 2011, GPEC 2011"</f>
        <v>Society of Plastics Engineers - Global Plastics Environmental Conference 2011, GPEC 2011</v>
      </c>
      <c r="B19050" s="8" t="str">
        <f>"-"</f>
        <v>-</v>
      </c>
      <c r="C19050" s="8" t="s">
        <v>132</v>
      </c>
    </row>
    <row r="19051" spans="1:3" x14ac:dyDescent="0.25">
      <c r="A19051" s="8" t="str">
        <f>"Society of Plastics Engineers - Global Plastics Environmental Conference GPEC 2006"</f>
        <v>Society of Plastics Engineers - Global Plastics Environmental Conference GPEC 2006</v>
      </c>
      <c r="B19051" s="8" t="str">
        <f>"9781604233094"</f>
        <v>9781604233094</v>
      </c>
      <c r="C19051" s="8" t="s">
        <v>132</v>
      </c>
    </row>
    <row r="19052" spans="1:3" x14ac:dyDescent="0.25">
      <c r="A19052" s="8" t="str">
        <f>"Society of Plastics Engineers - Global Plastics Environmental Conference, GPEC 2007 - Environmental Innovation: Plastics Recycling and Sustainability"</f>
        <v>Society of Plastics Engineers - Global Plastics Environmental Conference, GPEC 2007 - Environmental Innovation: Plastics Recycling and Sustainability</v>
      </c>
      <c r="B19052" s="8" t="str">
        <f>"9781604238945"</f>
        <v>9781604238945</v>
      </c>
      <c r="C19052" s="8" t="s">
        <v>132</v>
      </c>
    </row>
    <row r="19053" spans="1:3" x14ac:dyDescent="0.25">
      <c r="A19053" s="8" t="str">
        <f>"Society of Plastics Engineers - Global Plastics Environmental Conference, GPEC 2008"</f>
        <v>Society of Plastics Engineers - Global Plastics Environmental Conference, GPEC 2008</v>
      </c>
      <c r="B19053" s="8" t="str">
        <f>"9781615673261"</f>
        <v>9781615673261</v>
      </c>
      <c r="C19053" s="8" t="s">
        <v>132</v>
      </c>
    </row>
    <row r="19054" spans="1:3" x14ac:dyDescent="0.25">
      <c r="A19054" s="8" t="str">
        <f>"Society of Plastics Engineers - International Polyolefins Conference - FLEXPACKCON 2008"</f>
        <v>Society of Plastics Engineers - International Polyolefins Conference - FLEXPACKCON 2008</v>
      </c>
      <c r="B19054" s="8" t="str">
        <f>"9781605603438"</f>
        <v>9781605603438</v>
      </c>
      <c r="C19054" s="8" t="s">
        <v>132</v>
      </c>
    </row>
    <row r="19055" spans="1:3" x14ac:dyDescent="0.25">
      <c r="A19055" s="8" t="str">
        <f>"Society of Plastics Engineers - International Polyolefins Conference - FLEXPACKCON 2009"</f>
        <v>Society of Plastics Engineers - International Polyolefins Conference - FLEXPACKCON 2009</v>
      </c>
      <c r="B19055" s="8" t="str">
        <f>"9781615670482"</f>
        <v>9781615670482</v>
      </c>
      <c r="C19055" s="8" t="s">
        <v>132</v>
      </c>
    </row>
    <row r="19056" spans="1:3" x14ac:dyDescent="0.25">
      <c r="A19056" s="8" t="str">
        <f>"Society of Plastics Engineers - Modern Moldmaking Techniques Conference"</f>
        <v>Society of Plastics Engineers - Modern Moldmaking Techniques Conference</v>
      </c>
      <c r="B19056" s="8" t="str">
        <f>"-"</f>
        <v>-</v>
      </c>
      <c r="C19056" s="8" t="s">
        <v>132</v>
      </c>
    </row>
    <row r="19057" spans="1:3" x14ac:dyDescent="0.25">
      <c r="A19057" s="8" t="str">
        <f>"Society of Plastics Engineers - Regional Technical Conference of the SPE Color and Appearance Division CAD RETEC 2005"</f>
        <v>Society of Plastics Engineers - Regional Technical Conference of the SPE Color and Appearance Division CAD RETEC 2005</v>
      </c>
      <c r="B19057" s="8" t="str">
        <f>"9781604233391"</f>
        <v>9781604233391</v>
      </c>
      <c r="C19057" s="8" t="s">
        <v>132</v>
      </c>
    </row>
    <row r="19058" spans="1:3" x14ac:dyDescent="0.25">
      <c r="A19058" s="8" t="str">
        <f>"Society of Plastics Engineers - Regional Technical Conference of the SPE Color and Appearance Division, CAD RETEC 2006 - Back to Basics"</f>
        <v>Society of Plastics Engineers - Regional Technical Conference of the SPE Color and Appearance Division, CAD RETEC 2006 - Back to Basics</v>
      </c>
      <c r="B19058" s="8" t="str">
        <f>"9781604238990"</f>
        <v>9781604238990</v>
      </c>
      <c r="C19058" s="8" t="s">
        <v>132</v>
      </c>
    </row>
    <row r="19059" spans="1:3" x14ac:dyDescent="0.25">
      <c r="A19059" s="8" t="str">
        <f>"Society of Plastics Engineers - Regional Technical Conference of the SPE Color and Appearance Division, CAD RETEC 2007 - Remember the Color"</f>
        <v>Society of Plastics Engineers - Regional Technical Conference of the SPE Color and Appearance Division, CAD RETEC 2007 - Remember the Color</v>
      </c>
      <c r="B19059" s="8" t="str">
        <f>"9781604238600"</f>
        <v>9781604238600</v>
      </c>
      <c r="C19059" s="8" t="s">
        <v>132</v>
      </c>
    </row>
    <row r="19060" spans="1:3" x14ac:dyDescent="0.25">
      <c r="A19060" s="8" t="str">
        <f>"Society of Plastics Engineers - SPE 2012 Polyolefins and FlexPack Conference"</f>
        <v>Society of Plastics Engineers - SPE 2012 Polyolefins and FlexPack Conference</v>
      </c>
      <c r="B19060" s="8" t="str">
        <f>"-"</f>
        <v>-</v>
      </c>
      <c r="C19060" s="8" t="s">
        <v>132</v>
      </c>
    </row>
    <row r="19061" spans="1:3" x14ac:dyDescent="0.25">
      <c r="A19061" s="8" t="str">
        <f>"Society of Plastics Engineers - SPE Decorating and Assembly 2012 Topical Conference: Innovation . American Ingenuity, TopCon 2012"</f>
        <v>Society of Plastics Engineers - SPE Decorating and Assembly 2012 Topical Conference: Innovation . American Ingenuity, TopCon 2012</v>
      </c>
      <c r="B19061" s="8" t="str">
        <f>"-"</f>
        <v>-</v>
      </c>
      <c r="C19061" s="8" t="s">
        <v>132</v>
      </c>
    </row>
    <row r="19062" spans="1:3" x14ac:dyDescent="0.25">
      <c r="A19062" s="8" t="str">
        <f>"Society of Plastics Engineers - SPE International Polyolefins Conference 2014"</f>
        <v>Society of Plastics Engineers - SPE International Polyolefins Conference 2014</v>
      </c>
      <c r="B19062" s="8" t="str">
        <f>"9781634397117"</f>
        <v>9781634397117</v>
      </c>
      <c r="C19062" s="8" t="s">
        <v>132</v>
      </c>
    </row>
    <row r="19063" spans="1:3" x14ac:dyDescent="0.25">
      <c r="A19063" s="8" t="str">
        <f>"Society of Plastics Engineers - Technical Conference and Exhibition of the Society of Plastics Engineers, ANTEC DUBAI 2014"</f>
        <v>Society of Plastics Engineers - Technical Conference and Exhibition of the Society of Plastics Engineers, ANTEC DUBAI 2014</v>
      </c>
      <c r="B19063" s="8" t="str">
        <f>"9781634397179"</f>
        <v>9781634397179</v>
      </c>
      <c r="C19063" s="8" t="s">
        <v>132</v>
      </c>
    </row>
    <row r="19064" spans="1:3" x14ac:dyDescent="0.25">
      <c r="A19064" s="8" t="str">
        <f>"Society of Plastics Engineers - The Three Rivers of Success - Innovation, Efficiency and Sustainability: 28th Annual Blow Molding Conference, ABC 2012"</f>
        <v>Society of Plastics Engineers - The Three Rivers of Success - Innovation, Efficiency and Sustainability: 28th Annual Blow Molding Conference, ABC 2012</v>
      </c>
      <c r="B19064" s="8" t="str">
        <f>"-"</f>
        <v>-</v>
      </c>
      <c r="C19064" s="8" t="s">
        <v>132</v>
      </c>
    </row>
    <row r="19065" spans="1:3" x14ac:dyDescent="0.25">
      <c r="A19065" s="8" t="str">
        <f>"Society of Plastics Engineers - TOPCON, Thermoplastic Elastomers 10th Topical Conference - Open to Innovation: Expanding Markets, Materials and Applications"</f>
        <v>Society of Plastics Engineers - TOPCON, Thermoplastic Elastomers 10th Topical Conference - Open to Innovation: Expanding Markets, Materials and Applications</v>
      </c>
      <c r="B19065" s="8" t="str">
        <f>"-"</f>
        <v>-</v>
      </c>
      <c r="C19065" s="8" t="s">
        <v>132</v>
      </c>
    </row>
    <row r="19066" spans="1:3" x14ac:dyDescent="0.25">
      <c r="A19066" s="8" t="str">
        <f>"Society of Plastics Engineers - Topical Conference on Polymer Nanocomposites 2008"</f>
        <v>Society of Plastics Engineers - Topical Conference on Polymer Nanocomposites 2008</v>
      </c>
      <c r="B19066" s="8" t="str">
        <f>"9781615670390"</f>
        <v>9781615670390</v>
      </c>
      <c r="C19066" s="8" t="s">
        <v>132</v>
      </c>
    </row>
    <row r="19067" spans="1:3" x14ac:dyDescent="0.25">
      <c r="A19067" s="8" t="str">
        <f>"Society of Plastics Engineers - VINYLTEC 2010: PVC - Meeting the Challenges of the Future"</f>
        <v>Society of Plastics Engineers - VINYLTEC 2010: PVC - Meeting the Challenges of the Future</v>
      </c>
      <c r="B19067" s="8" t="str">
        <f t="shared" ref="B19067:B19077" si="39">"-"</f>
        <v>-</v>
      </c>
      <c r="C19067" s="8" t="s">
        <v>132</v>
      </c>
    </row>
    <row r="19068" spans="1:3" x14ac:dyDescent="0.25">
      <c r="A19068" s="8" t="str">
        <f>"Society of Plastics Engineers - VINYLTEC 2011: Issues Affecting Vinyl Worldwide"</f>
        <v>Society of Plastics Engineers - VINYLTEC 2011: Issues Affecting Vinyl Worldwide</v>
      </c>
      <c r="B19068" s="8" t="str">
        <f t="shared" si="39"/>
        <v>-</v>
      </c>
      <c r="C19068" s="8" t="s">
        <v>132</v>
      </c>
    </row>
    <row r="19069" spans="1:3" x14ac:dyDescent="0.25">
      <c r="A19069" s="8" t="str">
        <f>"Society of Plastics Engineers, 7th Thermoplastic Elastomers Topical Conference 2005 - Expanding Materials Applications and Markets"</f>
        <v>Society of Plastics Engineers, 7th Thermoplastic Elastomers Topical Conference 2005 - Expanding Materials Applications and Markets</v>
      </c>
      <c r="B19069" s="8" t="str">
        <f t="shared" si="39"/>
        <v>-</v>
      </c>
      <c r="C19069" s="8" t="s">
        <v>132</v>
      </c>
    </row>
    <row r="19070" spans="1:3" x14ac:dyDescent="0.25">
      <c r="A19070" s="8" t="str">
        <f>"Society of Plastics Engineers, Automotive Thermoplastic Polyolefins (TPO) Global Conference 2005"</f>
        <v>Society of Plastics Engineers, Automotive Thermoplastic Polyolefins (TPO) Global Conference 2005</v>
      </c>
      <c r="B19070" s="8" t="str">
        <f t="shared" si="39"/>
        <v>-</v>
      </c>
      <c r="C19070" s="8" t="s">
        <v>132</v>
      </c>
    </row>
    <row r="19071" spans="1:3" x14ac:dyDescent="0.25">
      <c r="A19071" s="8" t="str">
        <f>"Society of Plastics Engineers, Flexible Packaging Conference, FLEXPACKCON 2006"</f>
        <v>Society of Plastics Engineers, Flexible Packaging Conference, FLEXPACKCON 2006</v>
      </c>
      <c r="B19071" s="8" t="str">
        <f t="shared" si="39"/>
        <v>-</v>
      </c>
      <c r="C19071" s="8" t="s">
        <v>132</v>
      </c>
    </row>
    <row r="19072" spans="1:3" x14ac:dyDescent="0.25">
      <c r="A19072" s="8" t="str">
        <f>"Society of Plastics Engineers, Joining of Medical Plastics-Welding, Bonding, and Failure Prevention 2005"</f>
        <v>Society of Plastics Engineers, Joining of Medical Plastics-Welding, Bonding, and Failure Prevention 2005</v>
      </c>
      <c r="B19072" s="8" t="str">
        <f t="shared" si="39"/>
        <v>-</v>
      </c>
      <c r="C19072" s="8" t="s">
        <v>132</v>
      </c>
    </row>
    <row r="19073" spans="1:3" x14ac:dyDescent="0.25">
      <c r="A19073" s="8" t="str">
        <f>"Society of Plastics Engineers, Proceedings of the 4th European Additives and Colors Conference 2005"</f>
        <v>Society of Plastics Engineers, Proceedings of the 4th European Additives and Colors Conference 2005</v>
      </c>
      <c r="B19073" s="8" t="str">
        <f t="shared" si="39"/>
        <v>-</v>
      </c>
      <c r="C19073" s="8" t="s">
        <v>132</v>
      </c>
    </row>
    <row r="19074" spans="1:3" x14ac:dyDescent="0.25">
      <c r="A19074" s="8" t="str">
        <f>"Society of Plastics Engineers, SPE - 2004 Rotational Molding by Design Conference"</f>
        <v>Society of Plastics Engineers, SPE - 2004 Rotational Molding by Design Conference</v>
      </c>
      <c r="B19074" s="8" t="str">
        <f t="shared" si="39"/>
        <v>-</v>
      </c>
      <c r="C19074" s="8" t="s">
        <v>132</v>
      </c>
    </row>
    <row r="19075" spans="1:3" x14ac:dyDescent="0.25">
      <c r="A19075" s="8" t="str">
        <f>"Society of Plastics Engineers, SPE Automotive TPO Global Conference 2006"</f>
        <v>Society of Plastics Engineers, SPE Automotive TPO Global Conference 2006</v>
      </c>
      <c r="B19075" s="8" t="str">
        <f t="shared" si="39"/>
        <v>-</v>
      </c>
      <c r="C19075" s="8" t="s">
        <v>132</v>
      </c>
    </row>
    <row r="19076" spans="1:3" x14ac:dyDescent="0.25">
      <c r="A19076" s="8" t="str">
        <f>"Society of Plastics Engineers, Vinyltec 2005"</f>
        <v>Society of Plastics Engineers, Vinyltec 2005</v>
      </c>
      <c r="B19076" s="8" t="str">
        <f t="shared" si="39"/>
        <v>-</v>
      </c>
      <c r="C19076" s="8" t="s">
        <v>132</v>
      </c>
    </row>
    <row r="19077" spans="1:3" x14ac:dyDescent="0.25">
      <c r="A19077" s="8" t="str">
        <f>"Society of Plastics Engineers, Vinyltec 2006: New Advances in Flexible PVC"</f>
        <v>Society of Plastics Engineers, Vinyltec 2006: New Advances in Flexible PVC</v>
      </c>
      <c r="B19077" s="8" t="str">
        <f t="shared" si="39"/>
        <v>-</v>
      </c>
      <c r="C19077" s="8" t="s">
        <v>132</v>
      </c>
    </row>
    <row r="19078" spans="1:3" x14ac:dyDescent="0.25">
      <c r="A19078" s="8" t="str">
        <f>"Society of Tribologists and Lubrication Engineers Annual Meeting and Exhibition 2009"</f>
        <v>Society of Tribologists and Lubrication Engineers Annual Meeting and Exhibition 2009</v>
      </c>
      <c r="B19078" s="8" t="str">
        <f>"9781615674374"</f>
        <v>9781615674374</v>
      </c>
      <c r="C19078" s="8" t="s">
        <v>2335</v>
      </c>
    </row>
    <row r="19079" spans="1:3" x14ac:dyDescent="0.25">
      <c r="A19079" s="8" t="str">
        <f>"Society of Tribologists and Lubrication Engineers Annual Meeting and Exhibition 2014"</f>
        <v>Society of Tribologists and Lubrication Engineers Annual Meeting and Exhibition 2014</v>
      </c>
      <c r="B19079" s="8" t="str">
        <f>"-"</f>
        <v>-</v>
      </c>
      <c r="C19079" s="8" t="s">
        <v>2335</v>
      </c>
    </row>
    <row r="19080" spans="1:3" x14ac:dyDescent="0.25">
      <c r="A19080" s="8" t="str">
        <f>"Society of Tribologists and Lubrication Engineers Annual Meeting and Exhibition 2015"</f>
        <v>Society of Tribologists and Lubrication Engineers Annual Meeting and Exhibition 2015</v>
      </c>
      <c r="B19080" s="8" t="str">
        <f>"9781510811584"</f>
        <v>9781510811584</v>
      </c>
      <c r="C19080" s="8" t="s">
        <v>2335</v>
      </c>
    </row>
    <row r="19081" spans="1:3" x14ac:dyDescent="0.25">
      <c r="A19081" s="8" t="str">
        <f>"SoCPaR 2009 - Soft Computing and Pattern Recognition"</f>
        <v>SoCPaR 2009 - Soft Computing and Pattern Recognition</v>
      </c>
      <c r="B19081" s="8" t="str">
        <f>"9780769538792"</f>
        <v>9780769538792</v>
      </c>
      <c r="C19081" s="8" t="s">
        <v>9</v>
      </c>
    </row>
    <row r="19082" spans="1:3" x14ac:dyDescent="0.25">
      <c r="A19082" s="8" t="str">
        <f>"SOFA 2007 - 2nd IEEE International Workshop on Soft Computing Applications Proceedings"</f>
        <v>SOFA 2007 - 2nd IEEE International Workshop on Soft Computing Applications Proceedings</v>
      </c>
      <c r="B19082" s="8" t="str">
        <f>"9781424416080"</f>
        <v>9781424416080</v>
      </c>
      <c r="C19082" s="8" t="s">
        <v>9</v>
      </c>
    </row>
    <row r="19083" spans="1:3" x14ac:dyDescent="0.25">
      <c r="A19083" s="8" t="str">
        <f>"SOFA 2010 - 4th International Workshop on Soft Computing Applications, Proceedings"</f>
        <v>SOFA 2010 - 4th International Workshop on Soft Computing Applications, Proceedings</v>
      </c>
      <c r="B19083" s="8" t="str">
        <f>"9781424479849"</f>
        <v>9781424479849</v>
      </c>
      <c r="C19083" s="8" t="s">
        <v>9</v>
      </c>
    </row>
    <row r="19084" spans="1:3" x14ac:dyDescent="0.25">
      <c r="A19084" s="8" t="str">
        <f>"Soft Computing with Industrial Applications - Proceedings of the Sixth Biannual World Automation Congress"</f>
        <v>Soft Computing with Industrial Applications - Proceedings of the Sixth Biannual World Automation Congress</v>
      </c>
      <c r="B19084" s="8" t="str">
        <f>"9781889335230"</f>
        <v>9781889335230</v>
      </c>
      <c r="C19084" s="8" t="s">
        <v>1899</v>
      </c>
    </row>
    <row r="19085" spans="1:3" x14ac:dyDescent="0.25">
      <c r="A19085" s="8" t="str">
        <f>"SoftCOM 2006 - International Conference on Software, Telecommunications andComputer Networks"</f>
        <v>SoftCOM 2006 - International Conference on Software, Telecommunications andComputer Networks</v>
      </c>
      <c r="B19085" s="8" t="str">
        <f>"9789536114870"</f>
        <v>9789536114870</v>
      </c>
      <c r="C19085" s="8" t="s">
        <v>9</v>
      </c>
    </row>
    <row r="19086" spans="1:3" x14ac:dyDescent="0.25">
      <c r="A19086" s="8" t="str">
        <f>"SoftCom 2008: 16th International Conference on Software, Telecommuncations and Computer Networks"</f>
        <v>SoftCom 2008: 16th International Conference on Software, Telecommuncations and Computer Networks</v>
      </c>
      <c r="B19086" s="8" t="str">
        <f>"9789532900071"</f>
        <v>9789532900071</v>
      </c>
      <c r="C19086" s="8" t="s">
        <v>9</v>
      </c>
    </row>
    <row r="19087" spans="1:3" x14ac:dyDescent="0.25">
      <c r="A19087" s="8" t="str">
        <f>"SoftCOM 2009 - 17th International Conference on Software, Telecommunications and Computer Networks"</f>
        <v>SoftCOM 2009 - 17th International Conference on Software, Telecommunications and Computer Networks</v>
      </c>
      <c r="B19087" s="8" t="str">
        <f>"9789532900132"</f>
        <v>9789532900132</v>
      </c>
      <c r="C19087" s="8" t="s">
        <v>9</v>
      </c>
    </row>
    <row r="19088" spans="1:3" x14ac:dyDescent="0.25">
      <c r="A19088" s="8" t="str">
        <f>"SoftCOM 2010 - International Conference on Software, Telecommunications and Computer Networks"</f>
        <v>SoftCOM 2010 - International Conference on Software, Telecommunications and Computer Networks</v>
      </c>
      <c r="B19088" s="8" t="str">
        <f>"9789532900217"</f>
        <v>9789532900217</v>
      </c>
      <c r="C19088" s="8" t="s">
        <v>9</v>
      </c>
    </row>
    <row r="19089" spans="1:3" x14ac:dyDescent="0.25">
      <c r="A19089" s="8" t="str">
        <f>"SOFTVIS 2008 - Proceedings of the 4th ACM Symposium on Software Visualization"</f>
        <v>SOFTVIS 2008 - Proceedings of the 4th ACM Symposium on Software Visualization</v>
      </c>
      <c r="B19089" s="8" t="str">
        <f>"9781605581125"</f>
        <v>9781605581125</v>
      </c>
      <c r="C19089" s="8" t="s">
        <v>21</v>
      </c>
    </row>
    <row r="19090" spans="1:3" x14ac:dyDescent="0.25">
      <c r="A19090" s="8" t="str">
        <f>"Software Engineering and Advanced Applications, 2005. 31st EUROMICRO Conference"</f>
        <v>Software Engineering and Advanced Applications, 2005. 31st EUROMICRO Conference</v>
      </c>
      <c r="B19090" s="8" t="str">
        <f>"-"</f>
        <v>-</v>
      </c>
      <c r="C19090" s="8" t="s">
        <v>9</v>
      </c>
    </row>
    <row r="19091" spans="1:3" x14ac:dyDescent="0.25">
      <c r="A19091" s="8" t="str">
        <f>"Software Knowledge - Proceedings of the 3rd International Workshop on Software Knowledge, SKY 2012 - In Conjunction with IC3K 2012"</f>
        <v>Software Knowledge - Proceedings of the 3rd International Workshop on Software Knowledge, SKY 2012 - In Conjunction with IC3K 2012</v>
      </c>
      <c r="B19091" s="8" t="str">
        <f>"9789898565327"</f>
        <v>9789898565327</v>
      </c>
      <c r="C19091" s="8" t="s">
        <v>1680</v>
      </c>
    </row>
    <row r="19092" spans="1:3" x14ac:dyDescent="0.25">
      <c r="A19092" s="8" t="str">
        <f>"Soil Liquefaction during Recent Large-Scale Earthquakes - Selected Papers from the New Zealand: Japan Workshop on Soil Liquefaction during Recent Large-Scale Earthquakes"</f>
        <v>Soil Liquefaction during Recent Large-Scale Earthquakes - Selected Papers from the New Zealand: Japan Workshop on Soil Liquefaction during Recent Large-Scale Earthquakes</v>
      </c>
      <c r="B19092" s="8" t="str">
        <f>"9781138026438"</f>
        <v>9781138026438</v>
      </c>
      <c r="C19092" s="8" t="s">
        <v>1619</v>
      </c>
    </row>
    <row r="19093" spans="1:3" x14ac:dyDescent="0.25">
      <c r="A19093" s="8" t="str">
        <f>"Soil Mechanics and Geotechnical Engineering Eleventh Asian Regional Conference"</f>
        <v>Soil Mechanics and Geotechnical Engineering Eleventh Asian Regional Conference</v>
      </c>
      <c r="B19093" s="8" t="str">
        <f>"9789058090539"</f>
        <v>9789058090539</v>
      </c>
      <c r="C19093" s="8" t="s">
        <v>2336</v>
      </c>
    </row>
    <row r="19094" spans="1:3" x14ac:dyDescent="0.25">
      <c r="A19094" s="8" t="str">
        <f>"Soil-Foundation-Structure Interaction - Selected Papers from the International Workshop on Soil-Foundation-Structure Interaction, SFSI 09"</f>
        <v>Soil-Foundation-Structure Interaction - Selected Papers from the International Workshop on Soil-Foundation-Structure Interaction, SFSI 09</v>
      </c>
      <c r="B19094" s="8" t="str">
        <f>"9780415600408"</f>
        <v>9780415600408</v>
      </c>
      <c r="C19094" s="8" t="s">
        <v>1619</v>
      </c>
    </row>
    <row r="19095" spans="1:3" x14ac:dyDescent="0.25">
      <c r="A19095" s="8" t="str">
        <f>"Solidification of Aluminum Alloys"</f>
        <v>Solidification of Aluminum Alloys</v>
      </c>
      <c r="B19095" s="8" t="str">
        <f>"9780873395694"</f>
        <v>9780873395694</v>
      </c>
      <c r="C19095" s="8" t="s">
        <v>648</v>
      </c>
    </row>
    <row r="19096" spans="1:3" x14ac:dyDescent="0.25">
      <c r="A19096" s="8" t="str">
        <f>"Solidification Processes and Microstructures: A Symposium in Honor of Wilfried Kurz"</f>
        <v>Solidification Processes and Microstructures: A Symposium in Honor of Wilfried Kurz</v>
      </c>
      <c r="B19096" s="8" t="str">
        <f>"9780873395724"</f>
        <v>9780873395724</v>
      </c>
      <c r="C19096" s="8" t="s">
        <v>648</v>
      </c>
    </row>
    <row r="19097" spans="1:3" x14ac:dyDescent="0.25">
      <c r="A19097" s="8" t="str">
        <f>"Solid-State and Organic Lighting, SOLED 2012"</f>
        <v>Solid-State and Organic Lighting, SOLED 2012</v>
      </c>
      <c r="B19097" s="8" t="str">
        <f>"9781557529527"</f>
        <v>9781557529527</v>
      </c>
      <c r="C19097" s="8" t="s">
        <v>86</v>
      </c>
    </row>
    <row r="19098" spans="1:3" x14ac:dyDescent="0.25">
      <c r="A19098" s="8" t="str">
        <f>"Solid-State and Organic Lighting, SOLED 2014"</f>
        <v>Solid-State and Organic Lighting, SOLED 2014</v>
      </c>
      <c r="B19098" s="8" t="str">
        <f>"9781557527561"</f>
        <v>9781557527561</v>
      </c>
      <c r="C19098" s="8" t="s">
        <v>86</v>
      </c>
    </row>
    <row r="19099" spans="1:3" x14ac:dyDescent="0.25">
      <c r="A19099" s="8" t="str">
        <f>"Solutions to Coastal Disasters 2002"</f>
        <v>Solutions to Coastal Disasters 2002</v>
      </c>
      <c r="B19099" s="8" t="str">
        <f>"9780784406052"</f>
        <v>9780784406052</v>
      </c>
      <c r="C19099" s="8" t="s">
        <v>111</v>
      </c>
    </row>
    <row r="19100" spans="1:3" x14ac:dyDescent="0.25">
      <c r="A19100" s="8" t="str">
        <f>"Solutions to Coastal Disasters 2005 - Proceedings of the Conference"</f>
        <v>Solutions to Coastal Disasters 2005 - Proceedings of the Conference</v>
      </c>
      <c r="B19100" s="8" t="str">
        <f>"9780784407745"</f>
        <v>9780784407745</v>
      </c>
      <c r="C19100" s="8" t="s">
        <v>111</v>
      </c>
    </row>
    <row r="19101" spans="1:3" x14ac:dyDescent="0.25">
      <c r="A19101" s="8" t="str">
        <f>"Solutions to Coastal Disasters 2011 - Proceedings of the 2011 Solutions to Coastal Disasters Conference"</f>
        <v>Solutions to Coastal Disasters 2011 - Proceedings of the 2011 Solutions to Coastal Disasters Conference</v>
      </c>
      <c r="B19101" s="8" t="str">
        <f>"9780784411858"</f>
        <v>9780784411858</v>
      </c>
      <c r="C19101" s="8" t="s">
        <v>111</v>
      </c>
    </row>
    <row r="19102" spans="1:3" x14ac:dyDescent="0.25">
      <c r="A19102" s="8" t="str">
        <f>"Solutions to Coastal Disasters Congress 2008 - Proceedings of the Solutions to Coastal Disasters Congress 2008"</f>
        <v>Solutions to Coastal Disasters Congress 2008 - Proceedings of the Solutions to Coastal Disasters Congress 2008</v>
      </c>
      <c r="B19102" s="8" t="str">
        <f>"9780784409688"</f>
        <v>9780784409688</v>
      </c>
      <c r="C19102" s="8" t="s">
        <v>111</v>
      </c>
    </row>
    <row r="19103" spans="1:3" x14ac:dyDescent="0.25">
      <c r="A19103" s="8" t="str">
        <f>"Solutions to Coastal Disasters Congress 2008: Tsunamis - Proceedings of the Solutions to Coastal Disasters Congress 2008: Tsunamis"</f>
        <v>Solutions to Coastal Disasters Congress 2008: Tsunamis - Proceedings of the Solutions to Coastal Disasters Congress 2008: Tsunamis</v>
      </c>
      <c r="B19103" s="8" t="str">
        <f>"9780784409787"</f>
        <v>9780784409787</v>
      </c>
      <c r="C19103" s="8" t="s">
        <v>111</v>
      </c>
    </row>
    <row r="19104" spans="1:3" x14ac:dyDescent="0.25">
      <c r="A19104" s="8" t="str">
        <f>"SOMA 2010 - Proceedings of the 1st Workshop on Social Media Analytics"</f>
        <v>SOMA 2010 - Proceedings of the 1st Workshop on Social Media Analytics</v>
      </c>
      <c r="B19104" s="8" t="str">
        <f>"9781450302173"</f>
        <v>9781450302173</v>
      </c>
      <c r="C19104" s="8" t="s">
        <v>21</v>
      </c>
    </row>
    <row r="19105" spans="1:3" x14ac:dyDescent="0.25">
      <c r="A19105" s="8" t="str">
        <f>"SoMeRA 2014 - Proceedings of the 1st ACM International Workshop on Social Media Retrieval and Analysis, Co-located with SIGIR 2014"</f>
        <v>SoMeRA 2014 - Proceedings of the 1st ACM International Workshop on Social Media Retrieval and Analysis, Co-located with SIGIR 2014</v>
      </c>
      <c r="B19105" s="8" t="str">
        <f>"9781450330220"</f>
        <v>9781450330220</v>
      </c>
      <c r="C19105" s="8" t="s">
        <v>1235</v>
      </c>
    </row>
    <row r="19106" spans="1:3" x14ac:dyDescent="0.25">
      <c r="A19106" s="8" t="str">
        <f>"SoMeT 2013 - 12th IEEE International Conference on Intelligent Software Methodologies, Tools and Techniques, Proceedings"</f>
        <v>SoMeT 2013 - 12th IEEE International Conference on Intelligent Software Methodologies, Tools and Techniques, Proceedings</v>
      </c>
      <c r="B19106" s="8" t="str">
        <f>"9781479904211"</f>
        <v>9781479904211</v>
      </c>
      <c r="C19106" s="8" t="s">
        <v>9</v>
      </c>
    </row>
    <row r="19107" spans="1:3" x14ac:dyDescent="0.25">
      <c r="A19107" s="8" t="str">
        <f>"SoMeT_07 - The 6th International Conference on Software Methodologies, Tools and Techniques"</f>
        <v>SoMeT_07 - The 6th International Conference on Software Methodologies, Tools and Techniques</v>
      </c>
      <c r="B19107" s="8" t="str">
        <f>"-"</f>
        <v>-</v>
      </c>
      <c r="C19107" s="8" t="s">
        <v>103</v>
      </c>
    </row>
    <row r="19108" spans="1:3" x14ac:dyDescent="0.25">
      <c r="A19108" s="8" t="str">
        <f>"SoMeT_08 - The 7th International Conference on Software Methodologies, Tools and Techniques"</f>
        <v>SoMeT_08 - The 7th International Conference on Software Methodologies, Tools and Techniques</v>
      </c>
      <c r="B19108" s="8" t="str">
        <f>"-"</f>
        <v>-</v>
      </c>
      <c r="C19108" s="8" t="s">
        <v>103</v>
      </c>
    </row>
    <row r="19109" spans="1:3" x14ac:dyDescent="0.25">
      <c r="A19109" s="8" t="str">
        <f>"SOQUA'07: Fourth International Workshop on Software Quality Assurance - In conjunction with the 6th ESEC/FSE Joint Meeting"</f>
        <v>SOQUA'07: Fourth International Workshop on Software Quality Assurance - In conjunction with the 6th ESEC/FSE Joint Meeting</v>
      </c>
      <c r="B19109" s="8" t="str">
        <f>"9781595937247"</f>
        <v>9781595937247</v>
      </c>
      <c r="C19109" s="8" t="s">
        <v>21</v>
      </c>
    </row>
    <row r="19110" spans="1:3" x14ac:dyDescent="0.25">
      <c r="A19110" s="8" t="str">
        <f>"SoSEA'09 - Proceedings of the 2nd International Workshop on Social Software Engineering and Applications"</f>
        <v>SoSEA'09 - Proceedings of the 2nd International Workshop on Social Software Engineering and Applications</v>
      </c>
      <c r="B19110" s="8" t="str">
        <f>"9781605586823"</f>
        <v>9781605586823</v>
      </c>
      <c r="C19110" s="8" t="s">
        <v>21</v>
      </c>
    </row>
    <row r="19111" spans="1:3" x14ac:dyDescent="0.25">
      <c r="A19111" s="8" t="str">
        <f>"SOSP 2013 - Proceedings of the 24th ACM Symposium on Operating Systems Principles"</f>
        <v>SOSP 2013 - Proceedings of the 24th ACM Symposium on Operating Systems Principles</v>
      </c>
      <c r="B19111" s="8" t="str">
        <f>"9781450323888"</f>
        <v>9781450323888</v>
      </c>
      <c r="C19111" s="8" t="s">
        <v>21</v>
      </c>
    </row>
    <row r="19112" spans="1:3" x14ac:dyDescent="0.25">
      <c r="A19112" s="8" t="str">
        <f>"SOSP'07 - Proceedings of 21st ACM SIGOPS Symposium on Operating Systems Principles"</f>
        <v>SOSP'07 - Proceedings of 21st ACM SIGOPS Symposium on Operating Systems Principles</v>
      </c>
      <c r="B19112" s="8" t="str">
        <f>"9781595935915"</f>
        <v>9781595935915</v>
      </c>
      <c r="C19112" s="8" t="s">
        <v>21</v>
      </c>
    </row>
    <row r="19113" spans="1:3" x14ac:dyDescent="0.25">
      <c r="A19113" s="8" t="str">
        <f>"SOSP'09 - Proceedings of the 22nd ACM SIGOPS Symposium on Operating Systems Principles"</f>
        <v>SOSP'09 - Proceedings of the 22nd ACM SIGOPS Symposium on Operating Systems Principles</v>
      </c>
      <c r="B19113" s="8" t="str">
        <f>"9781605587523"</f>
        <v>9781605587523</v>
      </c>
      <c r="C19113" s="8" t="s">
        <v>21</v>
      </c>
    </row>
    <row r="19114" spans="1:3" x14ac:dyDescent="0.25">
      <c r="A19114" s="8" t="str">
        <f>"SOSP'11 - Proceedings of the 23rd ACM Symposium on Operating Systems Principles"</f>
        <v>SOSP'11 - Proceedings of the 23rd ACM Symposium on Operating Systems Principles</v>
      </c>
      <c r="B19114" s="8" t="str">
        <f>"9781450309776"</f>
        <v>9781450309776</v>
      </c>
      <c r="C19114" s="8" t="s">
        <v>21</v>
      </c>
    </row>
    <row r="19115" spans="1:3" x14ac:dyDescent="0.25">
      <c r="A19115" s="8" t="str">
        <f>"SOUPS 2008 - Proceedings of the 4th Symposium on Usable Privacy and Security"</f>
        <v>SOUPS 2008 - Proceedings of the 4th Symposium on Usable Privacy and Security</v>
      </c>
      <c r="B19115" s="8" t="str">
        <f>"9781605582764"</f>
        <v>9781605582764</v>
      </c>
      <c r="C19115" s="8" t="s">
        <v>21</v>
      </c>
    </row>
    <row r="19116" spans="1:3" x14ac:dyDescent="0.25">
      <c r="A19116" s="8" t="str">
        <f>"SOUPS 2009 - Proceedings of the 5th Symposium On Usable Privacy and Security"</f>
        <v>SOUPS 2009 - Proceedings of the 5th Symposium On Usable Privacy and Security</v>
      </c>
      <c r="B19116" s="8" t="str">
        <f>"9781605587363"</f>
        <v>9781605587363</v>
      </c>
      <c r="C19116" s="8" t="s">
        <v>21</v>
      </c>
    </row>
    <row r="19117" spans="1:3" x14ac:dyDescent="0.25">
      <c r="A19117" s="8" t="str">
        <f>"SOUPS 2011 - Proceedings of the 7th Symposium on Usable Privacy and Security"</f>
        <v>SOUPS 2011 - Proceedings of the 7th Symposium on Usable Privacy and Security</v>
      </c>
      <c r="B19117" s="8" t="str">
        <f>"9781450309110"</f>
        <v>9781450309110</v>
      </c>
      <c r="C19117" s="8" t="s">
        <v>21</v>
      </c>
    </row>
    <row r="19118" spans="1:3" x14ac:dyDescent="0.25">
      <c r="A19118" s="8" t="str">
        <f>"SOUPS 2012 - Proceedings of the 8th Symposium on Usable Privacy and Security"</f>
        <v>SOUPS 2012 - Proceedings of the 8th Symposium on Usable Privacy and Security</v>
      </c>
      <c r="B19118" s="8" t="str">
        <f>"9781450315326"</f>
        <v>9781450315326</v>
      </c>
      <c r="C19118" s="8" t="s">
        <v>21</v>
      </c>
    </row>
    <row r="19119" spans="1:3" x14ac:dyDescent="0.25">
      <c r="A19119" s="8" t="str">
        <f>"SOUPS 2013 - Proceedings of the 9th Symposium on Usable Privacy and Security"</f>
        <v>SOUPS 2013 - Proceedings of the 9th Symposium on Usable Privacy and Security</v>
      </c>
      <c r="B19119" s="8" t="str">
        <f>"9781450323192"</f>
        <v>9781450323192</v>
      </c>
      <c r="C19119" s="8" t="s">
        <v>21</v>
      </c>
    </row>
    <row r="19120" spans="1:3" x14ac:dyDescent="0.25">
      <c r="A19120" s="8" t="str">
        <f>"Southern Region Engineering Conference 2010, SREC 2010 - Incorporating the 17th Annual International Conference on Mechatronics and Machine Vision in Practice, M2VIP 2010"</f>
        <v>Southern Region Engineering Conference 2010, SREC 2010 - Incorporating the 17th Annual International Conference on Mechatronics and Machine Vision in Practice, M2VIP 2010</v>
      </c>
      <c r="B19120" s="8" t="str">
        <f>"9781618396150"</f>
        <v>9781618396150</v>
      </c>
      <c r="C19120" s="8" t="s">
        <v>1282</v>
      </c>
    </row>
    <row r="19121" spans="1:3" x14ac:dyDescent="0.25">
      <c r="A19121" s="8" t="str">
        <f>"Souvenir of the 2014 IEEE International Advance Computing Conference, IACC 2014"</f>
        <v>Souvenir of the 2014 IEEE International Advance Computing Conference, IACC 2014</v>
      </c>
      <c r="B19121" s="8" t="str">
        <f>"9781479925711"</f>
        <v>9781479925711</v>
      </c>
      <c r="C19121" s="8" t="s">
        <v>9</v>
      </c>
    </row>
    <row r="19122" spans="1:3" x14ac:dyDescent="0.25">
      <c r="A19122" s="8" t="str">
        <f>"Souvenir of the 2015 IEEE International Advance Computing Conference, IACC 2015"</f>
        <v>Souvenir of the 2015 IEEE International Advance Computing Conference, IACC 2015</v>
      </c>
      <c r="B19122" s="8" t="str">
        <f>"9781479980475"</f>
        <v>9781479980475</v>
      </c>
      <c r="C19122" s="8" t="s">
        <v>105</v>
      </c>
    </row>
    <row r="19123" spans="1:3" x14ac:dyDescent="0.25">
      <c r="A19123" s="8" t="str">
        <f>"SPA 2009 - Signal Processing: Algorithms, Architectures, Arrangements, and Applications - Conference Proceedings"</f>
        <v>SPA 2009 - Signal Processing: Algorithms, Architectures, Arrangements, and Applications - Conference Proceedings</v>
      </c>
      <c r="B19123" s="8" t="str">
        <f>"9781457714771"</f>
        <v>9781457714771</v>
      </c>
      <c r="C19123" s="8" t="s">
        <v>9</v>
      </c>
    </row>
    <row r="19124" spans="1:3" x14ac:dyDescent="0.25">
      <c r="A19124" s="8" t="str">
        <f>"SPA 2010 - Signal Processing: Algorithms, Architectures, Arrangements, and Applications - Conference Proceedings"</f>
        <v>SPA 2010 - Signal Processing: Algorithms, Architectures, Arrangements, and Applications - Conference Proceedings</v>
      </c>
      <c r="B19124" s="8" t="str">
        <f>"9781457714856"</f>
        <v>9781457714856</v>
      </c>
      <c r="C19124" s="8" t="s">
        <v>9</v>
      </c>
    </row>
    <row r="19125" spans="1:3" x14ac:dyDescent="0.25">
      <c r="A19125" s="8" t="str">
        <f>"SPA 2011 - Signal Processing: Algorithms, Architectures, Arrangements, and Applications - Conference Proceedings"</f>
        <v>SPA 2011 - Signal Processing: Algorithms, Architectures, Arrangements, and Applications - Conference Proceedings</v>
      </c>
      <c r="B19125" s="8" t="str">
        <f>"9781457714863"</f>
        <v>9781457714863</v>
      </c>
      <c r="C19125" s="8" t="s">
        <v>9</v>
      </c>
    </row>
    <row r="19126" spans="1:3" x14ac:dyDescent="0.25">
      <c r="A19126" s="8" t="str">
        <f>"Space 2000"</f>
        <v>Space 2000</v>
      </c>
      <c r="B19126" s="8" t="str">
        <f>"9780784404799"</f>
        <v>9780784404799</v>
      </c>
      <c r="C19126" s="8" t="s">
        <v>111</v>
      </c>
    </row>
    <row r="19127" spans="1:3" x14ac:dyDescent="0.25">
      <c r="A19127" s="8" t="str">
        <f>"Space 2000 Conference and Exposition"</f>
        <v>Space 2000 Conference and Exposition</v>
      </c>
      <c r="B19127" s="8" t="str">
        <f>"-"</f>
        <v>-</v>
      </c>
      <c r="C19127" s="8" t="s">
        <v>104</v>
      </c>
    </row>
    <row r="19128" spans="1:3" x14ac:dyDescent="0.25">
      <c r="A19128" s="8" t="str">
        <f>"Space 2002 and Robotics 2002"</f>
        <v>Space 2002 and Robotics 2002</v>
      </c>
      <c r="B19128" s="8" t="str">
        <f>"9780784406250"</f>
        <v>9780784406250</v>
      </c>
      <c r="C19128" s="8" t="s">
        <v>111</v>
      </c>
    </row>
    <row r="19129" spans="1:3" x14ac:dyDescent="0.25">
      <c r="A19129" s="8" t="str">
        <f>"Space 2008 Conference"</f>
        <v>Space 2008 Conference</v>
      </c>
      <c r="B19129" s="8" t="str">
        <f>"9781563479465"</f>
        <v>9781563479465</v>
      </c>
      <c r="C19129" s="8" t="s">
        <v>104</v>
      </c>
    </row>
    <row r="19130" spans="1:3" x14ac:dyDescent="0.25">
      <c r="A19130" s="8" t="str">
        <f>"SPACE APPLI 2008 - Space Applications Days"</f>
        <v>SPACE APPLI 2008 - Space Applications Days</v>
      </c>
      <c r="B19130" s="8" t="str">
        <f>"-"</f>
        <v>-</v>
      </c>
      <c r="C19130" s="8" t="s">
        <v>1811</v>
      </c>
    </row>
    <row r="19131" spans="1:3" x14ac:dyDescent="0.25">
      <c r="A19131" s="8" t="str">
        <f>"Space Nuclear Conference 2007 - Proceedings of Embedded Topical Meeting, SNC'07"</f>
        <v>Space Nuclear Conference 2007 - Proceedings of Embedded Topical Meeting, SNC'07</v>
      </c>
      <c r="B19131" s="8" t="str">
        <f>"9780894480539"</f>
        <v>9780894480539</v>
      </c>
      <c r="C19131" s="8" t="s">
        <v>453</v>
      </c>
    </row>
    <row r="19132" spans="1:3" x14ac:dyDescent="0.25">
      <c r="A19132" s="8" t="str">
        <f>"SpaceOps 2006 Conference"</f>
        <v>SpaceOps 2006 Conference</v>
      </c>
      <c r="B19132" s="8" t="str">
        <f>"9781624100512"</f>
        <v>9781624100512</v>
      </c>
      <c r="C19132" s="8" t="s">
        <v>104</v>
      </c>
    </row>
    <row r="19133" spans="1:3" x14ac:dyDescent="0.25">
      <c r="A19133" s="8" t="str">
        <f>"SpaceOps 2008 Conference"</f>
        <v>SpaceOps 2008 Conference</v>
      </c>
      <c r="B19133" s="8" t="str">
        <f>"9781624101670"</f>
        <v>9781624101670</v>
      </c>
      <c r="C19133" s="8" t="s">
        <v>104</v>
      </c>
    </row>
    <row r="19134" spans="1:3" x14ac:dyDescent="0.25">
      <c r="A19134" s="8" t="str">
        <f>"SpaceOps 2010 Conference"</f>
        <v>SpaceOps 2010 Conference</v>
      </c>
      <c r="B19134" s="8" t="str">
        <f>"9781624101649"</f>
        <v>9781624101649</v>
      </c>
      <c r="C19134" s="8" t="s">
        <v>104</v>
      </c>
    </row>
    <row r="19135" spans="1:3" x14ac:dyDescent="0.25">
      <c r="A19135" s="8" t="str">
        <f>"SpaceOps 2012 Conference"</f>
        <v>SpaceOps 2012 Conference</v>
      </c>
      <c r="B19135" s="8" t="str">
        <f>"-"</f>
        <v>-</v>
      </c>
      <c r="C19135" s="8" t="s">
        <v>104</v>
      </c>
    </row>
    <row r="19136" spans="1:3" x14ac:dyDescent="0.25">
      <c r="A19136" s="8" t="str">
        <f>"SPCA 2006: 2006 First International Symposium on Pervasive Computing and Applications, Proceedings"</f>
        <v>SPCA 2006: 2006 First International Symposium on Pervasive Computing and Applications, Proceedings</v>
      </c>
      <c r="B19136" s="8" t="str">
        <f>"9781424403257"</f>
        <v>9781424403257</v>
      </c>
      <c r="C19136" s="8" t="s">
        <v>9</v>
      </c>
    </row>
    <row r="19137" spans="1:3" x14ac:dyDescent="0.25">
      <c r="A19137" s="8" t="str">
        <f>"SPE - Asia Pacific Oil and Gas Conference"</f>
        <v>SPE - Asia Pacific Oil and Gas Conference</v>
      </c>
      <c r="B19137" s="8" t="str">
        <f>"9781604238594"</f>
        <v>9781604238594</v>
      </c>
      <c r="C19137" s="8" t="s">
        <v>915</v>
      </c>
    </row>
    <row r="19138" spans="1:3" x14ac:dyDescent="0.25">
      <c r="A19138" s="8" t="str">
        <f>"SPE - Hydraulic Fracturing Technology Conference 2007"</f>
        <v>SPE - Hydraulic Fracturing Technology Conference 2007</v>
      </c>
      <c r="B19138" s="8" t="str">
        <f>"-"</f>
        <v>-</v>
      </c>
      <c r="C19138" s="8" t="s">
        <v>671</v>
      </c>
    </row>
    <row r="19139" spans="1:3" x14ac:dyDescent="0.25">
      <c r="A19139" s="8" t="str">
        <f>"SPE Americas E and P Environmental and Safety Conference 2009"</f>
        <v>SPE Americas E and P Environmental and Safety Conference 2009</v>
      </c>
      <c r="B19139" s="8" t="str">
        <f>"9781615670116"</f>
        <v>9781615670116</v>
      </c>
      <c r="C19139" s="8" t="s">
        <v>671</v>
      </c>
    </row>
    <row r="19140" spans="1:3" x14ac:dyDescent="0.25">
      <c r="A19140" s="8" t="s">
        <v>2337</v>
      </c>
      <c r="B19140" s="8" t="str">
        <f>"9781605606750"</f>
        <v>9781605606750</v>
      </c>
      <c r="C19140" s="8" t="s">
        <v>671</v>
      </c>
    </row>
    <row r="19141" spans="1:3" x14ac:dyDescent="0.25">
      <c r="A19141" s="8" t="str">
        <f>"SPE Asia Pacific Oil and Gas Conference and Exhibition, APOGCE"</f>
        <v>SPE Asia Pacific Oil and Gas Conference and Exhibition, APOGCE</v>
      </c>
      <c r="B19141" s="8" t="str">
        <f>"-"</f>
        <v>-</v>
      </c>
      <c r="C19141" s="8" t="s">
        <v>915</v>
      </c>
    </row>
    <row r="19142" spans="1:3" x14ac:dyDescent="0.25">
      <c r="A19142" s="8" t="str">
        <f>"SPE Automotive and Composites Division - 8th Annual Automotive Composites Conference and Exhibition, ACCE 2008 - The Road to Lightweight Performance"</f>
        <v>SPE Automotive and Composites Division - 8th Annual Automotive Composites Conference and Exhibition, ACCE 2008 - The Road to Lightweight Performance</v>
      </c>
      <c r="B19142" s="8" t="str">
        <f>"9781605607047"</f>
        <v>9781605607047</v>
      </c>
      <c r="C19142" s="8" t="s">
        <v>1602</v>
      </c>
    </row>
    <row r="19143" spans="1:3" x14ac:dyDescent="0.25">
      <c r="A19143" s="8" t="str">
        <f>"SPE Automotive and Composites Divisions - 12th Annual Automotive Composites Conference and Exhibition 2012, ACCE 2012: Unleashing the Power of Design"</f>
        <v>SPE Automotive and Composites Divisions - 12th Annual Automotive Composites Conference and Exhibition 2012, ACCE 2012: Unleashing the Power of Design</v>
      </c>
      <c r="B19143" s="8" t="str">
        <f>"9781622768875"</f>
        <v>9781622768875</v>
      </c>
      <c r="C19143" s="8" t="s">
        <v>2338</v>
      </c>
    </row>
    <row r="19144" spans="1:3" x14ac:dyDescent="0.25">
      <c r="A19144" s="8" t="str">
        <f>"SPE Automotive and Composites Divisions - 7th Annual Automotive Composites Conference and Exhibition, ACCE 2007 - Driving Performance and Productivity"</f>
        <v>SPE Automotive and Composites Divisions - 7th Annual Automotive Composites Conference and Exhibition, ACCE 2007 - Driving Performance and Productivity</v>
      </c>
      <c r="B19144" s="8" t="str">
        <f>"9781605607030"</f>
        <v>9781605607030</v>
      </c>
      <c r="C19144" s="8" t="s">
        <v>1602</v>
      </c>
    </row>
    <row r="19145" spans="1:3" x14ac:dyDescent="0.25">
      <c r="A19145" s="8" t="str">
        <f>"SPE Automotive and Composites Divisions - Coiled Tubing and Well Intervention Conference and Exhibition 2011"</f>
        <v>SPE Automotive and Composites Divisions - Coiled Tubing and Well Intervention Conference and Exhibition 2011</v>
      </c>
      <c r="B19145" s="8" t="str">
        <f>"9781617827129"</f>
        <v>9781617827129</v>
      </c>
      <c r="C19145" s="8" t="s">
        <v>1602</v>
      </c>
    </row>
    <row r="19146" spans="1:3" x14ac:dyDescent="0.25">
      <c r="A19146" s="8" t="str">
        <f>"SPE Automotive TPO Global Conference 2004 - Papers"</f>
        <v>SPE Automotive TPO Global Conference 2004 - Papers</v>
      </c>
      <c r="B19146" s="8" t="str">
        <f t="shared" ref="B19146:B19153" si="40">"-"</f>
        <v>-</v>
      </c>
      <c r="C19146" s="8" t="s">
        <v>132</v>
      </c>
    </row>
    <row r="19147" spans="1:3" x14ac:dyDescent="0.25">
      <c r="A19147" s="8" t="str">
        <f>"SPE CAD RETEC 2004, Society of Plastic Engineers, Color and Appearance Division, Regional Technical Conference: Hot Colors - Cool Plastics - Conference Proceedings"</f>
        <v>SPE CAD RETEC 2004, Society of Plastic Engineers, Color and Appearance Division, Regional Technical Conference: Hot Colors - Cool Plastics - Conference Proceedings</v>
      </c>
      <c r="B19147" s="8" t="str">
        <f t="shared" si="40"/>
        <v>-</v>
      </c>
      <c r="C19147" s="8" t="s">
        <v>132</v>
      </c>
    </row>
    <row r="19148" spans="1:3" x14ac:dyDescent="0.25">
      <c r="A19148" s="8" t="str">
        <f>"SPE Continuous Compounding TOPCON, CCT"</f>
        <v>SPE Continuous Compounding TOPCON, CCT</v>
      </c>
      <c r="B19148" s="8" t="str">
        <f t="shared" si="40"/>
        <v>-</v>
      </c>
      <c r="C19148" s="8" t="s">
        <v>132</v>
      </c>
    </row>
    <row r="19149" spans="1:3" x14ac:dyDescent="0.25">
      <c r="A19149" s="8" t="str">
        <f>"SPE Decorating and Assembly Division 2010 Topical Conference - Tune into Innovation: Advancements in Decorating and Assembly, TopCon 2010"</f>
        <v>SPE Decorating and Assembly Division 2010 Topical Conference - Tune into Innovation: Advancements in Decorating and Assembly, TopCon 2010</v>
      </c>
      <c r="B19149" s="8" t="str">
        <f t="shared" si="40"/>
        <v>-</v>
      </c>
      <c r="C19149" s="8" t="s">
        <v>132</v>
      </c>
    </row>
    <row r="19150" spans="1:3" x14ac:dyDescent="0.25">
      <c r="A19150" s="8" t="str">
        <f>"SPE E and P Environmental and Safety Conference 2007: Delivering Superior Environmental and Safety Performance, Proceedings"</f>
        <v>SPE E and P Environmental and Safety Conference 2007: Delivering Superior Environmental and Safety Performance, Proceedings</v>
      </c>
      <c r="B19150" s="8" t="str">
        <f t="shared" si="40"/>
        <v>-</v>
      </c>
      <c r="C19150" s="8" t="s">
        <v>671</v>
      </c>
    </row>
    <row r="19151" spans="1:3" x14ac:dyDescent="0.25">
      <c r="A19151" s="8" t="str">
        <f>"SPE Eastern Regional Conference Proceedings"</f>
        <v>SPE Eastern Regional Conference Proceedings</v>
      </c>
      <c r="B19151" s="8" t="str">
        <f t="shared" si="40"/>
        <v>-</v>
      </c>
      <c r="C19151" s="8" t="s">
        <v>671</v>
      </c>
    </row>
    <row r="19152" spans="1:3" x14ac:dyDescent="0.25">
      <c r="A19152" s="8" t="str">
        <f>"SPE Eastern Regional Meeting"</f>
        <v>SPE Eastern Regional Meeting</v>
      </c>
      <c r="B19152" s="8" t="str">
        <f t="shared" si="40"/>
        <v>-</v>
      </c>
      <c r="C19152" s="8" t="s">
        <v>671</v>
      </c>
    </row>
    <row r="19153" spans="1:3" x14ac:dyDescent="0.25">
      <c r="A19153" s="8" t="str">
        <f>"SPE Eighth International Symposium on Oilfield Scale 2006"</f>
        <v>SPE Eighth International Symposium on Oilfield Scale 2006</v>
      </c>
      <c r="B19153" s="8" t="str">
        <f t="shared" si="40"/>
        <v>-</v>
      </c>
      <c r="C19153" s="8" t="s">
        <v>671</v>
      </c>
    </row>
    <row r="19154" spans="1:3" x14ac:dyDescent="0.25">
      <c r="A19154" s="8" t="str">
        <f>"SPE EOR Conference at Oil and Gas West Asia 2010, OGWA - EOR Challenges, Experiences and Opportunities in the Middle East"</f>
        <v>SPE EOR Conference at Oil and Gas West Asia 2010, OGWA - EOR Challenges, Experiences and Opportunities in the Middle East</v>
      </c>
      <c r="B19154" s="8" t="str">
        <f>"9781617385131"</f>
        <v>9781617385131</v>
      </c>
      <c r="C19154" s="8" t="s">
        <v>671</v>
      </c>
    </row>
    <row r="19155" spans="1:3" x14ac:dyDescent="0.25">
      <c r="A19155" s="8" t="str">
        <f>"SPE Intelligent Energy Conference and Exhibition 2010"</f>
        <v>SPE Intelligent Energy Conference and Exhibition 2010</v>
      </c>
      <c r="B19155" s="8" t="str">
        <f>"9781617382130"</f>
        <v>9781617382130</v>
      </c>
      <c r="C19155" s="8" t="s">
        <v>915</v>
      </c>
    </row>
    <row r="19156" spans="1:3" x14ac:dyDescent="0.25">
      <c r="A19156" s="8" t="str">
        <f>"SPE International Conference on CO2 Capture, Storage, and Utilization 2009"</f>
        <v>SPE International Conference on CO2 Capture, Storage, and Utilization 2009</v>
      </c>
      <c r="B19156" s="8" t="str">
        <f>"9781615677436"</f>
        <v>9781615677436</v>
      </c>
      <c r="C19156" s="8" t="s">
        <v>671</v>
      </c>
    </row>
    <row r="19157" spans="1:3" x14ac:dyDescent="0.25">
      <c r="A19157" s="8" t="str">
        <f>"SPE International Symposium on Oilfield Chemistry"</f>
        <v>SPE International Symposium on Oilfield Chemistry</v>
      </c>
      <c r="B19157" s="8" t="str">
        <f>"-"</f>
        <v>-</v>
      </c>
      <c r="C19157" s="8" t="s">
        <v>671</v>
      </c>
    </row>
    <row r="19158" spans="1:3" x14ac:dyDescent="0.25">
      <c r="A19158" s="8" t="str">
        <f>"SPE International Thermal Operations and Heavy Oil Symposium Proceedings"</f>
        <v>SPE International Thermal Operations and Heavy Oil Symposium Proceedings</v>
      </c>
      <c r="B19158" s="8" t="str">
        <f>"-"</f>
        <v>-</v>
      </c>
      <c r="C19158" s="8" t="s">
        <v>671</v>
      </c>
    </row>
    <row r="19159" spans="1:3" x14ac:dyDescent="0.25">
      <c r="A19159" s="8" t="str">
        <f>"SPE Latin American and Caribbean Health / Safety / Environment / Social Responsibility Conference 2013: Sustainable Solutions for Challenging HSSE Environments in Latin America and the Caribbean"</f>
        <v>SPE Latin American and Caribbean Health / Safety / Environment / Social Responsibility Conference 2013: Sustainable Solutions for Challenging HSSE Environments in Latin America and the Caribbean</v>
      </c>
      <c r="B19159" s="8" t="str">
        <f>"9781627489676"</f>
        <v>9781627489676</v>
      </c>
      <c r="C19159" s="8" t="s">
        <v>915</v>
      </c>
    </row>
    <row r="19160" spans="1:3" x14ac:dyDescent="0.25">
      <c r="A19160" s="8" t="str">
        <f>"SPE Oilfield Scale Symposium"</f>
        <v>SPE Oilfield Scale Symposium</v>
      </c>
      <c r="B19160" s="8" t="str">
        <f>"-"</f>
        <v>-</v>
      </c>
      <c r="C19160" s="8" t="s">
        <v>915</v>
      </c>
    </row>
    <row r="19161" spans="1:3" x14ac:dyDescent="0.25">
      <c r="A19161" s="8" t="str">
        <f>"SPE Regional Topical Conference - A World of Thermosets - Growth Through Applications Development"</f>
        <v>SPE Regional Topical Conference - A World of Thermosets - Growth Through Applications Development</v>
      </c>
      <c r="B19161" s="8" t="str">
        <f>"-"</f>
        <v>-</v>
      </c>
      <c r="C19161" s="8" t="s">
        <v>132</v>
      </c>
    </row>
    <row r="19162" spans="1:3" x14ac:dyDescent="0.25">
      <c r="A19162" s="8" t="str">
        <f>"SPE Reservoir Simulation Symposium Proceedings"</f>
        <v>SPE Reservoir Simulation Symposium Proceedings</v>
      </c>
      <c r="B19162" s="8" t="str">
        <f>"-"</f>
        <v>-</v>
      </c>
      <c r="C19162" s="8" t="s">
        <v>671</v>
      </c>
    </row>
    <row r="19163" spans="1:3" x14ac:dyDescent="0.25">
      <c r="A19163" s="8" t="str">
        <f>"SPE Reservoir Simulation Symposium Proceedings"</f>
        <v>SPE Reservoir Simulation Symposium Proceedings</v>
      </c>
      <c r="B19163" s="8" t="str">
        <f>"9781605607771"</f>
        <v>9781605607771</v>
      </c>
      <c r="C19163" s="8" t="s">
        <v>671</v>
      </c>
    </row>
    <row r="19164" spans="1:3" x14ac:dyDescent="0.25">
      <c r="A19164" s="8" t="str">
        <f>"SPE Rocky Mountain Petroleum Technology Conference 2009"</f>
        <v>SPE Rocky Mountain Petroleum Technology Conference 2009</v>
      </c>
      <c r="B19164" s="8" t="str">
        <f>"9781615670277"</f>
        <v>9781615670277</v>
      </c>
      <c r="C19164" s="8" t="s">
        <v>671</v>
      </c>
    </row>
    <row r="19165" spans="1:3" x14ac:dyDescent="0.25">
      <c r="A19165" s="8" t="str">
        <f>"SPE Russian Oil and Gas Technical Conference and Exhibition 2006"</f>
        <v>SPE Russian Oil and Gas Technical Conference and Exhibition 2006</v>
      </c>
      <c r="B19165" s="8" t="str">
        <f>"-"</f>
        <v>-</v>
      </c>
      <c r="C19165" s="8" t="s">
        <v>671</v>
      </c>
    </row>
    <row r="19166" spans="1:3" x14ac:dyDescent="0.25">
      <c r="A19166" s="8" t="str">
        <f>"SPE Seventh International Symposium on Oilfield Scale 2005: Pushing the Boundaries of Scale Control, Proceedings"</f>
        <v>SPE Seventh International Symposium on Oilfield Scale 2005: Pushing the Boundaries of Scale Control, Proceedings</v>
      </c>
      <c r="B19166" s="8" t="str">
        <f>"-"</f>
        <v>-</v>
      </c>
      <c r="C19166" s="8" t="s">
        <v>671</v>
      </c>
    </row>
    <row r="19167" spans="1:3" x14ac:dyDescent="0.25">
      <c r="A19167" s="8" t="str">
        <f>"SPE Third International Symposium on Oilfield Corrosion 2006"</f>
        <v>SPE Third International Symposium on Oilfield Corrosion 2006</v>
      </c>
      <c r="B19167" s="8" t="str">
        <f>"-"</f>
        <v>-</v>
      </c>
      <c r="C19167" s="8" t="s">
        <v>671</v>
      </c>
    </row>
    <row r="19168" spans="1:3" x14ac:dyDescent="0.25">
      <c r="A19168" s="8" t="str">
        <f>"SPE Unconventional Gas Conference 2010"</f>
        <v>SPE Unconventional Gas Conference 2010</v>
      </c>
      <c r="B19168" s="8" t="str">
        <f>"9781617381096"</f>
        <v>9781617381096</v>
      </c>
      <c r="C19168" s="8" t="s">
        <v>671</v>
      </c>
    </row>
    <row r="19169" spans="1:3" x14ac:dyDescent="0.25">
      <c r="A19169" s="8" t="str">
        <f>"SPE Western Regional Meeting 2009 - Proceedings"</f>
        <v>SPE Western Regional Meeting 2009 - Proceedings</v>
      </c>
      <c r="B19169" s="8" t="str">
        <f>"9781615670109"</f>
        <v>9781615670109</v>
      </c>
      <c r="C19169" s="8" t="s">
        <v>915</v>
      </c>
    </row>
    <row r="19170" spans="1:3" x14ac:dyDescent="0.25">
      <c r="A19170" s="8" t="str">
        <f>"SPE Western Regional/AAPG Pacific Section Joint Meeting"</f>
        <v>SPE Western Regional/AAPG Pacific Section Joint Meeting</v>
      </c>
      <c r="B19170" s="8" t="str">
        <f>"-"</f>
        <v>-</v>
      </c>
      <c r="C19170" s="8" t="s">
        <v>671</v>
      </c>
    </row>
    <row r="19171" spans="1:3" x14ac:dyDescent="0.25">
      <c r="A19171" s="8" t="str">
        <f>"SPE Western Regional/AAPG Pacific Section Joint Meeting"</f>
        <v>SPE Western Regional/AAPG Pacific Section Joint Meeting</v>
      </c>
      <c r="B19171" s="8" t="str">
        <f>"-"</f>
        <v>-</v>
      </c>
      <c r="C19171" s="8" t="s">
        <v>915</v>
      </c>
    </row>
    <row r="19172" spans="1:3" x14ac:dyDescent="0.25">
      <c r="A19172" s="8" t="str">
        <f>"SPE/AAPG Western Regional Meetings"</f>
        <v>SPE/AAPG Western Regional Meetings</v>
      </c>
      <c r="B19172" s="8" t="str">
        <f>"-"</f>
        <v>-</v>
      </c>
      <c r="C19172" s="8" t="s">
        <v>671</v>
      </c>
    </row>
    <row r="19173" spans="1:3" x14ac:dyDescent="0.25">
      <c r="A19173" s="8" t="str">
        <f>"SPE/IADC Drilling Conference"</f>
        <v>SPE/IADC Drilling Conference</v>
      </c>
      <c r="B19173" s="8" t="str">
        <f>"-"</f>
        <v>-</v>
      </c>
      <c r="C19173" s="8" t="s">
        <v>915</v>
      </c>
    </row>
    <row r="19174" spans="1:3" x14ac:dyDescent="0.25">
      <c r="A19174" s="8" t="str">
        <f>"SPE/IADC INDIAN Drilling Technology Conference and Exhibition 2006 - Drilling in India: Challenges and Opportunities"</f>
        <v>SPE/IADC INDIAN Drilling Technology Conference and Exhibition 2006 - Drilling in India: Challenges and Opportunities</v>
      </c>
      <c r="B19174" s="8" t="str">
        <f>"-"</f>
        <v>-</v>
      </c>
      <c r="C19174" s="8" t="s">
        <v>671</v>
      </c>
    </row>
    <row r="19175" spans="1:3" x14ac:dyDescent="0.25">
      <c r="A19175" s="8" t="str">
        <f>"SPE/IADC Managed Pressure Drilling and Underbalanced Operations Conference and Exhibition 2010"</f>
        <v>SPE/IADC Managed Pressure Drilling and Underbalanced Operations Conference and Exhibition 2010</v>
      </c>
      <c r="B19175" s="8" t="str">
        <f>"9781617381089"</f>
        <v>9781617381089</v>
      </c>
      <c r="C19175" s="8" t="s">
        <v>671</v>
      </c>
    </row>
    <row r="19176" spans="1:3" x14ac:dyDescent="0.25">
      <c r="A19176" s="8" t="str">
        <f>"SPE/IADC Underbalanced Technology Conference and Exhibition - Proceedings"</f>
        <v>SPE/IADC Underbalanced Technology Conference and Exhibition - Proceedings</v>
      </c>
      <c r="B19176" s="8" t="str">
        <f>"-"</f>
        <v>-</v>
      </c>
      <c r="C19176" s="8" t="s">
        <v>915</v>
      </c>
    </row>
    <row r="19177" spans="1:3" x14ac:dyDescent="0.25">
      <c r="A19177" s="8" t="str">
        <f>"SPE/PS-CIM/CHOA International Thermal Operations and Heavy Oil Symposium Proceedings"</f>
        <v>SPE/PS-CIM/CHOA International Thermal Operations and Heavy Oil Symposium Proceedings</v>
      </c>
      <c r="B19177" s="8" t="str">
        <f>"-"</f>
        <v>-</v>
      </c>
      <c r="C19177" s="8" t="s">
        <v>671</v>
      </c>
    </row>
    <row r="19178" spans="1:3" x14ac:dyDescent="0.25">
      <c r="A19178" s="8" t="str">
        <f>"Special Edition: 10th International Conference on Technology of Plasticity, ICTP 2011"</f>
        <v>Special Edition: 10th International Conference on Technology of Plasticity, ICTP 2011</v>
      </c>
      <c r="B19178" s="8" t="str">
        <f>"9783514007840"</f>
        <v>9783514007840</v>
      </c>
      <c r="C19178" s="8" t="s">
        <v>882</v>
      </c>
    </row>
    <row r="19179" spans="1:3" x14ac:dyDescent="0.25">
      <c r="A19179" s="8" t="str">
        <f>"Special Issue on the 12th European Conference on Composite Materials, ECCM 2006"</f>
        <v>Special Issue on the 12th European Conference on Composite Materials, ECCM 2006</v>
      </c>
      <c r="B19179" s="8" t="str">
        <f>"-"</f>
        <v>-</v>
      </c>
      <c r="C19179" s="8" t="s">
        <v>2168</v>
      </c>
    </row>
    <row r="19180" spans="1:3" x14ac:dyDescent="0.25">
      <c r="A19180" s="8" t="str">
        <f>"Specialty Papers 2009"</f>
        <v>Specialty Papers 2009</v>
      </c>
      <c r="B19180" s="8" t="str">
        <f>"9781617384141"</f>
        <v>9781617384141</v>
      </c>
      <c r="C19180" s="8" t="s">
        <v>1099</v>
      </c>
    </row>
    <row r="19181" spans="1:3" x14ac:dyDescent="0.25">
      <c r="A19181" s="8" t="str">
        <f>"SPEEDAM 2008 - International Symposium on Power Electronics, Electrical Drives, Automation and Motion"</f>
        <v>SPEEDAM 2008 - International Symposium on Power Electronics, Electrical Drives, Automation and Motion</v>
      </c>
      <c r="B19181" s="8" t="str">
        <f>"9781424416646"</f>
        <v>9781424416646</v>
      </c>
      <c r="C19181" s="8" t="s">
        <v>9</v>
      </c>
    </row>
    <row r="19182" spans="1:3" x14ac:dyDescent="0.25">
      <c r="A19182" s="8" t="str">
        <f>"SPEEDAM 2010 - International Symposium on Power Electronics, Electrical Drives, Automation and Motion"</f>
        <v>SPEEDAM 2010 - International Symposium on Power Electronics, Electrical Drives, Automation and Motion</v>
      </c>
      <c r="B19182" s="8" t="str">
        <f>"9781424449873"</f>
        <v>9781424449873</v>
      </c>
      <c r="C19182" s="8" t="s">
        <v>9</v>
      </c>
    </row>
    <row r="19183" spans="1:3" x14ac:dyDescent="0.25">
      <c r="A19183" s="8" t="str">
        <f>"SPEEDAM 2012 - 21st International Symposium on Power Electronics, Electrical Drives, Automation and Motion"</f>
        <v>SPEEDAM 2012 - 21st International Symposium on Power Electronics, Electrical Drives, Automation and Motion</v>
      </c>
      <c r="B19183" s="8" t="str">
        <f>"9781467312998"</f>
        <v>9781467312998</v>
      </c>
      <c r="C19183" s="8" t="s">
        <v>9</v>
      </c>
    </row>
    <row r="19184" spans="1:3" x14ac:dyDescent="0.25">
      <c r="A19184" s="8" t="str">
        <f>"SPL 2012 - 8th Southern Programmable Logic Conference"</f>
        <v>SPL 2012 - 8th Southern Programmable Logic Conference</v>
      </c>
      <c r="B19184" s="8" t="str">
        <f>"9781467301862"</f>
        <v>9781467301862</v>
      </c>
      <c r="C19184" s="8" t="s">
        <v>9</v>
      </c>
    </row>
    <row r="19185" spans="1:3" x14ac:dyDescent="0.25">
      <c r="A19185" s="8" t="str">
        <f>"SPLASH 2012 - Proceedings of the 2012 ACM Conference on Systems, Programming, and Applications: Software for Humanity"</f>
        <v>SPLASH 2012 - Proceedings of the 2012 ACM Conference on Systems, Programming, and Applications: Software for Humanity</v>
      </c>
      <c r="B19185" s="8" t="str">
        <f>"9781450315630"</f>
        <v>9781450315630</v>
      </c>
      <c r="C19185" s="8" t="s">
        <v>21</v>
      </c>
    </row>
    <row r="19186" spans="1:3" x14ac:dyDescent="0.25">
      <c r="A19186" s="8" t="str">
        <f>"SPLASH 2012: AGERE 2012 - Proceedings of the 2012 ACM Workshop on Programming Systems, Languages and Applications Based on Actors, Agents, and Decentralized Control Abstractions"</f>
        <v>SPLASH 2012: AGERE 2012 - Proceedings of the 2012 ACM Workshop on Programming Systems, Languages and Applications Based on Actors, Agents, and Decentralized Control Abstractions</v>
      </c>
      <c r="B19186" s="8" t="str">
        <f>"9781450316309"</f>
        <v>9781450316309</v>
      </c>
      <c r="C19186" s="8" t="s">
        <v>21</v>
      </c>
    </row>
    <row r="19187" spans="1:3" x14ac:dyDescent="0.25">
      <c r="A19187" s="8" t="str">
        <f>"SPLASH 2012: DCP 2012 - Proceedings of the 2012 ACM Workshop on Developing Competency in Parallelism: Techniques for Education and Training"</f>
        <v>SPLASH 2012: DCP 2012 - Proceedings of the 2012 ACM Workshop on Developing Competency in Parallelism: Techniques for Education and Training</v>
      </c>
      <c r="B19187" s="8" t="str">
        <f>"9781450318402"</f>
        <v>9781450318402</v>
      </c>
      <c r="C19187" s="8" t="s">
        <v>21</v>
      </c>
    </row>
    <row r="19188" spans="1:3" x14ac:dyDescent="0.25">
      <c r="A19188" s="8" t="str">
        <f>"SPLASH 2012: DLS'12 - Proceedings of the 8th ACM Symposium on Dynamic Languages"</f>
        <v>SPLASH 2012: DLS'12 - Proceedings of the 8th ACM Symposium on Dynamic Languages</v>
      </c>
      <c r="B19188" s="8" t="str">
        <f>"9781450315647"</f>
        <v>9781450315647</v>
      </c>
      <c r="C19188" s="8" t="s">
        <v>21</v>
      </c>
    </row>
    <row r="19189" spans="1:3" x14ac:dyDescent="0.25">
      <c r="A19189" s="8" t="str">
        <f>"SPLASH 2012: DSM 2012 - Proceedings of the 2012 ACM Workshop on Domain-Specific Modeling"</f>
        <v>SPLASH 2012: DSM 2012 - Proceedings of the 2012 ACM Workshop on Domain-Specific Modeling</v>
      </c>
      <c r="B19189" s="8" t="str">
        <f>"9781450316347"</f>
        <v>9781450316347</v>
      </c>
      <c r="C19189" s="8" t="s">
        <v>21</v>
      </c>
    </row>
    <row r="19190" spans="1:3" x14ac:dyDescent="0.25">
      <c r="A19190" s="8" t="str">
        <f>"SPLASH 2012: FREECO 2012 - Proceedings of the 2012 ACM 3rd International Workshop on Free Composition"</f>
        <v>SPLASH 2012: FREECO 2012 - Proceedings of the 2012 ACM 3rd International Workshop on Free Composition</v>
      </c>
      <c r="B19190" s="8" t="str">
        <f>"9781450316354"</f>
        <v>9781450316354</v>
      </c>
      <c r="C19190" s="8" t="s">
        <v>21</v>
      </c>
    </row>
    <row r="19191" spans="1:3" x14ac:dyDescent="0.25">
      <c r="A19191" s="8" t="str">
        <f>"SPLASH 2012: Onward! 2012 - Proceedings of the ACM International Symposium on New Ideas, New Paradigms, and Reflections on Programming and Software"</f>
        <v>SPLASH 2012: Onward! 2012 - Proceedings of the ACM International Symposium on New Ideas, New Paradigms, and Reflections on Programming and Software</v>
      </c>
      <c r="B19191" s="8" t="str">
        <f>"9781450315623"</f>
        <v>9781450315623</v>
      </c>
      <c r="C19191" s="8" t="s">
        <v>21</v>
      </c>
    </row>
    <row r="19192" spans="1:3" x14ac:dyDescent="0.25">
      <c r="A19192" s="8" t="str">
        <f>"SPLASH 2012: PLATEAU 2012 - Proceedings of the 2012 ACM 4th Annual Workshop on Evaluation and Usability of Programming Languages and Tools"</f>
        <v>SPLASH 2012: PLATEAU 2012 - Proceedings of the 2012 ACM 4th Annual Workshop on Evaluation and Usability of Programming Languages and Tools</v>
      </c>
      <c r="B19192" s="8" t="str">
        <f>"9781450316316"</f>
        <v>9781450316316</v>
      </c>
      <c r="C19192" s="8" t="s">
        <v>21</v>
      </c>
    </row>
    <row r="19193" spans="1:3" x14ac:dyDescent="0.25">
      <c r="A19193" s="8" t="str">
        <f>"SPLASH 2012: RACES 2012 - Proceedings of the 2012 ACM Workshop on Relaxing Synchronization for Multicore and Manycore Scalability"</f>
        <v>SPLASH 2012: RACES 2012 - Proceedings of the 2012 ACM Workshop on Relaxing Synchronization for Multicore and Manycore Scalability</v>
      </c>
      <c r="B19193" s="8" t="str">
        <f>"9781450316323"</f>
        <v>9781450316323</v>
      </c>
      <c r="C19193" s="8" t="s">
        <v>21</v>
      </c>
    </row>
    <row r="19194" spans="1:3" x14ac:dyDescent="0.25">
      <c r="A19194" s="8" t="str">
        <f>"SPLASH 2012: VMIL 2012 - Proceedings of the 2012 ACM Workshop on Virtual Machines and Intermediate Languages"</f>
        <v>SPLASH 2012: VMIL 2012 - Proceedings of the 2012 ACM Workshop on Virtual Machines and Intermediate Languages</v>
      </c>
      <c r="B19194" s="8" t="str">
        <f>"9781450316330"</f>
        <v>9781450316330</v>
      </c>
      <c r="C19194" s="8" t="s">
        <v>21</v>
      </c>
    </row>
    <row r="19195" spans="1:3" x14ac:dyDescent="0.25">
      <c r="A19195" s="8" t="str">
        <f>"SPLASH 2013 - Proceedings of the 2013 Companion Publication for Conference on Systems, Programming, and Applications: Software for Humanity"</f>
        <v>SPLASH 2013 - Proceedings of the 2013 Companion Publication for Conference on Systems, Programming, and Applications: Software for Humanity</v>
      </c>
      <c r="B19195" s="8" t="str">
        <f>"9781450319959"</f>
        <v>9781450319959</v>
      </c>
      <c r="C19195" s="8" t="s">
        <v>21</v>
      </c>
    </row>
    <row r="19196" spans="1:3" x14ac:dyDescent="0.25">
      <c r="A19196" s="8" t="str">
        <f>"SPLASH 2014 - Companion Publication of the 2014 ACM SIGPLAN Conference on Systems, Programming, and Applications: Software for Humanity"</f>
        <v>SPLASH 2014 - Companion Publication of the 2014 ACM SIGPLAN Conference on Systems, Programming, and Applications: Software for Humanity</v>
      </c>
      <c r="B19196" s="8" t="str">
        <f>"9781450332088"</f>
        <v>9781450332088</v>
      </c>
      <c r="C19196" s="8" t="s">
        <v>1235</v>
      </c>
    </row>
    <row r="19197" spans="1:3" x14ac:dyDescent="0.25">
      <c r="A19197" s="8" t="str">
        <f>"SPLASH Indianapolis 2013: Onward! 2013 - Proceedings of the 2013 International Symposium on New Ideas, New Paradigms, and Reflections on Programming and Software"</f>
        <v>SPLASH Indianapolis 2013: Onward! 2013 - Proceedings of the 2013 International Symposium on New Ideas, New Paradigms, and Reflections on Programming and Software</v>
      </c>
      <c r="B19197" s="8" t="str">
        <f>"9781450324724"</f>
        <v>9781450324724</v>
      </c>
      <c r="C19197" s="8" t="s">
        <v>21</v>
      </c>
    </row>
    <row r="19198" spans="1:3" x14ac:dyDescent="0.25">
      <c r="A19198" s="8" t="str">
        <f>"SPLASH Indianapolis 2013; GPCE 2013 - Proceedings of the 12th International Conference on Generative Programming: Concepts and Experiences"</f>
        <v>SPLASH Indianapolis 2013; GPCE 2013 - Proceedings of the 12th International Conference on Generative Programming: Concepts and Experiences</v>
      </c>
      <c r="B19198" s="8" t="str">
        <f>"9781450323734"</f>
        <v>9781450323734</v>
      </c>
      <c r="C19198" s="8" t="s">
        <v>21</v>
      </c>
    </row>
    <row r="19199" spans="1:3" x14ac:dyDescent="0.25">
      <c r="A19199" s="8" t="str">
        <f>"SPLASH'11 Compilation - Proceedings of OOPSLA'11, Onward! 2011, GPCE'11, DLS'11, and SPLASH'11 Companion"</f>
        <v>SPLASH'11 Compilation - Proceedings of OOPSLA'11, Onward! 2011, GPCE'11, DLS'11, and SPLASH'11 Companion</v>
      </c>
      <c r="B19199" s="8" t="str">
        <f>"9781450309424"</f>
        <v>9781450309424</v>
      </c>
      <c r="C19199" s="8" t="s">
        <v>21</v>
      </c>
    </row>
    <row r="19200" spans="1:3" x14ac:dyDescent="0.25">
      <c r="A19200" s="8" t="str">
        <f>"SPLASH'11 Workshops - Compilation Proceedings of the Co-Located Workshops: DSM'11, TMC'11, AGERE'11, AOOPES'11, NEAT'11, and VMIL'11"</f>
        <v>SPLASH'11 Workshops - Compilation Proceedings of the Co-Located Workshops: DSM'11, TMC'11, AGERE'11, AOOPES'11, NEAT'11, and VMIL'11</v>
      </c>
      <c r="B19200" s="8" t="str">
        <f>"9781450311830"</f>
        <v>9781450311830</v>
      </c>
      <c r="C19200" s="8" t="s">
        <v>21</v>
      </c>
    </row>
    <row r="19201" spans="1:3" x14ac:dyDescent="0.25">
      <c r="A19201" s="8" t="str">
        <f>"SPLASH'12 - Proceedings of the 2012 ACM Conference on Systems, Programming, and Applications: Software for Humanity"</f>
        <v>SPLASH'12 - Proceedings of the 2012 ACM Conference on Systems, Programming, and Applications: Software for Humanity</v>
      </c>
      <c r="B19201" s="8" t="str">
        <f>"9781450315630"</f>
        <v>9781450315630</v>
      </c>
      <c r="C19201" s="8" t="s">
        <v>21</v>
      </c>
    </row>
    <row r="19202" spans="1:3" x14ac:dyDescent="0.25">
      <c r="A19202" s="8" t="str">
        <f>"SPLST'11 - Proceedings 12th Symposium on Programming Languages and Software Tools"</f>
        <v>SPLST'11 - Proceedings 12th Symposium on Programming Languages and Software Tools</v>
      </c>
      <c r="B19202" s="8" t="str">
        <f>"9789949231782"</f>
        <v>9789949231782</v>
      </c>
      <c r="C19202" s="8" t="s">
        <v>2339</v>
      </c>
    </row>
    <row r="19203" spans="1:3" x14ac:dyDescent="0.25">
      <c r="A19203" s="8" t="str">
        <f>"SPME 2014 - Proceedings of the ACM MobiCom Workshop on Security and Privacy in Mobile Environments"</f>
        <v>SPME 2014 - Proceedings of the ACM MobiCom Workshop on Security and Privacy in Mobile Environments</v>
      </c>
      <c r="B19203" s="8" t="str">
        <f>"9781450330756"</f>
        <v>9781450330756</v>
      </c>
      <c r="C19203" s="8" t="s">
        <v>1235</v>
      </c>
    </row>
    <row r="19204" spans="1:3" x14ac:dyDescent="0.25">
      <c r="A19204" s="8" t="str">
        <f>"SPMRL 2013 - 4th Workshop on Statistical Parsing of Morphologically Rich Languages, Proceedings of the Workshop"</f>
        <v>SPMRL 2013 - 4th Workshop on Statistical Parsing of Morphologically Rich Languages, Proceedings of the Workshop</v>
      </c>
      <c r="B19204" s="8" t="str">
        <f>"9781937284978"</f>
        <v>9781937284978</v>
      </c>
      <c r="C19204" s="8" t="s">
        <v>554</v>
      </c>
    </row>
    <row r="19205" spans="1:3" x14ac:dyDescent="0.25">
      <c r="A19205" s="8" t="str">
        <f>"Spring Conference on Computer Graphics, SCCG 2003 - Conference Proceedings"</f>
        <v>Spring Conference on Computer Graphics, SCCG 2003 - Conference Proceedings</v>
      </c>
      <c r="B19205" s="8" t="str">
        <f>"9781581138610"</f>
        <v>9781581138610</v>
      </c>
      <c r="C19205" s="8" t="s">
        <v>21</v>
      </c>
    </row>
    <row r="19206" spans="1:3" x14ac:dyDescent="0.25">
      <c r="A19206" s="8" t="str">
        <f>"Spring Conference on Computer Graphics, SCCG 2004 - Conference Proceedings"</f>
        <v>Spring Conference on Computer Graphics, SCCG 2004 - Conference Proceedings</v>
      </c>
      <c r="B19206" s="8" t="str">
        <f>"9781581139143"</f>
        <v>9781581139143</v>
      </c>
      <c r="C19206" s="8" t="s">
        <v>21</v>
      </c>
    </row>
    <row r="19207" spans="1:3" x14ac:dyDescent="0.25">
      <c r="A19207" s="8" t="str">
        <f>"Spring Conference on Computer Graphics, SCCG 2005 - Conference Proceedings"</f>
        <v>Spring Conference on Computer Graphics, SCCG 2005 - Conference Proceedings</v>
      </c>
      <c r="B19207" s="8" t="str">
        <f>"-"</f>
        <v>-</v>
      </c>
      <c r="C19207" s="8" t="s">
        <v>21</v>
      </c>
    </row>
    <row r="19208" spans="1:3" x14ac:dyDescent="0.25">
      <c r="A19208" s="8" t="str">
        <f>"Spring Simulation Interoperability Workshop 2006"</f>
        <v>Spring Simulation Interoperability Workshop 2006</v>
      </c>
      <c r="B19208" s="8" t="str">
        <f>"9781615671731"</f>
        <v>9781615671731</v>
      </c>
      <c r="C19208" s="8" t="s">
        <v>1283</v>
      </c>
    </row>
    <row r="19209" spans="1:3" x14ac:dyDescent="0.25">
      <c r="A19209" s="8" t="str">
        <f>"Spring Simulation Interoperability Workshop 2010, 2010 Spring SIW"</f>
        <v>Spring Simulation Interoperability Workshop 2010, 2010 Spring SIW</v>
      </c>
      <c r="B19209" s="8" t="str">
        <f>"9781617381133"</f>
        <v>9781617381133</v>
      </c>
      <c r="C19209" s="8" t="s">
        <v>1362</v>
      </c>
    </row>
    <row r="19210" spans="1:3" x14ac:dyDescent="0.25">
      <c r="A19210" s="8" t="str">
        <f>"Spring Simulation Interoperability Workshop 2011, 2011 Spring SIW"</f>
        <v>Spring Simulation Interoperability Workshop 2011, 2011 Spring SIW</v>
      </c>
      <c r="B19210" s="8" t="str">
        <f>"9781617824241"</f>
        <v>9781617824241</v>
      </c>
      <c r="C19210" s="8" t="s">
        <v>1362</v>
      </c>
    </row>
    <row r="19211" spans="1:3" x14ac:dyDescent="0.25">
      <c r="A19211" s="8" t="str">
        <f>"Spring Simulation Interoperability Workshop 2012, 2012 Spring SIW"</f>
        <v>Spring Simulation Interoperability Workshop 2012, 2012 Spring SIW</v>
      </c>
      <c r="B19211" s="8" t="str">
        <f>"9781618397195"</f>
        <v>9781618397195</v>
      </c>
      <c r="C19211" s="8" t="s">
        <v>1283</v>
      </c>
    </row>
    <row r="19212" spans="1:3" x14ac:dyDescent="0.25">
      <c r="A19212" s="8" t="str">
        <f>"Spring Simulation Interoperability Workshop 2013, SIW 2013"</f>
        <v>Spring Simulation Interoperability Workshop 2013, SIW 2013</v>
      </c>
      <c r="B19212" s="8" t="str">
        <f>"9781627480192"</f>
        <v>9781627480192</v>
      </c>
      <c r="C19212" s="8" t="s">
        <v>1283</v>
      </c>
    </row>
    <row r="19213" spans="1:3" x14ac:dyDescent="0.25">
      <c r="A19213" s="8" t="str">
        <f>"Spring Simulation Multiconference 2010, SpringSim'10"</f>
        <v>Spring Simulation Multiconference 2010, SpringSim'10</v>
      </c>
      <c r="B19213" s="8" t="str">
        <f>"9781450300698"</f>
        <v>9781450300698</v>
      </c>
      <c r="C19213" s="8" t="s">
        <v>2340</v>
      </c>
    </row>
    <row r="19214" spans="1:3" x14ac:dyDescent="0.25">
      <c r="A19214" s="8" t="str">
        <f>"SPRINGL 2009 - Proceedings of the 2nd SIGSPATIAL ACM GIS 2009 International Workshop on Security and Privacy in GIS and LBS"</f>
        <v>SPRINGL 2009 - Proceedings of the 2nd SIGSPATIAL ACM GIS 2009 International Workshop on Security and Privacy in GIS and LBS</v>
      </c>
      <c r="B19214" s="8" t="str">
        <f>"9781605588537"</f>
        <v>9781605588537</v>
      </c>
      <c r="C19214" s="8" t="s">
        <v>21</v>
      </c>
    </row>
    <row r="19215" spans="1:3" x14ac:dyDescent="0.25">
      <c r="A19215" s="8" t="str">
        <f>"SPRINGL 2011 - Proceedings of the 4th ACM SIGSPATIAL International Workshop on Security and Privacy in GIS and LBS"</f>
        <v>SPRINGL 2011 - Proceedings of the 4th ACM SIGSPATIAL International Workshop on Security and Privacy in GIS and LBS</v>
      </c>
      <c r="B19215" s="8" t="str">
        <f>"9781450310321"</f>
        <v>9781450310321</v>
      </c>
      <c r="C19215" s="8" t="s">
        <v>21</v>
      </c>
    </row>
    <row r="19216" spans="1:3" x14ac:dyDescent="0.25">
      <c r="A19216" s="8" t="str">
        <f>"SRIF 2013 - Proceedings of the 2nd, 2013 ACM SIGCOMM Workshop on Software Radio Implementation Forum"</f>
        <v>SRIF 2013 - Proceedings of the 2nd, 2013 ACM SIGCOMM Workshop on Software Radio Implementation Forum</v>
      </c>
      <c r="B19216" s="8" t="str">
        <f>"9781450321815"</f>
        <v>9781450321815</v>
      </c>
      <c r="C19216" s="8" t="s">
        <v>21</v>
      </c>
    </row>
    <row r="19217" spans="1:3" x14ac:dyDescent="0.25">
      <c r="A19217" s="8" t="str">
        <f>"SRMC '04 - Proceedings of the First ACM Workshop on Story Representation, Mechanism and Context"</f>
        <v>SRMC '04 - Proceedings of the First ACM Workshop on Story Representation, Mechanism and Context</v>
      </c>
      <c r="B19217" s="8" t="str">
        <f>"9781581139310"</f>
        <v>9781581139310</v>
      </c>
      <c r="C19217" s="8" t="s">
        <v>21</v>
      </c>
    </row>
    <row r="19218" spans="1:3" x14ac:dyDescent="0.25">
      <c r="A19218" s="8" t="str">
        <f>"SSC 2003 - 3rd International Workshop on Scientific Use of Submarine Cables and Related Technologies"</f>
        <v>SSC 2003 - 3rd International Workshop on Scientific Use of Submarine Cables and Related Technologies</v>
      </c>
      <c r="B19218" s="8" t="str">
        <f>"9780780377752"</f>
        <v>9780780377752</v>
      </c>
      <c r="C19218" s="8" t="s">
        <v>105</v>
      </c>
    </row>
    <row r="19219" spans="1:3" x14ac:dyDescent="0.25">
      <c r="A19219" s="8" t="str">
        <f>"SSCS'10 - Proceedings of the 2010 ACM Workshop on Searching Spontaneous Conversational Speech, Co-located with ACM Multimedia 2010"</f>
        <v>SSCS'10 - Proceedings of the 2010 ACM Workshop on Searching Spontaneous Conversational Speech, Co-located with ACM Multimedia 2010</v>
      </c>
      <c r="B19219" s="8" t="str">
        <f>"9781450301626"</f>
        <v>9781450301626</v>
      </c>
      <c r="C19219" s="8" t="s">
        <v>21</v>
      </c>
    </row>
    <row r="19220" spans="1:3" x14ac:dyDescent="0.25">
      <c r="A19220" s="8" t="str">
        <f>"SSE'11 - Proceedings of the 4th International Workshop on Social Software Engineering"</f>
        <v>SSE'11 - Proceedings of the 4th International Workshop on Social Software Engineering</v>
      </c>
      <c r="B19220" s="8" t="str">
        <f>"9781450308502"</f>
        <v>9781450308502</v>
      </c>
      <c r="C19220" s="8" t="s">
        <v>21</v>
      </c>
    </row>
    <row r="19221" spans="1:3" x14ac:dyDescent="0.25">
      <c r="A19221" s="8" t="str">
        <f>"SSIRI 2009 - 3rd IEEE International Conference on Secure Software Integration Reliability Improvement"</f>
        <v>SSIRI 2009 - 3rd IEEE International Conference on Secure Software Integration Reliability Improvement</v>
      </c>
      <c r="B19221" s="8" t="str">
        <f>"9780769537580"</f>
        <v>9780769537580</v>
      </c>
      <c r="C19221" s="8" t="s">
        <v>9</v>
      </c>
    </row>
    <row r="19222" spans="1:3" x14ac:dyDescent="0.25">
      <c r="A19222" s="8" t="str">
        <f>"SSIRI 2010 - 4th IEEE International Conference on Secure Software Integration and Reliability Improvement"</f>
        <v>SSIRI 2010 - 4th IEEE International Conference on Secure Software Integration and Reliability Improvement</v>
      </c>
      <c r="B19222" s="8" t="str">
        <f>"9780769540863"</f>
        <v>9780769540863</v>
      </c>
      <c r="C19222" s="8" t="s">
        <v>9</v>
      </c>
    </row>
    <row r="19223" spans="1:3" x14ac:dyDescent="0.25">
      <c r="A19223" s="8" t="str">
        <f>"SSIRI-C 2010 - 4th IEEE International Conference on Secure Software Integration and Reliability Improvement Companion"</f>
        <v>SSIRI-C 2010 - 4th IEEE International Conference on Secure Software Integration and Reliability Improvement Companion</v>
      </c>
      <c r="B19223" s="8" t="str">
        <f>"9780769540870"</f>
        <v>9780769540870</v>
      </c>
      <c r="C19223" s="8" t="s">
        <v>9</v>
      </c>
    </row>
    <row r="19224" spans="1:3" x14ac:dyDescent="0.25">
      <c r="A19224" s="8" t="str">
        <f>"SSPW'10 - Proceedings of the 2010 ACM Social Signal Processing Workshop, Co-located with ACM Multimedia 2010"</f>
        <v>SSPW'10 - Proceedings of the 2010 ACM Social Signal Processing Workshop, Co-located with ACM Multimedia 2010</v>
      </c>
      <c r="B19224" s="8" t="str">
        <f>"9781450301749"</f>
        <v>9781450301749</v>
      </c>
      <c r="C19224" s="8" t="s">
        <v>21</v>
      </c>
    </row>
    <row r="19225" spans="1:3" x14ac:dyDescent="0.25">
      <c r="A19225" s="8" t="str">
        <f>"SSRR2007 - IEEE International Workshop on Safety, Security and Rescue Robotics Proceedings"</f>
        <v>SSRR2007 - IEEE International Workshop on Safety, Security and Rescue Robotics Proceedings</v>
      </c>
      <c r="B19225" s="8" t="str">
        <f>"9781424415694"</f>
        <v>9781424415694</v>
      </c>
      <c r="C19225" s="8" t="s">
        <v>9</v>
      </c>
    </row>
    <row r="19226" spans="1:3" x14ac:dyDescent="0.25">
      <c r="A19226" s="8" t="str">
        <f>"STA 2014 - 15th International Conference on Sciences and Techniques of Automatic Control and Computer Engineering"</f>
        <v>STA 2014 - 15th International Conference on Sciences and Techniques of Automatic Control and Computer Engineering</v>
      </c>
      <c r="B19226" s="8" t="str">
        <f>"9781479959075"</f>
        <v>9781479959075</v>
      </c>
      <c r="C19226" s="8" t="s">
        <v>105</v>
      </c>
    </row>
    <row r="19227" spans="1:3" x14ac:dyDescent="0.25">
      <c r="A19227" s="8" t="str">
        <f>"Stabilisation/Solidification Treatment and Remediation: Advances in S/S for Waste and Contaminated Land - Proc. of the International Conf. on Stabilisation/Solidification Treatment and Remediation"</f>
        <v>Stabilisation/Solidification Treatment and Remediation: Advances in S/S for Waste and Contaminated Land - Proc. of the International Conf. on Stabilisation/Solidification Treatment and Remediation</v>
      </c>
      <c r="B19227" s="8" t="str">
        <f>"9780415374606"</f>
        <v>9780415374606</v>
      </c>
      <c r="C19227" s="8" t="s">
        <v>1558</v>
      </c>
    </row>
    <row r="19228" spans="1:3" x14ac:dyDescent="0.25">
      <c r="A19228" s="8" t="str">
        <f>"State of the Practice Reports, SC'11"</f>
        <v>State of the Practice Reports, SC'11</v>
      </c>
      <c r="B19228" s="8" t="str">
        <f>"9781450311397"</f>
        <v>9781450311397</v>
      </c>
      <c r="C19228" s="8" t="s">
        <v>21</v>
      </c>
    </row>
    <row r="19229" spans="1:3" x14ac:dyDescent="0.25">
      <c r="A19229" s="8" t="str">
        <f>"Statics and Dynamics with Background Mathematics"</f>
        <v>Statics and Dynamics with Background Mathematics</v>
      </c>
      <c r="B19229" s="8" t="str">
        <f>"9780521520874"</f>
        <v>9780521520874</v>
      </c>
      <c r="C19229" s="8" t="s">
        <v>152</v>
      </c>
    </row>
    <row r="19230" spans="1:3" x14ac:dyDescent="0.25">
      <c r="A19230" s="8" t="str">
        <f>"Statistical Problems in Particle Physics, Astrophysics and Cosmology - Proceedings of PHYSTAT 2005"</f>
        <v>Statistical Problems in Particle Physics, Astrophysics and Cosmology - Proceedings of PHYSTAT 2005</v>
      </c>
      <c r="B19230" s="8" t="str">
        <f>"9781860946493"</f>
        <v>9781860946493</v>
      </c>
      <c r="C19230" s="8" t="s">
        <v>1064</v>
      </c>
    </row>
    <row r="19231" spans="1:3" x14ac:dyDescent="0.25">
      <c r="A19231" s="8" t="str">
        <f>"Stellar Winds in Interaction - Proceedings of the International ProAm Workshop on Stellar Winds"</f>
        <v>Stellar Winds in Interaction - Proceedings of the International ProAm Workshop on Stellar Winds</v>
      </c>
      <c r="B19231" s="8" t="str">
        <f>"-"</f>
        <v>-</v>
      </c>
      <c r="C19231" s="8" t="s">
        <v>2341</v>
      </c>
    </row>
    <row r="19232" spans="1:3" x14ac:dyDescent="0.25">
      <c r="A19232" s="8" t="str">
        <f>"STEP 2004 Proceedings - The 12th International Workshop on Software Technology and Engineering Practice"</f>
        <v>STEP 2004 Proceedings - The 12th International Workshop on Software Technology and Engineering Practice</v>
      </c>
      <c r="B19232" s="8" t="str">
        <f>"9780769522937"</f>
        <v>9780769522937</v>
      </c>
      <c r="C19232" s="8" t="s">
        <v>9</v>
      </c>
    </row>
    <row r="19233" spans="1:3" x14ac:dyDescent="0.25">
      <c r="A19233" s="8" t="str">
        <f>"Stiff Sedimentary Clays: Genesis and Engineering Behaviour - Geotechnique Symposium in Print 2007"</f>
        <v>Stiff Sedimentary Clays: Genesis and Engineering Behaviour - Geotechnique Symposium in Print 2007</v>
      </c>
      <c r="B19233" s="8" t="str">
        <f>"9780727741080"</f>
        <v>9780727741080</v>
      </c>
    </row>
    <row r="19234" spans="1:3" x14ac:dyDescent="0.25">
      <c r="A19234" s="8" t="str">
        <f>"STIL 2009 - 2009 7th Brazilian Symposium in Information and Human Language Technology"</f>
        <v>STIL 2009 - 2009 7th Brazilian Symposium in Information and Human Language Technology</v>
      </c>
      <c r="B19234" s="8" t="str">
        <f>"9780769539454"</f>
        <v>9780769539454</v>
      </c>
      <c r="C19234" s="8" t="s">
        <v>9</v>
      </c>
    </row>
    <row r="19235" spans="1:3" x14ac:dyDescent="0.25">
      <c r="A19235" s="8" t="str">
        <f>"Stochastic Analysis and Applications: The Abel Symposium 2005 - Proceedings of the 2nd Abel Symposium, Held in Honor of Kiyosi Ito"</f>
        <v>Stochastic Analysis and Applications: The Abel Symposium 2005 - Proceedings of the 2nd Abel Symposium, Held in Honor of Kiyosi Ito</v>
      </c>
      <c r="B19235" s="8" t="str">
        <f>"9783540708469"</f>
        <v>9783540708469</v>
      </c>
      <c r="C19235" s="8" t="s">
        <v>42</v>
      </c>
    </row>
    <row r="19236" spans="1:3" x14ac:dyDescent="0.25">
      <c r="A19236" s="8" t="str">
        <f>"Stochastic Methods in Subsurface Contaminant Hydrology"</f>
        <v>Stochastic Methods in Subsurface Contaminant Hydrology</v>
      </c>
      <c r="B19236" s="8" t="str">
        <f>"9780784405321"</f>
        <v>9780784405321</v>
      </c>
      <c r="C19236" s="8" t="s">
        <v>111</v>
      </c>
    </row>
    <row r="19237" spans="1:3" x14ac:dyDescent="0.25">
      <c r="A19237" s="8" t="str">
        <f>"StorageSS'05 - Proceedings of the 2005 ACM Workshop on Storage Security and Survivability"</f>
        <v>StorageSS'05 - Proceedings of the 2005 ACM Workshop on Storage Security and Survivability</v>
      </c>
      <c r="B19237" s="8" t="str">
        <f>"9781595932334"</f>
        <v>9781595932334</v>
      </c>
      <c r="C19237" s="8" t="s">
        <v>21</v>
      </c>
    </row>
    <row r="19238" spans="1:3" x14ac:dyDescent="0.25">
      <c r="A19238" s="8" t="str">
        <f>"StorageSS'07 - Proceedings of the 2007 ACM Workshop on Storage Security and Survivability"</f>
        <v>StorageSS'07 - Proceedings of the 2007 ACM Workshop on Storage Security and Survivability</v>
      </c>
      <c r="B19238" s="8" t="str">
        <f>"9781595938916"</f>
        <v>9781595938916</v>
      </c>
      <c r="C19238" s="8" t="s">
        <v>21</v>
      </c>
    </row>
    <row r="19239" spans="1:3" x14ac:dyDescent="0.25">
      <c r="A19239" s="8" t="str">
        <f>"Storm Surge Barriers to Protect New York City: Against the Deluge"</f>
        <v>Storm Surge Barriers to Protect New York City: Against the Deluge</v>
      </c>
      <c r="B19239" s="8" t="str">
        <f>"9780784477007"</f>
        <v>9780784477007</v>
      </c>
      <c r="C19239" s="8" t="s">
        <v>111</v>
      </c>
    </row>
    <row r="19240" spans="1:3" x14ac:dyDescent="0.25">
      <c r="A19240" s="8" t="str">
        <f>"Structural Analysis of Historic Construction: Preserving Safety and Significance - Proceedings of the 6th International Conference on Structural Analysis of Historic Construction, SAHC08"</f>
        <v>Structural Analysis of Historic Construction: Preserving Safety and Significance - Proceedings of the 6th International Conference on Structural Analysis of Historic Construction, SAHC08</v>
      </c>
      <c r="B19240" s="8" t="str">
        <f>"9780415468725"</f>
        <v>9780415468725</v>
      </c>
      <c r="C19240" s="8" t="s">
        <v>1637</v>
      </c>
    </row>
    <row r="19241" spans="1:3" x14ac:dyDescent="0.25">
      <c r="A19241" s="8" t="str">
        <f>"Structural Engineering Research Frontiers"</f>
        <v>Structural Engineering Research Frontiers</v>
      </c>
      <c r="B19241" s="8" t="str">
        <f>"9780784409442"</f>
        <v>9780784409442</v>
      </c>
      <c r="C19241" s="8" t="s">
        <v>111</v>
      </c>
    </row>
    <row r="19242" spans="1:3" x14ac:dyDescent="0.25">
      <c r="A19242" s="8" t="str">
        <f>"Structural Health Monitoring 2003: From Diagnostics and Prognostics to Structural Health Management - Proceedings of the 4th International Workshop on Structural Health Monitoring, IWSHM 2003"</f>
        <v>Structural Health Monitoring 2003: From Diagnostics and Prognostics to Structural Health Management - Proceedings of the 4th International Workshop on Structural Health Monitoring, IWSHM 2003</v>
      </c>
      <c r="B19242" s="8" t="str">
        <f>"9781932078206"</f>
        <v>9781932078206</v>
      </c>
      <c r="C19242" s="8" t="s">
        <v>1313</v>
      </c>
    </row>
    <row r="19243" spans="1:3" x14ac:dyDescent="0.25">
      <c r="A19243" s="8" t="str">
        <f>"Structural Health Monitoring 2007: Quantification, Validation, and Implementation - Proceedings of the 6th International Workshop on Structural Health Monitoring, IWSHM 2007"</f>
        <v>Structural Health Monitoring 2007: Quantification, Validation, and Implementation - Proceedings of the 6th International Workshop on Structural Health Monitoring, IWSHM 2007</v>
      </c>
      <c r="B19243" s="8" t="str">
        <f>"-"</f>
        <v>-</v>
      </c>
      <c r="C19243" s="8" t="s">
        <v>1313</v>
      </c>
    </row>
    <row r="19244" spans="1:3" x14ac:dyDescent="0.25">
      <c r="A19244" s="8" t="str">
        <f>"Structural Health Monitoring 2009: From System Integration to Autonomous Systems - Proceedings of the 7th International Workshop on Structural Health Monitoring, IWSHM 2009"</f>
        <v>Structural Health Monitoring 2009: From System Integration to Autonomous Systems - Proceedings of the 7th International Workshop on Structural Health Monitoring, IWSHM 2009</v>
      </c>
      <c r="B19244" s="8" t="str">
        <f>"-"</f>
        <v>-</v>
      </c>
      <c r="C19244" s="8" t="s">
        <v>1313</v>
      </c>
    </row>
    <row r="19245" spans="1:3" x14ac:dyDescent="0.25">
      <c r="A19245" s="8" t="str">
        <f>"Structural Health Monitoring 2011: Condition-Based Maintenance and Intelligent Structures - Proceedings of the 8th International Workshop on Structural Health Monitoring"</f>
        <v>Structural Health Monitoring 2011: Condition-Based Maintenance and Intelligent Structures - Proceedings of the 8th International Workshop on Structural Health Monitoring</v>
      </c>
      <c r="B19245" s="8" t="str">
        <f>"9781605950532"</f>
        <v>9781605950532</v>
      </c>
      <c r="C19245" s="8" t="s">
        <v>757</v>
      </c>
    </row>
    <row r="19246" spans="1:3" x14ac:dyDescent="0.25">
      <c r="A19246" s="8" t="str">
        <f>"Structural Health Monitoring 2013: A Roadmap to Intelligent Structures - Proceedings of the 9th International Workshop on Structural Health Monitoring, IWSHM 2013"</f>
        <v>Structural Health Monitoring 2013: A Roadmap to Intelligent Structures - Proceedings of the 9th International Workshop on Structural Health Monitoring, IWSHM 2013</v>
      </c>
      <c r="B19246" s="8" t="str">
        <f>"-"</f>
        <v>-</v>
      </c>
      <c r="C19246" s="8" t="s">
        <v>1313</v>
      </c>
    </row>
    <row r="19247" spans="1:3" x14ac:dyDescent="0.25">
      <c r="A19247" s="8" t="str">
        <f>"Structural Health Monitoring 2015: System Reliability for Verification and Implementation - Proceedings of the 10th International Workshop on Structural Health Monitoring, IWSHM 2015"</f>
        <v>Structural Health Monitoring 2015: System Reliability for Verification and Implementation - Proceedings of the 10th International Workshop on Structural Health Monitoring, IWSHM 2015</v>
      </c>
      <c r="B19247" s="8" t="str">
        <f>"-"</f>
        <v>-</v>
      </c>
      <c r="C19247" s="8" t="s">
        <v>1313</v>
      </c>
    </row>
    <row r="19248" spans="1:3" x14ac:dyDescent="0.25">
      <c r="A19248" s="8" t="str">
        <f>"Structural Health Monitoring and Integrity Management - Proceeding of the 2nd International Conference of Structural Health Monitoring and Integrity Management, ICSHMIM 2014"</f>
        <v>Structural Health Monitoring and Integrity Management - Proceeding of the 2nd International Conference of Structural Health Monitoring and Integrity Management, ICSHMIM 2014</v>
      </c>
      <c r="B19248" s="8" t="str">
        <f>"9781138027763"</f>
        <v>9781138027763</v>
      </c>
      <c r="C19248" s="8" t="s">
        <v>1635</v>
      </c>
    </row>
    <row r="19249" spans="1:3" x14ac:dyDescent="0.25">
      <c r="A19249" s="8" t="str">
        <f>"Structural Health Monitoring and Intelligent Infrastructure - Proceedings of the 1st International Conference on Structural Health Monitoring and Intelligent Infrastructure"</f>
        <v>Structural Health Monitoring and Intelligent Infrastructure - Proceedings of the 1st International Conference on Structural Health Monitoring and Intelligent Infrastructure</v>
      </c>
      <c r="B19249" s="8" t="str">
        <f>"9789058096487"</f>
        <v>9789058096487</v>
      </c>
      <c r="C19249" s="8" t="s">
        <v>1650</v>
      </c>
    </row>
    <row r="19250" spans="1:3" x14ac:dyDescent="0.25">
      <c r="A19250" s="8" t="str">
        <f>"Structural Health Monitoring and Intelligent Infrastructure - Proceedings of the 2nd International Conference on Structural Health Monitoring of Intelligent Infrastructure, SHMII 2005"</f>
        <v>Structural Health Monitoring and Intelligent Infrastructure - Proceedings of the 2nd International Conference on Structural Health Monitoring of Intelligent Infrastructure, SHMII 2005</v>
      </c>
      <c r="B19250" s="8" t="str">
        <f>"-"</f>
        <v>-</v>
      </c>
      <c r="C19250" s="8" t="s">
        <v>1619</v>
      </c>
    </row>
    <row r="19251" spans="1:3" x14ac:dyDescent="0.25">
      <c r="A19251" s="8" t="str">
        <f>"Structural Health Monitoring for Infrastructure Sustainability - Proceedings of the 6th International Conference on Structural Health Monitoring of Intelligent Infrastructure, SHMII 2013"</f>
        <v>Structural Health Monitoring for Infrastructure Sustainability - Proceedings of the 6th International Conference on Structural Health Monitoring of Intelligent Infrastructure, SHMII 2013</v>
      </c>
      <c r="B19251" s="8" t="str">
        <f>"9789623677684"</f>
        <v>9789623677684</v>
      </c>
      <c r="C19251" s="8" t="s">
        <v>2246</v>
      </c>
    </row>
    <row r="19252" spans="1:3" x14ac:dyDescent="0.25">
      <c r="A19252" s="8" t="str">
        <f>"Structural Health Monitoring of Intelligent Infrastructure - Proceedings of the 4th International Conference on Structural Health Monitoring of Intelligent Infrastructure, SHMII 2009"</f>
        <v>Structural Health Monitoring of Intelligent Infrastructure - Proceedings of the 4th International Conference on Structural Health Monitoring of Intelligent Infrastructure, SHMII 2009</v>
      </c>
      <c r="B19252" s="8" t="str">
        <f>"9783905594522"</f>
        <v>9783905594522</v>
      </c>
      <c r="C19252" s="8" t="s">
        <v>2342</v>
      </c>
    </row>
    <row r="19253" spans="1:3" x14ac:dyDescent="0.25">
      <c r="A19253" s="8" t="str">
        <f>"Structural Membranes 2011 - 5th International Conference on Textile Composites and Inflatable Structures"</f>
        <v>Structural Membranes 2011 - 5th International Conference on Textile Composites and Inflatable Structures</v>
      </c>
      <c r="B19253" s="8" t="str">
        <f>"9788489925588"</f>
        <v>9788489925588</v>
      </c>
      <c r="C19253" s="8" t="s">
        <v>1238</v>
      </c>
    </row>
    <row r="19254" spans="1:3" x14ac:dyDescent="0.25">
      <c r="A19254" s="8" t="str">
        <f>"Structural Stability Research Council - Annual Stability Conference, SSRC 2010 - Proceedings"</f>
        <v>Structural Stability Research Council - Annual Stability Conference, SSRC 2010 - Proceedings</v>
      </c>
      <c r="B19254" s="8" t="str">
        <f>"9781879749771"</f>
        <v>9781879749771</v>
      </c>
      <c r="C19254" s="8" t="s">
        <v>2060</v>
      </c>
    </row>
    <row r="19255" spans="1:3" x14ac:dyDescent="0.25">
      <c r="A19255" s="8" t="str">
        <f>"Structural Stability Research Council - Proceedings 2005 Annual Stability Conference"</f>
        <v>Structural Stability Research Council - Proceedings 2005 Annual Stability Conference</v>
      </c>
      <c r="B19255" s="8" t="str">
        <f>"9781879749726"</f>
        <v>9781879749726</v>
      </c>
      <c r="C19255" s="8" t="s">
        <v>2060</v>
      </c>
    </row>
    <row r="19256" spans="1:3" x14ac:dyDescent="0.25">
      <c r="A19256" s="8" t="str">
        <f>"Structural Stability Research Council - Proceedings 2006 Annual Stability Conference"</f>
        <v>Structural Stability Research Council - Proceedings 2006 Annual Stability Conference</v>
      </c>
      <c r="B19256" s="8" t="str">
        <f>"9781879749733"</f>
        <v>9781879749733</v>
      </c>
      <c r="C19256" s="8" t="s">
        <v>1399</v>
      </c>
    </row>
    <row r="19257" spans="1:3" x14ac:dyDescent="0.25">
      <c r="A19257" s="8" t="str">
        <f>"Structural Stability Research Council - Proceedings of the 2007 Annual Stability Conference"</f>
        <v>Structural Stability Research Council - Proceedings of the 2007 Annual Stability Conference</v>
      </c>
      <c r="B19257" s="8" t="str">
        <f>"9781879749740"</f>
        <v>9781879749740</v>
      </c>
      <c r="C19257" s="8" t="s">
        <v>2060</v>
      </c>
    </row>
    <row r="19258" spans="1:3" x14ac:dyDescent="0.25">
      <c r="A19258" s="8" t="str">
        <f>"Structural Stability Research Council - Proceedings of the 2008 Annual Stability Conference"</f>
        <v>Structural Stability Research Council - Proceedings of the 2008 Annual Stability Conference</v>
      </c>
      <c r="B19258" s="8" t="str">
        <f>"9781879749757"</f>
        <v>9781879749757</v>
      </c>
      <c r="C19258" s="8" t="s">
        <v>2060</v>
      </c>
    </row>
    <row r="19259" spans="1:3" x14ac:dyDescent="0.25">
      <c r="A19259" s="8" t="str">
        <f>"Structural Stability Research Council Annual Stability Conference 2011, ASC"</f>
        <v>Structural Stability Research Council Annual Stability Conference 2011, ASC</v>
      </c>
      <c r="B19259" s="8" t="str">
        <f>"9781618391384"</f>
        <v>9781618391384</v>
      </c>
      <c r="C19259" s="8" t="s">
        <v>2060</v>
      </c>
    </row>
    <row r="19260" spans="1:3" x14ac:dyDescent="0.25">
      <c r="A19260" s="8" t="str">
        <f>"Structural Stability Research Council Annual Stability Conference 2012"</f>
        <v>Structural Stability Research Council Annual Stability Conference 2012</v>
      </c>
      <c r="B19260" s="8" t="str">
        <f>"9781622760756"</f>
        <v>9781622760756</v>
      </c>
      <c r="C19260" s="8" t="s">
        <v>2343</v>
      </c>
    </row>
    <row r="19261" spans="1:3" x14ac:dyDescent="0.25">
      <c r="A19261" s="8" t="str">
        <f>"Structural Stability Research Council Annual Stability Conference 2013, SSRC 2013"</f>
        <v>Structural Stability Research Council Annual Stability Conference 2013, SSRC 2013</v>
      </c>
      <c r="B19261" s="8" t="str">
        <f>"9781627483384"</f>
        <v>9781627483384</v>
      </c>
      <c r="C19261" s="8" t="s">
        <v>2343</v>
      </c>
    </row>
    <row r="19262" spans="1:3" x14ac:dyDescent="0.25">
      <c r="A19262" s="8" t="str">
        <f>"Structural Stability Research Council Annual Stability Conference 2015, SSRC 2015"</f>
        <v>Structural Stability Research Council Annual Stability Conference 2015, SSRC 2015</v>
      </c>
      <c r="B19262" s="8" t="str">
        <f>"9781510802346"</f>
        <v>9781510802346</v>
      </c>
      <c r="C19262" s="8" t="s">
        <v>2343</v>
      </c>
    </row>
    <row r="19263" spans="1:3" x14ac:dyDescent="0.25">
      <c r="A19263" s="8" t="str">
        <f>"Structure and Function"</f>
        <v>Structure and Function</v>
      </c>
      <c r="B19263" s="8" t="str">
        <f>"9789048128877"</f>
        <v>9789048128877</v>
      </c>
      <c r="C19263" s="8" t="s">
        <v>42</v>
      </c>
    </row>
    <row r="19264" spans="1:3" x14ac:dyDescent="0.25">
      <c r="A19264" s="8" t="str">
        <f>"Structures - A Structural Engineering Odyssey, Structures 2001 - Proceedings of the 2001 Structures Congress and Exposition"</f>
        <v>Structures - A Structural Engineering Odyssey, Structures 2001 - Proceedings of the 2001 Structures Congress and Exposition</v>
      </c>
      <c r="B19264" s="8" t="str">
        <f>"9780784405581"</f>
        <v>9780784405581</v>
      </c>
      <c r="C19264" s="8" t="s">
        <v>111</v>
      </c>
    </row>
    <row r="19265" spans="1:3" x14ac:dyDescent="0.25">
      <c r="A19265" s="8" t="str">
        <f>"Structures and Architecture - Proceedings of the 1st International Conference on Structures and Architecture, ICSA 2010"</f>
        <v>Structures and Architecture - Proceedings of the 1st International Conference on Structures and Architecture, ICSA 2010</v>
      </c>
      <c r="B19265" s="8" t="str">
        <f>"9780415492492"</f>
        <v>9780415492492</v>
      </c>
      <c r="C19265" s="8" t="s">
        <v>1637</v>
      </c>
    </row>
    <row r="19266" spans="1:3" x14ac:dyDescent="0.25">
      <c r="A19266" s="8" t="str">
        <f>"Structures and Architecture: Concepts, Applications and Challenges - Proceedings of the 2nd International Conference on Structures and Architecture, ICSA 2013"</f>
        <v>Structures and Architecture: Concepts, Applications and Challenges - Proceedings of the 2nd International Conference on Structures and Architecture, ICSA 2013</v>
      </c>
      <c r="B19266" s="8" t="str">
        <f>"9780415661959"</f>
        <v>9780415661959</v>
      </c>
      <c r="C19266" s="8" t="s">
        <v>1635</v>
      </c>
    </row>
    <row r="19267" spans="1:3" x14ac:dyDescent="0.25">
      <c r="A19267" s="8" t="str">
        <f>"Structures and Granular Solids: From Scientific Princ. to Eng. Appl. - An Int. Conf. in Celebration of the 60th Birthday of Prof. J. Michael Rotter - Proc. Int. Conf. on Structures and Granular Solids"</f>
        <v>Structures and Granular Solids: From Scientific Princ. to Eng. Appl. - An Int. Conf. in Celebration of the 60th Birthday of Prof. J. Michael Rotter - Proc. Int. Conf. on Structures and Granular Solids</v>
      </c>
      <c r="B19267" s="8" t="str">
        <f>"9780415475945"</f>
        <v>9780415475945</v>
      </c>
      <c r="C19267" s="8" t="s">
        <v>1637</v>
      </c>
    </row>
    <row r="19268" spans="1:3" x14ac:dyDescent="0.25">
      <c r="A19268" s="8" t="str">
        <f>"Structures Congress 2000: Advanced Technology in Structural Engineering"</f>
        <v>Structures Congress 2000: Advanced Technology in Structural Engineering</v>
      </c>
      <c r="B19268" s="8" t="str">
        <f>"9780784404928"</f>
        <v>9780784404928</v>
      </c>
      <c r="C19268" s="8" t="s">
        <v>111</v>
      </c>
    </row>
    <row r="19269" spans="1:3" x14ac:dyDescent="0.25">
      <c r="A19269" s="8" t="str">
        <f>"Structures Congress 2010"</f>
        <v>Structures Congress 2010</v>
      </c>
      <c r="B19269" s="8" t="str">
        <f>"9780784411308"</f>
        <v>9780784411308</v>
      </c>
      <c r="C19269" s="8" t="s">
        <v>111</v>
      </c>
    </row>
    <row r="19270" spans="1:3" x14ac:dyDescent="0.25">
      <c r="A19270" s="8" t="str">
        <f>"Structures Congress 2011 - Proceedings of the 2011 Structures Congress"</f>
        <v>Structures Congress 2011 - Proceedings of the 2011 Structures Congress</v>
      </c>
      <c r="B19270" s="8" t="str">
        <f>"9780784411711"</f>
        <v>9780784411711</v>
      </c>
      <c r="C19270" s="8" t="s">
        <v>111</v>
      </c>
    </row>
    <row r="19271" spans="1:3" x14ac:dyDescent="0.25">
      <c r="A19271" s="8" t="str">
        <f>"Structures Congress 2012 - Proceedings of the 2012 Structures Congress"</f>
        <v>Structures Congress 2012 - Proceedings of the 2012 Structures Congress</v>
      </c>
      <c r="B19271" s="8" t="str">
        <f>"9780784412367"</f>
        <v>9780784412367</v>
      </c>
      <c r="C19271" s="8" t="s">
        <v>111</v>
      </c>
    </row>
    <row r="19272" spans="1:3" x14ac:dyDescent="0.25">
      <c r="A19272" s="8" t="str">
        <f>"Structures Congress 2013: Bridging Your Passion with Your Profession - Proceedings of the 2013 Structures Congress"</f>
        <v>Structures Congress 2013: Bridging Your Passion with Your Profession - Proceedings of the 2013 Structures Congress</v>
      </c>
      <c r="B19272" s="8" t="str">
        <f>"9780784412848"</f>
        <v>9780784412848</v>
      </c>
      <c r="C19272" s="8" t="s">
        <v>111</v>
      </c>
    </row>
    <row r="19273" spans="1:3" x14ac:dyDescent="0.25">
      <c r="A19273" s="8" t="str">
        <f>"Structures Congress 2014 - Proceedings of the 2014 Structures Congress"</f>
        <v>Structures Congress 2014 - Proceedings of the 2014 Structures Congress</v>
      </c>
      <c r="B19273" s="8" t="str">
        <f>"9780784413357"</f>
        <v>9780784413357</v>
      </c>
      <c r="C19273" s="8" t="s">
        <v>111</v>
      </c>
    </row>
    <row r="19274" spans="1:3" x14ac:dyDescent="0.25">
      <c r="A19274" s="8" t="str">
        <f>"Structures Congress 2015 - Proceedings of the 2015 Structures Congress"</f>
        <v>Structures Congress 2015 - Proceedings of the 2015 Structures Congress</v>
      </c>
      <c r="B19274" s="8" t="str">
        <f>"9780784479117"</f>
        <v>9780784479117</v>
      </c>
      <c r="C19274" s="8" t="s">
        <v>111</v>
      </c>
    </row>
    <row r="19275" spans="1:3" x14ac:dyDescent="0.25">
      <c r="A19275" s="8" t="str">
        <f>"Structures in Fire - Proceedings of the Sixth International Conference, SiF'10"</f>
        <v>Structures in Fire - Proceedings of the Sixth International Conference, SiF'10</v>
      </c>
      <c r="B19275" s="8" t="str">
        <f>"9781605950273"</f>
        <v>9781605950273</v>
      </c>
      <c r="C19275" s="8" t="s">
        <v>757</v>
      </c>
    </row>
    <row r="19276" spans="1:3" x14ac:dyDescent="0.25">
      <c r="A19276" s="8" t="str">
        <f>"STSIVA 2012 - 17th Symposium of Image, Signal Processing, and Artificial Vision"</f>
        <v>STSIVA 2012 - 17th Symposium of Image, Signal Processing, and Artificial Vision</v>
      </c>
      <c r="B19276" s="8" t="str">
        <f>"9781467327619"</f>
        <v>9781467327619</v>
      </c>
      <c r="C19276" s="8" t="s">
        <v>9</v>
      </c>
    </row>
    <row r="19277" spans="1:3" x14ac:dyDescent="0.25">
      <c r="A19277" s="8" t="str">
        <f>"Stud. Conf. Eng. Syst., SCES"</f>
        <v>Stud. Conf. Eng. Syst., SCES</v>
      </c>
      <c r="B19277" s="8" t="str">
        <f>"9781467304559"</f>
        <v>9781467304559</v>
      </c>
      <c r="C19277" s="8" t="s">
        <v>9</v>
      </c>
    </row>
    <row r="19278" spans="1:3" x14ac:dyDescent="0.25">
      <c r="A19278" s="8" t="str">
        <f>"Student Conference on Engineering Sciences and Technology, SCONEST 2004"</f>
        <v>Student Conference on Engineering Sciences and Technology, SCONEST 2004</v>
      </c>
      <c r="B19278" s="8" t="str">
        <f>"9780780388710"</f>
        <v>9780780388710</v>
      </c>
      <c r="C19278" s="8" t="s">
        <v>502</v>
      </c>
    </row>
    <row r="19279" spans="1:3" x14ac:dyDescent="0.25">
      <c r="A19279" s="8" t="str">
        <f>"Subject-Centric Computing - 4th International Conference on Topic Maps Research and Applications, TMRA 2008"</f>
        <v>Subject-Centric Computing - 4th International Conference on Topic Maps Research and Applications, TMRA 2008</v>
      </c>
      <c r="B19279" s="8" t="str">
        <f>"9783941152052"</f>
        <v>9783941152052</v>
      </c>
      <c r="C19279" s="8" t="s">
        <v>1909</v>
      </c>
    </row>
    <row r="19280" spans="1:3" x14ac:dyDescent="0.25">
      <c r="A19280" s="8" t="str">
        <f>"Subsalt Imaging Workshop 2009: Focus on Azimuth"</f>
        <v>Subsalt Imaging Workshop 2009: Focus on Azimuth</v>
      </c>
      <c r="B19280" s="8" t="str">
        <f>"-"</f>
        <v>-</v>
      </c>
      <c r="C19280" s="8" t="s">
        <v>1251</v>
      </c>
    </row>
    <row r="19281" spans="1:3" x14ac:dyDescent="0.25">
      <c r="A19281" s="8" t="str">
        <f>"Subsea Control and Data Acquisition: Experience and Challenges"</f>
        <v>Subsea Control and Data Acquisition: Experience and Challenges</v>
      </c>
      <c r="B19281" s="8" t="str">
        <f>"9781860584626"</f>
        <v>9781860584626</v>
      </c>
      <c r="C19281" s="8" t="s">
        <v>1645</v>
      </c>
    </row>
    <row r="19282" spans="1:3" x14ac:dyDescent="0.25">
      <c r="A19282" s="8" t="str">
        <f>"SUI 2013 - Proceedings of the ACM Symposium on Spatial User Interaction"</f>
        <v>SUI 2013 - Proceedings of the ACM Symposium on Spatial User Interaction</v>
      </c>
      <c r="B19282" s="8" t="str">
        <f>"9781450321419"</f>
        <v>9781450321419</v>
      </c>
      <c r="C19282" s="8" t="s">
        <v>21</v>
      </c>
    </row>
    <row r="19283" spans="1:3" x14ac:dyDescent="0.25">
      <c r="A19283" s="8" t="str">
        <f>"SUI 2014 - Proceedings of the 2nd ACM Symposium on Spatial User Interaction"</f>
        <v>SUI 2014 - Proceedings of the 2nd ACM Symposium on Spatial User Interaction</v>
      </c>
      <c r="B19283" s="8" t="str">
        <f>"9781450328203"</f>
        <v>9781450328203</v>
      </c>
      <c r="C19283" s="8" t="s">
        <v>1235</v>
      </c>
    </row>
    <row r="19284" spans="1:3" x14ac:dyDescent="0.25">
      <c r="A19284" s="8" t="str">
        <f>"Sulphur 2005 International Conference and Exhibition"</f>
        <v>Sulphur 2005 International Conference and Exhibition</v>
      </c>
      <c r="B19284" s="8" t="str">
        <f t="shared" ref="B19284:B19289" si="41">"-"</f>
        <v>-</v>
      </c>
      <c r="C19284" s="8" t="s">
        <v>2344</v>
      </c>
    </row>
    <row r="19285" spans="1:3" x14ac:dyDescent="0.25">
      <c r="A19285" s="8" t="str">
        <f>"Sulphur 2006 International Conference and Exhibition"</f>
        <v>Sulphur 2006 International Conference and Exhibition</v>
      </c>
      <c r="B19285" s="8" t="str">
        <f t="shared" si="41"/>
        <v>-</v>
      </c>
      <c r="C19285" s="8" t="s">
        <v>2344</v>
      </c>
    </row>
    <row r="19286" spans="1:3" x14ac:dyDescent="0.25">
      <c r="A19286" s="8" t="str">
        <f>"Sulphur 2007 International Conference and Exhibition"</f>
        <v>Sulphur 2007 International Conference and Exhibition</v>
      </c>
      <c r="B19286" s="8" t="str">
        <f t="shared" si="41"/>
        <v>-</v>
      </c>
      <c r="C19286" s="8" t="s">
        <v>2344</v>
      </c>
    </row>
    <row r="19287" spans="1:3" x14ac:dyDescent="0.25">
      <c r="A19287" s="8" t="str">
        <f>"Sulphur 2012 International Conference and Exhibition"</f>
        <v>Sulphur 2012 International Conference and Exhibition</v>
      </c>
      <c r="B19287" s="8" t="str">
        <f t="shared" si="41"/>
        <v>-</v>
      </c>
      <c r="C19287" s="8" t="s">
        <v>2344</v>
      </c>
    </row>
    <row r="19288" spans="1:3" x14ac:dyDescent="0.25">
      <c r="A19288" s="8" t="str">
        <f>"Sulphur 2013 29th International Conference and Exhibition"</f>
        <v>Sulphur 2013 29th International Conference and Exhibition</v>
      </c>
      <c r="B19288" s="8" t="str">
        <f t="shared" si="41"/>
        <v>-</v>
      </c>
      <c r="C19288" s="8" t="s">
        <v>2344</v>
      </c>
    </row>
    <row r="19289" spans="1:3" x14ac:dyDescent="0.25">
      <c r="A19289" s="8" t="str">
        <f>"Sulphur 2014 30th International Conference and Exhibition"</f>
        <v>Sulphur 2014 30th International Conference and Exhibition</v>
      </c>
      <c r="B19289" s="8" t="str">
        <f t="shared" si="41"/>
        <v>-</v>
      </c>
      <c r="C19289" s="8" t="s">
        <v>2344</v>
      </c>
    </row>
    <row r="19290" spans="1:3" x14ac:dyDescent="0.25">
      <c r="A19290" s="8" t="str">
        <f>"Summer Computer Simulation Conference 2005, SCSC 2005, Part of the 2005 Summer Simulation Multiconference, SummerSim 2005"</f>
        <v>Summer Computer Simulation Conference 2005, SCSC 2005, Part of the 2005 Summer Simulation Multiconference, SummerSim 2005</v>
      </c>
      <c r="B19290" s="8" t="str">
        <f>"9781622763511"</f>
        <v>9781622763511</v>
      </c>
      <c r="C19290" s="8" t="s">
        <v>1072</v>
      </c>
    </row>
    <row r="19291" spans="1:3" x14ac:dyDescent="0.25">
      <c r="A19291" s="8" t="str">
        <f>"Summer Computer Simulation Conference 2006, SCSC'06, Part of the 2006 Summer Simulation Multiconference, SummerSim'06"</f>
        <v>Summer Computer Simulation Conference 2006, SCSC'06, Part of the 2006 Summer Simulation Multiconference, SummerSim'06</v>
      </c>
      <c r="B19291" s="8" t="str">
        <f>"9781622763528"</f>
        <v>9781622763528</v>
      </c>
      <c r="C19291" s="8" t="s">
        <v>1072</v>
      </c>
    </row>
    <row r="19292" spans="1:3" x14ac:dyDescent="0.25">
      <c r="A19292" s="8" t="str">
        <f>"Summer Computer Simulation Conference 2007, SCSC'07, Part of the 2007 Summer Simulation Multiconference, SummerSim'07"</f>
        <v>Summer Computer Simulation Conference 2007, SCSC'07, Part of the 2007 Summer Simulation Multiconference, SummerSim'07</v>
      </c>
      <c r="B19292" s="8" t="str">
        <f>"9781622763580"</f>
        <v>9781622763580</v>
      </c>
      <c r="C19292" s="8" t="s">
        <v>1072</v>
      </c>
    </row>
    <row r="19293" spans="1:3" x14ac:dyDescent="0.25">
      <c r="A19293" s="8" t="str">
        <f>"Summer Computer Simulation Conference 2008, SCSC 2008, Part of the 2008 Summer Simulation Multiconference, SummerSim 2008"</f>
        <v>Summer Computer Simulation Conference 2008, SCSC 2008, Part of the 2008 Summer Simulation Multiconference, SummerSim 2008</v>
      </c>
      <c r="B19293" s="8" t="str">
        <f>"9781622763597"</f>
        <v>9781622763597</v>
      </c>
      <c r="C19293" s="8" t="s">
        <v>1072</v>
      </c>
    </row>
    <row r="19294" spans="1:3" x14ac:dyDescent="0.25">
      <c r="A19294" s="8" t="str">
        <f>"Summer Computer Simulation Conference 2009, SCSC 2009, Part of the 2009 International Summer Simulation Multiconference, ISMc"</f>
        <v>Summer Computer Simulation Conference 2009, SCSC 2009, Part of the 2009 International Summer Simulation Multiconference, ISMc</v>
      </c>
      <c r="B19294" s="8" t="str">
        <f>"9781618391810"</f>
        <v>9781618391810</v>
      </c>
      <c r="C19294" s="8" t="s">
        <v>1072</v>
      </c>
    </row>
    <row r="19295" spans="1:3" x14ac:dyDescent="0.25">
      <c r="A19295" s="8" t="str">
        <f>"Summer Computer Simulation Conference, SCSC 2010 - Proceedings of the 2010 Summer Simulation Multiconference, SummerSim 2010"</f>
        <v>Summer Computer Simulation Conference, SCSC 2010 - Proceedings of the 2010 Summer Simulation Multiconference, SummerSim 2010</v>
      </c>
      <c r="B19295" s="8" t="str">
        <f>"9781617387029"</f>
        <v>9781617387029</v>
      </c>
      <c r="C19295" s="8" t="s">
        <v>1072</v>
      </c>
    </row>
    <row r="19296" spans="1:3" x14ac:dyDescent="0.25">
      <c r="A19296" s="8" t="str">
        <f>"Sun, Wind and Architecture - The Proceedings of the 24th International Conference on Passive and Low Energy Architecture, PLEA 2007"</f>
        <v>Sun, Wind and Architecture - The Proceedings of the 24th International Conference on Passive and Low Energy Architecture, PLEA 2007</v>
      </c>
      <c r="B19296" s="8" t="str">
        <f>"9789810594008"</f>
        <v>9789810594008</v>
      </c>
      <c r="C19296" s="8" t="s">
        <v>1554</v>
      </c>
    </row>
    <row r="19297" spans="1:3" x14ac:dyDescent="0.25">
      <c r="A19297" s="8" t="str">
        <f>"Surface Engineering - Proceedings of the 3rd International Surface Engineering Conference"</f>
        <v>Surface Engineering - Proceedings of the 3rd International Surface Engineering Conference</v>
      </c>
      <c r="B19297" s="8" t="str">
        <f>"9780871708199"</f>
        <v>9780871708199</v>
      </c>
      <c r="C19297" s="8" t="s">
        <v>65</v>
      </c>
    </row>
    <row r="19298" spans="1:3" x14ac:dyDescent="0.25">
      <c r="A19298" s="8" t="str">
        <f>"Surface Engineering - Proceedings of the 4th International Surface Engineering Conference"</f>
        <v>Surface Engineering - Proceedings of the 4th International Surface Engineering Conference</v>
      </c>
      <c r="B19298" s="8" t="str">
        <f>"-"</f>
        <v>-</v>
      </c>
      <c r="C19298" s="8" t="s">
        <v>65</v>
      </c>
    </row>
    <row r="19299" spans="1:3" x14ac:dyDescent="0.25">
      <c r="A19299" s="8" t="str">
        <f>"Surface Engineering - Proceedings of the 5th International Surface Engineering Conference"</f>
        <v>Surface Engineering - Proceedings of the 5th International Surface Engineering Conference</v>
      </c>
      <c r="B19299" s="8" t="str">
        <f>"-"</f>
        <v>-</v>
      </c>
      <c r="C19299" s="8" t="s">
        <v>65</v>
      </c>
    </row>
    <row r="19300" spans="1:3" x14ac:dyDescent="0.25">
      <c r="A19300" s="8" t="str">
        <f>"Surface Engineering in Materials Science III - Proceedings of a Symposium sponsored by the Surface Engineering Committee of the(MPMD) of the Minerals, Metals and Materials Society, TMS"</f>
        <v>Surface Engineering in Materials Science III - Proceedings of a Symposium sponsored by the Surface Engineering Committee of the(MPMD) of the Minerals, Metals and Materials Society, TMS</v>
      </c>
      <c r="B19300" s="8" t="str">
        <f>"9780873395908"</f>
        <v>9780873395908</v>
      </c>
      <c r="C19300" s="8" t="s">
        <v>648</v>
      </c>
    </row>
    <row r="19301" spans="1:3" x14ac:dyDescent="0.25">
      <c r="A19301" s="8" t="str">
        <f>"Sustainability in Energy and Buildings - Proceedings of the International Conference in Sustainability in Energy and Buildings, SEB'09"</f>
        <v>Sustainability in Energy and Buildings - Proceedings of the International Conference in Sustainability in Energy and Buildings, SEB'09</v>
      </c>
      <c r="B19301" s="8" t="str">
        <f>"9783642034534"</f>
        <v>9783642034534</v>
      </c>
      <c r="C19301" s="8" t="s">
        <v>834</v>
      </c>
    </row>
    <row r="19302" spans="1:3" x14ac:dyDescent="0.25">
      <c r="A19302" s="8" t="str">
        <f>"Sustainability in Energy and Buildings - Results of the 2nd International Conference on Sustainability in Energy and Buildings, SEB'10"</f>
        <v>Sustainability in Energy and Buildings - Results of the 2nd International Conference on Sustainability in Energy and Buildings, SEB'10</v>
      </c>
      <c r="B19302" s="8" t="str">
        <f>"9783642173868"</f>
        <v>9783642173868</v>
      </c>
      <c r="C19302" s="8" t="s">
        <v>42</v>
      </c>
    </row>
    <row r="19303" spans="1:3" x14ac:dyDescent="0.25">
      <c r="A19303" s="8" t="str">
        <f>"Sustainability of Water and Sanitation Systems: Proceedings of the 21st WEDC Conference"</f>
        <v>Sustainability of Water and Sanitation Systems: Proceedings of the 21st WEDC Conference</v>
      </c>
      <c r="B19303" s="8" t="str">
        <f>"9780906055465"</f>
        <v>9780906055465</v>
      </c>
      <c r="C19303" s="8" t="s">
        <v>1486</v>
      </c>
    </row>
    <row r="19304" spans="1:3" x14ac:dyDescent="0.25">
      <c r="A19304" s="8" t="str">
        <f>"Sustainability, Eco-Efficiency and Conservation in Transportation Infrastructure Asset Management - Proceedings of the 3rd International Conference on Tranportation Infrastructure, ICTI 2014"</f>
        <v>Sustainability, Eco-Efficiency and Conservation in Transportation Infrastructure Asset Management - Proceedings of the 3rd International Conference on Tranportation Infrastructure, ICTI 2014</v>
      </c>
      <c r="B19304" s="8" t="str">
        <f>"9781138001473"</f>
        <v>9781138001473</v>
      </c>
      <c r="C19304" s="8" t="s">
        <v>1619</v>
      </c>
    </row>
    <row r="19305" spans="1:3" x14ac:dyDescent="0.25">
      <c r="A19305" s="8" t="str">
        <f>"Sustainable (Bio)Chemical Process Technology - Incorporating the 6th International Conference on Process Intensification"</f>
        <v>Sustainable (Bio)Chemical Process Technology - Incorporating the 6th International Conference on Process Intensification</v>
      </c>
      <c r="B19305" s="8" t="str">
        <f>"9781855980686"</f>
        <v>9781855980686</v>
      </c>
      <c r="C19305" s="8" t="s">
        <v>1246</v>
      </c>
    </row>
    <row r="19306" spans="1:3" x14ac:dyDescent="0.25">
      <c r="A19306" s="8" t="str">
        <f>"Sustainable Bridge Structures - 8th New York City Bridge Conference, 2015"</f>
        <v>Sustainable Bridge Structures - 8th New York City Bridge Conference, 2015</v>
      </c>
      <c r="B19306" s="8" t="str">
        <f>"9781138028784"</f>
        <v>9781138028784</v>
      </c>
      <c r="C19306" s="8" t="s">
        <v>1635</v>
      </c>
    </row>
    <row r="19307" spans="1:3" x14ac:dyDescent="0.25">
      <c r="A19307" s="8" t="str">
        <f>"Sustainable Buildings and Structures - Proceedings of the 1st International Conference on Sustainable Buildings and Structures, ICSBS 2015"</f>
        <v>Sustainable Buildings and Structures - Proceedings of the 1st International Conference on Sustainable Buildings and Structures, ICSBS 2015</v>
      </c>
      <c r="B19307" s="8" t="str">
        <f>"9781138028982"</f>
        <v>9781138028982</v>
      </c>
      <c r="C19307" s="8" t="s">
        <v>1635</v>
      </c>
    </row>
    <row r="19308" spans="1:3" x14ac:dyDescent="0.25">
      <c r="A19308" s="8" t="str">
        <f>"Sustainable Construction Materials 2012 - Proceedings of the 2nd International Conference on Sustainable Construction Materials - Design, Performance, and Application"</f>
        <v>Sustainable Construction Materials 2012 - Proceedings of the 2nd International Conference on Sustainable Construction Materials - Design, Performance, and Application</v>
      </c>
      <c r="B19308" s="8" t="str">
        <f>"9780784412671"</f>
        <v>9780784412671</v>
      </c>
      <c r="C19308" s="8" t="s">
        <v>111</v>
      </c>
    </row>
    <row r="19309" spans="1:3" x14ac:dyDescent="0.25">
      <c r="A19309" s="8" t="str">
        <f>"Sustainable Construction Materials and Technologies - International Conference on Sustainable Construction Materials and Technologies"</f>
        <v>Sustainable Construction Materials and Technologies - International Conference on Sustainable Construction Materials and Technologies</v>
      </c>
      <c r="B19309" s="8" t="str">
        <f>"9780415446891"</f>
        <v>9780415446891</v>
      </c>
      <c r="C19309" s="8" t="s">
        <v>1619</v>
      </c>
    </row>
    <row r="19310" spans="1:3" x14ac:dyDescent="0.25">
      <c r="A19310" s="8" t="str">
        <f>"Sustainable Development and the Importance of Chemicals Management in the 21st Century"</f>
        <v>Sustainable Development and the Importance of Chemicals Management in the 21st Century</v>
      </c>
      <c r="B19310" s="8" t="str">
        <f>"-"</f>
        <v>-</v>
      </c>
      <c r="C19310" s="8" t="s">
        <v>10</v>
      </c>
    </row>
    <row r="19311" spans="1:3" x14ac:dyDescent="0.25">
      <c r="A19311" s="8" t="str">
        <f>"Sustainable Development of Water Resources, Water Supply and Environmental Sanitation: Proceedings of the 32nd WEDC International Conference"</f>
        <v>Sustainable Development of Water Resources, Water Supply and Environmental Sanitation: Proceedings of the 32nd WEDC International Conference</v>
      </c>
      <c r="B19311" s="8" t="str">
        <f>"9781843801191"</f>
        <v>9781843801191</v>
      </c>
      <c r="C19311" s="8" t="s">
        <v>1486</v>
      </c>
    </row>
    <row r="19312" spans="1:3" x14ac:dyDescent="0.25">
      <c r="A19312" s="8" t="str">
        <f>"Sustainable Earth Science: Technologies for Sustainable Use of the Deep Sub-Surface, SES 2011"</f>
        <v>Sustainable Earth Science: Technologies for Sustainable Use of the Deep Sub-Surface, SES 2011</v>
      </c>
      <c r="B19312" s="8" t="str">
        <f>"-"</f>
        <v>-</v>
      </c>
      <c r="C19312" s="8" t="s">
        <v>1251</v>
      </c>
    </row>
    <row r="19313" spans="1:3" x14ac:dyDescent="0.25">
      <c r="A19313" s="8" t="str">
        <f>"Sustainable Earth Sciences, SES 2013: Technologies for Sustainable Use of the Deep Sub-Surface"</f>
        <v>Sustainable Earth Sciences, SES 2013: Technologies for Sustainable Use of the Deep Sub-Surface</v>
      </c>
      <c r="B19313" s="8" t="str">
        <f>"-"</f>
        <v>-</v>
      </c>
      <c r="C19313" s="8" t="s">
        <v>1251</v>
      </c>
    </row>
    <row r="19314" spans="1:3" x14ac:dyDescent="0.25">
      <c r="A19314" s="8" t="str">
        <f>"Sustainable Engineering Forum 2013 - Core Programming Area at the 2013 AIChE Annual Meeting: Global Challenges for Engineering a Sustainable Future"</f>
        <v>Sustainable Engineering Forum 2013 - Core Programming Area at the 2013 AIChE Annual Meeting: Global Challenges for Engineering a Sustainable Future</v>
      </c>
      <c r="B19314" s="8" t="str">
        <f>"9781634390569"</f>
        <v>9781634390569</v>
      </c>
      <c r="C19314" s="8" t="s">
        <v>1219</v>
      </c>
    </row>
    <row r="19315" spans="1:3" x14ac:dyDescent="0.25">
      <c r="A19315" s="8" t="str">
        <f>"Sustainable Engineering Forum 2014 - Core Programming Area at the 2014 AIChE Spring Meeting and 10th Global Congress on Process Safety"</f>
        <v>Sustainable Engineering Forum 2014 - Core Programming Area at the 2014 AIChE Spring Meeting and 10th Global Congress on Process Safety</v>
      </c>
      <c r="B19315" s="8" t="str">
        <f>"9781634390804"</f>
        <v>9781634390804</v>
      </c>
      <c r="C19315" s="8" t="s">
        <v>1219</v>
      </c>
    </row>
    <row r="19316" spans="1:3" x14ac:dyDescent="0.25">
      <c r="A19316" s="8" t="str">
        <f>"Sustainable Engineering Forum Conference, Topical Conference at the 2008 AIChE Spring National Meeting"</f>
        <v>Sustainable Engineering Forum Conference, Topical Conference at the 2008 AIChE Spring National Meeting</v>
      </c>
      <c r="B19316" s="8" t="str">
        <f>"9781605602264"</f>
        <v>9781605602264</v>
      </c>
      <c r="C19316" s="8" t="s">
        <v>1219</v>
      </c>
    </row>
    <row r="19317" spans="1:3" x14ac:dyDescent="0.25">
      <c r="A19317" s="8" t="str">
        <f>"Sustainable Engineering Forum Topical Conference on Practical Approaches to Sustainable Development 2007, Held at the 2007 AIChE Spring National Meeting"</f>
        <v>Sustainable Engineering Forum Topical Conference on Practical Approaches to Sustainable Development 2007, Held at the 2007 AIChE Spring National Meeting</v>
      </c>
      <c r="B19317" s="8" t="str">
        <f>"9781604233568"</f>
        <v>9781604233568</v>
      </c>
      <c r="C19317" s="8" t="s">
        <v>1219</v>
      </c>
    </row>
    <row r="19318" spans="1:3" x14ac:dyDescent="0.25">
      <c r="A19318" s="8" t="str">
        <f>"Sustainable Environmental Sanitation and Water Services: Proceedings of the 28th WEDC Conference"</f>
        <v>Sustainable Environmental Sanitation and Water Services: Proceedings of the 28th WEDC Conference</v>
      </c>
      <c r="B19318" s="8" t="str">
        <f>"9781843800224"</f>
        <v>9781843800224</v>
      </c>
      <c r="C19318" s="8" t="s">
        <v>1486</v>
      </c>
    </row>
    <row r="19319" spans="1:3" x14ac:dyDescent="0.25">
      <c r="A19319" s="8" t="str">
        <f>"Sustainable Maritime Transportation and Exploitation of Sea Resources - Proceedings of the 14th International Congress of the International Maritime Association of the Mediterranean, IMAM 2011"</f>
        <v>Sustainable Maritime Transportation and Exploitation of Sea Resources - Proceedings of the 14th International Congress of the International Maritime Association of the Mediterranean, IMAM 2011</v>
      </c>
      <c r="B19319" s="8" t="str">
        <f>"-"</f>
        <v>-</v>
      </c>
      <c r="C19319" s="8" t="s">
        <v>1619</v>
      </c>
    </row>
    <row r="19320" spans="1:3" x14ac:dyDescent="0.25">
      <c r="A19320" s="8" t="str">
        <f>"Sustainable Mobility Challenge at the National Congress of the Italian Thermotechnical Association, ATI 2006"</f>
        <v>Sustainable Mobility Challenge at the National Congress of the Italian Thermotechnical Association, ATI 2006</v>
      </c>
      <c r="B19320" s="8" t="str">
        <f>"-"</f>
        <v>-</v>
      </c>
      <c r="C19320" s="8" t="s">
        <v>1040</v>
      </c>
    </row>
    <row r="19321" spans="1:3" x14ac:dyDescent="0.25">
      <c r="A19321" s="8" t="str">
        <f>"Sustainable Transportation Systems: Plan, Design, Build, Manage, and Maintain - Proceedings of the 9th Asia Pacific Transportation Development Conference"</f>
        <v>Sustainable Transportation Systems: Plan, Design, Build, Manage, and Maintain - Proceedings of the 9th Asia Pacific Transportation Development Conference</v>
      </c>
      <c r="B19321" s="8" t="str">
        <f>"9780784412299"</f>
        <v>9780784412299</v>
      </c>
      <c r="C19321" s="8" t="s">
        <v>111</v>
      </c>
    </row>
    <row r="19322" spans="1:3" x14ac:dyDescent="0.25">
      <c r="A19322" s="8" t="str">
        <f>"Sustainable Waste Management, Proceedings of the International Symposium"</f>
        <v>Sustainable Waste Management, Proceedings of the International Symposium</v>
      </c>
      <c r="B19322" s="8" t="str">
        <f>"9780727732514"</f>
        <v>9780727732514</v>
      </c>
      <c r="C19322" s="8" t="s">
        <v>74</v>
      </c>
    </row>
    <row r="19323" spans="1:3" x14ac:dyDescent="0.25">
      <c r="A19323" s="8" t="str">
        <f>"Sustainable Water Management Conference 2013"</f>
        <v>Sustainable Water Management Conference 2013</v>
      </c>
      <c r="B19323" s="8" t="str">
        <f>"9781627484183"</f>
        <v>9781627484183</v>
      </c>
      <c r="C19323" s="8" t="s">
        <v>651</v>
      </c>
    </row>
    <row r="19324" spans="1:3" x14ac:dyDescent="0.25">
      <c r="A19324" s="8" t="str">
        <f>"Sustainable Water Management: Concepts Towards a Zero-Outflow Municipality"</f>
        <v>Sustainable Water Management: Concepts Towards a Zero-Outflow Municipality</v>
      </c>
      <c r="B19324" s="8" t="str">
        <f>"-"</f>
        <v>-</v>
      </c>
      <c r="C19324" s="8" t="s">
        <v>2345</v>
      </c>
    </row>
    <row r="19325" spans="1:3" x14ac:dyDescent="0.25">
      <c r="A19325" s="8" t="str">
        <f>"Sustainable Watershed Management - Proceedings of the 2nd International Conference on Sustainable Watershed Management, SUWAMA 2014"</f>
        <v>Sustainable Watershed Management - Proceedings of the 2nd International Conference on Sustainable Watershed Management, SUWAMA 2014</v>
      </c>
      <c r="B19325" s="8" t="str">
        <f>"9781138000186"</f>
        <v>9781138000186</v>
      </c>
      <c r="C19325" s="8" t="s">
        <v>1619</v>
      </c>
    </row>
    <row r="19326" spans="1:3" x14ac:dyDescent="0.25">
      <c r="A19326" s="8" t="str">
        <f>"Sustainable World"</f>
        <v>Sustainable World</v>
      </c>
      <c r="B19326" s="8" t="str">
        <f>"9781853129704"</f>
        <v>9781853129704</v>
      </c>
      <c r="C19326" s="8" t="s">
        <v>80</v>
      </c>
    </row>
    <row r="19327" spans="1:3" x14ac:dyDescent="0.25">
      <c r="A19327" s="8" t="str">
        <f>"Sustained Simulation Performance 2012 - Proceedings of the Joint Workshop on High Performance Computing on Vector Systems, and Workshop on Sustained Simulation Performance"</f>
        <v>Sustained Simulation Performance 2012 - Proceedings of the Joint Workshop on High Performance Computing on Vector Systems, and Workshop on Sustained Simulation Performance</v>
      </c>
      <c r="B19327" s="8" t="str">
        <f>"9783642324536"</f>
        <v>9783642324536</v>
      </c>
      <c r="C19327" s="8" t="s">
        <v>834</v>
      </c>
    </row>
    <row r="19328" spans="1:3" x14ac:dyDescent="0.25">
      <c r="A19328" s="8" t="str">
        <f>"Sustained Simulation Performance 2013 - Proceedings of the Joint Workshop on Sustained Simulation Performance"</f>
        <v>Sustained Simulation Performance 2013 - Proceedings of the Joint Workshop on Sustained Simulation Performance</v>
      </c>
      <c r="B19328" s="8" t="str">
        <f>"9783319014388"</f>
        <v>9783319014388</v>
      </c>
      <c r="C19328" s="8" t="s">
        <v>834</v>
      </c>
    </row>
    <row r="19329" spans="1:3" x14ac:dyDescent="0.25">
      <c r="A19329" s="8" t="str">
        <f>"SUTC 2010 - 2010 IEEE International Conference on Sensor Networks, Ubiquitous, and Trustworthy Computing, UMC 2010 - 2010 IEEE International Workshop on Ubiquitous and Mobile Computing"</f>
        <v>SUTC 2010 - 2010 IEEE International Conference on Sensor Networks, Ubiquitous, and Trustworthy Computing, UMC 2010 - 2010 IEEE International Workshop on Ubiquitous and Mobile Computing</v>
      </c>
      <c r="B19329" s="8" t="str">
        <f>"9780769540498"</f>
        <v>9780769540498</v>
      </c>
      <c r="C19329" s="8" t="s">
        <v>9</v>
      </c>
    </row>
    <row r="19330" spans="1:3" x14ac:dyDescent="0.25">
      <c r="A19330" s="8" t="str">
        <f>"SVG Open 2008 - 6th International Conference on Scalable Vector Graphics"</f>
        <v>SVG Open 2008 - 6th International Conference on Scalable Vector Graphics</v>
      </c>
      <c r="B19330" s="8" t="str">
        <f>"-"</f>
        <v>-</v>
      </c>
      <c r="C19330" s="8" t="s">
        <v>1745</v>
      </c>
    </row>
    <row r="19331" spans="1:3" x14ac:dyDescent="0.25">
      <c r="A19331" s="8" t="str">
        <f>"SVG Open 2009 - 7th International Conference on Scalable Vector Graphics"</f>
        <v>SVG Open 2009 - 7th International Conference on Scalable Vector Graphics</v>
      </c>
      <c r="B19331" s="8" t="str">
        <f>"-"</f>
        <v>-</v>
      </c>
      <c r="C19331" s="8" t="s">
        <v>1745</v>
      </c>
    </row>
    <row r="19332" spans="1:3" x14ac:dyDescent="0.25">
      <c r="A19332" s="8" t="str">
        <f>"SVG Open 2010 - 8th International Conference on Scalable Vector Graphics"</f>
        <v>SVG Open 2010 - 8th International Conference on Scalable Vector Graphics</v>
      </c>
      <c r="B19332" s="8" t="str">
        <f>"-"</f>
        <v>-</v>
      </c>
      <c r="C19332" s="8" t="s">
        <v>1745</v>
      </c>
    </row>
    <row r="19333" spans="1:3" x14ac:dyDescent="0.25">
      <c r="A19333" s="8" t="str">
        <f>"SVG Open 2011 - 9th International Conference on Scalable Vector Graphics"</f>
        <v>SVG Open 2011 - 9th International Conference on Scalable Vector Graphics</v>
      </c>
      <c r="B19333" s="8" t="str">
        <f>"-"</f>
        <v>-</v>
      </c>
      <c r="C19333" s="8" t="s">
        <v>1745</v>
      </c>
    </row>
    <row r="19334" spans="1:3" x14ac:dyDescent="0.25">
      <c r="A19334" s="8" t="str">
        <f>"SWAP 2010 - 6th Workshop on Semantic Web Applications and Perspectives"</f>
        <v>SWAP 2010 - 6th Workshop on Semantic Web Applications and Perspectives</v>
      </c>
      <c r="B19334" s="8" t="str">
        <f>"-"</f>
        <v>-</v>
      </c>
      <c r="C19334" s="8" t="s">
        <v>2346</v>
      </c>
    </row>
    <row r="19335" spans="1:3" x14ac:dyDescent="0.25">
      <c r="A19335" s="8" t="str">
        <f>"SWS'07 - Proceedings of the 2007 ACM Workshop on Secure Web Services"</f>
        <v>SWS'07 - Proceedings of the 2007 ACM Workshop on Secure Web Services</v>
      </c>
      <c r="B19335" s="8" t="str">
        <f>"9781595938923"</f>
        <v>9781595938923</v>
      </c>
      <c r="C19335" s="8" t="s">
        <v>21</v>
      </c>
    </row>
    <row r="19336" spans="1:3" x14ac:dyDescent="0.25">
      <c r="A19336" s="8" t="str">
        <f>"SwSTE2010: IEEE International Conference on Software Science, Technology, and Engineering"</f>
        <v>SwSTE2010: IEEE International Conference on Software Science, Technology, and Engineering</v>
      </c>
      <c r="B19336" s="8" t="str">
        <f>"9780769540610"</f>
        <v>9780769540610</v>
      </c>
      <c r="C19336" s="8" t="s">
        <v>9</v>
      </c>
    </row>
    <row r="19337" spans="1:3" x14ac:dyDescent="0.25">
      <c r="A19337" s="8" t="str">
        <f>"SYANCO'07: International Workshop on Synthesis and Analysis of Component Connectors - In conjunction with the 6th ESEC/FSE Joint Meeting"</f>
        <v>SYANCO'07: International Workshop on Synthesis and Analysis of Component Connectors - In conjunction with the 6th ESEC/FSE Joint Meeting</v>
      </c>
      <c r="B19337" s="8" t="str">
        <f>"-"</f>
        <v>-</v>
      </c>
      <c r="C19337" s="8" t="s">
        <v>21</v>
      </c>
    </row>
    <row r="19338" spans="1:3" x14ac:dyDescent="0.25">
      <c r="A19338" s="8" t="str">
        <f>"Symposium Digest - 20th URSI International Symposium on Electromagnetic Theory, EMTS 2010"</f>
        <v>Symposium Digest - 20th URSI International Symposium on Electromagnetic Theory, EMTS 2010</v>
      </c>
      <c r="B19338" s="8" t="str">
        <f>"9781424451531"</f>
        <v>9781424451531</v>
      </c>
      <c r="C19338" s="8" t="s">
        <v>9</v>
      </c>
    </row>
    <row r="19339" spans="1:3" x14ac:dyDescent="0.25">
      <c r="A19339" s="8" t="str">
        <f>"Symposium of Signals, Images and Artificial Vision - 2013, STSIVA 2013"</f>
        <v>Symposium of Signals, Images and Artificial Vision - 2013, STSIVA 2013</v>
      </c>
      <c r="B19339" s="8" t="str">
        <f>"9781479911219"</f>
        <v>9781479911219</v>
      </c>
      <c r="C19339" s="8" t="s">
        <v>9</v>
      </c>
    </row>
    <row r="19340" spans="1:3" x14ac:dyDescent="0.25">
      <c r="A19340" s="8" t="str">
        <f>"Symposium on Air Quality Measurement Methods and Technology 2004"</f>
        <v>Symposium on Air Quality Measurement Methods and Technology 2004</v>
      </c>
      <c r="B19340" s="8" t="str">
        <f>"9780923204624"</f>
        <v>9780923204624</v>
      </c>
      <c r="C19340" s="8" t="s">
        <v>10</v>
      </c>
    </row>
    <row r="19341" spans="1:3" x14ac:dyDescent="0.25">
      <c r="A19341" s="8" t="str">
        <f>"Symposium on Air Quality Measurement Methods and Technology, 2005"</f>
        <v>Symposium on Air Quality Measurement Methods and Technology, 2005</v>
      </c>
      <c r="B19341" s="8" t="str">
        <f>"-"</f>
        <v>-</v>
      </c>
      <c r="C19341" s="8" t="s">
        <v>10</v>
      </c>
    </row>
    <row r="19342" spans="1:3" x14ac:dyDescent="0.25">
      <c r="A19342" s="8" t="str">
        <f>"Symposium on Communications and Vehicular Technology, SCVT 2000 - Proceedings"</f>
        <v>Symposium on Communications and Vehicular Technology, SCVT 2000 - Proceedings</v>
      </c>
      <c r="B19342" s="8" t="str">
        <f>"9780780366848"</f>
        <v>9780780366848</v>
      </c>
      <c r="C19342" s="8" t="s">
        <v>105</v>
      </c>
    </row>
    <row r="19343" spans="1:3" x14ac:dyDescent="0.25">
      <c r="A19343" s="8" t="str">
        <f>"Symposium on Computer Human Interaction for Management of Information Technology, CHIMIT 2010"</f>
        <v>Symposium on Computer Human Interaction for Management of Information Technology, CHIMIT 2010</v>
      </c>
      <c r="B19343" s="8" t="str">
        <f>"9781450304474"</f>
        <v>9781450304474</v>
      </c>
      <c r="C19343" s="8" t="s">
        <v>21</v>
      </c>
    </row>
    <row r="19344" spans="1:3" x14ac:dyDescent="0.25">
      <c r="A19344" s="8" t="str">
        <f>"Symposium on Design, Test, Integration and Packaging of MEMS/MOEMS, DTIP 2010"</f>
        <v>Symposium on Design, Test, Integration and Packaging of MEMS/MOEMS, DTIP 2010</v>
      </c>
      <c r="B19344" s="8" t="str">
        <f>"9782355000119"</f>
        <v>9782355000119</v>
      </c>
      <c r="C19344" s="8" t="s">
        <v>9</v>
      </c>
    </row>
    <row r="19345" spans="1:3" x14ac:dyDescent="0.25">
      <c r="A19345" s="8" t="str">
        <f>"Symposium on Haptics Interfaces for Virtual Environment and Teleoperator Systems 2008 - Proceedings, Haptics"</f>
        <v>Symposium on Haptics Interfaces for Virtual Environment and Teleoperator Systems 2008 - Proceedings, Haptics</v>
      </c>
      <c r="B19345" s="8" t="str">
        <f>"9781424420056"</f>
        <v>9781424420056</v>
      </c>
      <c r="C19345" s="8" t="s">
        <v>9</v>
      </c>
    </row>
    <row r="19346" spans="1:3" x14ac:dyDescent="0.25">
      <c r="A19346" s="8" t="str">
        <f>"Symposium on Low-Power and High-Speed Chips - Proceedings for 2012 IEEE COOL Chips XV"</f>
        <v>Symposium on Low-Power and High-Speed Chips - Proceedings for 2012 IEEE COOL Chips XV</v>
      </c>
      <c r="B19346" s="8" t="str">
        <f>"9781467312028"</f>
        <v>9781467312028</v>
      </c>
      <c r="C19346" s="8" t="s">
        <v>9</v>
      </c>
    </row>
    <row r="19347" spans="1:3" x14ac:dyDescent="0.25">
      <c r="A19347" s="8" t="str">
        <f>"Symposium on Metrology and Measurement Applications in the Era of Internet Working 2005"</f>
        <v>Symposium on Metrology and Measurement Applications in the Era of Internet Working 2005</v>
      </c>
      <c r="B19347" s="8" t="str">
        <f>"9781622766970"</f>
        <v>9781622766970</v>
      </c>
      <c r="C19347" s="8" t="s">
        <v>1198</v>
      </c>
    </row>
    <row r="19348" spans="1:3" x14ac:dyDescent="0.25">
      <c r="A19348" s="8" t="str">
        <f>"Symposium on Nanomaterials for Flexible Packaging 2009"</f>
        <v>Symposium on Nanomaterials for Flexible Packaging 2009</v>
      </c>
      <c r="B19348" s="8" t="str">
        <f>"9781617381904"</f>
        <v>9781617381904</v>
      </c>
      <c r="C19348" s="8" t="s">
        <v>1099</v>
      </c>
    </row>
    <row r="19349" spans="1:3" x14ac:dyDescent="0.25">
      <c r="A19349" s="8" t="str">
        <f>"SympoTIC'04 - Joint 1st Workshop on Mobile Future and Symposium on Trends in Communications - Proceedings"</f>
        <v>SympoTIC'04 - Joint 1st Workshop on Mobile Future and Symposium on Trends in Communications - Proceedings</v>
      </c>
      <c r="B19349" s="8" t="str">
        <f>"9780780385566"</f>
        <v>9780780385566</v>
      </c>
      <c r="C19349" s="8" t="s">
        <v>105</v>
      </c>
    </row>
    <row r="19350" spans="1:3" x14ac:dyDescent="0.25">
      <c r="A19350" s="8" t="str">
        <f>"SympoTIC'06 - Joint 1st Workshop on Sensor Networks and Symposium on Trends in Communications"</f>
        <v>SympoTIC'06 - Joint 1st Workshop on Sensor Networks and Symposium on Trends in Communications</v>
      </c>
      <c r="B19350" s="8" t="str">
        <f>"9781424403684"</f>
        <v>9781424403684</v>
      </c>
      <c r="C19350" s="8" t="s">
        <v>9</v>
      </c>
    </row>
    <row r="19351" spans="1:3" x14ac:dyDescent="0.25">
      <c r="A19351" s="8" t="str">
        <f>"SYNASC 2009 - 11th International Symposium on Symbolic and Numeric Algorithms for Scientific Computing"</f>
        <v>SYNASC 2009 - 11th International Symposium on Symbolic and Numeric Algorithms for Scientific Computing</v>
      </c>
      <c r="B19351" s="8" t="str">
        <f>"9780769539645"</f>
        <v>9780769539645</v>
      </c>
      <c r="C19351" s="8" t="s">
        <v>9</v>
      </c>
    </row>
    <row r="19352" spans="1:3" x14ac:dyDescent="0.25">
      <c r="A19352" s="8" t="str">
        <f>"Synthetic Landscapes - ACADIA 2006 International Conference"</f>
        <v>Synthetic Landscapes - ACADIA 2006 International Conference</v>
      </c>
      <c r="B19352" s="8" t="str">
        <f>"9780978946302"</f>
        <v>9780978946302</v>
      </c>
      <c r="C19352" s="8" t="s">
        <v>1621</v>
      </c>
    </row>
    <row r="19353" spans="1:3" x14ac:dyDescent="0.25">
      <c r="A19353" s="8" t="str">
        <f>"SYROM 2009 - Proceedings of the 10th IFToMM International Symposium on Science of Mechanisms and Machines"</f>
        <v>SYROM 2009 - Proceedings of the 10th IFToMM International Symposium on Science of Mechanisms and Machines</v>
      </c>
      <c r="B19353" s="8" t="str">
        <f>"9789048135219"</f>
        <v>9789048135219</v>
      </c>
      <c r="C19353" s="8" t="s">
        <v>834</v>
      </c>
    </row>
    <row r="19354" spans="1:3" x14ac:dyDescent="0.25">
      <c r="A19354" s="8" t="str">
        <f>"SysCon 2012 - 2012 IEEE International Systems Conference, Proceedings"</f>
        <v>SysCon 2012 - 2012 IEEE International Systems Conference, Proceedings</v>
      </c>
      <c r="B19354" s="8" t="str">
        <f>"9781467307499"</f>
        <v>9781467307499</v>
      </c>
      <c r="C19354" s="8" t="s">
        <v>9</v>
      </c>
    </row>
    <row r="19355" spans="1:3" x14ac:dyDescent="0.25">
      <c r="A19355" s="8" t="str">
        <f>"SysCon 2013 - 7th Annual IEEE International Systems Conference, Proceedings"</f>
        <v>SysCon 2013 - 7th Annual IEEE International Systems Conference, Proceedings</v>
      </c>
      <c r="B19355" s="8" t="str">
        <f>"9781467331067"</f>
        <v>9781467331067</v>
      </c>
      <c r="C19355" s="8" t="s">
        <v>9</v>
      </c>
    </row>
    <row r="19356" spans="1:3" x14ac:dyDescent="0.25">
      <c r="A19356" s="8" t="str">
        <f>"System and Control: Theory and Applications"</f>
        <v>System and Control: Theory and Applications</v>
      </c>
      <c r="B19356" s="8" t="str">
        <f>"9789608052116"</f>
        <v>9789608052116</v>
      </c>
      <c r="C19356" s="8" t="s">
        <v>553</v>
      </c>
    </row>
    <row r="19357" spans="1:3" x14ac:dyDescent="0.25">
      <c r="A19357" s="8" t="str">
        <f>"Systems Biology 2013 - Topical Conference at the 2013 AIChE Annual Meeting: Global Challenges for Engineering a Sustainable Future"</f>
        <v>Systems Biology 2013 - Topical Conference at the 2013 AIChE Annual Meeting: Global Challenges for Engineering a Sustainable Future</v>
      </c>
      <c r="B19357" s="8" t="str">
        <f>"9781634390279"</f>
        <v>9781634390279</v>
      </c>
      <c r="C19357" s="8" t="s">
        <v>1219</v>
      </c>
    </row>
    <row r="19358" spans="1:3" x14ac:dyDescent="0.25">
      <c r="A19358" s="8" t="str">
        <f>"T and DI Congress 2011: Integrated Transportation and Development for a Better Tomorrow - Proceedings of the 1st Congress of the Transportation and Development Institute of ASCE"</f>
        <v>T and DI Congress 2011: Integrated Transportation and Development for a Better Tomorrow - Proceedings of the 1st Congress of the Transportation and Development Institute of ASCE</v>
      </c>
      <c r="B19358" s="8" t="str">
        <f>"9780784411674"</f>
        <v>9780784411674</v>
      </c>
      <c r="C19358" s="8" t="s">
        <v>111</v>
      </c>
    </row>
    <row r="19359" spans="1:3" x14ac:dyDescent="0.25">
      <c r="A19359" s="8" t="str">
        <f>"T and DI Congress 2014: Planes, Trains, and Automobiles - Proceedings of the 2nd Transportation and Development Institute Congress"</f>
        <v>T and DI Congress 2014: Planes, Trains, and Automobiles - Proceedings of the 2nd Transportation and Development Institute Congress</v>
      </c>
      <c r="B19359" s="8" t="str">
        <f>"9780784413586"</f>
        <v>9780784413586</v>
      </c>
      <c r="C19359" s="8" t="s">
        <v>111</v>
      </c>
    </row>
    <row r="19360" spans="1:3" x14ac:dyDescent="0.25">
      <c r="A19360" s="8" t="str">
        <f>"Tabletop 2007 - 2nd Annual IEEE International Workshop on Horizontal Interactive Human-Computer Systems"</f>
        <v>Tabletop 2007 - 2nd Annual IEEE International Workshop on Horizontal Interactive Human-Computer Systems</v>
      </c>
      <c r="B19360" s="8" t="str">
        <f>"9780769530130"</f>
        <v>9780769530130</v>
      </c>
      <c r="C19360" s="8" t="s">
        <v>9</v>
      </c>
    </row>
    <row r="19361" spans="1:3" x14ac:dyDescent="0.25">
      <c r="A19361" s="8" t="str">
        <f>"TAC/ATC 2003 - 2003 Annual Conference and Exhibition of the Transportation Association of Canada: The Transportation Factor"</f>
        <v>TAC/ATC 2003 - 2003 Annual Conference and Exhibition of the Transportation Association of Canada: The Transportation Factor</v>
      </c>
      <c r="B19361" s="8" t="str">
        <f t="shared" ref="B19361:B19376" si="42">"-"</f>
        <v>-</v>
      </c>
      <c r="C19361" s="8" t="s">
        <v>1365</v>
      </c>
    </row>
    <row r="19362" spans="1:3" x14ac:dyDescent="0.25">
      <c r="A19362" s="8" t="str">
        <f>"TAC/ATC 2004 - 2004 Annual Conference and Exhibition of the Transportation Association of Canada: Transportation Innovation - Accelerating the Pace"</f>
        <v>TAC/ATC 2004 - 2004 Annual Conference and Exhibition of the Transportation Association of Canada: Transportation Innovation - Accelerating the Pace</v>
      </c>
      <c r="B19362" s="8" t="str">
        <f t="shared" si="42"/>
        <v>-</v>
      </c>
      <c r="C19362" s="8" t="s">
        <v>1365</v>
      </c>
    </row>
    <row r="19363" spans="1:3" x14ac:dyDescent="0.25">
      <c r="A19363" s="8" t="str">
        <f>"TAC/ATC 2005 - 2005 Annual Conference and Exhibition of the Transportation Association of Canada: Transportation - Investing in Our Future"</f>
        <v>TAC/ATC 2005 - 2005 Annual Conference and Exhibition of the Transportation Association of Canada: Transportation - Investing in Our Future</v>
      </c>
      <c r="B19363" s="8" t="str">
        <f t="shared" si="42"/>
        <v>-</v>
      </c>
      <c r="C19363" s="8" t="s">
        <v>1365</v>
      </c>
    </row>
    <row r="19364" spans="1:3" x14ac:dyDescent="0.25">
      <c r="A19364" s="8" t="str">
        <f>"TAC/ATC 2006 - 2006 Annual Conference and Exhibition of the Transportation Association of Canada: Transportation Without Boundaries"</f>
        <v>TAC/ATC 2006 - 2006 Annual Conference and Exhibition of the Transportation Association of Canada: Transportation Without Boundaries</v>
      </c>
      <c r="B19364" s="8" t="str">
        <f t="shared" si="42"/>
        <v>-</v>
      </c>
      <c r="C19364" s="8" t="s">
        <v>1365</v>
      </c>
    </row>
    <row r="19365" spans="1:3" x14ac:dyDescent="0.25">
      <c r="A19365" s="8" t="str">
        <f>"TAC/ATC 2007 - 2007 Annual Conference and Exhibition of the Transportation Association of Canada: Transportation - An Economic Enabler"</f>
        <v>TAC/ATC 2007 - 2007 Annual Conference and Exhibition of the Transportation Association of Canada: Transportation - An Economic Enabler</v>
      </c>
      <c r="B19365" s="8" t="str">
        <f t="shared" si="42"/>
        <v>-</v>
      </c>
      <c r="C19365" s="8" t="s">
        <v>1365</v>
      </c>
    </row>
    <row r="19366" spans="1:3" x14ac:dyDescent="0.25">
      <c r="A19366" s="8" t="str">
        <f>"TAC/ATC 2008 - 2008 Annual Conference and Exhibition of the Transportation Association of Canada: Transportation - A Key to a Sustainable Future"</f>
        <v>TAC/ATC 2008 - 2008 Annual Conference and Exhibition of the Transportation Association of Canada: Transportation - A Key to a Sustainable Future</v>
      </c>
      <c r="B19366" s="8" t="str">
        <f t="shared" si="42"/>
        <v>-</v>
      </c>
      <c r="C19366" s="8" t="s">
        <v>1365</v>
      </c>
    </row>
    <row r="19367" spans="1:3" x14ac:dyDescent="0.25">
      <c r="A19367" s="8" t="str">
        <f>"TAC/ATC 2009 - 2009 Annual Conference and Exhibition of the Transportation Association of Canada: Transportation in a Climate of Change"</f>
        <v>TAC/ATC 2009 - 2009 Annual Conference and Exhibition of the Transportation Association of Canada: Transportation in a Climate of Change</v>
      </c>
      <c r="B19367" s="8" t="str">
        <f t="shared" si="42"/>
        <v>-</v>
      </c>
      <c r="C19367" s="8" t="s">
        <v>1365</v>
      </c>
    </row>
    <row r="19368" spans="1:3" x14ac:dyDescent="0.25">
      <c r="A19368" s="8" t="str">
        <f>"TAC/ATC 2010 - 2010 Annual Conference and Exhibition of the Transportation Association of Canada: Adjusting to New Realities"</f>
        <v>TAC/ATC 2010 - 2010 Annual Conference and Exhibition of the Transportation Association of Canada: Adjusting to New Realities</v>
      </c>
      <c r="B19368" s="8" t="str">
        <f t="shared" si="42"/>
        <v>-</v>
      </c>
      <c r="C19368" s="8" t="s">
        <v>1365</v>
      </c>
    </row>
    <row r="19369" spans="1:3" x14ac:dyDescent="0.25">
      <c r="A19369" s="8" t="str">
        <f>"Tagungsband - Dagstuhl-Workshop MBEES: Modellbasierte Entwicklung eingebetteter Systeme II, MBEES 2006"</f>
        <v>Tagungsband - Dagstuhl-Workshop MBEES: Modellbasierte Entwicklung eingebetteter Systeme II, MBEES 2006</v>
      </c>
      <c r="B19369" s="8" t="str">
        <f t="shared" si="42"/>
        <v>-</v>
      </c>
      <c r="C19369" s="8" t="s">
        <v>2347</v>
      </c>
    </row>
    <row r="19370" spans="1:3" x14ac:dyDescent="0.25">
      <c r="A19370" s="8" t="str">
        <f>"Tagungsband - Dagstuhl-Workshop MBEES: Modellbasierte Entwicklung eingebetteter Systeme III, MBEES 2007"</f>
        <v>Tagungsband - Dagstuhl-Workshop MBEES: Modellbasierte Entwicklung eingebetteter Systeme III, MBEES 2007</v>
      </c>
      <c r="B19370" s="8" t="str">
        <f t="shared" si="42"/>
        <v>-</v>
      </c>
      <c r="C19370" s="8" t="s">
        <v>2347</v>
      </c>
    </row>
    <row r="19371" spans="1:3" x14ac:dyDescent="0.25">
      <c r="A19371" s="8" t="str">
        <f>"Tagungsband - Dagstuhl-Workshop MBEES: Modellbasierte Entwicklung eingebetteter Systeme IV, MBEES 2008"</f>
        <v>Tagungsband - Dagstuhl-Workshop MBEES: Modellbasierte Entwicklung eingebetteter Systeme IV, MBEES 2008</v>
      </c>
      <c r="B19371" s="8" t="str">
        <f t="shared" si="42"/>
        <v>-</v>
      </c>
      <c r="C19371" s="8" t="s">
        <v>2347</v>
      </c>
    </row>
    <row r="19372" spans="1:3" x14ac:dyDescent="0.25">
      <c r="A19372" s="8" t="str">
        <f>"Tagungsband - Dagstuhl-Workshop MBEES: Modellbasierte Entwicklung eingebetteter Systeme V, MBEES 2009"</f>
        <v>Tagungsband - Dagstuhl-Workshop MBEES: Modellbasierte Entwicklung eingebetteter Systeme V, MBEES 2009</v>
      </c>
      <c r="B19372" s="8" t="str">
        <f t="shared" si="42"/>
        <v>-</v>
      </c>
      <c r="C19372" s="8" t="s">
        <v>2347</v>
      </c>
    </row>
    <row r="19373" spans="1:3" x14ac:dyDescent="0.25">
      <c r="A19373" s="8" t="str">
        <f>"Tagungsband - Dagstuhl-Workshop MBEES: Modellbasierte Entwicklung eingebetteter Systeme VI, MBEES 2010"</f>
        <v>Tagungsband - Dagstuhl-Workshop MBEES: Modellbasierte Entwicklung eingebetteter Systeme VI, MBEES 2010</v>
      </c>
      <c r="B19373" s="8" t="str">
        <f t="shared" si="42"/>
        <v>-</v>
      </c>
      <c r="C19373" s="8" t="s">
        <v>2347</v>
      </c>
    </row>
    <row r="19374" spans="1:3" x14ac:dyDescent="0.25">
      <c r="A19374" s="8" t="str">
        <f>"Tagungsband - Dagstuhl-Workshop MBEES: Modellbasierte Entwicklung eingebetteter Systeme VII, MBEES 2011"</f>
        <v>Tagungsband - Dagstuhl-Workshop MBEES: Modellbasierte Entwicklung eingebetteter Systeme VII, MBEES 2011</v>
      </c>
      <c r="B19374" s="8" t="str">
        <f t="shared" si="42"/>
        <v>-</v>
      </c>
      <c r="C19374" s="8" t="s">
        <v>2347</v>
      </c>
    </row>
    <row r="19375" spans="1:3" x14ac:dyDescent="0.25">
      <c r="A19375" s="8" t="str">
        <f>"Tagungsband - Dagstuhl-Workshop MBEES: Modellbasierte Entwicklung eingebetteter Systeme VIII, MBEES 2012"</f>
        <v>Tagungsband - Dagstuhl-Workshop MBEES: Modellbasierte Entwicklung eingebetteter Systeme VIII, MBEES 2012</v>
      </c>
      <c r="B19375" s="8" t="str">
        <f t="shared" si="42"/>
        <v>-</v>
      </c>
      <c r="C19375" s="8" t="s">
        <v>2347</v>
      </c>
    </row>
    <row r="19376" spans="1:3" x14ac:dyDescent="0.25">
      <c r="A19376" s="8" t="str">
        <f>"Tagungsband - Dagstuhl-Workshop MBEES: Modellbasierte Entwicklung eingebetteter Systeme, MBEES 2005"</f>
        <v>Tagungsband - Dagstuhl-Workshop MBEES: Modellbasierte Entwicklung eingebetteter Systeme, MBEES 2005</v>
      </c>
      <c r="B19376" s="8" t="str">
        <f t="shared" si="42"/>
        <v>-</v>
      </c>
      <c r="C19376" s="8" t="s">
        <v>2347</v>
      </c>
    </row>
    <row r="19377" spans="1:3" x14ac:dyDescent="0.25">
      <c r="A19377" s="8" t="str">
        <f>"TAIC PART 2009 - Testing: Academic and Industrial Conference - Practice and Research Techniques"</f>
        <v>TAIC PART 2009 - Testing: Academic and Industrial Conference - Practice and Research Techniques</v>
      </c>
      <c r="B19377" s="8" t="str">
        <f>"9780769538204"</f>
        <v>9780769538204</v>
      </c>
      <c r="C19377" s="8" t="s">
        <v>9</v>
      </c>
    </row>
    <row r="19378" spans="1:3" x14ac:dyDescent="0.25">
      <c r="A19378" s="8" t="str">
        <f>"Tailings and Mine Waste '08 - Proceedings of the 12th International Conference"</f>
        <v>Tailings and Mine Waste '08 - Proceedings of the 12th International Conference</v>
      </c>
      <c r="B19378" s="8" t="str">
        <f>"9780415486347"</f>
        <v>9780415486347</v>
      </c>
      <c r="C19378" s="8" t="s">
        <v>1637</v>
      </c>
    </row>
    <row r="19379" spans="1:3" x14ac:dyDescent="0.25">
      <c r="A19379" s="8" t="str">
        <f>"Tailings and Mine Waste'10 - Proceedings of the 14th International Conference on Tailings and Mine Waste"</f>
        <v>Tailings and Mine Waste'10 - Proceedings of the 14th International Conference on Tailings and Mine Waste</v>
      </c>
      <c r="B19379" s="8" t="str">
        <f>"9780415614559"</f>
        <v>9780415614559</v>
      </c>
      <c r="C19379" s="8" t="s">
        <v>1637</v>
      </c>
    </row>
    <row r="19380" spans="1:3" x14ac:dyDescent="0.25">
      <c r="A19380" s="8" t="str">
        <f>"Tailor Made Concrete Structures: New Solutions for our Society - Proceedings of the International FIB Symposium 2008"</f>
        <v>Tailor Made Concrete Structures: New Solutions for our Society - Proceedings of the International FIB Symposium 2008</v>
      </c>
      <c r="B19380" s="8" t="str">
        <f>"9780415475358"</f>
        <v>9780415475358</v>
      </c>
      <c r="C19380" s="8" t="s">
        <v>1637</v>
      </c>
    </row>
    <row r="19381" spans="1:3" x14ac:dyDescent="0.25">
      <c r="A19381" s="8" t="str">
        <f>"Taishan Academic Forum - Project on Mine Disaster Prevention and Control"</f>
        <v>Taishan Academic Forum - Project on Mine Disaster Prevention and Control</v>
      </c>
      <c r="B19381" s="8" t="str">
        <f>"9789462520288"</f>
        <v>9789462520288</v>
      </c>
      <c r="C19381" s="8" t="s">
        <v>1380</v>
      </c>
    </row>
    <row r="19382" spans="1:3" x14ac:dyDescent="0.25">
      <c r="A19382" s="8" t="str">
        <f>"TANCON 2006 - 15th TANDEC Nonwovens Conference Proceedings"</f>
        <v>TANCON 2006 - 15th TANDEC Nonwovens Conference Proceedings</v>
      </c>
      <c r="B19382" s="8" t="str">
        <f>"-"</f>
        <v>-</v>
      </c>
      <c r="C19382" s="8" t="s">
        <v>2099</v>
      </c>
    </row>
    <row r="19383" spans="1:3" x14ac:dyDescent="0.25">
      <c r="A19383" s="8" t="str">
        <f>"TAPIA'05 - 2005 Richard Tapia Celebration of Diversity in Computing Conference"</f>
        <v>TAPIA'05 - 2005 Richard Tapia Celebration of Diversity in Computing Conference</v>
      </c>
      <c r="B19383" s="8" t="str">
        <f>"9781595932570"</f>
        <v>9781595932570</v>
      </c>
      <c r="C19383" s="8" t="s">
        <v>9</v>
      </c>
    </row>
    <row r="19384" spans="1:3" x14ac:dyDescent="0.25">
      <c r="A19384" s="8" t="str">
        <f>"TAPPI 2006 PLACE Conference: Polymers, Laminations, Adhesives, Coatings and Extrusions"</f>
        <v>TAPPI 2006 PLACE Conference: Polymers, Laminations, Adhesives, Coatings and Extrusions</v>
      </c>
      <c r="B19384" s="8" t="str">
        <f>"-"</f>
        <v>-</v>
      </c>
      <c r="C19384" s="8" t="s">
        <v>306</v>
      </c>
    </row>
    <row r="19385" spans="1:3" x14ac:dyDescent="0.25">
      <c r="A19385" s="8" t="str">
        <f>"TAPPI 2008 PLACE Conference: Innovations in Flexible Consumer Packaging"</f>
        <v>TAPPI 2008 PLACE Conference: Innovations in Flexible Consumer Packaging</v>
      </c>
      <c r="B19385" s="8" t="str">
        <f>"-"</f>
        <v>-</v>
      </c>
      <c r="C19385" s="8" t="s">
        <v>1099</v>
      </c>
    </row>
    <row r="19386" spans="1:3" x14ac:dyDescent="0.25">
      <c r="A19386" s="8" t="str">
        <f>"TAPPI 2nd Annual PaperCon'09 Conference - Solutions for a Changing World"</f>
        <v>TAPPI 2nd Annual PaperCon'09 Conference - Solutions for a Changing World</v>
      </c>
      <c r="B19386" s="8" t="str">
        <f>"-"</f>
        <v>-</v>
      </c>
      <c r="C19386" s="8" t="s">
        <v>1099</v>
      </c>
    </row>
    <row r="19387" spans="1:3" x14ac:dyDescent="0.25">
      <c r="A19387" s="8" t="str">
        <f>"TAPPI Advanced Coating Fundamentals Symposium"</f>
        <v>TAPPI Advanced Coating Fundamentals Symposium</v>
      </c>
      <c r="B19387" s="8" t="str">
        <f>"9781930657045"</f>
        <v>9781930657045</v>
      </c>
      <c r="C19387" s="8" t="s">
        <v>1099</v>
      </c>
    </row>
    <row r="19388" spans="1:3" x14ac:dyDescent="0.25">
      <c r="A19388" s="8" t="str">
        <f>"Tappi Advanced Coating Fundamentals Symposium"</f>
        <v>Tappi Advanced Coating Fundamentals Symposium</v>
      </c>
      <c r="B19388" s="8" t="str">
        <f>"9780898529869"</f>
        <v>9780898529869</v>
      </c>
      <c r="C19388" s="8" t="s">
        <v>1099</v>
      </c>
    </row>
    <row r="19389" spans="1:3" x14ac:dyDescent="0.25">
      <c r="A19389" s="8" t="str">
        <f>"TAPPI Advanced Coating Fundamentals Symposium Proceedings"</f>
        <v>TAPPI Advanced Coating Fundamentals Symposium Proceedings</v>
      </c>
      <c r="B19389" s="8" t="str">
        <f>"9781595101747"</f>
        <v>9781595101747</v>
      </c>
      <c r="C19389" s="8" t="s">
        <v>1099</v>
      </c>
    </row>
    <row r="19390" spans="1:3" x14ac:dyDescent="0.25">
      <c r="A19390" s="8" t="str">
        <f>"Tappi Coating and Graphic Arts Conference and Trade Fair"</f>
        <v>Tappi Coating and Graphic Arts Conference and Trade Fair</v>
      </c>
      <c r="B19390" s="8" t="str">
        <f>"9781930657892"</f>
        <v>9781930657892</v>
      </c>
      <c r="C19390" s="8" t="s">
        <v>1099</v>
      </c>
    </row>
    <row r="19391" spans="1:3" x14ac:dyDescent="0.25">
      <c r="A19391" s="8" t="str">
        <f>"TAPPI Coating and Graphic Arts Conference Trade Fair"</f>
        <v>TAPPI Coating and Graphic Arts Conference Trade Fair</v>
      </c>
      <c r="B19391" s="8" t="str">
        <f>"9781930657892"</f>
        <v>9781930657892</v>
      </c>
      <c r="C19391" s="8" t="s">
        <v>1099</v>
      </c>
    </row>
    <row r="19392" spans="1:3" x14ac:dyDescent="0.25">
      <c r="A19392" s="8" t="str">
        <f>"TAPPI Corrugated Conference 2011, CorrExpo 2011"</f>
        <v>TAPPI Corrugated Conference 2011, CorrExpo 2011</v>
      </c>
      <c r="B19392" s="8" t="str">
        <f>"9781618394446"</f>
        <v>9781618394446</v>
      </c>
      <c r="C19392" s="8" t="s">
        <v>1099</v>
      </c>
    </row>
    <row r="19393" spans="1:3" x14ac:dyDescent="0.25">
      <c r="A19393" s="8" t="str">
        <f>"TAPPI Engineering Conference"</f>
        <v>TAPPI Engineering Conference</v>
      </c>
      <c r="B19393" s="8" t="str">
        <f>"9780898529715"</f>
        <v>9780898529715</v>
      </c>
      <c r="C19393" s="8" t="s">
        <v>1099</v>
      </c>
    </row>
    <row r="19394" spans="1:3" x14ac:dyDescent="0.25">
      <c r="A19394" s="8" t="str">
        <f>"Tappi Engineering/Finishing and Converting Conference and Trade Fair"</f>
        <v>Tappi Engineering/Finishing and Converting Conference and Trade Fair</v>
      </c>
      <c r="B19394" s="8" t="str">
        <f>"9781930657830"</f>
        <v>9781930657830</v>
      </c>
      <c r="C19394" s="8" t="s">
        <v>1099</v>
      </c>
    </row>
    <row r="19395" spans="1:3" x14ac:dyDescent="0.25">
      <c r="A19395" s="8" t="str">
        <f>"TAPPI Fall Technical Conference"</f>
        <v>TAPPI Fall Technical Conference</v>
      </c>
      <c r="B19395" s="8" t="str">
        <f>"9781595100689"</f>
        <v>9781595100689</v>
      </c>
      <c r="C19395" s="8" t="s">
        <v>306</v>
      </c>
    </row>
    <row r="19396" spans="1:3" x14ac:dyDescent="0.25">
      <c r="A19396" s="8" t="str">
        <f>"TAPPI Fall Technical Conference"</f>
        <v>TAPPI Fall Technical Conference</v>
      </c>
      <c r="B19396" s="8" t="str">
        <f>"9781930657304"</f>
        <v>9781930657304</v>
      </c>
      <c r="C19396" s="8" t="s">
        <v>306</v>
      </c>
    </row>
    <row r="19397" spans="1:3" x14ac:dyDescent="0.25">
      <c r="A19397" s="8" t="str">
        <f>"TAPPI Fall technical Conference and Trade Fair"</f>
        <v>TAPPI Fall technical Conference and Trade Fair</v>
      </c>
      <c r="B19397" s="8" t="str">
        <f>"9781930657960"</f>
        <v>9781930657960</v>
      </c>
      <c r="C19397" s="8" t="s">
        <v>1099</v>
      </c>
    </row>
    <row r="19398" spans="1:3" x14ac:dyDescent="0.25">
      <c r="A19398" s="8" t="str">
        <f>"TAPPI Hot Melt Symposium"</f>
        <v>TAPPI Hot Melt Symposium</v>
      </c>
      <c r="B19398" s="8" t="str">
        <f>"9781930657670"</f>
        <v>9781930657670</v>
      </c>
      <c r="C19398" s="8" t="s">
        <v>1099</v>
      </c>
    </row>
    <row r="19399" spans="1:3" x14ac:dyDescent="0.25">
      <c r="A19399" s="8" t="str">
        <f>"TAPPI Hot Melt Symposium"</f>
        <v>TAPPI Hot Melt Symposium</v>
      </c>
      <c r="B19399" s="8" t="str">
        <f>"9780898529661"</f>
        <v>9780898529661</v>
      </c>
      <c r="C19399" s="8" t="s">
        <v>1099</v>
      </c>
    </row>
    <row r="19400" spans="1:3" x14ac:dyDescent="0.25">
      <c r="A19400" s="8" t="str">
        <f>"TAPPI Hot Melt Symposium"</f>
        <v>TAPPI Hot Melt Symposium</v>
      </c>
      <c r="B19400" s="8" t="str">
        <f>"9781930657946"</f>
        <v>9781930657946</v>
      </c>
      <c r="C19400" s="8" t="s">
        <v>1099</v>
      </c>
    </row>
    <row r="19401" spans="1:3" x14ac:dyDescent="0.25">
      <c r="A19401" s="8" t="str">
        <f>"TAPPI International Bioenergy and Bioproducts Conference 2009, Held in Conjunction with TAPPI Engineering, Pulping and Environmental Conference 2009"</f>
        <v>TAPPI International Bioenergy and Bioproducts Conference 2009, Held in Conjunction with TAPPI Engineering, Pulping and Environmental Conference 2009</v>
      </c>
      <c r="B19401" s="8" t="str">
        <f>"9781615679584"</f>
        <v>9781615679584</v>
      </c>
      <c r="C19401" s="8" t="s">
        <v>1099</v>
      </c>
    </row>
    <row r="19402" spans="1:3" x14ac:dyDescent="0.25">
      <c r="A19402" s="8" t="str">
        <f>"TAPPI International Bioenergy and Bioproducts Conference 2012, IBBC 2012"</f>
        <v>TAPPI International Bioenergy and Bioproducts Conference 2012, IBBC 2012</v>
      </c>
      <c r="B19402" s="8" t="str">
        <f>"9781622768424"</f>
        <v>9781622768424</v>
      </c>
      <c r="C19402" s="8" t="s">
        <v>1099</v>
      </c>
    </row>
    <row r="19403" spans="1:3" x14ac:dyDescent="0.25">
      <c r="A19403" s="8" t="str">
        <f>"TAPPI International Conference on Nanotechnology for Renewable Materials 2011"</f>
        <v>TAPPI International Conference on Nanotechnology for Renewable Materials 2011</v>
      </c>
      <c r="B19403" s="8" t="str">
        <f>"9781618394408"</f>
        <v>9781618394408</v>
      </c>
      <c r="C19403" s="8" t="s">
        <v>1099</v>
      </c>
    </row>
    <row r="19404" spans="1:3" x14ac:dyDescent="0.25">
      <c r="A19404" s="8" t="str">
        <f>"TAPPI International Conference on Nanotechnology for Renewable Materials 2012"</f>
        <v>TAPPI International Conference on Nanotechnology for Renewable Materials 2012</v>
      </c>
      <c r="B19404" s="8" t="str">
        <f>"9781627480536"</f>
        <v>9781627480536</v>
      </c>
      <c r="C19404" s="8" t="s">
        <v>1099</v>
      </c>
    </row>
    <row r="19405" spans="1:3" x14ac:dyDescent="0.25">
      <c r="A19405" s="8" t="str">
        <f>"TAPPI International Corrugated Packaging Conference and CorrExpo 2013: Where Ideas Turn into Innovation"</f>
        <v>TAPPI International Corrugated Packaging Conference and CorrExpo 2013: Where Ideas Turn into Innovation</v>
      </c>
      <c r="B19405" s="8" t="str">
        <f>"9781510801301"</f>
        <v>9781510801301</v>
      </c>
      <c r="C19405" s="8" t="s">
        <v>1099</v>
      </c>
    </row>
    <row r="19406" spans="1:3" x14ac:dyDescent="0.25">
      <c r="A19406" s="8" t="str">
        <f>"TAPPI International Environmental, Health and Safety Conference and Exhibit"</f>
        <v>TAPPI International Environmental, Health and Safety Conference and Exhibit</v>
      </c>
      <c r="B19406" s="8" t="str">
        <f>"9781930657625"</f>
        <v>9781930657625</v>
      </c>
      <c r="C19406" s="8" t="s">
        <v>1099</v>
      </c>
    </row>
    <row r="19407" spans="1:3" x14ac:dyDescent="0.25">
      <c r="A19407" s="8" t="str">
        <f>"Tappi International Pulp Bleaching Conference"</f>
        <v>Tappi International Pulp Bleaching Conference</v>
      </c>
      <c r="B19407" s="8" t="str">
        <f>"9781930657922"</f>
        <v>9781930657922</v>
      </c>
      <c r="C19407" s="8" t="s">
        <v>1099</v>
      </c>
    </row>
    <row r="19408" spans="1:3" x14ac:dyDescent="0.25">
      <c r="A19408" s="8" t="str">
        <f>"TAPPI Kraft Recovery Course 2007"</f>
        <v>TAPPI Kraft Recovery Course 2007</v>
      </c>
      <c r="B19408" s="8" t="str">
        <f>"9781605600635"</f>
        <v>9781605600635</v>
      </c>
      <c r="C19408" s="8" t="s">
        <v>1099</v>
      </c>
    </row>
    <row r="19409" spans="1:3" x14ac:dyDescent="0.25">
      <c r="A19409" s="8" t="str">
        <f>"TAPPI Paper Machine Drives Short Course 2009 - Short Course Notes, Held in Conjunction with IEEE Pulp and Paper Conference 2009"</f>
        <v>TAPPI Paper Machine Drives Short Course 2009 - Short Course Notes, Held in Conjunction with IEEE Pulp and Paper Conference 2009</v>
      </c>
      <c r="B19409" s="8" t="str">
        <f>"9781617381300"</f>
        <v>9781617381300</v>
      </c>
      <c r="C19409" s="8" t="s">
        <v>1099</v>
      </c>
    </row>
    <row r="19410" spans="1:3" x14ac:dyDescent="0.25">
      <c r="A19410" s="8" t="str">
        <f>"TAPPI Papermakers Conference"</f>
        <v>TAPPI Papermakers Conference</v>
      </c>
      <c r="B19410" s="8" t="str">
        <f>"9781930657601"</f>
        <v>9781930657601</v>
      </c>
      <c r="C19410" s="8" t="s">
        <v>1099</v>
      </c>
    </row>
    <row r="19411" spans="1:3" x14ac:dyDescent="0.25">
      <c r="A19411" s="8" t="str">
        <f>"Tappi Papermakers Conference and Trade Fair"</f>
        <v>Tappi Papermakers Conference and Trade Fair</v>
      </c>
      <c r="B19411" s="8" t="str">
        <f>"9780898529630"</f>
        <v>9780898529630</v>
      </c>
      <c r="C19411" s="8" t="s">
        <v>1099</v>
      </c>
    </row>
    <row r="19412" spans="1:3" x14ac:dyDescent="0.25">
      <c r="A19412" s="8" t="str">
        <f>"Tappi Papermakers Conference and Trade Fair"</f>
        <v>Tappi Papermakers Conference and Trade Fair</v>
      </c>
      <c r="B19412" s="8" t="str">
        <f>"9780898529630"</f>
        <v>9780898529630</v>
      </c>
      <c r="C19412" s="8" t="s">
        <v>1099</v>
      </c>
    </row>
    <row r="19413" spans="1:3" x14ac:dyDescent="0.25">
      <c r="A19413" s="8" t="str">
        <f>"TAPPI PLACE Conference"</f>
        <v>TAPPI PLACE Conference</v>
      </c>
      <c r="B19413" s="8" t="str">
        <f>"9781930657977"</f>
        <v>9781930657977</v>
      </c>
      <c r="C19413" s="8" t="s">
        <v>1099</v>
      </c>
    </row>
    <row r="19414" spans="1:3" x14ac:dyDescent="0.25">
      <c r="A19414" s="8" t="str">
        <f>"TAPPI PLACE Conference"</f>
        <v>TAPPI PLACE Conference</v>
      </c>
      <c r="B19414" s="8" t="str">
        <f>"9781595100627"</f>
        <v>9781595100627</v>
      </c>
      <c r="C19414" s="8" t="s">
        <v>306</v>
      </c>
    </row>
    <row r="19415" spans="1:3" x14ac:dyDescent="0.25">
      <c r="A19415" s="8" t="s">
        <v>2348</v>
      </c>
      <c r="B19415" s="8" t="str">
        <f>"9781605600628"</f>
        <v>9781605600628</v>
      </c>
      <c r="C19415" s="8" t="s">
        <v>1099</v>
      </c>
    </row>
    <row r="19416" spans="1:3" x14ac:dyDescent="0.25">
      <c r="A19416" s="8" t="str">
        <f>"TAPPI PLACE Conference 2010"</f>
        <v>TAPPI PLACE Conference 2010</v>
      </c>
      <c r="B19416" s="8" t="str">
        <f>"9781617387906"</f>
        <v>9781617387906</v>
      </c>
      <c r="C19416" s="8" t="s">
        <v>1099</v>
      </c>
    </row>
    <row r="19417" spans="1:3" x14ac:dyDescent="0.25">
      <c r="A19417" s="8" t="str">
        <f>"TAPPI PLACE Conference 2014"</f>
        <v>TAPPI PLACE Conference 2014</v>
      </c>
      <c r="B19417" s="8" t="str">
        <f>"-"</f>
        <v>-</v>
      </c>
      <c r="C19417" s="8" t="s">
        <v>1099</v>
      </c>
    </row>
    <row r="19418" spans="1:3" x14ac:dyDescent="0.25">
      <c r="A19418" s="8" t="str">
        <f>"TAPPI Press - 5th TAPPI/CETEA International Conference on Flexible Packaging 2008"</f>
        <v>TAPPI Press - 5th TAPPI/CETEA International Conference on Flexible Packaging 2008</v>
      </c>
      <c r="B19418" s="8" t="str">
        <f>"9781615678143"</f>
        <v>9781615678143</v>
      </c>
      <c r="C19418" s="8" t="s">
        <v>1099</v>
      </c>
    </row>
    <row r="19419" spans="1:3" x14ac:dyDescent="0.25">
      <c r="A19419" s="8" t="str">
        <f>"TAPPI Press - Engineering, Pulping and Environmental Conference 2008"</f>
        <v>TAPPI Press - Engineering, Pulping and Environmental Conference 2008</v>
      </c>
      <c r="B19419" s="8" t="str">
        <f>"9781605605081"</f>
        <v>9781605605081</v>
      </c>
      <c r="C19419" s="8" t="s">
        <v>1099</v>
      </c>
    </row>
    <row r="19420" spans="1:3" x14ac:dyDescent="0.25">
      <c r="A19420" s="8" t="str">
        <f>"TAPPI Press - Paper Conference and Trade Show, PaperCon '08"</f>
        <v>TAPPI Press - Paper Conference and Trade Show, PaperCon '08</v>
      </c>
      <c r="B19420" s="8" t="str">
        <f>"9781605605104"</f>
        <v>9781605605104</v>
      </c>
      <c r="C19420" s="8" t="s">
        <v>1099</v>
      </c>
    </row>
    <row r="19421" spans="1:3" x14ac:dyDescent="0.25">
      <c r="A19421" s="8" t="str">
        <f>"TAPPI Press - TAPPI Corrugated Conference 2009, CorrExpo 2009"</f>
        <v>TAPPI Press - TAPPI Corrugated Conference 2009, CorrExpo 2009</v>
      </c>
      <c r="B19421" s="8" t="str">
        <f>"9781615677870"</f>
        <v>9781615677870</v>
      </c>
      <c r="C19421" s="8" t="s">
        <v>1099</v>
      </c>
    </row>
    <row r="19422" spans="1:3" x14ac:dyDescent="0.25">
      <c r="A19422" s="8" t="str">
        <f>"TAPPI Press - TAPPI Engineering, Pulping and Environmental Conference 2009 - Innovations in Energy, Fiber and Compliance"</f>
        <v>TAPPI Press - TAPPI Engineering, Pulping and Environmental Conference 2009 - Innovations in Energy, Fiber and Compliance</v>
      </c>
      <c r="B19422" s="8" t="str">
        <f>"9781615677863"</f>
        <v>9781615677863</v>
      </c>
      <c r="C19422" s="8" t="s">
        <v>1099</v>
      </c>
    </row>
    <row r="19423" spans="1:3" x14ac:dyDescent="0.25">
      <c r="A19423" s="8" t="str">
        <f>"Tappi Process Control, Electrical and Information Conference"</f>
        <v>Tappi Process Control, Electrical and Information Conference</v>
      </c>
      <c r="B19423" s="8" t="str">
        <f>"9780898529616"</f>
        <v>9780898529616</v>
      </c>
      <c r="C19423" s="8" t="s">
        <v>1099</v>
      </c>
    </row>
    <row r="19424" spans="1:3" x14ac:dyDescent="0.25">
      <c r="A19424" s="8" t="str">
        <f>"TAPPI Pulping/Process and Product Quality Conference"</f>
        <v>TAPPI Pulping/Process and Product Quality Conference</v>
      </c>
      <c r="B19424" s="8" t="str">
        <f>"9780898529746"</f>
        <v>9780898529746</v>
      </c>
      <c r="C19424" s="8" t="s">
        <v>1099</v>
      </c>
    </row>
    <row r="19425" spans="1:3" x14ac:dyDescent="0.25">
      <c r="A19425" s="8" t="str">
        <f>"TAPPI Spring Technical Conference and Exhibit"</f>
        <v>TAPPI Spring Technical Conference and Exhibit</v>
      </c>
      <c r="B19425" s="8" t="str">
        <f>"9781930657069"</f>
        <v>9781930657069</v>
      </c>
      <c r="C19425" s="8" t="s">
        <v>1099</v>
      </c>
    </row>
    <row r="19426" spans="1:3" x14ac:dyDescent="0.25">
      <c r="A19426" s="8" t="str">
        <f>"TAPPI Technical Information Papers"</f>
        <v>TAPPI Technical Information Papers</v>
      </c>
      <c r="B19426" s="8" t="str">
        <f>"9781930657717"</f>
        <v>9781930657717</v>
      </c>
      <c r="C19426" s="8" t="s">
        <v>1099</v>
      </c>
    </row>
    <row r="19427" spans="1:3" x14ac:dyDescent="0.25">
      <c r="A19427" s="8" t="str">
        <f>"TAPPI Technology Summit"</f>
        <v>TAPPI Technology Summit</v>
      </c>
      <c r="B19427" s="8" t="str">
        <f>"9781930657854"</f>
        <v>9781930657854</v>
      </c>
      <c r="C19427" s="8" t="s">
        <v>1099</v>
      </c>
    </row>
    <row r="19428" spans="1:3" x14ac:dyDescent="0.25">
      <c r="A19428" s="8" t="str">
        <f>"TAPPI/ISA Process Control, Electrical, and Information Conference"</f>
        <v>TAPPI/ISA Process Control, Electrical, and Information Conference</v>
      </c>
      <c r="B19428" s="8" t="str">
        <f>"9781930657618"</f>
        <v>9781930657618</v>
      </c>
      <c r="C19428" s="8" t="s">
        <v>1099</v>
      </c>
    </row>
    <row r="19429" spans="1:3" x14ac:dyDescent="0.25">
      <c r="A19429" s="8" t="str">
        <f>"TASI 2008 - Proceedings of the 2008 Theoretical Advanced Study Institute in Elementary Particle Physics: The Dawn of the LHC Era"</f>
        <v>TASI 2008 - Proceedings of the 2008 Theoretical Advanced Study Institute in Elementary Particle Physics: The Dawn of the LHC Era</v>
      </c>
      <c r="B19429" s="8" t="str">
        <f>"9789812838353"</f>
        <v>9789812838353</v>
      </c>
      <c r="C19429" s="8" t="s">
        <v>157</v>
      </c>
    </row>
    <row r="19430" spans="1:3" x14ac:dyDescent="0.25">
      <c r="A19430" s="8" t="str">
        <f>"TASI 2009 - Proceedings of the Theoretical Advanced Study Institute in Elementary Particle Physics: Physics of the Large and the Small"</f>
        <v>TASI 2009 - Proceedings of the Theoretical Advanced Study Institute in Elementary Particle Physics: Physics of the Large and the Small</v>
      </c>
      <c r="B19430" s="8" t="str">
        <f>"9789814327176"</f>
        <v>9789814327176</v>
      </c>
      <c r="C19430" s="8" t="s">
        <v>157</v>
      </c>
    </row>
    <row r="19431" spans="1:3" x14ac:dyDescent="0.25">
      <c r="A19431" s="8" t="str">
        <f>"TASI 2010 - Proceedings of the 2010 Theoretical Advanced Study Institute in Elementary Particle Physics: String Theory and Its Applications - From meV to the Planck Scale"</f>
        <v>TASI 2010 - Proceedings of the 2010 Theoretical Advanced Study Institute in Elementary Particle Physics: String Theory and Its Applications - From meV to the Planck Scale</v>
      </c>
      <c r="B19431" s="8" t="str">
        <f>"9789814350518"</f>
        <v>9789814350518</v>
      </c>
      <c r="C19431" s="8" t="s">
        <v>157</v>
      </c>
    </row>
    <row r="19432" spans="1:3" x14ac:dyDescent="0.25">
      <c r="A19432" s="8" t="str">
        <f>"TAV-WEB 2008 - Proceedings of the Workshop on Testing, Analysis and Verification of Web Software"</f>
        <v>TAV-WEB 2008 - Proceedings of the Workshop on Testing, Analysis and Verification of Web Software</v>
      </c>
      <c r="B19432" s="8" t="str">
        <f>"9781605580524"</f>
        <v>9781605580524</v>
      </c>
      <c r="C19432" s="8" t="s">
        <v>21</v>
      </c>
    </row>
    <row r="19433" spans="1:3" x14ac:dyDescent="0.25">
      <c r="A19433" s="8" t="str">
        <f>"TC7 Symposium on New Developments in the Field of Measurement Science 2002"</f>
        <v>TC7 Symposium on New Developments in the Field of Measurement Science 2002</v>
      </c>
      <c r="B19433" s="8" t="str">
        <f>"-"</f>
        <v>-</v>
      </c>
      <c r="C19433" s="8" t="s">
        <v>1198</v>
      </c>
    </row>
    <row r="19434" spans="1:3" x14ac:dyDescent="0.25">
      <c r="A19434" s="8" t="str">
        <f>"TCLEE 2009: Lifeline Earthquake Engineering in a Multihazard Environment"</f>
        <v>TCLEE 2009: Lifeline Earthquake Engineering in a Multihazard Environment</v>
      </c>
      <c r="B19434" s="8" t="str">
        <f>"9780784410509"</f>
        <v>9780784410509</v>
      </c>
      <c r="C19434" s="8" t="s">
        <v>111</v>
      </c>
    </row>
    <row r="19435" spans="1:3" x14ac:dyDescent="0.25">
      <c r="A19435" s="8" t="str">
        <f>"TCSET 2008 - Modern Problems of Radio Engineering, Telecommunications and Computer Science - Proceedings of the International Conference"</f>
        <v>TCSET 2008 - Modern Problems of Radio Engineering, Telecommunications and Computer Science - Proceedings of the International Conference</v>
      </c>
      <c r="B19435" s="8" t="str">
        <f>"9789665536789"</f>
        <v>9789665536789</v>
      </c>
      <c r="C19435" s="8" t="s">
        <v>9</v>
      </c>
    </row>
    <row r="19436" spans="1:3" x14ac:dyDescent="0.25">
      <c r="A19436" s="8" t="str">
        <f>"TDMA'11 - Proceedings of the 2011 International Workshop on Trajectory Data Mining and Analysis"</f>
        <v>TDMA'11 - Proceedings of the 2011 International Workshop on Trajectory Data Mining and Analysis</v>
      </c>
      <c r="B19436" s="8" t="str">
        <f>"9781450309332"</f>
        <v>9781450309332</v>
      </c>
      <c r="C19436" s="8" t="s">
        <v>21</v>
      </c>
    </row>
    <row r="19437" spans="1:3" x14ac:dyDescent="0.25">
      <c r="A19437" s="8" t="str">
        <f>"Technical Digest - 15th OptoElectronics and Communications Conference, OECC2010"</f>
        <v>Technical Digest - 15th OptoElectronics and Communications Conference, OECC2010</v>
      </c>
      <c r="B19437" s="8" t="str">
        <f>"9784885522451"</f>
        <v>9784885522451</v>
      </c>
      <c r="C19437" s="8" t="s">
        <v>9</v>
      </c>
    </row>
    <row r="19438" spans="1:3" x14ac:dyDescent="0.25">
      <c r="A19438" s="8" t="str">
        <f>"Technical Digest - 2009 22nd International Vacuum Nanoelectronics Conference, IVNC 2009"</f>
        <v>Technical Digest - 2009 22nd International Vacuum Nanoelectronics Conference, IVNC 2009</v>
      </c>
      <c r="B19438" s="8" t="str">
        <f>"9781424435883"</f>
        <v>9781424435883</v>
      </c>
      <c r="C19438" s="8" t="s">
        <v>9</v>
      </c>
    </row>
    <row r="19439" spans="1:3" x14ac:dyDescent="0.25">
      <c r="A19439" s="8" t="str">
        <f>"Technical Digest - 2012 17th Opto-Electronics and Communications Conference, OECC 2012"</f>
        <v>Technical Digest - 2012 17th Opto-Electronics and Communications Conference, OECC 2012</v>
      </c>
      <c r="B19439" s="8" t="str">
        <f>"9781467309776"</f>
        <v>9781467309776</v>
      </c>
      <c r="C19439" s="8" t="s">
        <v>9</v>
      </c>
    </row>
    <row r="19440" spans="1:3" x14ac:dyDescent="0.25">
      <c r="A19440" s="8" t="str">
        <f>"Technical Digest - 2014 27th International Vacuum Nanoelectronics Conference, IVNC 2014"</f>
        <v>Technical Digest - 2014 27th International Vacuum Nanoelectronics Conference, IVNC 2014</v>
      </c>
      <c r="B19440" s="8" t="str">
        <f>"9781479953080"</f>
        <v>9781479953080</v>
      </c>
      <c r="C19440" s="8" t="s">
        <v>105</v>
      </c>
    </row>
    <row r="19441" spans="1:3" x14ac:dyDescent="0.25">
      <c r="A19441" s="8" t="str">
        <f>"Technical Digest - 25th International Vacuum Nanoelectronics Conference, IVNC 2012"</f>
        <v>Technical Digest - 25th International Vacuum Nanoelectronics Conference, IVNC 2012</v>
      </c>
      <c r="B19441" s="8" t="str">
        <f>"9781467319812"</f>
        <v>9781467319812</v>
      </c>
      <c r="C19441" s="8" t="s">
        <v>9</v>
      </c>
    </row>
    <row r="19442" spans="1:3" x14ac:dyDescent="0.25">
      <c r="A19442" s="8" t="str">
        <f>"Technical Digest of the 17th International Vacuum Nanoelectronics Conference, IVNC 2004"</f>
        <v>Technical Digest of the 17th International Vacuum Nanoelectronics Conference, IVNC 2004</v>
      </c>
      <c r="B19442" s="8" t="str">
        <f>"9780780383975"</f>
        <v>9780780383975</v>
      </c>
      <c r="C19442" s="8" t="s">
        <v>105</v>
      </c>
    </row>
    <row r="19443" spans="1:3" x14ac:dyDescent="0.25">
      <c r="A19443" s="8" t="str">
        <f>"Technical Digest of the 18th International Vacuum Nanoelectronics Conference, IVNC 2005"</f>
        <v>Technical Digest of the 18th International Vacuum Nanoelectronics Conference, IVNC 2005</v>
      </c>
      <c r="B19443" s="8" t="str">
        <f>"-"</f>
        <v>-</v>
      </c>
      <c r="C19443" s="8" t="s">
        <v>9</v>
      </c>
    </row>
    <row r="19444" spans="1:3" x14ac:dyDescent="0.25">
      <c r="A19444" s="8" t="str">
        <f>"Technical Digest of the 18th Microoptics Conference, MOC 2013"</f>
        <v>Technical Digest of the 18th Microoptics Conference, MOC 2013</v>
      </c>
      <c r="B19444" s="8" t="str">
        <f>"9784863483453"</f>
        <v>9784863483453</v>
      </c>
      <c r="C19444" s="8" t="s">
        <v>9</v>
      </c>
    </row>
    <row r="19445" spans="1:3" x14ac:dyDescent="0.25">
      <c r="A19445" s="8" t="str">
        <f>"Technical Digest of the 20th International Vacuum Nanoelectronics Conference, IVNC 07"</f>
        <v>Technical Digest of the 20th International Vacuum Nanoelectronics Conference, IVNC 07</v>
      </c>
      <c r="B19445" s="8" t="str">
        <f>"9781424411344"</f>
        <v>9781424411344</v>
      </c>
      <c r="C19445" s="8" t="s">
        <v>9</v>
      </c>
    </row>
    <row r="19446" spans="1:3" x14ac:dyDescent="0.25">
      <c r="A19446" s="8" t="str">
        <f>"Technical Papers of ISA: Integrated Manufacturing Solutions Real-Time Manufacturing Strategies"</f>
        <v>Technical Papers of ISA: Integrated Manufacturing Solutions Real-Time Manufacturing Strategies</v>
      </c>
      <c r="B19446" s="8" t="str">
        <f>"9781556177927"</f>
        <v>9781556177927</v>
      </c>
      <c r="C19446" s="8" t="s">
        <v>1907</v>
      </c>
    </row>
    <row r="19447" spans="1:3" x14ac:dyDescent="0.25">
      <c r="A19447" s="8" t="str">
        <f>"Technical Papers of ISA: Integrated Manufacturing Solutions Supply Chain/Management Strategies"</f>
        <v>Technical Papers of ISA: Integrated Manufacturing Solutions Supply Chain/Management Strategies</v>
      </c>
      <c r="B19447" s="8" t="str">
        <f>"9781556177910"</f>
        <v>9781556177910</v>
      </c>
      <c r="C19447" s="8" t="s">
        <v>1907</v>
      </c>
    </row>
    <row r="19448" spans="1:3" x14ac:dyDescent="0.25">
      <c r="A19448" s="8" t="str">
        <f>"Technical Papers of ISA: Safety Instrumented Systems for the Process Industry"</f>
        <v>Technical Papers of ISA: Safety Instrumented Systems for the Process Industry</v>
      </c>
      <c r="B19448" s="8" t="str">
        <f>"9781556177897"</f>
        <v>9781556177897</v>
      </c>
      <c r="C19448" s="8" t="s">
        <v>1907</v>
      </c>
    </row>
    <row r="19449" spans="1:3" x14ac:dyDescent="0.25">
      <c r="A19449" s="8" t="str">
        <f>"Technical Papers of ISA: Safety Instrumented Systems for the Process Industry"</f>
        <v>Technical Papers of ISA: Safety Instrumented Systems for the Process Industry</v>
      </c>
      <c r="B19449" s="8" t="str">
        <f>"9781556178580"</f>
        <v>9781556178580</v>
      </c>
      <c r="C19449" s="8" t="s">
        <v>188</v>
      </c>
    </row>
    <row r="19450" spans="1:3" x14ac:dyDescent="0.25">
      <c r="A19450" s="8" t="str">
        <f>"Technical Proceedings of the 2008 NSTI Nanotechnology Conference and Trade Show, NSTI-Nanotech, Nanotechnology 2008"</f>
        <v>Technical Proceedings of the 2008 NSTI Nanotechnology Conference and Trade Show, NSTI-Nanotech, Nanotechnology 2008</v>
      </c>
      <c r="B19450" s="8" t="str">
        <f>"9781420085075"</f>
        <v>9781420085075</v>
      </c>
      <c r="C19450" s="8" t="s">
        <v>96</v>
      </c>
    </row>
    <row r="19451" spans="1:3" x14ac:dyDescent="0.25">
      <c r="A19451" s="8" t="str">
        <f>"Technical Proceedings of the 2009 NSTI Nanotechnology Conference and Expo, NSTI-Nanotech 2009"</f>
        <v>Technical Proceedings of the 2009 NSTI Nanotechnology Conference and Expo, NSTI-Nanotech 2009</v>
      </c>
      <c r="B19451" s="8" t="str">
        <f>"9781439817834"</f>
        <v>9781439817834</v>
      </c>
      <c r="C19451" s="8" t="s">
        <v>1334</v>
      </c>
    </row>
    <row r="19452" spans="1:3" x14ac:dyDescent="0.25">
      <c r="A19452" s="8" t="str">
        <f>"Technical Proceedings of the 2011 NSTI Nanotechnology Conference and Expo, NSTI-Nanotech 2011"</f>
        <v>Technical Proceedings of the 2011 NSTI Nanotechnology Conference and Expo, NSTI-Nanotech 2011</v>
      </c>
      <c r="B19452" s="8" t="str">
        <f>"9781439871423"</f>
        <v>9781439871423</v>
      </c>
      <c r="C19452" s="8" t="s">
        <v>1334</v>
      </c>
    </row>
    <row r="19453" spans="1:3" x14ac:dyDescent="0.25">
      <c r="A19453" s="8" t="str">
        <f>"Technical Proceedings of the 2011 NSTI Nanotechnology Conference and Expo, NSTI-Nanotech 2011"</f>
        <v>Technical Proceedings of the 2011 NSTI Nanotechnology Conference and Expo, NSTI-Nanotech 2011</v>
      </c>
      <c r="B19453" s="8" t="str">
        <f>"9781439871393"</f>
        <v>9781439871393</v>
      </c>
      <c r="C19453" s="8" t="s">
        <v>1334</v>
      </c>
    </row>
    <row r="19454" spans="1:3" x14ac:dyDescent="0.25">
      <c r="A19454" s="8" t="str">
        <f>"Technical Proceedings of the 2011 NSTI Nanotechnology Conference and Expo, NSTI-Nanotech 2011"</f>
        <v>Technical Proceedings of the 2011 NSTI Nanotechnology Conference and Expo, NSTI-Nanotech 2011</v>
      </c>
      <c r="B19454" s="8" t="str">
        <f>"9781439871386"</f>
        <v>9781439871386</v>
      </c>
      <c r="C19454" s="8" t="s">
        <v>1334</v>
      </c>
    </row>
    <row r="19455" spans="1:3" x14ac:dyDescent="0.25">
      <c r="A19455" s="8" t="str">
        <f>"Technical Proceedings of the 2012 NSTI Nanotechnology Conference and Expo, NSTI-Nanotech 2012"</f>
        <v>Technical Proceedings of the 2012 NSTI Nanotechnology Conference and Expo, NSTI-Nanotech 2012</v>
      </c>
      <c r="B19455" s="8" t="str">
        <f>"9781466562745"</f>
        <v>9781466562745</v>
      </c>
      <c r="C19455" s="8" t="s">
        <v>1334</v>
      </c>
    </row>
    <row r="19456" spans="1:3" x14ac:dyDescent="0.25">
      <c r="A19456" s="8" t="str">
        <f>"Technical Proceedings of the 2013 NSTI Nanotechnology Conference and Expo, NSTI-Nanotech 2013"</f>
        <v>Technical Proceedings of the 2013 NSTI Nanotechnology Conference and Expo, NSTI-Nanotech 2013</v>
      </c>
      <c r="B19456" s="8" t="str">
        <f>"-"</f>
        <v>-</v>
      </c>
      <c r="C19456" s="8" t="s">
        <v>1334</v>
      </c>
    </row>
    <row r="19457" spans="1:3" x14ac:dyDescent="0.25">
      <c r="A19457" s="8" t="str">
        <f>"Technical Program for MFPT 2012, The Prognostics and Health Management Solutions Conference - PHM: Driving Efficient Operations and Maintenance"</f>
        <v>Technical Program for MFPT 2012, The Prognostics and Health Management Solutions Conference - PHM: Driving Efficient Operations and Maintenance</v>
      </c>
      <c r="B19457" s="8" t="str">
        <f>"-"</f>
        <v>-</v>
      </c>
      <c r="C19457" s="8" t="s">
        <v>1826</v>
      </c>
    </row>
    <row r="19458" spans="1:3" x14ac:dyDescent="0.25">
      <c r="A19458" s="8" t="str">
        <f>"Technical Program for MFPT: The Applied Systems Health Management Conference 2011: Enabling Sustainable Systems"</f>
        <v>Technical Program for MFPT: The Applied Systems Health Management Conference 2011: Enabling Sustainable Systems</v>
      </c>
      <c r="B19458" s="8" t="str">
        <f>"-"</f>
        <v>-</v>
      </c>
      <c r="C19458" s="8" t="s">
        <v>1826</v>
      </c>
    </row>
    <row r="19459" spans="1:3" x14ac:dyDescent="0.25">
      <c r="A19459" s="8" t="str">
        <f>"Technical Program for the MFPT 2010 Conference - Transition: From R and D to Product"</f>
        <v>Technical Program for the MFPT 2010 Conference - Transition: From R and D to Product</v>
      </c>
      <c r="B19459" s="8" t="str">
        <f>"-"</f>
        <v>-</v>
      </c>
      <c r="C19459" s="8" t="s">
        <v>1826</v>
      </c>
    </row>
    <row r="19460" spans="1:3" x14ac:dyDescent="0.25">
      <c r="A19460" s="8" t="str">
        <f>"Technical, Technological and Economic Aspects of Thin-Seams Coal Mining International Mining Forum 2007"</f>
        <v>Technical, Technological and Economic Aspects of Thin-Seams Coal Mining International Mining Forum 2007</v>
      </c>
      <c r="B19460" s="8" t="str">
        <f>"9780415436700"</f>
        <v>9780415436700</v>
      </c>
      <c r="C19460" s="8" t="s">
        <v>1520</v>
      </c>
    </row>
    <row r="19461" spans="1:3" x14ac:dyDescent="0.25">
      <c r="A19461" s="8" t="str">
        <f>"Technion Israel Institute of Technology - 46th Israel Annual Conference on Aerospace Sciences 2006"</f>
        <v>Technion Israel Institute of Technology - 46th Israel Annual Conference on Aerospace Sciences 2006</v>
      </c>
      <c r="B19461" s="8" t="str">
        <f>"9781604235203"</f>
        <v>9781604235203</v>
      </c>
      <c r="C19461" s="8" t="s">
        <v>1527</v>
      </c>
    </row>
    <row r="19462" spans="1:3" x14ac:dyDescent="0.25">
      <c r="A19462" s="8" t="str">
        <f>"Technion Israel Institute of Technology - 48th Israel Annual Conference on Aerospace Sciences 2008"</f>
        <v>Technion Israel Institute of Technology - 48th Israel Annual Conference on Aerospace Sciences 2008</v>
      </c>
      <c r="B19462" s="8" t="str">
        <f>"9781605601274"</f>
        <v>9781605601274</v>
      </c>
      <c r="C19462" s="8" t="s">
        <v>1527</v>
      </c>
    </row>
    <row r="19463" spans="1:3" x14ac:dyDescent="0.25">
      <c r="A19463" s="8" t="str">
        <f>"Technological Developments in Education and Automation"</f>
        <v>Technological Developments in Education and Automation</v>
      </c>
      <c r="B19463" s="8" t="str">
        <f>"9789048136551"</f>
        <v>9789048136551</v>
      </c>
      <c r="C19463" s="8" t="s">
        <v>1639</v>
      </c>
    </row>
    <row r="19464" spans="1:3" x14ac:dyDescent="0.25">
      <c r="A19464" s="8" t="str">
        <f>"Technological Developments in Networking, Education and Automation"</f>
        <v>Technological Developments in Networking, Education and Automation</v>
      </c>
      <c r="B19464" s="8" t="str">
        <f>"9789048191505"</f>
        <v>9789048191505</v>
      </c>
      <c r="C19464" s="8" t="s">
        <v>162</v>
      </c>
    </row>
    <row r="19465" spans="1:3" x14ac:dyDescent="0.25">
      <c r="A19465" s="8" t="str">
        <f>"Technology and Medical Sciences, TMSi 2010 - Proceedings of the 6th International Conference on Technology and Medical Sciences"</f>
        <v>Technology and Medical Sciences, TMSi 2010 - Proceedings of the 6th International Conference on Technology and Medical Sciences</v>
      </c>
      <c r="B19465" s="8" t="str">
        <f>"9780415668224"</f>
        <v>9780415668224</v>
      </c>
      <c r="C19465" s="8" t="s">
        <v>96</v>
      </c>
    </row>
    <row r="19466" spans="1:3" x14ac:dyDescent="0.25">
      <c r="A19466" s="8" t="str">
        <f>"Technology for Life: North Carolina Symposium on Biotechnology and Bioinformatics - 2004 Proceedings"</f>
        <v>Technology for Life: North Carolina Symposium on Biotechnology and Bioinformatics - 2004 Proceedings</v>
      </c>
      <c r="B19466" s="8" t="str">
        <f>"9780780388260"</f>
        <v>9780780388260</v>
      </c>
      <c r="C19466" s="8" t="s">
        <v>105</v>
      </c>
    </row>
    <row r="19467" spans="1:3" x14ac:dyDescent="0.25">
      <c r="A19467" s="8" t="str">
        <f>"TechSym 2010 - Proceedings of the 2010 IEEE Students' Technology Symposium"</f>
        <v>TechSym 2010 - Proceedings of the 2010 IEEE Students' Technology Symposium</v>
      </c>
      <c r="B19467" s="8" t="str">
        <f>"9781424459742"</f>
        <v>9781424459742</v>
      </c>
      <c r="C19467" s="8" t="s">
        <v>9</v>
      </c>
    </row>
    <row r="19468" spans="1:3" x14ac:dyDescent="0.25">
      <c r="A19468" s="8" t="str">
        <f>"TechSym 2011 - Proceedings of the 2011 IEEE Students' Technology Symposium"</f>
        <v>TechSym 2011 - Proceedings of the 2011 IEEE Students' Technology Symposium</v>
      </c>
      <c r="B19468" s="8" t="str">
        <f>"9781424489428"</f>
        <v>9781424489428</v>
      </c>
      <c r="C19468" s="8" t="s">
        <v>9</v>
      </c>
    </row>
    <row r="19469" spans="1:3" x14ac:dyDescent="0.25">
      <c r="A19469" s="8" t="str">
        <f>"TEI 2013 - Proceedings of the 7th International Conference on Tangible, Embedded and Embodied Interaction"</f>
        <v>TEI 2013 - Proceedings of the 7th International Conference on Tangible, Embedded and Embodied Interaction</v>
      </c>
      <c r="B19469" s="8" t="str">
        <f>"9781450318983"</f>
        <v>9781450318983</v>
      </c>
      <c r="C19469" s="8" t="s">
        <v>21</v>
      </c>
    </row>
    <row r="19470" spans="1:3" x14ac:dyDescent="0.25">
      <c r="A19470" s="8" t="str">
        <f>"TEI 2014 - 8th International Conference on Tangible, Embedded and Embodied Interaction, Proceedings"</f>
        <v>TEI 2014 - 8th International Conference on Tangible, Embedded and Embodied Interaction, Proceedings</v>
      </c>
      <c r="B19470" s="8" t="str">
        <f>"9781450326353"</f>
        <v>9781450326353</v>
      </c>
      <c r="C19470" s="8" t="s">
        <v>21</v>
      </c>
    </row>
    <row r="19471" spans="1:3" x14ac:dyDescent="0.25">
      <c r="A19471" s="8" t="str">
        <f>"TEI 2015 - Proceedings of the 9th International Conference on Tangible, Embedded, and Embodied Interaction"</f>
        <v>TEI 2015 - Proceedings of the 9th International Conference on Tangible, Embedded, and Embodied Interaction</v>
      </c>
      <c r="B19471" s="8" t="str">
        <f>"9781450333054"</f>
        <v>9781450333054</v>
      </c>
      <c r="C19471" s="8" t="s">
        <v>1235</v>
      </c>
    </row>
    <row r="19472" spans="1:3" x14ac:dyDescent="0.25">
      <c r="A19472" s="8" t="str">
        <f>"TEI'07: First International Conference on Tangible and Embedded Interaction"</f>
        <v>TEI'07: First International Conference on Tangible and Embedded Interaction</v>
      </c>
      <c r="B19472" s="8" t="str">
        <f>"9781595936196"</f>
        <v>9781595936196</v>
      </c>
      <c r="C19472" s="8" t="s">
        <v>21</v>
      </c>
    </row>
    <row r="19473" spans="1:3" x14ac:dyDescent="0.25">
      <c r="A19473" s="8" t="str">
        <f>"TEI'08 - Second International Conference on Tangible and Embedded Interaction - Conference Proceedings"</f>
        <v>TEI'08 - Second International Conference on Tangible and Embedded Interaction - Conference Proceedings</v>
      </c>
      <c r="B19473" s="8" t="str">
        <f>"9781605580043"</f>
        <v>9781605580043</v>
      </c>
      <c r="C19473" s="8" t="s">
        <v>21</v>
      </c>
    </row>
    <row r="19474" spans="1:3" x14ac:dyDescent="0.25">
      <c r="A19474" s="8" t="str">
        <f>"TEI'10 - Proceedings of the 4th International Conference on Tangible, Embedded, and Embodied Interaction"</f>
        <v>TEI'10 - Proceedings of the 4th International Conference on Tangible, Embedded, and Embodied Interaction</v>
      </c>
      <c r="B19474" s="8" t="str">
        <f>"9781605588414"</f>
        <v>9781605588414</v>
      </c>
      <c r="C19474" s="8" t="s">
        <v>21</v>
      </c>
    </row>
    <row r="19475" spans="1:3" x14ac:dyDescent="0.25">
      <c r="A19475" s="8" t="str">
        <f>"TEIN 2010 - 2010 ETP/IITA Conference on Telecommunication and Information"</f>
        <v>TEIN 2010 - 2010 ETP/IITA Conference on Telecommunication and Information</v>
      </c>
      <c r="B19475" s="8" t="str">
        <f>"9789881824257"</f>
        <v>9789881824257</v>
      </c>
      <c r="C19475" s="8" t="s">
        <v>1353</v>
      </c>
    </row>
    <row r="19476" spans="1:3" x14ac:dyDescent="0.25">
      <c r="A19476" s="8" t="str">
        <f>"TEIN 2011 - 2011 2nd ETP/IITA Conference on Telecommunication and Information"</f>
        <v>TEIN 2011 - 2011 2nd ETP/IITA Conference on Telecommunication and Information</v>
      </c>
      <c r="B19476" s="8" t="str">
        <f>"-"</f>
        <v>-</v>
      </c>
      <c r="C19476" s="8" t="s">
        <v>1353</v>
      </c>
    </row>
    <row r="19477" spans="1:3" x14ac:dyDescent="0.25">
      <c r="A19477" s="8" t="str">
        <f>"TEIN 2012 - 2012 3rd International Conference on Telecommunication and Information"</f>
        <v>TEIN 2012 - 2012 3rd International Conference on Telecommunication and Information</v>
      </c>
      <c r="B19477" s="8" t="str">
        <f>"9781612750026"</f>
        <v>9781612750026</v>
      </c>
      <c r="C19477" s="8" t="s">
        <v>2349</v>
      </c>
    </row>
    <row r="19478" spans="1:3" x14ac:dyDescent="0.25">
      <c r="A19478" s="8" t="str">
        <f>"TELESCON 2000 - 3rd International Telecommunications Energy Special Conference, Proceedings"</f>
        <v>TELESCON 2000 - 3rd International Telecommunications Energy Special Conference, Proceedings</v>
      </c>
      <c r="B19478" s="8" t="str">
        <f>"9783800725465"</f>
        <v>9783800725465</v>
      </c>
      <c r="C19478" s="8" t="s">
        <v>105</v>
      </c>
    </row>
    <row r="19479" spans="1:3" x14ac:dyDescent="0.25">
      <c r="A19479" s="8" t="str">
        <f>"TELSIKS 2005 - 7th International Conference on Telecommunications in Moderm Satellite, Cable and Broadcasting Services, Proceedings of Papers"</f>
        <v>TELSIKS 2005 - 7th International Conference on Telecommunications in Moderm Satellite, Cable and Broadcasting Services, Proceedings of Papers</v>
      </c>
      <c r="B19479" s="8" t="str">
        <f>"-"</f>
        <v>-</v>
      </c>
      <c r="C19479" s="8" t="s">
        <v>9</v>
      </c>
    </row>
    <row r="19480" spans="1:3" x14ac:dyDescent="0.25">
      <c r="A19480" s="8" t="str">
        <f>"TEMPMEKO 2004 - 9th International Symposium on Temperature and Thermal Measurements in Industry and Science"</f>
        <v>TEMPMEKO 2004 - 9th International Symposium on Temperature and Thermal Measurements in Industry and Science</v>
      </c>
      <c r="B19480" s="8" t="str">
        <f>"-"</f>
        <v>-</v>
      </c>
      <c r="C19480" s="8" t="s">
        <v>1198</v>
      </c>
    </row>
    <row r="19481" spans="1:3" x14ac:dyDescent="0.25">
      <c r="A19481" s="8" t="str">
        <f>"TERENA Networking Conference 2005: The World of Pervasive Networking, TNC 2005"</f>
        <v>TERENA Networking Conference 2005: The World of Pervasive Networking, TNC 2005</v>
      </c>
      <c r="B19481" s="8" t="str">
        <f>"9789077559093"</f>
        <v>9789077559093</v>
      </c>
      <c r="C19481" s="8" t="s">
        <v>2350</v>
      </c>
    </row>
    <row r="19482" spans="1:3" x14ac:dyDescent="0.25">
      <c r="A19482" s="8" t="str">
        <f>"TERENA Networking Conference 2009: Virtuality into Reality, TNC 2009"</f>
        <v>TERENA Networking Conference 2009: Virtuality into Reality, TNC 2009</v>
      </c>
      <c r="B19482" s="8" t="str">
        <f>"9789077559192"</f>
        <v>9789077559192</v>
      </c>
      <c r="C19482" s="8" t="s">
        <v>2350</v>
      </c>
    </row>
    <row r="19483" spans="1:3" x14ac:dyDescent="0.25">
      <c r="A19483" s="8" t="str">
        <f>"TERENA Networking Conference 2010: Living the Network Life, TNC 2010"</f>
        <v>TERENA Networking Conference 2010: Living the Network Life, TNC 2010</v>
      </c>
      <c r="B19483" s="8" t="str">
        <f>"9789077559208"</f>
        <v>9789077559208</v>
      </c>
      <c r="C19483" s="8" t="s">
        <v>2350</v>
      </c>
    </row>
    <row r="19484" spans="1:3" x14ac:dyDescent="0.25">
      <c r="A19484" s="8" t="str">
        <f>"TERENA Networking Conference 2011: 'Enabling Communities', TNC 2011"</f>
        <v>TERENA Networking Conference 2011: 'Enabling Communities', TNC 2011</v>
      </c>
      <c r="B19484" s="8" t="str">
        <f>"9789077559000"</f>
        <v>9789077559000</v>
      </c>
      <c r="C19484" s="8" t="s">
        <v>2350</v>
      </c>
    </row>
    <row r="19485" spans="1:3" x14ac:dyDescent="0.25">
      <c r="A19485" s="8" t="str">
        <f>"TERENA Networking Conference 2012: 'Networking to Services', TNC 2012"</f>
        <v>TERENA Networking Conference 2012: 'Networking to Services', TNC 2012</v>
      </c>
      <c r="B19485" s="8" t="str">
        <f>"9789077559000"</f>
        <v>9789077559000</v>
      </c>
      <c r="C19485" s="8" t="s">
        <v>2350</v>
      </c>
    </row>
    <row r="19486" spans="1:3" x14ac:dyDescent="0.25">
      <c r="A19486" s="8" t="str">
        <f>"Terminology and Content Development - TKE 2005: 7th International Conference on Terminology and Knowledge Engineering"</f>
        <v>Terminology and Content Development - TKE 2005: 7th International Conference on Terminology and Knowledge Engineering</v>
      </c>
      <c r="B19486" s="8" t="str">
        <f>"9788791242465"</f>
        <v>9788791242465</v>
      </c>
      <c r="C19486" s="8" t="s">
        <v>2351</v>
      </c>
    </row>
    <row r="19487" spans="1:3" x14ac:dyDescent="0.25">
      <c r="A19487" s="8" t="str">
        <f>"Testing and Measurement: Techniques and Applications - Proceedings of the 2015 International Conference on Testing and Measurement: Techniques and Applications, TMTA 2015"</f>
        <v>Testing and Measurement: Techniques and Applications - Proceedings of the 2015 International Conference on Testing and Measurement: Techniques and Applications, TMTA 2015</v>
      </c>
      <c r="B19487" s="8" t="str">
        <f>"9781138028128"</f>
        <v>9781138028128</v>
      </c>
      <c r="C19487" s="8" t="s">
        <v>1635</v>
      </c>
    </row>
    <row r="19488" spans="1:3" x14ac:dyDescent="0.25">
      <c r="A19488" s="8" t="str">
        <f>"Text Mining and its Applications to Intelligence, CRM and Knowledge Management"</f>
        <v>Text Mining and its Applications to Intelligence, CRM and Knowledge Management</v>
      </c>
      <c r="B19488" s="8" t="str">
        <f>"9781853129957"</f>
        <v>9781853129957</v>
      </c>
      <c r="C19488" s="8" t="s">
        <v>1641</v>
      </c>
    </row>
    <row r="19489" spans="1:3" x14ac:dyDescent="0.25">
      <c r="A19489" s="8" t="str">
        <f>"Textile Bioengineering and Informatics Symposium Proceedings 2014 - 7th Textile Bioengineering and Informatics Symposium, TBIS 2014, in conjunction with the 5th Asian Protective Clothing Conference, APCC 2014"</f>
        <v>Textile Bioengineering and Informatics Symposium Proceedings 2014 - 7th Textile Bioengineering and Informatics Symposium, TBIS 2014, in conjunction with the 5th Asian Protective Clothing Conference, APCC 2014</v>
      </c>
      <c r="B19489" s="8" t="str">
        <f>"-"</f>
        <v>-</v>
      </c>
      <c r="C19489" s="8" t="s">
        <v>2352</v>
      </c>
    </row>
    <row r="19490" spans="1:3" x14ac:dyDescent="0.25">
      <c r="A19490" s="8" t="str">
        <f>"Textile Composites and Inflatable Structures VI - Proceedings of the 6th International Conference on Textile Composites and Inflatable Structures, Structures Membranes 2013"</f>
        <v>Textile Composites and Inflatable Structures VI - Proceedings of the 6th International Conference on Textile Composites and Inflatable Structures, Structures Membranes 2013</v>
      </c>
      <c r="B19490" s="8" t="str">
        <f>"9788494168604"</f>
        <v>9788494168604</v>
      </c>
      <c r="C19490" s="8" t="s">
        <v>1238</v>
      </c>
    </row>
    <row r="19491" spans="1:3" x14ac:dyDescent="0.25">
      <c r="A19491" s="8" t="str">
        <f>"TG-SMM 2013 - IAG Symposium on Terrestrial Gravimetry: Static and Mobile Measurements, Proceedings"</f>
        <v>TG-SMM 2013 - IAG Symposium on Terrestrial Gravimetry: Static and Mobile Measurements, Proceedings</v>
      </c>
      <c r="B19491" s="8" t="str">
        <f>"9785919950349"</f>
        <v>9785919950349</v>
      </c>
      <c r="C19491" s="8" t="s">
        <v>1248</v>
      </c>
    </row>
    <row r="19492" spans="1:3" x14ac:dyDescent="0.25">
      <c r="A19492" s="8" t="str">
        <f>"The 2nd International Conference on Wireless Broadband and Ultra Wideband Communications, AusWireless 2007"</f>
        <v>The 2nd International Conference on Wireless Broadband and Ultra Wideband Communications, AusWireless 2007</v>
      </c>
      <c r="B19492" s="8" t="str">
        <f>"9780769528427"</f>
        <v>9780769528427</v>
      </c>
      <c r="C19492" s="8" t="s">
        <v>9</v>
      </c>
    </row>
    <row r="19493" spans="1:3" x14ac:dyDescent="0.25">
      <c r="A19493" s="8" t="str">
        <f>"The 7th International Conference on Advanced Communication Technology, ICACT 2005"</f>
        <v>The 7th International Conference on Advanced Communication Technology, ICACT 2005</v>
      </c>
      <c r="B19493" s="8" t="str">
        <f>"9788955191233"</f>
        <v>9788955191233</v>
      </c>
      <c r="C19493" s="8" t="s">
        <v>9</v>
      </c>
    </row>
    <row r="19494" spans="1:3" x14ac:dyDescent="0.25">
      <c r="A19494" s="8" t="str">
        <f>"The American Civil Engineer 1852-2002: the History, Traditions, and Development of the American Society of Civil Engineers"</f>
        <v>The American Civil Engineer 1852-2002: the History, Traditions, and Development of the American Society of Civil Engineers</v>
      </c>
      <c r="B19494" s="8" t="str">
        <f>"9780784405543"</f>
        <v>9780784405543</v>
      </c>
      <c r="C19494" s="8" t="s">
        <v>1643</v>
      </c>
    </row>
    <row r="19495" spans="1:3" x14ac:dyDescent="0.25">
      <c r="A19495" s="8" t="str">
        <f>"The Experience of Designing and Application of CAD Systems in Microelectronics - Proceedings of the 7th International Conference, CADSM 2003"</f>
        <v>The Experience of Designing and Application of CAD Systems in Microelectronics - Proceedings of the 7th International Conference, CADSM 2003</v>
      </c>
      <c r="B19495" s="8" t="str">
        <f>"9789665532781"</f>
        <v>9789665532781</v>
      </c>
      <c r="C19495" s="8" t="s">
        <v>105</v>
      </c>
    </row>
    <row r="19496" spans="1:3" x14ac:dyDescent="0.25">
      <c r="A19496" s="8" t="str">
        <f>"The Experience of Designing and Application of CAD Systems in Microelectronics - Proceedings of the 9th International Conference, CADSM 2007"</f>
        <v>The Experience of Designing and Application of CAD Systems in Microelectronics - Proceedings of the 9th International Conference, CADSM 2007</v>
      </c>
      <c r="B19496" s="8" t="str">
        <f>"9789665535874"</f>
        <v>9789665535874</v>
      </c>
      <c r="C19496" s="8" t="s">
        <v>9</v>
      </c>
    </row>
    <row r="19497" spans="1:3" x14ac:dyDescent="0.25">
      <c r="A19497" s="8" t="str">
        <f>"The Fourth Workshop on Photonics and Its Application"</f>
        <v>The Fourth Workshop on Photonics and Its Application</v>
      </c>
      <c r="B19497" s="8" t="str">
        <f>"9789775031785"</f>
        <v>9789775031785</v>
      </c>
      <c r="C19497" s="8" t="s">
        <v>105</v>
      </c>
    </row>
    <row r="19498" spans="1:3" x14ac:dyDescent="0.25">
      <c r="A19498" s="8" t="str">
        <f>"The Future of Product Development - Proceedings of the 17th CIRP Design Conference"</f>
        <v>The Future of Product Development - Proceedings of the 17th CIRP Design Conference</v>
      </c>
      <c r="B19498" s="8" t="str">
        <f>"9783540698197"</f>
        <v>9783540698197</v>
      </c>
      <c r="C19498" s="8" t="s">
        <v>582</v>
      </c>
    </row>
    <row r="19499" spans="1:3" x14ac:dyDescent="0.25">
      <c r="A19499" s="8" t="str">
        <f>"The Future of Water, Sanitation and Hygiene in Low-Income Countries: Innovation, Adaptation and Engagement in a Changing World - Proceedings of the 35th WEDC International Conference"</f>
        <v>The Future of Water, Sanitation and Hygiene in Low-Income Countries: Innovation, Adaptation and Engagement in a Changing World - Proceedings of the 35th WEDC International Conference</v>
      </c>
      <c r="B19499" s="8" t="str">
        <f>"9781843801429"</f>
        <v>9781843801429</v>
      </c>
      <c r="C19499" s="8" t="s">
        <v>1486</v>
      </c>
    </row>
    <row r="19500" spans="1:3" x14ac:dyDescent="0.25">
      <c r="A19500" s="8" t="str">
        <f>"The Grammar of Technology Development"</f>
        <v>The Grammar of Technology Development</v>
      </c>
      <c r="B19500" s="8" t="str">
        <f>"9784431752318"</f>
        <v>9784431752318</v>
      </c>
      <c r="C19500" s="8" t="s">
        <v>162</v>
      </c>
    </row>
    <row r="19501" spans="1:3" x14ac:dyDescent="0.25">
      <c r="A19501" s="8" t="str">
        <f>"The Joint 30th International Conference on Infrared and Millimeter Waves and 13th International Conference on Terahertz Electronics, 2005. IRMMW-THz 2005"</f>
        <v>The Joint 30th International Conference on Infrared and Millimeter Waves and 13th International Conference on Terahertz Electronics, 2005. IRMMW-THz 2005</v>
      </c>
      <c r="B19501" s="8" t="str">
        <f>"-"</f>
        <v>-</v>
      </c>
      <c r="C19501" s="8" t="s">
        <v>9</v>
      </c>
    </row>
    <row r="19502" spans="1:3" x14ac:dyDescent="0.25">
      <c r="A19502" s="8" t="str">
        <f>"The Maillard Reaction: Interface Between Aging, Nutrition and Metabolism"</f>
        <v>The Maillard Reaction: Interface Between Aging, Nutrition and Metabolism</v>
      </c>
      <c r="B19502" s="8" t="str">
        <f>"9781849730792"</f>
        <v>9781849730792</v>
      </c>
      <c r="C19502" s="8" t="s">
        <v>121</v>
      </c>
    </row>
    <row r="19503" spans="1:3" x14ac:dyDescent="0.25">
      <c r="A19503" s="8" t="str">
        <f>"The Mechanism of Concussion in Sports"</f>
        <v>The Mechanism of Concussion in Sports</v>
      </c>
      <c r="B19503" s="8" t="str">
        <f>"9780803175389"</f>
        <v>9780803175389</v>
      </c>
      <c r="C19503" s="8" t="s">
        <v>75</v>
      </c>
    </row>
    <row r="19504" spans="1:3" x14ac:dyDescent="0.25">
      <c r="A19504" s="8" t="str">
        <f>"The Minerals, Metals and Materials Society - 3rd International Conference on Processing Materials for Properties 2008, PMP III"</f>
        <v>The Minerals, Metals and Materials Society - 3rd International Conference on Processing Materials for Properties 2008, PMP III</v>
      </c>
      <c r="B19504" s="8" t="str">
        <f>"9781615674237"</f>
        <v>9781615674237</v>
      </c>
      <c r="C19504" s="8" t="s">
        <v>1844</v>
      </c>
    </row>
    <row r="19505" spans="1:3" x14ac:dyDescent="0.25">
      <c r="A19505" s="8" t="str">
        <f>"The New Uranium Mining Boom: Challenge and Lessons Learned"</f>
        <v>The New Uranium Mining Boom: Challenge and Lessons Learned</v>
      </c>
      <c r="B19505" s="8" t="str">
        <f>"9783642221217"</f>
        <v>9783642221217</v>
      </c>
      <c r="C19505" s="8" t="s">
        <v>582</v>
      </c>
    </row>
    <row r="19506" spans="1:3" x14ac:dyDescent="0.25">
      <c r="A19506" s="8" t="str">
        <f>"The Origin of Mass and Strong Coupling Gauge Theories - Proceedings of the 2006 International Workshop, SCGT 2006"</f>
        <v>The Origin of Mass and Strong Coupling Gauge Theories - Proceedings of the 2006 International Workshop, SCGT 2006</v>
      </c>
      <c r="B19506" s="8" t="str">
        <f>"9789812706416"</f>
        <v>9789812706416</v>
      </c>
      <c r="C19506" s="8" t="s">
        <v>157</v>
      </c>
    </row>
    <row r="19507" spans="1:3" x14ac:dyDescent="0.25">
      <c r="A19507" s="8" t="str">
        <f>"The Proceedings of The 3rd (2009) ISOPE International DEEP-OCEAN TECHNOLOGY SYMPOSIUM: Deepwater Challenge, IDOT-2009"</f>
        <v>The Proceedings of The 3rd (2009) ISOPE International DEEP-OCEAN TECHNOLOGY SYMPOSIUM: Deepwater Challenge, IDOT-2009</v>
      </c>
      <c r="B19507" s="8" t="str">
        <f>"9781880653739"</f>
        <v>9781880653739</v>
      </c>
      <c r="C19507" s="8" t="s">
        <v>594</v>
      </c>
    </row>
    <row r="19508" spans="1:3" x14ac:dyDescent="0.25">
      <c r="A19508" s="8" t="str">
        <f>"The Role of Service in the Tourism and Hospitality Industry - Proceedings of the 2nd International Conference on Management and Technology in Knowledge, Service, Tourism and Hospitality, SERVE 2014"</f>
        <v>The Role of Service in the Tourism and Hospitality Industry - Proceedings of the 2nd International Conference on Management and Technology in Knowledge, Service, Tourism and Hospitality, SERVE 2014</v>
      </c>
      <c r="B19508" s="8" t="str">
        <f>"9781138027367"</f>
        <v>9781138027367</v>
      </c>
      <c r="C19508" s="8" t="s">
        <v>1635</v>
      </c>
    </row>
    <row r="19509" spans="1:3" x14ac:dyDescent="0.25">
      <c r="A19509" s="8" t="str">
        <f>"The Safety of Systems - Proceedings of the 15th Safety-Critical Systems Symposium, SSS 2007"</f>
        <v>The Safety of Systems - Proceedings of the 15th Safety-Critical Systems Symposium, SSS 2007</v>
      </c>
      <c r="B19509" s="8" t="str">
        <f>"9781846288050"</f>
        <v>9781846288050</v>
      </c>
      <c r="C19509" s="8" t="s">
        <v>62</v>
      </c>
    </row>
    <row r="19510" spans="1:3" x14ac:dyDescent="0.25">
      <c r="A19510" s="8" t="str">
        <f>"The Science and Culture Series - Astrophysics; International School of Cosmic Ray Astrophysics 15th Course: Astrophysics at Ultra-High Energies"</f>
        <v>The Science and Culture Series - Astrophysics; International School of Cosmic Ray Astrophysics 15th Course: Astrophysics at Ultra-High Energies</v>
      </c>
      <c r="B19510" s="8" t="str">
        <f>"9789812790149"</f>
        <v>9789812790149</v>
      </c>
      <c r="C19510" s="8" t="s">
        <v>157</v>
      </c>
    </row>
    <row r="19511" spans="1:3" x14ac:dyDescent="0.25">
      <c r="A19511" s="8" t="str">
        <f>"The Shanghai Yangtze River Tunnel: Theory, Design and Constr. - Complimentary Special Issue to the Sixth Int. Symposium on Geotechnical Aspects of Underground Constr. in Soft Ground, IS-SHANGHAI 2008"</f>
        <v>The Shanghai Yangtze River Tunnel: Theory, Design and Constr. - Complimentary Special Issue to the Sixth Int. Symposium on Geotechnical Aspects of Underground Constr. in Soft Ground, IS-SHANGHAI 2008</v>
      </c>
      <c r="B19511" s="8" t="str">
        <f>"9780415471619"</f>
        <v>9780415471619</v>
      </c>
      <c r="C19511" s="8" t="s">
        <v>1619</v>
      </c>
    </row>
    <row r="19512" spans="1:3" x14ac:dyDescent="0.25">
      <c r="A19512" s="8" t="str">
        <f>"The Social Semantic Web 2007 - Proceedings of the 1st Conference on Social Semantic Web, CSSW 2007"</f>
        <v>The Social Semantic Web 2007 - Proceedings of the 1st Conference on Social Semantic Web, CSSW 2007</v>
      </c>
      <c r="B19512" s="8" t="str">
        <f>"9783885792079"</f>
        <v>9783885792079</v>
      </c>
      <c r="C19512" s="8" t="s">
        <v>833</v>
      </c>
    </row>
    <row r="19513" spans="1:3" x14ac:dyDescent="0.25">
      <c r="A19513" s="8" t="str">
        <f>"The Spin: Poincare Seminar 2007"</f>
        <v>The Spin: Poincare Seminar 2007</v>
      </c>
      <c r="B19513" s="8" t="str">
        <f>"9783764387983"</f>
        <v>9783764387983</v>
      </c>
      <c r="C19513" s="8" t="s">
        <v>162</v>
      </c>
    </row>
    <row r="19514" spans="1:3" x14ac:dyDescent="0.25">
      <c r="A19514" s="8" t="str">
        <f>"The World's Leading Conference on Laser Safety, ILSC 2009 - International Laser Safety Conference"</f>
        <v>The World's Leading Conference on Laser Safety, ILSC 2009 - International Laser Safety Conference</v>
      </c>
      <c r="B19514" s="8" t="str">
        <f>"9780912035246"</f>
        <v>9780912035246</v>
      </c>
      <c r="C19514" s="8" t="s">
        <v>723</v>
      </c>
    </row>
    <row r="19515" spans="1:3" x14ac:dyDescent="0.25">
      <c r="A19515" s="8" t="str">
        <f>"The World's Leading Conference on Laser Safety, ILSC 2011 - International Laser Safety Conference"</f>
        <v>The World's Leading Conference on Laser Safety, ILSC 2011 - International Laser Safety Conference</v>
      </c>
      <c r="B19515" s="8" t="str">
        <f>"9780912035574"</f>
        <v>9780912035574</v>
      </c>
      <c r="C19515" s="8" t="s">
        <v>723</v>
      </c>
    </row>
    <row r="19516" spans="1:3" x14ac:dyDescent="0.25">
      <c r="A19516" s="8" t="str">
        <f>"The World's Leading Conference on Laser Safety, ILSC 2013 - International Laser Safety Conference"</f>
        <v>The World's Leading Conference on Laser Safety, ILSC 2013 - International Laser Safety Conference</v>
      </c>
      <c r="B19516" s="8" t="str">
        <f>"9780912035970"</f>
        <v>9780912035970</v>
      </c>
      <c r="C19516" s="8" t="s">
        <v>723</v>
      </c>
    </row>
    <row r="19517" spans="1:3" x14ac:dyDescent="0.25">
      <c r="A19517" s="8" t="s">
        <v>2353</v>
      </c>
      <c r="B19517" s="8" t="str">
        <f>"-"</f>
        <v>-</v>
      </c>
      <c r="C19517" s="8" t="s">
        <v>2354</v>
      </c>
    </row>
    <row r="19518" spans="1:3" x14ac:dyDescent="0.25">
      <c r="A19518" s="8" t="str">
        <f>"Theoretical and Computational Acoustics 2005"</f>
        <v>Theoretical and Computational Acoustics 2005</v>
      </c>
      <c r="B19518" s="8" t="str">
        <f>"9789812700841"</f>
        <v>9789812700841</v>
      </c>
      <c r="C19518" s="8" t="s">
        <v>157</v>
      </c>
    </row>
    <row r="19519" spans="1:3" x14ac:dyDescent="0.25">
      <c r="A19519" s="8" t="str">
        <f>"Theory and Practice of Computer Graphics 2005, TPCG 2005 - Eurographics UK Chapter Proceedings"</f>
        <v>Theory and Practice of Computer Graphics 2005, TPCG 2005 - Eurographics UK Chapter Proceedings</v>
      </c>
      <c r="B19519" s="8" t="str">
        <f>"9783905673562"</f>
        <v>9783905673562</v>
      </c>
      <c r="C19519" s="8" t="s">
        <v>23</v>
      </c>
    </row>
    <row r="19520" spans="1:3" x14ac:dyDescent="0.25">
      <c r="A19520" s="8" t="str">
        <f>"Theory and Practice of Computer Graphics 2006, TPCG 2006 - Eurographics UK Chapter Proceedings"</f>
        <v>Theory and Practice of Computer Graphics 2006, TPCG 2006 - Eurographics UK Chapter Proceedings</v>
      </c>
      <c r="B19520" s="8" t="str">
        <f>"9783905673593"</f>
        <v>9783905673593</v>
      </c>
      <c r="C19520" s="8" t="s">
        <v>23</v>
      </c>
    </row>
    <row r="19521" spans="1:3" x14ac:dyDescent="0.25">
      <c r="A19521" s="8" t="str">
        <f>"Theory and Practice of Computer Graphics 2007, TPCG 2007 - Eurographics UK Chapter Proceedings: Celebrating 25 Years of the Eurographics UK Chapter"</f>
        <v>Theory and Practice of Computer Graphics 2007, TPCG 2007 - Eurographics UK Chapter Proceedings: Celebrating 25 Years of the Eurographics UK Chapter</v>
      </c>
      <c r="B19521" s="8" t="str">
        <f>"9783905673630"</f>
        <v>9783905673630</v>
      </c>
      <c r="C19521" s="8" t="s">
        <v>23</v>
      </c>
    </row>
    <row r="19522" spans="1:3" x14ac:dyDescent="0.25">
      <c r="A19522" s="8" t="str">
        <f>"Theory and Practice of Computer Graphics 2008, TPCG 2008 - Eurographics UK Chapter Proceedings"</f>
        <v>Theory and Practice of Computer Graphics 2008, TPCG 2008 - Eurographics UK Chapter Proceedings</v>
      </c>
      <c r="B19522" s="8" t="str">
        <f>"9783905673678"</f>
        <v>9783905673678</v>
      </c>
      <c r="C19522" s="8" t="s">
        <v>23</v>
      </c>
    </row>
    <row r="19523" spans="1:3" x14ac:dyDescent="0.25">
      <c r="A19523" s="8" t="str">
        <f>"Theory and Practice of Computer Graphics 2009, TPCG 2009 - Eurographics UK Chapter Proceedings"</f>
        <v>Theory and Practice of Computer Graphics 2009, TPCG 2009 - Eurographics UK Chapter Proceedings</v>
      </c>
      <c r="B19523" s="8" t="str">
        <f>"9783905673715"</f>
        <v>9783905673715</v>
      </c>
      <c r="C19523" s="8" t="s">
        <v>23</v>
      </c>
    </row>
    <row r="19524" spans="1:3" x14ac:dyDescent="0.25">
      <c r="A19524" s="8" t="str">
        <f>"Theory and Practice of Computer Graphics 2010, TPCG 2010 - Eurographics UK Chapter Proceedings"</f>
        <v>Theory and Practice of Computer Graphics 2010, TPCG 2010 - Eurographics UK Chapter Proceedings</v>
      </c>
      <c r="B19524" s="8" t="str">
        <f>"9783905673753"</f>
        <v>9783905673753</v>
      </c>
      <c r="C19524" s="8" t="s">
        <v>23</v>
      </c>
    </row>
    <row r="19525" spans="1:3" x14ac:dyDescent="0.25">
      <c r="A19525" s="8" t="str">
        <f>"Theory and Practice of Computer Graphics 2011, TPCG 2011 - Eurographics UK Chapter Proceedings"</f>
        <v>Theory and Practice of Computer Graphics 2011, TPCG 2011 - Eurographics UK Chapter Proceedings</v>
      </c>
      <c r="B19525" s="8" t="str">
        <f>"9783905673838"</f>
        <v>9783905673838</v>
      </c>
      <c r="C19525" s="8" t="s">
        <v>23</v>
      </c>
    </row>
    <row r="19526" spans="1:3" x14ac:dyDescent="0.25">
      <c r="A19526" s="8" t="str">
        <f>"Theory and Practice of Computer Graphics 2012, TPCG 2012 - Eurographics UK Chapter Proceedings"</f>
        <v>Theory and Practice of Computer Graphics 2012, TPCG 2012 - Eurographics UK Chapter Proceedings</v>
      </c>
      <c r="B19526" s="8" t="str">
        <f>"9783905673937"</f>
        <v>9783905673937</v>
      </c>
      <c r="C19526" s="8" t="s">
        <v>23</v>
      </c>
    </row>
    <row r="19527" spans="1:3" x14ac:dyDescent="0.25">
      <c r="A19527" s="8" t="str">
        <f>"Thermal Management of Microelectronic Equipment"</f>
        <v>Thermal Management of Microelectronic Equipment</v>
      </c>
      <c r="B19527" s="8" t="str">
        <f>"9780791801680"</f>
        <v>9780791801680</v>
      </c>
      <c r="C19527" s="8" t="s">
        <v>1308</v>
      </c>
    </row>
    <row r="19528" spans="1:3" x14ac:dyDescent="0.25">
      <c r="A19528" s="8" t="str">
        <f>"Thermal Performance of the Exterior Envelopes of Whole Buildings - 11th International Conference"</f>
        <v>Thermal Performance of the Exterior Envelopes of Whole Buildings - 11th International Conference</v>
      </c>
      <c r="B19528" s="8" t="str">
        <f>"-"</f>
        <v>-</v>
      </c>
      <c r="C19528" s="8" t="s">
        <v>1325</v>
      </c>
    </row>
    <row r="19529" spans="1:3" x14ac:dyDescent="0.25">
      <c r="A19529" s="8" t="str">
        <f>"Thermal Process Modeling - Proceedings from the 5th International Conference on Thermal Process Modeling and Computer Simulation, ICTPMCS 2014"</f>
        <v>Thermal Process Modeling - Proceedings from the 5th International Conference on Thermal Process Modeling and Computer Simulation, ICTPMCS 2014</v>
      </c>
      <c r="B19529" s="8" t="str">
        <f>"-"</f>
        <v>-</v>
      </c>
      <c r="C19529" s="8" t="s">
        <v>65</v>
      </c>
    </row>
    <row r="19530" spans="1:3" x14ac:dyDescent="0.25">
      <c r="A19530" s="8" t="str">
        <f>"THERMINIC 2013 - 19th International Workshop on Thermal Investigations of ICs and Systems, Proceedings"</f>
        <v>THERMINIC 2013 - 19th International Workshop on Thermal Investigations of ICs and Systems, Proceedings</v>
      </c>
      <c r="B19530" s="8" t="str">
        <f>"9781479922710"</f>
        <v>9781479922710</v>
      </c>
      <c r="C19530" s="8" t="s">
        <v>9</v>
      </c>
    </row>
    <row r="19531" spans="1:3" x14ac:dyDescent="0.25">
      <c r="A19531" s="8" t="str">
        <f>"THERMINIC 2014 - 20th International Workshop on Thermal Investigations of ICs and Systems, Proceedings"</f>
        <v>THERMINIC 2014 - 20th International Workshop on Thermal Investigations of ICs and Systems, Proceedings</v>
      </c>
      <c r="B19531" s="8" t="str">
        <f>"9781479954155"</f>
        <v>9781479954155</v>
      </c>
      <c r="C19531" s="8" t="s">
        <v>105</v>
      </c>
    </row>
    <row r="19532" spans="1:3" x14ac:dyDescent="0.25">
      <c r="A19532" s="8" t="str">
        <f>"Third Advanced International Conference on Telecommunications, AICT 2007"</f>
        <v>Third Advanced International Conference on Telecommunications, AICT 2007</v>
      </c>
      <c r="B19532" s="8" t="str">
        <f>"9780769528434"</f>
        <v>9780769528434</v>
      </c>
      <c r="C19532" s="8" t="s">
        <v>9</v>
      </c>
    </row>
    <row r="19533" spans="1:3" x14ac:dyDescent="0.25">
      <c r="A19533" s="8" t="str">
        <f>"Third Canadian Conference on Computer and Robot Vision, CRV 2006"</f>
        <v>Third Canadian Conference on Computer and Robot Vision, CRV 2006</v>
      </c>
      <c r="B19533" s="8" t="str">
        <f>"-"</f>
        <v>-</v>
      </c>
      <c r="C19533" s="8" t="s">
        <v>9</v>
      </c>
    </row>
    <row r="19534" spans="1:3" x14ac:dyDescent="0.25">
      <c r="A19534" s="8" t="str">
        <f>"Third IEEE International Conference on Pervasive Computing and Communications Workshops, PerCom 2005 Workshops"</f>
        <v>Third IEEE International Conference on Pervasive Computing and Communications Workshops, PerCom 2005 Workshops</v>
      </c>
      <c r="B19534" s="8" t="str">
        <f>"-"</f>
        <v>-</v>
      </c>
      <c r="C19534" s="8" t="s">
        <v>9</v>
      </c>
    </row>
    <row r="19535" spans="1:3" x14ac:dyDescent="0.25">
      <c r="A19535" s="8" t="str">
        <f>"Third International Computing Education Research Workshop, ICER'07"</f>
        <v>Third International Computing Education Research Workshop, ICER'07</v>
      </c>
      <c r="B19535" s="8" t="str">
        <f>"9781595938411"</f>
        <v>9781595938411</v>
      </c>
      <c r="C19535" s="8" t="s">
        <v>21</v>
      </c>
    </row>
    <row r="19536" spans="1:3" x14ac:dyDescent="0.25">
      <c r="A19536" s="8" t="str">
        <f>"Third International Conference on the Quantitative Evaluation of Systems, QEST 2006"</f>
        <v>Third International Conference on the Quantitative Evaluation of Systems, QEST 2006</v>
      </c>
      <c r="B19536" s="8" t="str">
        <f>"9780769526652"</f>
        <v>9780769526652</v>
      </c>
      <c r="C19536" s="8" t="s">
        <v>9</v>
      </c>
    </row>
    <row r="19537" spans="1:3" x14ac:dyDescent="0.25">
      <c r="A19537" s="8" t="str">
        <f>"Third International Conference on Wireless and Mobile Communications 2007, ICWMC '07"</f>
        <v>Third International Conference on Wireless and Mobile Communications 2007, ICWMC '07</v>
      </c>
      <c r="B19537" s="8" t="str">
        <f>"-"</f>
        <v>-</v>
      </c>
      <c r="C19537" s="8" t="s">
        <v>9</v>
      </c>
    </row>
    <row r="19538" spans="1:3" x14ac:dyDescent="0.25">
      <c r="A19538" s="8" t="str">
        <f>"Third International SiGe Technology and Device Meeting, ISTDM 2006 - Conference Digest"</f>
        <v>Third International SiGe Technology and Device Meeting, ISTDM 2006 - Conference Digest</v>
      </c>
      <c r="B19538" s="8" t="str">
        <f>"-"</f>
        <v>-</v>
      </c>
      <c r="C19538" s="8" t="s">
        <v>9</v>
      </c>
    </row>
    <row r="19539" spans="1:3" x14ac:dyDescent="0.25">
      <c r="A19539" s="8" t="str">
        <f>"Third International Symposium on Information Processing in Sensor Networks, IPSN 2004"</f>
        <v>Third International Symposium on Information Processing in Sensor Networks, IPSN 2004</v>
      </c>
      <c r="B19539" s="8" t="str">
        <f>"9781581138467"</f>
        <v>9781581138467</v>
      </c>
      <c r="C19539" s="8" t="s">
        <v>21</v>
      </c>
    </row>
    <row r="19540" spans="1:3" x14ac:dyDescent="0.25">
      <c r="A19540" s="8" t="str">
        <f>"Third Smith and Nephew International Symposium - Translating Tissue Engineering into Products"</f>
        <v>Third Smith and Nephew International Symposium - Translating Tissue Engineering into Products</v>
      </c>
      <c r="B19540" s="8" t="str">
        <f>"-"</f>
        <v>-</v>
      </c>
      <c r="C19540" s="8" t="s">
        <v>2355</v>
      </c>
    </row>
    <row r="19541" spans="1:3" x14ac:dyDescent="0.25">
      <c r="A19541" s="8" t="str">
        <f>"Thirteenth International World Wide Web Conference Proceedings, WWW2004"</f>
        <v>Thirteenth International World Wide Web Conference Proceedings, WWW2004</v>
      </c>
      <c r="B19541" s="8" t="str">
        <f>"9781581138443"</f>
        <v>9781581138443</v>
      </c>
      <c r="C19541" s="8" t="s">
        <v>21</v>
      </c>
    </row>
    <row r="19542" spans="1:3" x14ac:dyDescent="0.25">
      <c r="A19542" s="8" t="str">
        <f>"THz 2002 - 2002 IEEE 10th International Conference on Terahertz Electronics, Proceedings"</f>
        <v>THz 2002 - 2002 IEEE 10th International Conference on Terahertz Electronics, Proceedings</v>
      </c>
      <c r="B19542" s="8" t="str">
        <f>"9780780376304"</f>
        <v>9780780376304</v>
      </c>
      <c r="C19542" s="8" t="s">
        <v>105</v>
      </c>
    </row>
    <row r="19543" spans="1:3" x14ac:dyDescent="0.25">
      <c r="A19543" s="8" t="str">
        <f>"Ti 2011 - Proceedings of the 12th World Conference on Titanium"</f>
        <v>Ti 2011 - Proceedings of the 12th World Conference on Titanium</v>
      </c>
      <c r="B19543" s="8" t="str">
        <f>"-"</f>
        <v>-</v>
      </c>
      <c r="C19543" s="8" t="s">
        <v>37</v>
      </c>
    </row>
    <row r="19544" spans="1:3" x14ac:dyDescent="0.25">
      <c r="A19544" s="8" t="str">
        <f>"TIC-STH'09: 2009 IEEE Toronto International Conference - Science and Technology for Humanity"</f>
        <v>TIC-STH'09: 2009 IEEE Toronto International Conference - Science and Technology for Humanity</v>
      </c>
      <c r="B19544" s="8" t="str">
        <f>"9781424438785"</f>
        <v>9781424438785</v>
      </c>
      <c r="C19544" s="8" t="s">
        <v>9</v>
      </c>
    </row>
    <row r="19545" spans="1:3" x14ac:dyDescent="0.25">
      <c r="A19545" s="8" t="str">
        <f>"Tight Gas Completions Conference 2009"</f>
        <v>Tight Gas Completions Conference 2009</v>
      </c>
      <c r="B19545" s="8" t="str">
        <f>"9781615672356"</f>
        <v>9781615672356</v>
      </c>
      <c r="C19545" s="8" t="s">
        <v>671</v>
      </c>
    </row>
    <row r="19546" spans="1:3" x14ac:dyDescent="0.25">
      <c r="A19546" s="8" t="str">
        <f>"TIME 2009 - 16th International Symposium on Temporal Representation and Reasoning"</f>
        <v>TIME 2009 - 16th International Symposium on Temporal Representation and Reasoning</v>
      </c>
      <c r="B19546" s="8" t="str">
        <f>"9780769537276"</f>
        <v>9780769537276</v>
      </c>
      <c r="C19546" s="8" t="s">
        <v>9</v>
      </c>
    </row>
    <row r="19547" spans="1:3" x14ac:dyDescent="0.25">
      <c r="A19547" s="8" t="str">
        <f>"Timing Recovery Techniques for Digital Recording Systems"</f>
        <v>Timing Recovery Techniques for Digital Recording Systems</v>
      </c>
      <c r="B19547" s="8" t="str">
        <f>"9789038619507"</f>
        <v>9789038619507</v>
      </c>
      <c r="C19547" s="8" t="s">
        <v>1203</v>
      </c>
    </row>
    <row r="19548" spans="1:3" x14ac:dyDescent="0.25">
      <c r="A19548" s="8" t="str">
        <f>"TIR 2007 - 4th International Workshop on Text-Based Information Retrieval, in Conjunction with DEXA 2007"</f>
        <v>TIR 2007 - 4th International Workshop on Text-Based Information Retrieval, in Conjunction with DEXA 2007</v>
      </c>
      <c r="B19548" s="8" t="str">
        <f>"-"</f>
        <v>-</v>
      </c>
      <c r="C19548" s="8" t="s">
        <v>2356</v>
      </c>
    </row>
    <row r="19549" spans="1:3" x14ac:dyDescent="0.25">
      <c r="A19549" s="8" t="str">
        <f>"TIR 2008 - 5th International Workshop on Text-Based Information Retrieval, in Conjunction with DEXA 2008"</f>
        <v>TIR 2008 - 5th International Workshop on Text-Based Information Retrieval, in Conjunction with DEXA 2008</v>
      </c>
      <c r="B19549" s="8" t="str">
        <f>"-"</f>
        <v>-</v>
      </c>
      <c r="C19549" s="8" t="s">
        <v>2356</v>
      </c>
    </row>
    <row r="19550" spans="1:3" x14ac:dyDescent="0.25">
      <c r="A19550" s="8" t="str">
        <f>"TIR 2009 - 6th International Workshop on Text-Based Information Retrieval, In Conjunction with DEXA 2009"</f>
        <v>TIR 2009 - 6th International Workshop on Text-Based Information Retrieval, In Conjunction with DEXA 2009</v>
      </c>
      <c r="B19550" s="8" t="str">
        <f>"-"</f>
        <v>-</v>
      </c>
      <c r="C19550" s="8" t="s">
        <v>2356</v>
      </c>
    </row>
    <row r="19551" spans="1:3" x14ac:dyDescent="0.25">
      <c r="A19551" s="8" t="str">
        <f>"TIR 2010 - 7th International Workshop on Text-Based Information Retrieval, in Conjunction with DEXA 2010"</f>
        <v>TIR 2010 - 7th International Workshop on Text-Based Information Retrieval, in Conjunction with DEXA 2010</v>
      </c>
      <c r="B19551" s="8" t="str">
        <f>"-"</f>
        <v>-</v>
      </c>
      <c r="C19551" s="8" t="s">
        <v>2356</v>
      </c>
    </row>
    <row r="19552" spans="1:3" x14ac:dyDescent="0.25">
      <c r="A19552" s="8" t="str">
        <f>"TIR 2011 - 8th International Workshop on Text-Based Information Retrieval, in Conjunction with DEXA 2011"</f>
        <v>TIR 2011 - 8th International Workshop on Text-Based Information Retrieval, in Conjunction with DEXA 2011</v>
      </c>
      <c r="B19552" s="8" t="str">
        <f>"-"</f>
        <v>-</v>
      </c>
      <c r="C19552" s="8" t="s">
        <v>2356</v>
      </c>
    </row>
    <row r="19553" spans="1:3" x14ac:dyDescent="0.25">
      <c r="A19553" s="8" t="str">
        <f>"TISC 2011 - Proceedings of the 3rd International Conference on Trendz in Information Sciences and Computing"</f>
        <v>TISC 2011 - Proceedings of the 3rd International Conference on Trendz in Information Sciences and Computing</v>
      </c>
      <c r="B19553" s="8" t="str">
        <f>"9781467301329"</f>
        <v>9781467301329</v>
      </c>
      <c r="C19553" s="8" t="s">
        <v>9</v>
      </c>
    </row>
    <row r="19554" spans="1:3" x14ac:dyDescent="0.25">
      <c r="A19554" s="8" t="str">
        <f>"Tissue World Americas 2010 - 5th International Conference and Exhibition for the North and South American Tissue Business"</f>
        <v>Tissue World Americas 2010 - 5th International Conference and Exhibition for the North and South American Tissue Business</v>
      </c>
      <c r="B19554" s="8" t="str">
        <f>"-"</f>
        <v>-</v>
      </c>
      <c r="C19554" s="8" t="s">
        <v>1266</v>
      </c>
    </row>
    <row r="19555" spans="1:3" x14ac:dyDescent="0.25">
      <c r="A19555" s="8" t="str">
        <f>"Tissue World Americas Conference 2014"</f>
        <v>Tissue World Americas Conference 2014</v>
      </c>
      <c r="B19555" s="8" t="str">
        <f>"9781634391658"</f>
        <v>9781634391658</v>
      </c>
      <c r="C19555" s="8" t="s">
        <v>2357</v>
      </c>
    </row>
    <row r="19556" spans="1:3" x14ac:dyDescent="0.25">
      <c r="A19556" s="8" t="str">
        <f>"TKE 2008: 8th International conference on Terminology and Knowledge Engineering - Managing Ontologies and Lexical Resources"</f>
        <v>TKE 2008: 8th International conference on Terminology and Knowledge Engineering - Managing Ontologies and Lexical Resources</v>
      </c>
      <c r="B19556" s="8" t="str">
        <f>"9788791242502"</f>
        <v>9788791242502</v>
      </c>
      <c r="C19556" s="8" t="s">
        <v>2351</v>
      </c>
    </row>
    <row r="19557" spans="1:3" x14ac:dyDescent="0.25">
      <c r="A19557" s="8" t="str">
        <f>"TKE 2010: Presenting Terminology and Knowledge Engineering Resources Online: Models and Challenges"</f>
        <v>TKE 2010: Presenting Terminology and Knowledge Engineering Resources Online: Models and Challenges</v>
      </c>
      <c r="B19557" s="8" t="str">
        <f>"9780956631404"</f>
        <v>9780956631404</v>
      </c>
      <c r="C19557" s="8" t="s">
        <v>2351</v>
      </c>
    </row>
    <row r="19558" spans="1:3" x14ac:dyDescent="0.25">
      <c r="A19558" s="8" t="str">
        <f>"TLDI'10 - Proceedings of the 2010 ACM SIGPLAN Workshop on Types in Language Design and Implementation"</f>
        <v>TLDI'10 - Proceedings of the 2010 ACM SIGPLAN Workshop on Types in Language Design and Implementation</v>
      </c>
      <c r="B19558" s="8" t="str">
        <f>"9781605588919"</f>
        <v>9781605588919</v>
      </c>
      <c r="C19558" s="8" t="s">
        <v>21</v>
      </c>
    </row>
    <row r="19559" spans="1:3" x14ac:dyDescent="0.25">
      <c r="A19559" s="8" t="str">
        <f>"TLDI'11 - Proceedings of the 7th ACM SIGPLAN Workshop on Types in Language Design and Implementation"</f>
        <v>TLDI'11 - Proceedings of the 7th ACM SIGPLAN Workshop on Types in Language Design and Implementation</v>
      </c>
      <c r="B19559" s="8" t="str">
        <f>"9781450304849"</f>
        <v>9781450304849</v>
      </c>
      <c r="C19559" s="8" t="s">
        <v>21</v>
      </c>
    </row>
    <row r="19560" spans="1:3" x14ac:dyDescent="0.25">
      <c r="A19560" s="8" t="str">
        <f>"TMP 2012 - 4th International Conference on Thermomechanical Processing of Steels"</f>
        <v>TMP 2012 - 4th International Conference on Thermomechanical Processing of Steels</v>
      </c>
      <c r="B19560" s="8" t="str">
        <f>"-"</f>
        <v>-</v>
      </c>
      <c r="C19560" s="8" t="s">
        <v>859</v>
      </c>
    </row>
    <row r="19561" spans="1:3" x14ac:dyDescent="0.25">
      <c r="A19561" s="8" t="str">
        <f>"Topical Conference on Applications of Micro-Reactor Engineering 2006, Held at the 2006 AIChE Spring National Meeting"</f>
        <v>Topical Conference on Applications of Micro-Reactor Engineering 2006, Held at the 2006 AIChE Spring National Meeting</v>
      </c>
      <c r="B19561" s="8" t="str">
        <f>"9781604235258"</f>
        <v>9781604235258</v>
      </c>
      <c r="C19561" s="8" t="s">
        <v>1219</v>
      </c>
    </row>
    <row r="19562" spans="1:3" x14ac:dyDescent="0.25">
      <c r="A19562" s="8" t="str">
        <f>"Topical Conference on Applications of Micro-Reactor Engineering 2007, Held at the 2007 AIChE Spring National Meeting"</f>
        <v>Topical Conference on Applications of Micro-Reactor Engineering 2007, Held at the 2007 AIChE Spring National Meeting</v>
      </c>
      <c r="B19562" s="8" t="str">
        <f>"9781604233506"</f>
        <v>9781604233506</v>
      </c>
      <c r="C19562" s="8" t="s">
        <v>1219</v>
      </c>
    </row>
    <row r="19563" spans="1:3" x14ac:dyDescent="0.25">
      <c r="A19563" s="8" t="str">
        <f>"Topical Conference on Distillation 2006, Held at the 2006 AIChE Spring National Meeting"</f>
        <v>Topical Conference on Distillation 2006, Held at the 2006 AIChE Spring National Meeting</v>
      </c>
      <c r="B19563" s="8" t="str">
        <f>"9781604235272"</f>
        <v>9781604235272</v>
      </c>
      <c r="C19563" s="8" t="s">
        <v>1219</v>
      </c>
    </row>
    <row r="19564" spans="1:3" x14ac:dyDescent="0.25">
      <c r="A19564" s="8" t="str">
        <f>"Topical Conference on Distillation 2007, Held at the 2007 AIChE Spring National Meeting"</f>
        <v>Topical Conference on Distillation 2007, Held at the 2007 AIChE Spring National Meeting</v>
      </c>
      <c r="B19564" s="8" t="str">
        <f>"9781604233551"</f>
        <v>9781604233551</v>
      </c>
      <c r="C19564" s="8" t="s">
        <v>1219</v>
      </c>
    </row>
    <row r="19565" spans="1:3" x14ac:dyDescent="0.25">
      <c r="A19565" s="8" t="str">
        <f>"Topical Conference on Energy Processes 2006, Held at the 2006 AIChE Spring National Meeting"</f>
        <v>Topical Conference on Energy Processes 2006, Held at the 2006 AIChE Spring National Meeting</v>
      </c>
      <c r="B19565" s="8" t="str">
        <f>"9781604235296"</f>
        <v>9781604235296</v>
      </c>
      <c r="C19565" s="8" t="s">
        <v>1219</v>
      </c>
    </row>
    <row r="19566" spans="1:3" x14ac:dyDescent="0.25">
      <c r="A19566" s="8" t="str">
        <f>"Topical Conference on Energy Processes 2007, Held at the 2007 AIChE Spring National Meeting"</f>
        <v>Topical Conference on Energy Processes 2007, Held at the 2007 AIChE Spring National Meeting</v>
      </c>
      <c r="B19566" s="8" t="str">
        <f>"9781604233582"</f>
        <v>9781604233582</v>
      </c>
      <c r="C19566" s="8" t="s">
        <v>1219</v>
      </c>
    </row>
    <row r="19567" spans="1:3" x14ac:dyDescent="0.25">
      <c r="A19567" s="8" t="str">
        <f>"Topical Conference on Hydrogen 2006, Held at the 2006 AIChE Spring National Meeting"</f>
        <v>Topical Conference on Hydrogen 2006, Held at the 2006 AIChE Spring National Meeting</v>
      </c>
      <c r="B19567" s="8" t="str">
        <f>"9781604235302"</f>
        <v>9781604235302</v>
      </c>
      <c r="C19567" s="8" t="s">
        <v>1219</v>
      </c>
    </row>
    <row r="19568" spans="1:3" x14ac:dyDescent="0.25">
      <c r="A19568" s="8" t="str">
        <f>"Topical Conference on Innovative Environmental Management Procedures 2006, Held at the 2006 AIChE Spring National Meeting"</f>
        <v>Topical Conference on Innovative Environmental Management Procedures 2006, Held at the 2006 AIChE Spring National Meeting</v>
      </c>
      <c r="B19568" s="8" t="str">
        <f>"9781604235319"</f>
        <v>9781604235319</v>
      </c>
      <c r="C19568" s="8" t="s">
        <v>1219</v>
      </c>
    </row>
    <row r="19569" spans="1:3" x14ac:dyDescent="0.25">
      <c r="A19569" s="8" t="str">
        <f>"Topical Conference on Managing for Growth: Doing the Right Projects in the Right Way 2007, Held at the 2007 AIChE Spring National Meeting"</f>
        <v>Topical Conference on Managing for Growth: Doing the Right Projects in the Right Way 2007, Held at the 2007 AIChE Spring National Meeting</v>
      </c>
      <c r="B19569" s="8" t="str">
        <f>"9781604233605"</f>
        <v>9781604233605</v>
      </c>
      <c r="C19569" s="8" t="s">
        <v>1219</v>
      </c>
    </row>
    <row r="19570" spans="1:3" x14ac:dyDescent="0.25">
      <c r="A19570" s="8" t="str">
        <f>"Topical Conference on New Advances in Polymer Characterization 2008"</f>
        <v>Topical Conference on New Advances in Polymer Characterization 2008</v>
      </c>
      <c r="B19570" s="8" t="str">
        <f>"9781615670345"</f>
        <v>9781615670345</v>
      </c>
      <c r="C19570" s="8" t="s">
        <v>132</v>
      </c>
    </row>
    <row r="19571" spans="1:3" x14ac:dyDescent="0.25">
      <c r="A19571" s="8" t="str">
        <f>"Topical Conference on Novel Technologies 2007, Held at the 2007 AIChE Spring National Meeting"</f>
        <v>Topical Conference on Novel Technologies 2007, Held at the 2007 AIChE Spring National Meeting</v>
      </c>
      <c r="B19571" s="8" t="str">
        <f>"9781604233612"</f>
        <v>9781604233612</v>
      </c>
      <c r="C19571" s="8" t="s">
        <v>1219</v>
      </c>
    </row>
    <row r="19572" spans="1:3" x14ac:dyDescent="0.25">
      <c r="A19572" s="8" t="str">
        <f>"Topical Conference on Path to Innovation: New Technologies in Decorating and Assembly 2008"</f>
        <v>Topical Conference on Path to Innovation: New Technologies in Decorating and Assembly 2008</v>
      </c>
      <c r="B19572" s="8" t="str">
        <f>"9781615670352"</f>
        <v>9781615670352</v>
      </c>
      <c r="C19572" s="8" t="s">
        <v>132</v>
      </c>
    </row>
    <row r="19573" spans="1:3" x14ac:dyDescent="0.25">
      <c r="A19573" s="8" t="str">
        <f>"Topical Conference on Polymer Nanocomposites - Polymer Nanocomposites 2009"</f>
        <v>Topical Conference on Polymer Nanocomposites - Polymer Nanocomposites 2009</v>
      </c>
      <c r="B19573" s="8" t="str">
        <f>"9781615670406"</f>
        <v>9781615670406</v>
      </c>
      <c r="C19573" s="8" t="s">
        <v>132</v>
      </c>
    </row>
    <row r="19574" spans="1:3" x14ac:dyDescent="0.25">
      <c r="A19574" s="8" t="str">
        <f>"Topics in Applied and Theoretical Mathematics and Computer Science"</f>
        <v>Topics in Applied and Theoretical Mathematics and Computer Science</v>
      </c>
      <c r="B19574" s="8" t="str">
        <f>"-"</f>
        <v>-</v>
      </c>
      <c r="C19574" s="8" t="s">
        <v>553</v>
      </c>
    </row>
    <row r="19575" spans="1:3" x14ac:dyDescent="0.25">
      <c r="A19575" s="8" t="str">
        <f>"Topics in Dynamics of Civil Structures - Proceedings of the 31st IMAC, A Conference on Structural Dynamics, 2013"</f>
        <v>Topics in Dynamics of Civil Structures - Proceedings of the 31st IMAC, A Conference on Structural Dynamics, 2013</v>
      </c>
      <c r="B19575" s="8" t="str">
        <f>"9781461465546"</f>
        <v>9781461465546</v>
      </c>
      <c r="C19575" s="8" t="s">
        <v>162</v>
      </c>
    </row>
    <row r="19576" spans="1:3" x14ac:dyDescent="0.25">
      <c r="A19576" s="8" t="str">
        <f>"Topics in Experimental Dynamic Substructuring - Proceedings of the 31st IMAC, A Conference on Structural Dynamics, 2013"</f>
        <v>Topics in Experimental Dynamic Substructuring - Proceedings of the 31st IMAC, A Conference on Structural Dynamics, 2013</v>
      </c>
      <c r="B19576" s="8" t="str">
        <f>"9781461465393"</f>
        <v>9781461465393</v>
      </c>
      <c r="C19576" s="8" t="s">
        <v>162</v>
      </c>
    </row>
    <row r="19577" spans="1:3" x14ac:dyDescent="0.25">
      <c r="A19577" s="8" t="str">
        <f>"Towards a Vision for Information Technology in Civil Engineering"</f>
        <v>Towards a Vision for Information Technology in Civil Engineering</v>
      </c>
      <c r="B19577" s="8" t="str">
        <f>"9780784407042"</f>
        <v>9780784407042</v>
      </c>
      <c r="C19577" s="8" t="s">
        <v>111</v>
      </c>
    </row>
    <row r="19578" spans="1:3" x14ac:dyDescent="0.25">
      <c r="A19578" s="8" t="str">
        <f>"Towards Green Marine Technology and Transport - Proceedings of the 16th International Congress of the International Maritime Association of the Mediterranean, IMAM 2015"</f>
        <v>Towards Green Marine Technology and Transport - Proceedings of the 16th International Congress of the International Maritime Association of the Mediterranean, IMAM 2015</v>
      </c>
      <c r="B19578" s="8" t="str">
        <f>"9781138028876"</f>
        <v>9781138028876</v>
      </c>
      <c r="C19578" s="8" t="s">
        <v>1635</v>
      </c>
    </row>
    <row r="19579" spans="1:3" x14ac:dyDescent="0.25">
      <c r="A19579" s="8" t="str">
        <f>"Towards the Millennium Development Goals - Actions for Water and Environmental Sanitation: Proceedings of the 29th WEDC Conference"</f>
        <v>Towards the Millennium Development Goals - Actions for Water and Environmental Sanitation: Proceedings of the 29th WEDC Conference</v>
      </c>
      <c r="B19579" s="8" t="str">
        <f>"9781843800507"</f>
        <v>9781843800507</v>
      </c>
      <c r="C19579" s="8" t="s">
        <v>1486</v>
      </c>
    </row>
    <row r="19580" spans="1:3" x14ac:dyDescent="0.25">
      <c r="A19580" s="8" t="str">
        <f>"Traffic and Granular Flow 2003"</f>
        <v>Traffic and Granular Flow 2003</v>
      </c>
      <c r="B19580" s="8" t="str">
        <f>"9783540258148"</f>
        <v>9783540258148</v>
      </c>
      <c r="C19580" s="8" t="s">
        <v>79</v>
      </c>
    </row>
    <row r="19581" spans="1:3" x14ac:dyDescent="0.25">
      <c r="A19581" s="8" t="str">
        <f>"Traffic and Granular Flow 2007"</f>
        <v>Traffic and Granular Flow 2007</v>
      </c>
      <c r="B19581" s="8" t="str">
        <f>"9783540770732"</f>
        <v>9783540770732</v>
      </c>
      <c r="C19581" s="8" t="s">
        <v>79</v>
      </c>
    </row>
    <row r="19582" spans="1:3" x14ac:dyDescent="0.25">
      <c r="A19582" s="8" t="str">
        <f>"Traffic and Granular Flow 2011"</f>
        <v>Traffic and Granular Flow 2011</v>
      </c>
      <c r="B19582" s="8" t="str">
        <f>"9783642396687"</f>
        <v>9783642396687</v>
      </c>
      <c r="C19582" s="8" t="s">
        <v>79</v>
      </c>
    </row>
    <row r="19583" spans="1:3" x14ac:dyDescent="0.25">
      <c r="A19583" s="8" t="str">
        <f>"Traffic and Transportation Studies Proceedings of ICTTS 2002"</f>
        <v>Traffic and Transportation Studies Proceedings of ICTTS 2002</v>
      </c>
      <c r="B19583" s="8" t="str">
        <f>"9780784406304"</f>
        <v>9780784406304</v>
      </c>
      <c r="C19583" s="8" t="s">
        <v>111</v>
      </c>
    </row>
    <row r="19584" spans="1:3" x14ac:dyDescent="0.25">
      <c r="A19584" s="8" t="str">
        <f>"Traffic and Transportation Studies Proceedings of ICTTS 2002"</f>
        <v>Traffic and Transportation Studies Proceedings of ICTTS 2002</v>
      </c>
      <c r="B19584" s="8" t="str">
        <f>"9780784406304"</f>
        <v>9780784406304</v>
      </c>
      <c r="C19584" s="8" t="s">
        <v>111</v>
      </c>
    </row>
    <row r="19585" spans="1:3" x14ac:dyDescent="0.25">
      <c r="A19585" s="8" t="str">
        <f>"Trans Black Sea Region Symposium on Applied Electromagnetism"</f>
        <v>Trans Black Sea Region Symposium on Applied Electromagnetism</v>
      </c>
      <c r="B19585" s="8" t="str">
        <f>"9780780364288"</f>
        <v>9780780364288</v>
      </c>
      <c r="C19585" s="8" t="s">
        <v>105</v>
      </c>
    </row>
    <row r="19586" spans="1:3" x14ac:dyDescent="0.25">
      <c r="A19586" s="8" t="str">
        <f>"Transactions - 7th World Biomaterials Congress"</f>
        <v>Transactions - 7th World Biomaterials Congress</v>
      </c>
      <c r="B19586" s="8" t="str">
        <f>"9781877040191"</f>
        <v>9781877040191</v>
      </c>
      <c r="C19586" s="8" t="s">
        <v>2358</v>
      </c>
    </row>
    <row r="19587" spans="1:3" x14ac:dyDescent="0.25">
      <c r="A19587" s="8" t="str">
        <f>"Transactions of the Royal Institution of Naval Arhitects. Part B1. International Journal of Small Craft Technology, IJSCT 2003"</f>
        <v>Transactions of the Royal Institution of Naval Arhitects. Part B1. International Journal of Small Craft Technology, IJSCT 2003</v>
      </c>
      <c r="B19587" s="8" t="str">
        <f>"-"</f>
        <v>-</v>
      </c>
      <c r="C19587" s="8" t="s">
        <v>1137</v>
      </c>
    </row>
    <row r="19588" spans="1:3" x14ac:dyDescent="0.25">
      <c r="A19588" s="8" t="str">
        <f>"Transboundary Water Management in a Changing Climate - Proceedings of the AMICE Final Conference"</f>
        <v>Transboundary Water Management in a Changing Climate - Proceedings of the AMICE Final Conference</v>
      </c>
      <c r="B19588" s="8" t="str">
        <f>"9781138000391"</f>
        <v>9781138000391</v>
      </c>
      <c r="C19588" s="8" t="s">
        <v>1635</v>
      </c>
    </row>
    <row r="19589" spans="1:3" x14ac:dyDescent="0.25">
      <c r="A19589" s="8" t="str">
        <f>"TRANSDUCERS 2003 - 12th International Conference on Solid-State Sensors, Actuators and Microsystems, Digest of Technical Papers"</f>
        <v>TRANSDUCERS 2003 - 12th International Conference on Solid-State Sensors, Actuators and Microsystems, Digest of Technical Papers</v>
      </c>
      <c r="B19589" s="8" t="str">
        <f>"-"</f>
        <v>-</v>
      </c>
      <c r="C19589" s="8" t="s">
        <v>105</v>
      </c>
    </row>
    <row r="19590" spans="1:3" x14ac:dyDescent="0.25">
      <c r="A19590" s="8" t="str">
        <f>"TRANSDUCERS 2009 - 15th International Conference on Solid-State Sensors, Actuators and Microsystems"</f>
        <v>TRANSDUCERS 2009 - 15th International Conference on Solid-State Sensors, Actuators and Microsystems</v>
      </c>
      <c r="B19590" s="8" t="str">
        <f>"9781424441938"</f>
        <v>9781424441938</v>
      </c>
      <c r="C19590" s="8" t="s">
        <v>9</v>
      </c>
    </row>
    <row r="19591" spans="1:3" x14ac:dyDescent="0.25">
      <c r="A19591" s="8" t="str">
        <f>"TRANSDUCERS and EUROSENSORS '07 - 4th International Conference on Solid-State Sensors, Actuators and Microsystems"</f>
        <v>TRANSDUCERS and EUROSENSORS '07 - 4th International Conference on Solid-State Sensors, Actuators and Microsystems</v>
      </c>
      <c r="B19591" s="8" t="str">
        <f>"9781424408429"</f>
        <v>9781424408429</v>
      </c>
      <c r="C19591" s="8" t="s">
        <v>9</v>
      </c>
    </row>
    <row r="19592" spans="1:3" x14ac:dyDescent="0.25">
      <c r="A19592" s="8" t="str">
        <f>"Transit Development in Rock Mechanics-Recognition, Thinking and Innovation - Proceedings of the 3rd ISRM Young Scholars Symposium on Rock Mechanics, 2014"</f>
        <v>Transit Development in Rock Mechanics-Recognition, Thinking and Innovation - Proceedings of the 3rd ISRM Young Scholars Symposium on Rock Mechanics, 2014</v>
      </c>
      <c r="B19592" s="8" t="str">
        <f>"9781138027305"</f>
        <v>9781138027305</v>
      </c>
      <c r="C19592" s="8" t="s">
        <v>1635</v>
      </c>
    </row>
    <row r="19593" spans="1:3" x14ac:dyDescent="0.25">
      <c r="A19593" s="8" t="str">
        <f>"Transmission and Distribution Conference and Exposition: Asia and Pacific, T and D Asia 2009"</f>
        <v>Transmission and Distribution Conference and Exposition: Asia and Pacific, T and D Asia 2009</v>
      </c>
      <c r="B19593" s="8" t="str">
        <f>"9781424452309"</f>
        <v>9781424452309</v>
      </c>
      <c r="C19593" s="8" t="s">
        <v>9</v>
      </c>
    </row>
    <row r="19594" spans="1:3" x14ac:dyDescent="0.25">
      <c r="A19594" s="8" t="str">
        <f>"Transmission and Distribution Exposition Conference: 2008 IEEE PES Powering Toward the Future, PIMS 2008"</f>
        <v>Transmission and Distribution Exposition Conference: 2008 IEEE PES Powering Toward the Future, PIMS 2008</v>
      </c>
      <c r="B19594" s="8" t="str">
        <f>"9781424419036"</f>
        <v>9781424419036</v>
      </c>
      <c r="C19594" s="8" t="s">
        <v>9</v>
      </c>
    </row>
    <row r="19595" spans="1:3" x14ac:dyDescent="0.25">
      <c r="A19595" s="8" t="str">
        <f>"Transport Phenomena in Fires"</f>
        <v>Transport Phenomena in Fires</v>
      </c>
      <c r="B19595" s="8" t="str">
        <f>"9781845641603"</f>
        <v>9781845641603</v>
      </c>
      <c r="C19595" s="8" t="s">
        <v>1641</v>
      </c>
    </row>
    <row r="19596" spans="1:3" x14ac:dyDescent="0.25">
      <c r="A19596" s="8" t="str">
        <f>"Transportation 2004: Transportation and Environment"</f>
        <v>Transportation 2004: Transportation and Environment</v>
      </c>
      <c r="B19596" s="8" t="str">
        <f>"9780791847220"</f>
        <v>9780791847220</v>
      </c>
      <c r="C19596" s="8" t="s">
        <v>1308</v>
      </c>
    </row>
    <row r="19597" spans="1:3" x14ac:dyDescent="0.25">
      <c r="A19597" s="8" t="str">
        <f>"Transportation 2005"</f>
        <v>Transportation 2005</v>
      </c>
      <c r="B19597" s="8" t="str">
        <f>"-"</f>
        <v>-</v>
      </c>
      <c r="C19597" s="8" t="s">
        <v>1308</v>
      </c>
    </row>
    <row r="19598" spans="1:3" x14ac:dyDescent="0.25">
      <c r="A19598" s="8" t="str">
        <f>"Transportation and Development Innovative Best Practices 2008 - Proceedings of the 1st International Symposium on Transportation and Development Innovative Best Practices 2008, TDIBP 2008"</f>
        <v>Transportation and Development Innovative Best Practices 2008 - Proceedings of the 1st International Symposium on Transportation and Development Innovative Best Practices 2008, TDIBP 2008</v>
      </c>
      <c r="B19598" s="8" t="str">
        <f>"9780784409619"</f>
        <v>9780784409619</v>
      </c>
      <c r="C19598" s="8" t="s">
        <v>111</v>
      </c>
    </row>
    <row r="19599" spans="1:3" x14ac:dyDescent="0.25">
      <c r="A19599" s="8" t="str">
        <f>"Transportation and the Economy - Proceedings of the 10th International Conference of Hong Kong Society for Transportation Studies, HKSTS 2005"</f>
        <v>Transportation and the Economy - Proceedings of the 10th International Conference of Hong Kong Society for Transportation Studies, HKSTS 2005</v>
      </c>
      <c r="B19599" s="8" t="str">
        <f>"9789889884710"</f>
        <v>9789889884710</v>
      </c>
      <c r="C19599" s="8" t="s">
        <v>2138</v>
      </c>
    </row>
    <row r="19600" spans="1:3" x14ac:dyDescent="0.25">
      <c r="A19600" s="8" t="str">
        <f>"Transportation Geotechnics, Proceedings of the Symposium"</f>
        <v>Transportation Geotechnics, Proceedings of the Symposium</v>
      </c>
      <c r="B19600" s="8" t="str">
        <f>"9780727732491"</f>
        <v>9780727732491</v>
      </c>
      <c r="C19600" s="8" t="s">
        <v>74</v>
      </c>
    </row>
    <row r="19601" spans="1:3" x14ac:dyDescent="0.25">
      <c r="A19601" s="8" t="str">
        <f>"Transportation Land Use, Planning, and Air Quality - Proceedings of the 2007 Transportation Land Use, Planning, and Air Quality Conference"</f>
        <v>Transportation Land Use, Planning, and Air Quality - Proceedings of the 2007 Transportation Land Use, Planning, and Air Quality Conference</v>
      </c>
      <c r="B19601" s="8" t="str">
        <f>"9780784409602"</f>
        <v>9780784409602</v>
      </c>
      <c r="C19601" s="8" t="s">
        <v>111</v>
      </c>
    </row>
    <row r="19602" spans="1:3" x14ac:dyDescent="0.25">
      <c r="A19602" s="8" t="str">
        <f>"Transportation Research Board - 6th International Bridge Engineering Conference: Reliability, Security, and Sustainability in Bridge Engineering"</f>
        <v>Transportation Research Board - 6th International Bridge Engineering Conference: Reliability, Security, and Sustainability in Bridge Engineering</v>
      </c>
      <c r="B19602" s="8" t="str">
        <f>"9780309093811"</f>
        <v>9780309093811</v>
      </c>
      <c r="C19602" s="8" t="s">
        <v>2359</v>
      </c>
    </row>
    <row r="19603" spans="1:3" x14ac:dyDescent="0.25">
      <c r="A19603" s="8" t="str">
        <f>"Transportation, Land Use, Planning, and Air Quality: Selected Papers of the Transportation, Land Use, Planning, and Air Quality Conference 2009"</f>
        <v>Transportation, Land Use, Planning, and Air Quality: Selected Papers of the Transportation, Land Use, Planning, and Air Quality Conference 2009</v>
      </c>
      <c r="B19603" s="8" t="str">
        <f>"9780784410592"</f>
        <v>9780784410592</v>
      </c>
      <c r="C19603" s="8" t="s">
        <v>111</v>
      </c>
    </row>
    <row r="19604" spans="1:3" x14ac:dyDescent="0.25">
      <c r="A19604" s="8" t="str">
        <f>"Transportation: Making Tracks for Tomorrow's Transportation"</f>
        <v>Transportation: Making Tracks for Tomorrow's Transportation</v>
      </c>
      <c r="B19604" s="8" t="str">
        <f>"9780791836569"</f>
        <v>9780791836569</v>
      </c>
      <c r="C19604" s="8" t="s">
        <v>73</v>
      </c>
    </row>
    <row r="19605" spans="1:3" x14ac:dyDescent="0.25">
      <c r="A19605" s="8" t="str">
        <f>"Transportation: Making Tracks for Tomorrow's Transportation"</f>
        <v>Transportation: Making Tracks for Tomorrow's Transportation</v>
      </c>
      <c r="B19605" s="8" t="str">
        <f>"9780791837306"</f>
        <v>9780791837306</v>
      </c>
      <c r="C19605" s="8" t="s">
        <v>73</v>
      </c>
    </row>
    <row r="19606" spans="1:3" x14ac:dyDescent="0.25">
      <c r="A19606" s="8" t="str">
        <f>"Transversity 2005"</f>
        <v>Transversity 2005</v>
      </c>
      <c r="B19606" s="8" t="str">
        <f>"9789812568465"</f>
        <v>9789812568465</v>
      </c>
      <c r="C19606" s="8" t="s">
        <v>157</v>
      </c>
    </row>
    <row r="19607" spans="1:3" x14ac:dyDescent="0.25">
      <c r="A19607" s="8" t="str">
        <f>"Transversity 2008 - Proceedings of the 2nd Workshop on Transverse Polarization Phenomena in Hard Processes"</f>
        <v>Transversity 2008 - Proceedings of the 2nd Workshop on Transverse Polarization Phenomena in Hard Processes</v>
      </c>
      <c r="B19607" s="8" t="str">
        <f>"9789814277778"</f>
        <v>9789814277778</v>
      </c>
      <c r="C19607" s="8" t="s">
        <v>157</v>
      </c>
    </row>
    <row r="19608" spans="1:3" x14ac:dyDescent="0.25">
      <c r="A19608" s="8" t="str">
        <f>"TRIDENTCOM 2008 - 4th International ICST Conference on Testbeds and Research Infrastructures for the Development of Networks and Communities"</f>
        <v>TRIDENTCOM 2008 - 4th International ICST Conference on Testbeds and Research Infrastructures for the Development of Networks and Communities</v>
      </c>
      <c r="B19608" s="8" t="str">
        <f>"9789639799240"</f>
        <v>9789639799240</v>
      </c>
      <c r="C19608" s="8" t="s">
        <v>1504</v>
      </c>
    </row>
    <row r="19609" spans="1:3" x14ac:dyDescent="0.25">
      <c r="A19609" s="8" t="str">
        <f>"Trinidad and Tobago Energy Resources Conference, SPETT 2014 - Future Assets: Acquisition, Maintenance and Reliability"</f>
        <v>Trinidad and Tobago Energy Resources Conference, SPETT 2014 - Future Assets: Acquisition, Maintenance and Reliability</v>
      </c>
      <c r="B19609" s="8" t="str">
        <f>"9781632668134"</f>
        <v>9781632668134</v>
      </c>
      <c r="C19609" s="8" t="s">
        <v>671</v>
      </c>
    </row>
    <row r="19610" spans="1:3" x14ac:dyDescent="0.25">
      <c r="A19610" s="8" t="str">
        <f>"TriSAI 2009 - Proceedings of Triangle Symposium on Advanced ICT 2009"</f>
        <v>TriSAI 2009 - Proceedings of Triangle Symposium on Advanced ICT 2009</v>
      </c>
      <c r="B19610" s="8" t="str">
        <f>"-"</f>
        <v>-</v>
      </c>
      <c r="C19610" s="8" t="s">
        <v>2360</v>
      </c>
    </row>
    <row r="19611" spans="1:3" x14ac:dyDescent="0.25">
      <c r="A19611" s="8" t="str">
        <f>"TriSAI 2010 - Proceedings of Triangle Symposium on Advanced ICT 2010"</f>
        <v>TriSAI 2010 - Proceedings of Triangle Symposium on Advanced ICT 2010</v>
      </c>
      <c r="B19611" s="8" t="str">
        <f>"-"</f>
        <v>-</v>
      </c>
      <c r="C19611" s="8" t="s">
        <v>176</v>
      </c>
    </row>
    <row r="19612" spans="1:3" x14ac:dyDescent="0.25">
      <c r="A19612" s="8" t="str">
        <f>"TriSAI 2011 - Proceedings of Triangle Symposium on Advanced ICT 2011"</f>
        <v>TriSAI 2011 - Proceedings of Triangle Symposium on Advanced ICT 2011</v>
      </c>
      <c r="B19612" s="8" t="str">
        <f>"-"</f>
        <v>-</v>
      </c>
      <c r="C19612" s="8" t="s">
        <v>2361</v>
      </c>
    </row>
    <row r="19613" spans="1:3" x14ac:dyDescent="0.25">
      <c r="A19613" s="8" t="str">
        <f>"TSP 2008 - 31st International Conference on Telecommunications and Signal Processing"</f>
        <v>TSP 2008 - 31st International Conference on Telecommunications and Signal Processing</v>
      </c>
      <c r="B19613" s="8" t="str">
        <f>"9789630654876"</f>
        <v>9789630654876</v>
      </c>
      <c r="C19613" s="8" t="s">
        <v>2362</v>
      </c>
    </row>
    <row r="19614" spans="1:3" x14ac:dyDescent="0.25">
      <c r="A19614" s="8" t="str">
        <f>"TSP 2009 - 32nd International Conference on Telecommunications and Signal Processing"</f>
        <v>TSP 2009 - 32nd International Conference on Telecommunications and Signal Processing</v>
      </c>
      <c r="B19614" s="8" t="str">
        <f>"9789630677165"</f>
        <v>9789630677165</v>
      </c>
      <c r="C19614" s="8" t="s">
        <v>2362</v>
      </c>
    </row>
    <row r="19615" spans="1:3" x14ac:dyDescent="0.25">
      <c r="A19615" s="8" t="str">
        <f>"TSP 2010 - 33rd International Conference on Telecommunications and Signal Processing"</f>
        <v>TSP 2010 - 33rd International Conference on Telecommunications and Signal Processing</v>
      </c>
      <c r="B19615" s="8" t="str">
        <f>"9789638898104"</f>
        <v>9789638898104</v>
      </c>
      <c r="C19615" s="8" t="s">
        <v>2362</v>
      </c>
    </row>
    <row r="19616" spans="1:3" x14ac:dyDescent="0.25">
      <c r="A19616" s="8" t="str">
        <f>"Tsunami and Nonlinear Waves"</f>
        <v>Tsunami and Nonlinear Waves</v>
      </c>
      <c r="B19616" s="8" t="str">
        <f>"9783540712558"</f>
        <v>9783540712558</v>
      </c>
      <c r="C19616" s="8" t="s">
        <v>79</v>
      </c>
    </row>
    <row r="19617" spans="1:3" x14ac:dyDescent="0.25">
      <c r="A19617" s="8" t="str">
        <f>"Tube India 2005 - Welding Technologies for Manufacturing and Processing Auto, Energy and Structural Tubulars"</f>
        <v>Tube India 2005 - Welding Technologies for Manufacturing and Processing Auto, Energy and Structural Tubulars</v>
      </c>
      <c r="B19617" s="8" t="str">
        <f>"9781604235685"</f>
        <v>9781604235685</v>
      </c>
      <c r="C19617" s="8" t="s">
        <v>2011</v>
      </c>
    </row>
    <row r="19618" spans="1:3" x14ac:dyDescent="0.25">
      <c r="A19618" s="8" t="str">
        <f>"Tube Prague 2005 -New Technologies for Tube and Pipe Production"</f>
        <v>Tube Prague 2005 -New Technologies for Tube and Pipe Production</v>
      </c>
      <c r="B19618" s="8" t="str">
        <f>"9781604235678"</f>
        <v>9781604235678</v>
      </c>
      <c r="C19618" s="8" t="s">
        <v>2011</v>
      </c>
    </row>
    <row r="19619" spans="1:3" x14ac:dyDescent="0.25">
      <c r="A19619" s="8" t="str">
        <f>"Tube Ukraine 2007 - Modern Production Trends for Tubes and Pipes : Welded Seamless and Non-Ferrous"</f>
        <v>Tube Ukraine 2007 - Modern Production Trends for Tubes and Pipes : Welded Seamless and Non-Ferrous</v>
      </c>
      <c r="B19619" s="8" t="str">
        <f>"9781604238679"</f>
        <v>9781604238679</v>
      </c>
      <c r="C19619" s="8" t="s">
        <v>2011</v>
      </c>
    </row>
    <row r="19620" spans="1:3" x14ac:dyDescent="0.25">
      <c r="A19620" s="8" t="str">
        <f>"Tube Veracruz 2003 - Added Value Technology - Solutions For Profitable Tube Production"</f>
        <v>Tube Veracruz 2003 - Added Value Technology - Solutions For Profitable Tube Production</v>
      </c>
      <c r="B19620" s="8" t="str">
        <f>"9781604235661"</f>
        <v>9781604235661</v>
      </c>
      <c r="C19620" s="8" t="s">
        <v>2011</v>
      </c>
    </row>
    <row r="19621" spans="1:3" x14ac:dyDescent="0.25">
      <c r="A19621" s="8" t="str">
        <f>"Tubular Structures - Proceedings of the 15th International Symposium on Tubular Structures,  ISTS 2015"</f>
        <v>Tubular Structures - Proceedings of the 15th International Symposium on Tubular Structures,  ISTS 2015</v>
      </c>
      <c r="B19621" s="8" t="str">
        <f>"9781138028371"</f>
        <v>9781138028371</v>
      </c>
      <c r="C19621" s="8" t="s">
        <v>1635</v>
      </c>
    </row>
    <row r="19622" spans="1:3" x14ac:dyDescent="0.25">
      <c r="A19622" s="8" t="str">
        <f>"Tubular Structures XI - Proceedings of the 11th International Symposium and IIW International Conference on Tubular Structures"</f>
        <v>Tubular Structures XI - Proceedings of the 11th International Symposium and IIW International Conference on Tubular Structures</v>
      </c>
      <c r="B19622" s="8" t="str">
        <f>"9780415402804"</f>
        <v>9780415402804</v>
      </c>
      <c r="C19622" s="8" t="s">
        <v>2363</v>
      </c>
    </row>
    <row r="19623" spans="1:3" x14ac:dyDescent="0.25">
      <c r="A19623" s="8" t="str">
        <f>"Tubular Structures XIII - Proceedings of the 13th International Symposium on Tubular Structures, ISTS 2010"</f>
        <v>Tubular Structures XIII - Proceedings of the 13th International Symposium on Tubular Structures, ISTS 2010</v>
      </c>
      <c r="B19623" s="8" t="str">
        <f>"9780415584739"</f>
        <v>9780415584739</v>
      </c>
      <c r="C19623" s="8" t="s">
        <v>1637</v>
      </c>
    </row>
    <row r="19624" spans="1:3" x14ac:dyDescent="0.25">
      <c r="A19624" s="8" t="str">
        <f>"Tubular Structures XIV - Proceedings of the 14th International Symposium on Tubular Structures, ISTS 2012"</f>
        <v>Tubular Structures XIV - Proceedings of the 14th International Symposium on Tubular Structures, ISTS 2012</v>
      </c>
      <c r="B19624" s="8" t="str">
        <f>"9780415621373"</f>
        <v>9780415621373</v>
      </c>
      <c r="C19624" s="8" t="s">
        <v>1619</v>
      </c>
    </row>
    <row r="19625" spans="1:3" x14ac:dyDescent="0.25">
      <c r="A19625" s="8" t="str">
        <f>"Tungsten, Refractory and Hardmaterials 9 - Proceedings of the 9th International Conference on Tungsten, Refractory and Hardmaterials "</f>
        <v xml:space="preserve">Tungsten, Refractory and Hardmaterials 9 - Proceedings of the 9th International Conference on Tungsten, Refractory and Hardmaterials </v>
      </c>
      <c r="B19625" s="8" t="str">
        <f>"-"</f>
        <v>-</v>
      </c>
      <c r="C19625" s="8" t="s">
        <v>88</v>
      </c>
    </row>
    <row r="19626" spans="1:3" x14ac:dyDescent="0.25">
      <c r="A19626" s="8" t="str">
        <f>"Tunis 2009 - 4th North African/Mediterranean Petroleum and Geosciences Conference and Exhibition"</f>
        <v>Tunis 2009 - 4th North African/Mediterranean Petroleum and Geosciences Conference and Exhibition</v>
      </c>
      <c r="B19626" s="8" t="str">
        <f>"-"</f>
        <v>-</v>
      </c>
      <c r="C19626" s="8" t="s">
        <v>1251</v>
      </c>
    </row>
    <row r="19627" spans="1:3" x14ac:dyDescent="0.25">
      <c r="A19627" s="8" t="str">
        <f>"Tunnelling in Rock by Drilling and Blasting: Workshop Hosted by FRAGBLAST 10 - The 10th International Symposium on Rock Fragmentation by Blasting"</f>
        <v>Tunnelling in Rock by Drilling and Blasting: Workshop Hosted by FRAGBLAST 10 - The 10th International Symposium on Rock Fragmentation by Blasting</v>
      </c>
      <c r="B19627" s="8" t="str">
        <f>"9780415621410"</f>
        <v>9780415621410</v>
      </c>
      <c r="C19627" s="8" t="s">
        <v>1635</v>
      </c>
    </row>
    <row r="19628" spans="1:3" x14ac:dyDescent="0.25">
      <c r="A19628" s="8" t="str">
        <f>"Turkish Acoustical Society - 36th International Congress and Exhibition on Noise Control Engineering, INTER-NOISE 2007 ISTANBUL"</f>
        <v>Turkish Acoustical Society - 36th International Congress and Exhibition on Noise Control Engineering, INTER-NOISE 2007 ISTANBUL</v>
      </c>
      <c r="B19628" s="8" t="str">
        <f>"9781605603858"</f>
        <v>9781605603858</v>
      </c>
      <c r="C19628" s="8" t="s">
        <v>2364</v>
      </c>
    </row>
    <row r="19629" spans="1:3" x14ac:dyDescent="0.25">
      <c r="A19629" s="8" t="str">
        <f>"Tutorials of SIBGRAPI 2009 - 22nd Brazilian Symposium on Computer Graphics and Image Processing"</f>
        <v>Tutorials of SIBGRAPI 2009 - 22nd Brazilian Symposium on Computer Graphics and Image Processing</v>
      </c>
      <c r="B19629" s="8" t="str">
        <f>"9780769538150"</f>
        <v>9780769538150</v>
      </c>
      <c r="C19629" s="8" t="s">
        <v>9</v>
      </c>
    </row>
    <row r="19630" spans="1:3" x14ac:dyDescent="0.25">
      <c r="A19630" s="8" t="str">
        <f>"Twenty Years of Ozone Decline - Proceedings of the Symposium for the 20th Anniversary of the Montreal Protocol"</f>
        <v>Twenty Years of Ozone Decline - Proceedings of the Symposium for the 20th Anniversary of the Montreal Protocol</v>
      </c>
      <c r="B19630" s="8" t="str">
        <f>"9789048124688"</f>
        <v>9789048124688</v>
      </c>
      <c r="C19630" s="8" t="s">
        <v>834</v>
      </c>
    </row>
    <row r="19631" spans="1:3" x14ac:dyDescent="0.25">
      <c r="A19631" s="8" t="str">
        <f>"U.S. Air Force T and E Days"</f>
        <v>U.S. Air Force T and E Days</v>
      </c>
      <c r="B19631" s="8" t="str">
        <f>"9781563479595"</f>
        <v>9781563479595</v>
      </c>
      <c r="C19631" s="8" t="s">
        <v>104</v>
      </c>
    </row>
    <row r="19632" spans="1:3" x14ac:dyDescent="0.25">
      <c r="A19632" s="8" t="str">
        <f>"U.S. Air Force T and E Days 2009"</f>
        <v>U.S. Air Force T and E Days 2009</v>
      </c>
      <c r="B19632" s="8" t="str">
        <f>"9781563479700"</f>
        <v>9781563479700</v>
      </c>
      <c r="C19632" s="8" t="s">
        <v>104</v>
      </c>
    </row>
    <row r="19633" spans="1:3" x14ac:dyDescent="0.25">
      <c r="A19633" s="8" t="str">
        <f>"U.S. Air Force T and E Days 2010"</f>
        <v>U.S. Air Force T and E Days 2010</v>
      </c>
      <c r="B19633" s="8" t="str">
        <f>"9781600867415"</f>
        <v>9781600867415</v>
      </c>
      <c r="C19633" s="8" t="s">
        <v>104</v>
      </c>
    </row>
    <row r="19634" spans="1:3" x14ac:dyDescent="0.25">
      <c r="A19634" s="8" t="str">
        <f>"UAAII'11 - Proceedings of the 2011 International Workshop on Ubiquitous Affective Awareness and Intelligent Interaction"</f>
        <v>UAAII'11 - Proceedings of the 2011 International Workshop on Ubiquitous Affective Awareness and Intelligent Interaction</v>
      </c>
      <c r="B19634" s="8" t="str">
        <f>"9781450309325"</f>
        <v>9781450309325</v>
      </c>
      <c r="C19634" s="8" t="s">
        <v>21</v>
      </c>
    </row>
    <row r="19635" spans="1:3" x14ac:dyDescent="0.25">
      <c r="A19635" s="8" t="str">
        <f>"UBICOMM 2010 - 4th International Conference on Mobile Ubiquitous Computing, Systems, Services and Technologies"</f>
        <v>UBICOMM 2010 - 4th International Conference on Mobile Ubiquitous Computing, Systems, Services and Technologies</v>
      </c>
      <c r="B19635" s="8" t="str">
        <f>"9781612081007"</f>
        <v>9781612081007</v>
      </c>
      <c r="C19635" s="8" t="s">
        <v>2316</v>
      </c>
    </row>
    <row r="19636" spans="1:3" x14ac:dyDescent="0.25">
      <c r="A19636" s="8" t="str">
        <f>"UBICOMM 2011 - 5th International Conference on Mobile Ubiquitous Computing, Systems, Services and Technologies; PECES 2011 - 3rd International Workshop on Pervasive Computing in Embedded Systems"</f>
        <v>UBICOMM 2011 - 5th International Conference on Mobile Ubiquitous Computing, Systems, Services and Technologies; PECES 2011 - 3rd International Workshop on Pervasive Computing in Embedded Systems</v>
      </c>
      <c r="B19636" s="8" t="str">
        <f>"9781612081717"</f>
        <v>9781612081717</v>
      </c>
      <c r="C19636" s="8" t="s">
        <v>2316</v>
      </c>
    </row>
    <row r="19637" spans="1:3" x14ac:dyDescent="0.25">
      <c r="A19637" s="8" t="str">
        <f>"UBICOMM 2012 - 6th International Conference on Mobile Ubiquitous Computing, Systems, Services and Technologies"</f>
        <v>UBICOMM 2012 - 6th International Conference on Mobile Ubiquitous Computing, Systems, Services and Technologies</v>
      </c>
      <c r="B19637" s="8" t="str">
        <f>"9781612082363"</f>
        <v>9781612082363</v>
      </c>
      <c r="C19637" s="8" t="s">
        <v>2316</v>
      </c>
    </row>
    <row r="19638" spans="1:3" x14ac:dyDescent="0.25">
      <c r="A19638" s="8" t="str">
        <f>"UBICOMM 2013 - 7th International Conference on Mobile Ubiquitous Computing, Systems, Services and Technologies"</f>
        <v>UBICOMM 2013 - 7th International Conference on Mobile Ubiquitous Computing, Systems, Services and Technologies</v>
      </c>
      <c r="B19638" s="8" t="str">
        <f>"9781612082899"</f>
        <v>9781612082899</v>
      </c>
      <c r="C19638" s="8" t="s">
        <v>373</v>
      </c>
    </row>
    <row r="19639" spans="1:3" x14ac:dyDescent="0.25">
      <c r="A19639" s="8" t="str">
        <f>"UBICOMM 2014 - 8th International Conference on Mobile Ubiquitous Computing, Systems, Services and Technologies"</f>
        <v>UBICOMM 2014 - 8th International Conference on Mobile Ubiquitous Computing, Systems, Services and Technologies</v>
      </c>
      <c r="B19639" s="8" t="str">
        <f>"-"</f>
        <v>-</v>
      </c>
      <c r="C19639" s="8" t="s">
        <v>373</v>
      </c>
    </row>
    <row r="19640" spans="1:3" x14ac:dyDescent="0.25">
      <c r="A19640" s="8" t="str">
        <f>"UbiComp 2008 - Proceedings of the 10th International Conference on Ubiquitous Computing"</f>
        <v>UbiComp 2008 - Proceedings of the 10th International Conference on Ubiquitous Computing</v>
      </c>
      <c r="B19640" s="8" t="str">
        <f>"9781605581361"</f>
        <v>9781605581361</v>
      </c>
      <c r="C19640" s="8" t="s">
        <v>21</v>
      </c>
    </row>
    <row r="19641" spans="1:3" x14ac:dyDescent="0.25">
      <c r="A19641" s="8" t="str">
        <f>"UbiComp 2013 - Proceedings of the 2013 ACM International Joint Conference on Pervasive and Ubiquitous Computing"</f>
        <v>UbiComp 2013 - Proceedings of the 2013 ACM International Joint Conference on Pervasive and Ubiquitous Computing</v>
      </c>
      <c r="B19641" s="8" t="str">
        <f>"9781450317702"</f>
        <v>9781450317702</v>
      </c>
      <c r="C19641" s="8" t="s">
        <v>21</v>
      </c>
    </row>
    <row r="19642" spans="1:3" x14ac:dyDescent="0.25">
      <c r="A19642" s="8" t="str">
        <f>"UbiComp 2013 Adjunct - Adjunct Publication of the 2013 ACM Conference on Ubiquitous Computing"</f>
        <v>UbiComp 2013 Adjunct - Adjunct Publication of the 2013 ACM Conference on Ubiquitous Computing</v>
      </c>
      <c r="B19642" s="8" t="str">
        <f>"9781450322157"</f>
        <v>9781450322157</v>
      </c>
      <c r="C19642" s="8" t="s">
        <v>21</v>
      </c>
    </row>
    <row r="19643" spans="1:3" x14ac:dyDescent="0.25">
      <c r="A19643" s="8" t="str">
        <f>"UbiComp 2014 - Adjunct Proceedings of the 2014 ACM International Joint Conference on Pervasive and Ubiquitous Computing"</f>
        <v>UbiComp 2014 - Adjunct Proceedings of the 2014 ACM International Joint Conference on Pervasive and Ubiquitous Computing</v>
      </c>
      <c r="B19643" s="8" t="str">
        <f>"9781450330473"</f>
        <v>9781450330473</v>
      </c>
      <c r="C19643" s="8" t="s">
        <v>1235</v>
      </c>
    </row>
    <row r="19644" spans="1:3" x14ac:dyDescent="0.25">
      <c r="A19644" s="8" t="str">
        <f>"UbiComp 2014 - Proceedings of the 2014 ACM International Joint Conference on Pervasive and Ubiquitous Computing"</f>
        <v>UbiComp 2014 - Proceedings of the 2014 ACM International Joint Conference on Pervasive and Ubiquitous Computing</v>
      </c>
      <c r="B19644" s="8" t="str">
        <f>"9781450329682"</f>
        <v>9781450329682</v>
      </c>
      <c r="C19644" s="8" t="s">
        <v>1235</v>
      </c>
    </row>
    <row r="19645" spans="1:3" x14ac:dyDescent="0.25">
      <c r="A19645" s="8" t="str">
        <f>"UbiComp'10 - Proceedings of the 2010 ACM Conference on Ubiquitous Computing"</f>
        <v>UbiComp'10 - Proceedings of the 2010 ACM Conference on Ubiquitous Computing</v>
      </c>
      <c r="B19645" s="8" t="str">
        <f>"-"</f>
        <v>-</v>
      </c>
      <c r="C19645" s="8" t="s">
        <v>21</v>
      </c>
    </row>
    <row r="19646" spans="1:3" x14ac:dyDescent="0.25">
      <c r="A19646" s="8" t="str">
        <f>"UbiComp'11 - Proceedings of the 2011 ACM Conference on Ubiquitous Computing"</f>
        <v>UbiComp'11 - Proceedings of the 2011 ACM Conference on Ubiquitous Computing</v>
      </c>
      <c r="B19646" s="8" t="str">
        <f>"9781450309103"</f>
        <v>9781450309103</v>
      </c>
      <c r="C19646" s="8" t="s">
        <v>21</v>
      </c>
    </row>
    <row r="19647" spans="1:3" x14ac:dyDescent="0.25">
      <c r="A19647" s="8" t="str">
        <f>"UbiComp'12 - Proceedings of the 2012 ACM Conference on Ubiquitous Computing"</f>
        <v>UbiComp'12 - Proceedings of the 2012 ACM Conference on Ubiquitous Computing</v>
      </c>
      <c r="B19647" s="8" t="str">
        <f>"9781450312240"</f>
        <v>9781450312240</v>
      </c>
      <c r="C19647" s="8" t="s">
        <v>21</v>
      </c>
    </row>
    <row r="19648" spans="1:3" x14ac:dyDescent="0.25">
      <c r="A19648" s="8" t="str">
        <f>"UbiCrowd'11 - Proceedings of the 2nd International Workshop on Ubiquitous Crowdsouring"</f>
        <v>UbiCrowd'11 - Proceedings of the 2nd International Workshop on Ubiquitous Crowdsouring</v>
      </c>
      <c r="B19648" s="8" t="str">
        <f>"9781450309271"</f>
        <v>9781450309271</v>
      </c>
      <c r="C19648" s="8" t="s">
        <v>21</v>
      </c>
    </row>
    <row r="19649" spans="1:3" x14ac:dyDescent="0.25">
      <c r="A19649" s="8" t="str">
        <f>"UCMMT 2013 - 2013 6th UK, Europe, China Millimeter Waves and THz Technology Workshop"</f>
        <v>UCMMT 2013 - 2013 6th UK, Europe, China Millimeter Waves and THz Technology Workshop</v>
      </c>
      <c r="B19649" s="8" t="str">
        <f>"9781479909810"</f>
        <v>9781479909810</v>
      </c>
      <c r="C19649" s="8" t="s">
        <v>9</v>
      </c>
    </row>
    <row r="19650" spans="1:3" x14ac:dyDescent="0.25">
      <c r="A19650" s="8" t="str">
        <f>"UECTC'09 - Proceedings of 2009 US-EU-China Thermophysics Conference - Renewable Energy"</f>
        <v>UECTC'09 - Proceedings of 2009 US-EU-China Thermophysics Conference - Renewable Energy</v>
      </c>
      <c r="B19650" s="8" t="str">
        <f>"9780791802908"</f>
        <v>9780791802908</v>
      </c>
      <c r="C19650" s="8" t="s">
        <v>1874</v>
      </c>
    </row>
    <row r="19651" spans="1:3" x14ac:dyDescent="0.25">
      <c r="A19651" s="8" t="str">
        <f>"UIC-ATC 2009 - Symposia and Workshops on Ubiquitous, Autonomic and Trusted Computing in Conjunction with the UIC'09 and ATC'09 Conferences"</f>
        <v>UIC-ATC 2009 - Symposia and Workshops on Ubiquitous, Autonomic and Trusted Computing in Conjunction with the UIC'09 and ATC'09 Conferences</v>
      </c>
      <c r="B19651" s="8" t="str">
        <f>"9780769537375"</f>
        <v>9780769537375</v>
      </c>
      <c r="C19651" s="8" t="s">
        <v>9</v>
      </c>
    </row>
    <row r="19652" spans="1:3" x14ac:dyDescent="0.25">
      <c r="A19652" s="8" t="str">
        <f>"UIST 2006: Proceedings of the 19th Annual ACM Symposium on User Interface Software and Technology"</f>
        <v>UIST 2006: Proceedings of the 19th Annual ACM Symposium on User Interface Software and Technology</v>
      </c>
      <c r="B19652" s="8" t="str">
        <f>"9781595933133"</f>
        <v>9781595933133</v>
      </c>
      <c r="C19652" s="8" t="s">
        <v>21</v>
      </c>
    </row>
    <row r="19653" spans="1:3" x14ac:dyDescent="0.25">
      <c r="A19653" s="8" t="str">
        <f>"UIST 2008 - Proceedings of the 21st Annual ACM Symposium on User Interface Software and Technology"</f>
        <v>UIST 2008 - Proceedings of the 21st Annual ACM Symposium on User Interface Software and Technology</v>
      </c>
      <c r="B19653" s="8" t="str">
        <f>"9781595939753"</f>
        <v>9781595939753</v>
      </c>
      <c r="C19653" s="8" t="s">
        <v>21</v>
      </c>
    </row>
    <row r="19654" spans="1:3" x14ac:dyDescent="0.25">
      <c r="A19654" s="8" t="str">
        <f>"UIST 2009 - Proceedings of the 22nd Annual ACM Symposium on User Interface Software and Technology"</f>
        <v>UIST 2009 - Proceedings of the 22nd Annual ACM Symposium on User Interface Software and Technology</v>
      </c>
      <c r="B19654" s="8" t="str">
        <f>"9781605587455"</f>
        <v>9781605587455</v>
      </c>
      <c r="C19654" s="8" t="s">
        <v>21</v>
      </c>
    </row>
    <row r="19655" spans="1:3" x14ac:dyDescent="0.25">
      <c r="A19655" s="8" t="str">
        <f>"UIST 2010 - 23rd ACM Symposium on User Interface Software and Technology"</f>
        <v>UIST 2010 - 23rd ACM Symposium on User Interface Software and Technology</v>
      </c>
      <c r="B19655" s="8" t="str">
        <f>"9781605588438"</f>
        <v>9781605588438</v>
      </c>
      <c r="C19655" s="8" t="s">
        <v>21</v>
      </c>
    </row>
    <row r="19656" spans="1:3" x14ac:dyDescent="0.25">
      <c r="A19656" s="8" t="str">
        <f>"UIST 2010 - 23rd ACM Symposium on User Interface Software and Technology, Adjunct Proceedings"</f>
        <v>UIST 2010 - 23rd ACM Symposium on User Interface Software and Technology, Adjunct Proceedings</v>
      </c>
      <c r="B19656" s="8" t="str">
        <f>"9781605588438"</f>
        <v>9781605588438</v>
      </c>
      <c r="C19656" s="8" t="s">
        <v>21</v>
      </c>
    </row>
    <row r="19657" spans="1:3" x14ac:dyDescent="0.25">
      <c r="A19657" s="8" t="str">
        <f>"UIST 2013 - Proceedings of the 26th Annual ACM Symposium on User Interface Software and Technology"</f>
        <v>UIST 2013 - Proceedings of the 26th Annual ACM Symposium on User Interface Software and Technology</v>
      </c>
      <c r="B19657" s="8" t="str">
        <f>"9781450322683"</f>
        <v>9781450322683</v>
      </c>
      <c r="C19657" s="8" t="s">
        <v>21</v>
      </c>
    </row>
    <row r="19658" spans="1:3" x14ac:dyDescent="0.25">
      <c r="A19658" s="8" t="str">
        <f>"UIST 2013 Adjunct - Adjunct Publication of the 26th Annual ACM Symposium on User Interface Software and Technology"</f>
        <v>UIST 2013 Adjunct - Adjunct Publication of the 26th Annual ACM Symposium on User Interface Software and Technology</v>
      </c>
      <c r="B19658" s="8" t="str">
        <f>"9781450324069"</f>
        <v>9781450324069</v>
      </c>
      <c r="C19658" s="8" t="s">
        <v>21</v>
      </c>
    </row>
    <row r="19659" spans="1:3" x14ac:dyDescent="0.25">
      <c r="A19659" s="8" t="str">
        <f>"UIST 2014 - Adjunct Publication of the 27th Annual ACM Symposium on User Interface Software and Technology"</f>
        <v>UIST 2014 - Adjunct Publication of the 27th Annual ACM Symposium on User Interface Software and Technology</v>
      </c>
      <c r="B19659" s="8" t="str">
        <f>"9781450330688"</f>
        <v>9781450330688</v>
      </c>
      <c r="C19659" s="8" t="s">
        <v>1235</v>
      </c>
    </row>
    <row r="19660" spans="1:3" x14ac:dyDescent="0.25">
      <c r="A19660" s="8" t="str">
        <f>"UIST 2014 - Proceedings of the 27th Annual ACM Symposium on User Interface Software and Technology"</f>
        <v>UIST 2014 - Proceedings of the 27th Annual ACM Symposium on User Interface Software and Technology</v>
      </c>
      <c r="B19660" s="8" t="str">
        <f>"9781450330695"</f>
        <v>9781450330695</v>
      </c>
      <c r="C19660" s="8" t="s">
        <v>1235</v>
      </c>
    </row>
    <row r="19661" spans="1:3" x14ac:dyDescent="0.25">
      <c r="A19661" s="8" t="str">
        <f>"UIST'11 - Proceedings of the 24th Annual ACM Symposium on User Interface Software and Technology"</f>
        <v>UIST'11 - Proceedings of the 24th Annual ACM Symposium on User Interface Software and Technology</v>
      </c>
      <c r="B19661" s="8" t="str">
        <f>"9781450307161"</f>
        <v>9781450307161</v>
      </c>
      <c r="C19661" s="8" t="s">
        <v>21</v>
      </c>
    </row>
    <row r="19662" spans="1:3" x14ac:dyDescent="0.25">
      <c r="A19662" s="8" t="str">
        <f>"UIST'11 Adjunct - Proceedings of the 24th Annual ACM Symposium on User Interface Software and Technology"</f>
        <v>UIST'11 Adjunct - Proceedings of the 24th Annual ACM Symposium on User Interface Software and Technology</v>
      </c>
      <c r="B19662" s="8" t="str">
        <f>"9781450307161"</f>
        <v>9781450307161</v>
      </c>
      <c r="C19662" s="8" t="s">
        <v>21</v>
      </c>
    </row>
    <row r="19663" spans="1:3" x14ac:dyDescent="0.25">
      <c r="A19663" s="8" t="str">
        <f>"UIST'12 - Proceedings of the 25th Annual ACM Symposium on User Interface Software and Technology"</f>
        <v>UIST'12 - Proceedings of the 25th Annual ACM Symposium on User Interface Software and Technology</v>
      </c>
      <c r="B19663" s="8" t="str">
        <f>"9781450315807"</f>
        <v>9781450315807</v>
      </c>
      <c r="C19663" s="8" t="s">
        <v>21</v>
      </c>
    </row>
    <row r="19664" spans="1:3" x14ac:dyDescent="0.25">
      <c r="A19664" s="8" t="str">
        <f>"UKSim2010 - UKSim 12th International Conference on Computer Modelling and Simulation"</f>
        <v>UKSim2010 - UKSim 12th International Conference on Computer Modelling and Simulation</v>
      </c>
      <c r="B19664" s="8" t="str">
        <f>"9780769540160"</f>
        <v>9780769540160</v>
      </c>
      <c r="C19664" s="8" t="s">
        <v>9</v>
      </c>
    </row>
    <row r="19665" spans="1:3" x14ac:dyDescent="0.25">
      <c r="A19665" s="8" t="str">
        <f>"ULIS 2008 - 9th International Conference on ULtimate Integration of Silicon"</f>
        <v>ULIS 2008 - 9th International Conference on ULtimate Integration of Silicon</v>
      </c>
      <c r="B19665" s="8" t="str">
        <f>"9781424417308"</f>
        <v>9781424417308</v>
      </c>
      <c r="C19665" s="8" t="s">
        <v>9</v>
      </c>
    </row>
    <row r="19666" spans="1:3" x14ac:dyDescent="0.25">
      <c r="A19666" s="8" t="str">
        <f>"ULIS 2013: The 14th International Conference on Ultimate Integration on Silicon, Incorporating the 'Technology Briefing Day'"</f>
        <v>ULIS 2013: The 14th International Conference on Ultimate Integration on Silicon, Incorporating the 'Technology Briefing Day'</v>
      </c>
      <c r="B19666" s="8" t="str">
        <f>"9781467348003"</f>
        <v>9781467348003</v>
      </c>
      <c r="C19666" s="8" t="s">
        <v>9</v>
      </c>
    </row>
    <row r="19667" spans="1:3" x14ac:dyDescent="0.25">
      <c r="A19667" s="8" t="str">
        <f>"ULIS 2014 - 2014 15th International Conference on Ultimate Integration on Silicon"</f>
        <v>ULIS 2014 - 2014 15th International Conference on Ultimate Integration on Silicon</v>
      </c>
      <c r="B19667" s="8" t="str">
        <f>"9781479937189"</f>
        <v>9781479937189</v>
      </c>
      <c r="C19667" s="8" t="s">
        <v>9</v>
      </c>
    </row>
    <row r="19668" spans="1:3" x14ac:dyDescent="0.25">
      <c r="A19668" s="8" t="str">
        <f>"Ultrafine Grained Materials III"</f>
        <v>Ultrafine Grained Materials III</v>
      </c>
      <c r="B19668" s="8" t="str">
        <f>"9780873395717"</f>
        <v>9780873395717</v>
      </c>
      <c r="C19668" s="8" t="s">
        <v>648</v>
      </c>
    </row>
    <row r="19669" spans="1:3" x14ac:dyDescent="0.25">
      <c r="A19669" s="8" t="str">
        <f>"Ultra-Wideband, Short Pulse Electromagnetics 9"</f>
        <v>Ultra-Wideband, Short Pulse Electromagnetics 9</v>
      </c>
      <c r="B19669" s="8" t="str">
        <f>"9780387778440"</f>
        <v>9780387778440</v>
      </c>
      <c r="C19669" s="8" t="s">
        <v>834</v>
      </c>
    </row>
    <row r="19670" spans="1:3" x14ac:dyDescent="0.25">
      <c r="A19670" s="8" t="str">
        <f>"Ultra-Wideband, Short-Pulse Electromagnetics 10"</f>
        <v>Ultra-Wideband, Short-Pulse Electromagnetics 10</v>
      </c>
      <c r="B19670" s="8" t="str">
        <f>"9781461494997"</f>
        <v>9781461494997</v>
      </c>
      <c r="C19670" s="8" t="s">
        <v>834</v>
      </c>
    </row>
    <row r="19671" spans="1:3" x14ac:dyDescent="0.25">
      <c r="A19671" s="8" t="str">
        <f>"Ultra-Wideband, Short-Pulse Electromagnetics 8"</f>
        <v>Ultra-Wideband, Short-Pulse Electromagnetics 8</v>
      </c>
      <c r="B19671" s="8" t="str">
        <f>"9780387730455"</f>
        <v>9780387730455</v>
      </c>
      <c r="C19671" s="8" t="s">
        <v>834</v>
      </c>
    </row>
    <row r="19672" spans="1:3" x14ac:dyDescent="0.25">
      <c r="A19672" s="8" t="str">
        <f>"Ulusal Toz Metalurjisi Konferansi: National Powder Metallurgy Conference"</f>
        <v>Ulusal Toz Metalurjisi Konferansi: National Powder Metallurgy Conference</v>
      </c>
      <c r="B19672" s="8" t="str">
        <f>"-"</f>
        <v>-</v>
      </c>
      <c r="C19672" s="8" t="s">
        <v>2211</v>
      </c>
    </row>
    <row r="19673" spans="1:3" x14ac:dyDescent="0.25">
      <c r="A19673" s="8" t="str">
        <f>"UM3I 2014 - Proceedings of the 2014 ACM Workshop on Understanding and Modeling Multiparty, Multimodal Interactions, Co-located with ICMI 2014"</f>
        <v>UM3I 2014 - Proceedings of the 2014 ACM Workshop on Understanding and Modeling Multiparty, Multimodal Interactions, Co-located with ICMI 2014</v>
      </c>
      <c r="B19673" s="8" t="str">
        <f>"9781450306522"</f>
        <v>9781450306522</v>
      </c>
      <c r="C19673" s="8" t="s">
        <v>1235</v>
      </c>
    </row>
    <row r="19674" spans="1:3" x14ac:dyDescent="0.25">
      <c r="A19674" s="8" t="str">
        <f>"UNCECOMP 2015 - 1st ECCOMAS Thematic Conference on Uncertainty Quantification in Computational Sciences and Engineering"</f>
        <v>UNCECOMP 2015 - 1st ECCOMAS Thematic Conference on Uncertainty Quantification in Computational Sciences and Engineering</v>
      </c>
      <c r="B19674" s="8" t="str">
        <f>"-"</f>
        <v>-</v>
      </c>
      <c r="C19674" s="8" t="s">
        <v>1223</v>
      </c>
    </row>
    <row r="19675" spans="1:3" x14ac:dyDescent="0.25">
      <c r="A19675" s="8" t="str">
        <f>"Uncertainty in Artificial Intelligence - Proceedings of the 28th Conference, UAI 2012"</f>
        <v>Uncertainty in Artificial Intelligence - Proceedings of the 28th Conference, UAI 2012</v>
      </c>
      <c r="B19675" s="8" t="str">
        <f>"9780974903989"</f>
        <v>9780974903989</v>
      </c>
      <c r="C19675" s="8" t="s">
        <v>2185</v>
      </c>
    </row>
    <row r="19676" spans="1:3" x14ac:dyDescent="0.25">
      <c r="A19676" s="8" t="str">
        <f>"Uncertainty in Artificial Intelligence - Proceedings of the 29th Conference, UAI 2013"</f>
        <v>Uncertainty in Artificial Intelligence - Proceedings of the 29th Conference, UAI 2013</v>
      </c>
      <c r="B19676" s="8" t="str">
        <f>"-"</f>
        <v>-</v>
      </c>
      <c r="C19676" s="8" t="s">
        <v>2185</v>
      </c>
    </row>
    <row r="19677" spans="1:3" x14ac:dyDescent="0.25">
      <c r="A19677" s="8" t="str">
        <f>"Uncertainty in Artificial Intelligence - Proceedings of the 30th Conference, UAI 2014"</f>
        <v>Uncertainty in Artificial Intelligence - Proceedings of the 30th Conference, UAI 2014</v>
      </c>
      <c r="B19677" s="8" t="str">
        <f>"9780974903910"</f>
        <v>9780974903910</v>
      </c>
      <c r="C19677" s="8" t="s">
        <v>2185</v>
      </c>
    </row>
    <row r="19678" spans="1:3" x14ac:dyDescent="0.25">
      <c r="A19678" s="8" t="str">
        <f>"Uncertainty in Artificial Intelligence - Proceedings of the 31st Conference, UAI 2015"</f>
        <v>Uncertainty in Artificial Intelligence - Proceedings of the 31st Conference, UAI 2015</v>
      </c>
      <c r="B19678" s="8" t="str">
        <f>"9780000000002"</f>
        <v>9780000000002</v>
      </c>
      <c r="C19678" s="8" t="s">
        <v>2185</v>
      </c>
    </row>
    <row r="19679" spans="1:3" x14ac:dyDescent="0.25">
      <c r="A19679" s="8" t="str">
        <f>"Underground - The Way to the Future: Proceedings of the World Tunnel Congress, WTC 2013"</f>
        <v>Underground - The Way to the Future: Proceedings of the World Tunnel Congress, WTC 2013</v>
      </c>
      <c r="B19679" s="8" t="str">
        <f>"9781138000940"</f>
        <v>9781138000940</v>
      </c>
      <c r="C19679" s="8" t="s">
        <v>1619</v>
      </c>
    </row>
    <row r="19680" spans="1:3" x14ac:dyDescent="0.25">
      <c r="A19680" s="8" t="str">
        <f>"Underground Infrastructure of Urban Areas"</f>
        <v>Underground Infrastructure of Urban Areas</v>
      </c>
      <c r="B19680" s="8" t="str">
        <f>"9780415486385"</f>
        <v>9780415486385</v>
      </c>
      <c r="C19680" s="8" t="s">
        <v>1637</v>
      </c>
    </row>
    <row r="19681" spans="1:3" x14ac:dyDescent="0.25">
      <c r="A19681" s="8" t="str">
        <f>"Underground Space Use: Analysis of the Past and Lessons for the Future - Proceedings of the 31st ITA-AITES World Tunnel Congress"</f>
        <v>Underground Space Use: Analysis of the Past and Lessons for the Future - Proceedings of the 31st ITA-AITES World Tunnel Congress</v>
      </c>
      <c r="B19681" s="8" t="str">
        <f>"9780415374538"</f>
        <v>9780415374538</v>
      </c>
      <c r="C19681" s="8" t="s">
        <v>1558</v>
      </c>
    </row>
    <row r="19682" spans="1:3" x14ac:dyDescent="0.25">
      <c r="A19682" s="8" t="s">
        <v>2365</v>
      </c>
      <c r="B19682" s="8" t="str">
        <f>"9780415600491"</f>
        <v>9780415600491</v>
      </c>
      <c r="C19682" s="8" t="s">
        <v>1619</v>
      </c>
    </row>
    <row r="19683" spans="1:3" x14ac:dyDescent="0.25">
      <c r="A19683" s="8" t="str">
        <f>"Underground Works under Special Conditions - Proceedings of the Workshop (W1) on Underground Works under Special Conditions"</f>
        <v>Underground Works under Special Conditions - Proceedings of the Workshop (W1) on Underground Works under Special Conditions</v>
      </c>
      <c r="B19683" s="8" t="str">
        <f>"9780415450287"</f>
        <v>9780415450287</v>
      </c>
      <c r="C19683" s="8" t="s">
        <v>1619</v>
      </c>
    </row>
    <row r="19684" spans="1:3" x14ac:dyDescent="0.25">
      <c r="A19684" s="8" t="str">
        <f>"Understanding and Managing the Construction Process: Theory and Practice - 14th Annual Conference of the International Group for Lean Construction, IGLC-14"</f>
        <v>Understanding and Managing the Construction Process: Theory and Practice - 14th Annual Conference of the International Group for Lean Construction, IGLC-14</v>
      </c>
      <c r="B19684" s="8" t="str">
        <f>"-"</f>
        <v>-</v>
      </c>
      <c r="C19684" s="8" t="s">
        <v>1259</v>
      </c>
    </row>
    <row r="19685" spans="1:3" x14ac:dyDescent="0.25">
      <c r="A19685" s="8" t="str">
        <f>"Understanding the Geological and Medical Interface of Arsenic, As 2012 - 4th International Congress: Arsenic in the Environment"</f>
        <v>Understanding the Geological and Medical Interface of Arsenic, As 2012 - 4th International Congress: Arsenic in the Environment</v>
      </c>
      <c r="B19685" s="8" t="str">
        <f>"9780415637633"</f>
        <v>9780415637633</v>
      </c>
      <c r="C19685" s="8" t="s">
        <v>1619</v>
      </c>
    </row>
    <row r="19686" spans="1:3" x14ac:dyDescent="0.25">
      <c r="A19686" s="8" t="str">
        <f>"Underwater Intervention Conference 2009, UI 2009"</f>
        <v>Underwater Intervention Conference 2009, UI 2009</v>
      </c>
      <c r="B19686" s="8" t="str">
        <f>"9781615670048"</f>
        <v>9781615670048</v>
      </c>
      <c r="C19686" s="8" t="s">
        <v>848</v>
      </c>
    </row>
    <row r="19687" spans="1:3" x14ac:dyDescent="0.25">
      <c r="A19687" s="8" t="str">
        <f>"Underwater Intervention Conference 2010, UI 2010"</f>
        <v>Underwater Intervention Conference 2010, UI 2010</v>
      </c>
      <c r="B19687" s="8" t="str">
        <f>"9781617383199"</f>
        <v>9781617383199</v>
      </c>
      <c r="C19687" s="8" t="s">
        <v>848</v>
      </c>
    </row>
    <row r="19688" spans="1:3" x14ac:dyDescent="0.25">
      <c r="A19688" s="8" t="str">
        <f>"Underwater Intervention Conference 2011, UI 2011"</f>
        <v>Underwater Intervention Conference 2011, UI 2011</v>
      </c>
      <c r="B19688" s="8" t="str">
        <f>"9781617827938"</f>
        <v>9781617827938</v>
      </c>
      <c r="C19688" s="8" t="s">
        <v>848</v>
      </c>
    </row>
    <row r="19689" spans="1:3" x14ac:dyDescent="0.25">
      <c r="A19689" s="8" t="str">
        <f>"Underwater Intervention Conference 2012, UI 2012"</f>
        <v>Underwater Intervention Conference 2012, UI 2012</v>
      </c>
      <c r="B19689" s="8" t="str">
        <f>"9781627480529"</f>
        <v>9781627480529</v>
      </c>
      <c r="C19689" s="8" t="s">
        <v>848</v>
      </c>
    </row>
    <row r="19690" spans="1:3" x14ac:dyDescent="0.25">
      <c r="A19690" s="8" t="str">
        <f>"Underwater Intervention Conference 2013, UI 2013"</f>
        <v>Underwater Intervention Conference 2013, UI 2013</v>
      </c>
      <c r="B19690" s="8" t="str">
        <f>"-"</f>
        <v>-</v>
      </c>
      <c r="C19690" s="8" t="s">
        <v>848</v>
      </c>
    </row>
    <row r="19691" spans="1:3" x14ac:dyDescent="0.25">
      <c r="A19691" s="8" t="str">
        <f>"Underwater Intervention Conference 2014, UI 2014"</f>
        <v>Underwater Intervention Conference 2014, UI 2014</v>
      </c>
      <c r="B19691" s="8" t="str">
        <f>"-"</f>
        <v>-</v>
      </c>
      <c r="C19691" s="8" t="s">
        <v>848</v>
      </c>
    </row>
    <row r="19692" spans="1:3" x14ac:dyDescent="0.25">
      <c r="A19692" s="8" t="str">
        <f>"UNICORE Summit 2010, Proceedings"</f>
        <v>UNICORE Summit 2010, Proceedings</v>
      </c>
      <c r="B19692" s="8" t="str">
        <f>"9783893366613"</f>
        <v>9783893366613</v>
      </c>
      <c r="C19692" s="8" t="s">
        <v>2366</v>
      </c>
    </row>
    <row r="19693" spans="1:3" x14ac:dyDescent="0.25">
      <c r="A19693" s="8" t="str">
        <f>"UNICORE Summit 2011, Proceedings"</f>
        <v>UNICORE Summit 2011, Proceedings</v>
      </c>
      <c r="B19693" s="8" t="str">
        <f>"9783893367504"</f>
        <v>9783893367504</v>
      </c>
      <c r="C19693" s="8" t="s">
        <v>2366</v>
      </c>
    </row>
    <row r="19694" spans="1:3" x14ac:dyDescent="0.25">
      <c r="A19694" s="8" t="str">
        <f>"UNICORE Summit 2012, Proceedings"</f>
        <v>UNICORE Summit 2012, Proceedings</v>
      </c>
      <c r="B19694" s="8" t="str">
        <f>"9783893368297"</f>
        <v>9783893368297</v>
      </c>
      <c r="C19694" s="8" t="s">
        <v>2366</v>
      </c>
    </row>
    <row r="19695" spans="1:3" x14ac:dyDescent="0.25">
      <c r="A19695" s="8" t="str">
        <f>"UNITECR '05 - Proceedings of the Unified International Technical Conference on Refractories: 9th Biennial Worldwide Congress on Refractories"</f>
        <v>UNITECR '05 - Proceedings of the Unified International Technical Conference on Refractories: 9th Biennial Worldwide Congress on Refractories</v>
      </c>
      <c r="B19695" s="8" t="str">
        <f>"9781574982657"</f>
        <v>9781574982657</v>
      </c>
      <c r="C19695" s="8" t="s">
        <v>256</v>
      </c>
    </row>
    <row r="19696" spans="1:3" x14ac:dyDescent="0.25">
      <c r="A19696" s="8" t="str">
        <f>"United European Refractories meet the World: UNITECR 2007 - Unified Int. Tech. Conf. on Refractories; 10th Biennial Worldwide Congress, Proc.; in conj. with the 50th Int. Colloquium on Refractories"</f>
        <v>United European Refractories meet the World: UNITECR 2007 - Unified Int. Tech. Conf. on Refractories; 10th Biennial Worldwide Congress, Proc.; in conj. with the 50th Int. Colloquium on Refractories</v>
      </c>
      <c r="B19696" s="8" t="str">
        <f>"9783000215285"</f>
        <v>9783000215285</v>
      </c>
      <c r="C19696" s="8" t="s">
        <v>2367</v>
      </c>
    </row>
    <row r="19697" spans="1:3" x14ac:dyDescent="0.25">
      <c r="A19697" s="8" t="str">
        <f>"University of Parma / Ingegneria Industriale - 22nd Danubia-Adria Symposium on Experimental Methods in Solid Mechanics, DAS 2005"</f>
        <v>University of Parma / Ingegneria Industriale - 22nd Danubia-Adria Symposium on Experimental Methods in Solid Mechanics, DAS 2005</v>
      </c>
      <c r="B19697" s="8" t="str">
        <f>"9781604235739"</f>
        <v>9781604235739</v>
      </c>
      <c r="C19697" s="8" t="s">
        <v>1198</v>
      </c>
    </row>
    <row r="19698" spans="1:3" x14ac:dyDescent="0.25">
      <c r="A19698" s="8" t="str">
        <f>"Unsaturated Soils - Proceedings of the 5th International Conference on Unsaturated Soils"</f>
        <v>Unsaturated Soils - Proceedings of the 5th International Conference on Unsaturated Soils</v>
      </c>
      <c r="B19698" s="8" t="str">
        <f>"-"</f>
        <v>-</v>
      </c>
      <c r="C19698" s="8" t="s">
        <v>1637</v>
      </c>
    </row>
    <row r="19699" spans="1:3" x14ac:dyDescent="0.25">
      <c r="A19699" s="8" t="str">
        <f>"Unsaturated Soils: Advances in Geo-Engineering - Proceedings of the 1st European Conference on Unsaturated Soils, E-UNSAT 2008"</f>
        <v>Unsaturated Soils: Advances in Geo-Engineering - Proceedings of the 1st European Conference on Unsaturated Soils, E-UNSAT 2008</v>
      </c>
      <c r="B19699" s="8" t="str">
        <f>"9780415476928"</f>
        <v>9780415476928</v>
      </c>
      <c r="C19699" s="8" t="s">
        <v>1637</v>
      </c>
    </row>
    <row r="19700" spans="1:3" x14ac:dyDescent="0.25">
      <c r="A19700" s="8" t="str">
        <f>"Unsaturated Soils: Theoretical and Numerical Advances in Unsaturated Soil Mechanics - Proceedings of the 4th Asia Pacific Conference on Unsaturated Soils"</f>
        <v>Unsaturated Soils: Theoretical and Numerical Advances in Unsaturated Soil Mechanics - Proceedings of the 4th Asia Pacific Conference on Unsaturated Soils</v>
      </c>
      <c r="B19700" s="8" t="str">
        <f>"9780415804806"</f>
        <v>9780415804806</v>
      </c>
      <c r="C19700" s="8" t="s">
        <v>1637</v>
      </c>
    </row>
    <row r="19701" spans="1:3" x14ac:dyDescent="0.25">
      <c r="A19701" s="8" t="str">
        <f>"Upstream Engineering and Flow Assurance Forum 2013 - Core Programming Area at the 2013 AIChE Annual Meeting: Global Challenges for Engineering a Sustainable Future"</f>
        <v>Upstream Engineering and Flow Assurance Forum 2013 - Core Programming Area at the 2013 AIChE Annual Meeting: Global Challenges for Engineering a Sustainable Future</v>
      </c>
      <c r="B19701" s="8" t="str">
        <f>"9781634390576"</f>
        <v>9781634390576</v>
      </c>
      <c r="C19701" s="8" t="s">
        <v>1219</v>
      </c>
    </row>
    <row r="19702" spans="1:3" x14ac:dyDescent="0.25">
      <c r="A19702" s="8" t="str">
        <f>"Upstream Engineering and Flow Assurance Forum 2014 - Core Programming Area at the 2014 AIChE Spring Meeting and 10th Global Congress on Process Safety"</f>
        <v>Upstream Engineering and Flow Assurance Forum 2014 - Core Programming Area at the 2014 AIChE Spring Meeting and 10th Global Congress on Process Safety</v>
      </c>
      <c r="B19702" s="8" t="str">
        <f>"9781634390811"</f>
        <v>9781634390811</v>
      </c>
      <c r="C19702" s="8" t="s">
        <v>1219</v>
      </c>
    </row>
    <row r="19703" spans="1:3" x14ac:dyDescent="0.25">
      <c r="A19703" s="8" t="str">
        <f>"URAI 2011 - 2011 8th International Conference on Ubiquitous Robots and Ambient Intelligence"</f>
        <v>URAI 2011 - 2011 8th International Conference on Ubiquitous Robots and Ambient Intelligence</v>
      </c>
      <c r="B19703" s="8" t="str">
        <f>"9781457707223"</f>
        <v>9781457707223</v>
      </c>
      <c r="C19703" s="8" t="s">
        <v>9</v>
      </c>
    </row>
    <row r="19704" spans="1:3" x14ac:dyDescent="0.25">
      <c r="A19704" s="8" t="str">
        <f>"Uranium in the Environment: Mining Impact and Consequences"</f>
        <v>Uranium in the Environment: Mining Impact and Consequences</v>
      </c>
      <c r="B19704" s="8" t="str">
        <f>"9783540283638"</f>
        <v>9783540283638</v>
      </c>
      <c r="C19704" s="8" t="s">
        <v>582</v>
      </c>
    </row>
    <row r="19705" spans="1:3" x14ac:dyDescent="0.25">
      <c r="A19705" s="8" t="str">
        <f>"Uranium, Mining and Hydrogeology"</f>
        <v>Uranium, Mining and Hydrogeology</v>
      </c>
      <c r="B19705" s="8" t="str">
        <f>"9783540877455"</f>
        <v>9783540877455</v>
      </c>
      <c r="C19705" s="8" t="s">
        <v>582</v>
      </c>
    </row>
    <row r="19706" spans="1:3" x14ac:dyDescent="0.25">
      <c r="A19706" s="8" t="str">
        <f>"Urban and Regional Data Management, UDMS Annual 2011 - Proceedings of the Urban Data Management Society Symposium 2011"</f>
        <v>Urban and Regional Data Management, UDMS Annual 2011 - Proceedings of the Urban Data Management Society Symposium 2011</v>
      </c>
      <c r="B19706" s="8" t="str">
        <f>"9780415674911"</f>
        <v>9780415674911</v>
      </c>
      <c r="C19706" s="8" t="s">
        <v>96</v>
      </c>
    </row>
    <row r="19707" spans="1:3" x14ac:dyDescent="0.25">
      <c r="A19707" s="8" t="str">
        <f>"Urban and Regional Data Management, UDMS Annual 2013 - Proceedings of the Urban Data Management Society Symposium 2013"</f>
        <v>Urban and Regional Data Management, UDMS Annual 2013 - Proceedings of the Urban Data Management Society Symposium 2013</v>
      </c>
      <c r="B19707" s="8" t="str">
        <f>"9781138000636"</f>
        <v>9781138000636</v>
      </c>
      <c r="C19707" s="8" t="s">
        <v>1619</v>
      </c>
    </row>
    <row r="19708" spans="1:3" x14ac:dyDescent="0.25">
      <c r="A19708" s="8" t="str">
        <f>"Urban Beaches Balancing Public Rights and Private Development"</f>
        <v>Urban Beaches Balancing Public Rights and Private Development</v>
      </c>
      <c r="B19708" s="8" t="str">
        <f>"9780784406823"</f>
        <v>9780784406823</v>
      </c>
      <c r="C19708" s="8" t="s">
        <v>111</v>
      </c>
    </row>
    <row r="19709" spans="1:3" x14ac:dyDescent="0.25">
      <c r="A19709" s="8" t="str">
        <f>"Urban Drainage Modeling"</f>
        <v>Urban Drainage Modeling</v>
      </c>
      <c r="B19709" s="8" t="str">
        <f>"9780784405833"</f>
        <v>9780784405833</v>
      </c>
      <c r="C19709" s="8" t="s">
        <v>111</v>
      </c>
    </row>
    <row r="19710" spans="1:3" x14ac:dyDescent="0.25">
      <c r="A19710" s="8" t="str">
        <f>"Urban Planning and Development Applications of GIS"</f>
        <v>Urban Planning and Development Applications of GIS</v>
      </c>
      <c r="B19710" s="8" t="str">
        <f>"9780784404614"</f>
        <v>9780784404614</v>
      </c>
      <c r="C19710" s="8" t="s">
        <v>111</v>
      </c>
    </row>
    <row r="19711" spans="1:3" x14ac:dyDescent="0.25">
      <c r="A19711" s="8" t="str">
        <f>"Urban Public Transportation Systems 2013 - Proceedings of the 3rd International Conference on Urban Public Transportation Systems"</f>
        <v>Urban Public Transportation Systems 2013 - Proceedings of the 3rd International Conference on Urban Public Transportation Systems</v>
      </c>
      <c r="B19711" s="8" t="str">
        <f>"9780784413210"</f>
        <v>9780784413210</v>
      </c>
      <c r="C19711" s="8" t="s">
        <v>111</v>
      </c>
    </row>
    <row r="19712" spans="1:3" x14ac:dyDescent="0.25">
      <c r="A19712" s="8" t="str">
        <f>"Urban Public Transportation Systems Implementing Efficient Urban Transit Systems and Enhancing Transit Usage"</f>
        <v>Urban Public Transportation Systems Implementing Efficient Urban Transit Systems and Enhancing Transit Usage</v>
      </c>
      <c r="B19712" s="8" t="str">
        <f>"9780784404980"</f>
        <v>9780784404980</v>
      </c>
      <c r="C19712" s="8" t="s">
        <v>111</v>
      </c>
    </row>
    <row r="19713" spans="1:3" x14ac:dyDescent="0.25">
      <c r="A19713" s="8" t="str">
        <f>"Urban Public Transportation Systems: Ensuring Sustainability Through Mass Transit - Proceedings of the Second International Conference"</f>
        <v>Urban Public Transportation Systems: Ensuring Sustainability Through Mass Transit - Proceedings of the Second International Conference</v>
      </c>
      <c r="B19713" s="8" t="str">
        <f>"9780784407172"</f>
        <v>9780784407172</v>
      </c>
      <c r="C19713" s="8" t="s">
        <v>111</v>
      </c>
    </row>
    <row r="19714" spans="1:3" x14ac:dyDescent="0.25">
      <c r="A19714" s="8" t="str">
        <f>"US/EU-Baltic International Symposium: Ocean Observations, Ecosystem-Based Management and Forecasting - Provisional Symposium Proceedings, BALTIC"</f>
        <v>US/EU-Baltic International Symposium: Ocean Observations, Ecosystem-Based Management and Forecasting - Provisional Symposium Proceedings, BALTIC</v>
      </c>
      <c r="B19714" s="8" t="str">
        <f>"9781424422685"</f>
        <v>9781424422685</v>
      </c>
      <c r="C19714" s="8" t="s">
        <v>9</v>
      </c>
    </row>
    <row r="19715" spans="1:3" x14ac:dyDescent="0.25">
      <c r="A19715" s="8" t="str">
        <f>"USAF Developmental Test and Evaluation Summit"</f>
        <v>USAF Developmental Test and Evaluation Summit</v>
      </c>
      <c r="B19715" s="8" t="str">
        <f>"9781624100765"</f>
        <v>9781624100765</v>
      </c>
      <c r="C19715" s="8" t="s">
        <v>104</v>
      </c>
    </row>
    <row r="19716" spans="1:3" x14ac:dyDescent="0.25">
      <c r="A19716" s="8" t="str">
        <f>"UVX 2008 - 9e Colloque sur les Sources Coherentes et Incoherentes UV, VUV et X: Applications et Developpements Recents"</f>
        <v>UVX 2008 - 9e Colloque sur les Sources Coherentes et Incoherentes UV, VUV et X: Applications et Developpements Recents</v>
      </c>
      <c r="B19716" s="8" t="str">
        <f>"9782759804627"</f>
        <v>9782759804627</v>
      </c>
      <c r="C19716" s="8" t="s">
        <v>161</v>
      </c>
    </row>
    <row r="19717" spans="1:3" x14ac:dyDescent="0.25">
      <c r="A19717" s="8" t="str">
        <f>"UVX 2010 - 10e Colloque sur les Sources Coherentes et Incoherentes UV, VUV et X: Applications et Developpements Recents"</f>
        <v>UVX 2010 - 10e Colloque sur les Sources Coherentes et Incoherentes UV, VUV et X: Applications et Developpements Recents</v>
      </c>
      <c r="B19717" s="8" t="str">
        <f>"9782759806256"</f>
        <v>9782759806256</v>
      </c>
      <c r="C19717" s="8" t="s">
        <v>161</v>
      </c>
    </row>
    <row r="19718" spans="1:3" x14ac:dyDescent="0.25">
      <c r="A19718" s="8" t="str">
        <f>"UVX 2012 - 11e Colloque sur les Sources Coherentes et Incoherentes UV, VUV et X: Applications et Developpements Recents"</f>
        <v>UVX 2012 - 11e Colloque sur les Sources Coherentes et Incoherentes UV, VUV et X: Applications et Developpements Recents</v>
      </c>
      <c r="B19718" s="8" t="str">
        <f>"9782759809790"</f>
        <v>9782759809790</v>
      </c>
      <c r="C19718" s="8" t="s">
        <v>161</v>
      </c>
    </row>
    <row r="19719" spans="1:3" x14ac:dyDescent="0.25">
      <c r="A19719" s="8" t="str">
        <f>"UWBUSIS 2006 - 2006 3rd International Conference on Ultrawideband and Ultrashort Impulse Signals, Proceedings"</f>
        <v>UWBUSIS 2006 - 2006 3rd International Conference on Ultrawideband and Ultrashort Impulse Signals, Proceedings</v>
      </c>
      <c r="B19719" s="8" t="str">
        <f>"9781424405138"</f>
        <v>9781424405138</v>
      </c>
      <c r="C19719" s="8" t="s">
        <v>9</v>
      </c>
    </row>
    <row r="19720" spans="1:3" x14ac:dyDescent="0.25">
      <c r="A19720" s="8" t="str">
        <f>"UXeLATE 2012 - Proceedings of the 2012 ACM International Workshop on User Experience in e-Learning and Augmented Technologies in Education, Co-located with ACM Multimedia 2012"</f>
        <v>UXeLATE 2012 - Proceedings of the 2012 ACM International Workshop on User Experience in e-Learning and Augmented Technologies in Education, Co-located with ACM Multimedia 2012</v>
      </c>
      <c r="B19720" s="8" t="str">
        <f>"9781450315937"</f>
        <v>9781450315937</v>
      </c>
      <c r="C19720" s="8" t="s">
        <v>21</v>
      </c>
    </row>
    <row r="19721" spans="1:3" x14ac:dyDescent="0.25">
      <c r="A19721" s="8" t="str">
        <f>"UXTV08 - Proceedings of the 1st International Conference on Designing Interactive User Experiences for TV and Video"</f>
        <v>UXTV08 - Proceedings of the 1st International Conference on Designing Interactive User Experiences for TV and Video</v>
      </c>
      <c r="B19721" s="8" t="str">
        <f>"9781605581002"</f>
        <v>9781605581002</v>
      </c>
      <c r="C19721" s="8" t="s">
        <v>21</v>
      </c>
    </row>
    <row r="19722" spans="1:3" x14ac:dyDescent="0.25">
      <c r="A19722" s="8" t="str">
        <f>"V International Conference on Mechanochemistry and Mechanical Alloying, INCOME-2006 - Program and Abstracts"</f>
        <v>V International Conference on Mechanochemistry and Mechanical Alloying, INCOME-2006 - Program and Abstracts</v>
      </c>
      <c r="B19722" s="8" t="str">
        <f>"-"</f>
        <v>-</v>
      </c>
      <c r="C19722" s="8" t="s">
        <v>2368</v>
      </c>
    </row>
    <row r="19723" spans="1:3" x14ac:dyDescent="0.25">
      <c r="A19723" s="8" t="str">
        <f>"V Simposio Brasileiro de Sistemas Colaborativos, SBSC 2008"</f>
        <v>V Simposio Brasileiro de Sistemas Colaborativos, SBSC 2008</v>
      </c>
      <c r="B19723" s="8" t="str">
        <f>"9780769535005"</f>
        <v>9780769535005</v>
      </c>
      <c r="C19723" s="8" t="s">
        <v>9</v>
      </c>
    </row>
    <row r="19724" spans="1:3" x14ac:dyDescent="0.25">
      <c r="A19724" s="8" t="str">
        <f>"VALID 2011 - 3rd International Conference on Advances in System Testing and Validation Lifecycle"</f>
        <v>VALID 2011 - 3rd International Conference on Advances in System Testing and Validation Lifecycle</v>
      </c>
      <c r="B19724" s="8" t="str">
        <f>"9781612081687"</f>
        <v>9781612081687</v>
      </c>
      <c r="C19724" s="8" t="s">
        <v>2316</v>
      </c>
    </row>
    <row r="19725" spans="1:3" x14ac:dyDescent="0.25">
      <c r="A19725" s="8" t="str">
        <f>"VALID 2012 - 4th International Conference on Advances in System Testing and Validation Lifecycle"</f>
        <v>VALID 2012 - 4th International Conference on Advances in System Testing and Validation Lifecycle</v>
      </c>
      <c r="B19725" s="8" t="str">
        <f>"9781612082332"</f>
        <v>9781612082332</v>
      </c>
      <c r="C19725" s="8" t="s">
        <v>2316</v>
      </c>
    </row>
    <row r="19726" spans="1:3" x14ac:dyDescent="0.25">
      <c r="A19726" s="8" t="str">
        <f>"VALID 2014 - 6th International Conference on Advances in System Testing and Validation Lifecycle"</f>
        <v>VALID 2014 - 6th International Conference on Advances in System Testing and Validation Lifecycle</v>
      </c>
      <c r="B19726" s="8" t="str">
        <f>"9781612083704"</f>
        <v>9781612083704</v>
      </c>
      <c r="C19726" s="8" t="s">
        <v>373</v>
      </c>
    </row>
    <row r="19727" spans="1:3" x14ac:dyDescent="0.25">
      <c r="A19727" s="8" t="str">
        <f>"VALUETOOLS 2007 - 2nd International ICST Conference on Performance Evaluation Methodologies and Tools"</f>
        <v>VALUETOOLS 2007 - 2nd International ICST Conference on Performance Evaluation Methodologies and Tools</v>
      </c>
      <c r="B19727" s="8" t="str">
        <f>"9789639799004"</f>
        <v>9789639799004</v>
      </c>
      <c r="C19727" s="8" t="s">
        <v>1504</v>
      </c>
    </row>
    <row r="19728" spans="1:3" x14ac:dyDescent="0.25">
      <c r="A19728" s="8" t="str">
        <f>"VALUETOOLS 2008 - 3rd International Conference on Performance Evaluation Methodologies and Tools"</f>
        <v>VALUETOOLS 2008 - 3rd International Conference on Performance Evaluation Methodologies and Tools</v>
      </c>
      <c r="B19728" s="8" t="str">
        <f>"9789639799318"</f>
        <v>9789639799318</v>
      </c>
      <c r="C19728" s="8" t="s">
        <v>1504</v>
      </c>
    </row>
    <row r="19729" spans="1:3" x14ac:dyDescent="0.25">
      <c r="A19729" s="8" t="str">
        <f>"VALUETOOLS 2009 - 4th International Conference on Performance Evaluation Methodologies and Tools"</f>
        <v>VALUETOOLS 2009 - 4th International Conference on Performance Evaluation Methodologies and Tools</v>
      </c>
      <c r="B19729" s="8" t="str">
        <f>"9789639799707"</f>
        <v>9789639799707</v>
      </c>
      <c r="C19729" s="8" t="s">
        <v>1504</v>
      </c>
    </row>
    <row r="19730" spans="1:3" x14ac:dyDescent="0.25">
      <c r="A19730" s="8" t="str">
        <f>"VALUETOOLS 2011 - 5th International ICST Conference on Performance Evaluation Methodologies and Tools"</f>
        <v>VALUETOOLS 2011 - 5th International ICST Conference on Performance Evaluation Methodologies and Tools</v>
      </c>
      <c r="B19730" s="8" t="str">
        <f>"9781936968091"</f>
        <v>9781936968091</v>
      </c>
      <c r="C19730" s="8" t="s">
        <v>1504</v>
      </c>
    </row>
    <row r="19731" spans="1:3" x14ac:dyDescent="0.25">
      <c r="A19731" s="8" t="str">
        <f>"VALUETOOLS 2013 - 7th International Conference on Performance Evaluation Methodologies and Tools"</f>
        <v>VALUETOOLS 2013 - 7th International Conference on Performance Evaluation Methodologies and Tools</v>
      </c>
      <c r="B19731" s="8" t="str">
        <f>"9781936968480"</f>
        <v>9781936968480</v>
      </c>
      <c r="C19731" s="8" t="s">
        <v>1504</v>
      </c>
    </row>
    <row r="19732" spans="1:3" x14ac:dyDescent="0.25">
      <c r="A19732" s="8" t="str">
        <f>"VANET - Proceedings of the First ACM International Workshop on Vehicular Ad Hoc Networks"</f>
        <v>VANET - Proceedings of the First ACM International Workshop on Vehicular Ad Hoc Networks</v>
      </c>
      <c r="B19732" s="8" t="str">
        <f>"9781581139228"</f>
        <v>9781581139228</v>
      </c>
      <c r="C19732" s="8" t="s">
        <v>21</v>
      </c>
    </row>
    <row r="19733" spans="1:3" x14ac:dyDescent="0.25">
      <c r="A19733" s="8" t="str">
        <f>"VANET - Proceedings of the Second ACM International Workshop on Vehicular Ad Hoc Networks"</f>
        <v>VANET - Proceedings of the Second ACM International Workshop on Vehicular Ad Hoc Networks</v>
      </c>
      <c r="B19733" s="8" t="str">
        <f>"-"</f>
        <v>-</v>
      </c>
      <c r="C19733" s="8" t="s">
        <v>21</v>
      </c>
    </row>
    <row r="19734" spans="1:3" x14ac:dyDescent="0.25">
      <c r="A19734" s="8" t="str">
        <f>"VANET - Proceedings of the Third ACM International Workshop on Vehicular Ad Hoc Networks"</f>
        <v>VANET - Proceedings of the Third ACM International Workshop on Vehicular Ad Hoc Networks</v>
      </c>
      <c r="B19734" s="8" t="str">
        <f>"-"</f>
        <v>-</v>
      </c>
      <c r="C19734" s="8" t="s">
        <v>21</v>
      </c>
    </row>
    <row r="19735" spans="1:3" x14ac:dyDescent="0.25">
      <c r="A19735" s="8" t="str">
        <f>"VANET 2013 - Proceedings of the 10th ACM International Workshop on VehiculAr Inter-NETworking, Systems, and Applications"</f>
        <v>VANET 2013 - Proceedings of the 10th ACM International Workshop on VehiculAr Inter-NETworking, Systems, and Applications</v>
      </c>
      <c r="B19735" s="8" t="str">
        <f>"9781450320733"</f>
        <v>9781450320733</v>
      </c>
      <c r="C19735" s="8" t="s">
        <v>21</v>
      </c>
    </row>
    <row r="19736" spans="1:3" x14ac:dyDescent="0.25">
      <c r="A19736" s="8" t="str">
        <f>"VANET'07: Proceedings of the Fourth ACM International Workshop on Vehicular Ad Hoc Networks"</f>
        <v>VANET'07: Proceedings of the Fourth ACM International Workshop on Vehicular Ad Hoc Networks</v>
      </c>
      <c r="B19736" s="8" t="str">
        <f>"9781595937391"</f>
        <v>9781595937391</v>
      </c>
      <c r="C19736" s="8" t="s">
        <v>21</v>
      </c>
    </row>
    <row r="19737" spans="1:3" x14ac:dyDescent="0.25">
      <c r="A19737" s="8" t="str">
        <f>"VANET'08 - Proceedings of the 5th ACM International Workshop on VehiculAr Inter-NETworking"</f>
        <v>VANET'08 - Proceedings of the 5th ACM International Workshop on VehiculAr Inter-NETworking</v>
      </c>
      <c r="B19737" s="8" t="str">
        <f>"9781605581910"</f>
        <v>9781605581910</v>
      </c>
      <c r="C19737" s="8" t="s">
        <v>21</v>
      </c>
    </row>
    <row r="19738" spans="1:3" x14ac:dyDescent="0.25">
      <c r="A19738" s="8" t="str">
        <f>"VANET'09 - Proceedings of the 6th ACM International Workshop on VehiculAr Inter-NETworking"</f>
        <v>VANET'09 - Proceedings of the 6th ACM International Workshop on VehiculAr Inter-NETworking</v>
      </c>
      <c r="B19738" s="8" t="str">
        <f>"9781605587370"</f>
        <v>9781605587370</v>
      </c>
      <c r="C19738" s="8" t="s">
        <v>21</v>
      </c>
    </row>
    <row r="19739" spans="1:3" x14ac:dyDescent="0.25">
      <c r="A19739" s="8" t="str">
        <f>"VANET'12 - Proceedings of the 9th ACM International Workshop on VehiculAr Inter-NETworking, Systems, and Applications"</f>
        <v>VANET'12 - Proceedings of the 9th ACM International Workshop on VehiculAr Inter-NETworking, Systems, and Applications</v>
      </c>
      <c r="B19739" s="8" t="str">
        <f>"9781450313179"</f>
        <v>9781450313179</v>
      </c>
      <c r="C19739" s="8" t="s">
        <v>21</v>
      </c>
    </row>
    <row r="19740" spans="1:3" x14ac:dyDescent="0.25">
      <c r="A19740" s="8" t="str">
        <f>"VariComp 2013 - Proceedings of the 4th International Workshop on Variability and Composition"</f>
        <v>VariComp 2013 - Proceedings of the 4th International Workshop on Variability and Composition</v>
      </c>
      <c r="B19740" s="8" t="str">
        <f>"9781450318679"</f>
        <v>9781450318679</v>
      </c>
      <c r="C19740" s="8" t="s">
        <v>21</v>
      </c>
    </row>
    <row r="19741" spans="1:3" x14ac:dyDescent="0.25">
      <c r="A19741" s="8" t="str">
        <f>"VariComp'12 - Proceedings of the 3rd International Workshop on Variability and Composition"</f>
        <v>VariComp'12 - Proceedings of the 3rd International Workshop on Variability and Composition</v>
      </c>
      <c r="B19741" s="8" t="str">
        <f>"9781450311014"</f>
        <v>9781450311014</v>
      </c>
      <c r="C19741" s="8" t="s">
        <v>21</v>
      </c>
    </row>
    <row r="19742" spans="1:3" x14ac:dyDescent="0.25">
      <c r="A19742" s="8" t="str">
        <f>"VAST 09 - IEEE Symposium on Visual Analytics Science and Technology, Proceedings"</f>
        <v>VAST 09 - IEEE Symposium on Visual Analytics Science and Technology, Proceedings</v>
      </c>
      <c r="B19742" s="8" t="str">
        <f>"9781424452835"</f>
        <v>9781424452835</v>
      </c>
      <c r="C19742" s="8" t="s">
        <v>9</v>
      </c>
    </row>
    <row r="19743" spans="1:3" x14ac:dyDescent="0.25">
      <c r="A19743" s="8" t="str">
        <f>"VAST 10 - IEEE Conference on Visual Analytics Science and Technology 2010, Proceedings"</f>
        <v>VAST 10 - IEEE Conference on Visual Analytics Science and Technology 2010, Proceedings</v>
      </c>
      <c r="B19743" s="8" t="str">
        <f>"9781424494866"</f>
        <v>9781424494866</v>
      </c>
      <c r="C19743" s="8" t="s">
        <v>9</v>
      </c>
    </row>
    <row r="19744" spans="1:3" x14ac:dyDescent="0.25">
      <c r="A19744" s="8" t="str">
        <f>"VAST 2011 - IEEE Conference on Visual Analytics Science and Technology 2011, Proceedings"</f>
        <v>VAST 2011 - IEEE Conference on Visual Analytics Science and Technology 2011, Proceedings</v>
      </c>
      <c r="B19744" s="8" t="str">
        <f>"9781467300131"</f>
        <v>9781467300131</v>
      </c>
      <c r="C19744" s="8" t="s">
        <v>9</v>
      </c>
    </row>
    <row r="19745" spans="1:3" x14ac:dyDescent="0.25">
      <c r="A19745" s="8" t="str">
        <f>"VAST IEEE Symposium on Visual Analytics Science and Technology 2007, Proceedings"</f>
        <v>VAST IEEE Symposium on Visual Analytics Science and Technology 2007, Proceedings</v>
      </c>
      <c r="B19745" s="8" t="str">
        <f>"9781424416592"</f>
        <v>9781424416592</v>
      </c>
      <c r="C19745" s="8" t="s">
        <v>9</v>
      </c>
    </row>
    <row r="19746" spans="1:3" x14ac:dyDescent="0.25">
      <c r="A19746" s="8" t="str">
        <f>"VAST'08 - IEEE Symposium on Visual Analytics Science and Technology, Proceedings"</f>
        <v>VAST'08 - IEEE Symposium on Visual Analytics Science and Technology, Proceedings</v>
      </c>
      <c r="B19746" s="8" t="str">
        <f>"9781424429356"</f>
        <v>9781424429356</v>
      </c>
      <c r="C19746" s="8" t="s">
        <v>9</v>
      </c>
    </row>
    <row r="19747" spans="1:3" x14ac:dyDescent="0.25">
      <c r="A19747" s="8" t="str">
        <f>"VECIMS 2003 - 2003 International Symposium on Virtual Environments, Human-Computer Interfaces and Measurement Systems"</f>
        <v>VECIMS 2003 - 2003 International Symposium on Virtual Environments, Human-Computer Interfaces and Measurement Systems</v>
      </c>
      <c r="B19747" s="8" t="str">
        <f>"9780780377851"</f>
        <v>9780780377851</v>
      </c>
      <c r="C19747" s="8" t="s">
        <v>105</v>
      </c>
    </row>
    <row r="19748" spans="1:3" x14ac:dyDescent="0.25">
      <c r="A19748" s="8" t="str">
        <f>"VECIMS 2005 - IEEE International Conference onVirtual Environments, Human-Computer Interfaces, and Measurement Systems"</f>
        <v>VECIMS 2005 - IEEE International Conference onVirtual Environments, Human-Computer Interfaces, and Measurement Systems</v>
      </c>
      <c r="B19748" s="8" t="str">
        <f>"-"</f>
        <v>-</v>
      </c>
      <c r="C19748" s="8" t="s">
        <v>9</v>
      </c>
    </row>
    <row r="19749" spans="1:3" x14ac:dyDescent="0.25">
      <c r="A19749" s="8" t="str">
        <f>"VECIMS 2008 - IEEE Conference on Virtual Environments, Human-Computer Interfaces and Measurement Systems Proceedings"</f>
        <v>VECIMS 2008 - IEEE Conference on Virtual Environments, Human-Computer Interfaces and Measurement Systems Proceedings</v>
      </c>
      <c r="B19749" s="8" t="str">
        <f>"9781424419289"</f>
        <v>9781424419289</v>
      </c>
      <c r="C19749" s="8" t="s">
        <v>9</v>
      </c>
    </row>
    <row r="19750" spans="1:3" x14ac:dyDescent="0.25">
      <c r="A19750" s="8" t="str">
        <f>"VECIMS 2010 - 2010 IEEE International Conference on Virtual Environments, Human-Computer Interfaces and Measurement Systems, Proceedings"</f>
        <v>VECIMS 2010 - 2010 IEEE International Conference on Virtual Environments, Human-Computer Interfaces and Measurement Systems, Proceedings</v>
      </c>
      <c r="B19750" s="8" t="str">
        <f>"9781424459063"</f>
        <v>9781424459063</v>
      </c>
      <c r="C19750" s="8" t="s">
        <v>9</v>
      </c>
    </row>
    <row r="19751" spans="1:3" x14ac:dyDescent="0.25">
      <c r="A19751" s="8" t="str">
        <f>"VECIMS 2011 - 2011 IEEE International Conference on Virtual Environments, Human-Computer Interfaces and Measurement Systems, Proceedings"</f>
        <v>VECIMS 2011 - 2011 IEEE International Conference on Virtual Environments, Human-Computer Interfaces and Measurement Systems, Proceedings</v>
      </c>
      <c r="B19751" s="8" t="str">
        <f>"9781612848891"</f>
        <v>9781612848891</v>
      </c>
      <c r="C19751" s="8" t="s">
        <v>9</v>
      </c>
    </row>
    <row r="19752" spans="1:3" x14ac:dyDescent="0.25">
      <c r="A19752" s="8" t="str">
        <f>"VEE 2006 - Proceedings of the Second International Conference on Virtual Execution Environments"</f>
        <v>VEE 2006 - Proceedings of the Second International Conference on Virtual Execution Environments</v>
      </c>
      <c r="B19752" s="8" t="str">
        <f>"-"</f>
        <v>-</v>
      </c>
      <c r="C19752" s="8" t="s">
        <v>21</v>
      </c>
    </row>
    <row r="19753" spans="1:3" x14ac:dyDescent="0.25">
      <c r="A19753" s="8" t="str">
        <f>"VEE 2010 - Proceedings of the 2010 ACM SIGPLAN/SIGOPS International Conference on Virtual Execution Environments"</f>
        <v>VEE 2010 - Proceedings of the 2010 ACM SIGPLAN/SIGOPS International Conference on Virtual Execution Environments</v>
      </c>
      <c r="B19753" s="8" t="str">
        <f>"9781605589107"</f>
        <v>9781605589107</v>
      </c>
      <c r="C19753" s="8" t="s">
        <v>21</v>
      </c>
    </row>
    <row r="19754" spans="1:3" x14ac:dyDescent="0.25">
      <c r="A19754" s="8" t="str">
        <f>"VEE 2013 - Proceedings of the ACM SIGPLAN/SIGOPS International Conference on Virtual Execution Environments"</f>
        <v>VEE 2013 - Proceedings of the ACM SIGPLAN/SIGOPS International Conference on Virtual Execution Environments</v>
      </c>
      <c r="B19754" s="8" t="str">
        <f>"9781450312660"</f>
        <v>9781450312660</v>
      </c>
      <c r="C19754" s="8" t="s">
        <v>21</v>
      </c>
    </row>
    <row r="19755" spans="1:3" x14ac:dyDescent="0.25">
      <c r="A19755" s="8" t="str">
        <f>"VEE 2014 - Proceedings of the 10th ACM SIGPLAN/SIGOPS International Conference on Virtual Execution Environments"</f>
        <v>VEE 2014 - Proceedings of the 10th ACM SIGPLAN/SIGOPS International Conference on Virtual Execution Environments</v>
      </c>
      <c r="B19755" s="8" t="str">
        <f>"9781450327640"</f>
        <v>9781450327640</v>
      </c>
      <c r="C19755" s="8" t="s">
        <v>21</v>
      </c>
    </row>
    <row r="19756" spans="1:3" x14ac:dyDescent="0.25">
      <c r="A19756" s="8" t="str">
        <f>"VEE'07: Proceedings of the 3rd International Conference on Virtual Execution Environments"</f>
        <v>VEE'07: Proceedings of the 3rd International Conference on Virtual Execution Environments</v>
      </c>
      <c r="B19756" s="8" t="str">
        <f>"9781595936301"</f>
        <v>9781595936301</v>
      </c>
      <c r="C19756" s="8" t="s">
        <v>21</v>
      </c>
    </row>
    <row r="19757" spans="1:3" x14ac:dyDescent="0.25">
      <c r="A19757" s="8" t="str">
        <f>"VEE'08 - Proceedings of the 4th International Conference on Virtual Execution Environments"</f>
        <v>VEE'08 - Proceedings of the 4th International Conference on Virtual Execution Environments</v>
      </c>
      <c r="B19757" s="8" t="str">
        <f>"9781595937964"</f>
        <v>9781595937964</v>
      </c>
      <c r="C19757" s="8" t="s">
        <v>21</v>
      </c>
    </row>
    <row r="19758" spans="1:3" x14ac:dyDescent="0.25">
      <c r="A19758" s="8" t="str">
        <f>"VEE'12 - Proceedings of the ACM SIGPLAN/SIGOPS International Conference on Virtual Execution Environments"</f>
        <v>VEE'12 - Proceedings of the ACM SIGPLAN/SIGOPS International Conference on Virtual Execution Environments</v>
      </c>
      <c r="B19758" s="8" t="str">
        <f>"9781450311755"</f>
        <v>9781450311755</v>
      </c>
      <c r="C19758" s="8" t="s">
        <v>21</v>
      </c>
    </row>
    <row r="19759" spans="1:3" x14ac:dyDescent="0.25">
      <c r="A19759" s="8" t="str">
        <f>"Vehicle Thermal Management Systems Conference and Exhibition"</f>
        <v>Vehicle Thermal Management Systems Conference and Exhibition</v>
      </c>
      <c r="B19759" s="8" t="str">
        <f>"-"</f>
        <v>-</v>
      </c>
      <c r="C19759" s="8" t="s">
        <v>1040</v>
      </c>
    </row>
    <row r="19760" spans="1:3" x14ac:dyDescent="0.25">
      <c r="A19760" s="8" t="str">
        <f>"Vehicle Thermal Management Systems, VTMS 6"</f>
        <v>Vehicle Thermal Management Systems, VTMS 6</v>
      </c>
      <c r="B19760" s="8" t="str">
        <f>"9781860584183"</f>
        <v>9781860584183</v>
      </c>
      <c r="C19760" s="8" t="s">
        <v>1645</v>
      </c>
    </row>
    <row r="19761" spans="1:3" x14ac:dyDescent="0.25">
      <c r="A19761" s="8" t="str">
        <f>"VEHITS 2015 - Proceedings of the 1st International Conference on Vehicle Technology and Intelligent Transport Systems"</f>
        <v>VEHITS 2015 - Proceedings of the 1st International Conference on Vehicle Technology and Intelligent Transport Systems</v>
      </c>
      <c r="B19761" s="8" t="str">
        <f>"9789897581090"</f>
        <v>9789897581090</v>
      </c>
      <c r="C19761" s="8" t="s">
        <v>1197</v>
      </c>
    </row>
    <row r="19762" spans="1:3" x14ac:dyDescent="0.25">
      <c r="A19762" s="8" t="str">
        <f>"VHCF-4 - 4th International Conference on Very High Cycle Fatigue"</f>
        <v>VHCF-4 - 4th International Conference on Very High Cycle Fatigue</v>
      </c>
      <c r="B19762" s="8" t="str">
        <f>"9780873397049"</f>
        <v>9780873397049</v>
      </c>
      <c r="C19762" s="8" t="s">
        <v>648</v>
      </c>
    </row>
    <row r="19763" spans="1:3" x14ac:dyDescent="0.25">
      <c r="A19763" s="8" t="str">
        <f>"VI Jornadas Iberoamericanas de Ingenieria de Software e Ingenieria del Conocimiento 2007, JIISIC 2007"</f>
        <v>VI Jornadas Iberoamericanas de Ingenieria de Software e Ingenieria del Conocimiento 2007, JIISIC 2007</v>
      </c>
      <c r="B19763" s="8" t="str">
        <f>"9781627481533"</f>
        <v>9781627481533</v>
      </c>
      <c r="C19763" s="8" t="s">
        <v>2369</v>
      </c>
    </row>
    <row r="19764" spans="1:3" x14ac:dyDescent="0.25">
      <c r="A19764" s="8" t="str">
        <f>"VIBROENGINEERING 2008 - Proceedings of 7th International Conference"</f>
        <v>VIBROENGINEERING 2008 - Proceedings of 7th International Conference</v>
      </c>
      <c r="B19764" s="8" t="str">
        <f>"-"</f>
        <v>-</v>
      </c>
      <c r="C19764" s="8" t="s">
        <v>1140</v>
      </c>
    </row>
    <row r="19765" spans="1:3" x14ac:dyDescent="0.25">
      <c r="A19765" s="8" t="str">
        <f>"Vibroseis Workshop 2008: Vibroseis Acquisition and Processing a Half-Century Later: New Developments in Data Quality and Productivity"</f>
        <v>Vibroseis Workshop 2008: Vibroseis Acquisition and Processing a Half-Century Later: New Developments in Data Quality and Productivity</v>
      </c>
      <c r="B19765" s="8" t="str">
        <f>"-"</f>
        <v>-</v>
      </c>
      <c r="C19765" s="8" t="s">
        <v>1251</v>
      </c>
    </row>
    <row r="19766" spans="1:3" x14ac:dyDescent="0.25">
      <c r="A19766" s="8" t="str">
        <f>"VideoNEXT 2014 - Proceedings of the 2014 Workshop on Design, Quality and Deployment of Adaptive Video Streaming"</f>
        <v>VideoNEXT 2014 - Proceedings of the 2014 Workshop on Design, Quality and Deployment of Adaptive Video Streaming</v>
      </c>
      <c r="B19766" s="8" t="str">
        <f>"9781450332811"</f>
        <v>9781450332811</v>
      </c>
      <c r="C19766" s="8" t="s">
        <v>1235</v>
      </c>
    </row>
    <row r="19767" spans="1:3" x14ac:dyDescent="0.25">
      <c r="A19767" s="8" t="str">
        <f>"VIMS 2001 - 2001 IEEE International Workshop on Virtual and Intelligent Measurement Systems: Integrating Heterogeneous Components into Composite Systems for Quantitative Intelligent Virtual Reality"</f>
        <v>VIMS 2001 - 2001 IEEE International Workshop on Virtual and Intelligent Measurement Systems: Integrating Heterogeneous Components into Composite Systems for Quantitative Intelligent Virtual Reality</v>
      </c>
      <c r="B19767" s="8" t="str">
        <f>"9780780365681"</f>
        <v>9780780365681</v>
      </c>
      <c r="C19767" s="8" t="s">
        <v>105</v>
      </c>
    </row>
    <row r="19768" spans="1:3" x14ac:dyDescent="0.25">
      <c r="A19768" s="8" t="str">
        <f>"VIMS 2002 - 2002 IEEE International Symposium on Virtual and Intelligent Measurement Systems: Distributed Intelligent Sensing for Advanced Integrated Virtual Environments"</f>
        <v>VIMS 2002 - 2002 IEEE International Symposium on Virtual and Intelligent Measurement Systems: Distributed Intelligent Sensing for Advanced Integrated Virtual Environments</v>
      </c>
      <c r="B19768" s="8" t="str">
        <f>"9780780373440"</f>
        <v>9780780373440</v>
      </c>
      <c r="C19768" s="8" t="s">
        <v>105</v>
      </c>
    </row>
    <row r="19769" spans="1:3" x14ac:dyDescent="0.25">
      <c r="A19769" s="8" t="str">
        <f>"VINCI 2010: 3rd Visual Information Communication - International Symposium"</f>
        <v>VINCI 2010: 3rd Visual Information Communication - International Symposium</v>
      </c>
      <c r="B19769" s="8" t="str">
        <f>"9781450304368"</f>
        <v>9781450304368</v>
      </c>
      <c r="C19769" s="8" t="s">
        <v>21</v>
      </c>
    </row>
    <row r="19770" spans="1:3" x14ac:dyDescent="0.25">
      <c r="A19770" s="8" t="str">
        <f>"Vinyltec 2004"</f>
        <v>Vinyltec 2004</v>
      </c>
      <c r="B19770" s="8" t="str">
        <f>"-"</f>
        <v>-</v>
      </c>
      <c r="C19770" s="8" t="s">
        <v>132</v>
      </c>
    </row>
    <row r="19771" spans="1:3" x14ac:dyDescent="0.25">
      <c r="A19771" s="8" t="str">
        <f>"VINYLTEC Conference 2009: Sustainable PVC Fundamentals"</f>
        <v>VINYLTEC Conference 2009: Sustainable PVC Fundamentals</v>
      </c>
      <c r="B19771" s="8" t="str">
        <f>"-"</f>
        <v>-</v>
      </c>
      <c r="C19771" s="8" t="s">
        <v>132</v>
      </c>
    </row>
    <row r="19772" spans="1:3" x14ac:dyDescent="0.25">
      <c r="A19772" s="8" t="str">
        <f>"Virtual Modelling and Rapid Manufacturing - Advanced Research in Virtual and Rapid Prototyping"</f>
        <v>Virtual Modelling and Rapid Manufacturing - Advanced Research in Virtual and Rapid Prototyping</v>
      </c>
      <c r="B19772" s="8" t="str">
        <f>"9780415390620"</f>
        <v>9780415390620</v>
      </c>
      <c r="C19772" s="8" t="s">
        <v>1520</v>
      </c>
    </row>
    <row r="19773" spans="1:3" x14ac:dyDescent="0.25">
      <c r="A19773" s="8" t="str">
        <f>"Virtual Modelling and Rapid Manufacturing - Advanced Research in Virtual and Rapid Prototyping"</f>
        <v>Virtual Modelling and Rapid Manufacturing - Advanced Research in Virtual and Rapid Prototyping</v>
      </c>
      <c r="B19773" s="8" t="str">
        <f>"-"</f>
        <v>-</v>
      </c>
      <c r="C19773" s="8" t="s">
        <v>2370</v>
      </c>
    </row>
    <row r="19774" spans="1:3" x14ac:dyDescent="0.25">
      <c r="A19774" s="8" t="str">
        <f>"Virtuelle Organisation und Neue Medien 2005 - Workshop GeNeMe 2005, Gemeinschaften in Neuen Medien"</f>
        <v>Virtuelle Organisation und Neue Medien 2005 - Workshop GeNeMe 2005, Gemeinschaften in Neuen Medien</v>
      </c>
      <c r="B19774" s="8" t="str">
        <f>"-"</f>
        <v>-</v>
      </c>
      <c r="C19774" s="8" t="s">
        <v>1856</v>
      </c>
    </row>
    <row r="19775" spans="1:3" x14ac:dyDescent="0.25">
      <c r="A19775" s="8" t="str">
        <f>"VISAPP 2006 - Proceedings of the 1st International Conference on Computer Vision Theory and Applications"</f>
        <v>VISAPP 2006 - Proceedings of the 1st International Conference on Computer Vision Theory and Applications</v>
      </c>
      <c r="B19775" s="8" t="str">
        <f>"9789728865405"</f>
        <v>9789728865405</v>
      </c>
      <c r="C19775" s="8" t="s">
        <v>1553</v>
      </c>
    </row>
    <row r="19776" spans="1:3" x14ac:dyDescent="0.25">
      <c r="A19776" s="8" t="str">
        <f>"VISAPP 2007 - 2nd International Conference on Computer Vision Theory and Applications, Proceedings"</f>
        <v>VISAPP 2007 - 2nd International Conference on Computer Vision Theory and Applications, Proceedings</v>
      </c>
      <c r="B19776" s="8" t="str">
        <f>"-"</f>
        <v>-</v>
      </c>
      <c r="C19776" s="8" t="s">
        <v>1680</v>
      </c>
    </row>
    <row r="19777" spans="1:3" x14ac:dyDescent="0.25">
      <c r="A19777" s="8" t="str">
        <f>"VISAPP 2008 - 3rd International Conference on Computer Vision Theory and Applications, Proceedings"</f>
        <v>VISAPP 2008 - 3rd International Conference on Computer Vision Theory and Applications, Proceedings</v>
      </c>
      <c r="B19777" s="8" t="str">
        <f>"9789898111210"</f>
        <v>9789898111210</v>
      </c>
      <c r="C19777" s="8" t="s">
        <v>1553</v>
      </c>
    </row>
    <row r="19778" spans="1:3" x14ac:dyDescent="0.25">
      <c r="A19778" s="8" t="str">
        <f>"VISAPP 2009 - Proceedings of the 4th International Conference on Computer Vision Theory and Applications"</f>
        <v>VISAPP 2009 - Proceedings of the 4th International Conference on Computer Vision Theory and Applications</v>
      </c>
      <c r="B19778" s="8" t="str">
        <f>"9789898111692"</f>
        <v>9789898111692</v>
      </c>
      <c r="C19778" s="8" t="s">
        <v>1525</v>
      </c>
    </row>
    <row r="19779" spans="1:3" x14ac:dyDescent="0.25">
      <c r="A19779" s="8" t="str">
        <f>"VISAPP 2010 - Proceedings of the International Conference on Computer Vision Theory and Applications"</f>
        <v>VISAPP 2010 - Proceedings of the International Conference on Computer Vision Theory and Applications</v>
      </c>
      <c r="B19779" s="8" t="str">
        <f>"9789896740283"</f>
        <v>9789896740283</v>
      </c>
      <c r="C19779" s="8" t="s">
        <v>1266</v>
      </c>
    </row>
    <row r="19780" spans="1:3" x14ac:dyDescent="0.25">
      <c r="A19780" s="8" t="str">
        <f>"VISAPP 2011 - Proceedings of the International Conference on Computer Vision Theory and Application"</f>
        <v>VISAPP 2011 - Proceedings of the International Conference on Computer Vision Theory and Application</v>
      </c>
      <c r="B19780" s="8" t="str">
        <f>"9789898425478"</f>
        <v>9789898425478</v>
      </c>
      <c r="C19780" s="8" t="s">
        <v>1553</v>
      </c>
    </row>
    <row r="19781" spans="1:3" x14ac:dyDescent="0.25">
      <c r="A19781" s="8" t="str">
        <f>"VISAPP 2012 - Proceedings of the International Conference on Computer Vision Theory and Applications"</f>
        <v>VISAPP 2012 - Proceedings of the International Conference on Computer Vision Theory and Applications</v>
      </c>
      <c r="B19781" s="8" t="str">
        <f>"-"</f>
        <v>-</v>
      </c>
      <c r="C19781" s="8" t="s">
        <v>1553</v>
      </c>
    </row>
    <row r="19782" spans="1:3" x14ac:dyDescent="0.25">
      <c r="A19782" s="8" t="str">
        <f>"VISAPP 2013 - Proceedings of the International Conference on Computer Vision Theory and Applications"</f>
        <v>VISAPP 2013 - Proceedings of the International Conference on Computer Vision Theory and Applications</v>
      </c>
      <c r="B19782" s="8" t="str">
        <f>"9789898565471"</f>
        <v>9789898565471</v>
      </c>
      <c r="C19782" s="8" t="s">
        <v>1680</v>
      </c>
    </row>
    <row r="19783" spans="1:3" x14ac:dyDescent="0.25">
      <c r="A19783" s="8" t="str">
        <f>"VISAPP 2015 - 10th International Conference on Computer Vision Theory and Applications; VISIGRAPP, Proceedings"</f>
        <v>VISAPP 2015 - 10th International Conference on Computer Vision Theory and Applications; VISIGRAPP, Proceedings</v>
      </c>
      <c r="B19783" s="8" t="str">
        <f>"-"</f>
        <v>-</v>
      </c>
      <c r="C19783" s="8" t="s">
        <v>1197</v>
      </c>
    </row>
    <row r="19784" spans="1:3" x14ac:dyDescent="0.25">
      <c r="A19784" s="8" t="str">
        <f>"Viscosity and Rheology of In-Service Fluids as They Pertain to Condition Monitoring"</f>
        <v>Viscosity and Rheology of In-Service Fluids as They Pertain to Condition Monitoring</v>
      </c>
      <c r="B19784" s="8" t="str">
        <f>"9780803175501"</f>
        <v>9780803175501</v>
      </c>
      <c r="C19784" s="8" t="s">
        <v>75</v>
      </c>
    </row>
    <row r="19785" spans="1:3" x14ac:dyDescent="0.25">
      <c r="A19785" s="8" t="str">
        <f>"VISSOFT 2007 - Proceedings of the 4th IEEE International Workshop on Visualizing Software for Understanding and Analysis"</f>
        <v>VISSOFT 2007 - Proceedings of the 4th IEEE International Workshop on Visualizing Software for Understanding and Analysis</v>
      </c>
      <c r="B19785" s="8" t="str">
        <f>"9781424406005"</f>
        <v>9781424406005</v>
      </c>
      <c r="C19785" s="8" t="s">
        <v>9</v>
      </c>
    </row>
    <row r="19786" spans="1:3" x14ac:dyDescent="0.25">
      <c r="A19786" s="8" t="str">
        <f>"VizSEC 2007 - Proceedings of the Workshop on Visualization for Computer Security"</f>
        <v>VizSEC 2007 - Proceedings of the Workshop on Visualization for Computer Security</v>
      </c>
      <c r="B19786" s="8" t="str">
        <f>"9783540782421"</f>
        <v>9783540782421</v>
      </c>
      <c r="C19786" s="8" t="s">
        <v>162</v>
      </c>
    </row>
    <row r="19787" spans="1:3" x14ac:dyDescent="0.25">
      <c r="A19787" s="8" t="str">
        <f>"VizSEC/DMSEC '04: Proceedings of the 2004 ACM Workshop on Visualization and Data Mining for Computer Security"</f>
        <v>VizSEC/DMSEC '04: Proceedings of the 2004 ACM Workshop on Visualization and Data Mining for Computer Security</v>
      </c>
      <c r="B19787" s="8" t="str">
        <f>"9781581139747"</f>
        <v>9781581139747</v>
      </c>
      <c r="C19787" s="8" t="s">
        <v>21</v>
      </c>
    </row>
    <row r="19788" spans="1:3" x14ac:dyDescent="0.25">
      <c r="A19788" s="8" t="str">
        <f>"VLCS 2014 - Proceedings of the 1st ACM MobiCom Workshop on Visible Light Communication Systems"</f>
        <v>VLCS 2014 - Proceedings of the 1st ACM MobiCom Workshop on Visible Light Communication Systems</v>
      </c>
      <c r="B19788" s="8" t="str">
        <f>"9781450330671"</f>
        <v>9781450330671</v>
      </c>
      <c r="C19788" s="8" t="s">
        <v>1235</v>
      </c>
    </row>
    <row r="19789" spans="1:3" x14ac:dyDescent="0.25">
      <c r="A19789" s="8" t="str">
        <f>"VLDB 2001 - Proceedings of 27th International Conference on Very Large Data Bases"</f>
        <v>VLDB 2001 - Proceedings of 27th International Conference on Very Large Data Bases</v>
      </c>
      <c r="B19789" s="8" t="str">
        <f>"9781558608047"</f>
        <v>9781558608047</v>
      </c>
      <c r="C19789" s="8" t="s">
        <v>2192</v>
      </c>
    </row>
    <row r="19790" spans="1:3" x14ac:dyDescent="0.25">
      <c r="A19790" s="8" t="str">
        <f>"VLDB 2005 - Proceedings of 31st International Conference on Very Large Data Bases"</f>
        <v>VLDB 2005 - Proceedings of 31st International Conference on Very Large Data Bases</v>
      </c>
      <c r="B19790" s="8" t="str">
        <f>"9781595931542"</f>
        <v>9781595931542</v>
      </c>
      <c r="C19790" s="8" t="s">
        <v>21</v>
      </c>
    </row>
    <row r="19791" spans="1:3" x14ac:dyDescent="0.25">
      <c r="A19791" s="8" t="str">
        <f>"VLDB 2006 - Proceedings of the 32nd International Conference on Very Large Data Bases"</f>
        <v>VLDB 2006 - Proceedings of the 32nd International Conference on Very Large Data Bases</v>
      </c>
      <c r="B19791" s="8" t="str">
        <f>"9781595933850"</f>
        <v>9781595933850</v>
      </c>
      <c r="C19791" s="8" t="s">
        <v>21</v>
      </c>
    </row>
    <row r="19792" spans="1:3" x14ac:dyDescent="0.25">
      <c r="A19792" s="8" t="str">
        <f>"VLS-MCMR'10 - Proceedings of the 2010 ACM International Workshop on Very-Large-Scale Multimedia Corpus, Mining and Retrieval, Co-located with ACM Multimedia 2010"</f>
        <v>VLS-MCMR'10 - Proceedings of the 2010 ACM International Workshop on Very-Large-Scale Multimedia Corpus, Mining and Retrieval, Co-located with ACM Multimedia 2010</v>
      </c>
      <c r="B19792" s="8" t="str">
        <f>"9781450301664"</f>
        <v>9781450301664</v>
      </c>
      <c r="C19792" s="8" t="s">
        <v>21</v>
      </c>
    </row>
    <row r="19793" spans="1:3" x14ac:dyDescent="0.25">
      <c r="A19793" s="8" t="str">
        <f>"VMIL 2013 - Proceedings of the 7th ACM Workshop on Virtual Machines and Intermediate Languages"</f>
        <v>VMIL 2013 - Proceedings of the 7th ACM Workshop on Virtual Machines and Intermediate Languages</v>
      </c>
      <c r="B19793" s="8" t="str">
        <f>"9781450326018"</f>
        <v>9781450326018</v>
      </c>
      <c r="C19793" s="8" t="s">
        <v>21</v>
      </c>
    </row>
    <row r="19794" spans="1:3" x14ac:dyDescent="0.25">
      <c r="A19794" s="8" t="str">
        <f>"VMV 2009 - Proceedings of the Vision, Modeling, and Visualization Workshop 2009"</f>
        <v>VMV 2009 - Proceedings of the Vision, Modeling, and Visualization Workshop 2009</v>
      </c>
      <c r="B19794" s="8" t="str">
        <f>"9783980487481"</f>
        <v>9783980487481</v>
      </c>
      <c r="C19794" s="8" t="s">
        <v>1984</v>
      </c>
    </row>
    <row r="19795" spans="1:3" x14ac:dyDescent="0.25">
      <c r="A19795" s="8" t="str">
        <f>"VMV 2010 - Vision, Modeling and Visualization"</f>
        <v>VMV 2010 - Vision, Modeling and Visualization</v>
      </c>
      <c r="B19795" s="8" t="str">
        <f>"9783905673791"</f>
        <v>9783905673791</v>
      </c>
      <c r="C19795" s="8" t="s">
        <v>23</v>
      </c>
    </row>
    <row r="19796" spans="1:3" x14ac:dyDescent="0.25">
      <c r="A19796" s="8" t="str">
        <f>"VMV 2011 - Vision, Modeling and Visualization"</f>
        <v>VMV 2011 - Vision, Modeling and Visualization</v>
      </c>
      <c r="B19796" s="8" t="str">
        <f>"9783905673852"</f>
        <v>9783905673852</v>
      </c>
      <c r="C19796" s="8" t="s">
        <v>23</v>
      </c>
    </row>
    <row r="19797" spans="1:3" x14ac:dyDescent="0.25">
      <c r="A19797" s="8" t="str">
        <f>"VMV 2012 - Vision, Modeling and Visualization"</f>
        <v>VMV 2012 - Vision, Modeling and Visualization</v>
      </c>
      <c r="B19797" s="8" t="str">
        <f>"9783905673951"</f>
        <v>9783905673951</v>
      </c>
      <c r="C19797" s="8" t="s">
        <v>23</v>
      </c>
    </row>
    <row r="19798" spans="1:3" x14ac:dyDescent="0.25">
      <c r="A19798" s="8" t="str">
        <f>"Volcanic Rock Mechanics: Rock Mechanics and Geo-Engineering in Volcanic Environments - Papers from the 3rd International Workshop"</f>
        <v>Volcanic Rock Mechanics: Rock Mechanics and Geo-Engineering in Volcanic Environments - Papers from the 3rd International Workshop</v>
      </c>
      <c r="B19798" s="8" t="str">
        <f>"9780415584784"</f>
        <v>9780415584784</v>
      </c>
      <c r="C19798" s="8" t="s">
        <v>1637</v>
      </c>
    </row>
    <row r="19799" spans="1:3" x14ac:dyDescent="0.25">
      <c r="A19799" s="8" t="str">
        <f>"Volcanic Rocks - Proceedings of the International Workshop on Volcanic Rocks, Workshop W2 - 11th Congress ISRM"</f>
        <v>Volcanic Rocks - Proceedings of the International Workshop on Volcanic Rocks, Workshop W2 - 11th Congress ISRM</v>
      </c>
      <c r="B19799" s="8" t="str">
        <f>"9780415451406"</f>
        <v>9780415451406</v>
      </c>
      <c r="C19799" s="8" t="s">
        <v>1619</v>
      </c>
    </row>
    <row r="19800" spans="1:3" x14ac:dyDescent="0.25">
      <c r="A19800" s="8" t="str">
        <f>"Volcanic Rocks and Soils - Proceedings of the International Workshop on Volcanic Rocks and Soils, 2016"</f>
        <v>Volcanic Rocks and Soils - Proceedings of the International Workshop on Volcanic Rocks and Soils, 2016</v>
      </c>
      <c r="B19800" s="8" t="str">
        <f>"9781138028869"</f>
        <v>9781138028869</v>
      </c>
      <c r="C19800" s="8" t="s">
        <v>1635</v>
      </c>
    </row>
    <row r="19801" spans="1:3" x14ac:dyDescent="0.25">
      <c r="A19801" s="8" t="str">
        <f>"Volume Graphics 2003, Third Intenational Workshop on Volume Graphics"</f>
        <v>Volume Graphics 2003, Third Intenational Workshop on Volume Graphics</v>
      </c>
      <c r="B19801" s="8" t="str">
        <f>"9781581137453"</f>
        <v>9781581137453</v>
      </c>
      <c r="C19801" s="8" t="s">
        <v>21</v>
      </c>
    </row>
    <row r="19802" spans="1:3" x14ac:dyDescent="0.25">
      <c r="A19802" s="8" t="str">
        <f>"Volume Graphics 2005 Eurographics/IEEE VGTC Workshop Proceedings - Fourth International Workshop on Volume Graphics"</f>
        <v>Volume Graphics 2005 Eurographics/IEEE VGTC Workshop Proceedings - Fourth International Workshop on Volume Graphics</v>
      </c>
      <c r="B19802" s="8" t="str">
        <f>"9783905673265"</f>
        <v>9783905673265</v>
      </c>
      <c r="C19802" s="8" t="s">
        <v>105</v>
      </c>
    </row>
    <row r="19803" spans="1:3" x14ac:dyDescent="0.25">
      <c r="A19803" s="8" t="str">
        <f>"Vorticity and Turbulence Effects in Fluid Structure Interactions - An Application to Hydraulic Structure Design"</f>
        <v>Vorticity and Turbulence Effects in Fluid Structure Interactions - An Application to Hydraulic Structure Design</v>
      </c>
      <c r="B19803" s="8" t="str">
        <f>"9781845640521"</f>
        <v>9781845640521</v>
      </c>
      <c r="C19803" s="8" t="s">
        <v>1641</v>
      </c>
    </row>
    <row r="19804" spans="1:3" x14ac:dyDescent="0.25">
      <c r="A19804" s="8" t="str">
        <f>"VPPC 2007 - Proceedings of the 2007 IEEE Vehicle Power and Propulsion Conference"</f>
        <v>VPPC 2007 - Proceedings of the 2007 IEEE Vehicle Power and Propulsion Conference</v>
      </c>
      <c r="B19804" s="8" t="str">
        <f>"9780780397613"</f>
        <v>9780780397613</v>
      </c>
      <c r="C19804" s="8" t="s">
        <v>9</v>
      </c>
    </row>
    <row r="19805" spans="1:3" x14ac:dyDescent="0.25">
      <c r="A19805" s="8" t="str">
        <f>"VRIPHYS 2007 - 4th Workshop on Virtual Reality Interactions and Physical Simulations"</f>
        <v>VRIPHYS 2007 - 4th Workshop on Virtual Reality Interactions and Physical Simulations</v>
      </c>
      <c r="B19805" s="8" t="str">
        <f>"9783905673654"</f>
        <v>9783905673654</v>
      </c>
      <c r="C19805" s="8" t="s">
        <v>23</v>
      </c>
    </row>
    <row r="19806" spans="1:3" x14ac:dyDescent="0.25">
      <c r="A19806" s="8" t="str">
        <f>"VRIPHYS 2008 - 5th Workshop on Virtual Reality Interactions and Physical Simulations"</f>
        <v>VRIPHYS 2008 - 5th Workshop on Virtual Reality Interactions and Physical Simulations</v>
      </c>
      <c r="B19806" s="8" t="str">
        <f>"9783905673708"</f>
        <v>9783905673708</v>
      </c>
      <c r="C19806" s="8" t="s">
        <v>23</v>
      </c>
    </row>
    <row r="19807" spans="1:3" x14ac:dyDescent="0.25">
      <c r="A19807" s="8" t="str">
        <f>"VRIPHYS 2009 - 6th Workshop on Virtual Reality Interactions and Physical Simulations"</f>
        <v>VRIPHYS 2009 - 6th Workshop on Virtual Reality Interactions and Physical Simulations</v>
      </c>
      <c r="B19807" s="8" t="str">
        <f>"9783905673739"</f>
        <v>9783905673739</v>
      </c>
      <c r="C19807" s="8" t="s">
        <v>23</v>
      </c>
    </row>
    <row r="19808" spans="1:3" x14ac:dyDescent="0.25">
      <c r="A19808" s="8" t="str">
        <f>"VRIPHYS 2010 - 7th Workshop on Virtual Reality Interactions and Physical Simulations"</f>
        <v>VRIPHYS 2010 - 7th Workshop on Virtual Reality Interactions and Physical Simulations</v>
      </c>
      <c r="B19808" s="8" t="str">
        <f>"9783905673784"</f>
        <v>9783905673784</v>
      </c>
      <c r="C19808" s="8" t="s">
        <v>23</v>
      </c>
    </row>
    <row r="19809" spans="1:3" x14ac:dyDescent="0.25">
      <c r="A19809" s="8" t="str">
        <f>"VRIPHYS 2011 - 8th Workshop on Virtual Reality Interactions and Physical Simulations"</f>
        <v>VRIPHYS 2011 - 8th Workshop on Virtual Reality Interactions and Physical Simulations</v>
      </c>
      <c r="B19809" s="8" t="str">
        <f>"9783905673876"</f>
        <v>9783905673876</v>
      </c>
      <c r="C19809" s="8" t="s">
        <v>23</v>
      </c>
    </row>
    <row r="19810" spans="1:3" x14ac:dyDescent="0.25">
      <c r="A19810" s="8" t="str">
        <f>"VRIPHYS 2012 - 9th Workshop on Virtual Reality Interactions and Physical Simulations"</f>
        <v>VRIPHYS 2012 - 9th Workshop on Virtual Reality Interactions and Physical Simulations</v>
      </c>
      <c r="B19810" s="8" t="str">
        <f>"9783905673968"</f>
        <v>9783905673968</v>
      </c>
      <c r="C19810" s="8" t="s">
        <v>23</v>
      </c>
    </row>
    <row r="19811" spans="1:3" x14ac:dyDescent="0.25">
      <c r="A19811" s="8" t="str">
        <f>"VSMM 2009 - Proceedings of the 15th International Conference on Virtual Systems and Multimedia"</f>
        <v>VSMM 2009 - Proceedings of the 15th International Conference on Virtual Systems and Multimedia</v>
      </c>
      <c r="B19811" s="8" t="str">
        <f>"9780769537900"</f>
        <v>9780769537900</v>
      </c>
      <c r="C19811" s="8" t="s">
        <v>9</v>
      </c>
    </row>
    <row r="19812" spans="1:3" x14ac:dyDescent="0.25">
      <c r="A19812" s="8" t="str">
        <f>"VSSN'04 - Proceedings of the ACM Second International Workshop on Video Sureveillance and Sensor Networks"</f>
        <v>VSSN'04 - Proceedings of the ACM Second International Workshop on Video Sureveillance and Sensor Networks</v>
      </c>
      <c r="B19812" s="8" t="str">
        <f>"9781581139341"</f>
        <v>9781581139341</v>
      </c>
      <c r="C19812" s="8" t="s">
        <v>21</v>
      </c>
    </row>
    <row r="19813" spans="1:3" x14ac:dyDescent="0.25">
      <c r="A19813" s="8" t="str">
        <f>"VTDC '12 - 6th International Workshop on Virtualization Technologies in Distributed Computing"</f>
        <v>VTDC '12 - 6th International Workshop on Virtualization Technologies in Distributed Computing</v>
      </c>
      <c r="B19813" s="8" t="str">
        <f>"9781450313445"</f>
        <v>9781450313445</v>
      </c>
      <c r="C19813" s="8" t="s">
        <v>21</v>
      </c>
    </row>
    <row r="19814" spans="1:3" x14ac:dyDescent="0.25">
      <c r="A19814" s="8" t="str">
        <f>"VTDC 2006 - 2nd International Workshop on Virtualization Technology in Distributed Computing; held in Conjunction with SC06"</f>
        <v>VTDC 2006 - 2nd International Workshop on Virtualization Technology in Distributed Computing; held in Conjunction with SC06</v>
      </c>
      <c r="B19814" s="8" t="str">
        <f>"-"</f>
        <v>-</v>
      </c>
      <c r="C19814" s="8" t="s">
        <v>9</v>
      </c>
    </row>
    <row r="19815" spans="1:3" x14ac:dyDescent="0.25">
      <c r="A19815" s="8" t="str">
        <f>"VTDC 2013 - Proceedings of the 7th International Workshop on Virtualization Technologies in Distributed Computing"</f>
        <v>VTDC 2013 - Proceedings of the 7th International Workshop on Virtualization Technologies in Distributed Computing</v>
      </c>
      <c r="B19815" s="8" t="str">
        <f>"9781450319850"</f>
        <v>9781450319850</v>
      </c>
      <c r="C19815" s="8" t="s">
        <v>21</v>
      </c>
    </row>
    <row r="19816" spans="1:3" x14ac:dyDescent="0.25">
      <c r="A19816" s="8" t="str">
        <f>"VTDC'07: Proceedings of the 3rd International Workshop on Virtualization Technology in Distributed Computing"</f>
        <v>VTDC'07: Proceedings of the 3rd International Workshop on Virtualization Technology in Distributed Computing</v>
      </c>
      <c r="B19816" s="8" t="str">
        <f>"9781595938978"</f>
        <v>9781595938978</v>
      </c>
      <c r="C19816" s="8" t="s">
        <v>21</v>
      </c>
    </row>
    <row r="19817" spans="1:3" x14ac:dyDescent="0.25">
      <c r="A19817" s="8" t="str">
        <f>"VTDC'11 - Proceedings of the 5th International Workshop on Virtualization Technologies in Distributed Computing"</f>
        <v>VTDC'11 - Proceedings of the 5th International Workshop on Virtualization Technologies in Distributed Computing</v>
      </c>
      <c r="B19817" s="8" t="str">
        <f>"9781450307017"</f>
        <v>9781450307017</v>
      </c>
      <c r="C19817" s="8" t="s">
        <v>21</v>
      </c>
    </row>
    <row r="19818" spans="1:3" x14ac:dyDescent="0.25">
      <c r="A19818" s="8" t="str">
        <f>"VTMS 8 - Vehicle Thermal Management Systems Conference and Exhibition"</f>
        <v>VTMS 8 - Vehicle Thermal Management Systems Conference and Exhibition</v>
      </c>
      <c r="B19818" s="8" t="str">
        <f>"9781843343486"</f>
        <v>9781843343486</v>
      </c>
      <c r="C19818" s="8" t="s">
        <v>1917</v>
      </c>
    </row>
    <row r="19819" spans="1:3" x14ac:dyDescent="0.25">
      <c r="A19819" s="8" t="str">
        <f>"Vulnerability, Uncertainty, and Risk: Analysis, Modeling, and Management - Proceedings of the ICVRAM 2011 and ISUMA 2011 Conferences"</f>
        <v>Vulnerability, Uncertainty, and Risk: Analysis, Modeling, and Management - Proceedings of the ICVRAM 2011 and ISUMA 2011 Conferences</v>
      </c>
      <c r="B19819" s="8" t="str">
        <f>"9780784411704"</f>
        <v>9780784411704</v>
      </c>
      <c r="C19819" s="8" t="s">
        <v>111</v>
      </c>
    </row>
    <row r="19820" spans="1:3" x14ac:dyDescent="0.25">
      <c r="A19820" s="8" t="s">
        <v>2371</v>
      </c>
      <c r="B19820" s="8" t="str">
        <f>"9780784413609"</f>
        <v>9780784413609</v>
      </c>
      <c r="C19820" s="8" t="s">
        <v>111</v>
      </c>
    </row>
    <row r="19821" spans="1:3" x14ac:dyDescent="0.25">
      <c r="A19821" s="8" t="str">
        <f>"W4A 2010 - International Cross Disciplinary Conference on Web Accessibility Raleigh 2010"</f>
        <v>W4A 2010 - International Cross Disciplinary Conference on Web Accessibility Raleigh 2010</v>
      </c>
      <c r="B19821" s="8" t="str">
        <f>"9781450300452"</f>
        <v>9781450300452</v>
      </c>
      <c r="C19821" s="8" t="s">
        <v>21</v>
      </c>
    </row>
    <row r="19822" spans="1:3" x14ac:dyDescent="0.25">
      <c r="A19822" s="8" t="str">
        <f>"W4A 2011 - International Cross-Disciplinary Conference on Web Accessibility"</f>
        <v>W4A 2011 - International Cross-Disciplinary Conference on Web Accessibility</v>
      </c>
      <c r="B19822" s="8" t="str">
        <f>"9781450304764"</f>
        <v>9781450304764</v>
      </c>
      <c r="C19822" s="8" t="s">
        <v>21</v>
      </c>
    </row>
    <row r="19823" spans="1:3" x14ac:dyDescent="0.25">
      <c r="A19823" s="8" t="str">
        <f>"W4A 2012 - International Cross-Disciplinary Conference on Web Accessibility"</f>
        <v>W4A 2012 - International Cross-Disciplinary Conference on Web Accessibility</v>
      </c>
      <c r="B19823" s="8" t="str">
        <f>"9781450310192"</f>
        <v>9781450310192</v>
      </c>
      <c r="C19823" s="8" t="s">
        <v>21</v>
      </c>
    </row>
    <row r="19824" spans="1:3" x14ac:dyDescent="0.25">
      <c r="A19824" s="8" t="str">
        <f>"W4A 2013 - International Cross-Disciplinary Conference on Web Accessibility"</f>
        <v>W4A 2013 - International Cross-Disciplinary Conference on Web Accessibility</v>
      </c>
      <c r="B19824" s="8" t="str">
        <f>"9781450318440"</f>
        <v>9781450318440</v>
      </c>
      <c r="C19824" s="8" t="s">
        <v>21</v>
      </c>
    </row>
    <row r="19825" spans="1:3" x14ac:dyDescent="0.25">
      <c r="A19825" s="8" t="str">
        <f>"W4A 2014 - 11th Web for All Conference"</f>
        <v>W4A 2014 - 11th Web for All Conference</v>
      </c>
      <c r="B19825" s="8" t="str">
        <f>"9781450326513"</f>
        <v>9781450326513</v>
      </c>
      <c r="C19825" s="8" t="s">
        <v>21</v>
      </c>
    </row>
    <row r="19826" spans="1:3" x14ac:dyDescent="0.25">
      <c r="A19826" s="8" t="str">
        <f>"W4A'08: Proceedings of the 2008 International Cross-Disciplinary Conference on Web Accessibility, W4A"</f>
        <v>W4A'08: Proceedings of the 2008 International Cross-Disciplinary Conference on Web Accessibility, W4A</v>
      </c>
      <c r="B19826" s="8" t="str">
        <f>"9781605581538"</f>
        <v>9781605581538</v>
      </c>
      <c r="C19826" s="8" t="s">
        <v>21</v>
      </c>
    </row>
    <row r="19827" spans="1:3" x14ac:dyDescent="0.25">
      <c r="A19827" s="8" t="str">
        <f>"WASA 2007 - The 2nd International Conference on Wireless Algorithms, Systems and Applications"</f>
        <v>WASA 2007 - The 2nd International Conference on Wireless Algorithms, Systems and Applications</v>
      </c>
      <c r="B19827" s="8" t="str">
        <f>"9780769529813"</f>
        <v>9780769529813</v>
      </c>
      <c r="C19827" s="8" t="s">
        <v>9</v>
      </c>
    </row>
    <row r="19828" spans="1:3" x14ac:dyDescent="0.25">
      <c r="A19828" s="8" t="str">
        <f>"Waste Management and the Environment"</f>
        <v>Waste Management and the Environment</v>
      </c>
      <c r="B19828" s="8" t="str">
        <f>"9781853129193"</f>
        <v>9781853129193</v>
      </c>
      <c r="C19828" s="8" t="s">
        <v>1641</v>
      </c>
    </row>
    <row r="19829" spans="1:3" x14ac:dyDescent="0.25">
      <c r="A19829" s="8" t="str">
        <f>"Waste Management and the Environment II"</f>
        <v>Waste Management and the Environment II</v>
      </c>
      <c r="B19829" s="8" t="str">
        <f>"9781853127380"</f>
        <v>9781853127380</v>
      </c>
      <c r="C19829" s="8" t="s">
        <v>80</v>
      </c>
    </row>
    <row r="19830" spans="1:3" x14ac:dyDescent="0.25">
      <c r="A19830" s="8" t="str">
        <f>"Waste Management in Japan"</f>
        <v>Waste Management in Japan</v>
      </c>
      <c r="B19830" s="8" t="str">
        <f>"9781845640002"</f>
        <v>9781845640002</v>
      </c>
      <c r="C19830" s="8" t="s">
        <v>80</v>
      </c>
    </row>
    <row r="19831" spans="1:3" x14ac:dyDescent="0.25">
      <c r="A19831" s="8" t="str">
        <f>"Wastes: Solutions, Treatments and Opportunities - Selected Papers from the 3rd Edition of the International Conference on Wastes: Solutions, Treatments and Opportunities, 2015"</f>
        <v>Wastes: Solutions, Treatments and Opportunities - Selected Papers from the 3rd Edition of the International Conference on Wastes: Solutions, Treatments and Opportunities, 2015</v>
      </c>
      <c r="B19831" s="8" t="str">
        <f>"9781138028821"</f>
        <v>9781138028821</v>
      </c>
      <c r="C19831" s="8" t="s">
        <v>1635</v>
      </c>
    </row>
    <row r="19832" spans="1:3" x14ac:dyDescent="0.25">
      <c r="A19832" s="8" t="str">
        <f>"WATeR 2013 - Proceedings of the 2013 IEEE Workshop on Anti-Malware Testing Research"</f>
        <v>WATeR 2013 - Proceedings of the 2013 IEEE Workshop on Anti-Malware Testing Research</v>
      </c>
      <c r="B19832" s="8" t="str">
        <f>"9781479924769"</f>
        <v>9781479924769</v>
      </c>
      <c r="C19832" s="8" t="s">
        <v>9</v>
      </c>
    </row>
    <row r="19833" spans="1:3" x14ac:dyDescent="0.25">
      <c r="A19833" s="8" t="str">
        <f>"WATeR 2014 - Proceedings of the 2014 2nd Workshop on Anti-Malware Testing Research"</f>
        <v>WATeR 2014 - Proceedings of the 2014 2nd Workshop on Anti-Malware Testing Research</v>
      </c>
      <c r="B19833" s="8" t="str">
        <f>"9781479960705"</f>
        <v>9781479960705</v>
      </c>
      <c r="C19833" s="8" t="s">
        <v>105</v>
      </c>
    </row>
    <row r="19834" spans="1:3" x14ac:dyDescent="0.25">
      <c r="A19834" s="8" t="str">
        <f>"Water and Sanitation at Mid-Decade: Proceedings of the 12th WEDC Conference"</f>
        <v>Water and Sanitation at Mid-Decade: Proceedings of the 12th WEDC Conference</v>
      </c>
      <c r="B19834" s="8" t="str">
        <f>"-"</f>
        <v>-</v>
      </c>
      <c r="C19834" s="8" t="s">
        <v>1486</v>
      </c>
    </row>
    <row r="19835" spans="1:3" x14ac:dyDescent="0.25">
      <c r="A19835" s="8" t="str">
        <f>"Water and Sanitation for All - Partnerships and Innovations: Proceedings of the 23rd WEDC Conference"</f>
        <v>Water and Sanitation for All - Partnerships and Innovations: Proceedings of the 23rd WEDC Conference</v>
      </c>
      <c r="B19835" s="8" t="str">
        <f>"9780906055540"</f>
        <v>9780906055540</v>
      </c>
      <c r="C19835" s="8" t="s">
        <v>1486</v>
      </c>
    </row>
    <row r="19836" spans="1:3" x14ac:dyDescent="0.25">
      <c r="A19836" s="8" t="str">
        <f>"Water and Sanitation in Africa: Proceedings of the 11th WEDC Conference"</f>
        <v>Water and Sanitation in Africa: Proceedings of the 11th WEDC Conference</v>
      </c>
      <c r="B19836" s="8" t="str">
        <f>"-"</f>
        <v>-</v>
      </c>
      <c r="C19836" s="8" t="s">
        <v>1486</v>
      </c>
    </row>
    <row r="19837" spans="1:3" x14ac:dyDescent="0.25">
      <c r="A19837" s="8" t="str">
        <f>"Water and Sanitation in Asia and the Pacific: Proceedings of the 10th WEDC Conference"</f>
        <v>Water and Sanitation in Asia and the Pacific: Proceedings of the 10th WEDC Conference</v>
      </c>
      <c r="B19837" s="8" t="str">
        <f>"-"</f>
        <v>-</v>
      </c>
      <c r="C19837" s="8" t="s">
        <v>1486</v>
      </c>
    </row>
    <row r="19838" spans="1:3" x14ac:dyDescent="0.25">
      <c r="A19838" s="8" t="str">
        <f>"Water and Sustainability in Arid Regions: Bridging the Gap Between Physical and Social Sciences"</f>
        <v>Water and Sustainability in Arid Regions: Bridging the Gap Between Physical and Social Sciences</v>
      </c>
      <c r="B19838" s="8" t="str">
        <f>"9789048127757"</f>
        <v>9789048127757</v>
      </c>
      <c r="C19838" s="8" t="s">
        <v>162</v>
      </c>
    </row>
    <row r="19839" spans="1:3" x14ac:dyDescent="0.25">
      <c r="A19839" s="8" t="str">
        <f>"Water and Urban Development Paradigms: Towards an Integration of Engineering, Design and Management Approaches - Proceedings of the International Urban Water Conference"</f>
        <v>Water and Urban Development Paradigms: Towards an Integration of Engineering, Design and Management Approaches - Proceedings of the International Urban Water Conference</v>
      </c>
      <c r="B19839" s="8" t="str">
        <f>"9780415483346"</f>
        <v>9780415483346</v>
      </c>
      <c r="C19839" s="8" t="s">
        <v>1637</v>
      </c>
    </row>
    <row r="19840" spans="1:3" x14ac:dyDescent="0.25">
      <c r="A19840" s="8" t="str">
        <f>"Water and Urban Services in Asia and the Pacific: Proceedings of the 14th WEDC Conference"</f>
        <v>Water and Urban Services in Asia and the Pacific: Proceedings of the 14th WEDC Conference</v>
      </c>
      <c r="B19840" s="8" t="str">
        <f>"-"</f>
        <v>-</v>
      </c>
      <c r="C19840" s="8" t="s">
        <v>1486</v>
      </c>
    </row>
    <row r="19841" spans="1:3" x14ac:dyDescent="0.25">
      <c r="A19841" s="8" t="str">
        <f>"Water and Waste Engineering in Africa: Proceedings of the 6th WEDC Conference"</f>
        <v>Water and Waste Engineering in Africa: Proceedings of the 6th WEDC Conference</v>
      </c>
      <c r="B19841" s="8" t="str">
        <f>"-"</f>
        <v>-</v>
      </c>
      <c r="C19841" s="8" t="s">
        <v>1486</v>
      </c>
    </row>
    <row r="19842" spans="1:3" x14ac:dyDescent="0.25">
      <c r="A19842" s="8" t="str">
        <f>"Water and Waste Engineering in Asia: Proceedings of the 8th WEDC Conference"</f>
        <v>Water and Waste Engineering in Asia: Proceedings of the 8th WEDC Conference</v>
      </c>
      <c r="B19842" s="8" t="str">
        <f>"-"</f>
        <v>-</v>
      </c>
      <c r="C19842" s="8" t="s">
        <v>1486</v>
      </c>
    </row>
    <row r="19843" spans="1:3" x14ac:dyDescent="0.25">
      <c r="A19843" s="8" t="str">
        <f>"Water Crisis: Myth or Reality Marcelino Botin Water Forum 2004"</f>
        <v>Water Crisis: Myth or Reality Marcelino Botin Water Forum 2004</v>
      </c>
      <c r="B19843" s="8" t="str">
        <f>"9780415364386"</f>
        <v>9780415364386</v>
      </c>
      <c r="C19843" s="8" t="s">
        <v>1619</v>
      </c>
    </row>
    <row r="19844" spans="1:3" x14ac:dyDescent="0.25">
      <c r="A19844" s="8" t="str">
        <f>"Water Distribution Systems Analysis 2010 - Proceedings of the 12th International Conference, WDSA 2010"</f>
        <v>Water Distribution Systems Analysis 2010 - Proceedings of the 12th International Conference, WDSA 2010</v>
      </c>
      <c r="B19844" s="8" t="str">
        <f>"9780784412039"</f>
        <v>9780784412039</v>
      </c>
      <c r="C19844" s="8" t="s">
        <v>111</v>
      </c>
    </row>
    <row r="19845" spans="1:3" x14ac:dyDescent="0.25">
      <c r="A19845" s="8" t="str">
        <f>"Water for a Changing World - Developing Local Knowledge and Capacity - Proceedings of the International Symposium on Water for a Changing World"</f>
        <v>Water for a Changing World - Developing Local Knowledge and Capacity - Proceedings of the International Symposium on Water for a Changing World</v>
      </c>
      <c r="B19845" s="8" t="str">
        <f>"9780415477574"</f>
        <v>9780415477574</v>
      </c>
      <c r="C19845" s="8" t="s">
        <v>1637</v>
      </c>
    </row>
    <row r="19846" spans="1:3" x14ac:dyDescent="0.25">
      <c r="A19846" s="8" t="str">
        <f>"Water in Mineral Processing - Proceedings of the 1st International Symposium"</f>
        <v>Water in Mineral Processing - Proceedings of the 1st International Symposium</v>
      </c>
      <c r="B19846" s="8" t="str">
        <f>"9780873353496"</f>
        <v>9780873353496</v>
      </c>
      <c r="C19846" s="8" t="s">
        <v>877</v>
      </c>
    </row>
    <row r="19847" spans="1:3" x14ac:dyDescent="0.25">
      <c r="A19847" s="8" t="str">
        <f>"Water Quality Technology Conference and Exposition 2008"</f>
        <v>Water Quality Technology Conference and Exposition 2008</v>
      </c>
      <c r="B19847" s="8" t="str">
        <f>"9781605609935"</f>
        <v>9781605609935</v>
      </c>
      <c r="C19847" s="8" t="s">
        <v>651</v>
      </c>
    </row>
    <row r="19848" spans="1:3" x14ac:dyDescent="0.25">
      <c r="A19848" s="8" t="str">
        <f>"Water Quality Technology Conference and Exposition 2009"</f>
        <v>Water Quality Technology Conference and Exposition 2009</v>
      </c>
      <c r="B19848" s="8" t="str">
        <f>"9781615679591"</f>
        <v>9781615679591</v>
      </c>
      <c r="C19848" s="8" t="s">
        <v>651</v>
      </c>
    </row>
    <row r="19849" spans="1:3" x14ac:dyDescent="0.25">
      <c r="A19849" s="8" t="str">
        <f>"Water Quality Technology Conference and Exposition 2010"</f>
        <v>Water Quality Technology Conference and Exposition 2010</v>
      </c>
      <c r="B19849" s="8" t="str">
        <f>"9781617823404"</f>
        <v>9781617823404</v>
      </c>
      <c r="C19849" s="8" t="s">
        <v>651</v>
      </c>
    </row>
    <row r="19850" spans="1:3" x14ac:dyDescent="0.25">
      <c r="A19850" s="8" t="str">
        <f>"Water Quality Technology Conference and Exposition 2011"</f>
        <v>Water Quality Technology Conference and Exposition 2011</v>
      </c>
      <c r="B19850" s="8" t="str">
        <f>"9781618393104"</f>
        <v>9781618393104</v>
      </c>
      <c r="C19850" s="8" t="s">
        <v>651</v>
      </c>
    </row>
    <row r="19851" spans="1:3" x14ac:dyDescent="0.25">
      <c r="A19851" s="8" t="str">
        <f>"Water Quality Technology Conference and Exposition 2012"</f>
        <v>Water Quality Technology Conference and Exposition 2012</v>
      </c>
      <c r="B19851" s="8" t="str">
        <f>"9781622767878"</f>
        <v>9781622767878</v>
      </c>
      <c r="C19851" s="8" t="s">
        <v>651</v>
      </c>
    </row>
    <row r="19852" spans="1:3" x14ac:dyDescent="0.25">
      <c r="A19852" s="8" t="str">
        <f>"Water Resources and Environment - Proceedings of the International Conference on Water Resources and Environment, WRE 2015"</f>
        <v>Water Resources and Environment - Proceedings of the International Conference on Water Resources and Environment, WRE 2015</v>
      </c>
      <c r="B19852" s="8" t="str">
        <f>"9781138029095"</f>
        <v>9781138029095</v>
      </c>
      <c r="C19852" s="8" t="s">
        <v>1635</v>
      </c>
    </row>
    <row r="19853" spans="1:3" x14ac:dyDescent="0.25">
      <c r="A19853" s="8" t="str">
        <f>"Water Resources Engineering, Handbook of Essential Methods and Design"</f>
        <v>Water Resources Engineering, Handbook of Essential Methods and Design</v>
      </c>
      <c r="B19853" s="8" t="str">
        <f>"9780784406748"</f>
        <v>9780784406748</v>
      </c>
      <c r="C19853" s="8" t="s">
        <v>111</v>
      </c>
    </row>
    <row r="19854" spans="1:3" x14ac:dyDescent="0.25">
      <c r="A19854" s="8" t="str">
        <f>"Water Security Congress 2009"</f>
        <v>Water Security Congress 2009</v>
      </c>
      <c r="B19854" s="8" t="str">
        <f>"9781615672370"</f>
        <v>9781615672370</v>
      </c>
      <c r="C19854" s="8" t="s">
        <v>651</v>
      </c>
    </row>
    <row r="19855" spans="1:3" x14ac:dyDescent="0.25">
      <c r="A19855" s="8" t="str">
        <f>"Water Security Congress and Distribution Systems Symposium and Exposition 2010"</f>
        <v>Water Security Congress and Distribution Systems Symposium and Exposition 2010</v>
      </c>
      <c r="B19855" s="8" t="str">
        <f>"9781617823077"</f>
        <v>9781617823077</v>
      </c>
      <c r="C19855" s="8" t="s">
        <v>651</v>
      </c>
    </row>
    <row r="19856" spans="1:3" x14ac:dyDescent="0.25">
      <c r="A19856" s="8" t="str">
        <f>"Water Studies"</f>
        <v>Water Studies</v>
      </c>
      <c r="B19856" s="8" t="str">
        <f>"9781853128141"</f>
        <v>9781853128141</v>
      </c>
      <c r="C19856" s="8" t="s">
        <v>80</v>
      </c>
    </row>
    <row r="19857" spans="1:3" x14ac:dyDescent="0.25">
      <c r="A19857" s="8" t="str">
        <f>"Water, Engineering and Development in Africa: Proceedings of the 15th WEDC Conference"</f>
        <v>Water, Engineering and Development in Africa: Proceedings of the 15th WEDC Conference</v>
      </c>
      <c r="B19857" s="8" t="str">
        <f>"-"</f>
        <v>-</v>
      </c>
      <c r="C19857" s="8" t="s">
        <v>1486</v>
      </c>
    </row>
    <row r="19858" spans="1:3" x14ac:dyDescent="0.25">
      <c r="A19858" s="8" t="str">
        <f>"Water, Environment and Management: Proceedings of the 18th WEDC Conference"</f>
        <v>Water, Environment and Management: Proceedings of the 18th WEDC Conference</v>
      </c>
      <c r="B19858" s="8" t="str">
        <f>"9780906055298"</f>
        <v>9780906055298</v>
      </c>
      <c r="C19858" s="8" t="s">
        <v>1486</v>
      </c>
    </row>
    <row r="19859" spans="1:3" x14ac:dyDescent="0.25">
      <c r="A19859" s="8" t="str">
        <f>"Water, People and Waste in Developing Countries: Proceedings of the 7th WEDC Conference"</f>
        <v>Water, People and Waste in Developing Countries: Proceedings of the 7th WEDC Conference</v>
      </c>
      <c r="B19859" s="8" t="str">
        <f>"-"</f>
        <v>-</v>
      </c>
      <c r="C19859" s="8" t="s">
        <v>1486</v>
      </c>
    </row>
    <row r="19860" spans="1:3" x14ac:dyDescent="0.25">
      <c r="A19860" s="8" t="str">
        <f>"Water, Sanitation and Hygiene - Challenges of the Millennium: Proceedings of the 26th WEDC Conference"</f>
        <v>Water, Sanitation and Hygiene - Challenges of the Millennium: Proceedings of the 26th WEDC Conference</v>
      </c>
      <c r="B19860" s="8" t="str">
        <f>"9780906055892"</f>
        <v>9780906055892</v>
      </c>
      <c r="C19860" s="8" t="s">
        <v>1486</v>
      </c>
    </row>
    <row r="19861" spans="1:3" x14ac:dyDescent="0.25">
      <c r="A19861" s="8" t="str">
        <f>"Water, Sanitation and Hygiene: Sustainable Development and Multisectoral Approaches - Proceedings of the 34th WEDC International Conference"</f>
        <v>Water, Sanitation and Hygiene: Sustainable Development and Multisectoral Approaches - Proceedings of the 34th WEDC International Conference</v>
      </c>
      <c r="B19861" s="8" t="str">
        <f>"9781843801337"</f>
        <v>9781843801337</v>
      </c>
      <c r="C19861" s="8" t="s">
        <v>1486</v>
      </c>
    </row>
    <row r="19862" spans="1:3" x14ac:dyDescent="0.25">
      <c r="A19862" s="8" t="str">
        <f>"Water, Sanitation, Environment and Development: Proceedings of the 19th WEDC Conference"</f>
        <v>Water, Sanitation, Environment and Development: Proceedings of the 19th WEDC Conference</v>
      </c>
      <c r="B19862" s="8" t="str">
        <f>"9780906055397"</f>
        <v>9780906055397</v>
      </c>
      <c r="C19862" s="8" t="s">
        <v>1486</v>
      </c>
    </row>
    <row r="19863" spans="1:3" x14ac:dyDescent="0.25">
      <c r="A19863" s="8" t="str">
        <f>"Water, Waste and Health in Hot Countries: Proceedings of the 2nd WEDC Conference"</f>
        <v>Water, Waste and Health in Hot Countries: Proceedings of the 2nd WEDC Conference</v>
      </c>
      <c r="B19863" s="8" t="str">
        <f>"-"</f>
        <v>-</v>
      </c>
      <c r="C19863" s="8" t="s">
        <v>1486</v>
      </c>
    </row>
    <row r="19864" spans="1:3" x14ac:dyDescent="0.25">
      <c r="A19864" s="8" t="str">
        <f>"Water-Rock Interaction - Proceedings of the 12th International Symposium on Water-Rock Interaction, WRI-12"</f>
        <v>Water-Rock Interaction - Proceedings of the 12th International Symposium on Water-Rock Interaction, WRI-12</v>
      </c>
      <c r="B19864" s="8" t="str">
        <f>"-"</f>
        <v>-</v>
      </c>
      <c r="C19864" s="8" t="s">
        <v>1619</v>
      </c>
    </row>
    <row r="19865" spans="1:3" x14ac:dyDescent="0.25">
      <c r="A19865" s="8" t="str">
        <f>"Water-Rock Interaction - Proceedings of the 13th International Conference on Water-Rock Interaction, WRI-13"</f>
        <v>Water-Rock Interaction - Proceedings of the 13th International Conference on Water-Rock Interaction, WRI-13</v>
      </c>
      <c r="B19865" s="8" t="str">
        <f>"9780415604260"</f>
        <v>9780415604260</v>
      </c>
      <c r="C19865" s="8" t="s">
        <v>1619</v>
      </c>
    </row>
    <row r="19866" spans="1:3" x14ac:dyDescent="0.25">
      <c r="A19866" s="8" t="str">
        <f>"Watershed Management and Operations Management 2000"</f>
        <v>Watershed Management and Operations Management 2000</v>
      </c>
      <c r="B19866" s="8" t="str">
        <f>"9780784404997"</f>
        <v>9780784404997</v>
      </c>
      <c r="C19866" s="8" t="s">
        <v>111</v>
      </c>
    </row>
    <row r="19867" spans="1:3" x14ac:dyDescent="0.25">
      <c r="A19867" s="8" t="str">
        <f>"Watershed Management Conference 2010: Innovations in Watershed Management under Land Use and Climate Change - Proceedings of the 2010 Watershed Management Conference"</f>
        <v>Watershed Management Conference 2010: Innovations in Watershed Management under Land Use and Climate Change - Proceedings of the 2010 Watershed Management Conference</v>
      </c>
      <c r="B19867" s="8" t="str">
        <f>"9780784411438"</f>
        <v>9780784411438</v>
      </c>
      <c r="C19867" s="8" t="s">
        <v>111</v>
      </c>
    </row>
    <row r="19868" spans="1:3" x14ac:dyDescent="0.25">
      <c r="A19868" s="8" t="str">
        <f>"WCCCE 2009 - Proceedings of the 14th Western Canadian Conference on Computing Education"</f>
        <v>WCCCE 2009 - Proceedings of the 14th Western Canadian Conference on Computing Education</v>
      </c>
      <c r="B19868" s="8" t="str">
        <f>"9781605584157"</f>
        <v>9781605584157</v>
      </c>
      <c r="C19868" s="8" t="s">
        <v>21</v>
      </c>
    </row>
    <row r="19869" spans="1:3" x14ac:dyDescent="0.25">
      <c r="A19869" s="8" t="str">
        <f>"WCCCE 2010 - Proceedings of the 15th Western Canadian Conference on Computing Education"</f>
        <v>WCCCE 2010 - Proceedings of the 15th Western Canadian Conference on Computing Education</v>
      </c>
      <c r="B19869" s="8" t="str">
        <f>"9781450300988"</f>
        <v>9781450300988</v>
      </c>
      <c r="C19869" s="8" t="s">
        <v>21</v>
      </c>
    </row>
    <row r="19870" spans="1:3" x14ac:dyDescent="0.25">
      <c r="A19870" s="8" t="str">
        <f>"WCCCE 2011 - Proceedings of the 16th Western Canadian Conference on Computing Education"</f>
        <v>WCCCE 2011 - Proceedings of the 16th Western Canadian Conference on Computing Education</v>
      </c>
      <c r="B19870" s="8" t="str">
        <f>"9781450307925"</f>
        <v>9781450307925</v>
      </c>
      <c r="C19870" s="8" t="s">
        <v>21</v>
      </c>
    </row>
    <row r="19871" spans="1:3" x14ac:dyDescent="0.25">
      <c r="A19871" s="8" t="str">
        <f>"WCCCS 2014 - Proceedings; 2014 5th Workshop on Codes, Cryptography and Communication Systems"</f>
        <v>WCCCS 2014 - Proceedings; 2014 5th Workshop on Codes, Cryptography and Communication Systems</v>
      </c>
      <c r="B19871" s="8" t="str">
        <f>"9781479970544"</f>
        <v>9781479970544</v>
      </c>
      <c r="C19871" s="8" t="s">
        <v>105</v>
      </c>
    </row>
    <row r="19872" spans="1:3" x14ac:dyDescent="0.25">
      <c r="A19872" s="8" t="str">
        <f>"WCE 2010 - World Congress on Engineering 2010"</f>
        <v>WCE 2010 - World Congress on Engineering 2010</v>
      </c>
      <c r="B19872" s="8" t="str">
        <f>"9789881701299"</f>
        <v>9789881701299</v>
      </c>
      <c r="C19872" s="8" t="s">
        <v>380</v>
      </c>
    </row>
    <row r="19873" spans="1:3" x14ac:dyDescent="0.25">
      <c r="A19873" s="8" t="str">
        <f>"WCFLP'05 - Proceedings of the ACM SIGPLAN 2005 Workshop on Curry an Functional Logic Programming"</f>
        <v>WCFLP'05 - Proceedings of the ACM SIGPLAN 2005 Workshop on Curry an Functional Logic Programming</v>
      </c>
      <c r="B19873" s="8" t="str">
        <f>"9781595930699"</f>
        <v>9781595930699</v>
      </c>
      <c r="C19873" s="8" t="s">
        <v>21</v>
      </c>
    </row>
    <row r="19874" spans="1:3" x14ac:dyDescent="0.25">
      <c r="A19874" s="8" t="str">
        <f>"WCOP 2013 - Proceedings of the International Doctoral Symposium on Components and Architecture"</f>
        <v>WCOP 2013 - Proceedings of the International Doctoral Symposium on Components and Architecture</v>
      </c>
      <c r="B19874" s="8" t="str">
        <f>"9781450321259"</f>
        <v>9781450321259</v>
      </c>
      <c r="C19874" s="8" t="s">
        <v>21</v>
      </c>
    </row>
    <row r="19875" spans="1:3" x14ac:dyDescent="0.25">
      <c r="A19875" s="8" t="str">
        <f>"WCOP'12 - Proceedings of the 17th International Doctoral Symposium on Components and Architecture"</f>
        <v>WCOP'12 - Proceedings of the 17th International Doctoral Symposium on Components and Architecture</v>
      </c>
      <c r="B19875" s="8" t="str">
        <f>"9781450313483"</f>
        <v>9781450313483</v>
      </c>
      <c r="C19875" s="8" t="s">
        <v>21</v>
      </c>
    </row>
    <row r="19876" spans="1:3" x14ac:dyDescent="0.25">
      <c r="A19876" s="8" t="str">
        <f>"WCPR 2014 - Proceedings of the 2014 Workshop on Computational Personality Recognition, Workshop of MM 2014"</f>
        <v>WCPR 2014 - Proceedings of the 2014 Workshop on Computational Personality Recognition, Workshop of MM 2014</v>
      </c>
      <c r="B19876" s="8" t="str">
        <f>"9781450331296"</f>
        <v>9781450331296</v>
      </c>
      <c r="C19876" s="8" t="s">
        <v>1235</v>
      </c>
    </row>
    <row r="19877" spans="1:3" x14ac:dyDescent="0.25">
      <c r="A19877" s="8" t="str">
        <f>"WCTE 2014 - World Conference on Timber Engineering, Proceedings"</f>
        <v>WCTE 2014 - World Conference on Timber Engineering, Proceedings</v>
      </c>
      <c r="B19877" s="8" t="str">
        <f>"-"</f>
        <v>-</v>
      </c>
      <c r="C19877" s="8" t="s">
        <v>2372</v>
      </c>
    </row>
    <row r="19878" spans="1:3" x14ac:dyDescent="0.25">
      <c r="A19878" s="8" t="str">
        <f>"Web Coating and Handling Conference 2012"</f>
        <v>Web Coating and Handling Conference 2012</v>
      </c>
      <c r="B19878" s="8" t="str">
        <f>"9781622769506"</f>
        <v>9781622769506</v>
      </c>
      <c r="C19878" s="8" t="s">
        <v>1654</v>
      </c>
    </row>
    <row r="19879" spans="1:3" x14ac:dyDescent="0.25">
      <c r="A19879" s="8" t="str">
        <f>"Web Coating and Handling Conference 2013"</f>
        <v>Web Coating and Handling Conference 2013</v>
      </c>
      <c r="B19879" s="8" t="str">
        <f>"9781629936550"</f>
        <v>9781629936550</v>
      </c>
      <c r="C19879" s="8" t="s">
        <v>1654</v>
      </c>
    </row>
    <row r="19880" spans="1:3" x14ac:dyDescent="0.25">
      <c r="A19880" s="8" t="str">
        <f>"Web Coating and Handling Conference 2014"</f>
        <v>Web Coating and Handling Conference 2014</v>
      </c>
      <c r="B19880" s="8" t="str">
        <f>"-"</f>
        <v>-</v>
      </c>
      <c r="C19880" s="8" t="s">
        <v>1654</v>
      </c>
    </row>
    <row r="19881" spans="1:3" x14ac:dyDescent="0.25">
      <c r="A19881" s="8" t="str">
        <f>"Web3D 2001 Symposium"</f>
        <v>Web3D 2001 Symposium</v>
      </c>
      <c r="B19881" s="8" t="str">
        <f>"9781581133394"</f>
        <v>9781581133394</v>
      </c>
      <c r="C19881" s="8" t="s">
        <v>21</v>
      </c>
    </row>
    <row r="19882" spans="1:3" x14ac:dyDescent="0.25">
      <c r="A19882" s="8" t="str">
        <f>"WEBIST 2005 - 1st International Conference on Web Information Systems and Technologies, Proceedings"</f>
        <v>WEBIST 2005 - 1st International Conference on Web Information Systems and Technologies, Proceedings</v>
      </c>
      <c r="B19882" s="8" t="str">
        <f>"9789728865207"</f>
        <v>9789728865207</v>
      </c>
      <c r="C19882" s="8" t="s">
        <v>1680</v>
      </c>
    </row>
    <row r="19883" spans="1:3" x14ac:dyDescent="0.25">
      <c r="A19883" s="8" t="str">
        <f>"WEBIST 2006 - 2nd International Conference on Web Information Systems and Technologies, Proceedings"</f>
        <v>WEBIST 2006 - 2nd International Conference on Web Information Systems and Technologies, Proceedings</v>
      </c>
      <c r="B19883" s="8" t="str">
        <f>"-"</f>
        <v>-</v>
      </c>
      <c r="C19883" s="8" t="s">
        <v>1680</v>
      </c>
    </row>
    <row r="19884" spans="1:3" x14ac:dyDescent="0.25">
      <c r="A19884" s="8" t="str">
        <f>"Webist 2007 - 3rd International Conference on Web Information Systems and Technologies, Proceedings"</f>
        <v>Webist 2007 - 3rd International Conference on Web Information Systems and Technologies, Proceedings</v>
      </c>
      <c r="B19884" s="8" t="str">
        <f>"-"</f>
        <v>-</v>
      </c>
      <c r="C19884" s="8" t="s">
        <v>1680</v>
      </c>
    </row>
    <row r="19885" spans="1:3" x14ac:dyDescent="0.25">
      <c r="A19885" s="8" t="str">
        <f>"WEBIST 2008 - 4th International Conference on Web Information Systems and Technologies, Proceedings"</f>
        <v>WEBIST 2008 - 4th International Conference on Web Information Systems and Technologies, Proceedings</v>
      </c>
      <c r="B19885" s="8" t="str">
        <f>"9789898111265"</f>
        <v>9789898111265</v>
      </c>
      <c r="C19885" s="8" t="s">
        <v>1553</v>
      </c>
    </row>
    <row r="19886" spans="1:3" x14ac:dyDescent="0.25">
      <c r="A19886" s="8" t="str">
        <f>"WEBIST 2009 - Proceedings of the 5th International Conference on Web Information Systems and Technologies"</f>
        <v>WEBIST 2009 - Proceedings of the 5th International Conference on Web Information Systems and Technologies</v>
      </c>
      <c r="B19886" s="8" t="str">
        <f>"9789898111814"</f>
        <v>9789898111814</v>
      </c>
      <c r="C19886" s="8" t="s">
        <v>1525</v>
      </c>
    </row>
    <row r="19887" spans="1:3" x14ac:dyDescent="0.25">
      <c r="A19887" s="8" t="str">
        <f>"WEBIST 2010 - Proceedings of the 6th International Conference on Web Information Systems and Technology"</f>
        <v>WEBIST 2010 - Proceedings of the 6th International Conference on Web Information Systems and Technology</v>
      </c>
      <c r="B19887" s="8" t="str">
        <f>"9789896740252"</f>
        <v>9789896740252</v>
      </c>
      <c r="C19887" s="8" t="s">
        <v>1553</v>
      </c>
    </row>
    <row r="19888" spans="1:3" x14ac:dyDescent="0.25">
      <c r="A19888" s="8" t="str">
        <f>"WEBIST 2011 - Proceedings of the 7th International Conference on Web Information Systems and Technologies"</f>
        <v>WEBIST 2011 - Proceedings of the 7th International Conference on Web Information Systems and Technologies</v>
      </c>
      <c r="B19888" s="8" t="str">
        <f>"9789898425515"</f>
        <v>9789898425515</v>
      </c>
      <c r="C19888" s="8" t="s">
        <v>1680</v>
      </c>
    </row>
    <row r="19889" spans="1:3" x14ac:dyDescent="0.25">
      <c r="A19889" s="8" t="str">
        <f>"WEBIST 2012 - Proceedings of the 8th International Conference on Web Information Systems and Technologies"</f>
        <v>WEBIST 2012 - Proceedings of the 8th International Conference on Web Information Systems and Technologies</v>
      </c>
      <c r="B19889" s="8" t="str">
        <f>"9789898565082"</f>
        <v>9789898565082</v>
      </c>
      <c r="C19889" s="8" t="s">
        <v>394</v>
      </c>
    </row>
    <row r="19890" spans="1:3" x14ac:dyDescent="0.25">
      <c r="A19890" s="8" t="str">
        <f>"WEBIST 2013 - Proceedings of the 9th International Conference on Web Information Systems and Technologies"</f>
        <v>WEBIST 2013 - Proceedings of the 9th International Conference on Web Information Systems and Technologies</v>
      </c>
      <c r="B19890" s="8" t="str">
        <f>"9789898565549"</f>
        <v>9789898565549</v>
      </c>
      <c r="C19890" s="8" t="s">
        <v>1197</v>
      </c>
    </row>
    <row r="19891" spans="1:3" x14ac:dyDescent="0.25">
      <c r="A19891" s="8" t="str">
        <f>"WEBIST 2015 - 11th International Conference on Web Information Systems and Technologies, Proceedings"</f>
        <v>WEBIST 2015 - 11th International Conference on Web Information Systems and Technologies, Proceedings</v>
      </c>
      <c r="B19891" s="8" t="str">
        <f>"9789897581069"</f>
        <v>9789897581069</v>
      </c>
      <c r="C19891" s="8" t="s">
        <v>1197</v>
      </c>
    </row>
    <row r="19892" spans="1:3" x14ac:dyDescent="0.25">
      <c r="A19892" s="8" t="str">
        <f>"WebMedia 2009 - 15th Brazilian Symposium on Multimedia and the Web"</f>
        <v>WebMedia 2009 - 15th Brazilian Symposium on Multimedia and the Web</v>
      </c>
      <c r="B19892" s="8" t="str">
        <f>"9781605588803"</f>
        <v>9781605588803</v>
      </c>
      <c r="C19892" s="8" t="s">
        <v>21</v>
      </c>
    </row>
    <row r="19893" spans="1:3" x14ac:dyDescent="0.25">
      <c r="A19893" s="8" t="str">
        <f>"WebMedia 2010 - Anais de Artigos Completos do XVI Simposio Brasileiro de Sistemas Multimidia e Web"</f>
        <v>WebMedia 2010 - Anais de Artigos Completos do XVI Simposio Brasileiro de Sistemas Multimidia e Web</v>
      </c>
      <c r="B19893" s="8" t="str">
        <f>"-"</f>
        <v>-</v>
      </c>
      <c r="C19893" s="8" t="s">
        <v>2373</v>
      </c>
    </row>
    <row r="19894" spans="1:3" x14ac:dyDescent="0.25">
      <c r="A19894" s="8" t="str">
        <f>"WebMedia 2011 - XVII Brazilian Symposium on Multimedia and the Web, co-located with XXV Brazilian Symposium on Database, SBBD 2011"</f>
        <v>WebMedia 2011 - XVII Brazilian Symposium on Multimedia and the Web, co-located with XXV Brazilian Symposium on Database, SBBD 2011</v>
      </c>
      <c r="B19894" s="8" t="str">
        <f>"-"</f>
        <v>-</v>
      </c>
      <c r="C19894" s="8" t="s">
        <v>2374</v>
      </c>
    </row>
    <row r="19895" spans="1:3" x14ac:dyDescent="0.25">
      <c r="A19895" s="8" t="str">
        <f>"WebMedia 2013 - Proceedings of the 19th Brazilian Symposium on Multimedia and the Web"</f>
        <v>WebMedia 2013 - Proceedings of the 19th Brazilian Symposium on Multimedia and the Web</v>
      </c>
      <c r="B19895" s="8" t="str">
        <f>"9781450325592"</f>
        <v>9781450325592</v>
      </c>
      <c r="C19895" s="8" t="s">
        <v>21</v>
      </c>
    </row>
    <row r="19896" spans="1:3" x14ac:dyDescent="0.25">
      <c r="A19896" s="8" t="str">
        <f>"WebMedia 2014 - Proceedings of the 20th Brazilian Symposium on Multimedia and the Web"</f>
        <v>WebMedia 2014 - Proceedings of the 20th Brazilian Symposium on Multimedia and the Web</v>
      </c>
      <c r="B19896" s="8" t="str">
        <f>"9781450332309"</f>
        <v>9781450332309</v>
      </c>
      <c r="C19896" s="8" t="s">
        <v>1235</v>
      </c>
    </row>
    <row r="19897" spans="1:3" x14ac:dyDescent="0.25">
      <c r="A19897" s="8" t="str">
        <f>"WebMedia'12 - Proceedings of the 2012 Brazilian Symposium on Multimedia and the Web"</f>
        <v>WebMedia'12 - Proceedings of the 2012 Brazilian Symposium on Multimedia and the Web</v>
      </c>
      <c r="B19897" s="8" t="str">
        <f>"9781450317061"</f>
        <v>9781450317061</v>
      </c>
      <c r="C19897" s="8" t="s">
        <v>21</v>
      </c>
    </row>
    <row r="19898" spans="1:3" x14ac:dyDescent="0.25">
      <c r="A19898" s="8" t="str">
        <f>"WEH '08 - Proceedings of the 4th International Workshop on Exception Handling, Co-located with the 16th ACM SIGSOFT International Symposium on the Foundations of Software Engineering"</f>
        <v>WEH '08 - Proceedings of the 4th International Workshop on Exception Handling, Co-located with the 16th ACM SIGSOFT International Symposium on the Foundations of Software Engineering</v>
      </c>
      <c r="B19898" s="8" t="str">
        <f>"9781605582290"</f>
        <v>9781605582290</v>
      </c>
      <c r="C19898" s="8" t="s">
        <v>21</v>
      </c>
    </row>
    <row r="19899" spans="1:3" x14ac:dyDescent="0.25">
      <c r="A19899" s="8" t="str">
        <f>"Weighting Techniques in Data Compression: Theory and Algorithms"</f>
        <v>Weighting Techniques in Data Compression: Theory and Algorithms</v>
      </c>
      <c r="B19899" s="8" t="str">
        <f>"9789038619804"</f>
        <v>9789038619804</v>
      </c>
      <c r="C19899" s="8" t="s">
        <v>1203</v>
      </c>
    </row>
    <row r="19900" spans="1:3" x14ac:dyDescent="0.25">
      <c r="A19900" s="8" t="str">
        <f>"WER 2005 - 8th Workshop on Requirements Engineering, Workshop em Engenharia de Requisitos"</f>
        <v>WER 2005 - 8th Workshop on Requirements Engineering, Workshop em Engenharia de Requisitos</v>
      </c>
      <c r="B19900" s="8" t="str">
        <f>"9789727520794"</f>
        <v>9789727520794</v>
      </c>
      <c r="C19900" s="8" t="s">
        <v>1236</v>
      </c>
    </row>
    <row r="19901" spans="1:3" x14ac:dyDescent="0.25">
      <c r="A19901" s="8" t="str">
        <f>"WER 2006 - 9th Workshop on Requirements Engineering"</f>
        <v>WER 2006 - 9th Workshop on Requirements Engineering</v>
      </c>
      <c r="B19901" s="8" t="str">
        <f>"-"</f>
        <v>-</v>
      </c>
      <c r="C19901" s="8" t="s">
        <v>1236</v>
      </c>
    </row>
    <row r="19902" spans="1:3" x14ac:dyDescent="0.25">
      <c r="A19902" s="8" t="str">
        <f>"WER 2012 - 15th Workshop on Requirements Engineering"</f>
        <v>WER 2012 - 15th Workshop on Requirements Engineering</v>
      </c>
      <c r="B19902" s="8" t="str">
        <f>"9789871635467"</f>
        <v>9789871635467</v>
      </c>
      <c r="C19902" s="8" t="s">
        <v>1236</v>
      </c>
    </row>
    <row r="19903" spans="1:3" x14ac:dyDescent="0.25">
      <c r="A19903" s="8" t="str">
        <f>"Western States Section of the Combustion Institute Spring Technical Meeting 2010"</f>
        <v>Western States Section of the Combustion Institute Spring Technical Meeting 2010</v>
      </c>
      <c r="B19903" s="8" t="str">
        <f>"9781617384196"</f>
        <v>9781617384196</v>
      </c>
      <c r="C19903" s="8" t="s">
        <v>1599</v>
      </c>
    </row>
    <row r="19904" spans="1:3" x14ac:dyDescent="0.25">
      <c r="A19904" s="8" t="str">
        <f>"Western States Section of the Combustion Institute Spring Technical Meeting 2012"</f>
        <v>Western States Section of the Combustion Institute Spring Technical Meeting 2012</v>
      </c>
      <c r="B19904" s="8" t="str">
        <f>"9781622761241"</f>
        <v>9781622761241</v>
      </c>
      <c r="C19904" s="8" t="s">
        <v>1599</v>
      </c>
    </row>
    <row r="19905" spans="1:3" x14ac:dyDescent="0.25">
      <c r="A19905" s="8" t="str">
        <f>"Western States Section of the Combustion Institute Spring Technical Meeting 2014"</f>
        <v>Western States Section of the Combustion Institute Spring Technical Meeting 2014</v>
      </c>
      <c r="B19905" s="8" t="str">
        <f>"9781632665218"</f>
        <v>9781632665218</v>
      </c>
      <c r="C19905" s="8" t="s">
        <v>1599</v>
      </c>
    </row>
    <row r="19906" spans="1:3" x14ac:dyDescent="0.25">
      <c r="A19906" s="8" t="str">
        <f>"Western States Section/Combustion Institute Fall Meeting 2007"</f>
        <v>Western States Section/Combustion Institute Fall Meeting 2007</v>
      </c>
      <c r="B19906" s="8" t="str">
        <f>"-"</f>
        <v>-</v>
      </c>
      <c r="C19906" s="8" t="s">
        <v>1599</v>
      </c>
    </row>
    <row r="19907" spans="1:3" x14ac:dyDescent="0.25">
      <c r="A19907" s="8" t="str">
        <f>"Western States Section/Combustion Institute Spring Meeting 2008"</f>
        <v>Western States Section/Combustion Institute Spring Meeting 2008</v>
      </c>
      <c r="B19907" s="8" t="str">
        <f>"9781605609874"</f>
        <v>9781605609874</v>
      </c>
      <c r="C19907" s="8" t="s">
        <v>1599</v>
      </c>
    </row>
    <row r="19908" spans="1:3" x14ac:dyDescent="0.25">
      <c r="A19908" s="8" t="str">
        <f>"WGP'06 - Proceedings of the ACM SIGPLAN 2006 Workshop on Generic Programming"</f>
        <v>WGP'06 - Proceedings of the ACM SIGPLAN 2006 Workshop on Generic Programming</v>
      </c>
      <c r="B19908" s="8" t="str">
        <f>"-"</f>
        <v>-</v>
      </c>
      <c r="C19908" s="8" t="s">
        <v>21</v>
      </c>
    </row>
    <row r="19909" spans="1:3" x14ac:dyDescent="0.25">
      <c r="A19909" s="8" t="str">
        <f>"WGP'08 - Proceedings of the 2008 ACM SIGPLAN Workshop on Generic Programming"</f>
        <v>WGP'08 - Proceedings of the 2008 ACM SIGPLAN Workshop on Generic Programming</v>
      </c>
      <c r="B19909" s="8" t="str">
        <f>"9781605580609"</f>
        <v>9781605580609</v>
      </c>
      <c r="C19909" s="8" t="s">
        <v>21</v>
      </c>
    </row>
    <row r="19910" spans="1:3" x14ac:dyDescent="0.25">
      <c r="A19910" s="8" t="str">
        <f>"WGP'11 - Proceedings of the 2011 ACM SIGPLAN Workshop on Generic Programming"</f>
        <v>WGP'11 - Proceedings of the 2011 ACM SIGPLAN Workshop on Generic Programming</v>
      </c>
      <c r="B19910" s="8" t="str">
        <f>"9781450308618"</f>
        <v>9781450308618</v>
      </c>
      <c r="C19910" s="8" t="s">
        <v>21</v>
      </c>
    </row>
    <row r="19911" spans="1:3" x14ac:dyDescent="0.25">
      <c r="A19911" s="8" t="str">
        <f>"WGP'12 - Proceedings of the ACM SIGPLAN Workshop on Generic Programming"</f>
        <v>WGP'12 - Proceedings of the ACM SIGPLAN Workshop on Generic Programming</v>
      </c>
      <c r="B19911" s="8" t="str">
        <f>"9781450315760"</f>
        <v>9781450315760</v>
      </c>
      <c r="C19911" s="8" t="s">
        <v>21</v>
      </c>
    </row>
    <row r="19912" spans="1:3" x14ac:dyDescent="0.25">
      <c r="A19912" s="8" t="str">
        <f>"WHEC 2012 Conference Proceedings - 19th World Hydrogen Energy Conference"</f>
        <v>WHEC 2012 Conference Proceedings - 19th World Hydrogen Energy Conference</v>
      </c>
      <c r="B19912" s="8" t="str">
        <f>"-"</f>
        <v>-</v>
      </c>
      <c r="C19912" s="8" t="s">
        <v>19</v>
      </c>
    </row>
    <row r="19913" spans="1:3" x14ac:dyDescent="0.25">
      <c r="A19913" s="8" t="str">
        <f>"WHISPERS '09 - 1st Workshop on Hyperspectral Image and Signal Processing: Evolution in Remote Sensing"</f>
        <v>WHISPERS '09 - 1st Workshop on Hyperspectral Image and Signal Processing: Evolution in Remote Sensing</v>
      </c>
      <c r="B19913" s="8" t="str">
        <f>"9781424446872"</f>
        <v>9781424446872</v>
      </c>
      <c r="C19913" s="8" t="s">
        <v>9</v>
      </c>
    </row>
    <row r="19914" spans="1:3" x14ac:dyDescent="0.25">
      <c r="A19914" s="8" t="str">
        <f>"WHPCF'11 - Proceedings of the 4th Workshop on High Performance Computational Finance, Co-located with SC'11"</f>
        <v>WHPCF'11 - Proceedings of the 4th Workshop on High Performance Computational Finance, Co-located with SC'11</v>
      </c>
      <c r="B19914" s="8" t="str">
        <f>"9781450311083"</f>
        <v>9781450311083</v>
      </c>
      <c r="C19914" s="8" t="s">
        <v>21</v>
      </c>
    </row>
    <row r="19915" spans="1:3" x14ac:dyDescent="0.25">
      <c r="A19915" s="8" t="str">
        <f>"WIAMIS 2008 - Proceedings of the 9th International Workshop on Image Analysis for Multimedia Interactive Services"</f>
        <v>WIAMIS 2008 - Proceedings of the 9th International Workshop on Image Analysis for Multimedia Interactive Services</v>
      </c>
      <c r="B19915" s="8" t="str">
        <f>"9780769531304"</f>
        <v>9780769531304</v>
      </c>
      <c r="C19915" s="8" t="s">
        <v>9</v>
      </c>
    </row>
    <row r="19916" spans="1:3" x14ac:dyDescent="0.25">
      <c r="A19916" s="8" t="str">
        <f>"Wichita Aviation Technology Congress and Exhibition"</f>
        <v>Wichita Aviation Technology Congress and Exhibition</v>
      </c>
      <c r="B19916" s="8" t="str">
        <f>"-"</f>
        <v>-</v>
      </c>
      <c r="C19916" s="8" t="s">
        <v>1040</v>
      </c>
    </row>
    <row r="19917" spans="1:3" x14ac:dyDescent="0.25">
      <c r="A19917" s="8" t="str">
        <f>"WICON 2007 - 3rd International ICST Conference on Wireless Internet"</f>
        <v>WICON 2007 - 3rd International ICST Conference on Wireless Internet</v>
      </c>
      <c r="B19917" s="8" t="str">
        <f>"9789639799127"</f>
        <v>9789639799127</v>
      </c>
      <c r="C19917" s="8" t="s">
        <v>1504</v>
      </c>
    </row>
    <row r="19918" spans="1:3" x14ac:dyDescent="0.25">
      <c r="A19918" s="8" t="str">
        <f>"WICOW'09 - Proceedings of the 3rd Workshop on Information Credibility on the Web, Co-located with WWW 2009"</f>
        <v>WICOW'09 - Proceedings of the 3rd Workshop on Information Credibility on the Web, Co-located with WWW 2009</v>
      </c>
      <c r="B19918" s="8" t="str">
        <f>"9781605584881"</f>
        <v>9781605584881</v>
      </c>
      <c r="C19918" s="8" t="s">
        <v>21</v>
      </c>
    </row>
    <row r="19919" spans="1:3" x14ac:dyDescent="0.25">
      <c r="A19919" s="8" t="str">
        <f>"WIFS 2012 - Proceedings of the 2012 IEEE International Workshop on Information Forensics and Security"</f>
        <v>WIFS 2012 - Proceedings of the 2012 IEEE International Workshop on Information Forensics and Security</v>
      </c>
      <c r="B19919" s="8" t="str">
        <f>"9781467322874"</f>
        <v>9781467322874</v>
      </c>
      <c r="C19919" s="8" t="s">
        <v>9</v>
      </c>
    </row>
    <row r="19920" spans="1:3" x14ac:dyDescent="0.25">
      <c r="A19920" s="8" t="str">
        <f>"WikiSym 2005 - Conference Proceedings of the 2005 International Symposium on Wikis"</f>
        <v>WikiSym 2005 - Conference Proceedings of the 2005 International Symposium on Wikis</v>
      </c>
      <c r="B19920" s="8" t="str">
        <f>"9781595931115"</f>
        <v>9781595931115</v>
      </c>
      <c r="C19920" s="8" t="s">
        <v>21</v>
      </c>
    </row>
    <row r="19921" spans="1:3" x14ac:dyDescent="0.25">
      <c r="A19921" s="8" t="str">
        <f>"WikiSym 2008 - The 4th International Symposium on Wikis, Proceedings"</f>
        <v>WikiSym 2008 - The 4th International Symposium on Wikis, Proceedings</v>
      </c>
      <c r="B19921" s="8" t="str">
        <f>"-"</f>
        <v>-</v>
      </c>
      <c r="C19921" s="8" t="s">
        <v>21</v>
      </c>
    </row>
    <row r="19922" spans="1:3" x14ac:dyDescent="0.25">
      <c r="A19922" s="8" t="str">
        <f>"WikiSym 2011 Conference Proceedings - 7th Annual International Symposium on Wikis and Open Collaboration"</f>
        <v>WikiSym 2011 Conference Proceedings - 7th Annual International Symposium on Wikis and Open Collaboration</v>
      </c>
      <c r="B19922" s="8" t="str">
        <f>"-"</f>
        <v>-</v>
      </c>
      <c r="C19922" s="8" t="s">
        <v>21</v>
      </c>
    </row>
    <row r="19923" spans="1:3" x14ac:dyDescent="0.25">
      <c r="A19923" s="8" t="str">
        <f>"WikiSym 2012 Conference Proceedings - 8th Annual International Symposium on Wikis and Open Collaboration"</f>
        <v>WikiSym 2012 Conference Proceedings - 8th Annual International Symposium on Wikis and Open Collaboration</v>
      </c>
      <c r="B19923" s="8" t="str">
        <f>"9781450316057"</f>
        <v>9781450316057</v>
      </c>
      <c r="C19923" s="8" t="s">
        <v>21</v>
      </c>
    </row>
    <row r="19924" spans="1:3" x14ac:dyDescent="0.25">
      <c r="A19924" s="8" t="str">
        <f>"WiMesh 2005 - 1st IEEE Workshop on Wireless Mesh Networks, Held in Conjunction with SECON 2005"</f>
        <v>WiMesh 2005 - 1st IEEE Workshop on Wireless Mesh Networks, Held in Conjunction with SECON 2005</v>
      </c>
      <c r="B19924" s="8" t="str">
        <f>"-"</f>
        <v>-</v>
      </c>
      <c r="C19924" s="8" t="s">
        <v>9</v>
      </c>
    </row>
    <row r="19925" spans="1:3" x14ac:dyDescent="0.25">
      <c r="A19925" s="8" t="str">
        <f>"WiMob 2009 - 5th IEEE International Conference on Wireless and Mobile Computing Networking and Communication"</f>
        <v>WiMob 2009 - 5th IEEE International Conference on Wireless and Mobile Computing Networking and Communication</v>
      </c>
      <c r="B19925" s="8" t="str">
        <f>"9780769538419"</f>
        <v>9780769538419</v>
      </c>
      <c r="C19925" s="8" t="s">
        <v>9</v>
      </c>
    </row>
    <row r="19926" spans="1:3" x14ac:dyDescent="0.25">
      <c r="A19926" s="8" t="str">
        <f>"Wind and Earthquake Engineering - Proceedings of the 10th East Asia-Pacific Conference on Structural Engineering and Construction, EASEC 2010"</f>
        <v>Wind and Earthquake Engineering - Proceedings of the 10th East Asia-Pacific Conference on Structural Engineering and Construction, EASEC 2010</v>
      </c>
      <c r="B19926" s="8" t="str">
        <f>"9789748257235"</f>
        <v>9789748257235</v>
      </c>
      <c r="C19926" s="8" t="s">
        <v>1670</v>
      </c>
    </row>
    <row r="19927" spans="1:3" x14ac:dyDescent="0.25">
      <c r="A19927" s="8" t="str">
        <f>"WINSYS 2006 - International Conference on Wireless Information Networks and Systems, Proceedings"</f>
        <v>WINSYS 2006 - International Conference on Wireless Information Networks and Systems, Proceedings</v>
      </c>
      <c r="B19927" s="8" t="str">
        <f>"9789728865658"</f>
        <v>9789728865658</v>
      </c>
      <c r="C19927" s="8" t="s">
        <v>1680</v>
      </c>
    </row>
    <row r="19928" spans="1:3" x14ac:dyDescent="0.25">
      <c r="A19928" s="8" t="str">
        <f>"WINSYS 2007 - International Conference on Wireless Information Networks and Systems, Proceedings"</f>
        <v>WINSYS 2007 - International Conference on Wireless Information Networks and Systems, Proceedings</v>
      </c>
      <c r="B19928" s="8" t="str">
        <f>"-"</f>
        <v>-</v>
      </c>
      <c r="C19928" s="8" t="s">
        <v>1680</v>
      </c>
    </row>
    <row r="19929" spans="1:3" x14ac:dyDescent="0.25">
      <c r="A19929" s="8" t="str">
        <f>"WINSYS 2008 - International Conference on Wireless Information Networks and Systems, Proceedings"</f>
        <v>WINSYS 2008 - International Conference on Wireless Information Networks and Systems, Proceedings</v>
      </c>
      <c r="B19929" s="8" t="str">
        <f>"9789898111623"</f>
        <v>9789898111623</v>
      </c>
      <c r="C19929" s="8" t="s">
        <v>1553</v>
      </c>
    </row>
    <row r="19930" spans="1:3" x14ac:dyDescent="0.25">
      <c r="A19930" s="8" t="str">
        <f>"WINSYS 2009 - International Conference on Wireless Information Networks and Systems, Proceedings"</f>
        <v>WINSYS 2009 - International Conference on Wireless Information Networks and Systems, Proceedings</v>
      </c>
      <c r="B19930" s="8" t="str">
        <f>"9789896740085"</f>
        <v>9789896740085</v>
      </c>
      <c r="C19930" s="8" t="s">
        <v>1680</v>
      </c>
    </row>
    <row r="19931" spans="1:3" x14ac:dyDescent="0.25">
      <c r="A19931" s="8" t="str">
        <f>"WINSYS 2010 - Proceedings of the International Conference on Wireless Information Networks and Systems"</f>
        <v>WINSYS 2010 - Proceedings of the International Conference on Wireless Information Networks and Systems</v>
      </c>
      <c r="B19931" s="8" t="str">
        <f>"9789898425249"</f>
        <v>9789898425249</v>
      </c>
      <c r="C19931" s="8" t="s">
        <v>1553</v>
      </c>
    </row>
    <row r="19932" spans="1:3" x14ac:dyDescent="0.25">
      <c r="A19932" s="8" t="str">
        <f>"WINSYS 2011 - Proceedings of the International Conference on Wireless Information Networks and Systems"</f>
        <v>WINSYS 2011 - Proceedings of the International Conference on Wireless Information Networks and Systems</v>
      </c>
      <c r="B19932" s="8" t="str">
        <f>"9789898425737"</f>
        <v>9789898425737</v>
      </c>
      <c r="C19932" s="8" t="s">
        <v>1680</v>
      </c>
    </row>
    <row r="19933" spans="1:3" x14ac:dyDescent="0.25">
      <c r="A19933" s="8" t="str">
        <f>"WINSYS 2014 - Proceedings of the 11th International Conference on Wireless Information Networks and Systems, Part of ICETE 2014 - 11th International Joint Conference on e-Business and Telecommunications"</f>
        <v>WINSYS 2014 - Proceedings of the 11th International Conference on Wireless Information Networks and Systems, Part of ICETE 2014 - 11th International Joint Conference on e-Business and Telecommunications</v>
      </c>
      <c r="B19933" s="8" t="str">
        <f>"9789897580475"</f>
        <v>9789897580475</v>
      </c>
      <c r="C19933" s="8" t="s">
        <v>1197</v>
      </c>
    </row>
    <row r="19934" spans="1:3" x14ac:dyDescent="0.25">
      <c r="A19934" s="8" t="str">
        <f>"WiNTECH 2006 - Proceedings of the First ACM International Workshop on Wireless Network Testbeds, Experimental Evaluation and Characterization (co-located with MobiCom 2006)"</f>
        <v>WiNTECH 2006 - Proceedings of the First ACM International Workshop on Wireless Network Testbeds, Experimental Evaluation and Characterization (co-located with MobiCom 2006)</v>
      </c>
      <c r="B19934" s="8" t="str">
        <f>"-"</f>
        <v>-</v>
      </c>
      <c r="C19934" s="8" t="s">
        <v>21</v>
      </c>
    </row>
    <row r="19935" spans="1:3" x14ac:dyDescent="0.25">
      <c r="A19935" s="8" t="str">
        <f>"WiNTECH 2014 - Proceedings of the 9th ACM MobiCom Workshop on Wireless Network Testbeds, Experimental Evaluation and Characterization"</f>
        <v>WiNTECH 2014 - Proceedings of the 9th ACM MobiCom Workshop on Wireless Network Testbeds, Experimental Evaluation and Characterization</v>
      </c>
      <c r="B19935" s="8" t="str">
        <f>"9781450330725"</f>
        <v>9781450330725</v>
      </c>
      <c r="C19935" s="8" t="s">
        <v>1235</v>
      </c>
    </row>
    <row r="19936" spans="1:3" x14ac:dyDescent="0.25">
      <c r="A19936" s="8" t="str">
        <f>"WiNTECH'09 - Proc. 4th ACM International Workshop on Wireless Network Testbeds, Experimental Evaluation and Characterization"</f>
        <v>WiNTECH'09 - Proc. 4th ACM International Workshop on Wireless Network Testbeds, Experimental Evaluation and Characterization</v>
      </c>
      <c r="B19936" s="8" t="str">
        <f>"9781605587400"</f>
        <v>9781605587400</v>
      </c>
      <c r="C19936" s="8" t="s">
        <v>21</v>
      </c>
    </row>
    <row r="19937" spans="1:3" x14ac:dyDescent="0.25">
      <c r="A19937" s="8" t="str">
        <f>"WIO 2013 - 12th Workshop on Information Optics, Proceedings"</f>
        <v>WIO 2013 - 12th Workshop on Information Optics, Proceedings</v>
      </c>
      <c r="B19937" s="8" t="str">
        <f>"9781479907687"</f>
        <v>9781479907687</v>
      </c>
      <c r="C19937" s="8" t="s">
        <v>9</v>
      </c>
    </row>
    <row r="19938" spans="1:3" x14ac:dyDescent="0.25">
      <c r="A19938" s="8" t="str">
        <f>"WiOpt 2010 - 8th Intl. Symposium on Modeling and Optimization in Mobile, Ad Hoc, and Wireless Networks"</f>
        <v>WiOpt 2010 - 8th Intl. Symposium on Modeling and Optimization in Mobile, Ad Hoc, and Wireless Networks</v>
      </c>
      <c r="B19938" s="8" t="str">
        <f>"9781424475254"</f>
        <v>9781424475254</v>
      </c>
      <c r="C19938" s="8" t="s">
        <v>9</v>
      </c>
    </row>
    <row r="19939" spans="1:3" x14ac:dyDescent="0.25">
      <c r="A19939" s="8" t="str">
        <f>"Wireless Technology 2005, Conference Proceedings - 8th European Conference on Wireless Technology"</f>
        <v>Wireless Technology 2005, Conference Proceedings - 8th European Conference on Wireless Technology</v>
      </c>
      <c r="B19939" s="8" t="str">
        <f>"-"</f>
        <v>-</v>
      </c>
      <c r="C19939" s="8" t="s">
        <v>9</v>
      </c>
    </row>
    <row r="19940" spans="1:3" x14ac:dyDescent="0.25">
      <c r="A19940" s="8" t="str">
        <f>"WiSe - Proceedings of the 2005 ACM Workshop on Wireless Security"</f>
        <v>WiSe - Proceedings of the 2005 ACM Workshop on Wireless Security</v>
      </c>
      <c r="B19940" s="8" t="str">
        <f>"-"</f>
        <v>-</v>
      </c>
      <c r="C19940" s="8" t="s">
        <v>21</v>
      </c>
    </row>
    <row r="19941" spans="1:3" x14ac:dyDescent="0.25">
      <c r="A19941" s="8" t="str">
        <f>"WiSE 2006 - Proceedings of the 5th ACM Workshop on Wireless Security"</f>
        <v>WiSE 2006 - Proceedings of the 5th ACM Workshop on Wireless Security</v>
      </c>
      <c r="B19941" s="8" t="str">
        <f>"-"</f>
        <v>-</v>
      </c>
      <c r="C19941" s="8" t="s">
        <v>21</v>
      </c>
    </row>
    <row r="19942" spans="1:3" x14ac:dyDescent="0.25">
      <c r="A19942" s="8" t="str">
        <f>"WISE 2014 - Proceedings of the 2014 ACM International Workshop on Long-Term Industrial Collaboration on Software Engineering, Co-located with ASE 2014"</f>
        <v>WISE 2014 - Proceedings of the 2014 ACM International Workshop on Long-Term Industrial Collaboration on Software Engineering, Co-located with ASE 2014</v>
      </c>
      <c r="B19942" s="8" t="str">
        <f>"9781450330459"</f>
        <v>9781450330459</v>
      </c>
      <c r="C19942" s="8" t="s">
        <v>1235</v>
      </c>
    </row>
    <row r="19943" spans="1:3" x14ac:dyDescent="0.25">
      <c r="A19943" s="8" t="str">
        <f>"WiSec 2013 - Proceedings of the 6th ACM Conference on Security and Privacy in Wireless and Mobile Networks"</f>
        <v>WiSec 2013 - Proceedings of the 6th ACM Conference on Security and Privacy in Wireless and Mobile Networks</v>
      </c>
      <c r="B19943" s="8" t="str">
        <f>"9781450319980"</f>
        <v>9781450319980</v>
      </c>
      <c r="C19943" s="8" t="s">
        <v>21</v>
      </c>
    </row>
    <row r="19944" spans="1:3" x14ac:dyDescent="0.25">
      <c r="A19944" s="8" t="str">
        <f>"WiSec'08: Proceedings of the 1st ACM Conference on Wireless Network Security"</f>
        <v>WiSec'08: Proceedings of the 1st ACM Conference on Wireless Network Security</v>
      </c>
      <c r="B19944" s="8" t="str">
        <f>"9781595938145"</f>
        <v>9781595938145</v>
      </c>
      <c r="C19944" s="8" t="s">
        <v>21</v>
      </c>
    </row>
    <row r="19945" spans="1:3" x14ac:dyDescent="0.25">
      <c r="A19945" s="8" t="str">
        <f>"WiSec'10 - Proceedings of the 3rd ACM Conference on Wireless Network Security"</f>
        <v>WiSec'10 - Proceedings of the 3rd ACM Conference on Wireless Network Security</v>
      </c>
      <c r="B19945" s="8" t="str">
        <f>"9781605589237"</f>
        <v>9781605589237</v>
      </c>
      <c r="C19945" s="8" t="s">
        <v>21</v>
      </c>
    </row>
    <row r="19946" spans="1:3" x14ac:dyDescent="0.25">
      <c r="A19946" s="8" t="str">
        <f>"WiSec'11 - Proceedings of the 4th ACM Conference on Wireless Network Security"</f>
        <v>WiSec'11 - Proceedings of the 4th ACM Conference on Wireless Network Security</v>
      </c>
      <c r="B19946" s="8" t="str">
        <f>"9781450306928"</f>
        <v>9781450306928</v>
      </c>
      <c r="C19946" s="8" t="s">
        <v>21</v>
      </c>
    </row>
    <row r="19947" spans="1:3" x14ac:dyDescent="0.25">
      <c r="A19947" s="8" t="str">
        <f>"WiSec'12 - Proceedings of the 5th ACM Conference on Security and Privacy in Wireless and Mobile Networks"</f>
        <v>WiSec'12 - Proceedings of the 5th ACM Conference on Security and Privacy in Wireless and Mobile Networks</v>
      </c>
      <c r="B19947" s="8" t="str">
        <f>"9781450312653"</f>
        <v>9781450312653</v>
      </c>
      <c r="C19947" s="8" t="s">
        <v>21</v>
      </c>
    </row>
    <row r="19948" spans="1:3" x14ac:dyDescent="0.25">
      <c r="A19948" s="8" t="str">
        <f>"WISER 2004 - ACM Workshop on Interdisciplinary Software Engineering Research"</f>
        <v>WISER 2004 - ACM Workshop on Interdisciplinary Software Engineering Research</v>
      </c>
      <c r="B19948" s="8" t="str">
        <f>"9781581139884"</f>
        <v>9781581139884</v>
      </c>
      <c r="C19948" s="8" t="s">
        <v>21</v>
      </c>
    </row>
    <row r="19949" spans="1:3" x14ac:dyDescent="0.25">
      <c r="A19949" s="8" t="str">
        <f>"WISES 2010 - 2010 8th IEEE Workshop on Intelligent Solutions in Embedded Systems"</f>
        <v>WISES 2010 - 2010 8th IEEE Workshop on Intelligent Solutions in Embedded Systems</v>
      </c>
      <c r="B19949" s="8" t="str">
        <f>"9781424457168"</f>
        <v>9781424457168</v>
      </c>
      <c r="C19949" s="8" t="s">
        <v>9</v>
      </c>
    </row>
    <row r="19950" spans="1:3" x14ac:dyDescent="0.25">
      <c r="A19950" s="8" t="str">
        <f>"WISES 2012 - Proceedings, Workshop on Intelligent Solutions in Embedded Systems"</f>
        <v>WISES 2012 - Proceedings, Workshop on Intelligent Solutions in Embedded Systems</v>
      </c>
      <c r="B19950" s="8" t="str">
        <f>"9781467324649"</f>
        <v>9781467324649</v>
      </c>
      <c r="C19950" s="8" t="s">
        <v>9</v>
      </c>
    </row>
    <row r="19951" spans="1:3" x14ac:dyDescent="0.25">
      <c r="A19951" s="8" t="str">
        <f>"WISMM 2014 - Proceedings of the 1st International Workshop on Internet-Scale Multimedia Management, Workshop of MM 2014"</f>
        <v>WISMM 2014 - Proceedings of the 1st International Workshop on Internet-Scale Multimedia Management, Workshop of MM 2014</v>
      </c>
      <c r="B19951" s="8" t="str">
        <f>"9781450331579"</f>
        <v>9781450331579</v>
      </c>
      <c r="C19951" s="8" t="s">
        <v>1235</v>
      </c>
    </row>
    <row r="19952" spans="1:3" x14ac:dyDescent="0.25">
      <c r="A19952" s="8" t="str">
        <f>"WiSNet 2013 - Proceedings: 2013 IEEE Topical Conference on Wireless Sensors and Sensor Networks - 2013 IEEE Radio and Wireless Week, RWW 2013"</f>
        <v>WiSNet 2013 - Proceedings: 2013 IEEE Topical Conference on Wireless Sensors and Sensor Networks - 2013 IEEE Radio and Wireless Week, RWW 2013</v>
      </c>
      <c r="B19952" s="8" t="str">
        <f>"9781467329309"</f>
        <v>9781467329309</v>
      </c>
      <c r="C19952" s="8" t="s">
        <v>9</v>
      </c>
    </row>
    <row r="19953" spans="1:3" x14ac:dyDescent="0.25">
      <c r="A19953" s="8" t="str">
        <f>"WISP 2009 - 6th IEEE International Symposium on Intelligent Signal Processing - Proceedings"</f>
        <v>WISP 2009 - 6th IEEE International Symposium on Intelligent Signal Processing - Proceedings</v>
      </c>
      <c r="B19953" s="8" t="str">
        <f>"9781424450596"</f>
        <v>9781424450596</v>
      </c>
      <c r="C19953" s="8" t="s">
        <v>9</v>
      </c>
    </row>
    <row r="19954" spans="1:3" x14ac:dyDescent="0.25">
      <c r="A19954" s="8" t="str">
        <f>"WISP 2011 - IEEE International Symposium on Intelligent Signal Processing, Proceedings"</f>
        <v>WISP 2011 - IEEE International Symposium on Intelligent Signal Processing, Proceedings</v>
      </c>
      <c r="B19954" s="8" t="str">
        <f>"9781457714016"</f>
        <v>9781457714016</v>
      </c>
      <c r="C19954" s="8" t="s">
        <v>9</v>
      </c>
    </row>
    <row r="19955" spans="1:3" x14ac:dyDescent="0.25">
      <c r="A19955" s="8" t="str">
        <f>"WISP 2015 - IEEE International Symposium on Intelligent Signal Processing, Proceedings"</f>
        <v>WISP 2015 - IEEE International Symposium on Intelligent Signal Processing, Proceedings</v>
      </c>
      <c r="B19955" s="8" t="str">
        <f>"9781479972524"</f>
        <v>9781479972524</v>
      </c>
      <c r="C19955" s="8" t="s">
        <v>105</v>
      </c>
    </row>
    <row r="19956" spans="1:3" x14ac:dyDescent="0.25">
      <c r="A19956" s="8" t="str">
        <f>"WITS 2007 - Proceedings, 17th Annual Workshop on Information Technologies and Systems"</f>
        <v>WITS 2007 - Proceedings, 17th Annual Workshop on Information Technologies and Systems</v>
      </c>
      <c r="B19956" s="8" t="str">
        <f>"-"</f>
        <v>-</v>
      </c>
      <c r="C19956" s="8" t="s">
        <v>2103</v>
      </c>
    </row>
    <row r="19957" spans="1:3" x14ac:dyDescent="0.25">
      <c r="A19957" s="8" t="str">
        <f>"WMASH 2005 - Proceedings of the Third ACM International Workshop on Wireless Mobile Applications and Services on WLAN Hotspots"</f>
        <v>WMASH 2005 - Proceedings of the Third ACM International Workshop on Wireless Mobile Applications and Services on WLAN Hotspots</v>
      </c>
      <c r="B19957" s="8" t="str">
        <f>"-"</f>
        <v>-</v>
      </c>
      <c r="C19957" s="8" t="s">
        <v>21</v>
      </c>
    </row>
    <row r="19958" spans="1:3" x14ac:dyDescent="0.25">
      <c r="A19958" s="8" t="str">
        <f>"wmash 2006 - Proceedings of the Fourth ACM International Workshop on Wireless Mobile Applications and Services on WLAN Hotspots"</f>
        <v>wmash 2006 - Proceedings of the Fourth ACM International Workshop on Wireless Mobile Applications and Services on WLAN Hotspots</v>
      </c>
      <c r="B19958" s="8" t="str">
        <f>"-"</f>
        <v>-</v>
      </c>
      <c r="C19958" s="8" t="s">
        <v>21</v>
      </c>
    </row>
    <row r="19959" spans="1:3" x14ac:dyDescent="0.25">
      <c r="A19959" s="8" t="str">
        <f>"WMED 2010 - 8th IEEE Workshop on Microelectronics and Electron Devices"</f>
        <v>WMED 2010 - 8th IEEE Workshop on Microelectronics and Electron Devices</v>
      </c>
      <c r="B19959" s="8" t="str">
        <f>"9781424465750"</f>
        <v>9781424465750</v>
      </c>
      <c r="C19959" s="8" t="s">
        <v>9</v>
      </c>
    </row>
    <row r="19960" spans="1:3" x14ac:dyDescent="0.25">
      <c r="A19960" s="8" t="str">
        <f>"WMSCI 2005 - The 9th World Multi-Conference on Systemics, Cybernetics and Informatics, Proceedings"</f>
        <v>WMSCI 2005 - The 9th World Multi-Conference on Systemics, Cybernetics and Informatics, Proceedings</v>
      </c>
      <c r="B19960" s="8" t="str">
        <f>"-"</f>
        <v>-</v>
      </c>
      <c r="C19960" s="8" t="s">
        <v>2375</v>
      </c>
    </row>
    <row r="19961" spans="1:3" x14ac:dyDescent="0.25">
      <c r="A19961" s="8" t="str">
        <f>"WMSCI 2006 - The 10th World Multi-Conference on Systemics, Cybernetics and Informatics, Jointly with the 12th International Conference on Information Systems Analysis and Synthesis, ISAS 2006 - Proc."</f>
        <v>WMSCI 2006 - The 10th World Multi-Conference on Systemics, Cybernetics and Informatics, Jointly with the 12th International Conference on Information Systems Analysis and Synthesis, ISAS 2006 - Proc.</v>
      </c>
      <c r="B19961" s="8" t="str">
        <f>"9789806560666"</f>
        <v>9789806560666</v>
      </c>
      <c r="C19961" s="8" t="s">
        <v>2375</v>
      </c>
    </row>
    <row r="19962" spans="1:3" x14ac:dyDescent="0.25">
      <c r="A19962" s="8" t="str">
        <f>"WMSCI 2007 - The 11th World Multi-Conference on Systemics, Cybernetics and Informatics, Jointly with the 13th International Conference on Information Systems Analysis and Synthesis, ISAS 2007 - Proc."</f>
        <v>WMSCI 2007 - The 11th World Multi-Conference on Systemics, Cybernetics and Informatics, Jointly with the 13th International Conference on Information Systems Analysis and Synthesis, ISAS 2007 - Proc.</v>
      </c>
      <c r="B19962" s="8" t="str">
        <f t="shared" ref="B19962:B19969" si="43">"-"</f>
        <v>-</v>
      </c>
      <c r="C19962" s="8" t="s">
        <v>2375</v>
      </c>
    </row>
    <row r="19963" spans="1:3" x14ac:dyDescent="0.25">
      <c r="A19963" s="8" t="str">
        <f>"WMSCI 2008 - The 12th World Multi-Conference on Systemics, Cybernetics and Informatics, Jointly with the 14th International Conference on Information Systems Analysis and Synthesis, ISAS 2008 - Proc."</f>
        <v>WMSCI 2008 - The 12th World Multi-Conference on Systemics, Cybernetics and Informatics, Jointly with the 14th International Conference on Information Systems Analysis and Synthesis, ISAS 2008 - Proc.</v>
      </c>
      <c r="B19963" s="8" t="str">
        <f t="shared" si="43"/>
        <v>-</v>
      </c>
      <c r="C19963" s="8" t="s">
        <v>2375</v>
      </c>
    </row>
    <row r="19964" spans="1:3" x14ac:dyDescent="0.25">
      <c r="A19964" s="8" t="str">
        <f>"WMSCI 2009 - The 13th World Multi-Conference on Systemics, Cybernetics and Informatics, Jointly with the 15th International Conference on Information Systems Analysis and Synthesis, ISAS 2009 - Proc."</f>
        <v>WMSCI 2009 - The 13th World Multi-Conference on Systemics, Cybernetics and Informatics, Jointly with the 15th International Conference on Information Systems Analysis and Synthesis, ISAS 2009 - Proc.</v>
      </c>
      <c r="B19964" s="8" t="str">
        <f t="shared" si="43"/>
        <v>-</v>
      </c>
      <c r="C19964" s="8" t="s">
        <v>2375</v>
      </c>
    </row>
    <row r="19965" spans="1:3" x14ac:dyDescent="0.25">
      <c r="A19965" s="8" t="str">
        <f>"WMSCI 2010 - The 14th World Multi-Conference on Systemics, Cybernetics and Informatics, Proceedings"</f>
        <v>WMSCI 2010 - The 14th World Multi-Conference on Systemics, Cybernetics and Informatics, Proceedings</v>
      </c>
      <c r="B19965" s="8" t="str">
        <f t="shared" si="43"/>
        <v>-</v>
      </c>
      <c r="C19965" s="8" t="s">
        <v>2375</v>
      </c>
    </row>
    <row r="19966" spans="1:3" x14ac:dyDescent="0.25">
      <c r="A19966" s="8" t="str">
        <f>"WMSCI 2011 - The 15th World Multi-Conference on Systemics, Cybernetics and Informatics, Proceedings"</f>
        <v>WMSCI 2011 - The 15th World Multi-Conference on Systemics, Cybernetics and Informatics, Proceedings</v>
      </c>
      <c r="B19966" s="8" t="str">
        <f t="shared" si="43"/>
        <v>-</v>
      </c>
      <c r="C19966" s="8" t="s">
        <v>2375</v>
      </c>
    </row>
    <row r="19967" spans="1:3" x14ac:dyDescent="0.25">
      <c r="A19967" s="8" t="str">
        <f>"WMSCI 2012 - The 16th World Multi-Conference on Systemics, Cybernetics and Informatics, Proceedings"</f>
        <v>WMSCI 2012 - The 16th World Multi-Conference on Systemics, Cybernetics and Informatics, Proceedings</v>
      </c>
      <c r="B19967" s="8" t="str">
        <f t="shared" si="43"/>
        <v>-</v>
      </c>
      <c r="C19967" s="8" t="s">
        <v>2376</v>
      </c>
    </row>
    <row r="19968" spans="1:3" x14ac:dyDescent="0.25">
      <c r="A19968" s="8" t="str">
        <f>"WMSCI 2013 - 17th World Multi-Conference on Systemics, Cybernetics and Informatics, Proceedings"</f>
        <v>WMSCI 2013 - 17th World Multi-Conference on Systemics, Cybernetics and Informatics, Proceedings</v>
      </c>
      <c r="B19968" s="8" t="str">
        <f t="shared" si="43"/>
        <v>-</v>
      </c>
      <c r="C19968" s="8" t="s">
        <v>2375</v>
      </c>
    </row>
    <row r="19969" spans="1:3" x14ac:dyDescent="0.25">
      <c r="A19969" s="8" t="str">
        <f>"WMSCI 2014 - 18th World Multi-Conference on Systemics, Cybernetics and Informatics, Proceedings"</f>
        <v>WMSCI 2014 - 18th World Multi-Conference on Systemics, Cybernetics and Informatics, Proceedings</v>
      </c>
      <c r="B19969" s="8" t="str">
        <f t="shared" si="43"/>
        <v>-</v>
      </c>
      <c r="C19969" s="8" t="s">
        <v>1502</v>
      </c>
    </row>
    <row r="19970" spans="1:3" x14ac:dyDescent="0.25">
      <c r="A19970" s="8" t="str">
        <f>"WMuNeP 2006: Proceedings of the Second ACM International Workshop on Wireless Multimedia Networking and Performance Modeling"</f>
        <v>WMuNeP 2006: Proceedings of the Second ACM International Workshop on Wireless Multimedia Networking and Performance Modeling</v>
      </c>
      <c r="B19970" s="8" t="str">
        <f>"9781595934857"</f>
        <v>9781595934857</v>
      </c>
      <c r="C19970" s="8" t="s">
        <v>21</v>
      </c>
    </row>
    <row r="19971" spans="1:3" x14ac:dyDescent="0.25">
      <c r="A19971" s="8" t="str">
        <f>"WMuNeP'05 - Proceedings of the First ACM International Workshop on Wireless Multimedia Networking and Performance Modeling"</f>
        <v>WMuNeP'05 - Proceedings of the First ACM International Workshop on Wireless Multimedia Networking and Performance Modeling</v>
      </c>
      <c r="B19971" s="8" t="str">
        <f>"9781595931832"</f>
        <v>9781595931832</v>
      </c>
      <c r="C19971" s="8" t="s">
        <v>21</v>
      </c>
    </row>
    <row r="19972" spans="1:3" x14ac:dyDescent="0.25">
      <c r="A19972" s="8" t="str">
        <f>"WMuNeP'07: Proceedings of the Third ACM Workshop on Wireless Multimedia Networking and Performance Modeling"</f>
        <v>WMuNeP'07: Proceedings of the Third ACM Workshop on Wireless Multimedia Networking and Performance Modeling</v>
      </c>
      <c r="B19972" s="8" t="str">
        <f>"9781595938046"</f>
        <v>9781595938046</v>
      </c>
      <c r="C19972" s="8" t="s">
        <v>21</v>
      </c>
    </row>
    <row r="19973" spans="1:3" x14ac:dyDescent="0.25">
      <c r="A19973" s="8" t="str">
        <f>"WMuNeP'08: Proceedings of the 4th ACM International Workshop on Wireless Multimedia Networking and Performance Modeling"</f>
        <v>WMuNeP'08: Proceedings of the 4th ACM International Workshop on Wireless Multimedia Networking and Performance Modeling</v>
      </c>
      <c r="B19973" s="8" t="str">
        <f>"9781605582382"</f>
        <v>9781605582382</v>
      </c>
      <c r="C19973" s="8" t="s">
        <v>21</v>
      </c>
    </row>
    <row r="19974" spans="1:3" x14ac:dyDescent="0.25">
      <c r="A19974" s="8" t="str">
        <f>"WMuNeP'11 - Proceedings of the 7th ACM Workshop on Wireless Multimedia Networking and Computing, Co-located with MSWiM'11"</f>
        <v>WMuNeP'11 - Proceedings of the 7th ACM Workshop on Wireless Multimedia Networking and Computing, Co-located with MSWiM'11</v>
      </c>
      <c r="B19974" s="8" t="str">
        <f>"9781450309035"</f>
        <v>9781450309035</v>
      </c>
      <c r="C19974" s="8" t="s">
        <v>21</v>
      </c>
    </row>
    <row r="19975" spans="1:3" x14ac:dyDescent="0.25">
      <c r="A19975" s="8" t="str">
        <f>"W-MUST'12 - ACM Proceedings of the Workshop on Measurements Up and Down the Stack"</f>
        <v>W-MUST'12 - ACM Proceedings of the Workshop on Measurements Up and Down the Stack</v>
      </c>
      <c r="B19975" s="8" t="str">
        <f>"9781450314763"</f>
        <v>9781450314763</v>
      </c>
      <c r="C19975" s="8" t="s">
        <v>21</v>
      </c>
    </row>
    <row r="19976" spans="1:3" x14ac:dyDescent="0.25">
      <c r="A19976" s="8" t="str">
        <f>"WNWEC 2009 - 2009 World Non-Grid-Connected Wind Power and Energy Conference"</f>
        <v>WNWEC 2009 - 2009 World Non-Grid-Connected Wind Power and Energy Conference</v>
      </c>
      <c r="B19976" s="8" t="str">
        <f>"9781424447022"</f>
        <v>9781424447022</v>
      </c>
      <c r="C19976" s="8" t="s">
        <v>9</v>
      </c>
    </row>
    <row r="19977" spans="1:3" x14ac:dyDescent="0.25">
      <c r="A19977" s="8" t="s">
        <v>2377</v>
      </c>
      <c r="B19977" s="8" t="str">
        <f>"9788837115906"</f>
        <v>9788837115906</v>
      </c>
      <c r="C19977" s="8" t="s">
        <v>1220</v>
      </c>
    </row>
    <row r="19978" spans="1:3" x14ac:dyDescent="0.25">
      <c r="A19978" s="8" t="s">
        <v>2378</v>
      </c>
      <c r="B19978" s="8" t="str">
        <f>"9788861220614"</f>
        <v>9788861220614</v>
      </c>
      <c r="C19978" s="8" t="s">
        <v>1220</v>
      </c>
    </row>
    <row r="19979" spans="1:3" x14ac:dyDescent="0.25">
      <c r="A19979" s="8" t="str">
        <f>"WOCC 2009 - 18th Annual Wireless and Optical Communications Conference"</f>
        <v>WOCC 2009 - 18th Annual Wireless and Optical Communications Conference</v>
      </c>
      <c r="B19979" s="8" t="str">
        <f>"9781424452170"</f>
        <v>9781424452170</v>
      </c>
      <c r="C19979" s="8" t="s">
        <v>9</v>
      </c>
    </row>
    <row r="19980" spans="1:3" x14ac:dyDescent="0.25">
      <c r="A19980" s="8" t="str">
        <f>"WOCC 2011 - 20th Annual Wireless and Optical Communications Conference"</f>
        <v>WOCC 2011 - 20th Annual Wireless and Optical Communications Conference</v>
      </c>
      <c r="B19980" s="8" t="str">
        <f>"9781457704543"</f>
        <v>9781457704543</v>
      </c>
      <c r="C19980" s="8" t="s">
        <v>9</v>
      </c>
    </row>
    <row r="19981" spans="1:3" x14ac:dyDescent="0.25">
      <c r="A19981" s="8" t="str">
        <f>"WOCC2010 Technical Program - The 19th Annual Wireless and Optical Communications Conference: Converging Communications Around the Pacific"</f>
        <v>WOCC2010 Technical Program - The 19th Annual Wireless and Optical Communications Conference: Converging Communications Around the Pacific</v>
      </c>
      <c r="B19981" s="8" t="str">
        <f>"9781424475964"</f>
        <v>9781424475964</v>
      </c>
      <c r="C19981" s="8" t="s">
        <v>9</v>
      </c>
    </row>
    <row r="19982" spans="1:3" x14ac:dyDescent="0.25">
      <c r="A19982" s="8" t="str">
        <f>"WODA 2008 - Proceedings of the 6th International Workshop on Dynamic Analysis Held in conjunction with the ACM SIGSOFT International Symposium on Software Testing and Analysis, ISSTA 2008"</f>
        <v>WODA 2008 - Proceedings of the 6th International Workshop on Dynamic Analysis Held in conjunction with the ACM SIGSOFT International Symposium on Software Testing and Analysis, ISSTA 2008</v>
      </c>
      <c r="B19982" s="8" t="str">
        <f>"9781605580548"</f>
        <v>9781605580548</v>
      </c>
      <c r="C19982" s="8" t="s">
        <v>21</v>
      </c>
    </row>
    <row r="19983" spans="1:3" x14ac:dyDescent="0.25">
      <c r="A19983" s="8" t="str">
        <f>"WODA 2009 - Proceedings of the 7th International Workshop on Dynamic Analysis, Held in Conjunction with the ACM SIGSOFT International Symposium on Software Testing and Analysis, ISSTA 2009"</f>
        <v>WODA 2009 - Proceedings of the 7th International Workshop on Dynamic Analysis, Held in Conjunction with the ACM SIGSOFT International Symposium on Software Testing and Analysis, ISSTA 2009</v>
      </c>
      <c r="B19983" s="8" t="str">
        <f>"9781605586564"</f>
        <v>9781605586564</v>
      </c>
      <c r="C19983" s="8" t="s">
        <v>21</v>
      </c>
    </row>
    <row r="19984" spans="1:3" x14ac:dyDescent="0.25">
      <c r="A19984" s="8" t="str">
        <f>"WODA+PERTEA 2014: Joint 12th International Workshop on Dynamic Analysis and Workshop on Software and System Performance Testing, Debugging, and Analytics - Proceedings"</f>
        <v>WODA+PERTEA 2014: Joint 12th International Workshop on Dynamic Analysis and Workshop on Software and System Performance Testing, Debugging, and Analytics - Proceedings</v>
      </c>
      <c r="B19984" s="8" t="str">
        <f>"9781450329347"</f>
        <v>9781450329347</v>
      </c>
      <c r="C19984" s="8" t="s">
        <v>1235</v>
      </c>
    </row>
    <row r="19985" spans="1:3" x14ac:dyDescent="0.25">
      <c r="A19985" s="8" t="str">
        <f>"WONS 2006 - 3rd International Conference on Wireless on Demand Network Systems and Services"</f>
        <v>WONS 2006 - 3rd International Conference on Wireless on Demand Network Systems and Services</v>
      </c>
      <c r="B19985" s="8" t="str">
        <f>"-"</f>
        <v>-</v>
      </c>
      <c r="C19985" s="8" t="s">
        <v>1436</v>
      </c>
    </row>
    <row r="19986" spans="1:3" x14ac:dyDescent="0.25">
      <c r="A19986" s="8" t="str">
        <f>"WONS 2009 - 6th International Conference on Wireless On-demand Network Systems and Services"</f>
        <v>WONS 2009 - 6th International Conference on Wireless On-demand Network Systems and Services</v>
      </c>
      <c r="B19986" s="8" t="str">
        <f>"9781424433759"</f>
        <v>9781424433759</v>
      </c>
      <c r="C19986" s="8" t="s">
        <v>9</v>
      </c>
    </row>
    <row r="19987" spans="1:3" x14ac:dyDescent="0.25">
      <c r="A19987" s="8" t="str">
        <f>"WONS 2010 - 7th International Conference on Wireless On-demand Network Systems and Services"</f>
        <v>WONS 2010 - 7th International Conference on Wireless On-demand Network Systems and Services</v>
      </c>
      <c r="B19987" s="8" t="str">
        <f>"9781424460618"</f>
        <v>9781424460618</v>
      </c>
      <c r="C19987" s="8" t="s">
        <v>9</v>
      </c>
    </row>
    <row r="19988" spans="1:3" x14ac:dyDescent="0.25">
      <c r="A19988" s="8" t="str">
        <f>"Working Group Reports on ITiCSE on Innovation and Technology in Computer Science Education 2006"</f>
        <v>Working Group Reports on ITiCSE on Innovation and Technology in Computer Science Education 2006</v>
      </c>
      <c r="B19988" s="8" t="str">
        <f>"9781595936035"</f>
        <v>9781595936035</v>
      </c>
      <c r="C19988" s="8" t="s">
        <v>21</v>
      </c>
    </row>
    <row r="19989" spans="1:3" x14ac:dyDescent="0.25">
      <c r="A19989" s="8" t="str">
        <f>"Work-In-Progress Poster - Proceedings of the 22nd International Conference on Computers in Education, ICCE 2014"</f>
        <v>Work-In-Progress Poster - Proceedings of the 22nd International Conference on Computers in Education, ICCE 2014</v>
      </c>
      <c r="B19989" s="8" t="str">
        <f>"9784990801441"</f>
        <v>9784990801441</v>
      </c>
      <c r="C19989" s="8" t="s">
        <v>1278</v>
      </c>
    </row>
    <row r="19990" spans="1:3" x14ac:dyDescent="0.25">
      <c r="A19990" s="8" t="str">
        <f>"Work-in-Progress Poster (WIPP) Proceedings of the 20th International Conference on Computers in Education, ICCE 2012"</f>
        <v>Work-in-Progress Poster (WIPP) Proceedings of the 20th International Conference on Computers in Education, ICCE 2012</v>
      </c>
      <c r="B19990" s="8" t="str">
        <f>"9789810746513"</f>
        <v>9789810746513</v>
      </c>
      <c r="C19990" s="8" t="s">
        <v>1789</v>
      </c>
    </row>
    <row r="19991" spans="1:3" x14ac:dyDescent="0.25">
      <c r="A19991" s="8" t="str">
        <f>"Work-in-Progress Poster (WIPP) Proceedings of the 21st International Conference on Computers in Education, ICCE 2013"</f>
        <v>Work-in-Progress Poster (WIPP) Proceedings of the 21st International Conference on Computers in Education, ICCE 2013</v>
      </c>
      <c r="B19991" s="8" t="str">
        <f>"9786028040747"</f>
        <v>9786028040747</v>
      </c>
      <c r="C19991" s="8" t="s">
        <v>1787</v>
      </c>
    </row>
    <row r="19992" spans="1:3" x14ac:dyDescent="0.25">
      <c r="A19992" s="8" t="str">
        <f>"WORKS'11 - Proceedings of the 6th Workshop on Workflows in Support of Large-Scale Science, Co-located with SC'11"</f>
        <v>WORKS'11 - Proceedings of the 6th Workshop on Workflows in Support of Large-Scale Science, Co-located with SC'11</v>
      </c>
      <c r="B19992" s="8" t="str">
        <f>"9781450311007"</f>
        <v>9781450311007</v>
      </c>
      <c r="C19992" s="8" t="s">
        <v>21</v>
      </c>
    </row>
    <row r="19993" spans="1:3" x14ac:dyDescent="0.25">
      <c r="A19993" s="8" t="str">
        <f>"Workshop of the 1st International Conference on Security and Privacy for Emerging Areas in Communication Networks, 2005"</f>
        <v>Workshop of the 1st International Conference on Security and Privacy for Emerging Areas in Communication Networks, 2005</v>
      </c>
      <c r="B19993" s="8" t="str">
        <f>"-"</f>
        <v>-</v>
      </c>
      <c r="C19993" s="8" t="s">
        <v>9</v>
      </c>
    </row>
    <row r="19994" spans="1:3" x14ac:dyDescent="0.25">
      <c r="A19994" s="8" t="str">
        <f>"Workshop on Algorithms and Computation 2007 - Proceedings of 1st WALCOM"</f>
        <v>Workshop on Algorithms and Computation 2007 - Proceedings of 1st WALCOM</v>
      </c>
      <c r="B19994" s="8" t="str">
        <f>"-"</f>
        <v>-</v>
      </c>
      <c r="C19994" s="8" t="s">
        <v>2379</v>
      </c>
    </row>
    <row r="19995" spans="1:3" x14ac:dyDescent="0.25">
      <c r="A19995" s="8" t="str">
        <f>"Workshop on Approaches and Applications of Inductive Programming, AAIP 2005 - In Conjunction with the 22nd International Conference on Machine Learning, ICML 2005"</f>
        <v>Workshop on Approaches and Applications of Inductive Programming, AAIP 2005 - In Conjunction with the 22nd International Conference on Machine Learning, ICML 2005</v>
      </c>
      <c r="B19995" s="8" t="str">
        <f>"-"</f>
        <v>-</v>
      </c>
      <c r="C19995" s="8" t="s">
        <v>2380</v>
      </c>
    </row>
    <row r="19996" spans="1:3" x14ac:dyDescent="0.25">
      <c r="A19996" s="8" t="str">
        <f>"Workshop on Computational Methods in Science and Engineering, SimLabs@KIT 2010 - Proceedings"</f>
        <v>Workshop on Computational Methods in Science and Engineering, SimLabs@KIT 2010 - Proceedings</v>
      </c>
      <c r="B19996" s="8" t="str">
        <f>"9783866446939"</f>
        <v>9783866446939</v>
      </c>
      <c r="C19996" s="8" t="s">
        <v>1510</v>
      </c>
    </row>
    <row r="19997" spans="1:3" x14ac:dyDescent="0.25">
      <c r="A19997" s="8" t="str">
        <f>"Workshop on Databases and Social Networks, DBSocial'11"</f>
        <v>Workshop on Databases and Social Networks, DBSocial'11</v>
      </c>
      <c r="B19997" s="8" t="str">
        <f>"9781450306508"</f>
        <v>9781450306508</v>
      </c>
      <c r="C19997" s="8" t="s">
        <v>21</v>
      </c>
    </row>
    <row r="19998" spans="1:3" x14ac:dyDescent="0.25">
      <c r="A19998" s="8" t="str">
        <f>"Workshop on Decision Support in Software Engineering, ADIS 2007"</f>
        <v>Workshop on Decision Support in Software Engineering, ADIS 2007</v>
      </c>
      <c r="B19998" s="8" t="str">
        <f>"-"</f>
        <v>-</v>
      </c>
      <c r="C19998" s="8" t="s">
        <v>1624</v>
      </c>
    </row>
    <row r="19999" spans="1:3" x14ac:dyDescent="0.25">
      <c r="A19999" s="8" t="str">
        <f>"Workshop on Multimodal Interfaces in Semantic Interaction, WMISI 2007, Proceedings - 9th International Conference on Multimodal Interfaces, ICMI 2007, Post-Conference Workshop"</f>
        <v>Workshop on Multimodal Interfaces in Semantic Interaction, WMISI 2007, Proceedings - 9th International Conference on Multimodal Interfaces, ICMI 2007, Post-Conference Workshop</v>
      </c>
      <c r="B19999" s="8" t="str">
        <f>"9781595938695"</f>
        <v>9781595938695</v>
      </c>
      <c r="C19999" s="8" t="s">
        <v>21</v>
      </c>
    </row>
    <row r="20000" spans="1:3" x14ac:dyDescent="0.25">
      <c r="A20000" s="8" t="str">
        <f>"Workshop on Palaeozoic Limestones of South-East Asia and South China - 1st EAGE South East Asia Regional Geology Workshop"</f>
        <v>Workshop on Palaeozoic Limestones of South-East Asia and South China - 1st EAGE South East Asia Regional Geology Workshop</v>
      </c>
      <c r="B20000" s="8" t="str">
        <f>"-"</f>
        <v>-</v>
      </c>
      <c r="C20000" s="8" t="s">
        <v>1251</v>
      </c>
    </row>
    <row r="20001" spans="1:3" x14ac:dyDescent="0.25">
      <c r="A20001" s="8" t="str">
        <f>"Workshop on Parallel and Distributed Systems: Testing, Analysis, and Debugging, PADTAD 2011 - Proceedings"</f>
        <v>Workshop on Parallel and Distributed Systems: Testing, Analysis, and Debugging, PADTAD 2011 - Proceedings</v>
      </c>
      <c r="B20001" s="8" t="str">
        <f>"9781450308090"</f>
        <v>9781450308090</v>
      </c>
      <c r="C20001" s="8" t="s">
        <v>21</v>
      </c>
    </row>
    <row r="20002" spans="1:3" x14ac:dyDescent="0.25">
      <c r="A20002" s="8" t="str">
        <f>"Workshop on Procedural Content Generation in Games, PC Games 2010, Co-located with the 5th International Conference on the Foundations of Digital Games"</f>
        <v>Workshop on Procedural Content Generation in Games, PC Games 2010, Co-located with the 5th International Conference on the Foundations of Digital Games</v>
      </c>
      <c r="B20002" s="8" t="str">
        <f>"9781450300230"</f>
        <v>9781450300230</v>
      </c>
      <c r="C20002" s="8" t="s">
        <v>21</v>
      </c>
    </row>
    <row r="20003" spans="1:3" x14ac:dyDescent="0.25">
      <c r="A20003" s="8" t="str">
        <f>"Workshop on Programming Support Innovations for Emerging Distributed Applications, PSI EtA - PsiH 2010"</f>
        <v>Workshop on Programming Support Innovations for Emerging Distributed Applications, PSI EtA - PsiH 2010</v>
      </c>
      <c r="B20003" s="8" t="str">
        <f>"9781450305440"</f>
        <v>9781450305440</v>
      </c>
      <c r="C20003" s="8" t="s">
        <v>21</v>
      </c>
    </row>
    <row r="20004" spans="1:3" x14ac:dyDescent="0.25">
      <c r="A20004" s="8" t="str">
        <f>"Workshop on Self-Sustaining Systems, S3 2010 - Proceedings"</f>
        <v>Workshop on Self-Sustaining Systems, S3 2010 - Proceedings</v>
      </c>
      <c r="B20004" s="8" t="str">
        <f>"9781450304917"</f>
        <v>9781450304917</v>
      </c>
      <c r="C20004" s="8" t="s">
        <v>21</v>
      </c>
    </row>
    <row r="20005" spans="1:3" x14ac:dyDescent="0.25">
      <c r="A20005" s="8" t="str">
        <f>"Workshop on Use of Context in Vision Processing, UCVP 2009, in conj. with 11th Int. Conf. on Multimodal Interfaces and Workshop on Machine Learning for Multi-modal Interaction, ICMI-MLMI 2009"</f>
        <v>Workshop on Use of Context in Vision Processing, UCVP 2009, in conj. with 11th Int. Conf. on Multimodal Interfaces and Workshop on Machine Learning for Multi-modal Interaction, ICMI-MLMI 2009</v>
      </c>
      <c r="B20005" s="8" t="str">
        <f>"9781605586915"</f>
        <v>9781605586915</v>
      </c>
      <c r="C20005" s="8" t="s">
        <v>21</v>
      </c>
    </row>
    <row r="20006" spans="1:3" x14ac:dyDescent="0.25">
      <c r="A20006" s="8" t="str">
        <f>"Workshop Passive Seismic - Passive Seismic: Exploration and Monitoring Applications"</f>
        <v>Workshop Passive Seismic - Passive Seismic: Exploration and Monitoring Applications</v>
      </c>
      <c r="B20006" s="8" t="str">
        <f>"-"</f>
        <v>-</v>
      </c>
      <c r="C20006" s="8" t="s">
        <v>1251</v>
      </c>
    </row>
    <row r="20007" spans="1:3" x14ac:dyDescent="0.25">
      <c r="A20007" s="8" t="str">
        <f>"Workshop Planen und Konfigurieren, PuK 2006 - KI 2006, 29th Annual German Conference on Artificial Intelligence"</f>
        <v>Workshop Planen und Konfigurieren, PuK 2006 - KI 2006, 29th Annual German Conference on Artificial Intelligence</v>
      </c>
      <c r="B20007" s="8" t="str">
        <f>"9783887226701"</f>
        <v>9783887226701</v>
      </c>
      <c r="C20007" s="8" t="s">
        <v>2381</v>
      </c>
    </row>
    <row r="20008" spans="1:3" x14ac:dyDescent="0.25">
      <c r="A20008" s="8" t="s">
        <v>2382</v>
      </c>
      <c r="B20008" s="8" t="str">
        <f>"9781479911189"</f>
        <v>9781479911189</v>
      </c>
      <c r="C20008" s="8" t="s">
        <v>9</v>
      </c>
    </row>
    <row r="20009" spans="1:3" x14ac:dyDescent="0.25">
      <c r="A20009" s="8" t="str">
        <f>"Workshop Proceedings - 32nd Annual Conference on Artificial Intelligence, KI 2009 - Workshop on Planning, Scheduling, Design, and Configuration, PuK 2009"</f>
        <v>Workshop Proceedings - 32nd Annual Conference on Artificial Intelligence, KI 2009 - Workshop on Planning, Scheduling, Design, and Configuration, PuK 2009</v>
      </c>
      <c r="B20009" s="8" t="str">
        <f>"-"</f>
        <v>-</v>
      </c>
      <c r="C20009" s="8" t="s">
        <v>1698</v>
      </c>
    </row>
    <row r="20010" spans="1:3" x14ac:dyDescent="0.25">
      <c r="A20010" s="8" t="str">
        <f>"Workshop Proceedings - Human Computation Workshop 2010, HCOMP2010"</f>
        <v>Workshop Proceedings - Human Computation Workshop 2010, HCOMP2010</v>
      </c>
      <c r="B20010" s="8" t="str">
        <f>"9781450302227"</f>
        <v>9781450302227</v>
      </c>
      <c r="C20010" s="8" t="s">
        <v>21</v>
      </c>
    </row>
    <row r="20011" spans="1:3" x14ac:dyDescent="0.25">
      <c r="A20011" s="8" t="str">
        <f>"Workshop Proceedings - International Workshop on Nonlinear Photonics, NLP 2011"</f>
        <v>Workshop Proceedings - International Workshop on Nonlinear Photonics, NLP 2011</v>
      </c>
      <c r="B20011" s="8" t="str">
        <f>"9781457704796"</f>
        <v>9781457704796</v>
      </c>
      <c r="C20011" s="8" t="s">
        <v>9</v>
      </c>
    </row>
    <row r="20012" spans="1:3" x14ac:dyDescent="0.25">
      <c r="A20012" s="8" t="str">
        <f>"Workshop Proceedings of the 17th International Conference on Computers in Education, ICCE 2009"</f>
        <v>Workshop Proceedings of the 17th International Conference on Computers in Education, ICCE 2009</v>
      </c>
      <c r="B20012" s="8" t="str">
        <f>"9789868473553"</f>
        <v>9789868473553</v>
      </c>
      <c r="C20012" s="8" t="s">
        <v>1278</v>
      </c>
    </row>
    <row r="20013" spans="1:3" x14ac:dyDescent="0.25">
      <c r="A20013" s="8" t="str">
        <f>"Workshop Proceedings of the 18th International Conference on Computers in Education, ICCE 2010"</f>
        <v>Workshop Proceedings of the 18th International Conference on Computers in Education, ICCE 2010</v>
      </c>
      <c r="B20013" s="8" t="str">
        <f>"9789834251246"</f>
        <v>9789834251246</v>
      </c>
      <c r="C20013" s="8" t="s">
        <v>1788</v>
      </c>
    </row>
    <row r="20014" spans="1:3" x14ac:dyDescent="0.25">
      <c r="A20014" s="8" t="str">
        <f>"Workshop Proceedings of the 20th International Conference on Computers in Education, ICCE 2012"</f>
        <v>Workshop Proceedings of the 20th International Conference on Computers in Education, ICCE 2012</v>
      </c>
      <c r="B20014" s="8" t="str">
        <f>"9789810746506"</f>
        <v>9789810746506</v>
      </c>
      <c r="C20014" s="8" t="s">
        <v>1789</v>
      </c>
    </row>
    <row r="20015" spans="1:3" x14ac:dyDescent="0.25">
      <c r="A20015" s="8" t="str">
        <f>"Workshop Proceedings of the 21st International Conference on Computers in Education, ICCE 2013"</f>
        <v>Workshop Proceedings of the 21st International Conference on Computers in Education, ICCE 2013</v>
      </c>
      <c r="B20015" s="8" t="str">
        <f>"9786028040716"</f>
        <v>9786028040716</v>
      </c>
      <c r="C20015" s="8" t="s">
        <v>1787</v>
      </c>
    </row>
    <row r="20016" spans="1:3" x14ac:dyDescent="0.25">
      <c r="A20016" s="8" t="str">
        <f>"Workshop Proceedings of the 22nd International Conference on Computers in Education, ICCE 2014"</f>
        <v>Workshop Proceedings of the 22nd International Conference on Computers in Education, ICCE 2014</v>
      </c>
      <c r="B20016" s="8" t="str">
        <f>"9784990801427"</f>
        <v>9784990801427</v>
      </c>
      <c r="C20016" s="8" t="s">
        <v>1278</v>
      </c>
    </row>
    <row r="20017" spans="1:3" x14ac:dyDescent="0.25">
      <c r="A20017" s="8" t="str">
        <f>"World Conference on Timber Engineering 2012, WCTE 2012"</f>
        <v>World Conference on Timber Engineering 2012, WCTE 2012</v>
      </c>
      <c r="B20017" s="8" t="str">
        <f>"9781622763054"</f>
        <v>9781622763054</v>
      </c>
      <c r="C20017" s="8" t="s">
        <v>2383</v>
      </c>
    </row>
    <row r="20018" spans="1:3" x14ac:dyDescent="0.25">
      <c r="A20018" s="8" t="str">
        <f>"World Congress on Internet Security, WorldCIS-2011"</f>
        <v>World Congress on Internet Security, WorldCIS-2011</v>
      </c>
      <c r="B20018" s="8" t="str">
        <f>"9780956426376"</f>
        <v>9780956426376</v>
      </c>
      <c r="C20018" s="8" t="s">
        <v>9</v>
      </c>
    </row>
    <row r="20019" spans="1:3" x14ac:dyDescent="0.25">
      <c r="A20019" s="8" t="str">
        <f>"World Congress on Internet Security, WorldCIS-2012"</f>
        <v>World Congress on Internet Security, WorldCIS-2012</v>
      </c>
      <c r="B20019" s="8" t="str">
        <f>"9781908320049"</f>
        <v>9781908320049</v>
      </c>
      <c r="C20019" s="8" t="s">
        <v>9</v>
      </c>
    </row>
    <row r="20020" spans="1:3" x14ac:dyDescent="0.25">
      <c r="A20020" s="8" t="str">
        <f>"World Congress on Sustainable Technologies, WCST 2012"</f>
        <v>World Congress on Sustainable Technologies, WCST 2012</v>
      </c>
      <c r="B20020" s="8" t="str">
        <f>"9781908320094"</f>
        <v>9781908320094</v>
      </c>
      <c r="C20020" s="8" t="s">
        <v>9</v>
      </c>
    </row>
    <row r="20021" spans="1:3" x14ac:dyDescent="0.25">
      <c r="A20021" s="8" t="str">
        <f>"World Energy Engineering Congress 2005, WEEC 2005"</f>
        <v>World Energy Engineering Congress 2005, WEEC 2005</v>
      </c>
      <c r="B20021" s="8" t="str">
        <f>"9781622760572"</f>
        <v>9781622760572</v>
      </c>
      <c r="C20021" s="8" t="s">
        <v>1456</v>
      </c>
    </row>
    <row r="20022" spans="1:3" x14ac:dyDescent="0.25">
      <c r="A20022" s="8" t="str">
        <f>"World Energy Engineering Congress 2006, WEEC 2006"</f>
        <v>World Energy Engineering Congress 2006, WEEC 2006</v>
      </c>
      <c r="B20022" s="8" t="str">
        <f>"9781622760589"</f>
        <v>9781622760589</v>
      </c>
      <c r="C20022" s="8" t="s">
        <v>1456</v>
      </c>
    </row>
    <row r="20023" spans="1:3" x14ac:dyDescent="0.25">
      <c r="A20023" s="8" t="str">
        <f>"World Energy Engineering Congress 2007"</f>
        <v>World Energy Engineering Congress 2007</v>
      </c>
      <c r="B20023" s="8" t="str">
        <f>"9781605600369"</f>
        <v>9781605600369</v>
      </c>
      <c r="C20023" s="8" t="s">
        <v>1456</v>
      </c>
    </row>
    <row r="20024" spans="1:3" x14ac:dyDescent="0.25">
      <c r="A20024" s="8" t="str">
        <f>"World Energy Engineering Congress 2009, WEEC 2009"</f>
        <v>World Energy Engineering Congress 2009, WEEC 2009</v>
      </c>
      <c r="B20024" s="8" t="str">
        <f>"9781615677351"</f>
        <v>9781615677351</v>
      </c>
      <c r="C20024" s="8" t="s">
        <v>1456</v>
      </c>
    </row>
    <row r="20025" spans="1:3" x14ac:dyDescent="0.25">
      <c r="A20025" s="8" t="str">
        <f>"World Energy Engineering Congress 2010, WEEC 2010"</f>
        <v>World Energy Engineering Congress 2010, WEEC 2010</v>
      </c>
      <c r="B20025" s="8" t="str">
        <f>"9781617823022"</f>
        <v>9781617823022</v>
      </c>
      <c r="C20025" s="8" t="s">
        <v>1456</v>
      </c>
    </row>
    <row r="20026" spans="1:3" x14ac:dyDescent="0.25">
      <c r="A20026" s="8" t="str">
        <f>"World Energy Engineering Congress 2011, WEEC 2011"</f>
        <v>World Energy Engineering Congress 2011, WEEC 2011</v>
      </c>
      <c r="B20026" s="8" t="str">
        <f>"9781618393692"</f>
        <v>9781618393692</v>
      </c>
      <c r="C20026" s="8" t="s">
        <v>1456</v>
      </c>
    </row>
    <row r="20027" spans="1:3" x14ac:dyDescent="0.25">
      <c r="A20027" s="8" t="str">
        <f>"World Energy Engineering Congress 2012, WEEC 2012"</f>
        <v>World Energy Engineering Congress 2012, WEEC 2012</v>
      </c>
      <c r="B20027" s="8" t="str">
        <f>"9781622764877"</f>
        <v>9781622764877</v>
      </c>
      <c r="C20027" s="8" t="s">
        <v>1456</v>
      </c>
    </row>
    <row r="20028" spans="1:3" x14ac:dyDescent="0.25">
      <c r="A20028" s="8" t="str">
        <f>"World Energy Engineering Congress, WEEC 2008"</f>
        <v>World Energy Engineering Congress, WEEC 2008</v>
      </c>
      <c r="B20028" s="8" t="str">
        <f>"9781605607115"</f>
        <v>9781605607115</v>
      </c>
      <c r="C20028" s="8" t="s">
        <v>1456</v>
      </c>
    </row>
    <row r="20029" spans="1:3" x14ac:dyDescent="0.25">
      <c r="A20029" s="8" t="str">
        <f>"World Energy Engineering Congress, WEEC 2013"</f>
        <v>World Energy Engineering Congress, WEEC 2013</v>
      </c>
      <c r="B20029" s="8" t="str">
        <f>"9781629932125"</f>
        <v>9781629932125</v>
      </c>
      <c r="C20029" s="8" t="s">
        <v>1425</v>
      </c>
    </row>
    <row r="20030" spans="1:3" x14ac:dyDescent="0.25">
      <c r="A20030" s="8" t="str">
        <f>"World Energy Engineering Congress, WEEC 2014"</f>
        <v>World Energy Engineering Congress, WEEC 2014</v>
      </c>
      <c r="B20030" s="8" t="str">
        <f>"-"</f>
        <v>-</v>
      </c>
      <c r="C20030" s="8" t="s">
        <v>1425</v>
      </c>
    </row>
    <row r="20031" spans="1:3" x14ac:dyDescent="0.25">
      <c r="A20031" s="8" t="str">
        <f>"World Environmental and Water Resources Congress 2008: Ahupua'a - Proceedings of the World Environmental and Water Resources Congress 2008"</f>
        <v>World Environmental and Water Resources Congress 2008: Ahupua'a - Proceedings of the World Environmental and Water Resources Congress 2008</v>
      </c>
      <c r="B20031" s="8" t="str">
        <f>"9780784409763"</f>
        <v>9780784409763</v>
      </c>
      <c r="C20031" s="8" t="s">
        <v>111</v>
      </c>
    </row>
    <row r="20032" spans="1:3" x14ac:dyDescent="0.25">
      <c r="A20032" s="8" t="str">
        <f>"World Environmental and Water Resources Congress 2010: Challenges of Change - Proceedings of the World Environmental and Water Resources Congress 2010"</f>
        <v>World Environmental and Water Resources Congress 2010: Challenges of Change - Proceedings of the World Environmental and Water Resources Congress 2010</v>
      </c>
      <c r="B20032" s="8" t="str">
        <f>"9780784411148"</f>
        <v>9780784411148</v>
      </c>
      <c r="C20032" s="8" t="s">
        <v>111</v>
      </c>
    </row>
    <row r="20033" spans="1:3" x14ac:dyDescent="0.25">
      <c r="A20033" s="8" t="str">
        <f>"World Environmental and Water Resources Congress 2011: Bearing Knowledge for Sustainability - Proceedings of the 2011 World Environmental and Water Resources Congress"</f>
        <v>World Environmental and Water Resources Congress 2011: Bearing Knowledge for Sustainability - Proceedings of the 2011 World Environmental and Water Resources Congress</v>
      </c>
      <c r="B20033" s="8" t="str">
        <f>"9780784411735"</f>
        <v>9780784411735</v>
      </c>
      <c r="C20033" s="8" t="s">
        <v>111</v>
      </c>
    </row>
    <row r="20034" spans="1:3" x14ac:dyDescent="0.25">
      <c r="A20034" s="8" t="str">
        <f>"World Environmental and Water Resources Congress 2012: Crossing Boundaries, Proceedings of the 2012 Congress"</f>
        <v>World Environmental and Water Resources Congress 2012: Crossing Boundaries, Proceedings of the 2012 Congress</v>
      </c>
      <c r="B20034" s="8" t="str">
        <f>"9780784412312"</f>
        <v>9780784412312</v>
      </c>
      <c r="C20034" s="8" t="s">
        <v>111</v>
      </c>
    </row>
    <row r="20035" spans="1:3" x14ac:dyDescent="0.25">
      <c r="A20035" s="8" t="str">
        <f>"World Environmental and Water Resources Congress 2013: Showcasing the Future - Proceedings of the 2013 Congress"</f>
        <v>World Environmental and Water Resources Congress 2013: Showcasing the Future - Proceedings of the 2013 Congress</v>
      </c>
      <c r="B20035" s="8" t="str">
        <f>"9780784412947"</f>
        <v>9780784412947</v>
      </c>
      <c r="C20035" s="8" t="s">
        <v>111</v>
      </c>
    </row>
    <row r="20036" spans="1:3" x14ac:dyDescent="0.25">
      <c r="A20036" s="8" t="str">
        <f>"World Environmental and Water Resources Congress 2014: Water Without Borders - Proceedings of the 2014 World Environmental and Water Resources Congress"</f>
        <v>World Environmental and Water Resources Congress 2014: Water Without Borders - Proceedings of the 2014 World Environmental and Water Resources Congress</v>
      </c>
      <c r="B20036" s="8" t="str">
        <f>"9780784413548"</f>
        <v>9780784413548</v>
      </c>
      <c r="C20036" s="8" t="s">
        <v>111</v>
      </c>
    </row>
    <row r="20037" spans="1:3" x14ac:dyDescent="0.25">
      <c r="A20037" s="8" t="str">
        <f>"World Environmental and Water Resources Congress 2015: Floods, Droughts, and Ecosystems - Proceedings of the 2015 World Environmental and Water Resources Congress"</f>
        <v>World Environmental and Water Resources Congress 2015: Floods, Droughts, and Ecosystems - Proceedings of the 2015 World Environmental and Water Resources Congress</v>
      </c>
      <c r="B20037" s="8" t="str">
        <f>"9780784479162"</f>
        <v>9780784479162</v>
      </c>
      <c r="C20037" s="8" t="s">
        <v>111</v>
      </c>
    </row>
    <row r="20038" spans="1:3" x14ac:dyDescent="0.25">
      <c r="A20038" s="8" t="str">
        <f>"World Nuclear Association 32nd Annual Symposium"</f>
        <v>World Nuclear Association 32nd Annual Symposium</v>
      </c>
      <c r="B20038" s="8" t="str">
        <f>"-"</f>
        <v>-</v>
      </c>
      <c r="C20038" s="8" t="s">
        <v>394</v>
      </c>
    </row>
    <row r="20039" spans="1:3" x14ac:dyDescent="0.25">
      <c r="A20039" s="8" t="str">
        <f>"World Nuclear Association 33rd Annual Symposium: Defining the Nuclear Future"</f>
        <v>World Nuclear Association 33rd Annual Symposium: Defining the Nuclear Future</v>
      </c>
      <c r="B20039" s="8" t="str">
        <f>"-"</f>
        <v>-</v>
      </c>
      <c r="C20039" s="8" t="s">
        <v>1487</v>
      </c>
    </row>
    <row r="20040" spans="1:3" x14ac:dyDescent="0.25">
      <c r="A20040" s="8" t="str">
        <f>"World Nuclear Association 34th Annual Symposium - Nuclear Revival: Building Confidence at a Time of Economic Instability"</f>
        <v>World Nuclear Association 34th Annual Symposium - Nuclear Revival: Building Confidence at a Time of Economic Instability</v>
      </c>
      <c r="B20040" s="8" t="str">
        <f>"-"</f>
        <v>-</v>
      </c>
      <c r="C20040" s="8" t="s">
        <v>1487</v>
      </c>
    </row>
    <row r="20041" spans="1:3" x14ac:dyDescent="0.25">
      <c r="A20041" s="8" t="str">
        <f>"World Nuclear Association 35th Annual Symposium - The Nuclear Resurgence: Fulfilling Our Potential"</f>
        <v>World Nuclear Association 35th Annual Symposium - The Nuclear Resurgence: Fulfilling Our Potential</v>
      </c>
      <c r="B20041" s="8" t="str">
        <f>"-"</f>
        <v>-</v>
      </c>
      <c r="C20041" s="8" t="s">
        <v>1487</v>
      </c>
    </row>
    <row r="20042" spans="1:3" x14ac:dyDescent="0.25">
      <c r="A20042" s="8" t="str">
        <f>"World Renewable Energy Forum, WREF 2012, Including World Renewable Energy Congress XII and Colorado Renewable Energy Society (CRES) Annual Conferen"</f>
        <v>World Renewable Energy Forum, WREF 2012, Including World Renewable Energy Congress XII and Colorado Renewable Energy Society (CRES) Annual Conferen</v>
      </c>
      <c r="B20042" s="8" t="str">
        <f>"9781622760923"</f>
        <v>9781622760923</v>
      </c>
      <c r="C20042" s="8" t="s">
        <v>1491</v>
      </c>
    </row>
    <row r="20043" spans="1:3" x14ac:dyDescent="0.25">
      <c r="A20043" s="8" t="str">
        <f>"World Scientific Proc. Series on Computer Engineering and Information Science 7; Uncertainty Modeling in Knowledge Engineering and Decision Making - Proceedings of the 10th International FLINS Conf."</f>
        <v>World Scientific Proc. Series on Computer Engineering and Information Science 7; Uncertainty Modeling in Knowledge Engineering and Decision Making - Proceedings of the 10th International FLINS Conf.</v>
      </c>
      <c r="B20043" s="8" t="str">
        <f>"9789814417730"</f>
        <v>9789814417730</v>
      </c>
      <c r="C20043" s="8" t="s">
        <v>157</v>
      </c>
    </row>
    <row r="20044" spans="1:3" x14ac:dyDescent="0.25">
      <c r="A20044" s="8" t="str">
        <f>"World Scientific Proceedings Series on Computer Engineering and Information Science 1; Computational Intelligence in Decision and Control - Proceedings of the 8th International FLINS Conference"</f>
        <v>World Scientific Proceedings Series on Computer Engineering and Information Science 1; Computational Intelligence in Decision and Control - Proceedings of the 8th International FLINS Conference</v>
      </c>
      <c r="B20044" s="8" t="str">
        <f>"9789812799463"</f>
        <v>9789812799463</v>
      </c>
      <c r="C20044" s="8" t="s">
        <v>157</v>
      </c>
    </row>
    <row r="20045" spans="1:3" x14ac:dyDescent="0.25">
      <c r="A20045" s="8" t="str">
        <f>"World Water and Environmental Resources Congress"</f>
        <v>World Water and Environmental Resources Congress</v>
      </c>
      <c r="B20045" s="8" t="str">
        <f>"9780784406854"</f>
        <v>9780784406854</v>
      </c>
      <c r="C20045" s="8" t="s">
        <v>111</v>
      </c>
    </row>
    <row r="20046" spans="1:3" x14ac:dyDescent="0.25">
      <c r="A20046" s="8" t="str">
        <f>"World Water Congress 2005: Impacts of Global Climate Change - Proceedings of the 2005 World Water and Environmental Resources Congress"</f>
        <v>World Water Congress 2005: Impacts of Global Climate Change - Proceedings of the 2005 World Water and Environmental Resources Congress</v>
      </c>
      <c r="B20046" s="8" t="str">
        <f>"9780784407929"</f>
        <v>9780784407929</v>
      </c>
      <c r="C20046" s="8" t="s">
        <v>111</v>
      </c>
    </row>
    <row r="20047" spans="1:3" x14ac:dyDescent="0.25">
      <c r="A20047" s="8" t="str">
        <f>"World Water Forum: From The Hague to Japan"</f>
        <v>World Water Forum: From The Hague to Japan</v>
      </c>
      <c r="B20047" s="8" t="str">
        <f>"-"</f>
        <v>-</v>
      </c>
      <c r="C20047" s="8" t="s">
        <v>2384</v>
      </c>
    </row>
    <row r="20048" spans="1:3" x14ac:dyDescent="0.25">
      <c r="A20048" s="8" t="str">
        <f>"WORM'03 - Proceedings of the 2003 ACM Workshop on Rapid Malcode"</f>
        <v>WORM'03 - Proceedings of the 2003 ACM Workshop on Rapid Malcode</v>
      </c>
      <c r="B20048" s="8" t="str">
        <f>"9781581137859"</f>
        <v>9781581137859</v>
      </c>
      <c r="C20048" s="8" t="s">
        <v>21</v>
      </c>
    </row>
    <row r="20049" spans="1:3" x14ac:dyDescent="0.25">
      <c r="A20049" s="8" t="str">
        <f>"WORM'04 - Proceedings of the 2004 ACM Workshop on Rapid Malcode"</f>
        <v>WORM'04 - Proceedings of the 2004 ACM Workshop on Rapid Malcode</v>
      </c>
      <c r="B20049" s="8" t="str">
        <f>"9781581139709"</f>
        <v>9781581139709</v>
      </c>
      <c r="C20049" s="8" t="s">
        <v>21</v>
      </c>
    </row>
    <row r="20050" spans="1:3" x14ac:dyDescent="0.25">
      <c r="A20050" s="8" t="str">
        <f>"WORM'05 - Proceedings of the 2005 ACM Workshop on Rapid Malcode"</f>
        <v>WORM'05 - Proceedings of the 2005 ACM Workshop on Rapid Malcode</v>
      </c>
      <c r="B20050" s="8" t="str">
        <f>"9781595932297"</f>
        <v>9781595932297</v>
      </c>
      <c r="C20050" s="8" t="s">
        <v>21</v>
      </c>
    </row>
    <row r="20051" spans="1:3" x14ac:dyDescent="0.25">
      <c r="A20051" s="8" t="str">
        <f>"WORM'07 - Proceedings of the 2007 ACM Workshop on Recurring Malcode"</f>
        <v>WORM'07 - Proceedings of the 2007 ACM Workshop on Recurring Malcode</v>
      </c>
      <c r="B20051" s="8" t="str">
        <f>"9781595938862"</f>
        <v>9781595938862</v>
      </c>
      <c r="C20051" s="8" t="s">
        <v>21</v>
      </c>
    </row>
    <row r="20052" spans="1:3" x14ac:dyDescent="0.25">
      <c r="A20052" s="8" t="str">
        <f>"WOSC 2014 - Proceedings of the 2014 ACM SIGPLAN Workshop on Stencil Computations, Part of SPLASH 2014"</f>
        <v>WOSC 2014 - Proceedings of the 2014 ACM SIGPLAN Workshop on Stencil Computations, Part of SPLASH 2014</v>
      </c>
      <c r="B20052" s="8" t="str">
        <f>"9781450323086"</f>
        <v>9781450323086</v>
      </c>
      <c r="C20052" s="8" t="s">
        <v>1235</v>
      </c>
    </row>
    <row r="20053" spans="1:3" x14ac:dyDescent="0.25">
      <c r="A20053" s="8" t="str">
        <f>"WOSN'12 - Proceedings of the ACM Workshop on Online Social Networks"</f>
        <v>WOSN'12 - Proceedings of the ACM Workshop on Online Social Networks</v>
      </c>
      <c r="B20053" s="8" t="str">
        <f>"9781450314800"</f>
        <v>9781450314800</v>
      </c>
      <c r="C20053" s="8" t="s">
        <v>21</v>
      </c>
    </row>
    <row r="20054" spans="1:3" x14ac:dyDescent="0.25">
      <c r="A20054" s="8" t="str">
        <f>"WOSP/SIPEW'10 - Proceedings of the 1st Joint WOSP/SIPEW International Conference on Performance Engineering"</f>
        <v>WOSP/SIPEW'10 - Proceedings of the 1st Joint WOSP/SIPEW International Conference on Performance Engineering</v>
      </c>
      <c r="B20054" s="8" t="str">
        <f>"9781605585635"</f>
        <v>9781605585635</v>
      </c>
      <c r="C20054" s="8" t="s">
        <v>21</v>
      </c>
    </row>
    <row r="20055" spans="1:3" x14ac:dyDescent="0.25">
      <c r="A20055" s="8" t="str">
        <f>"WOSP'08: Proceedings of the 7th International Workshop on Software and Performance 2008"</f>
        <v>WOSP'08: Proceedings of the 7th International Workshop on Software and Performance 2008</v>
      </c>
      <c r="B20055" s="8" t="str">
        <f>"-"</f>
        <v>-</v>
      </c>
      <c r="C20055" s="8" t="s">
        <v>21</v>
      </c>
    </row>
    <row r="20056" spans="1:3" x14ac:dyDescent="0.25">
      <c r="A20056" s="8" t="str">
        <f>"WOSP-C 2015 - Proceedings of the 2015 ACM/SPEC Workshop on Challenges in Performance Methods for Software Development, in Conjunction with ICPE 2015"</f>
        <v>WOSP-C 2015 - Proceedings of the 2015 ACM/SPEC Workshop on Challenges in Performance Methods for Software Development, in Conjunction with ICPE 2015</v>
      </c>
      <c r="B20056" s="8" t="str">
        <f>"9781450333405"</f>
        <v>9781450333405</v>
      </c>
      <c r="C20056" s="8" t="s">
        <v>1235</v>
      </c>
    </row>
    <row r="20057" spans="1:3" x14ac:dyDescent="0.25">
      <c r="A20057" s="8" t="str">
        <f>"WoSQ'11 - Proceedings of the 8th International Workshop on Software Quality"</f>
        <v>WoSQ'11 - Proceedings of the 8th International Workshop on Software Quality</v>
      </c>
      <c r="B20057" s="8" t="str">
        <f>"9781450308519"</f>
        <v>9781450308519</v>
      </c>
      <c r="C20057" s="8" t="s">
        <v>21</v>
      </c>
    </row>
    <row r="20058" spans="1:3" x14ac:dyDescent="0.25">
      <c r="A20058" s="8" t="str">
        <f>"WPES'04: Proceedings of the 2004 ACM Workshop on Privacy in the Electronic Society"</f>
        <v>WPES'04: Proceedings of the 2004 ACM Workshop on Privacy in the Electronic Society</v>
      </c>
      <c r="B20058" s="8" t="str">
        <f>"9781581139686"</f>
        <v>9781581139686</v>
      </c>
      <c r="C20058" s="8" t="s">
        <v>21</v>
      </c>
    </row>
    <row r="20059" spans="1:3" x14ac:dyDescent="0.25">
      <c r="A20059" s="8" t="str">
        <f>"WPES'05: Proceedings of the 2005 ACM Workshop on Privacy in the Electronic Society"</f>
        <v>WPES'05: Proceedings of the 2005 ACM Workshop on Privacy in the Electronic Society</v>
      </c>
      <c r="B20059" s="8" t="str">
        <f>"-"</f>
        <v>-</v>
      </c>
      <c r="C20059" s="8" t="s">
        <v>21</v>
      </c>
    </row>
    <row r="20060" spans="1:3" x14ac:dyDescent="0.25">
      <c r="A20060" s="8" t="str">
        <f>"WPES'07 - Proceedings of the 2007 ACM Workshop on Privacy in Electronic Society"</f>
        <v>WPES'07 - Proceedings of the 2007 ACM Workshop on Privacy in Electronic Society</v>
      </c>
      <c r="B20060" s="8" t="str">
        <f>"9781595938831"</f>
        <v>9781595938831</v>
      </c>
      <c r="C20060" s="8" t="s">
        <v>21</v>
      </c>
    </row>
    <row r="20061" spans="1:3" x14ac:dyDescent="0.25">
      <c r="A20061" s="8" t="str">
        <f>"WPMVP 2014 - Proceedings of the 2014 ACM SIGPLAN Workshop on Programming Models for SIMD/Vector Processing, Co-located with PPoPP 2014"</f>
        <v>WPMVP 2014 - Proceedings of the 2014 ACM SIGPLAN Workshop on Programming Models for SIMD/Vector Processing, Co-located with PPoPP 2014</v>
      </c>
      <c r="B20061" s="8" t="str">
        <f>"9781450326537"</f>
        <v>9781450326537</v>
      </c>
      <c r="C20061" s="8" t="s">
        <v>21</v>
      </c>
    </row>
    <row r="20062" spans="1:3" x14ac:dyDescent="0.25">
      <c r="A20062" s="8" t="str">
        <f>"WPNC'12 - Proceedings of the 2012 9th Workshop on Positioning, Navigation and Communication"</f>
        <v>WPNC'12 - Proceedings of the 2012 9th Workshop on Positioning, Navigation and Communication</v>
      </c>
      <c r="B20062" s="8" t="str">
        <f>"9781467314398"</f>
        <v>9781467314398</v>
      </c>
      <c r="C20062" s="8" t="s">
        <v>9</v>
      </c>
    </row>
    <row r="20063" spans="1:3" x14ac:dyDescent="0.25">
      <c r="A20063" s="8" t="str">
        <f>"WRAITS 2008 - Proceedings of the 2nd Workshop on Recent Advances on Intrusion-Tolerant Systems - In Conjunction with the European Conference on Computer Systems"</f>
        <v>WRAITS 2008 - Proceedings of the 2nd Workshop on Recent Advances on Intrusion-Tolerant Systems - In Conjunction with the European Conference on Computer Systems</v>
      </c>
      <c r="B20063" s="8" t="str">
        <f>"9781595939869"</f>
        <v>9781595939869</v>
      </c>
      <c r="C20063" s="8" t="s">
        <v>21</v>
      </c>
    </row>
    <row r="20064" spans="1:3" x14ac:dyDescent="0.25">
      <c r="A20064" s="8" t="str">
        <f>"WRAITS 2008 - Proceedings of the 2nd Workshop on Recent Advances on Intrusion-Tolerant Systems - In Conjunction with the European Conference on Computer Systems"</f>
        <v>WRAITS 2008 - Proceedings of the 2nd Workshop on Recent Advances on Intrusion-Tolerant Systems - In Conjunction with the European Conference on Computer Systems</v>
      </c>
      <c r="B20064" s="8" t="str">
        <f>"9781595939869"</f>
        <v>9781595939869</v>
      </c>
      <c r="C20064" s="8" t="s">
        <v>21</v>
      </c>
    </row>
    <row r="20065" spans="1:3" x14ac:dyDescent="0.25">
      <c r="A20065" s="8" t="str">
        <f>"WRAP 2013 - Workshop on Recent Advances in Photonics"</f>
        <v>WRAP 2013 - Workshop on Recent Advances in Photonics</v>
      </c>
      <c r="B20065" s="8" t="str">
        <f>"9781479948635"</f>
        <v>9781479948635</v>
      </c>
      <c r="C20065" s="8" t="s">
        <v>105</v>
      </c>
    </row>
    <row r="20066" spans="1:3" x14ac:dyDescent="0.25">
      <c r="A20066" s="8" t="str">
        <f>"WRT 2013 - Proceedings of the 2013 ACM Workshop on Refactoring Tools"</f>
        <v>WRT 2013 - Proceedings of the 2013 ACM Workshop on Refactoring Tools</v>
      </c>
      <c r="B20066" s="8" t="str">
        <f>"9781450326049"</f>
        <v>9781450326049</v>
      </c>
      <c r="C20066" s="8" t="s">
        <v>21</v>
      </c>
    </row>
    <row r="20067" spans="1:3" x14ac:dyDescent="0.25">
      <c r="A20067" s="8" t="str">
        <f>"WSDM 2010 - Proceedings of the 3rd ACM International Conference on Web Search and Data Mining"</f>
        <v>WSDM 2010 - Proceedings of the 3rd ACM International Conference on Web Search and Data Mining</v>
      </c>
      <c r="B20067" s="8" t="str">
        <f>"9781605588896"</f>
        <v>9781605588896</v>
      </c>
      <c r="C20067" s="8" t="s">
        <v>21</v>
      </c>
    </row>
    <row r="20068" spans="1:3" x14ac:dyDescent="0.25">
      <c r="A20068" s="8" t="str">
        <f>"WSDM 2012 - Proceedings of the 5th ACM International Conference on Web Search and Data Mining"</f>
        <v>WSDM 2012 - Proceedings of the 5th ACM International Conference on Web Search and Data Mining</v>
      </c>
      <c r="B20068" s="8" t="str">
        <f>"9781450307475"</f>
        <v>9781450307475</v>
      </c>
      <c r="C20068" s="8" t="s">
        <v>21</v>
      </c>
    </row>
    <row r="20069" spans="1:3" x14ac:dyDescent="0.25">
      <c r="A20069" s="8" t="str">
        <f>"WSDM 2013 - Proceedings of the 6th ACM International Conference on Web Search and Data Mining"</f>
        <v>WSDM 2013 - Proceedings of the 6th ACM International Conference on Web Search and Data Mining</v>
      </c>
      <c r="B20069" s="8" t="str">
        <f>"9781450318693"</f>
        <v>9781450318693</v>
      </c>
      <c r="C20069" s="8" t="s">
        <v>21</v>
      </c>
    </row>
    <row r="20070" spans="1:3" x14ac:dyDescent="0.25">
      <c r="A20070" s="8" t="str">
        <f>"WSDM 2015 - Proceedings of the 8th ACM International Conference on Web Search and Data Mining"</f>
        <v>WSDM 2015 - Proceedings of the 8th ACM International Conference on Web Search and Data Mining</v>
      </c>
      <c r="B20070" s="8" t="str">
        <f>"9781450333177"</f>
        <v>9781450333177</v>
      </c>
      <c r="C20070" s="8" t="s">
        <v>1235</v>
      </c>
    </row>
    <row r="20071" spans="1:3" x14ac:dyDescent="0.25">
      <c r="A20071" s="8" t="str">
        <f>"WSDM'08 - Proceedings of the 2008 International Conference on Web Search and Data Mining"</f>
        <v>WSDM'08 - Proceedings of the 2008 International Conference on Web Search and Data Mining</v>
      </c>
      <c r="B20071" s="8" t="str">
        <f>"-"</f>
        <v>-</v>
      </c>
      <c r="C20071" s="8" t="s">
        <v>21</v>
      </c>
    </row>
    <row r="20072" spans="1:3" x14ac:dyDescent="0.25">
      <c r="A20072" s="8" t="str">
        <f>"WSM'10 - Proceedings of the 2nd ACM SIGMM Workshop on Social Media, Co-located with ACM Multimedia 2010"</f>
        <v>WSM'10 - Proceedings of the 2nd ACM SIGMM Workshop on Social Media, Co-located with ACM Multimedia 2010</v>
      </c>
      <c r="B20072" s="8" t="str">
        <f>"9781450301732"</f>
        <v>9781450301732</v>
      </c>
      <c r="C20072" s="8" t="s">
        <v>21</v>
      </c>
    </row>
    <row r="20073" spans="1:3" x14ac:dyDescent="0.25">
      <c r="A20073" s="8" t="str">
        <f>"WSOM 2005 - 5th Workshop on Self-Organizing Maps"</f>
        <v>WSOM 2005 - 5th Workshop on Self-Organizing Maps</v>
      </c>
      <c r="B20073" s="8" t="str">
        <f>"-"</f>
        <v>-</v>
      </c>
      <c r="C20073" s="8" t="s">
        <v>2385</v>
      </c>
    </row>
    <row r="20074" spans="1:3" x14ac:dyDescent="0.25">
      <c r="A20074" s="8" t="str">
        <f>"WSOM 2007 - 6th Int. Workshop on Self-Organizing Maps"</f>
        <v>WSOM 2007 - 6th Int. Workshop on Self-Organizing Maps</v>
      </c>
      <c r="B20074" s="8" t="str">
        <f>"-"</f>
        <v>-</v>
      </c>
      <c r="C20074" s="8" t="s">
        <v>1143</v>
      </c>
    </row>
    <row r="20075" spans="1:3" x14ac:dyDescent="0.25">
      <c r="A20075" s="8" t="str">
        <f>"WSUD 2012 - 7th International Conference on Water Sensitive Urban Design: Building the Water Sensitive Community, Final Program and Abstract Book"</f>
        <v>WSUD 2012 - 7th International Conference on Water Sensitive Urban Design: Building the Water Sensitive Community, Final Program and Abstract Book</v>
      </c>
      <c r="B20075" s="8" t="str">
        <f>"9780858258952"</f>
        <v>9780858258952</v>
      </c>
      <c r="C20075" s="8" t="s">
        <v>1271</v>
      </c>
    </row>
    <row r="20076" spans="1:3" x14ac:dyDescent="0.25">
      <c r="A20076" s="8" t="str">
        <f>"WUWNet 2006 - Proceedings of the First ACM International Workshop on Underwater Networks"</f>
        <v>WUWNet 2006 - Proceedings of the First ACM International Workshop on Underwater Networks</v>
      </c>
      <c r="B20076" s="8" t="str">
        <f>"-"</f>
        <v>-</v>
      </c>
      <c r="C20076" s="8" t="s">
        <v>21</v>
      </c>
    </row>
    <row r="20077" spans="1:3" x14ac:dyDescent="0.25">
      <c r="A20077" s="8" t="str">
        <f>"WWW 2013 - Proceedings of the 22nd International Conference on World Wide Web"</f>
        <v>WWW 2013 - Proceedings of the 22nd International Conference on World Wide Web</v>
      </c>
      <c r="B20077" s="8" t="str">
        <f>"9781450320351"</f>
        <v>9781450320351</v>
      </c>
      <c r="C20077" s="8" t="s">
        <v>21</v>
      </c>
    </row>
    <row r="20078" spans="1:3" x14ac:dyDescent="0.25">
      <c r="A20078" s="8" t="str">
        <f>"WWW 2013 Companion - Proceedings of the 22nd International Conference on World Wide Web"</f>
        <v>WWW 2013 Companion - Proceedings of the 22nd International Conference on World Wide Web</v>
      </c>
      <c r="B20078" s="8" t="str">
        <f>"9781450320382"</f>
        <v>9781450320382</v>
      </c>
      <c r="C20078" s="8" t="s">
        <v>21</v>
      </c>
    </row>
    <row r="20079" spans="1:3" x14ac:dyDescent="0.25">
      <c r="A20079" s="8" t="str">
        <f>"WWW 2014 - Proceedings of the 23rd International Conference on World Wide Web"</f>
        <v>WWW 2014 - Proceedings of the 23rd International Conference on World Wide Web</v>
      </c>
      <c r="B20079" s="8" t="str">
        <f>"9781450327442"</f>
        <v>9781450327442</v>
      </c>
      <c r="C20079" s="8" t="s">
        <v>1235</v>
      </c>
    </row>
    <row r="20080" spans="1:3" x14ac:dyDescent="0.25">
      <c r="A20080" s="8" t="str">
        <f>"WWW'09 - Proceedings of the 18th International World Wide Web Conference"</f>
        <v>WWW'09 - Proceedings of the 18th International World Wide Web Conference</v>
      </c>
      <c r="B20080" s="8" t="str">
        <f>"9781605584874"</f>
        <v>9781605584874</v>
      </c>
      <c r="C20080" s="8" t="s">
        <v>21</v>
      </c>
    </row>
    <row r="20081" spans="1:3" x14ac:dyDescent="0.25">
      <c r="A20081" s="8" t="str">
        <f>"WWW'12 - Proceedings of the 21st Annual Conference on World Wide Web"</f>
        <v>WWW'12 - Proceedings of the 21st Annual Conference on World Wide Web</v>
      </c>
      <c r="B20081" s="8" t="str">
        <f>"9781450312295"</f>
        <v>9781450312295</v>
      </c>
      <c r="C20081" s="8" t="s">
        <v>21</v>
      </c>
    </row>
    <row r="20082" spans="1:3" x14ac:dyDescent="0.25">
      <c r="A20082" s="8" t="str">
        <f>"WWW'12 - Proceedings of the 21st Annual Conference on World Wide Web Companion"</f>
        <v>WWW'12 - Proceedings of the 21st Annual Conference on World Wide Web Companion</v>
      </c>
      <c r="B20082" s="8" t="str">
        <f>"9781450312301"</f>
        <v>9781450312301</v>
      </c>
      <c r="C20082" s="8" t="s">
        <v>21</v>
      </c>
    </row>
    <row r="20083" spans="1:3" x14ac:dyDescent="0.25">
      <c r="A20083" s="8" t="str">
        <f>"XI Jornadas Iberoamericanas de Ingenieria de Software e Ingenieria del Conocimiento, JIISIC 2015"</f>
        <v>XI Jornadas Iberoamericanas de Ingenieria de Software e Ingenieria del Conocimiento, JIISIC 2015</v>
      </c>
      <c r="B20083" s="8" t="str">
        <f>"9781510802087"</f>
        <v>9781510802087</v>
      </c>
      <c r="C20083" s="8" t="s">
        <v>2386</v>
      </c>
    </row>
    <row r="20084" spans="1:3" x14ac:dyDescent="0.25">
      <c r="A20084" s="8" t="str">
        <f>"XIV International Conference on Atmospheric Electricity, ICAE 2011"</f>
        <v>XIV International Conference on Atmospheric Electricity, ICAE 2011</v>
      </c>
      <c r="B20084" s="8" t="str">
        <f>"-"</f>
        <v>-</v>
      </c>
      <c r="C20084" s="8" t="s">
        <v>2387</v>
      </c>
    </row>
    <row r="20085" spans="1:3" x14ac:dyDescent="0.25">
      <c r="A20085" s="8" t="str">
        <f>"XVII Jornadas de Ingenieria del Software y Bases de Datos, JISBD 2012"</f>
        <v>XVII Jornadas de Ingenieria del Software y Bases de Datos, JISBD 2012</v>
      </c>
      <c r="B20085" s="8" t="str">
        <f>"9788415487289"</f>
        <v>9788415487289</v>
      </c>
      <c r="C20085" s="8" t="s">
        <v>1624</v>
      </c>
    </row>
    <row r="20086" spans="1:3" x14ac:dyDescent="0.25">
      <c r="A20086" s="8" t="str">
        <f>"XVIth International Symposium on Electrical Apparatus and Technologies, SIELA 2009, Proceedings"</f>
        <v>XVIth International Symposium on Electrical Apparatus and Technologies, SIELA 2009, Proceedings</v>
      </c>
      <c r="B20086" s="8" t="str">
        <f>"9789543235308"</f>
        <v>9789543235308</v>
      </c>
      <c r="C20086" s="8" t="s">
        <v>2388</v>
      </c>
    </row>
    <row r="20087" spans="1:3" x14ac:dyDescent="0.25">
      <c r="A20087" s="8" t="str">
        <f>"XVth International Symposium on Electrical Apparatus and Technologies, SIELA 2007, Proceedings"</f>
        <v>XVth International Symposium on Electrical Apparatus and Technologies, SIELA 2007, Proceedings</v>
      </c>
      <c r="B20087" s="8" t="str">
        <f>"9789549726015"</f>
        <v>9789549726015</v>
      </c>
      <c r="C20087" s="8" t="s">
        <v>2389</v>
      </c>
    </row>
    <row r="20088" spans="1:3" x14ac:dyDescent="0.25">
      <c r="A20088" s="8" t="s">
        <v>2390</v>
      </c>
      <c r="B20088" s="8" t="str">
        <f>"-"</f>
        <v>-</v>
      </c>
      <c r="C20088" s="8" t="s">
        <v>1198</v>
      </c>
    </row>
    <row r="20089" spans="1:3" x14ac:dyDescent="0.25">
      <c r="A20089" s="8" t="str">
        <f>"XXV International Mineral Processing Congress 2010, IMPC 2010"</f>
        <v>XXV International Mineral Processing Congress 2010, IMPC 2010</v>
      </c>
      <c r="B20089" s="8" t="str">
        <f>"9781617820519"</f>
        <v>9781617820519</v>
      </c>
      <c r="C20089" s="8" t="s">
        <v>167</v>
      </c>
    </row>
    <row r="20090" spans="1:3" x14ac:dyDescent="0.25">
      <c r="A20090" s="8" t="str">
        <f>"XXVeme Congres INFORSID 2007 - Informatique des Organisations et Systemes d'Information et de Decision"</f>
        <v>XXVeme Congres INFORSID 2007 - Informatique des Organisations et Systemes d'Information et de Decision</v>
      </c>
      <c r="B20090" s="8" t="str">
        <f>"-"</f>
        <v>-</v>
      </c>
      <c r="C20090" s="8" t="s">
        <v>1628</v>
      </c>
    </row>
    <row r="20091" spans="1:3" x14ac:dyDescent="0.25">
      <c r="A20091" s="8" t="str">
        <f>"XXVIeme Congres INFORSID 2008"</f>
        <v>XXVIeme Congres INFORSID 2008</v>
      </c>
      <c r="B20091" s="8" t="str">
        <f>"-"</f>
        <v>-</v>
      </c>
      <c r="C20091" s="8" t="s">
        <v>1628</v>
      </c>
    </row>
    <row r="20092" spans="1:3" x14ac:dyDescent="0.25">
      <c r="A20092" s="8" t="str">
        <f>"XXVIIeme Congres INFORSID 2009"</f>
        <v>XXVIIeme Congres INFORSID 2009</v>
      </c>
      <c r="B20092" s="8" t="str">
        <f>"-"</f>
        <v>-</v>
      </c>
      <c r="C20092" s="8" t="s">
        <v>1628</v>
      </c>
    </row>
    <row r="20093" spans="1:3" x14ac:dyDescent="0.25">
      <c r="A20093" s="8" t="str">
        <f>"XXVIIIeme Congres INFORSID 2010"</f>
        <v>XXVIIIeme Congres INFORSID 2010</v>
      </c>
      <c r="B20093" s="8" t="str">
        <f>"-"</f>
        <v>-</v>
      </c>
      <c r="C20093" s="8" t="s">
        <v>1628</v>
      </c>
    </row>
    <row r="20094" spans="1:3" x14ac:dyDescent="0.25">
      <c r="A20094" s="8" t="str">
        <f>"Yazawa International Symposium: Metallurgical and Materials Processing: Principles and Techologies; Aqueous and Electrochemical Processing"</f>
        <v>Yazawa International Symposium: Metallurgical and Materials Processing: Principles and Techologies; Aqueous and Electrochemical Processing</v>
      </c>
      <c r="B20094" s="8" t="str">
        <f>"9780873395489"</f>
        <v>9780873395489</v>
      </c>
      <c r="C20094" s="8" t="s">
        <v>648</v>
      </c>
    </row>
    <row r="20095" spans="1:3" x14ac:dyDescent="0.25">
      <c r="A20095" s="8" t="str">
        <f>"Yazawa International Symposium: Metallurgical and Materials Processing: Principles and Techologies; High-Temperature Metal Production"</f>
        <v>Yazawa International Symposium: Metallurgical and Materials Processing: Principles and Techologies; High-Temperature Metal Production</v>
      </c>
      <c r="B20095" s="8" t="str">
        <f>"9780873395472"</f>
        <v>9780873395472</v>
      </c>
      <c r="C20095" s="8" t="s">
        <v>648</v>
      </c>
    </row>
    <row r="20096" spans="1:3" x14ac:dyDescent="0.25">
      <c r="A20096" s="8" t="str">
        <f>"Yazawa International Symposium: Metallurgical and Materials Processing: Principles and Techologies; Materials Processing Fundamentals and New Technologies"</f>
        <v>Yazawa International Symposium: Metallurgical and Materials Processing: Principles and Techologies; Materials Processing Fundamentals and New Technologies</v>
      </c>
      <c r="B20096" s="8" t="str">
        <f>"9780873395465"</f>
        <v>9780873395465</v>
      </c>
      <c r="C20096" s="8" t="s">
        <v>648</v>
      </c>
    </row>
    <row r="20097" spans="1:3" x14ac:dyDescent="0.25">
      <c r="A20097" s="8" t="str">
        <f>"Yokohama Tube and Pipe 2011 Joint Symposium -Innovative Tube and Pipe Manufacturing and Forming"</f>
        <v>Yokohama Tube and Pipe 2011 Joint Symposium -Innovative Tube and Pipe Manufacturing and Forming</v>
      </c>
      <c r="B20097" s="8" t="str">
        <f>"9781622762460"</f>
        <v>9781622762460</v>
      </c>
      <c r="C20097" s="8" t="s">
        <v>2011</v>
      </c>
    </row>
    <row r="20104" spans="1:3" x14ac:dyDescent="0.25">
      <c r="A20104" s="7"/>
    </row>
    <row r="20105" spans="1:3" x14ac:dyDescent="0.25">
      <c r="A20105" s="7"/>
    </row>
  </sheetData>
  <sheetProtection password="E5F6" sheet="1" objects="1" scenarios="1" sort="0" autoFilter="0"/>
  <autoFilter ref="A2:C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sqref="A1:XFD1"/>
    </sheetView>
  </sheetViews>
  <sheetFormatPr defaultRowHeight="15" x14ac:dyDescent="0.25"/>
  <cols>
    <col min="1" max="1" width="52.28515625" customWidth="1"/>
    <col min="2" max="2" width="12.5703125" customWidth="1"/>
    <col min="3" max="3" width="11.7109375" customWidth="1"/>
    <col min="4" max="4" width="53" customWidth="1"/>
    <col min="8" max="8" width="24.28515625" customWidth="1"/>
  </cols>
  <sheetData>
    <row r="1" spans="1:8" s="25" customFormat="1" ht="29.25" customHeight="1" x14ac:dyDescent="0.25">
      <c r="A1" s="25" t="s">
        <v>0</v>
      </c>
    </row>
    <row r="2" spans="1:8" ht="15.75" x14ac:dyDescent="0.25">
      <c r="A2" s="12"/>
      <c r="B2" s="12"/>
      <c r="C2" s="12"/>
      <c r="D2" s="12"/>
      <c r="E2" s="26" t="s">
        <v>2391</v>
      </c>
      <c r="F2" s="26"/>
      <c r="G2" s="26"/>
      <c r="H2" s="26"/>
    </row>
    <row r="3" spans="1:8" ht="15.75" x14ac:dyDescent="0.25">
      <c r="A3" s="12" t="s">
        <v>2392</v>
      </c>
      <c r="B3" s="12" t="s">
        <v>3</v>
      </c>
      <c r="C3" s="12" t="s">
        <v>2393</v>
      </c>
      <c r="D3" s="12" t="s">
        <v>5</v>
      </c>
      <c r="E3" s="13" t="s">
        <v>2394</v>
      </c>
      <c r="F3" s="13" t="s">
        <v>2395</v>
      </c>
      <c r="G3" s="13" t="s">
        <v>2396</v>
      </c>
      <c r="H3" s="13" t="s">
        <v>2397</v>
      </c>
    </row>
    <row r="4" spans="1:8" x14ac:dyDescent="0.25">
      <c r="A4" s="6" t="s">
        <v>2398</v>
      </c>
      <c r="B4" s="6"/>
      <c r="C4" s="6" t="s">
        <v>2399</v>
      </c>
      <c r="D4" s="6" t="s">
        <v>316</v>
      </c>
      <c r="E4" s="14">
        <v>2015</v>
      </c>
      <c r="F4" s="14">
        <v>9</v>
      </c>
      <c r="G4" s="14" t="s">
        <v>2400</v>
      </c>
      <c r="H4" s="14" t="s">
        <v>2401</v>
      </c>
    </row>
    <row r="5" spans="1:8" x14ac:dyDescent="0.25">
      <c r="A5" s="6" t="s">
        <v>2402</v>
      </c>
      <c r="B5" s="6"/>
      <c r="C5" s="6" t="s">
        <v>2403</v>
      </c>
      <c r="D5" s="6" t="s">
        <v>316</v>
      </c>
      <c r="E5" s="14">
        <v>2015</v>
      </c>
      <c r="F5" s="14">
        <v>7</v>
      </c>
      <c r="G5" s="14" t="s">
        <v>2400</v>
      </c>
      <c r="H5" s="15" t="s">
        <v>2404</v>
      </c>
    </row>
    <row r="6" spans="1:8" x14ac:dyDescent="0.25">
      <c r="A6" s="6" t="s">
        <v>2405</v>
      </c>
      <c r="B6" s="6" t="s">
        <v>2406</v>
      </c>
      <c r="C6" s="6"/>
      <c r="D6" s="6" t="s">
        <v>2352</v>
      </c>
      <c r="E6" s="14">
        <v>2015</v>
      </c>
      <c r="F6" s="14">
        <v>8</v>
      </c>
      <c r="G6" s="14">
        <v>4</v>
      </c>
      <c r="H6" s="14" t="s">
        <v>2407</v>
      </c>
    </row>
    <row r="7" spans="1:8" x14ac:dyDescent="0.25">
      <c r="A7" s="16" t="s">
        <v>2408</v>
      </c>
      <c r="B7" s="16" t="s">
        <v>2409</v>
      </c>
      <c r="C7" s="16"/>
      <c r="D7" s="16" t="s">
        <v>2352</v>
      </c>
      <c r="E7" s="14">
        <v>2015</v>
      </c>
      <c r="F7" s="14">
        <v>11</v>
      </c>
      <c r="G7" s="14">
        <v>21</v>
      </c>
      <c r="H7" s="14" t="s">
        <v>2410</v>
      </c>
    </row>
    <row r="8" spans="1:8" x14ac:dyDescent="0.25">
      <c r="A8" s="16" t="s">
        <v>2411</v>
      </c>
      <c r="B8" s="16" t="s">
        <v>2412</v>
      </c>
      <c r="C8" s="16"/>
      <c r="D8" s="16" t="s">
        <v>2352</v>
      </c>
      <c r="E8" s="14">
        <v>2015</v>
      </c>
      <c r="F8" s="14">
        <v>12</v>
      </c>
      <c r="G8" s="14">
        <v>18</v>
      </c>
      <c r="H8" s="14" t="s">
        <v>2413</v>
      </c>
    </row>
    <row r="9" spans="1:8" x14ac:dyDescent="0.25">
      <c r="A9" s="16" t="s">
        <v>2414</v>
      </c>
      <c r="B9" s="16" t="s">
        <v>2415</v>
      </c>
      <c r="C9" s="16" t="s">
        <v>2416</v>
      </c>
      <c r="D9" s="16" t="s">
        <v>2417</v>
      </c>
      <c r="E9" s="14">
        <v>2015</v>
      </c>
      <c r="F9" s="14">
        <v>9</v>
      </c>
      <c r="G9" s="14">
        <v>12</v>
      </c>
      <c r="H9" s="14" t="s">
        <v>2418</v>
      </c>
    </row>
    <row r="10" spans="1:8" x14ac:dyDescent="0.25">
      <c r="A10" s="16" t="s">
        <v>2419</v>
      </c>
      <c r="B10" s="16" t="s">
        <v>2420</v>
      </c>
      <c r="C10" s="16" t="s">
        <v>2421</v>
      </c>
      <c r="D10" s="16" t="s">
        <v>2146</v>
      </c>
      <c r="E10" s="14">
        <v>2015</v>
      </c>
      <c r="F10" s="14">
        <v>8</v>
      </c>
      <c r="G10" s="14">
        <v>5</v>
      </c>
      <c r="H10" s="14" t="s">
        <v>2422</v>
      </c>
    </row>
    <row r="11" spans="1:8" x14ac:dyDescent="0.25">
      <c r="A11" s="6" t="s">
        <v>2423</v>
      </c>
      <c r="B11" s="6" t="s">
        <v>2424</v>
      </c>
      <c r="C11" s="6" t="s">
        <v>2425</v>
      </c>
      <c r="D11" s="6" t="s">
        <v>2426</v>
      </c>
      <c r="E11" s="14">
        <v>2015</v>
      </c>
      <c r="F11" s="14">
        <v>12</v>
      </c>
      <c r="G11" s="14" t="s">
        <v>2400</v>
      </c>
      <c r="H11" s="14" t="s">
        <v>2427</v>
      </c>
    </row>
  </sheetData>
  <sheetProtection password="E5F6" sheet="1" objects="1" scenarios="1" sort="0" autoFilter="0"/>
  <mergeCells count="2">
    <mergeCell ref="A1:XFD1"/>
    <mergeCell ref="E2:H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sqref="A1:XFD1"/>
    </sheetView>
  </sheetViews>
  <sheetFormatPr defaultRowHeight="15" x14ac:dyDescent="0.25"/>
  <cols>
    <col min="1" max="1" width="87.85546875" style="2" customWidth="1"/>
    <col min="2" max="2" width="76.7109375" style="2" customWidth="1"/>
    <col min="3" max="16384" width="9.140625" style="2"/>
  </cols>
  <sheetData>
    <row r="1" spans="1:2" s="25" customFormat="1" ht="40.5" customHeight="1" x14ac:dyDescent="0.25">
      <c r="A1" s="25" t="s">
        <v>0</v>
      </c>
    </row>
    <row r="2" spans="1:2" x14ac:dyDescent="0.25">
      <c r="A2" s="21" t="s">
        <v>2428</v>
      </c>
      <c r="B2" s="21" t="s">
        <v>2429</v>
      </c>
    </row>
    <row r="3" spans="1:2" ht="30" x14ac:dyDescent="0.25">
      <c r="A3" s="5" t="s">
        <v>2430</v>
      </c>
      <c r="B3" s="5" t="s">
        <v>2431</v>
      </c>
    </row>
    <row r="4" spans="1:2" ht="30" x14ac:dyDescent="0.25">
      <c r="A4" s="5" t="s">
        <v>2432</v>
      </c>
      <c r="B4" s="5" t="s">
        <v>2433</v>
      </c>
    </row>
    <row r="5" spans="1:2" x14ac:dyDescent="0.25">
      <c r="A5" s="22"/>
      <c r="B5" s="23"/>
    </row>
    <row r="6" spans="1:2" x14ac:dyDescent="0.25">
      <c r="A6" s="21" t="s">
        <v>2434</v>
      </c>
      <c r="B6" s="21" t="s">
        <v>2435</v>
      </c>
    </row>
    <row r="7" spans="1:2" ht="45" x14ac:dyDescent="0.25">
      <c r="A7" s="5" t="s">
        <v>2436</v>
      </c>
      <c r="B7" s="5" t="s">
        <v>2437</v>
      </c>
    </row>
    <row r="8" spans="1:2" x14ac:dyDescent="0.25">
      <c r="A8" s="5" t="s">
        <v>2438</v>
      </c>
      <c r="B8" s="5" t="s">
        <v>2439</v>
      </c>
    </row>
  </sheetData>
  <sheetProtection password="E5F6" sheet="1" objects="1" scenarios="1"/>
  <mergeCells count="1">
    <mergeCell ref="A1:XF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DISCLAIMER-TERMS&amp;CONDITIONS</vt:lpstr>
      <vt:lpstr>SERIALS</vt:lpstr>
      <vt:lpstr>NON-SERIALS</vt:lpstr>
      <vt:lpstr>DISCONTINUED</vt:lpstr>
      <vt:lpstr>DEFINITIONS</vt:lpstr>
      <vt:lpstr>'NON-SERIALS'!cpxjrnl20160104</vt:lpstr>
      <vt:lpstr>SERIALS!cpxjrnl20160104</vt:lpstr>
    </vt:vector>
  </TitlesOfParts>
  <Company>Reed Elsevier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NX</dc:creator>
  <cp:lastModifiedBy>NX</cp:lastModifiedBy>
  <dcterms:created xsi:type="dcterms:W3CDTF">2016-02-11T14:27:04Z</dcterms:created>
  <dcterms:modified xsi:type="dcterms:W3CDTF">2016-02-13T20:23:30Z</dcterms:modified>
</cp:coreProperties>
</file>